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D:\2025年\报价\74、海南莫斯科学校铝合金门窗工程·蔡旭·2025.10.22\"/>
    </mc:Choice>
  </mc:AlternateContent>
  <xr:revisionPtr revIDLastSave="0" documentId="13_ncr:1_{E4F3E111-4656-446C-94C5-8C6016299C68}" xr6:coauthVersionLast="47" xr6:coauthVersionMax="47" xr10:uidLastSave="{00000000-0000-0000-0000-000000000000}"/>
  <bookViews>
    <workbookView xWindow="-120" yWindow="-120" windowWidth="29040" windowHeight="15840" tabRatio="880" firstSheet="27" activeTab="39" xr2:uid="{00000000-000D-0000-FFFF-FFFF00000000}"/>
  </bookViews>
  <sheets>
    <sheet name="材料价格" sheetId="218" r:id="rId1"/>
    <sheet name="汇总表" sheetId="289" r:id="rId2"/>
    <sheet name="3#楼工程量统计" sheetId="290" r:id="rId3"/>
    <sheet name="4#楼工程量统计" sheetId="291" r:id="rId4"/>
    <sheet name="5#楼工程量统计" sheetId="292" r:id="rId5"/>
    <sheet name="6#楼工程量统计 " sheetId="293" r:id="rId6"/>
    <sheet name="8#楼工程量统计" sheetId="294" r:id="rId7"/>
    <sheet name="穿孔铝板" sheetId="332" r:id="rId8"/>
    <sheet name="栏杆" sheetId="333" r:id="rId9"/>
    <sheet name="MS65F" sheetId="296" r:id="rId10"/>
    <sheet name="WM1127" sheetId="217" r:id="rId11"/>
    <sheet name="C1014" sheetId="298" r:id="rId12"/>
    <sheet name="C1117" sheetId="299" r:id="rId13"/>
    <sheet name="C1122" sheetId="300" r:id="rId14"/>
    <sheet name="C1417" sheetId="301" r:id="rId15"/>
    <sheet name="C2430" sheetId="302" r:id="rId16"/>
    <sheet name="C2735-G" sheetId="303" r:id="rId17"/>
    <sheet name="WMLC2730" sheetId="304" r:id="rId18"/>
    <sheet name="WM2038" sheetId="310" r:id="rId19"/>
    <sheet name="MLC2030" sheetId="311" r:id="rId20"/>
    <sheet name="MLC2522" sheetId="312" r:id="rId21"/>
    <sheet name="C2330" sheetId="313" r:id="rId22"/>
    <sheet name="GDC2338" sheetId="314" r:id="rId23"/>
    <sheet name="C2327" sheetId="317" r:id="rId24"/>
    <sheet name="MLC2324" sheetId="318" r:id="rId25"/>
    <sheet name="WM1325" sheetId="319" r:id="rId26"/>
    <sheet name="WM2338" sheetId="320" r:id="rId27"/>
    <sheet name="MLC2124" sheetId="321" r:id="rId28"/>
    <sheet name="MLC2324A" sheetId="322" r:id="rId29"/>
    <sheet name="C1127" sheetId="323" r:id="rId30"/>
    <sheet name="GC2006" sheetId="324" r:id="rId31"/>
    <sheet name="C0410" sheetId="325" r:id="rId32"/>
    <sheet name="GDC1212" sheetId="329" r:id="rId33"/>
    <sheet name="GSM7838" sheetId="334" r:id="rId34"/>
    <sheet name="套门" sheetId="308" r:id="rId35"/>
    <sheet name="套门 (2)" sheetId="328" r:id="rId36"/>
    <sheet name="套窗" sheetId="309" r:id="rId37"/>
    <sheet name="BYC1610" sheetId="306" r:id="rId38"/>
    <sheet name="BYC0809" sheetId="315" r:id="rId39"/>
    <sheet name="BYC0624" sheetId="316" r:id="rId40"/>
    <sheet name="WM2480" sheetId="307" r:id="rId41"/>
    <sheet name="C2360" sheetId="326" r:id="rId42"/>
    <sheet name="MLC2360" sheetId="327" r:id="rId43"/>
    <sheet name="MLC2888" sheetId="331" r:id="rId44"/>
  </sheets>
  <externalReferences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</externalReferences>
  <definedNames>
    <definedName name="_" localSheetId="39" hidden="1">[1]eqpmad2!#REF!</definedName>
    <definedName name="_" localSheetId="38" hidden="1">[1]eqpmad2!#REF!</definedName>
    <definedName name="_" localSheetId="37" hidden="1">[1]eqpmad2!#REF!</definedName>
    <definedName name="_" hidden="1">[1]eqpmad2!#REF!</definedName>
    <definedName name="__" hidden="1">#N/A</definedName>
    <definedName name="___" hidden="1">#N/A</definedName>
    <definedName name="____" hidden="1">#N/A</definedName>
    <definedName name="______________" localSheetId="39" hidden="1">[2]表紙!#REF!</definedName>
    <definedName name="______________" localSheetId="38" hidden="1">[2]表紙!#REF!</definedName>
    <definedName name="______________" localSheetId="37" hidden="1">[2]表紙!#REF!</definedName>
    <definedName name="______________" hidden="1">[3]表紙!#REF!</definedName>
    <definedName name="_______________" localSheetId="39" hidden="1">[2]表紙!#REF!</definedName>
    <definedName name="_______________" localSheetId="38" hidden="1">[2]表紙!#REF!</definedName>
    <definedName name="_______________" localSheetId="37" hidden="1">[2]表紙!#REF!</definedName>
    <definedName name="_______________" hidden="1">[3]表紙!#REF!</definedName>
    <definedName name="________________________________________________xlcn.WorksheetConnection_明细_1楼Y2AB41" hidden="1">'[4]明细_23#楼'!#REF!</definedName>
    <definedName name="_______________________ngk1109" localSheetId="0" hidden="1">{#N/A,#N/A,FALSE,"估價單  (3)"}</definedName>
    <definedName name="_______________________ngk1109" hidden="1">{#N/A,#N/A,FALSE,"估價單  (3)"}</definedName>
    <definedName name="_______________ngk1109" localSheetId="0" hidden="1">{#N/A,#N/A,FALSE,"估價單  (3)"}</definedName>
    <definedName name="_______________ngk1109" hidden="1">{#N/A,#N/A,FALSE,"估價單  (3)"}</definedName>
    <definedName name="______________ngk1109" localSheetId="0" hidden="1">{#N/A,#N/A,FALSE,"估價單  (3)"}</definedName>
    <definedName name="______________ngk1109" hidden="1">{#N/A,#N/A,FALSE,"估價單  (3)"}</definedName>
    <definedName name="_____________ngk1109" localSheetId="0" hidden="1">{#N/A,#N/A,FALSE,"估價單  (3)"}</definedName>
    <definedName name="_____________ngk1109" hidden="1">{#N/A,#N/A,FALSE,"估價單  (3)"}</definedName>
    <definedName name="____________ngk1109" localSheetId="0" hidden="1">{#N/A,#N/A,FALSE,"估價單  (3)"}</definedName>
    <definedName name="____________ngk1109" hidden="1">{#N/A,#N/A,FALSE,"估價單  (3)"}</definedName>
    <definedName name="___________ngk1109" localSheetId="0" hidden="1">{#N/A,#N/A,FALSE,"估價單  (3)"}</definedName>
    <definedName name="___________ngk1109" hidden="1">{#N/A,#N/A,FALSE,"估價單  (3)"}</definedName>
    <definedName name="__________ngk1109" localSheetId="0" hidden="1">{#N/A,#N/A,FALSE,"估價單  (3)"}</definedName>
    <definedName name="__________ngk1109" hidden="1">{#N/A,#N/A,FALSE,"估價單  (3)"}</definedName>
    <definedName name="__________xlfn.BAHTTEXT" hidden="1">#NAME?</definedName>
    <definedName name="_________dan1" localSheetId="0" hidden="1">{#N/A,#N/A,FALSE,"估價單  (3)"}</definedName>
    <definedName name="_________dan1" hidden="1">{#N/A,#N/A,FALSE,"估價單  (3)"}</definedName>
    <definedName name="_________dan2" localSheetId="0" hidden="1">{#N/A,#N/A,FALSE,"估價單  (3)"}</definedName>
    <definedName name="_________dan2" hidden="1">{#N/A,#N/A,FALSE,"估價單  (3)"}</definedName>
    <definedName name="_________ngk1109" localSheetId="0" hidden="1">{#N/A,#N/A,FALSE,"估價單  (3)"}</definedName>
    <definedName name="_________ngk1109" hidden="1">{#N/A,#N/A,FALSE,"估價單  (3)"}</definedName>
    <definedName name="_________xlfn.BAHTTEXT" hidden="1">#NAME?</definedName>
    <definedName name="________dan1" localSheetId="0" hidden="1">{#N/A,#N/A,FALSE,"估價單  (3)"}</definedName>
    <definedName name="________dan1" hidden="1">{#N/A,#N/A,FALSE,"估價單  (3)"}</definedName>
    <definedName name="________dan2" localSheetId="0" hidden="1">{#N/A,#N/A,FALSE,"估價單  (3)"}</definedName>
    <definedName name="________dan2" hidden="1">{#N/A,#N/A,FALSE,"估價單  (3)"}</definedName>
    <definedName name="________LC0723" localSheetId="39" hidden="1">{"'门'!$A$4:$H$28"}</definedName>
    <definedName name="________LC0723" localSheetId="38" hidden="1">{"'门'!$A$4:$H$28"}</definedName>
    <definedName name="________LC0723" localSheetId="37" hidden="1">{"'门'!$A$4:$H$28"}</definedName>
    <definedName name="________LC0723" localSheetId="0" hidden="1">{"'门'!$A$4:$H$28"}</definedName>
    <definedName name="________LC0723" hidden="1">{"'门'!$A$4:$H$28"}</definedName>
    <definedName name="________ngk1109" localSheetId="0" hidden="1">{#N/A,#N/A,FALSE,"估價單  (3)"}</definedName>
    <definedName name="________ngk1109" hidden="1">{#N/A,#N/A,FALSE,"估價單  (3)"}</definedName>
    <definedName name="________xlfn.BAHTTEXT" hidden="1">#NAME?</definedName>
    <definedName name="_______dan1" localSheetId="0" hidden="1">{#N/A,#N/A,FALSE,"估價單  (3)"}</definedName>
    <definedName name="_______dan1" hidden="1">{#N/A,#N/A,FALSE,"估價單  (3)"}</definedName>
    <definedName name="_______dan2" localSheetId="0" hidden="1">{#N/A,#N/A,FALSE,"估價單  (3)"}</definedName>
    <definedName name="_______dan2" hidden="1">{#N/A,#N/A,FALSE,"估價單  (3)"}</definedName>
    <definedName name="_______LC0723" localSheetId="39" hidden="1">{"'门'!$A$4:$H$28"}</definedName>
    <definedName name="_______LC0723" localSheetId="38" hidden="1">{"'门'!$A$4:$H$28"}</definedName>
    <definedName name="_______LC0723" localSheetId="37" hidden="1">{"'门'!$A$4:$H$28"}</definedName>
    <definedName name="_______LC0723" localSheetId="0" hidden="1">{"'门'!$A$4:$H$28"}</definedName>
    <definedName name="_______LC0723" hidden="1">{"'门'!$A$4:$H$28"}</definedName>
    <definedName name="_______ngk1109" localSheetId="39" hidden="1">{#N/A,#N/A,FALSE,"估價單  (3)"}</definedName>
    <definedName name="_______ngk1109" localSheetId="38" hidden="1">{#N/A,#N/A,FALSE,"估價單  (3)"}</definedName>
    <definedName name="_______ngk1109" localSheetId="37" hidden="1">{#N/A,#N/A,FALSE,"估價單  (3)"}</definedName>
    <definedName name="_______ngk1109" localSheetId="0" hidden="1">{#N/A,#N/A,FALSE,"估價單  (3)"}</definedName>
    <definedName name="_______ngk1109" hidden="1">{#N/A,#N/A,FALSE,"估價單  (3)"}</definedName>
    <definedName name="_______xlfn.BAHTTEXT" hidden="1">#NAME?</definedName>
    <definedName name="_______xlfn.COUNTIFS" hidden="1">#NAME?</definedName>
    <definedName name="______dan1" localSheetId="0" hidden="1">{#N/A,#N/A,FALSE,"估價單  (3)"}</definedName>
    <definedName name="______dan1" hidden="1">{#N/A,#N/A,FALSE,"估價單  (3)"}</definedName>
    <definedName name="______dan2" localSheetId="0" hidden="1">{#N/A,#N/A,FALSE,"估價單  (3)"}</definedName>
    <definedName name="______dan2" hidden="1">{#N/A,#N/A,FALSE,"估價單  (3)"}</definedName>
    <definedName name="______LC0723" localSheetId="39" hidden="1">{"'门'!$A$4:$H$28"}</definedName>
    <definedName name="______LC0723" localSheetId="38" hidden="1">{"'门'!$A$4:$H$28"}</definedName>
    <definedName name="______LC0723" localSheetId="37" hidden="1">{"'门'!$A$4:$H$28"}</definedName>
    <definedName name="______LC0723" localSheetId="0" hidden="1">{"'门'!$A$4:$H$28"}</definedName>
    <definedName name="______LC0723" hidden="1">{"'门'!$A$4:$H$28"}</definedName>
    <definedName name="______ngk1109" localSheetId="39" hidden="1">{#N/A,#N/A,FALSE,"估價單  (3)"}</definedName>
    <definedName name="______ngk1109" localSheetId="38" hidden="1">{#N/A,#N/A,FALSE,"估價單  (3)"}</definedName>
    <definedName name="______ngk1109" localSheetId="37" hidden="1">{#N/A,#N/A,FALSE,"估價單  (3)"}</definedName>
    <definedName name="______ngk1109" localSheetId="0" hidden="1">{#N/A,#N/A,FALSE,"估價單  (3)"}</definedName>
    <definedName name="______ngk1109" hidden="1">{#N/A,#N/A,FALSE,"估價單  (3)"}</definedName>
    <definedName name="______xlfn.BAHTTEXT" hidden="1">#NAME?</definedName>
    <definedName name="_____dan1" localSheetId="0" hidden="1">{#N/A,#N/A,FALSE,"估價單  (3)"}</definedName>
    <definedName name="_____dan1" hidden="1">{#N/A,#N/A,FALSE,"估價單  (3)"}</definedName>
    <definedName name="_____dan2" localSheetId="0" hidden="1">{#N/A,#N/A,FALSE,"估價單  (3)"}</definedName>
    <definedName name="_____dan2" hidden="1">{#N/A,#N/A,FALSE,"估價單  (3)"}</definedName>
    <definedName name="_____LC0723" localSheetId="39" hidden="1">{"'门'!$A$4:$H$28"}</definedName>
    <definedName name="_____LC0723" localSheetId="38" hidden="1">{"'门'!$A$4:$H$28"}</definedName>
    <definedName name="_____LC0723" localSheetId="37" hidden="1">{"'门'!$A$4:$H$28"}</definedName>
    <definedName name="_____LC0723" localSheetId="0" hidden="1">{"'门'!$A$4:$H$28"}</definedName>
    <definedName name="_____LC0723" hidden="1">{"'门'!$A$4:$H$28"}</definedName>
    <definedName name="_____ngk1109" localSheetId="39" hidden="1">{#N/A,#N/A,FALSE,"估價單  (3)"}</definedName>
    <definedName name="_____ngk1109" localSheetId="38" hidden="1">{#N/A,#N/A,FALSE,"估價單  (3)"}</definedName>
    <definedName name="_____ngk1109" localSheetId="37" hidden="1">{#N/A,#N/A,FALSE,"估價單  (3)"}</definedName>
    <definedName name="_____ngk1109" localSheetId="0" hidden="1">{#N/A,#N/A,FALSE,"估價單  (3)"}</definedName>
    <definedName name="_____ngk1109" hidden="1">{#N/A,#N/A,FALSE,"估價單  (3)"}</definedName>
    <definedName name="_____xlfn.BAHTTEXT" hidden="1">#NAME?</definedName>
    <definedName name="____dan1" localSheetId="0" hidden="1">{#N/A,#N/A,FALSE,"估價單  (3)"}</definedName>
    <definedName name="____dan1" hidden="1">{#N/A,#N/A,FALSE,"估價單  (3)"}</definedName>
    <definedName name="____dan2" localSheetId="0" hidden="1">{#N/A,#N/A,FALSE,"估價單  (3)"}</definedName>
    <definedName name="____dan2" hidden="1">{#N/A,#N/A,FALSE,"估價單  (3)"}</definedName>
    <definedName name="____LC0723" localSheetId="39" hidden="1">{"'门'!$A$4:$H$28"}</definedName>
    <definedName name="____LC0723" localSheetId="38" hidden="1">{"'门'!$A$4:$H$28"}</definedName>
    <definedName name="____LC0723" localSheetId="37" hidden="1">{"'门'!$A$4:$H$28"}</definedName>
    <definedName name="____LC0723" localSheetId="0" hidden="1">{"'门'!$A$4:$H$28"}</definedName>
    <definedName name="____LC0723" hidden="1">{"'门'!$A$4:$H$28"}</definedName>
    <definedName name="____MLC4234" localSheetId="39" hidden="1">{"'门'!$A$4:$H$28"}</definedName>
    <definedName name="____MLC4234" localSheetId="38" hidden="1">{"'门'!$A$4:$H$28"}</definedName>
    <definedName name="____MLC4234" localSheetId="37" hidden="1">{"'门'!$A$4:$H$28"}</definedName>
    <definedName name="____MLC4234" localSheetId="0" hidden="1">{"'门'!$A$4:$H$28"}</definedName>
    <definedName name="____MLC4234" hidden="1">{"'门'!$A$4:$H$28"}</definedName>
    <definedName name="____ngk1109" localSheetId="39" hidden="1">{#N/A,#N/A,FALSE,"估價單  (3)"}</definedName>
    <definedName name="____ngk1109" localSheetId="38" hidden="1">{#N/A,#N/A,FALSE,"估價單  (3)"}</definedName>
    <definedName name="____ngk1109" localSheetId="37" hidden="1">{#N/A,#N/A,FALSE,"估價單  (3)"}</definedName>
    <definedName name="____ngk1109" localSheetId="0" hidden="1">{#N/A,#N/A,FALSE,"估價單  (3)"}</definedName>
    <definedName name="____ngk1109" hidden="1">{#N/A,#N/A,FALSE,"估價單  (3)"}</definedName>
    <definedName name="____xlfn.BAHTTEXT" hidden="1">#NAME?</definedName>
    <definedName name="____xlfn.IFERROR" hidden="1">#NAME?</definedName>
    <definedName name="___dan1" localSheetId="0" hidden="1">{#N/A,#N/A,FALSE,"估價單  (3)"}</definedName>
    <definedName name="___dan1" hidden="1">{#N/A,#N/A,FALSE,"估價單  (3)"}</definedName>
    <definedName name="___dan2" localSheetId="0" hidden="1">{#N/A,#N/A,FALSE,"估價單  (3)"}</definedName>
    <definedName name="___dan2" hidden="1">{#N/A,#N/A,FALSE,"估價單  (3)"}</definedName>
    <definedName name="___LC0723" localSheetId="39" hidden="1">{"'门'!$A$4:$H$28"}</definedName>
    <definedName name="___LC0723" localSheetId="38" hidden="1">{"'门'!$A$4:$H$28"}</definedName>
    <definedName name="___LC0723" localSheetId="37" hidden="1">{"'门'!$A$4:$H$28"}</definedName>
    <definedName name="___LC0723" localSheetId="0" hidden="1">{"'门'!$A$4:$H$28"}</definedName>
    <definedName name="___LC0723" hidden="1">{"'门'!$A$4:$H$28"}</definedName>
    <definedName name="___MLC4234" localSheetId="39" hidden="1">{"'门'!$A$4:$H$28"}</definedName>
    <definedName name="___MLC4234" localSheetId="38" hidden="1">{"'门'!$A$4:$H$28"}</definedName>
    <definedName name="___MLC4234" localSheetId="37" hidden="1">{"'门'!$A$4:$H$28"}</definedName>
    <definedName name="___MLC4234" localSheetId="0" hidden="1">{"'门'!$A$4:$H$28"}</definedName>
    <definedName name="___MLC4234" hidden="1">{"'门'!$A$4:$H$28"}</definedName>
    <definedName name="___ngk1109" localSheetId="39" hidden="1">{#N/A,#N/A,FALSE,"估價單  (3)"}</definedName>
    <definedName name="___ngk1109" localSheetId="38" hidden="1">{#N/A,#N/A,FALSE,"估價單  (3)"}</definedName>
    <definedName name="___ngk1109" localSheetId="37" hidden="1">{#N/A,#N/A,FALSE,"估價單  (3)"}</definedName>
    <definedName name="___ngk1109" localSheetId="0" hidden="1">{#N/A,#N/A,FALSE,"估價單  (3)"}</definedName>
    <definedName name="___ngk1109" hidden="1">{#N/A,#N/A,FALSE,"估價單  (3)"}</definedName>
    <definedName name="___xlfn.BAHTTEXT" hidden="1">#NAME?</definedName>
    <definedName name="___xlfn.COUNTIFS" hidden="1">#NAME?</definedName>
    <definedName name="___xlfn.IFERROR" hidden="1">#NAME?</definedName>
    <definedName name="___xlfn.SUMIFS" hidden="1">#NAME?</definedName>
    <definedName name="__dan1" localSheetId="0" hidden="1">{#N/A,#N/A,FALSE,"估價單  (3)"}</definedName>
    <definedName name="__dan1" hidden="1">{#N/A,#N/A,FALSE,"估價單  (3)"}</definedName>
    <definedName name="__dan2" localSheetId="0" hidden="1">{#N/A,#N/A,FALSE,"估價單  (3)"}</definedName>
    <definedName name="__dan2" hidden="1">{#N/A,#N/A,FALSE,"估價單  (3)"}</definedName>
    <definedName name="__LC0723" localSheetId="39" hidden="1">{"'门'!$A$4:$H$28"}</definedName>
    <definedName name="__LC0723" localSheetId="38" hidden="1">{"'门'!$A$4:$H$28"}</definedName>
    <definedName name="__LC0723" localSheetId="37" hidden="1">{"'门'!$A$4:$H$28"}</definedName>
    <definedName name="__LC0723" localSheetId="0" hidden="1">{"'门'!$A$4:$H$28"}</definedName>
    <definedName name="__LC0723" hidden="1">{"'门'!$A$4:$H$28"}</definedName>
    <definedName name="__MLC4234" localSheetId="39" hidden="1">{"'门'!$A$4:$H$28"}</definedName>
    <definedName name="__MLC4234" localSheetId="38" hidden="1">{"'门'!$A$4:$H$28"}</definedName>
    <definedName name="__MLC4234" localSheetId="37" hidden="1">{"'门'!$A$4:$H$28"}</definedName>
    <definedName name="__MLC4234" localSheetId="0" hidden="1">{"'门'!$A$4:$H$28"}</definedName>
    <definedName name="__MLC4234" hidden="1">{"'门'!$A$4:$H$28"}</definedName>
    <definedName name="__ngk1109" localSheetId="39" hidden="1">{#N/A,#N/A,FALSE,"估價單  (3)"}</definedName>
    <definedName name="__ngk1109" localSheetId="38" hidden="1">{#N/A,#N/A,FALSE,"估價單  (3)"}</definedName>
    <definedName name="__ngk1109" localSheetId="37" hidden="1">{#N/A,#N/A,FALSE,"估價單  (3)"}</definedName>
    <definedName name="__ngk1109" localSheetId="0" hidden="1">{#N/A,#N/A,FALSE,"估價單  (3)"}</definedName>
    <definedName name="__ngk1109" hidden="1">{#N/A,#N/A,FALSE,"估價單  (3)"}</definedName>
    <definedName name="__xlfn.BAHTTEXT" hidden="1">#NAME?</definedName>
    <definedName name="__xlfn.COUNTIFS" hidden="1">#NAME?</definedName>
    <definedName name="__xlfn.IFERROR" hidden="1">#NAME?</definedName>
    <definedName name="__xlfn.SUMIFS" hidden="1">#NAME?</definedName>
    <definedName name="_1" hidden="1">[1]eqpmad2!#REF!</definedName>
    <definedName name="_1_" hidden="1">#N/A</definedName>
    <definedName name="_102_123Graph_BChar" localSheetId="39" hidden="1">[3]表紙!#REF!</definedName>
    <definedName name="_102_123Graph_BChar" localSheetId="38" hidden="1">[3]表紙!#REF!</definedName>
    <definedName name="_102_123Graph_BChar" localSheetId="37" hidden="1">[3]表紙!#REF!</definedName>
    <definedName name="_102_123Graph_BChar" hidden="1">[3]表紙!#REF!</definedName>
    <definedName name="_117_123Graph_BChar" localSheetId="39" hidden="1">#REF!</definedName>
    <definedName name="_117_123Graph_BChar" localSheetId="38" hidden="1">#REF!</definedName>
    <definedName name="_117_123Graph_BChar" localSheetId="37" hidden="1">#REF!</definedName>
    <definedName name="_117_123Graph_BChar" hidden="1">#REF!</definedName>
    <definedName name="_123" hidden="1">[1]eqpmad2!#REF!</definedName>
    <definedName name="_131__123Graph_BChart_2" hidden="1">[5]生人台帳!#REF!</definedName>
    <definedName name="_145__123Graph_BChart_3" hidden="1">[5]生人台帳!#REF!</definedName>
    <definedName name="_15_" localSheetId="39" hidden="1">#REF!</definedName>
    <definedName name="_15_" localSheetId="38" hidden="1">#REF!</definedName>
    <definedName name="_15_" localSheetId="37" hidden="1">#REF!</definedName>
    <definedName name="_15_" hidden="1">#REF!</definedName>
    <definedName name="_159__123Graph_BChart_4" localSheetId="39" hidden="1">[5]生人台帳!#REF!</definedName>
    <definedName name="_159__123Graph_BChart_4" localSheetId="38" hidden="1">[5]生人台帳!#REF!</definedName>
    <definedName name="_159__123Graph_BChart_4" localSheetId="37" hidden="1">[5]生人台帳!#REF!</definedName>
    <definedName name="_159__123Graph_BChart_4" hidden="1">[5]生人台帳!#REF!</definedName>
    <definedName name="_174_123Graph_CChar" localSheetId="39" hidden="1">[3]表紙!#REF!</definedName>
    <definedName name="_174_123Graph_CChar" localSheetId="38" hidden="1">[3]表紙!#REF!</definedName>
    <definedName name="_174_123Graph_CChar" localSheetId="37" hidden="1">[3]表紙!#REF!</definedName>
    <definedName name="_174_123Graph_CChar" hidden="1">[3]表紙!#REF!</definedName>
    <definedName name="_188__123Graph_CChart_2" localSheetId="39" hidden="1">[5]生人台帳!#REF!</definedName>
    <definedName name="_188__123Graph_CChart_2" localSheetId="38" hidden="1">[5]生人台帳!#REF!</definedName>
    <definedName name="_188__123Graph_CChart_2" localSheetId="37" hidden="1">[5]生人台帳!#REF!</definedName>
    <definedName name="_188__123Graph_CChart_2" hidden="1">[5]生人台帳!#REF!</definedName>
    <definedName name="_2" localSheetId="39" hidden="1">[1]eqpmad2!#REF!</definedName>
    <definedName name="_2" localSheetId="38" hidden="1">[1]eqpmad2!#REF!</definedName>
    <definedName name="_2" localSheetId="37" hidden="1">[1]eqpmad2!#REF!</definedName>
    <definedName name="_2" hidden="1">[1]eqpmad2!#REF!</definedName>
    <definedName name="_202__123Graph_CChart_4" localSheetId="39" hidden="1">[5]生人台帳!#REF!</definedName>
    <definedName name="_202__123Graph_CChart_4" localSheetId="38" hidden="1">[5]生人台帳!#REF!</definedName>
    <definedName name="_202__123Graph_CChart_4" localSheetId="37" hidden="1">[5]生人台帳!#REF!</definedName>
    <definedName name="_202__123Graph_CChart_4" hidden="1">[5]生人台帳!#REF!</definedName>
    <definedName name="_216F" localSheetId="39" hidden="1">#REF!</definedName>
    <definedName name="_216F" localSheetId="38" hidden="1">#REF!</definedName>
    <definedName name="_216F" localSheetId="37" hidden="1">#REF!</definedName>
    <definedName name="_216F" hidden="1">#REF!</definedName>
    <definedName name="_231_" localSheetId="39" hidden="1">#REF!</definedName>
    <definedName name="_231_" localSheetId="38" hidden="1">#REF!</definedName>
    <definedName name="_231_" localSheetId="37" hidden="1">#REF!</definedName>
    <definedName name="_231_" hidden="1">#REF!</definedName>
    <definedName name="_246_123Graph_AChar" localSheetId="39" hidden="1">#REF!</definedName>
    <definedName name="_246_123Graph_AChar" localSheetId="38" hidden="1">#REF!</definedName>
    <definedName name="_246_123Graph_AChar" localSheetId="37" hidden="1">#REF!</definedName>
    <definedName name="_246_123Graph_AChar" hidden="1">#REF!</definedName>
    <definedName name="_261_123Graph_BChar" localSheetId="39" hidden="1">#REF!</definedName>
    <definedName name="_261_123Graph_BChar" localSheetId="38" hidden="1">#REF!</definedName>
    <definedName name="_261_123Graph_BChar" localSheetId="37" hidden="1">#REF!</definedName>
    <definedName name="_261_123Graph_BChar" hidden="1">#REF!</definedName>
    <definedName name="_276_123Graph_CChar" localSheetId="39" hidden="1">#REF!</definedName>
    <definedName name="_276_123Graph_CChar" localSheetId="38" hidden="1">#REF!</definedName>
    <definedName name="_276_123Graph_CChar" localSheetId="37" hidden="1">#REF!</definedName>
    <definedName name="_276_123Graph_CChar" hidden="1">#REF!</definedName>
    <definedName name="_30_" localSheetId="39" hidden="1">#REF!</definedName>
    <definedName name="_30_" localSheetId="38" hidden="1">#REF!</definedName>
    <definedName name="_30_" localSheetId="37" hidden="1">#REF!</definedName>
    <definedName name="_30_" hidden="1">#REF!</definedName>
    <definedName name="_337ｭ" localSheetId="39" hidden="1">#REF!</definedName>
    <definedName name="_337ｭ" localSheetId="38" hidden="1">#REF!</definedName>
    <definedName name="_337ｭ" localSheetId="37" hidden="1">#REF!</definedName>
    <definedName name="_337ｭ" hidden="1">#REF!</definedName>
    <definedName name="_352ｭ___F" localSheetId="39" hidden="1">#REF!</definedName>
    <definedName name="_352ｭ___F" localSheetId="38" hidden="1">#REF!</definedName>
    <definedName name="_352ｭ___F" localSheetId="37" hidden="1">#REF!</definedName>
    <definedName name="_352ｭ___F" hidden="1">#REF!</definedName>
    <definedName name="_45_123Graph_AChar" localSheetId="39" hidden="1">[3]表紙!#REF!</definedName>
    <definedName name="_45_123Graph_AChar" localSheetId="38" hidden="1">[3]表紙!#REF!</definedName>
    <definedName name="_45_123Graph_AChar" localSheetId="37" hidden="1">[3]表紙!#REF!</definedName>
    <definedName name="_45_123Graph_AChar" hidden="1">[3]表紙!#REF!</definedName>
    <definedName name="_59__123Graph_AChart_2" localSheetId="39" hidden="1">[5]生人台帳!#REF!</definedName>
    <definedName name="_59__123Graph_AChart_2" localSheetId="38" hidden="1">[5]生人台帳!#REF!</definedName>
    <definedName name="_59__123Graph_AChart_2" localSheetId="37" hidden="1">[5]生人台帳!#REF!</definedName>
    <definedName name="_59__123Graph_AChart_2" hidden="1">[5]生人台帳!#REF!</definedName>
    <definedName name="_73__123Graph_AChart_3" localSheetId="39" hidden="1">[5]生人台帳!#REF!</definedName>
    <definedName name="_73__123Graph_AChart_3" localSheetId="38" hidden="1">[5]生人台帳!#REF!</definedName>
    <definedName name="_73__123Graph_AChart_3" localSheetId="37" hidden="1">[5]生人台帳!#REF!</definedName>
    <definedName name="_73__123Graph_AChart_3" hidden="1">[5]生人台帳!#REF!</definedName>
    <definedName name="_87__123Graph_AChart_4" hidden="1">[5]生人台帳!#REF!</definedName>
    <definedName name="_dan1" localSheetId="0" hidden="1">{#N/A,#N/A,FALSE,"估價單  (3)"}</definedName>
    <definedName name="_dan1" hidden="1">{#N/A,#N/A,FALSE,"估價單  (3)"}</definedName>
    <definedName name="_dan2" localSheetId="0" hidden="1">{#N/A,#N/A,FALSE,"估價單  (3)"}</definedName>
    <definedName name="_dan2" hidden="1">{#N/A,#N/A,FALSE,"估價單  (3)"}</definedName>
    <definedName name="_Fill" localSheetId="39" hidden="1">[1]eqpmad2!#REF!</definedName>
    <definedName name="_Fill" localSheetId="38" hidden="1">[1]eqpmad2!#REF!</definedName>
    <definedName name="_Fill" localSheetId="37" hidden="1">[1]eqpmad2!#REF!</definedName>
    <definedName name="_Fill" hidden="1">[1]eqpmad2!#REF!</definedName>
    <definedName name="_xlnm._FilterDatabase" localSheetId="39" hidden="1">#REF!</definedName>
    <definedName name="_xlnm._FilterDatabase" localSheetId="38" hidden="1">#REF!</definedName>
    <definedName name="_xlnm._FilterDatabase" localSheetId="37" hidden="1">#REF!</definedName>
    <definedName name="_xlnm._FilterDatabase" hidden="1">#REF!</definedName>
    <definedName name="_gfs1" localSheetId="0" hidden="1">{#N/A,#N/A,FALSE,"估價單  (3)"}</definedName>
    <definedName name="_gfs1" hidden="1">{#N/A,#N/A,FALSE,"估價單  (3)"}</definedName>
    <definedName name="_Key1" localSheetId="39" hidden="1">#REF!</definedName>
    <definedName name="_Key1" localSheetId="38" hidden="1">#REF!</definedName>
    <definedName name="_Key1" localSheetId="37" hidden="1">#REF!</definedName>
    <definedName name="_Key1" hidden="1">#REF!</definedName>
    <definedName name="_key2" localSheetId="39" hidden="1">#REF!</definedName>
    <definedName name="_key2" localSheetId="38" hidden="1">#REF!</definedName>
    <definedName name="_key2" localSheetId="37" hidden="1">#REF!</definedName>
    <definedName name="_key2" hidden="1">#REF!</definedName>
    <definedName name="_LC0723" localSheetId="39" hidden="1">{"'门'!$A$4:$H$28"}</definedName>
    <definedName name="_LC0723" localSheetId="38" hidden="1">{"'门'!$A$4:$H$28"}</definedName>
    <definedName name="_LC0723" localSheetId="37" hidden="1">{"'门'!$A$4:$H$28"}</definedName>
    <definedName name="_LC0723" localSheetId="0" hidden="1">{"'门'!$A$4:$H$28"}</definedName>
    <definedName name="_LC0723" hidden="1">{"'门'!$A$4:$H$28"}</definedName>
    <definedName name="_MLC4234" localSheetId="39" hidden="1">{"'门'!$A$4:$H$28"}</definedName>
    <definedName name="_MLC4234" localSheetId="38" hidden="1">{"'门'!$A$4:$H$28"}</definedName>
    <definedName name="_MLC4234" localSheetId="37" hidden="1">{"'门'!$A$4:$H$28"}</definedName>
    <definedName name="_MLC4234" localSheetId="0" hidden="1">{"'门'!$A$4:$H$28"}</definedName>
    <definedName name="_MLC4234" hidden="1">{"'门'!$A$4:$H$28"}</definedName>
    <definedName name="_ngk1109" localSheetId="39" hidden="1">{#N/A,#N/A,FALSE,"估價單  (3)"}</definedName>
    <definedName name="_ngk1109" localSheetId="38" hidden="1">{#N/A,#N/A,FALSE,"估價單  (3)"}</definedName>
    <definedName name="_ngk1109" localSheetId="37" hidden="1">{#N/A,#N/A,FALSE,"估價單  (3)"}</definedName>
    <definedName name="_ngk1109" localSheetId="0" hidden="1">{#N/A,#N/A,FALSE,"估價單  (3)"}</definedName>
    <definedName name="_ngk1109" hidden="1">{#N/A,#N/A,FALSE,"估價單  (3)"}</definedName>
    <definedName name="_ngk1109_1" localSheetId="39" hidden="1">{#N/A,#N/A,FALSE,"估價單  (3)"}</definedName>
    <definedName name="_ngk1109_1" localSheetId="38" hidden="1">{#N/A,#N/A,FALSE,"估價單  (3)"}</definedName>
    <definedName name="_ngk1109_1" localSheetId="37" hidden="1">{#N/A,#N/A,FALSE,"估價單  (3)"}</definedName>
    <definedName name="_ngk1109_1" localSheetId="0" hidden="1">{#N/A,#N/A,FALSE,"估價單  (3)"}</definedName>
    <definedName name="_ngk1109_1" hidden="1">{#N/A,#N/A,FALSE,"估價單  (3)"}</definedName>
    <definedName name="_Order1" hidden="1">255</definedName>
    <definedName name="_Order2" hidden="1">255</definedName>
    <definedName name="_SDWSF" hidden="1">[1]eqpmad2!#REF!</definedName>
    <definedName name="_Sort" localSheetId="39" hidden="1">#REF!</definedName>
    <definedName name="_Sort" localSheetId="38" hidden="1">#REF!</definedName>
    <definedName name="_Sort" localSheetId="37" hidden="1">#REF!</definedName>
    <definedName name="_Sort" hidden="1">#REF!</definedName>
    <definedName name="_Table1_In1" localSheetId="39" hidden="1">#REF!</definedName>
    <definedName name="_Table1_In1" localSheetId="38" hidden="1">#REF!</definedName>
    <definedName name="_Table1_In1" localSheetId="37" hidden="1">#REF!</definedName>
    <definedName name="_Table1_In1" hidden="1">#REF!</definedName>
    <definedName name="_Table1_Out" localSheetId="39" hidden="1">#REF!</definedName>
    <definedName name="_Table1_Out" localSheetId="38" hidden="1">#REF!</definedName>
    <definedName name="_Table1_Out" localSheetId="37" hidden="1">#REF!</definedName>
    <definedName name="_Table1_Out" hidden="1">#REF!</definedName>
    <definedName name="_WJSJDCV" localSheetId="39" hidden="1">[1]eqpmad2!#REF!</definedName>
    <definedName name="_WJSJDCV" localSheetId="38" hidden="1">[1]eqpmad2!#REF!</definedName>
    <definedName name="_WJSJDCV" localSheetId="37" hidden="1">[1]eqpmad2!#REF!</definedName>
    <definedName name="_WJSJDCV" hidden="1">[1]eqpmad2!#REF!</definedName>
    <definedName name="_xlcn.WorksheetConnection_明细_1楼Y2AB41" localSheetId="39" hidden="1">'[6]明细_23#楼'!#REF!</definedName>
    <definedName name="_xlcn.WorksheetConnection_明细_1楼Y2AB41" localSheetId="38" hidden="1">'[6]明细_23#楼'!#REF!</definedName>
    <definedName name="_xlcn.WorksheetConnection_明细_1楼Y2AB41" localSheetId="37" hidden="1">'[6]明细_23#楼'!#REF!</definedName>
    <definedName name="_xlcn.WorksheetConnection_明细_1楼Y2AB41" hidden="1">'[6]明细_23#楼'!#REF!</definedName>
    <definedName name="——000" localSheetId="39" hidden="1">#REF!</definedName>
    <definedName name="——000" localSheetId="38" hidden="1">#REF!</definedName>
    <definedName name="——000" localSheetId="37" hidden="1">#REF!</definedName>
    <definedName name="——000" hidden="1">#REF!</definedName>
    <definedName name="a" hidden="1">[1]eqpmad2!#REF!</definedName>
    <definedName name="A_KDEJJV" localSheetId="39" hidden="1">#REF!</definedName>
    <definedName name="A_KDEJJV" localSheetId="38" hidden="1">#REF!</definedName>
    <definedName name="A_KDEJJV" localSheetId="37" hidden="1">#REF!</definedName>
    <definedName name="A_KDEJJV" hidden="1">#REF!</definedName>
    <definedName name="aa_" hidden="1">#REF!</definedName>
    <definedName name="AAA_123" hidden="1">#REF!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bc" localSheetId="39" hidden="1">{#N/A,#N/A,FALSE,"估價單  (3)"}</definedName>
    <definedName name="abc" localSheetId="38" hidden="1">{#N/A,#N/A,FALSE,"估價單  (3)"}</definedName>
    <definedName name="abc" localSheetId="37" hidden="1">{#N/A,#N/A,FALSE,"估價單  (3)"}</definedName>
    <definedName name="abc" localSheetId="0" hidden="1">{#N/A,#N/A,FALSE,"估價單  (3)"}</definedName>
    <definedName name="abc" hidden="1">{#N/A,#N/A,FALSE,"估價單  (3)"}</definedName>
    <definedName name="ABCD" localSheetId="39" hidden="1">{#N/A,#N/A,FALSE,"估價單  (3)"}</definedName>
    <definedName name="ABCD" localSheetId="38" hidden="1">{#N/A,#N/A,FALSE,"估價單  (3)"}</definedName>
    <definedName name="ABCD" localSheetId="37" hidden="1">{#N/A,#N/A,FALSE,"估價單  (3)"}</definedName>
    <definedName name="ABCD" localSheetId="0" hidden="1">{#N/A,#N/A,FALSE,"估價單  (3)"}</definedName>
    <definedName name="ABCD" hidden="1">{#N/A,#N/A,FALSE,"估價單  (3)"}</definedName>
    <definedName name="ABCDF" localSheetId="39" hidden="1">{#N/A,#N/A,FALSE,"估價單  (3)"}</definedName>
    <definedName name="ABCDF" localSheetId="38" hidden="1">{#N/A,#N/A,FALSE,"估價單  (3)"}</definedName>
    <definedName name="ABCDF" localSheetId="37" hidden="1">{#N/A,#N/A,FALSE,"估價單  (3)"}</definedName>
    <definedName name="ABCDF" localSheetId="0" hidden="1">{#N/A,#N/A,FALSE,"估價單  (3)"}</definedName>
    <definedName name="ABCDF" hidden="1">{#N/A,#N/A,FALSE,"估價單  (3)"}</definedName>
    <definedName name="AccessDatabase" hidden="1">"D:\我的私人文件\预算自动化 (2).mdb"</definedName>
    <definedName name="ads" localSheetId="39" hidden="1">{#N/A,#N/A,FALSE,"Aging Summary";#N/A,#N/A,FALSE,"Ratio Analysis";#N/A,#N/A,FALSE,"Test 120 Day Accts";#N/A,#N/A,FALSE,"Tickmarks"}</definedName>
    <definedName name="ads" localSheetId="38" hidden="1">{#N/A,#N/A,FALSE,"Aging Summary";#N/A,#N/A,FALSE,"Ratio Analysis";#N/A,#N/A,FALSE,"Test 120 Day Accts";#N/A,#N/A,FALSE,"Tickmarks"}</definedName>
    <definedName name="ads" localSheetId="37" hidden="1">{#N/A,#N/A,FALSE,"Aging Summary";#N/A,#N/A,FALSE,"Ratio Analysis";#N/A,#N/A,FALSE,"Test 120 Day Accts";#N/A,#N/A,FALSE,"Tickmarks"}</definedName>
    <definedName name="ads" localSheetId="0" hidden="1">{#N/A,#N/A,FALSE,"Aging Summary";#N/A,#N/A,FALSE,"Ratio Analysis";#N/A,#N/A,FALSE,"Test 120 Day Accts";#N/A,#N/A,FALSE,"Tickmarks"}</definedName>
    <definedName name="ads" hidden="1">{#N/A,#N/A,FALSE,"Aging Summary";#N/A,#N/A,FALSE,"Ratio Analysis";#N/A,#N/A,FALSE,"Test 120 Day Accts";#N/A,#N/A,FALSE,"Tickmarks"}</definedName>
    <definedName name="AS2DocOpenMode" hidden="1">"AS2DocumentEdit"</definedName>
    <definedName name="AS2NamedRange" hidden="1">15</definedName>
    <definedName name="AS2ReportLS" hidden="1">2</definedName>
    <definedName name="AS2SyncStepLS" hidden="1">3</definedName>
    <definedName name="AS2VersionLS" hidden="1">220</definedName>
    <definedName name="asd" localSheetId="0" hidden="1">{#N/A,#N/A,FALSE,"Aging Summary";#N/A,#N/A,FALSE,"Ratio Analysis";#N/A,#N/A,FALSE,"Test 120 Day Accts";#N/A,#N/A,FALSE,"Tickmarks"}</definedName>
    <definedName name="asd" hidden="1">{#N/A,#N/A,FALSE,"Aging Summary";#N/A,#N/A,FALSE,"Ratio Analysis";#N/A,#N/A,FALSE,"Test 120 Day Accts";#N/A,#N/A,FALSE,"Tickmarks"}</definedName>
    <definedName name="asdfgh" hidden="1">#REF!</definedName>
    <definedName name="asdflkjasd" localSheetId="39" hidden="1">{#N/A,#N/A,FALSE,"Aging Summary";#N/A,#N/A,FALSE,"Ratio Analysis";#N/A,#N/A,FALSE,"Test 120 Day Accts";#N/A,#N/A,FALSE,"Tickmarks"}</definedName>
    <definedName name="asdflkjasd" localSheetId="38" hidden="1">{#N/A,#N/A,FALSE,"Aging Summary";#N/A,#N/A,FALSE,"Ratio Analysis";#N/A,#N/A,FALSE,"Test 120 Day Accts";#N/A,#N/A,FALSE,"Tickmarks"}</definedName>
    <definedName name="asdflkjasd" localSheetId="37" hidden="1">{#N/A,#N/A,FALSE,"Aging Summary";#N/A,#N/A,FALSE,"Ratio Analysis";#N/A,#N/A,FALSE,"Test 120 Day Accts";#N/A,#N/A,FALSE,"Tickmarks"}</definedName>
    <definedName name="asdflkjasd" localSheetId="0" hidden="1">{#N/A,#N/A,FALSE,"Aging Summary";#N/A,#N/A,FALSE,"Ratio Analysis";#N/A,#N/A,FALSE,"Test 120 Day Accts";#N/A,#N/A,FALSE,"Tickmarks"}</definedName>
    <definedName name="asdflkjasd" hidden="1">{#N/A,#N/A,FALSE,"Aging Summary";#N/A,#N/A,FALSE,"Ratio Analysis";#N/A,#N/A,FALSE,"Test 120 Day Accts";#N/A,#N/A,FALSE,"Tickmarks"}</definedName>
    <definedName name="asdsaf" localSheetId="0" hidden="1">{#N/A,#N/A,FALSE,"Aging Summary";#N/A,#N/A,FALSE,"Ratio Analysis";#N/A,#N/A,FALSE,"Test 120 Day Accts";#N/A,#N/A,FALSE,"Tickmarks"}</definedName>
    <definedName name="asdsaf" hidden="1">{#N/A,#N/A,FALSE,"Aging Summary";#N/A,#N/A,FALSE,"Ratio Analysis";#N/A,#N/A,FALSE,"Test 120 Day Accts";#N/A,#N/A,FALSE,"Tickmarks"}</definedName>
    <definedName name="Ass" localSheetId="39" hidden="1">{"'现金流量表（全部投资）'!$B$4:$P$23"}</definedName>
    <definedName name="Ass" localSheetId="38" hidden="1">{"'现金流量表（全部投资）'!$B$4:$P$23"}</definedName>
    <definedName name="Ass" localSheetId="37" hidden="1">{"'现金流量表（全部投资）'!$B$4:$P$23"}</definedName>
    <definedName name="Ass" localSheetId="0" hidden="1">{"'现金流量表（全部投资）'!$B$4:$P$23"}</definedName>
    <definedName name="Ass" hidden="1">{"'现金流量表（全部投资）'!$B$4:$P$23"}</definedName>
    <definedName name="ax" localSheetId="0" hidden="1">{#N/A,#N/A,FALSE,"Aging Summary";#N/A,#N/A,FALSE,"Ratio Analysis";#N/A,#N/A,FALSE,"Test 120 Day Accts";#N/A,#N/A,FALSE,"Tickmarks"}</definedName>
    <definedName name="ax" hidden="1">{#N/A,#N/A,FALSE,"Aging Summary";#N/A,#N/A,FALSE,"Ratio Analysis";#N/A,#N/A,FALSE,"Test 120 Day Accts";#N/A,#N/A,FALSE,"Tickmarks"}</definedName>
    <definedName name="BQ" localSheetId="0" hidden="1">{#N/A,#N/A,FALSE,"估價單  (3)"}</definedName>
    <definedName name="BQ" hidden="1">{#N/A,#N/A,FALSE,"估價單  (3)"}</definedName>
    <definedName name="cccc" localSheetId="0" hidden="1">{#N/A,#N/A,FALSE,"估價單  (3)"}</definedName>
    <definedName name="cccc" hidden="1">{#N/A,#N/A,FALSE,"估價單  (3)"}</definedName>
    <definedName name="dan" localSheetId="0" hidden="1">{#N/A,#N/A,FALSE,"估價單  (3)"}</definedName>
    <definedName name="dan" hidden="1">{#N/A,#N/A,FALSE,"估價單  (3)"}</definedName>
    <definedName name="_xlnm.Database" localSheetId="39" hidden="1">'[7]#REF!'!$A$2:$C$18</definedName>
    <definedName name="_xlnm.Database" localSheetId="38" hidden="1">'[7]#REF!'!$A$2:$C$18</definedName>
    <definedName name="_xlnm.Database" localSheetId="37" hidden="1">'[7]#REF!'!$A$2:$C$18</definedName>
    <definedName name="_xlnm.Database" hidden="1">#REF!</definedName>
    <definedName name="ddd" localSheetId="39" hidden="1">{"'现金流量表（全部投资）'!$B$4:$P$23"}</definedName>
    <definedName name="ddd" localSheetId="38" hidden="1">{"'现金流量表（全部投资）'!$B$4:$P$23"}</definedName>
    <definedName name="ddd" localSheetId="37" hidden="1">{"'现金流量表（全部投资）'!$B$4:$P$23"}</definedName>
    <definedName name="ddd" localSheetId="0" hidden="1">{"'现金流量表（全部投资）'!$B$4:$P$23"}</definedName>
    <definedName name="ddd" hidden="1">{"'现金流量表（全部投资）'!$B$4:$P$23"}</definedName>
    <definedName name="ddsdss" localSheetId="39" hidden="1">#REF!</definedName>
    <definedName name="ddsdss" localSheetId="38" hidden="1">#REF!</definedName>
    <definedName name="ddsdss" localSheetId="37" hidden="1">#REF!</definedName>
    <definedName name="ddsdss" hidden="1">#REF!</definedName>
    <definedName name="DDU总价" localSheetId="0" hidden="1">{#N/A,#N/A,FALSE,"估價單  (3)"}</definedName>
    <definedName name="DDU总价" hidden="1">{#N/A,#N/A,FALSE,"估價單  (3)"}</definedName>
    <definedName name="def" localSheetId="0" hidden="1">{#N/A,#N/A,FALSE,"估價單  (3)"}</definedName>
    <definedName name="def" hidden="1">{#N/A,#N/A,FALSE,"估價單  (3)"}</definedName>
    <definedName name="df" localSheetId="39" hidden="1">{#N/A,#N/A,FALSE,"估價單  (3)"}</definedName>
    <definedName name="df" localSheetId="38" hidden="1">{#N/A,#N/A,FALSE,"估價單  (3)"}</definedName>
    <definedName name="df" localSheetId="37" hidden="1">{#N/A,#N/A,FALSE,"估價單  (3)"}</definedName>
    <definedName name="df" localSheetId="0" hidden="1">{#N/A,#N/A,FALSE,"估價單  (3)"}</definedName>
    <definedName name="df" hidden="1">{#N/A,#N/A,FALSE,"估價單  (3)"}</definedName>
    <definedName name="df_1" localSheetId="39" hidden="1">{#N/A,#N/A,FALSE,"估價單  (3)"}</definedName>
    <definedName name="df_1" localSheetId="38" hidden="1">{#N/A,#N/A,FALSE,"估價單  (3)"}</definedName>
    <definedName name="df_1" localSheetId="37" hidden="1">{#N/A,#N/A,FALSE,"估價單  (3)"}</definedName>
    <definedName name="df_1" localSheetId="0" hidden="1">{#N/A,#N/A,FALSE,"估價單  (3)"}</definedName>
    <definedName name="df_1" hidden="1">{#N/A,#N/A,FALSE,"估價單  (3)"}</definedName>
    <definedName name="dss" hidden="1">#N/A</definedName>
    <definedName name="eer" localSheetId="39" hidden="1">{"'现金流量表（全部投资）'!$B$4:$P$23"}</definedName>
    <definedName name="eer" localSheetId="38" hidden="1">{"'现金流量表（全部投资）'!$B$4:$P$23"}</definedName>
    <definedName name="eer" localSheetId="37" hidden="1">{"'现金流量表（全部投资）'!$B$4:$P$23"}</definedName>
    <definedName name="eer" localSheetId="0" hidden="1">{"'现金流量表（全部投资）'!$B$4:$P$23"}</definedName>
    <definedName name="eer" hidden="1">{"'现金流量表（全部投资）'!$B$4:$P$23"}</definedName>
    <definedName name="ei" localSheetId="39" hidden="1">{#N/A,#N/A,FALSE,"估價單  (3)"}</definedName>
    <definedName name="ei" localSheetId="38" hidden="1">{#N/A,#N/A,FALSE,"估價單  (3)"}</definedName>
    <definedName name="ei" localSheetId="37" hidden="1">{#N/A,#N/A,FALSE,"估價單  (3)"}</definedName>
    <definedName name="ei" localSheetId="0" hidden="1">{#N/A,#N/A,FALSE,"估價單  (3)"}</definedName>
    <definedName name="ei" hidden="1">{#N/A,#N/A,FALSE,"估價單  (3)"}</definedName>
    <definedName name="ei_1" localSheetId="39" hidden="1">{#N/A,#N/A,FALSE,"估價單  (3)"}</definedName>
    <definedName name="ei_1" localSheetId="38" hidden="1">{#N/A,#N/A,FALSE,"估價單  (3)"}</definedName>
    <definedName name="ei_1" localSheetId="37" hidden="1">{#N/A,#N/A,FALSE,"估價單  (3)"}</definedName>
    <definedName name="ei_1" localSheetId="0" hidden="1">{#N/A,#N/A,FALSE,"估價單  (3)"}</definedName>
    <definedName name="ei_1" hidden="1">{#N/A,#N/A,FALSE,"估價單  (3)"}</definedName>
    <definedName name="Ele" localSheetId="0" hidden="1">{"'Break down'!$A$4"}</definedName>
    <definedName name="Ele" hidden="1">{"'Break down'!$A$4"}</definedName>
    <definedName name="eri" localSheetId="39" hidden="1">#REF!</definedName>
    <definedName name="eri" localSheetId="38" hidden="1">#REF!</definedName>
    <definedName name="eri" localSheetId="37" hidden="1">#REF!</definedName>
    <definedName name="eri" hidden="1">#REF!</definedName>
    <definedName name="E楼、" localSheetId="39" hidden="1">{"'现金流量表（全部投资）'!$B$4:$P$23"}</definedName>
    <definedName name="E楼、" localSheetId="38" hidden="1">{"'现金流量表（全部投资）'!$B$4:$P$23"}</definedName>
    <definedName name="E楼、" localSheetId="37" hidden="1">{"'现金流量表（全部投资）'!$B$4:$P$23"}</definedName>
    <definedName name="E楼、" localSheetId="0" hidden="1">{"'现金流量表（全部投资）'!$B$4:$P$23"}</definedName>
    <definedName name="E楼、" hidden="1">{"'现金流量表（全部投资）'!$B$4:$P$23"}</definedName>
    <definedName name="fc" hidden="1">'[8]sum(Flooring )'!#REF!</definedName>
    <definedName name="FFGTGVBG" localSheetId="39" hidden="1">#REF!</definedName>
    <definedName name="FFGTGVBG" localSheetId="38" hidden="1">#REF!</definedName>
    <definedName name="FFGTGVBG" localSheetId="37" hidden="1">#REF!</definedName>
    <definedName name="FFGTGVBG" hidden="1">#REF!</definedName>
    <definedName name="FGH" localSheetId="0" hidden="1">{#N/A,#N/A,FALSE,"估價單  (3)"}</definedName>
    <definedName name="FGH" hidden="1">{#N/A,#N/A,FALSE,"估價單  (3)"}</definedName>
    <definedName name="fhu" hidden="1">#REF!</definedName>
    <definedName name="fry" localSheetId="39" hidden="1">{#N/A,#N/A,FALSE,"估價單  (3)"}</definedName>
    <definedName name="fry" localSheetId="38" hidden="1">{#N/A,#N/A,FALSE,"估價單  (3)"}</definedName>
    <definedName name="fry" localSheetId="37" hidden="1">{#N/A,#N/A,FALSE,"估價單  (3)"}</definedName>
    <definedName name="fry" localSheetId="0" hidden="1">{#N/A,#N/A,FALSE,"估價單  (3)"}</definedName>
    <definedName name="fry" hidden="1">{#N/A,#N/A,FALSE,"估價單  (3)"}</definedName>
    <definedName name="fry_1" localSheetId="39" hidden="1">{#N/A,#N/A,FALSE,"估價單  (3)"}</definedName>
    <definedName name="fry_1" localSheetId="38" hidden="1">{#N/A,#N/A,FALSE,"估價單  (3)"}</definedName>
    <definedName name="fry_1" localSheetId="37" hidden="1">{#N/A,#N/A,FALSE,"估價單  (3)"}</definedName>
    <definedName name="fry_1" localSheetId="0" hidden="1">{#N/A,#N/A,FALSE,"估價單  (3)"}</definedName>
    <definedName name="fry_1" hidden="1">{#N/A,#N/A,FALSE,"估價單  (3)"}</definedName>
    <definedName name="gfs" localSheetId="39" hidden="1">{#N/A,#N/A,FALSE,"估價單  (3)"}</definedName>
    <definedName name="gfs" localSheetId="38" hidden="1">{#N/A,#N/A,FALSE,"估價單  (3)"}</definedName>
    <definedName name="gfs" localSheetId="37" hidden="1">{#N/A,#N/A,FALSE,"估價單  (3)"}</definedName>
    <definedName name="gfs" localSheetId="0" hidden="1">{#N/A,#N/A,FALSE,"估價單  (3)"}</definedName>
    <definedName name="gfs" hidden="1">{#N/A,#N/A,FALSE,"估價單  (3)"}</definedName>
    <definedName name="gfs_1" localSheetId="39" hidden="1">{#N/A,#N/A,FALSE,"估價單  (3)"}</definedName>
    <definedName name="gfs_1" localSheetId="38" hidden="1">{#N/A,#N/A,FALSE,"估價單  (3)"}</definedName>
    <definedName name="gfs_1" localSheetId="37" hidden="1">{#N/A,#N/A,FALSE,"估價單  (3)"}</definedName>
    <definedName name="gfs_1" localSheetId="0" hidden="1">{#N/A,#N/A,FALSE,"估價單  (3)"}</definedName>
    <definedName name="gfs_1" hidden="1">{#N/A,#N/A,FALSE,"估價單  (3)"}</definedName>
    <definedName name="hfgh" localSheetId="0" hidden="1">{#N/A,#N/A,FALSE,"估價單  (3)"}</definedName>
    <definedName name="hfgh" hidden="1">{#N/A,#N/A,FALSE,"估價單  (3)"}</definedName>
    <definedName name="HGTGTRYHJ" localSheetId="39" hidden="1">#REF!</definedName>
    <definedName name="HGTGTRYHJ" localSheetId="38" hidden="1">#REF!</definedName>
    <definedName name="HGTGTRYHJ" localSheetId="37" hidden="1">#REF!</definedName>
    <definedName name="HGTGTRYHJ" hidden="1">#REF!</definedName>
    <definedName name="HH" localSheetId="39" hidden="1">'[8]sum(Flooring )'!#REF!</definedName>
    <definedName name="HH" localSheetId="38" hidden="1">'[8]sum(Flooring )'!#REF!</definedName>
    <definedName name="HH" localSheetId="37" hidden="1">'[8]sum(Flooring )'!#REF!</definedName>
    <definedName name="HH" hidden="1">'[8]sum(Flooring )'!#REF!</definedName>
    <definedName name="hhhh" localSheetId="39" hidden="1">#REF!</definedName>
    <definedName name="hhhh" localSheetId="38" hidden="1">#REF!</definedName>
    <definedName name="hhhh" localSheetId="37" hidden="1">#REF!</definedName>
    <definedName name="hhhh" hidden="1">#REF!</definedName>
    <definedName name="HHY" localSheetId="39" hidden="1">'[8]sum(Flooring )'!#REF!</definedName>
    <definedName name="HHY" localSheetId="38" hidden="1">'[8]sum(Flooring )'!#REF!</definedName>
    <definedName name="HHY" localSheetId="37" hidden="1">'[8]sum(Flooring )'!#REF!</definedName>
    <definedName name="HHY" hidden="1">'[8]sum(Flooring )'!#REF!</definedName>
    <definedName name="HTML" localSheetId="39" hidden="1">{"'现金流量表（全部投资）'!$B$4:$P$23"}</definedName>
    <definedName name="HTML" localSheetId="38" hidden="1">{"'现金流量表（全部投资）'!$B$4:$P$23"}</definedName>
    <definedName name="HTML" localSheetId="37" hidden="1">{"'现金流量表（全部投资）'!$B$4:$P$23"}</definedName>
    <definedName name="HTML" localSheetId="0" hidden="1">{"'现金流量表（全部投资）'!$B$4:$P$23"}</definedName>
    <definedName name="HTML" hidden="1">{"'现金流量表（全部投资）'!$B$4:$P$23"}</definedName>
    <definedName name="HTML_CodePage" hidden="1">936</definedName>
    <definedName name="HTML_Control" localSheetId="39" hidden="1">{"'现金流量表（全部投资）'!$B$4:$P$23"}</definedName>
    <definedName name="HTML_Control" localSheetId="38" hidden="1">{"'现金流量表（全部投资）'!$B$4:$P$23"}</definedName>
    <definedName name="HTML_Control" localSheetId="37" hidden="1">{"'现金流量表（全部投资）'!$B$4:$P$23"}</definedName>
    <definedName name="HTML_Control" localSheetId="0" hidden="1">{"'现金流量表（全部投资）'!$B$4:$P$23"}</definedName>
    <definedName name="HTML_Control" hidden="1">{"'现金流量表（全部投资）'!$B$4:$P$23"}</definedName>
    <definedName name="HTML_Description" localSheetId="39" hidden="1">"lin zijian"</definedName>
    <definedName name="HTML_Description" localSheetId="38" hidden="1">"lin zijian"</definedName>
    <definedName name="HTML_Description" localSheetId="37" hidden="1">"lin zijian"</definedName>
    <definedName name="HTML_Description" hidden="1">"lin zijian"</definedName>
    <definedName name="HTML_Email" hidden="1">""</definedName>
    <definedName name="HTML_Header" localSheetId="39" hidden="1">"现金流量表（全部投资）"</definedName>
    <definedName name="HTML_Header" localSheetId="38" hidden="1">"现金流量表（全部投资）"</definedName>
    <definedName name="HTML_Header" localSheetId="37" hidden="1">"现金流量表（全部投资）"</definedName>
    <definedName name="HTML_Header" hidden="1">"现金流量表（全部投资）"</definedName>
    <definedName name="HTML_LastUpdate" localSheetId="39" hidden="1">"96-12-2"</definedName>
    <definedName name="HTML_LastUpdate" localSheetId="38" hidden="1">"96-12-2"</definedName>
    <definedName name="HTML_LastUpdate" localSheetId="37" hidden="1">"96-12-2"</definedName>
    <definedName name="HTML_LastUpdate" hidden="1">"96-12-2"</definedName>
    <definedName name="HTML_LineAfter" localSheetId="39" hidden="1">TRUE</definedName>
    <definedName name="HTML_LineAfter" localSheetId="38" hidden="1">TRUE</definedName>
    <definedName name="HTML_LineAfter" localSheetId="37" hidden="1">TRUE</definedName>
    <definedName name="HTML_LineAfter" hidden="1">TRUE</definedName>
    <definedName name="HTML_LineBefore" localSheetId="39" hidden="1">TRUE</definedName>
    <definedName name="HTML_LineBefore" localSheetId="38" hidden="1">TRUE</definedName>
    <definedName name="HTML_LineBefore" localSheetId="37" hidden="1">TRUE</definedName>
    <definedName name="HTML_LineBefore" hidden="1">TRUE</definedName>
    <definedName name="HTML_Name" localSheetId="39" hidden="1">"linzijia"</definedName>
    <definedName name="HTML_Name" localSheetId="38" hidden="1">"linzijia"</definedName>
    <definedName name="HTML_Name" localSheetId="37" hidden="1">"linzijia"</definedName>
    <definedName name="HTML_Name" hidden="1">"linzijia"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39" hidden="1">"C:\lin\bk\MyHTML.htm"</definedName>
    <definedName name="HTML_PathFile" localSheetId="38" hidden="1">"C:\lin\bk\MyHTML.htm"</definedName>
    <definedName name="HTML_PathFile" localSheetId="37" hidden="1">"C:\lin\bk\MyHTML.htm"</definedName>
    <definedName name="HTML_PathFile" hidden="1">"C:\lin\bk\MyHTML.htm"</definedName>
    <definedName name="HTML_PathTemplate" hidden="1">"C:\My Documents\网.htm"</definedName>
    <definedName name="HTML_Title" localSheetId="39" hidden="1">"PROJECT11"</definedName>
    <definedName name="HTML_Title" localSheetId="38" hidden="1">"PROJECT11"</definedName>
    <definedName name="HTML_Title" localSheetId="37" hidden="1">"PROJECT11"</definedName>
    <definedName name="HTML_Title" hidden="1">"PROJECT11"</definedName>
    <definedName name="HTML1" localSheetId="39" hidden="1">{"'现金流量表（全部投资）'!$B$4:$P$23"}</definedName>
    <definedName name="HTML1" localSheetId="38" hidden="1">{"'现金流量表（全部投资）'!$B$4:$P$23"}</definedName>
    <definedName name="HTML1" localSheetId="37" hidden="1">{"'现金流量表（全部投资）'!$B$4:$P$23"}</definedName>
    <definedName name="HTML1" localSheetId="0" hidden="1">{"'现金流量表（全部投资）'!$B$4:$P$23"}</definedName>
    <definedName name="HTML1" hidden="1">{"'现金流量表（全部投资）'!$B$4:$P$23"}</definedName>
    <definedName name="HTML2" localSheetId="39" hidden="1">{"'现金流量表（全部投资）'!$B$4:$P$23"}</definedName>
    <definedName name="HTML2" localSheetId="38" hidden="1">{"'现金流量表（全部投资）'!$B$4:$P$23"}</definedName>
    <definedName name="HTML2" localSheetId="37" hidden="1">{"'现金流量表（全部投资）'!$B$4:$P$23"}</definedName>
    <definedName name="HTML2" localSheetId="0" hidden="1">{"'现金流量表（全部投资）'!$B$4:$P$23"}</definedName>
    <definedName name="HTML2" hidden="1">{"'现金流量表（全部投资）'!$B$4:$P$23"}</definedName>
    <definedName name="HTML3" localSheetId="39" hidden="1">{"'现金流量表（全部投资）'!$B$4:$P$23"}</definedName>
    <definedName name="HTML3" localSheetId="38" hidden="1">{"'现金流量表（全部投资）'!$B$4:$P$23"}</definedName>
    <definedName name="HTML3" localSheetId="37" hidden="1">{"'现金流量表（全部投资）'!$B$4:$P$23"}</definedName>
    <definedName name="HTML3" localSheetId="0" hidden="1">{"'现金流量表（全部投资）'!$B$4:$P$23"}</definedName>
    <definedName name="HTML3" hidden="1">{"'现金流量表（全部投资）'!$B$4:$P$23"}</definedName>
    <definedName name="HTML4" localSheetId="39" hidden="1">{"'现金流量表（全部投资）'!$B$4:$P$23"}</definedName>
    <definedName name="HTML4" localSheetId="38" hidden="1">{"'现金流量表（全部投资）'!$B$4:$P$23"}</definedName>
    <definedName name="HTML4" localSheetId="37" hidden="1">{"'现金流量表（全部投资）'!$B$4:$P$23"}</definedName>
    <definedName name="HTML4" localSheetId="0" hidden="1">{"'现金流量表（全部投资）'!$B$4:$P$23"}</definedName>
    <definedName name="HTML4" hidden="1">{"'现金流量表（全部投资）'!$B$4:$P$23"}</definedName>
    <definedName name="Hu" hidden="1">'[8]sum(Flooring )'!#REF!</definedName>
    <definedName name="ijj" localSheetId="0" hidden="1">{#N/A,#N/A,FALSE,"估價單  (3)"}</definedName>
    <definedName name="ijj" hidden="1">{#N/A,#N/A,FALSE,"估價單  (3)"}</definedName>
    <definedName name="ip" localSheetId="39" hidden="1">'[9]清单1-裙楼Ea'!#REF!</definedName>
    <definedName name="ip" localSheetId="38" hidden="1">'[9]清单1-裙楼Ea'!#REF!</definedName>
    <definedName name="ip" localSheetId="37" hidden="1">'[9]清单1-裙楼Ea'!#REF!</definedName>
    <definedName name="ip" hidden="1">'[9]清单1-裙楼Ea'!#REF!</definedName>
    <definedName name="JHJUJYUJJJJJJJJJJJJJJJJJJJJJJJJJJ" localSheetId="39" hidden="1">'[10]清单1-裙楼Ea'!#REF!</definedName>
    <definedName name="JHJUJYUJJJJJJJJJJJJJJJJJJJJJJJJJJ" localSheetId="38" hidden="1">'[10]清单1-裙楼Ea'!#REF!</definedName>
    <definedName name="JHJUJYUJJJJJJJJJJJJJJJJJJJJJJJJJJ" localSheetId="37" hidden="1">'[10]清单1-裙楼Ea'!#REF!</definedName>
    <definedName name="JHJUJYUJJJJJJJJJJJJJJJJJJJJJJJJJJ" hidden="1">'[10]清单1-裙楼Ea'!#REF!</definedName>
    <definedName name="js" localSheetId="0" hidden="1">{#N/A,#N/A,FALSE,"估價單  (3)"}</definedName>
    <definedName name="js" hidden="1">{#N/A,#N/A,FALSE,"估價單  (3)"}</definedName>
    <definedName name="kjhh" hidden="1">#REF!</definedName>
    <definedName name="kk" localSheetId="39" hidden="1">[1]eqpmad2!#REF!</definedName>
    <definedName name="kk" localSheetId="38" hidden="1">[1]eqpmad2!#REF!</definedName>
    <definedName name="kk" localSheetId="37" hidden="1">[1]eqpmad2!#REF!</definedName>
    <definedName name="kk" hidden="1">[1]eqpmad2!#REF!</definedName>
    <definedName name="l" localSheetId="39" hidden="1">{"'门'!$A$4:$H$28"}</definedName>
    <definedName name="l" localSheetId="38" hidden="1">{"'门'!$A$4:$H$28"}</definedName>
    <definedName name="l" localSheetId="37" hidden="1">{"'门'!$A$4:$H$28"}</definedName>
    <definedName name="l" localSheetId="0" hidden="1">{"'门'!$A$4:$H$28"}</definedName>
    <definedName name="l" hidden="1">{"'门'!$A$4:$H$28"}</definedName>
    <definedName name="LM" localSheetId="39" hidden="1">{"'现金流量表（全部投资）'!$B$4:$P$23"}</definedName>
    <definedName name="LM" localSheetId="38" hidden="1">{"'现金流量表（全部投资）'!$B$4:$P$23"}</definedName>
    <definedName name="LM" localSheetId="37" hidden="1">{"'现金流量表（全部投资）'!$B$4:$P$23"}</definedName>
    <definedName name="LM" localSheetId="0" hidden="1">{"'现金流量表（全部投资）'!$B$4:$P$23"}</definedName>
    <definedName name="LM" hidden="1">{"'现金流量表（全部投资）'!$B$4:$P$23"}</definedName>
    <definedName name="LV" localSheetId="0" hidden="1">{#N/A,#N/A,FALSE,"估價單  (3)"}</definedName>
    <definedName name="LV" hidden="1">{#N/A,#N/A,FALSE,"估價單  (3)"}</definedName>
    <definedName name="lvhua" localSheetId="39" hidden="1">#REF!</definedName>
    <definedName name="lvhua" localSheetId="38" hidden="1">#REF!</definedName>
    <definedName name="lvhua" localSheetId="37" hidden="1">#REF!</definedName>
    <definedName name="lvhua" hidden="1">#REF!</definedName>
    <definedName name="NGK" localSheetId="39" hidden="1">{#N/A,#N/A,FALSE,"估價單  (3)"}</definedName>
    <definedName name="NGK" localSheetId="38" hidden="1">{#N/A,#N/A,FALSE,"估價單  (3)"}</definedName>
    <definedName name="NGK" localSheetId="37" hidden="1">{#N/A,#N/A,FALSE,"估價單  (3)"}</definedName>
    <definedName name="NGK" localSheetId="0" hidden="1">{#N/A,#N/A,FALSE,"估價單  (3)"}</definedName>
    <definedName name="NGK" hidden="1">{#N/A,#N/A,FALSE,"估價單  (3)"}</definedName>
    <definedName name="NGK_1" localSheetId="39" hidden="1">{#N/A,#N/A,FALSE,"估價單  (3)"}</definedName>
    <definedName name="NGK_1" localSheetId="38" hidden="1">{#N/A,#N/A,FALSE,"估價單  (3)"}</definedName>
    <definedName name="NGK_1" localSheetId="37" hidden="1">{#N/A,#N/A,FALSE,"估價單  (3)"}</definedName>
    <definedName name="NGK_1" localSheetId="0" hidden="1">{#N/A,#N/A,FALSE,"估價單  (3)"}</definedName>
    <definedName name="NGK_1" hidden="1">{#N/A,#N/A,FALSE,"估價單  (3)"}</definedName>
    <definedName name="POIUHB" hidden="1">[11]XLR_NoRangeSheet!$B$6</definedName>
    <definedName name="POIUHB2" localSheetId="39" hidden="1">[12]XLR_NoRangeSheet!$B$6</definedName>
    <definedName name="POIUHB2" localSheetId="38" hidden="1">[12]XLR_NoRangeSheet!$B$6</definedName>
    <definedName name="POIUHB2" localSheetId="37" hidden="1">[12]XLR_NoRangeSheet!$B$6</definedName>
    <definedName name="POIUHB2" hidden="1">[12]XLR_NoRangeSheet!$B$6</definedName>
    <definedName name="pp" localSheetId="39" hidden="1">#REF!</definedName>
    <definedName name="pp" localSheetId="38" hidden="1">#REF!</definedName>
    <definedName name="pp" localSheetId="37" hidden="1">#REF!</definedName>
    <definedName name="pp" hidden="1">#REF!</definedName>
    <definedName name="_xlnm.Print_Area" localSheetId="31">'C0410'!$O$368:$V$393</definedName>
    <definedName name="_xlnm.Print_Area" localSheetId="11">'C1014'!$O$368:$V$393</definedName>
    <definedName name="_xlnm.Print_Area" localSheetId="12">'C1117'!$O$368:$V$393</definedName>
    <definedName name="_xlnm.Print_Area" localSheetId="13">'C1122'!$O$368:$V$393</definedName>
    <definedName name="_xlnm.Print_Area" localSheetId="29">'C1127'!$O$368:$V$393</definedName>
    <definedName name="_xlnm.Print_Area" localSheetId="14">'C1417'!$O$368:$V$393</definedName>
    <definedName name="_xlnm.Print_Area" localSheetId="23">'C2327'!$O$368:$V$393</definedName>
    <definedName name="_xlnm.Print_Area" localSheetId="21">'C2330'!$O$368:$V$393</definedName>
    <definedName name="_xlnm.Print_Area" localSheetId="15">'C2430'!$O$368:$V$393</definedName>
    <definedName name="_xlnm.Print_Area" localSheetId="16">'C2735-G'!$O$368:$V$393</definedName>
    <definedName name="_xlnm.Print_Area" localSheetId="30">'GC2006'!$O$368:$V$393</definedName>
    <definedName name="_xlnm.Print_Area" localSheetId="32">'GDC1212'!$O$368:$V$393</definedName>
    <definedName name="_xlnm.Print_Area" localSheetId="22">'GDC2338'!$O$368:$V$393</definedName>
    <definedName name="_xlnm.Print_Area" localSheetId="33">'GSM7838'!$O$368:$V$393</definedName>
    <definedName name="_xlnm.Print_Area" localSheetId="19">'MLC2030'!$O$368:$V$393</definedName>
    <definedName name="_xlnm.Print_Area" localSheetId="27">'MLC2124'!$O$368:$V$393</definedName>
    <definedName name="_xlnm.Print_Area" localSheetId="24">'MLC2324'!$O$368:$V$393</definedName>
    <definedName name="_xlnm.Print_Area" localSheetId="28">MLC2324A!$O$368:$V$393</definedName>
    <definedName name="_xlnm.Print_Area" localSheetId="20">'MLC2522'!$O$368:$V$393</definedName>
    <definedName name="_xlnm.Print_Area" localSheetId="10">'WM1127'!$O$368:$V$393</definedName>
    <definedName name="_xlnm.Print_Area" localSheetId="25">'WM1325'!$O$368:$V$393</definedName>
    <definedName name="_xlnm.Print_Area" localSheetId="18">'WM2038'!$O$368:$V$393</definedName>
    <definedName name="_xlnm.Print_Area" localSheetId="26">'WM2338'!$O$368:$V$393</definedName>
    <definedName name="_xlnm.Print_Area" localSheetId="17">WMLC2730!$O$368:$V$393</definedName>
    <definedName name="_xlnm.Print_Area" localSheetId="36">套窗!$O$368:$V$393</definedName>
    <definedName name="_xlnm.Print_Area" localSheetId="34">套门!$O$368:$V$393</definedName>
    <definedName name="_xlnm.Print_Area" localSheetId="35">'套门 (2)'!$O$368:$V$393</definedName>
    <definedName name="_xlnm.Print_Titles" hidden="1">#REF!</definedName>
    <definedName name="q" localSheetId="39" hidden="1">[13]XLR_NoRangeSheet!$B$6</definedName>
    <definedName name="q" localSheetId="38" hidden="1">[13]XLR_NoRangeSheet!$B$6</definedName>
    <definedName name="q" localSheetId="37" hidden="1">[13]XLR_NoRangeSheet!$B$6</definedName>
    <definedName name="q" hidden="1">[14]XLR_NoRangeSheet!$B$6</definedName>
    <definedName name="qqqq" localSheetId="39" hidden="1">{"'现金流量表（全部投资）'!$B$4:$P$23"}</definedName>
    <definedName name="qqqq" localSheetId="38" hidden="1">{"'现金流量表（全部投资）'!$B$4:$P$23"}</definedName>
    <definedName name="qqqq" localSheetId="37" hidden="1">{"'现金流量表（全部投资）'!$B$4:$P$23"}</definedName>
    <definedName name="qqqq" localSheetId="0" hidden="1">{"'现金流量表（全部投资）'!$B$4:$P$23"}</definedName>
    <definedName name="qqqq" hidden="1">{"'现金流量表（全部投资）'!$B$4:$P$23"}</definedName>
    <definedName name="Recorder" localSheetId="39" hidden="1">#REF!</definedName>
    <definedName name="Recorder" localSheetId="38" hidden="1">#REF!</definedName>
    <definedName name="Recorder" localSheetId="37" hidden="1">#REF!</definedName>
    <definedName name="Recorder" hidden="1">#REF!</definedName>
    <definedName name="reee" localSheetId="39" hidden="1">{#N/A,#N/A,FALSE,"Aging Summary";#N/A,#N/A,FALSE,"Ratio Analysis";#N/A,#N/A,FALSE,"Test 120 Day Accts";#N/A,#N/A,FALSE,"Tickmarks"}</definedName>
    <definedName name="reee" localSheetId="38" hidden="1">{#N/A,#N/A,FALSE,"Aging Summary";#N/A,#N/A,FALSE,"Ratio Analysis";#N/A,#N/A,FALSE,"Test 120 Day Accts";#N/A,#N/A,FALSE,"Tickmarks"}</definedName>
    <definedName name="reee" localSheetId="37" hidden="1">{#N/A,#N/A,FALSE,"Aging Summary";#N/A,#N/A,FALSE,"Ratio Analysis";#N/A,#N/A,FALSE,"Test 120 Day Accts";#N/A,#N/A,FALSE,"Tickmarks"}</definedName>
    <definedName name="reee" localSheetId="0" hidden="1">{#N/A,#N/A,FALSE,"Aging Summary";#N/A,#N/A,FALSE,"Ratio Analysis";#N/A,#N/A,FALSE,"Test 120 Day Accts";#N/A,#N/A,FALSE,"Tickmarks"}</definedName>
    <definedName name="reee" hidden="1">{#N/A,#N/A,FALSE,"Aging Summary";#N/A,#N/A,FALSE,"Ratio Analysis";#N/A,#N/A,FALSE,"Test 120 Day Accts";#N/A,#N/A,FALSE,"Tickmarks"}</definedName>
    <definedName name="rehtrhtrhtr" localSheetId="39" hidden="1">{#N/A,#N/A,FALSE,"Aging Summary";#N/A,#N/A,FALSE,"Ratio Analysis";#N/A,#N/A,FALSE,"Test 120 Day Accts";#N/A,#N/A,FALSE,"Tickmarks"}</definedName>
    <definedName name="rehtrhtrhtr" localSheetId="38" hidden="1">{#N/A,#N/A,FALSE,"Aging Summary";#N/A,#N/A,FALSE,"Ratio Analysis";#N/A,#N/A,FALSE,"Test 120 Day Accts";#N/A,#N/A,FALSE,"Tickmarks"}</definedName>
    <definedName name="rehtrhtrhtr" localSheetId="37" hidden="1">{#N/A,#N/A,FALSE,"Aging Summary";#N/A,#N/A,FALSE,"Ratio Analysis";#N/A,#N/A,FALSE,"Test 120 Day Accts";#N/A,#N/A,FALSE,"Tickmarks"}</definedName>
    <definedName name="rehtrhtrhtr" localSheetId="0" hidden="1">{#N/A,#N/A,FALSE,"Aging Summary";#N/A,#N/A,FALSE,"Ratio Analysis";#N/A,#N/A,FALSE,"Test 120 Day Accts";#N/A,#N/A,FALSE,"Tickmarks"}</definedName>
    <definedName name="rehtrhtrhtr" hidden="1">{#N/A,#N/A,FALSE,"Aging Summary";#N/A,#N/A,FALSE,"Ratio Analysis";#N/A,#N/A,FALSE,"Test 120 Day Accts";#N/A,#N/A,FALSE,"Tickmarks"}</definedName>
    <definedName name="rf" localSheetId="39" hidden="1">#REF!</definedName>
    <definedName name="rf" localSheetId="38" hidden="1">#REF!</definedName>
    <definedName name="rf" localSheetId="37" hidden="1">#REF!</definedName>
    <definedName name="rf" hidden="1">#REF!</definedName>
    <definedName name="rooop" localSheetId="0" hidden="1">{#N/A,#N/A,FALSE,"估價單  (3)"}</definedName>
    <definedName name="rooop" hidden="1">{#N/A,#N/A,FALSE,"估價單  (3)"}</definedName>
    <definedName name="rrewqrf" localSheetId="39" hidden="1">{"'费率表'!$A$1:$N$18"}</definedName>
    <definedName name="rrewqrf" localSheetId="38" hidden="1">{"'费率表'!$A$1:$N$18"}</definedName>
    <definedName name="rrewqrf" localSheetId="37" hidden="1">{"'费率表'!$A$1:$N$18"}</definedName>
    <definedName name="rrewqrf" localSheetId="0" hidden="1">{"'费率表'!$A$1:$N$18"}</definedName>
    <definedName name="rrewqrf" hidden="1">{"'费率表'!$A$1:$N$18"}</definedName>
    <definedName name="sadfasfasdfa" localSheetId="0" hidden="1">{#N/A,#N/A,FALSE,"Aging Summary";#N/A,#N/A,FALSE,"Ratio Analysis";#N/A,#N/A,FALSE,"Test 120 Day Accts";#N/A,#N/A,FALSE,"Tickmarks"}</definedName>
    <definedName name="sadfasfasdfa" hidden="1">{#N/A,#N/A,FALSE,"Aging Summary";#N/A,#N/A,FALSE,"Ratio Analysis";#N/A,#N/A,FALSE,"Test 120 Day Accts";#N/A,#N/A,FALSE,"Tickmarks"}</definedName>
    <definedName name="SAPBEXrevision" hidden="1">4</definedName>
    <definedName name="SAPBEXsysID" hidden="1">"BW1"</definedName>
    <definedName name="SAPBEXwbID" hidden="1">"8DZFG4M4NA6MVVGNLO7J4SRAY"</definedName>
    <definedName name="Scaffolding" localSheetId="0" hidden="1">{"'Break down'!$A$4"}</definedName>
    <definedName name="Scaffolding" hidden="1">{"'Break down'!$A$4"}</definedName>
    <definedName name="sdd" localSheetId="39" hidden="1">{"'现金流量表（全部投资）'!$B$4:$P$23"}</definedName>
    <definedName name="sdd" localSheetId="38" hidden="1">{"'现金流量表（全部投资）'!$B$4:$P$23"}</definedName>
    <definedName name="sdd" localSheetId="37" hidden="1">{"'现金流量表（全部投资）'!$B$4:$P$23"}</definedName>
    <definedName name="sdd" localSheetId="0" hidden="1">{"'现金流量表（全部投资）'!$B$4:$P$23"}</definedName>
    <definedName name="sdd" hidden="1">{"'现金流量表（全部投资）'!$B$4:$P$23"}</definedName>
    <definedName name="SFZZ" localSheetId="39" hidden="1">'[6]明细_23#楼'!#REF!</definedName>
    <definedName name="SFZZ" localSheetId="38" hidden="1">'[6]明细_23#楼'!#REF!</definedName>
    <definedName name="SFZZ" localSheetId="37" hidden="1">'[6]明细_23#楼'!#REF!</definedName>
    <definedName name="SFZZ" hidden="1">'[6]明细_23#楼'!#REF!</definedName>
    <definedName name="sgfrfsgfrg" localSheetId="39" hidden="1">{#N/A,#N/A,FALSE,"Aging Summary";#N/A,#N/A,FALSE,"Ratio Analysis";#N/A,#N/A,FALSE,"Test 120 Day Accts";#N/A,#N/A,FALSE,"Tickmarks"}</definedName>
    <definedName name="sgfrfsgfrg" localSheetId="38" hidden="1">{#N/A,#N/A,FALSE,"Aging Summary";#N/A,#N/A,FALSE,"Ratio Analysis";#N/A,#N/A,FALSE,"Test 120 Day Accts";#N/A,#N/A,FALSE,"Tickmarks"}</definedName>
    <definedName name="sgfrfsgfrg" localSheetId="37" hidden="1">{#N/A,#N/A,FALSE,"Aging Summary";#N/A,#N/A,FALSE,"Ratio Analysis";#N/A,#N/A,FALSE,"Test 120 Day Accts";#N/A,#N/A,FALSE,"Tickmarks"}</definedName>
    <definedName name="sgfrfsgfrg" localSheetId="0" hidden="1">{#N/A,#N/A,FALSE,"Aging Summary";#N/A,#N/A,FALSE,"Ratio Analysis";#N/A,#N/A,FALSE,"Test 120 Day Accts";#N/A,#N/A,FALSE,"Tickmarks"}</definedName>
    <definedName name="sgfrfsgfrg" hidden="1">{#N/A,#N/A,FALSE,"Aging Summary";#N/A,#N/A,FALSE,"Ratio Analysis";#N/A,#N/A,FALSE,"Test 120 Day Accts";#N/A,#N/A,FALSE,"Tickmarks"}</definedName>
    <definedName name="TACS1" localSheetId="39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TACS1" localSheetId="38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TACS1" localSheetId="37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TACS1" localSheetId="0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TACS1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TACS1_1" localSheetId="39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TACS1_1" localSheetId="38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TACS1_1" localSheetId="37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TACS1_1" localSheetId="0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TACS1_1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TACS3" localSheetId="39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TACS3" localSheetId="38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TACS3" localSheetId="37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TACS3" localSheetId="0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TACS3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TACS3_1" localSheetId="39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TACS3_1" localSheetId="38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TACS3_1" localSheetId="37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TACS3_1" localSheetId="0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TACS3_1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temp" localSheetId="0" hidden="1">{"'Break down'!$A$4"}</definedName>
    <definedName name="temp" hidden="1">{"'Break down'!$A$4"}</definedName>
    <definedName name="TextRefCopyRangeCount" hidden="1">92</definedName>
    <definedName name="tmp" localSheetId="0" hidden="1">{"'Break down'!$A$4"}</definedName>
    <definedName name="tmp" hidden="1">{"'Break down'!$A$4"}</definedName>
    <definedName name="totqty" localSheetId="0" hidden="1">{"'Break down'!$A$4"}</definedName>
    <definedName name="totqty" hidden="1">{"'Break down'!$A$4"}</definedName>
    <definedName name="wrn.Aging._.and._.Trend._.Analysis." localSheetId="39" hidden="1">{#N/A,#N/A,FALSE,"Aging Summary";#N/A,#N/A,FALSE,"Ratio Analysis";#N/A,#N/A,FALSE,"Test 120 Day Accts";#N/A,#N/A,FALSE,"Tickmarks"}</definedName>
    <definedName name="wrn.Aging._.and._.Trend._.Analysis." localSheetId="38" hidden="1">{#N/A,#N/A,FALSE,"Aging Summary";#N/A,#N/A,FALSE,"Ratio Analysis";#N/A,#N/A,FALSE,"Test 120 Day Accts";#N/A,#N/A,FALSE,"Tickmarks"}</definedName>
    <definedName name="wrn.Aging._.and._.Trend._.Analysis." localSheetId="37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heets." localSheetId="39" hidden="1">{"Form 2",#N/A,TRUE,"Form2";"Form 3",#N/A,TRUE,"Form3";"Form 4",#N/A,TRUE,"Form4";"Form 5",#N/A,TRUE,"Form5";"Form 7",#N/A,TRUE,"Form7";"Form 8",#N/A,TRUE,"Form8";"Form 10",#N/A,TRUE,"Form10";"Form 11",#N/A,TRUE,"Form11";"Code Form3",#N/A,TRUE,"Code_List"}</definedName>
    <definedName name="wrn.All._.sheets." localSheetId="38" hidden="1">{"Form 2",#N/A,TRUE,"Form2";"Form 3",#N/A,TRUE,"Form3";"Form 4",#N/A,TRUE,"Form4";"Form 5",#N/A,TRUE,"Form5";"Form 7",#N/A,TRUE,"Form7";"Form 8",#N/A,TRUE,"Form8";"Form 10",#N/A,TRUE,"Form10";"Form 11",#N/A,TRUE,"Form11";"Code Form3",#N/A,TRUE,"Code_List"}</definedName>
    <definedName name="wrn.All._.sheets." localSheetId="37" hidden="1">{"Form 2",#N/A,TRUE,"Form2";"Form 3",#N/A,TRUE,"Form3";"Form 4",#N/A,TRUE,"Form4";"Form 5",#N/A,TRUE,"Form5";"Form 7",#N/A,TRUE,"Form7";"Form 8",#N/A,TRUE,"Form8";"Form 10",#N/A,TRUE,"Form10";"Form 11",#N/A,TRUE,"Form11";"Code Form3",#N/A,TRUE,"Code_List"}</definedName>
    <definedName name="wrn.All._.sheets." localSheetId="0" hidden="1">{"Form 2",#N/A,TRUE,"Form2";"Form 3",#N/A,TRUE,"Form3";"Form 4",#N/A,TRUE,"Form4";"Form 5",#N/A,TRUE,"Form5";"Form 7",#N/A,TRUE,"Form7";"Form 8",#N/A,TRUE,"Form8";"Form 10",#N/A,TRUE,"Form10";"Form 11",#N/A,TRUE,"Form11";"Code Form3",#N/A,TRUE,"Code_List"}</definedName>
    <definedName name="wrn.All._.sheets." hidden="1">{"Form 2",#N/A,TRUE,"Form2";"Form 3",#N/A,TRUE,"Form3";"Form 4",#N/A,TRUE,"Form4";"Form 5",#N/A,TRUE,"Form5";"Form 7",#N/A,TRUE,"Form7";"Form 8",#N/A,TRUE,"Form8";"Form 10",#N/A,TRUE,"Form10";"Form 11",#N/A,TRUE,"Form11";"Code Form3",#N/A,TRUE,"Code_List"}</definedName>
    <definedName name="wrn.Coded._.Form._.3._.only." localSheetId="39" hidden="1">{"Code Form3",#N/A,FALSE,"Code_List"}</definedName>
    <definedName name="wrn.Coded._.Form._.3._.only." localSheetId="38" hidden="1">{"Code Form3",#N/A,FALSE,"Code_List"}</definedName>
    <definedName name="wrn.Coded._.Form._.3._.only." localSheetId="37" hidden="1">{"Code Form3",#N/A,FALSE,"Code_List"}</definedName>
    <definedName name="wrn.Coded._.Form._.3._.only." localSheetId="0" hidden="1">{"Code Form3",#N/A,FALSE,"Code_List"}</definedName>
    <definedName name="wrn.Coded._.Form._.3._.only." hidden="1">{"Code Form3",#N/A,FALSE,"Code_List"}</definedName>
    <definedName name="wrn.Form._.10._.only." localSheetId="39" hidden="1">{"Form 10",#N/A,FALSE,"Form10"}</definedName>
    <definedName name="wrn.Form._.10._.only." localSheetId="38" hidden="1">{"Form 10",#N/A,FALSE,"Form10"}</definedName>
    <definedName name="wrn.Form._.10._.only." localSheetId="37" hidden="1">{"Form 10",#N/A,FALSE,"Form10"}</definedName>
    <definedName name="wrn.Form._.10._.only." localSheetId="0" hidden="1">{"Form 10",#N/A,FALSE,"Form10"}</definedName>
    <definedName name="wrn.Form._.10._.only." hidden="1">{"Form 10",#N/A,FALSE,"Form10"}</definedName>
    <definedName name="wrn.Form._.11._.only." localSheetId="39" hidden="1">{"Form 11",#N/A,FALSE,"Form11"}</definedName>
    <definedName name="wrn.Form._.11._.only." localSheetId="38" hidden="1">{"Form 11",#N/A,FALSE,"Form11"}</definedName>
    <definedName name="wrn.Form._.11._.only." localSheetId="37" hidden="1">{"Form 11",#N/A,FALSE,"Form11"}</definedName>
    <definedName name="wrn.Form._.11._.only." localSheetId="0" hidden="1">{"Form 11",#N/A,FALSE,"Form11"}</definedName>
    <definedName name="wrn.Form._.11._.only." hidden="1">{"Form 11",#N/A,FALSE,"Form11"}</definedName>
    <definedName name="wrn.Form._.2._.only." localSheetId="39" hidden="1">{"Form 2",#N/A,FALSE,"Form2"}</definedName>
    <definedName name="wrn.Form._.2._.only." localSheetId="38" hidden="1">{"Form 2",#N/A,FALSE,"Form2"}</definedName>
    <definedName name="wrn.Form._.2._.only." localSheetId="37" hidden="1">{"Form 2",#N/A,FALSE,"Form2"}</definedName>
    <definedName name="wrn.Form._.2._.only." localSheetId="0" hidden="1">{"Form 2",#N/A,FALSE,"Form2"}</definedName>
    <definedName name="wrn.Form._.2._.only." hidden="1">{"Form 2",#N/A,FALSE,"Form2"}</definedName>
    <definedName name="wrn.Form._.3._.only." localSheetId="39" hidden="1">{"Form 3",#N/A,FALSE,"Form3"}</definedName>
    <definedName name="wrn.Form._.3._.only." localSheetId="38" hidden="1">{"Form 3",#N/A,FALSE,"Form3"}</definedName>
    <definedName name="wrn.Form._.3._.only." localSheetId="37" hidden="1">{"Form 3",#N/A,FALSE,"Form3"}</definedName>
    <definedName name="wrn.Form._.3._.only." localSheetId="0" hidden="1">{"Form 3",#N/A,FALSE,"Form3"}</definedName>
    <definedName name="wrn.Form._.3._.only." hidden="1">{"Form 3",#N/A,FALSE,"Form3"}</definedName>
    <definedName name="wrn.Form._.4._.only." localSheetId="39" hidden="1">{"Form 4",#N/A,FALSE,"Form4"}</definedName>
    <definedName name="wrn.Form._.4._.only." localSheetId="38" hidden="1">{"Form 4",#N/A,FALSE,"Form4"}</definedName>
    <definedName name="wrn.Form._.4._.only." localSheetId="37" hidden="1">{"Form 4",#N/A,FALSE,"Form4"}</definedName>
    <definedName name="wrn.Form._.4._.only." localSheetId="0" hidden="1">{"Form 4",#N/A,FALSE,"Form4"}</definedName>
    <definedName name="wrn.Form._.4._.only." hidden="1">{"Form 4",#N/A,FALSE,"Form4"}</definedName>
    <definedName name="wrn.Form._.5._.only." localSheetId="39" hidden="1">{"Form 5",#N/A,FALSE,"Form5"}</definedName>
    <definedName name="wrn.Form._.5._.only." localSheetId="38" hidden="1">{"Form 5",#N/A,FALSE,"Form5"}</definedName>
    <definedName name="wrn.Form._.5._.only." localSheetId="37" hidden="1">{"Form 5",#N/A,FALSE,"Form5"}</definedName>
    <definedName name="wrn.Form._.5._.only." localSheetId="0" hidden="1">{"Form 5",#N/A,FALSE,"Form5"}</definedName>
    <definedName name="wrn.Form._.5._.only." hidden="1">{"Form 5",#N/A,FALSE,"Form5"}</definedName>
    <definedName name="wrn.Form._.7._.only." localSheetId="39" hidden="1">{"Form 7",#N/A,FALSE,"Form7"}</definedName>
    <definedName name="wrn.Form._.7._.only." localSheetId="38" hidden="1">{"Form 7",#N/A,FALSE,"Form7"}</definedName>
    <definedName name="wrn.Form._.7._.only." localSheetId="37" hidden="1">{"Form 7",#N/A,FALSE,"Form7"}</definedName>
    <definedName name="wrn.Form._.7._.only." localSheetId="0" hidden="1">{"Form 7",#N/A,FALSE,"Form7"}</definedName>
    <definedName name="wrn.Form._.7._.only." hidden="1">{"Form 7",#N/A,FALSE,"Form7"}</definedName>
    <definedName name="wrn.Form._.8._.only." localSheetId="39" hidden="1">{"Form 8",#N/A,FALSE,"Form8"}</definedName>
    <definedName name="wrn.Form._.8._.only." localSheetId="38" hidden="1">{"Form 8",#N/A,FALSE,"Form8"}</definedName>
    <definedName name="wrn.Form._.8._.only." localSheetId="37" hidden="1">{"Form 8",#N/A,FALSE,"Form8"}</definedName>
    <definedName name="wrn.Form._.8._.only." localSheetId="0" hidden="1">{"Form 8",#N/A,FALSE,"Form8"}</definedName>
    <definedName name="wrn.Form._.8._.only." hidden="1">{"Form 8",#N/A,FALSE,"Form8"}</definedName>
    <definedName name="wrn.output." localSheetId="39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wrn.output." localSheetId="38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wrn.output." localSheetId="37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wrn.output." localSheetId="0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wrn.output.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wrn.output._1" localSheetId="39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wrn.output._1" localSheetId="38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wrn.output._1" localSheetId="37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wrn.output._1" localSheetId="0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wrn.output._1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wrn.TEST." localSheetId="39" hidden="1">{#N/A,#N/A,FALSE,"估價單  (3)"}</definedName>
    <definedName name="wrn.TEST." localSheetId="38" hidden="1">{#N/A,#N/A,FALSE,"估價單  (3)"}</definedName>
    <definedName name="wrn.TEST." localSheetId="37" hidden="1">{#N/A,#N/A,FALSE,"估價單  (3)"}</definedName>
    <definedName name="wrn.TEST." localSheetId="0" hidden="1">{#N/A,#N/A,FALSE,"估價單  (3)"}</definedName>
    <definedName name="wrn.TEST." hidden="1">{#N/A,#N/A,FALSE,"估價單  (3)"}</definedName>
    <definedName name="wrn.TEST._1" localSheetId="39" hidden="1">{#N/A,#N/A,FALSE,"估價單  (3)"}</definedName>
    <definedName name="wrn.TEST._1" localSheetId="38" hidden="1">{#N/A,#N/A,FALSE,"估價單  (3)"}</definedName>
    <definedName name="wrn.TEST._1" localSheetId="37" hidden="1">{#N/A,#N/A,FALSE,"估價單  (3)"}</definedName>
    <definedName name="wrn.TEST._1" localSheetId="0" hidden="1">{#N/A,#N/A,FALSE,"估價單  (3)"}</definedName>
    <definedName name="wrn.TEST._1" hidden="1">{#N/A,#N/A,FALSE,"估價單  (3)"}</definedName>
    <definedName name="wrnfo" localSheetId="39" hidden="1">{"Form 10",#N/A,FALSE,"Form10"}</definedName>
    <definedName name="wrnfo" localSheetId="38" hidden="1">{"Form 10",#N/A,FALSE,"Form10"}</definedName>
    <definedName name="wrnfo" localSheetId="37" hidden="1">{"Form 10",#N/A,FALSE,"Form10"}</definedName>
    <definedName name="wrnfo" localSheetId="0" hidden="1">{"Form 10",#N/A,FALSE,"Form10"}</definedName>
    <definedName name="wrnfo" hidden="1">{"Form 10",#N/A,FALSE,"Form10"}</definedName>
    <definedName name="wu" localSheetId="0" hidden="1">{#N/A,#N/A,FALSE,"估價單  (3)"}</definedName>
    <definedName name="wu" hidden="1">{#N/A,#N/A,FALSE,"估價單  (3)"}</definedName>
    <definedName name="wui" localSheetId="39" hidden="1">{"'现金流量表（全部投资）'!$B$4:$P$23"}</definedName>
    <definedName name="wui" localSheetId="38" hidden="1">{"'现金流量表（全部投资）'!$B$4:$P$23"}</definedName>
    <definedName name="wui" localSheetId="37" hidden="1">{"'现金流量表（全部投资）'!$B$4:$P$23"}</definedName>
    <definedName name="wui" localSheetId="0" hidden="1">{"'现金流量表（全部投资）'!$B$4:$P$23"}</definedName>
    <definedName name="wui" hidden="1">{"'现金流量表（全部投资）'!$B$4:$P$23"}</definedName>
    <definedName name="ww" localSheetId="39" hidden="1">#REF!</definedName>
    <definedName name="ww" localSheetId="38" hidden="1">#REF!</definedName>
    <definedName name="ww" localSheetId="37" hidden="1">#REF!</definedName>
    <definedName name="ww" hidden="1">#REF!</definedName>
    <definedName name="XLRPARAMS_BZSJ" localSheetId="39" hidden="1">#REF!</definedName>
    <definedName name="XLRPARAMS_BZSJ" localSheetId="38" hidden="1">#REF!</definedName>
    <definedName name="XLRPARAMS_BZSJ" localSheetId="37" hidden="1">#REF!</definedName>
    <definedName name="XLRPARAMS_BZSJ" hidden="1">#REF!</definedName>
    <definedName name="XLRPARAMS_DWGC" hidden="1">[15]XLR_NoRangeSheet!$D$6</definedName>
    <definedName name="XLRPARAMS_DWGCMC" hidden="1">[16]XLR_NoRangeSheet!$C$6</definedName>
    <definedName name="XLRPARAMS_FDDBR" localSheetId="39" hidden="1">#REF!</definedName>
    <definedName name="XLRPARAMS_FDDBR" localSheetId="38" hidden="1">#REF!</definedName>
    <definedName name="XLRPARAMS_FDDBR" localSheetId="37" hidden="1">#REF!</definedName>
    <definedName name="XLRPARAMS_FDDBR" hidden="1">#REF!</definedName>
    <definedName name="XLRPARAMS_GCMC" localSheetId="39" hidden="1">[17]XLR_NoRangeSheet!$B$6</definedName>
    <definedName name="XLRPARAMS_GCMC" localSheetId="38" hidden="1">[17]XLR_NoRangeSheet!$B$6</definedName>
    <definedName name="XLRPARAMS_GCMC" localSheetId="37" hidden="1">[17]XLR_NoRangeSheet!$B$6</definedName>
    <definedName name="XLRPARAMS_GCMC" hidden="1">[18]XLR_NoRangeSheet!$B$6</definedName>
    <definedName name="XLRPARAMS_GCMC_" hidden="1">[19]XLR_NoRangeSheet!$B$6</definedName>
    <definedName name="XLRPARAMS_GCMC2" localSheetId="39" hidden="1">[20]XLR_NoRangeSheet!$B$6</definedName>
    <definedName name="XLRPARAMS_GCMC2" localSheetId="38" hidden="1">[20]XLR_NoRangeSheet!$B$6</definedName>
    <definedName name="XLRPARAMS_GCMC2" localSheetId="37" hidden="1">[20]XLR_NoRangeSheet!$B$6</definedName>
    <definedName name="XLRPARAMS_GCMC2" hidden="1">[21]XLR_NoRangeSheet!$B$6</definedName>
    <definedName name="XLRPARAMS_HJ" hidden="1">[15]XLR_NoRangeSheet!$E$6</definedName>
    <definedName name="XLRPARAMS_JSDW" localSheetId="39" hidden="1">[22]XLR_NoRangeSheet!$B$6</definedName>
    <definedName name="XLRPARAMS_JSDW" localSheetId="38" hidden="1">[22]XLR_NoRangeSheet!$B$6</definedName>
    <definedName name="XLRPARAMS_JSDW" localSheetId="37" hidden="1">[22]XLR_NoRangeSheet!$B$6</definedName>
    <definedName name="XLRPARAMS_JSDW" hidden="1">[23]XLR_NoRangeSheet!$B$6</definedName>
    <definedName name="XLRPARAMS_JXHJ" hidden="1">[15]XLR_NoRangeSheet!$G$6</definedName>
    <definedName name="XLRPARAMS_QDH" localSheetId="39" hidden="1">#REF!</definedName>
    <definedName name="XLRPARAMS_QDH" localSheetId="38" hidden="1">#REF!</definedName>
    <definedName name="XLRPARAMS_QDH" localSheetId="37" hidden="1">#REF!</definedName>
    <definedName name="XLRPARAMS_QDH" hidden="1">#REF!</definedName>
    <definedName name="XLRPARAMS_RGHJ" hidden="1">[15]XLR_NoRangeSheet!$F$6</definedName>
    <definedName name="XLRPARAMS_TBR" localSheetId="39" hidden="1">#REF!</definedName>
    <definedName name="XLRPARAMS_TBR" localSheetId="38" hidden="1">#REF!</definedName>
    <definedName name="XLRPARAMS_TBR" localSheetId="37" hidden="1">#REF!</definedName>
    <definedName name="XLRPARAMS_TBR" hidden="1">#REF!</definedName>
    <definedName name="XLRPARAMS_TBZJ" localSheetId="39" hidden="1">[22]XLR_NoRangeSheet!$D$6</definedName>
    <definedName name="XLRPARAMS_TBZJ" localSheetId="38" hidden="1">[22]XLR_NoRangeSheet!$D$6</definedName>
    <definedName name="XLRPARAMS_TBZJ" localSheetId="37" hidden="1">[22]XLR_NoRangeSheet!$D$6</definedName>
    <definedName name="XLRPARAMS_TBZJ" hidden="1">[23]XLR_NoRangeSheet!$D$6</definedName>
    <definedName name="XLRPARAMS_TBZJDX" localSheetId="39" hidden="1">[22]XLR_NoRangeSheet!$E$6</definedName>
    <definedName name="XLRPARAMS_TBZJDX" localSheetId="38" hidden="1">[22]XLR_NoRangeSheet!$E$6</definedName>
    <definedName name="XLRPARAMS_TBZJDX" localSheetId="37" hidden="1">[22]XLR_NoRangeSheet!$E$6</definedName>
    <definedName name="XLRPARAMS_TBZJDX" hidden="1">[23]XLR_NoRangeSheet!$E$6</definedName>
    <definedName name="XLRPARAMS_TotalBigWord" localSheetId="39" hidden="1">[24]XLR_NoRangeSheet!$E$6</definedName>
    <definedName name="XLRPARAMS_TotalBigWord" localSheetId="38" hidden="1">[24]XLR_NoRangeSheet!$E$6</definedName>
    <definedName name="XLRPARAMS_TotalBigWord" localSheetId="37" hidden="1">[24]XLR_NoRangeSheet!$E$6</definedName>
    <definedName name="XLRPARAMS_TotalBigWord" hidden="1">[25]XLR_NoRangeSheet!$E$6</definedName>
    <definedName name="XLRPARAMS_ZBR" localSheetId="39" hidden="1">#REF!</definedName>
    <definedName name="XLRPARAMS_ZBR" localSheetId="38" hidden="1">#REF!</definedName>
    <definedName name="XLRPARAMS_ZBR" localSheetId="37" hidden="1">#REF!</definedName>
    <definedName name="XLRPARAMS_ZBR" hidden="1">#REF!</definedName>
    <definedName name="XLRPARAMS_ZJGCS" localSheetId="39" hidden="1">[22]XLR_NoRangeSheet!$H$6</definedName>
    <definedName name="XLRPARAMS_ZJGCS" localSheetId="38" hidden="1">[22]XLR_NoRangeSheet!$H$6</definedName>
    <definedName name="XLRPARAMS_ZJGCS" localSheetId="37" hidden="1">[22]XLR_NoRangeSheet!$H$6</definedName>
    <definedName name="XLRPARAMS_ZJGCS" hidden="1">[23]XLR_NoRangeSheet!$H$6</definedName>
    <definedName name="XLRPARAMS_ZJH" localSheetId="39" hidden="1">#REF!</definedName>
    <definedName name="XLRPARAMS_ZJH" localSheetId="38" hidden="1">#REF!</definedName>
    <definedName name="XLRPARAMS_ZJH" localSheetId="37" hidden="1">#REF!</definedName>
    <definedName name="XLRPARAMS_ZJH" hidden="1">#REF!</definedName>
    <definedName name="XLRPARAMS_ZYMC" localSheetId="39" hidden="1">#REF!</definedName>
    <definedName name="XLRPARAMS_ZYMC" localSheetId="38" hidden="1">#REF!</definedName>
    <definedName name="XLRPARAMS_ZYMC" localSheetId="37" hidden="1">#REF!</definedName>
    <definedName name="XLRPARAMS_ZYMC" hidden="1">#REF!</definedName>
    <definedName name="XLRPARAMS_ZZJ" localSheetId="39" hidden="1">[26]XLR_NoRangeSheet!$C$6</definedName>
    <definedName name="XLRPARAMS_ZZJ" localSheetId="38" hidden="1">[26]XLR_NoRangeSheet!$C$6</definedName>
    <definedName name="XLRPARAMS_ZZJ" localSheetId="37" hidden="1">[26]XLR_NoRangeSheet!$C$6</definedName>
    <definedName name="XLRPARAMS_ZZJ" hidden="1">[27]XLR_NoRangeSheet!$C$6</definedName>
    <definedName name="xls." localSheetId="0" hidden="1">{"'Break down'!$A$4"}</definedName>
    <definedName name="xls." hidden="1">{"'Break down'!$A$4"}</definedName>
    <definedName name="you" localSheetId="39" hidden="1">{"'现金流量表（全部投资）'!$B$4:$P$23"}</definedName>
    <definedName name="you" localSheetId="38" hidden="1">{"'现金流量表（全部投资）'!$B$4:$P$23"}</definedName>
    <definedName name="you" localSheetId="37" hidden="1">{"'现金流量表（全部投资）'!$B$4:$P$23"}</definedName>
    <definedName name="you" localSheetId="0" hidden="1">{"'现金流量表（全部投资）'!$B$4:$P$23"}</definedName>
    <definedName name="you" hidden="1">{"'现金流量表（全部投资）'!$B$4:$P$23"}</definedName>
    <definedName name="yyyyyyrrrrrrrrrrrrr" localSheetId="39" hidden="1">{#N/A,#N/A,FALSE,"估價單  (3)"}</definedName>
    <definedName name="yyyyyyrrrrrrrrrrrrr" localSheetId="38" hidden="1">{#N/A,#N/A,FALSE,"估價單  (3)"}</definedName>
    <definedName name="yyyyyyrrrrrrrrrrrrr" localSheetId="37" hidden="1">{#N/A,#N/A,FALSE,"估價單  (3)"}</definedName>
    <definedName name="yyyyyyrrrrrrrrrrrrr" localSheetId="0" hidden="1">{#N/A,#N/A,FALSE,"估價單  (3)"}</definedName>
    <definedName name="yyyyyyrrrrrrrrrrrrr" hidden="1">{#N/A,#N/A,FALSE,"估價單  (3)"}</definedName>
    <definedName name="yyyyyyrrrrrrrrrrrrr_1" localSheetId="39" hidden="1">{#N/A,#N/A,FALSE,"估價單  (3)"}</definedName>
    <definedName name="yyyyyyrrrrrrrrrrrrr_1" localSheetId="38" hidden="1">{#N/A,#N/A,FALSE,"估價單  (3)"}</definedName>
    <definedName name="yyyyyyrrrrrrrrrrrrr_1" localSheetId="37" hidden="1">{#N/A,#N/A,FALSE,"估價單  (3)"}</definedName>
    <definedName name="yyyyyyrrrrrrrrrrrrr_1" localSheetId="0" hidden="1">{#N/A,#N/A,FALSE,"估價單  (3)"}</definedName>
    <definedName name="yyyyyyrrrrrrrrrrrrr_1" hidden="1">{#N/A,#N/A,FALSE,"估價單  (3)"}</definedName>
    <definedName name="yyyyyyyyyyyyyyyyyyyyyyy" localSheetId="39" hidden="1">{#N/A,#N/A,FALSE,"估價單  (3)"}</definedName>
    <definedName name="yyyyyyyyyyyyyyyyyyyyyyy" localSheetId="38" hidden="1">{#N/A,#N/A,FALSE,"估價單  (3)"}</definedName>
    <definedName name="yyyyyyyyyyyyyyyyyyyyyyy" localSheetId="37" hidden="1">{#N/A,#N/A,FALSE,"估價單  (3)"}</definedName>
    <definedName name="yyyyyyyyyyyyyyyyyyyyyyy" localSheetId="0" hidden="1">{#N/A,#N/A,FALSE,"估價單  (3)"}</definedName>
    <definedName name="yyyyyyyyyyyyyyyyyyyyyyy" hidden="1">{#N/A,#N/A,FALSE,"估價單  (3)"}</definedName>
    <definedName name="yyyyyyyyyyyyyyyyyyyyyyy_1" localSheetId="39" hidden="1">{#N/A,#N/A,FALSE,"估價單  (3)"}</definedName>
    <definedName name="yyyyyyyyyyyyyyyyyyyyyyy_1" localSheetId="38" hidden="1">{#N/A,#N/A,FALSE,"估價單  (3)"}</definedName>
    <definedName name="yyyyyyyyyyyyyyyyyyyyyyy_1" localSheetId="37" hidden="1">{#N/A,#N/A,FALSE,"估價單  (3)"}</definedName>
    <definedName name="yyyyyyyyyyyyyyyyyyyyyyy_1" localSheetId="0" hidden="1">{#N/A,#N/A,FALSE,"估價單  (3)"}</definedName>
    <definedName name="yyyyyyyyyyyyyyyyyyyyyyy_1" hidden="1">{#N/A,#N/A,FALSE,"估價單  (3)"}</definedName>
    <definedName name="Z_079D4DF8_3B47_491F_90E1_093B255B97EA_.wvu.FilterData" localSheetId="39" hidden="1">'[10]清单1-裙楼Ea'!#REF!</definedName>
    <definedName name="Z_079D4DF8_3B47_491F_90E1_093B255B97EA_.wvu.FilterData" localSheetId="38" hidden="1">'[10]清单1-裙楼Ea'!#REF!</definedName>
    <definedName name="Z_079D4DF8_3B47_491F_90E1_093B255B97EA_.wvu.FilterData" localSheetId="37" hidden="1">'[10]清单1-裙楼Ea'!#REF!</definedName>
    <definedName name="Z_079D4DF8_3B47_491F_90E1_093B255B97EA_.wvu.FilterData" hidden="1">'[10]清单1-裙楼Ea'!#REF!</definedName>
    <definedName name="Z_0E9FE9F8_6DD2_48FC_9AB4_8E7C3E14C436_.wvu.PrintArea" localSheetId="39" hidden="1">#REF!</definedName>
    <definedName name="Z_0E9FE9F8_6DD2_48FC_9AB4_8E7C3E14C436_.wvu.PrintArea" localSheetId="38" hidden="1">#REF!</definedName>
    <definedName name="Z_0E9FE9F8_6DD2_48FC_9AB4_8E7C3E14C436_.wvu.PrintArea" localSheetId="37" hidden="1">#REF!</definedName>
    <definedName name="Z_0E9FE9F8_6DD2_48FC_9AB4_8E7C3E14C436_.wvu.PrintArea" hidden="1">#REF!</definedName>
    <definedName name="Z_0E9FE9F8_6DD2_48FC_9AB4_8E7C3E14C436_.wvu.PrintTitles" localSheetId="39" hidden="1">#REF!</definedName>
    <definedName name="Z_0E9FE9F8_6DD2_48FC_9AB4_8E7C3E14C436_.wvu.PrintTitles" localSheetId="38" hidden="1">#REF!</definedName>
    <definedName name="Z_0E9FE9F8_6DD2_48FC_9AB4_8E7C3E14C436_.wvu.PrintTitles" localSheetId="37" hidden="1">#REF!</definedName>
    <definedName name="Z_0E9FE9F8_6DD2_48FC_9AB4_8E7C3E14C436_.wvu.PrintTitles" hidden="1">#REF!</definedName>
    <definedName name="Z_446CED5D_F5B7_4C38_B91B_BF93DCFBF835_.wvu.FilterData" hidden="1">'[10]清单1-裙楼Ea'!#REF!</definedName>
    <definedName name="Z_76A6E4D7_387A_4611_9DCE_1F690CB6C0DA_.wvu.FilterData" hidden="1">'[10]清单1-裙楼Ea'!#REF!</definedName>
    <definedName name="Z_76A6E4D7_387A_4611_9DCE_1F690CB6C0DA_.wvu.PrintArea" hidden="1">'[10]清单1-裙楼Ea'!#REF!</definedName>
    <definedName name="Z_7886446" hidden="1">'[10]清单1-裙楼Ea'!#REF!</definedName>
    <definedName name="zhuangjh" hidden="1">#REF!</definedName>
    <definedName name="zxc" localSheetId="0" hidden="1">{#N/A,#N/A,FALSE,"Aging Summary";#N/A,#N/A,FALSE,"Ratio Analysis";#N/A,#N/A,FALSE,"Test 120 Day Accts";#N/A,#N/A,FALSE,"Tickmarks"}</definedName>
    <definedName name="zxc" hidden="1">{#N/A,#N/A,FALSE,"Aging Summary";#N/A,#N/A,FALSE,"Ratio Analysis";#N/A,#N/A,FALSE,"Test 120 Day Accts";#N/A,#N/A,FALSE,"Tickmarks"}</definedName>
    <definedName name="爱上" localSheetId="39" hidden="1">{"'现金流量表（全部投资）'!$B$4:$P$23"}</definedName>
    <definedName name="爱上" localSheetId="38" hidden="1">{"'现金流量表（全部投资）'!$B$4:$P$23"}</definedName>
    <definedName name="爱上" localSheetId="37" hidden="1">{"'现金流量表（全部投资）'!$B$4:$P$23"}</definedName>
    <definedName name="爱上" localSheetId="0" hidden="1">{"'现金流量表（全部投资）'!$B$4:$P$23"}</definedName>
    <definedName name="爱上" hidden="1">{"'现金流量表（全部投资）'!$B$4:$P$23"}</definedName>
    <definedName name="暗暗" localSheetId="39" hidden="1">'[8]sum(Flooring )'!#REF!</definedName>
    <definedName name="暗暗" localSheetId="38" hidden="1">'[8]sum(Flooring )'!#REF!</definedName>
    <definedName name="暗暗" localSheetId="37" hidden="1">'[8]sum(Flooring )'!#REF!</definedName>
    <definedName name="暗暗" hidden="1">'[8]sum(Flooring )'!#REF!</definedName>
    <definedName name="保温" localSheetId="39" hidden="1">{"'费率表'!$A$1:$N$18"}</definedName>
    <definedName name="保温" localSheetId="38" hidden="1">{"'费率表'!$A$1:$N$18"}</definedName>
    <definedName name="保温" localSheetId="37" hidden="1">{"'费率表'!$A$1:$N$18"}</definedName>
    <definedName name="保温" localSheetId="0" hidden="1">{"'费率表'!$A$1:$N$18"}</definedName>
    <definedName name="保温" hidden="1">{"'费率表'!$A$1:$N$18"}</definedName>
    <definedName name="成本" localSheetId="0" hidden="1">{#N/A,#N/A,FALSE,"估價單  (3)"}</definedName>
    <definedName name="成本" hidden="1">{#N/A,#N/A,FALSE,"估價單  (3)"}</definedName>
    <definedName name="措施费" localSheetId="0" hidden="1">{#N/A,#N/A,FALSE,"估價單  (3)"}</definedName>
    <definedName name="措施费" hidden="1">{#N/A,#N/A,FALSE,"估價單  (3)"}</definedName>
    <definedName name="大啊啊" localSheetId="0" hidden="1">{#N/A,#N/A,FALSE,"估價單  (3)"}</definedName>
    <definedName name="大啊啊" hidden="1">{#N/A,#N/A,FALSE,"估價單  (3)"}</definedName>
    <definedName name="大概多少发给到说发给" localSheetId="39" hidden="1">#REF!</definedName>
    <definedName name="大概多少发给到说发给" localSheetId="38" hidden="1">#REF!</definedName>
    <definedName name="大概多少发给到说发给" localSheetId="37" hidden="1">#REF!</definedName>
    <definedName name="大概多少发给到说发给" hidden="1">#REF!</definedName>
    <definedName name="单价" localSheetId="39" hidden="1">{"'门'!$A$4:$H$28"}</definedName>
    <definedName name="单价" localSheetId="38" hidden="1">{"'门'!$A$4:$H$28"}</definedName>
    <definedName name="单价" localSheetId="37" hidden="1">{"'门'!$A$4:$H$28"}</definedName>
    <definedName name="单价" localSheetId="0" hidden="1">{"'门'!$A$4:$H$28"}</definedName>
    <definedName name="单价" hidden="1">{"'门'!$A$4:$H$28"}</definedName>
    <definedName name="单价、" localSheetId="39" hidden="1">{"'门'!$A$4:$H$28"}</definedName>
    <definedName name="单价、" localSheetId="38" hidden="1">{"'门'!$A$4:$H$28"}</definedName>
    <definedName name="单价、" localSheetId="37" hidden="1">{"'门'!$A$4:$H$28"}</definedName>
    <definedName name="单价、" localSheetId="0" hidden="1">{"'门'!$A$4:$H$28"}</definedName>
    <definedName name="单价、" hidden="1">{"'门'!$A$4:$H$28"}</definedName>
    <definedName name="单价分析表2" localSheetId="39" hidden="1">{"'现金流量表（全部投资）'!$B$4:$P$23"}</definedName>
    <definedName name="单价分析表2" localSheetId="38" hidden="1">{"'现金流量表（全部投资）'!$B$4:$P$23"}</definedName>
    <definedName name="单价分析表2" localSheetId="37" hidden="1">{"'现金流量表（全部投资）'!$B$4:$P$23"}</definedName>
    <definedName name="单价分析表2" localSheetId="0" hidden="1">{"'现金流量表（全部投资）'!$B$4:$P$23"}</definedName>
    <definedName name="单价分析表2" hidden="1">{"'现金流量表（全部投资）'!$B$4:$P$23"}</definedName>
    <definedName name="东立面雨棚" localSheetId="39" hidden="1">{#N/A,#N/A,FALSE,"估價單  (3)"}</definedName>
    <definedName name="东立面雨棚" localSheetId="38" hidden="1">{#N/A,#N/A,FALSE,"估價單  (3)"}</definedName>
    <definedName name="东立面雨棚" localSheetId="37" hidden="1">{#N/A,#N/A,FALSE,"估價單  (3)"}</definedName>
    <definedName name="东立面雨棚" localSheetId="0" hidden="1">{#N/A,#N/A,FALSE,"估價單  (3)"}</definedName>
    <definedName name="东立面雨棚" hidden="1">{#N/A,#N/A,FALSE,"估價單  (3)"}</definedName>
    <definedName name="二号清单" localSheetId="39" hidden="1">#REF!</definedName>
    <definedName name="二号清单" localSheetId="38" hidden="1">#REF!</definedName>
    <definedName name="二号清单" localSheetId="37" hidden="1">#REF!</definedName>
    <definedName name="二号清单" hidden="1">#REF!</definedName>
    <definedName name="发函2" localSheetId="39" hidden="1">{"'费率表'!$A$1:$N$18"}</definedName>
    <definedName name="发函2" localSheetId="38" hidden="1">{"'费率表'!$A$1:$N$18"}</definedName>
    <definedName name="发函2" localSheetId="37" hidden="1">{"'费率表'!$A$1:$N$18"}</definedName>
    <definedName name="发函2" localSheetId="0" hidden="1">{"'费率表'!$A$1:$N$18"}</definedName>
    <definedName name="发函2" hidden="1">{"'费率表'!$A$1:$N$18"}</definedName>
    <definedName name="防水" localSheetId="39" hidden="1">{"'费率表'!$A$1:$N$18"}</definedName>
    <definedName name="防水" localSheetId="38" hidden="1">{"'费率表'!$A$1:$N$18"}</definedName>
    <definedName name="防水" localSheetId="37" hidden="1">{"'费率表'!$A$1:$N$18"}</definedName>
    <definedName name="防水" localSheetId="0" hidden="1">{"'费率表'!$A$1:$N$18"}</definedName>
    <definedName name="防水" hidden="1">{"'费率表'!$A$1:$N$18"}</definedName>
    <definedName name="飞" localSheetId="39" hidden="1">{"'门'!$A$4:$H$28"}</definedName>
    <definedName name="飞" localSheetId="38" hidden="1">{"'门'!$A$4:$H$28"}</definedName>
    <definedName name="飞" localSheetId="37" hidden="1">{"'门'!$A$4:$H$28"}</definedName>
    <definedName name="飞" localSheetId="0" hidden="1">{"'门'!$A$4:$H$28"}</definedName>
    <definedName name="飞" hidden="1">{"'门'!$A$4:$H$28"}</definedName>
    <definedName name="分" hidden="1">#REF!</definedName>
    <definedName name="分析表" hidden="1">#REF!</definedName>
    <definedName name="辅助" localSheetId="39" hidden="1">{"'现金流量表（全部投资）'!$B$4:$P$23"}</definedName>
    <definedName name="辅助" localSheetId="38" hidden="1">{"'现金流量表（全部投资）'!$B$4:$P$23"}</definedName>
    <definedName name="辅助" localSheetId="37" hidden="1">{"'现金流量表（全部投资）'!$B$4:$P$23"}</definedName>
    <definedName name="辅助" localSheetId="0" hidden="1">{"'现金流量表（全部投资）'!$B$4:$P$23"}</definedName>
    <definedName name="辅助" hidden="1">{"'现金流量表（全部投资）'!$B$4:$P$23"}</definedName>
    <definedName name="工程量汇总表" localSheetId="0" hidden="1">{#N/A,#N/A,FALSE,"估價單  (3)"}</definedName>
    <definedName name="工程量汇总表" hidden="1">{#N/A,#N/A,FALSE,"估價單  (3)"}</definedName>
    <definedName name="工程量明细表" localSheetId="0" hidden="1">{#N/A,#N/A,FALSE,"估價單  (3)"}</definedName>
    <definedName name="工程量明细表" hidden="1">{#N/A,#N/A,FALSE,"估價單  (3)"}</definedName>
    <definedName name="公区" localSheetId="39" hidden="1">#REF!</definedName>
    <definedName name="公区" localSheetId="38" hidden="1">#REF!</definedName>
    <definedName name="公区" localSheetId="37" hidden="1">#REF!</definedName>
    <definedName name="公区" hidden="1">#REF!</definedName>
    <definedName name="估價單" localSheetId="39" hidden="1">{#N/A,#N/A,FALSE,"估價單  (3)"}</definedName>
    <definedName name="估價單" localSheetId="38" hidden="1">{#N/A,#N/A,FALSE,"估價單  (3)"}</definedName>
    <definedName name="估價單" localSheetId="37" hidden="1">{#N/A,#N/A,FALSE,"估價單  (3)"}</definedName>
    <definedName name="估價單" localSheetId="0" hidden="1">{#N/A,#N/A,FALSE,"估價單  (3)"}</definedName>
    <definedName name="估價單" hidden="1">{#N/A,#N/A,FALSE,"估價單  (3)"}</definedName>
    <definedName name="估價單_1" localSheetId="39" hidden="1">{#N/A,#N/A,FALSE,"估價單  (3)"}</definedName>
    <definedName name="估價單_1" localSheetId="38" hidden="1">{#N/A,#N/A,FALSE,"估價單  (3)"}</definedName>
    <definedName name="估價單_1" localSheetId="37" hidden="1">{#N/A,#N/A,FALSE,"估價單  (3)"}</definedName>
    <definedName name="估價單_1" localSheetId="0" hidden="1">{#N/A,#N/A,FALSE,"估價單  (3)"}</definedName>
    <definedName name="估價單_1" hidden="1">{#N/A,#N/A,FALSE,"估價單  (3)"}</definedName>
    <definedName name="哈哈" localSheetId="39" hidden="1">[1]eqpmad2!#REF!</definedName>
    <definedName name="哈哈" localSheetId="38" hidden="1">[1]eqpmad2!#REF!</definedName>
    <definedName name="哈哈" localSheetId="37" hidden="1">[1]eqpmad2!#REF!</definedName>
    <definedName name="哈哈" hidden="1">[1]eqpmad2!#REF!</definedName>
    <definedName name="海运" localSheetId="0" hidden="1">{#N/A,#N/A,FALSE,"估價單  (3)"}</definedName>
    <definedName name="海运" hidden="1">{#N/A,#N/A,FALSE,"估價單  (3)"}</definedName>
    <definedName name="海运费2" localSheetId="0" hidden="1">{#N/A,#N/A,FALSE,"估價單  (3)"}</definedName>
    <definedName name="海运费2" hidden="1">{#N/A,#N/A,FALSE,"估價單  (3)"}</definedName>
    <definedName name="含量0223" localSheetId="39" hidden="1">{"'现金流量表（全部投资）'!$B$4:$P$23"}</definedName>
    <definedName name="含量0223" localSheetId="38" hidden="1">{"'现金流量表（全部投资）'!$B$4:$P$23"}</definedName>
    <definedName name="含量0223" localSheetId="37" hidden="1">{"'现金流量表（全部投资）'!$B$4:$P$23"}</definedName>
    <definedName name="含量0223" localSheetId="0" hidden="1">{"'现金流量表（全部投资）'!$B$4:$P$23"}</definedName>
    <definedName name="含量0223" hidden="1">{"'现金流量表（全部投资）'!$B$4:$P$23"}</definedName>
    <definedName name="回家" localSheetId="39" hidden="1">{"'现金流量表（全部投资）'!$B$4:$P$23"}</definedName>
    <definedName name="回家" localSheetId="38" hidden="1">{"'现金流量表（全部投资）'!$B$4:$P$23"}</definedName>
    <definedName name="回家" localSheetId="37" hidden="1">{"'现金流量表（全部投资）'!$B$4:$P$23"}</definedName>
    <definedName name="回家" localSheetId="0" hidden="1">{"'现金流量表（全部投资）'!$B$4:$P$23"}</definedName>
    <definedName name="回家" hidden="1">{"'现金流量表（全部投资）'!$B$4:$P$23"}</definedName>
    <definedName name="汇总" localSheetId="0" hidden="1">{#N/A,#N/A,FALSE,"估價單  (3)"}</definedName>
    <definedName name="汇总" hidden="1">{#N/A,#N/A,FALSE,"估價單  (3)"}</definedName>
    <definedName name="汇总表" localSheetId="0" hidden="1">{#N/A,#N/A,FALSE,"估價單  (3)"}</definedName>
    <definedName name="汇总表" hidden="1">{#N/A,#N/A,FALSE,"估價單  (3)"}</definedName>
    <definedName name="会" localSheetId="39" hidden="1">{"'现金流量表（全部投资）'!$B$4:$P$23"}</definedName>
    <definedName name="会" localSheetId="38" hidden="1">{"'现金流量表（全部投资）'!$B$4:$P$23"}</definedName>
    <definedName name="会" localSheetId="37" hidden="1">{"'现金流量表（全部投资）'!$B$4:$P$23"}</definedName>
    <definedName name="会" localSheetId="0" hidden="1">{"'现金流量表（全部投资）'!$B$4:$P$23"}</definedName>
    <definedName name="会" hidden="1">{"'现金流量表（全部投资）'!$B$4:$P$23"}</definedName>
    <definedName name="或多个" localSheetId="39" hidden="1">{"'现金流量表（全部投资）'!$B$4:$P$23"}</definedName>
    <definedName name="或多个" localSheetId="38" hidden="1">{"'现金流量表（全部投资）'!$B$4:$P$23"}</definedName>
    <definedName name="或多个" localSheetId="37" hidden="1">{"'现金流量表（全部投资）'!$B$4:$P$23"}</definedName>
    <definedName name="或多个" localSheetId="0" hidden="1">{"'现金流量表（全部投资）'!$B$4:$P$23"}</definedName>
    <definedName name="或多个" hidden="1">{"'现金流量表（全部投资）'!$B$4:$P$23"}</definedName>
    <definedName name="甲分包" hidden="1">#REF!</definedName>
    <definedName name="价格表" localSheetId="39" hidden="1">{"'现金流量表（全部投资）'!$B$4:$P$23"}</definedName>
    <definedName name="价格表" localSheetId="38" hidden="1">{"'现金流量表（全部投资）'!$B$4:$P$23"}</definedName>
    <definedName name="价格表" localSheetId="37" hidden="1">{"'现金流量表（全部投资）'!$B$4:$P$23"}</definedName>
    <definedName name="价格表" localSheetId="0" hidden="1">{"'现金流量表（全部投资）'!$B$4:$P$23"}</definedName>
    <definedName name="价格表" hidden="1">{"'现金流量表（全部投资）'!$B$4:$P$23"}</definedName>
    <definedName name="开办" localSheetId="0" hidden="1">{#N/A,#N/A,FALSE,"Aging Summary";#N/A,#N/A,FALSE,"Ratio Analysis";#N/A,#N/A,FALSE,"Test 120 Day Accts";#N/A,#N/A,FALSE,"Tickmarks"}</definedName>
    <definedName name="开办" hidden="1">{#N/A,#N/A,FALSE,"Aging Summary";#N/A,#N/A,FALSE,"Ratio Analysis";#N/A,#N/A,FALSE,"Test 120 Day Accts";#N/A,#N/A,FALSE,"Tickmarks"}</definedName>
    <definedName name="理論" localSheetId="39" hidden="1">'[8]sum(Flooring )'!#REF!</definedName>
    <definedName name="理論" localSheetId="38" hidden="1">'[8]sum(Flooring )'!#REF!</definedName>
    <definedName name="理論" localSheetId="37" hidden="1">'[8]sum(Flooring )'!#REF!</definedName>
    <definedName name="理論" hidden="1">'[8]sum(Flooring )'!#REF!</definedName>
    <definedName name="量" localSheetId="39" hidden="1">{#N/A,#N/A,FALSE,"估價單  (3)"}</definedName>
    <definedName name="量" localSheetId="38" hidden="1">{#N/A,#N/A,FALSE,"估價單  (3)"}</definedName>
    <definedName name="量" localSheetId="37" hidden="1">{#N/A,#N/A,FALSE,"估價單  (3)"}</definedName>
    <definedName name="量" localSheetId="0" hidden="1">{#N/A,#N/A,FALSE,"估價單  (3)"}</definedName>
    <definedName name="量" hidden="1">{#N/A,#N/A,FALSE,"估價單  (3)"}</definedName>
    <definedName name="_xlnm.Recorder" localSheetId="39" hidden="1">#REF!</definedName>
    <definedName name="_xlnm.Recorder" localSheetId="38" hidden="1">#REF!</definedName>
    <definedName name="_xlnm.Recorder" localSheetId="37" hidden="1">#REF!</definedName>
    <definedName name="_xlnm.Recorder" hidden="1">#REF!</definedName>
    <definedName name="绿化" localSheetId="39" hidden="1">#REF!</definedName>
    <definedName name="绿化" localSheetId="38" hidden="1">#REF!</definedName>
    <definedName name="绿化" localSheetId="37" hidden="1">#REF!</definedName>
    <definedName name="绿化" hidden="1">#REF!</definedName>
    <definedName name="欠" localSheetId="39" hidden="1">'[10]清单1-裙楼Ea'!#REF!</definedName>
    <definedName name="欠" localSheetId="38" hidden="1">'[10]清单1-裙楼Ea'!#REF!</definedName>
    <definedName name="欠" localSheetId="37" hidden="1">'[10]清单1-裙楼Ea'!#REF!</definedName>
    <definedName name="欠" hidden="1">'[28]清单1-裙楼Ea'!#REF!</definedName>
    <definedName name="裙楼" localSheetId="39" hidden="1">{"'门'!$A$4:$H$28"}</definedName>
    <definedName name="裙楼" localSheetId="38" hidden="1">{"'门'!$A$4:$H$28"}</definedName>
    <definedName name="裙楼" localSheetId="37" hidden="1">{"'门'!$A$4:$H$28"}</definedName>
    <definedName name="裙楼" localSheetId="0" hidden="1">{"'门'!$A$4:$H$28"}</definedName>
    <definedName name="裙楼" hidden="1">{"'门'!$A$4:$H$28"}</definedName>
    <definedName name="三号清单" localSheetId="39" hidden="1">#REF!</definedName>
    <definedName name="三号清单" localSheetId="38" hidden="1">#REF!</definedName>
    <definedName name="三号清单" localSheetId="37" hidden="1">#REF!</definedName>
    <definedName name="三号清单" hidden="1">#REF!</definedName>
    <definedName name="四号清单" localSheetId="39" hidden="1">#REF!</definedName>
    <definedName name="四号清单" localSheetId="38" hidden="1">#REF!</definedName>
    <definedName name="四号清单" localSheetId="37" hidden="1">#REF!</definedName>
    <definedName name="四号清单" hidden="1">#REF!</definedName>
    <definedName name="通知单安装" localSheetId="39" hidden="1">{"'现金流量表（全部投资）'!$B$4:$P$23"}</definedName>
    <definedName name="通知单安装" localSheetId="38" hidden="1">{"'现金流量表（全部投资）'!$B$4:$P$23"}</definedName>
    <definedName name="通知单安装" localSheetId="37" hidden="1">{"'现金流量表（全部投资）'!$B$4:$P$23"}</definedName>
    <definedName name="通知单安装" localSheetId="0" hidden="1">{"'现金流量表（全部投资）'!$B$4:$P$23"}</definedName>
    <definedName name="通知单安装" hidden="1">{"'现金流量表（全部投资）'!$B$4:$P$23"}</definedName>
    <definedName name="外防水" localSheetId="39" hidden="1">{"'费率表'!$A$1:$N$18"}</definedName>
    <definedName name="外防水" localSheetId="38" hidden="1">{"'费率表'!$A$1:$N$18"}</definedName>
    <definedName name="外防水" localSheetId="37" hidden="1">{"'费率表'!$A$1:$N$18"}</definedName>
    <definedName name="外防水" localSheetId="0" hidden="1">{"'费率表'!$A$1:$N$18"}</definedName>
    <definedName name="外防水" hidden="1">{"'费率表'!$A$1:$N$18"}</definedName>
    <definedName name="为" localSheetId="39" hidden="1">#REF!</definedName>
    <definedName name="为" localSheetId="38" hidden="1">#REF!</definedName>
    <definedName name="为" localSheetId="37" hidden="1">#REF!</definedName>
    <definedName name="为" hidden="1">#REF!</definedName>
    <definedName name="未" localSheetId="39" hidden="1">{"'费率表'!$A$1:$N$18"}</definedName>
    <definedName name="未" localSheetId="38" hidden="1">{"'费率表'!$A$1:$N$18"}</definedName>
    <definedName name="未" localSheetId="37" hidden="1">{"'费率表'!$A$1:$N$18"}</definedName>
    <definedName name="未" localSheetId="0" hidden="1">{"'费率表'!$A$1:$N$18"}</definedName>
    <definedName name="未" hidden="1">{"'费率表'!$A$1:$N$18"}</definedName>
    <definedName name="五金配件丝吉利娅" localSheetId="39" hidden="1">{"'门'!$A$4:$H$28"}</definedName>
    <definedName name="五金配件丝吉利娅" localSheetId="38" hidden="1">{"'门'!$A$4:$H$28"}</definedName>
    <definedName name="五金配件丝吉利娅" localSheetId="37" hidden="1">{"'门'!$A$4:$H$28"}</definedName>
    <definedName name="五金配件丝吉利娅" localSheetId="0" hidden="1">{"'门'!$A$4:$H$28"}</definedName>
    <definedName name="五金配件丝吉利娅" hidden="1">{"'门'!$A$4:$H$28"}</definedName>
    <definedName name="想" localSheetId="39" hidden="1">#REF!</definedName>
    <definedName name="想" localSheetId="38" hidden="1">#REF!</definedName>
    <definedName name="想" localSheetId="37" hidden="1">#REF!</definedName>
    <definedName name="想" hidden="1">#REF!</definedName>
    <definedName name="写了" localSheetId="0" hidden="1">{#N/A,#N/A,FALSE,"Aging Summary";#N/A,#N/A,FALSE,"Ratio Analysis";#N/A,#N/A,FALSE,"Test 120 Day Accts";#N/A,#N/A,FALSE,"Tickmarks"}</definedName>
    <definedName name="写了" hidden="1">{#N/A,#N/A,FALSE,"Aging Summary";#N/A,#N/A,FALSE,"Ratio Analysis";#N/A,#N/A,FALSE,"Test 120 Day Accts";#N/A,#N/A,FALSE,"Tickmarks"}</definedName>
    <definedName name="新增加工程量" localSheetId="0" hidden="1">{#N/A,#N/A,FALSE,"估價單  (3)"}</definedName>
    <definedName name="新增加工程量" hidden="1">{#N/A,#N/A,FALSE,"估價單  (3)"}</definedName>
    <definedName name="闫政" localSheetId="0" hidden="1">{#N/A,#N/A,FALSE,"估價單  (3)"}</definedName>
    <definedName name="闫政" hidden="1">{#N/A,#N/A,FALSE,"估價單  (3)"}</definedName>
    <definedName name="一标段绿化" localSheetId="39" hidden="1">#REF!</definedName>
    <definedName name="一标段绿化" localSheetId="38" hidden="1">#REF!</definedName>
    <definedName name="一标段绿化" localSheetId="37" hidden="1">#REF!</definedName>
    <definedName name="一标段绿化" hidden="1">#REF!</definedName>
    <definedName name="运费计算" localSheetId="0" hidden="1">{#N/A,#N/A,FALSE,"估價單  (3)"}</definedName>
    <definedName name="运费计算" hidden="1">{#N/A,#N/A,FALSE,"估價單  (3)"}</definedName>
    <definedName name="综合单价分析表06" localSheetId="39" hidden="1">{"'现金流量表（全部投资）'!$B$4:$P$23"}</definedName>
    <definedName name="综合单价分析表06" localSheetId="38" hidden="1">{"'现金流量表（全部投资）'!$B$4:$P$23"}</definedName>
    <definedName name="综合单价分析表06" localSheetId="37" hidden="1">{"'现金流量表（全部投资）'!$B$4:$P$23"}</definedName>
    <definedName name="综合单价分析表06" localSheetId="0" hidden="1">{"'现金流量表（全部投资）'!$B$4:$P$23"}</definedName>
    <definedName name="综合单价分析表06" hidden="1">{"'现金流量表（全部投资）'!$B$4:$P$23"}</definedName>
    <definedName name="总说明" hidden="1">#REF!</definedName>
    <definedName name="最新调整5.17" localSheetId="39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最新调整5.17" localSheetId="38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最新调整5.17" localSheetId="37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最新调整5.17" localSheetId="0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最新调整5.17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最新调整5.17_1" localSheetId="39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最新调整5.17_1" localSheetId="38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最新调整5.17_1" localSheetId="37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最新调整5.17_1" localSheetId="0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最新调整5.17_1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저층부공내역" localSheetId="39" hidden="1">{#N/A,#N/A,FALSE,"估價單  (3)"}</definedName>
    <definedName name="저층부공내역" localSheetId="38" hidden="1">{#N/A,#N/A,FALSE,"估價單  (3)"}</definedName>
    <definedName name="저층부공내역" localSheetId="37" hidden="1">{#N/A,#N/A,FALSE,"估價單  (3)"}</definedName>
    <definedName name="저층부공내역" localSheetId="0" hidden="1">{#N/A,#N/A,FALSE,"估價單  (3)"}</definedName>
    <definedName name="저층부공내역" hidden="1">{#N/A,#N/A,FALSE,"估價單  (3)"}</definedName>
    <definedName name="저층부공내역_1" localSheetId="39" hidden="1">{#N/A,#N/A,FALSE,"估價單  (3)"}</definedName>
    <definedName name="저층부공내역_1" localSheetId="38" hidden="1">{#N/A,#N/A,FALSE,"估價單  (3)"}</definedName>
    <definedName name="저층부공내역_1" localSheetId="37" hidden="1">{#N/A,#N/A,FALSE,"估價單  (3)"}</definedName>
    <definedName name="저층부공내역_1" localSheetId="0" hidden="1">{#N/A,#N/A,FALSE,"估價單  (3)"}</definedName>
    <definedName name="저층부공내역_1" hidden="1">{#N/A,#N/A,FALSE,"估價單  (3)"}</definedName>
    <definedName name="저층부금액" localSheetId="39" hidden="1">{#N/A,#N/A,FALSE,"估價單  (3)"}</definedName>
    <definedName name="저층부금액" localSheetId="38" hidden="1">{#N/A,#N/A,FALSE,"估價單  (3)"}</definedName>
    <definedName name="저층부금액" localSheetId="37" hidden="1">{#N/A,#N/A,FALSE,"估價單  (3)"}</definedName>
    <definedName name="저층부금액" localSheetId="0" hidden="1">{#N/A,#N/A,FALSE,"估價單  (3)"}</definedName>
    <definedName name="저층부금액" hidden="1">{#N/A,#N/A,FALSE,"估價單  (3)"}</definedName>
    <definedName name="저층부금액_1" localSheetId="39" hidden="1">{#N/A,#N/A,FALSE,"估價單  (3)"}</definedName>
    <definedName name="저층부금액_1" localSheetId="38" hidden="1">{#N/A,#N/A,FALSE,"估價單  (3)"}</definedName>
    <definedName name="저층부금액_1" localSheetId="37" hidden="1">{#N/A,#N/A,FALSE,"估價單  (3)"}</definedName>
    <definedName name="저층부금액_1" localSheetId="0" hidden="1">{#N/A,#N/A,FALSE,"估價單  (3)"}</definedName>
    <definedName name="저층부금액_1" hidden="1">{#N/A,#N/A,FALSE,"估價單  (3)"}</definedName>
    <definedName name="저층부금액1" localSheetId="39" hidden="1">{#N/A,#N/A,FALSE,"估價單  (3)"}</definedName>
    <definedName name="저층부금액1" localSheetId="38" hidden="1">{#N/A,#N/A,FALSE,"估價單  (3)"}</definedName>
    <definedName name="저층부금액1" localSheetId="37" hidden="1">{#N/A,#N/A,FALSE,"估價單  (3)"}</definedName>
    <definedName name="저층부금액1" localSheetId="0" hidden="1">{#N/A,#N/A,FALSE,"估價單  (3)"}</definedName>
    <definedName name="저층부금액1" hidden="1">{#N/A,#N/A,FALSE,"估價單  (3)"}</definedName>
    <definedName name="저층부금액1_1" localSheetId="39" hidden="1">{#N/A,#N/A,FALSE,"估價單  (3)"}</definedName>
    <definedName name="저층부금액1_1" localSheetId="38" hidden="1">{#N/A,#N/A,FALSE,"估價單  (3)"}</definedName>
    <definedName name="저층부금액1_1" localSheetId="37" hidden="1">{#N/A,#N/A,FALSE,"估價單  (3)"}</definedName>
    <definedName name="저층부금액1_1" localSheetId="0" hidden="1">{#N/A,#N/A,FALSE,"估價單  (3)"}</definedName>
    <definedName name="저층부금액1_1" hidden="1">{#N/A,#N/A,FALSE,"估價單  (3)"}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130" i="307" l="1"/>
  <c r="AF143" i="307" s="1"/>
  <c r="AH143" i="307" s="1"/>
  <c r="AI130" i="326"/>
  <c r="AF146" i="326" s="1"/>
  <c r="AH146" i="326" s="1"/>
  <c r="AH145" i="326" s="1"/>
  <c r="AI130" i="327"/>
  <c r="AI130" i="331"/>
  <c r="AG141" i="326"/>
  <c r="AH141" i="326" s="1"/>
  <c r="AG140" i="326"/>
  <c r="AH140" i="326" s="1"/>
  <c r="AF140" i="326"/>
  <c r="AG139" i="326"/>
  <c r="AH139" i="326" s="1"/>
  <c r="AH138" i="326"/>
  <c r="AF137" i="326"/>
  <c r="AH137" i="326" s="1"/>
  <c r="AG136" i="326"/>
  <c r="AH136" i="326" s="1"/>
  <c r="AF136" i="326"/>
  <c r="AG135" i="326"/>
  <c r="AH135" i="326" s="1"/>
  <c r="AF135" i="326"/>
  <c r="AG134" i="326"/>
  <c r="AH134" i="326" s="1"/>
  <c r="AF134" i="326"/>
  <c r="AH133" i="326"/>
  <c r="AH132" i="326" s="1"/>
  <c r="AG133" i="326"/>
  <c r="AF133" i="326"/>
  <c r="AF144" i="326"/>
  <c r="AH144" i="326" s="1"/>
  <c r="AF144" i="327"/>
  <c r="AH144" i="327" s="1"/>
  <c r="AF143" i="327"/>
  <c r="AH143" i="327" s="1"/>
  <c r="AH142" i="327" s="1"/>
  <c r="AG141" i="327"/>
  <c r="AH141" i="327" s="1"/>
  <c r="AG140" i="327"/>
  <c r="AF140" i="327"/>
  <c r="AH140" i="327" s="1"/>
  <c r="AG139" i="327"/>
  <c r="AH139" i="327" s="1"/>
  <c r="AH138" i="327"/>
  <c r="AF137" i="327"/>
  <c r="AH137" i="327" s="1"/>
  <c r="AG136" i="327"/>
  <c r="AF136" i="327"/>
  <c r="AH136" i="327" s="1"/>
  <c r="AG135" i="327"/>
  <c r="AH135" i="327" s="1"/>
  <c r="AF135" i="327"/>
  <c r="AG134" i="327"/>
  <c r="AH134" i="327" s="1"/>
  <c r="AF134" i="327"/>
  <c r="AG133" i="327"/>
  <c r="AH133" i="327" s="1"/>
  <c r="AH132" i="327" s="1"/>
  <c r="AF133" i="327"/>
  <c r="AF146" i="327"/>
  <c r="AH146" i="327" s="1"/>
  <c r="AH145" i="327" s="1"/>
  <c r="AF146" i="331"/>
  <c r="AH146" i="331" s="1"/>
  <c r="AH145" i="331" s="1"/>
  <c r="AG141" i="331"/>
  <c r="AH141" i="331" s="1"/>
  <c r="AG140" i="331"/>
  <c r="AF140" i="331"/>
  <c r="AH140" i="331" s="1"/>
  <c r="AH139" i="331"/>
  <c r="AG139" i="331"/>
  <c r="AH138" i="331"/>
  <c r="AF137" i="331"/>
  <c r="AH137" i="331" s="1"/>
  <c r="AG136" i="331"/>
  <c r="AF136" i="331"/>
  <c r="AH136" i="331" s="1"/>
  <c r="AG135" i="331"/>
  <c r="AF135" i="331"/>
  <c r="AH135" i="331" s="1"/>
  <c r="AG134" i="331"/>
  <c r="AH134" i="331" s="1"/>
  <c r="AF134" i="331"/>
  <c r="AG133" i="331"/>
  <c r="AH133" i="331" s="1"/>
  <c r="AH132" i="331" s="1"/>
  <c r="AF133" i="331"/>
  <c r="AF144" i="331"/>
  <c r="AH144" i="331" s="1"/>
  <c r="AG141" i="307"/>
  <c r="AH141" i="307" s="1"/>
  <c r="AG140" i="307"/>
  <c r="AH140" i="307" s="1"/>
  <c r="AF140" i="307"/>
  <c r="AH139" i="307"/>
  <c r="AG139" i="307"/>
  <c r="AH138" i="307"/>
  <c r="AF137" i="307"/>
  <c r="AH137" i="307" s="1"/>
  <c r="AG136" i="307"/>
  <c r="AH136" i="307" s="1"/>
  <c r="AF136" i="307"/>
  <c r="AG135" i="307"/>
  <c r="AF135" i="307"/>
  <c r="AH135" i="307" s="1"/>
  <c r="AG134" i="307"/>
  <c r="AH134" i="307" s="1"/>
  <c r="AF134" i="307"/>
  <c r="AG133" i="307"/>
  <c r="AH133" i="307" s="1"/>
  <c r="AH132" i="307" s="1"/>
  <c r="AF133" i="307"/>
  <c r="H62" i="315"/>
  <c r="H62" i="316"/>
  <c r="H62" i="306"/>
  <c r="C371" i="298"/>
  <c r="C371" i="299"/>
  <c r="C371" i="300"/>
  <c r="C371" i="301"/>
  <c r="C371" i="302"/>
  <c r="C371" i="303"/>
  <c r="C371" i="304"/>
  <c r="C371" i="310"/>
  <c r="C371" i="311"/>
  <c r="C371" i="312"/>
  <c r="C371" i="313"/>
  <c r="C371" i="314"/>
  <c r="C371" i="317"/>
  <c r="C371" i="318"/>
  <c r="C371" i="319"/>
  <c r="C371" i="320"/>
  <c r="C371" i="321"/>
  <c r="C371" i="322"/>
  <c r="C371" i="323"/>
  <c r="C371" i="324"/>
  <c r="C371" i="325"/>
  <c r="C371" i="329"/>
  <c r="C371" i="334"/>
  <c r="C371" i="217"/>
  <c r="K12" i="306"/>
  <c r="K12" i="315"/>
  <c r="K12" i="316"/>
  <c r="K17" i="306"/>
  <c r="K17" i="315"/>
  <c r="K17" i="316"/>
  <c r="K22" i="306"/>
  <c r="K22" i="315"/>
  <c r="K22" i="316"/>
  <c r="K27" i="306"/>
  <c r="K27" i="315"/>
  <c r="K27" i="316"/>
  <c r="K38" i="306"/>
  <c r="K38" i="315"/>
  <c r="K38" i="316"/>
  <c r="F38" i="306"/>
  <c r="F38" i="315"/>
  <c r="F38" i="316"/>
  <c r="H38" i="306"/>
  <c r="H38" i="315"/>
  <c r="H38" i="316"/>
  <c r="M38" i="306"/>
  <c r="M38" i="315"/>
  <c r="M38" i="316"/>
  <c r="B39" i="315"/>
  <c r="B39" i="316"/>
  <c r="B39" i="306"/>
  <c r="B14" i="218"/>
  <c r="B15" i="218"/>
  <c r="B16" i="218"/>
  <c r="B17" i="218"/>
  <c r="B18" i="218"/>
  <c r="AF144" i="307" l="1"/>
  <c r="AH144" i="307" s="1"/>
  <c r="AH142" i="307" s="1"/>
  <c r="AH147" i="327"/>
  <c r="AH148" i="327" s="1"/>
  <c r="AH149" i="327" s="1"/>
  <c r="AH150" i="327" s="1"/>
  <c r="AF146" i="307"/>
  <c r="AH146" i="307" s="1"/>
  <c r="AH145" i="307" s="1"/>
  <c r="AF143" i="331"/>
  <c r="AH143" i="331" s="1"/>
  <c r="AH142" i="331" s="1"/>
  <c r="AH147" i="331" s="1"/>
  <c r="AF143" i="326"/>
  <c r="AH143" i="326" s="1"/>
  <c r="AH142" i="326" s="1"/>
  <c r="AH147" i="326" s="1"/>
  <c r="G225" i="334"/>
  <c r="G226" i="334" s="1"/>
  <c r="G227" i="334" s="1"/>
  <c r="G228" i="334" s="1"/>
  <c r="G229" i="334" s="1"/>
  <c r="G230" i="334" s="1"/>
  <c r="G231" i="334" s="1"/>
  <c r="G232" i="334" s="1"/>
  <c r="G234" i="334" s="1"/>
  <c r="K116" i="334"/>
  <c r="J116" i="334"/>
  <c r="E108" i="334"/>
  <c r="D108" i="334"/>
  <c r="K68" i="334"/>
  <c r="E68" i="334" s="1"/>
  <c r="D243" i="334" s="1"/>
  <c r="J68" i="334"/>
  <c r="D386" i="334"/>
  <c r="I386" i="334" s="1"/>
  <c r="T382" i="334"/>
  <c r="S382" i="334"/>
  <c r="T381" i="334"/>
  <c r="U381" i="334" s="1"/>
  <c r="U380" i="334"/>
  <c r="T376" i="334"/>
  <c r="U376" i="334" s="1"/>
  <c r="S376" i="334"/>
  <c r="C368" i="334"/>
  <c r="G366" i="334"/>
  <c r="D361" i="334"/>
  <c r="H361" i="334" s="1"/>
  <c r="H360" i="334"/>
  <c r="H359" i="334"/>
  <c r="H358" i="334"/>
  <c r="D352" i="334"/>
  <c r="H352" i="334" s="1"/>
  <c r="D351" i="334"/>
  <c r="H351" i="334" s="1"/>
  <c r="D345" i="334"/>
  <c r="C341" i="334"/>
  <c r="H341" i="334" s="1"/>
  <c r="C340" i="334"/>
  <c r="G329" i="334"/>
  <c r="G328" i="334"/>
  <c r="G325" i="334"/>
  <c r="G323" i="334"/>
  <c r="E321" i="334"/>
  <c r="E319" i="334"/>
  <c r="F318" i="334"/>
  <c r="G318" i="334" s="1"/>
  <c r="C316" i="334"/>
  <c r="C318" i="334" s="1"/>
  <c r="G313" i="334"/>
  <c r="H312" i="334"/>
  <c r="D310" i="334"/>
  <c r="C309" i="334"/>
  <c r="C310" i="334" s="1"/>
  <c r="H310" i="334" s="1"/>
  <c r="H307" i="334"/>
  <c r="G306" i="334"/>
  <c r="E306" i="334"/>
  <c r="G305" i="334"/>
  <c r="H305" i="334" s="1"/>
  <c r="E305" i="334"/>
  <c r="E304" i="334"/>
  <c r="D371" i="334" s="1"/>
  <c r="G303" i="334"/>
  <c r="H303" i="334" s="1"/>
  <c r="G302" i="334"/>
  <c r="H302" i="334" s="1"/>
  <c r="H301" i="334"/>
  <c r="G300" i="334"/>
  <c r="H300" i="334" s="1"/>
  <c r="H299" i="334"/>
  <c r="G298" i="334"/>
  <c r="H298" i="334" s="1"/>
  <c r="H297" i="334"/>
  <c r="G296" i="334"/>
  <c r="H296" i="334" s="1"/>
  <c r="F296" i="334"/>
  <c r="F298" i="334" s="1"/>
  <c r="F300" i="334" s="1"/>
  <c r="F302" i="334" s="1"/>
  <c r="F303" i="334" s="1"/>
  <c r="H295" i="334"/>
  <c r="G294" i="334"/>
  <c r="H294" i="334" s="1"/>
  <c r="I290" i="334"/>
  <c r="F290" i="334"/>
  <c r="E289" i="334"/>
  <c r="G288" i="334"/>
  <c r="G289" i="334" s="1"/>
  <c r="H289" i="334" s="1"/>
  <c r="E288" i="334"/>
  <c r="H288" i="334" s="1"/>
  <c r="B288" i="334"/>
  <c r="B289" i="334" s="1"/>
  <c r="E287" i="334"/>
  <c r="G286" i="334"/>
  <c r="G287" i="334" s="1"/>
  <c r="H287" i="334" s="1"/>
  <c r="E286" i="334"/>
  <c r="B286" i="334"/>
  <c r="B287" i="334" s="1"/>
  <c r="F284" i="334"/>
  <c r="F285" i="334" s="1"/>
  <c r="F283" i="334"/>
  <c r="B281" i="334"/>
  <c r="B282" i="334" s="1"/>
  <c r="B283" i="334" s="1"/>
  <c r="B284" i="334" s="1"/>
  <c r="F279" i="334"/>
  <c r="F278" i="334"/>
  <c r="F277" i="334"/>
  <c r="I276" i="334"/>
  <c r="I277" i="334" s="1"/>
  <c r="I278" i="334" s="1"/>
  <c r="I279" i="334" s="1"/>
  <c r="F276" i="334"/>
  <c r="I275" i="334"/>
  <c r="F275" i="334"/>
  <c r="F274" i="334"/>
  <c r="F280" i="334" s="1"/>
  <c r="F264" i="334"/>
  <c r="F263" i="334"/>
  <c r="F262" i="334"/>
  <c r="F261" i="334"/>
  <c r="F260" i="334"/>
  <c r="F259" i="334"/>
  <c r="E259" i="334"/>
  <c r="F257" i="334"/>
  <c r="F256" i="334"/>
  <c r="F255" i="334"/>
  <c r="F254" i="334"/>
  <c r="F253" i="334"/>
  <c r="I252" i="334"/>
  <c r="I253" i="334" s="1"/>
  <c r="I254" i="334" s="1"/>
  <c r="I255" i="334" s="1"/>
  <c r="I256" i="334" s="1"/>
  <c r="I257" i="334" s="1"/>
  <c r="F252" i="334"/>
  <c r="F251" i="334"/>
  <c r="F258" i="334" s="1"/>
  <c r="F249" i="334"/>
  <c r="C249" i="334"/>
  <c r="E249" i="334" s="1"/>
  <c r="F248" i="334"/>
  <c r="F247" i="334"/>
  <c r="F246" i="334"/>
  <c r="F245" i="334"/>
  <c r="F244" i="334"/>
  <c r="F243" i="334"/>
  <c r="F229" i="334"/>
  <c r="F238" i="334" s="1"/>
  <c r="F228" i="334"/>
  <c r="F237" i="334" s="1"/>
  <c r="F227" i="334"/>
  <c r="F236" i="334" s="1"/>
  <c r="F226" i="334"/>
  <c r="F235" i="334" s="1"/>
  <c r="F225" i="334"/>
  <c r="B225" i="334"/>
  <c r="B226" i="334" s="1"/>
  <c r="B227" i="334" s="1"/>
  <c r="B228" i="334" s="1"/>
  <c r="B229" i="334" s="1"/>
  <c r="B230" i="334" s="1"/>
  <c r="B231" i="334" s="1"/>
  <c r="B232" i="334" s="1"/>
  <c r="B234" i="334" s="1"/>
  <c r="B235" i="334" s="1"/>
  <c r="B236" i="334" s="1"/>
  <c r="B237" i="334" s="1"/>
  <c r="B238" i="334" s="1"/>
  <c r="B239" i="334" s="1"/>
  <c r="B240" i="334" s="1"/>
  <c r="C223" i="334"/>
  <c r="I222" i="334"/>
  <c r="C222" i="334"/>
  <c r="I221" i="334"/>
  <c r="C219" i="334"/>
  <c r="E214" i="334"/>
  <c r="E213" i="334"/>
  <c r="E211" i="334"/>
  <c r="E212" i="334" s="1"/>
  <c r="I207" i="334"/>
  <c r="I208" i="334" s="1"/>
  <c r="E207" i="334"/>
  <c r="E208" i="334" s="1"/>
  <c r="I206" i="334"/>
  <c r="I205" i="334"/>
  <c r="E205" i="334"/>
  <c r="E206" i="334" s="1"/>
  <c r="I203" i="334"/>
  <c r="I204" i="334" s="1"/>
  <c r="E203" i="334"/>
  <c r="I201" i="334"/>
  <c r="G201" i="334"/>
  <c r="G200" i="334"/>
  <c r="E200" i="334"/>
  <c r="I200" i="334" s="1"/>
  <c r="C199" i="334"/>
  <c r="E201" i="334" s="1"/>
  <c r="H198" i="334"/>
  <c r="I196" i="334"/>
  <c r="H196" i="334"/>
  <c r="I195" i="334"/>
  <c r="E199" i="334" s="1"/>
  <c r="G193" i="334"/>
  <c r="G192" i="334"/>
  <c r="H190" i="334"/>
  <c r="I189" i="334"/>
  <c r="H189" i="334"/>
  <c r="I188" i="334"/>
  <c r="G186" i="334"/>
  <c r="G185" i="334"/>
  <c r="I183" i="334"/>
  <c r="H183" i="334"/>
  <c r="H182" i="334"/>
  <c r="I182" i="334" s="1"/>
  <c r="G179" i="334"/>
  <c r="E179" i="334"/>
  <c r="I179" i="334" s="1"/>
  <c r="G178" i="334"/>
  <c r="C177" i="334"/>
  <c r="E178" i="334" s="1"/>
  <c r="I178" i="334" s="1"/>
  <c r="I176" i="334"/>
  <c r="H176" i="334"/>
  <c r="H175" i="334"/>
  <c r="I175" i="334" s="1"/>
  <c r="I174" i="334"/>
  <c r="I172" i="334"/>
  <c r="G172" i="334"/>
  <c r="E172" i="334"/>
  <c r="G171" i="334"/>
  <c r="C170" i="334"/>
  <c r="E171" i="334" s="1"/>
  <c r="I171" i="334" s="1"/>
  <c r="H169" i="334"/>
  <c r="I169" i="334" s="1"/>
  <c r="E170" i="334" s="1"/>
  <c r="I168" i="334"/>
  <c r="H168" i="334"/>
  <c r="I167" i="334"/>
  <c r="G165" i="334"/>
  <c r="G164" i="334"/>
  <c r="F162" i="334"/>
  <c r="E162" i="334"/>
  <c r="D279" i="334" s="1"/>
  <c r="D162" i="334"/>
  <c r="C279" i="334" s="1"/>
  <c r="E279" i="334" s="1"/>
  <c r="E161" i="334"/>
  <c r="D278" i="334" s="1"/>
  <c r="D161" i="334"/>
  <c r="C278" i="334" s="1"/>
  <c r="E160" i="334"/>
  <c r="D277" i="334" s="1"/>
  <c r="D160" i="334"/>
  <c r="C277" i="334" s="1"/>
  <c r="E277" i="334" s="1"/>
  <c r="F159" i="334"/>
  <c r="E159" i="334"/>
  <c r="D276" i="334" s="1"/>
  <c r="D159" i="334"/>
  <c r="C276" i="334" s="1"/>
  <c r="E276" i="334" s="1"/>
  <c r="E158" i="334"/>
  <c r="D275" i="334" s="1"/>
  <c r="D158" i="334"/>
  <c r="C275" i="334" s="1"/>
  <c r="H157" i="334"/>
  <c r="H158" i="334" s="1"/>
  <c r="H159" i="334" s="1"/>
  <c r="H160" i="334" s="1"/>
  <c r="H161" i="334" s="1"/>
  <c r="E157" i="334"/>
  <c r="D157" i="334"/>
  <c r="G155" i="334"/>
  <c r="G154" i="334"/>
  <c r="G152" i="334"/>
  <c r="F272" i="334" s="1"/>
  <c r="G151" i="334"/>
  <c r="F271" i="334" s="1"/>
  <c r="G150" i="334"/>
  <c r="F270" i="334" s="1"/>
  <c r="G148" i="334"/>
  <c r="G147" i="334"/>
  <c r="H145" i="334"/>
  <c r="H150" i="334" s="1"/>
  <c r="H151" i="334" s="1"/>
  <c r="H152" i="334" s="1"/>
  <c r="G145" i="334"/>
  <c r="F268" i="334" s="1"/>
  <c r="H144" i="334"/>
  <c r="G144" i="334"/>
  <c r="F267" i="334" s="1"/>
  <c r="G143" i="334"/>
  <c r="F266" i="334" s="1"/>
  <c r="F269" i="334" s="1"/>
  <c r="G141" i="334"/>
  <c r="G140" i="334"/>
  <c r="H138" i="334"/>
  <c r="I138" i="334" s="1"/>
  <c r="G135" i="334"/>
  <c r="G134" i="334"/>
  <c r="J133" i="334"/>
  <c r="F132" i="334"/>
  <c r="D132" i="334"/>
  <c r="I132" i="334" s="1"/>
  <c r="I131" i="334"/>
  <c r="H131" i="334"/>
  <c r="H132" i="334" s="1"/>
  <c r="F131" i="334"/>
  <c r="D131" i="334"/>
  <c r="C133" i="334" s="1"/>
  <c r="F130" i="334"/>
  <c r="D130" i="334"/>
  <c r="I130" i="334" s="1"/>
  <c r="G128" i="334"/>
  <c r="G127" i="334"/>
  <c r="J126" i="334"/>
  <c r="H125" i="334"/>
  <c r="E125" i="334"/>
  <c r="E152" i="334" s="1"/>
  <c r="D272" i="334" s="1"/>
  <c r="D125" i="334"/>
  <c r="D152" i="334" s="1"/>
  <c r="H124" i="334"/>
  <c r="E124" i="334"/>
  <c r="E151" i="334" s="1"/>
  <c r="D271" i="334" s="1"/>
  <c r="D124" i="334"/>
  <c r="E123" i="334"/>
  <c r="E150" i="334" s="1"/>
  <c r="D270" i="334" s="1"/>
  <c r="D123" i="334"/>
  <c r="D150" i="334" s="1"/>
  <c r="G121" i="334"/>
  <c r="G120" i="334"/>
  <c r="J119" i="334"/>
  <c r="E118" i="334"/>
  <c r="E145" i="334" s="1"/>
  <c r="D268" i="334" s="1"/>
  <c r="D118" i="334"/>
  <c r="D145" i="334" s="1"/>
  <c r="H117" i="334"/>
  <c r="H118" i="334" s="1"/>
  <c r="E117" i="334"/>
  <c r="D117" i="334"/>
  <c r="D144" i="334" s="1"/>
  <c r="D116" i="334"/>
  <c r="D143" i="334" s="1"/>
  <c r="C266" i="334" s="1"/>
  <c r="G114" i="334"/>
  <c r="G113" i="334"/>
  <c r="J112" i="334"/>
  <c r="H111" i="334"/>
  <c r="F111" i="334"/>
  <c r="I111" i="334" s="1"/>
  <c r="H110" i="334"/>
  <c r="F110" i="334"/>
  <c r="I110" i="334" s="1"/>
  <c r="H109" i="334"/>
  <c r="F109" i="334"/>
  <c r="I109" i="334" s="1"/>
  <c r="G106" i="334"/>
  <c r="G105" i="334"/>
  <c r="G103" i="334"/>
  <c r="F232" i="334" s="1"/>
  <c r="F241" i="334" s="1"/>
  <c r="E103" i="334"/>
  <c r="D232" i="334" s="1"/>
  <c r="D241" i="334" s="1"/>
  <c r="G102" i="334"/>
  <c r="F231" i="334" s="1"/>
  <c r="F240" i="334" s="1"/>
  <c r="G101" i="334"/>
  <c r="F230" i="334" s="1"/>
  <c r="F239" i="334" s="1"/>
  <c r="C101" i="334"/>
  <c r="G99" i="334"/>
  <c r="G98" i="334"/>
  <c r="G96" i="334"/>
  <c r="D96" i="334"/>
  <c r="C229" i="334" s="1"/>
  <c r="H95" i="334"/>
  <c r="H96" i="334" s="1"/>
  <c r="H101" i="334" s="1"/>
  <c r="H102" i="334" s="1"/>
  <c r="H103" i="334" s="1"/>
  <c r="G95" i="334"/>
  <c r="E95" i="334"/>
  <c r="D228" i="334" s="1"/>
  <c r="D237" i="334" s="1"/>
  <c r="H94" i="334"/>
  <c r="G94" i="334"/>
  <c r="H93" i="334"/>
  <c r="G93" i="334"/>
  <c r="D93" i="334"/>
  <c r="G92" i="334"/>
  <c r="G90" i="334"/>
  <c r="G89" i="334"/>
  <c r="E87" i="334"/>
  <c r="D87" i="334"/>
  <c r="C264" i="334" s="1"/>
  <c r="E86" i="334"/>
  <c r="D86" i="334"/>
  <c r="C263" i="334" s="1"/>
  <c r="E85" i="334"/>
  <c r="D85" i="334"/>
  <c r="C262" i="334" s="1"/>
  <c r="E84" i="334"/>
  <c r="D84" i="334"/>
  <c r="E83" i="334"/>
  <c r="D260" i="334" s="1"/>
  <c r="D83" i="334"/>
  <c r="F82" i="334"/>
  <c r="E82" i="334"/>
  <c r="D259" i="334" s="1"/>
  <c r="D82" i="334"/>
  <c r="C259" i="334" s="1"/>
  <c r="F81" i="334"/>
  <c r="E81" i="334"/>
  <c r="D257" i="334" s="1"/>
  <c r="D81" i="334"/>
  <c r="C257" i="334" s="1"/>
  <c r="E257" i="334" s="1"/>
  <c r="E80" i="334"/>
  <c r="D256" i="334" s="1"/>
  <c r="D80" i="334"/>
  <c r="C256" i="334" s="1"/>
  <c r="E79" i="334"/>
  <c r="D79" i="334"/>
  <c r="C255" i="334" s="1"/>
  <c r="E78" i="334"/>
  <c r="D78" i="334"/>
  <c r="C254" i="334" s="1"/>
  <c r="E77" i="334"/>
  <c r="D253" i="334" s="1"/>
  <c r="D282" i="334" s="1"/>
  <c r="D77" i="334"/>
  <c r="C253" i="334" s="1"/>
  <c r="E76" i="334"/>
  <c r="D252" i="334" s="1"/>
  <c r="D281" i="334" s="1"/>
  <c r="D76" i="334"/>
  <c r="E75" i="334"/>
  <c r="D251" i="334" s="1"/>
  <c r="D75" i="334"/>
  <c r="F74" i="334"/>
  <c r="E74" i="334"/>
  <c r="D249" i="334" s="1"/>
  <c r="D74" i="334"/>
  <c r="F73" i="334"/>
  <c r="E73" i="334"/>
  <c r="D248" i="334" s="1"/>
  <c r="D73" i="334"/>
  <c r="C248" i="334" s="1"/>
  <c r="E248" i="334" s="1"/>
  <c r="E72" i="334"/>
  <c r="D247" i="334" s="1"/>
  <c r="D72" i="334"/>
  <c r="C247" i="334" s="1"/>
  <c r="E71" i="334"/>
  <c r="D71" i="334"/>
  <c r="C246" i="334" s="1"/>
  <c r="H70" i="334"/>
  <c r="H73" i="334" s="1"/>
  <c r="H74" i="334" s="1"/>
  <c r="H75" i="334" s="1"/>
  <c r="E70" i="334"/>
  <c r="D70" i="334"/>
  <c r="C245" i="334" s="1"/>
  <c r="H69" i="334"/>
  <c r="G66" i="334"/>
  <c r="G65" i="334"/>
  <c r="J64" i="334"/>
  <c r="I63" i="334"/>
  <c r="I61" i="334"/>
  <c r="I60" i="334"/>
  <c r="G58" i="334"/>
  <c r="G57" i="334"/>
  <c r="J56" i="334"/>
  <c r="F55" i="334"/>
  <c r="I55" i="334" s="1"/>
  <c r="D55" i="334"/>
  <c r="H54" i="334"/>
  <c r="H55" i="334" s="1"/>
  <c r="F54" i="334"/>
  <c r="D54" i="334"/>
  <c r="I54" i="334" s="1"/>
  <c r="H53" i="334"/>
  <c r="F53" i="334"/>
  <c r="I53" i="334" s="1"/>
  <c r="D53" i="334"/>
  <c r="F52" i="334"/>
  <c r="G50" i="334"/>
  <c r="G49" i="334"/>
  <c r="E47" i="334"/>
  <c r="D47" i="334"/>
  <c r="F47" i="334" s="1"/>
  <c r="F46" i="334"/>
  <c r="E46" i="334"/>
  <c r="D46" i="334"/>
  <c r="F45" i="334"/>
  <c r="I45" i="334" s="1"/>
  <c r="E45" i="334"/>
  <c r="D45" i="334"/>
  <c r="E44" i="334"/>
  <c r="D44" i="334"/>
  <c r="F44" i="334" s="1"/>
  <c r="I44" i="334" s="1"/>
  <c r="H43" i="334"/>
  <c r="H44" i="334" s="1"/>
  <c r="H45" i="334" s="1"/>
  <c r="H46" i="334" s="1"/>
  <c r="H47" i="334" s="1"/>
  <c r="E43" i="334"/>
  <c r="F43" i="334" s="1"/>
  <c r="I43" i="334" s="1"/>
  <c r="D43" i="334"/>
  <c r="E42" i="334"/>
  <c r="G42" i="334"/>
  <c r="G40" i="334"/>
  <c r="G39" i="334"/>
  <c r="J38" i="334"/>
  <c r="H37" i="334"/>
  <c r="E37" i="334"/>
  <c r="D37" i="334"/>
  <c r="H36" i="334"/>
  <c r="E36" i="334"/>
  <c r="E102" i="334" s="1"/>
  <c r="D231" i="334" s="1"/>
  <c r="D240" i="334" s="1"/>
  <c r="D36" i="334"/>
  <c r="E35" i="334"/>
  <c r="G33" i="334"/>
  <c r="G32" i="334"/>
  <c r="J31" i="334"/>
  <c r="F30" i="334"/>
  <c r="I30" i="334" s="1"/>
  <c r="E30" i="334"/>
  <c r="E96" i="334" s="1"/>
  <c r="D229" i="334" s="1"/>
  <c r="D238" i="334" s="1"/>
  <c r="D30" i="334"/>
  <c r="F29" i="334"/>
  <c r="I29" i="334" s="1"/>
  <c r="E29" i="334"/>
  <c r="D29" i="334"/>
  <c r="D95" i="334" s="1"/>
  <c r="E28" i="334"/>
  <c r="E94" i="334" s="1"/>
  <c r="D227" i="334" s="1"/>
  <c r="D236" i="334" s="1"/>
  <c r="D28" i="334"/>
  <c r="H27" i="334"/>
  <c r="H28" i="334" s="1"/>
  <c r="H29" i="334" s="1"/>
  <c r="H30" i="334" s="1"/>
  <c r="E27" i="334"/>
  <c r="D27" i="334"/>
  <c r="E26" i="334"/>
  <c r="D26" i="334"/>
  <c r="J22" i="334"/>
  <c r="F21" i="334"/>
  <c r="H20" i="334"/>
  <c r="H21" i="334" s="1"/>
  <c r="I21" i="334" s="1"/>
  <c r="F20" i="334"/>
  <c r="I20" i="334" s="1"/>
  <c r="I19" i="334"/>
  <c r="F19" i="334"/>
  <c r="I18" i="334"/>
  <c r="F18" i="334"/>
  <c r="H17" i="334"/>
  <c r="H18" i="334" s="1"/>
  <c r="H19" i="334" s="1"/>
  <c r="F17" i="334"/>
  <c r="I17" i="334" s="1"/>
  <c r="H16" i="334"/>
  <c r="F16" i="334"/>
  <c r="I16" i="334" s="1"/>
  <c r="H15" i="334"/>
  <c r="F15" i="334"/>
  <c r="I15" i="334" s="1"/>
  <c r="M11" i="334"/>
  <c r="M10" i="334"/>
  <c r="M9" i="334"/>
  <c r="M8" i="334"/>
  <c r="H8" i="334"/>
  <c r="H9" i="334" s="1"/>
  <c r="E8" i="334"/>
  <c r="C8" i="334"/>
  <c r="M7" i="334"/>
  <c r="M6" i="334"/>
  <c r="E6" i="334"/>
  <c r="F190" i="334" s="1"/>
  <c r="C191" i="334" s="1"/>
  <c r="E192" i="334" s="1"/>
  <c r="I192" i="334" s="1"/>
  <c r="D6" i="334"/>
  <c r="M5" i="334"/>
  <c r="E5" i="334"/>
  <c r="E366" i="334" s="1"/>
  <c r="D5" i="334"/>
  <c r="M4" i="334"/>
  <c r="F4" i="334"/>
  <c r="V372" i="334" s="1"/>
  <c r="B4" i="334"/>
  <c r="R370" i="334" s="1"/>
  <c r="I27" i="332"/>
  <c r="H53" i="332"/>
  <c r="H52" i="332"/>
  <c r="H51" i="332"/>
  <c r="H50" i="332"/>
  <c r="H49" i="332"/>
  <c r="H48" i="332"/>
  <c r="H47" i="332"/>
  <c r="H46" i="332"/>
  <c r="H45" i="332"/>
  <c r="K44" i="332"/>
  <c r="G40" i="332"/>
  <c r="L39" i="332"/>
  <c r="D43" i="332" s="1"/>
  <c r="H43" i="332" s="1"/>
  <c r="H39" i="332"/>
  <c r="AH147" i="307" l="1"/>
  <c r="AH148" i="326"/>
  <c r="AH149" i="326" s="1"/>
  <c r="AH150" i="326" s="1"/>
  <c r="AH148" i="331"/>
  <c r="AH149" i="331" s="1"/>
  <c r="AH150" i="331" s="1"/>
  <c r="AH148" i="307"/>
  <c r="AH149" i="307" s="1"/>
  <c r="AH150" i="307" s="1"/>
  <c r="H10" i="334"/>
  <c r="I9" i="334"/>
  <c r="H306" i="334"/>
  <c r="H308" i="334" s="1"/>
  <c r="H286" i="334"/>
  <c r="H318" i="334"/>
  <c r="U382" i="334"/>
  <c r="E308" i="334"/>
  <c r="D344" i="334"/>
  <c r="H344" i="334" s="1"/>
  <c r="E204" i="334"/>
  <c r="H309" i="334"/>
  <c r="F217" i="334"/>
  <c r="I8" i="334"/>
  <c r="F6" i="334"/>
  <c r="B243" i="334"/>
  <c r="B244" i="334" s="1"/>
  <c r="B245" i="334" s="1"/>
  <c r="B246" i="334" s="1"/>
  <c r="B241" i="334"/>
  <c r="C332" i="334" a="1"/>
  <c r="C332" i="334" s="1"/>
  <c r="H332" i="334" s="1"/>
  <c r="C294" i="334"/>
  <c r="G212" i="334"/>
  <c r="I212" i="334" s="1"/>
  <c r="D92" i="334"/>
  <c r="C260" i="334"/>
  <c r="E260" i="334" s="1"/>
  <c r="F83" i="334"/>
  <c r="C267" i="334"/>
  <c r="G235" i="334"/>
  <c r="G237" i="334" s="1"/>
  <c r="G239" i="334" s="1"/>
  <c r="G241" i="334" s="1"/>
  <c r="G236" i="334"/>
  <c r="G238" i="334" s="1"/>
  <c r="G240" i="334" s="1"/>
  <c r="G213" i="334"/>
  <c r="I213" i="334" s="1"/>
  <c r="E92" i="334"/>
  <c r="D225" i="334" s="1"/>
  <c r="D234" i="334" s="1"/>
  <c r="I74" i="334"/>
  <c r="D263" i="334"/>
  <c r="F86" i="334"/>
  <c r="F117" i="334"/>
  <c r="I117" i="334" s="1"/>
  <c r="E144" i="334"/>
  <c r="D267" i="334" s="1"/>
  <c r="E133" i="334"/>
  <c r="C251" i="334"/>
  <c r="E251" i="334" s="1"/>
  <c r="F75" i="334"/>
  <c r="I75" i="334" s="1"/>
  <c r="E135" i="334"/>
  <c r="I135" i="334" s="1"/>
  <c r="E134" i="334"/>
  <c r="I134" i="334" s="1"/>
  <c r="D94" i="334"/>
  <c r="F28" i="334"/>
  <c r="I28" i="334" s="1"/>
  <c r="C228" i="334"/>
  <c r="F95" i="334"/>
  <c r="I95" i="334" s="1"/>
  <c r="D254" i="334"/>
  <c r="F78" i="334"/>
  <c r="I78" i="334" s="1"/>
  <c r="D366" i="334"/>
  <c r="F366" i="334" s="1"/>
  <c r="F5" i="334"/>
  <c r="H5" i="334" s="1"/>
  <c r="E93" i="334"/>
  <c r="D226" i="334" s="1"/>
  <c r="D235" i="334" s="1"/>
  <c r="F27" i="334"/>
  <c r="I27" i="334" s="1"/>
  <c r="C252" i="334"/>
  <c r="F76" i="334"/>
  <c r="D103" i="334"/>
  <c r="F37" i="334"/>
  <c r="I37" i="334" s="1"/>
  <c r="C261" i="334"/>
  <c r="C283" i="334"/>
  <c r="F84" i="334"/>
  <c r="I84" i="334" s="1"/>
  <c r="I47" i="334"/>
  <c r="D264" i="334"/>
  <c r="F87" i="334"/>
  <c r="D245" i="334"/>
  <c r="E245" i="334" s="1"/>
  <c r="F70" i="334"/>
  <c r="I70" i="334" s="1"/>
  <c r="C226" i="334"/>
  <c r="F93" i="334"/>
  <c r="I93" i="334" s="1"/>
  <c r="D102" i="334"/>
  <c r="F36" i="334"/>
  <c r="I36" i="334" s="1"/>
  <c r="D255" i="334"/>
  <c r="F79" i="334"/>
  <c r="C270" i="334"/>
  <c r="E270" i="334" s="1"/>
  <c r="F150" i="334"/>
  <c r="H162" i="334"/>
  <c r="I162" i="334" s="1"/>
  <c r="G217" i="334"/>
  <c r="D349" i="334"/>
  <c r="H349" i="334" s="1"/>
  <c r="D346" i="334"/>
  <c r="H345" i="334"/>
  <c r="F26" i="334"/>
  <c r="I26" i="334" s="1"/>
  <c r="E31" i="334" s="1"/>
  <c r="I46" i="334"/>
  <c r="E209" i="334"/>
  <c r="E210" i="334" s="1"/>
  <c r="J48" i="334"/>
  <c r="D381" i="334" s="1"/>
  <c r="I381" i="334" s="1"/>
  <c r="I81" i="334"/>
  <c r="C268" i="334"/>
  <c r="E268" i="334" s="1"/>
  <c r="F145" i="334"/>
  <c r="I145" i="334" s="1"/>
  <c r="I159" i="334"/>
  <c r="I73" i="334"/>
  <c r="D246" i="334"/>
  <c r="F71" i="334"/>
  <c r="I71" i="334" s="1"/>
  <c r="D151" i="334"/>
  <c r="F124" i="334"/>
  <c r="I124" i="334" s="1"/>
  <c r="E253" i="334"/>
  <c r="C282" i="334"/>
  <c r="E282" i="334" s="1"/>
  <c r="E262" i="334"/>
  <c r="C238" i="334"/>
  <c r="E238" i="334" s="1"/>
  <c r="H238" i="334" s="1"/>
  <c r="E229" i="334"/>
  <c r="H229" i="334" s="1"/>
  <c r="F152" i="334"/>
  <c r="I152" i="334" s="1"/>
  <c r="C272" i="334"/>
  <c r="E272" i="334" s="1"/>
  <c r="F72" i="334"/>
  <c r="I72" i="334" s="1"/>
  <c r="F80" i="334"/>
  <c r="I80" i="334" s="1"/>
  <c r="D262" i="334"/>
  <c r="D284" i="334"/>
  <c r="F118" i="334"/>
  <c r="I118" i="334" s="1"/>
  <c r="F123" i="334"/>
  <c r="F161" i="334"/>
  <c r="I161" i="334" s="1"/>
  <c r="F265" i="334"/>
  <c r="C284" i="334"/>
  <c r="E284" i="334" s="1"/>
  <c r="H304" i="334"/>
  <c r="C220" i="334"/>
  <c r="C221" i="334" s="1"/>
  <c r="F233" i="334"/>
  <c r="G214" i="334"/>
  <c r="I214" i="334" s="1"/>
  <c r="E246" i="334"/>
  <c r="F77" i="334"/>
  <c r="E255" i="334"/>
  <c r="F85" i="334"/>
  <c r="E264" i="334"/>
  <c r="F96" i="334"/>
  <c r="I96" i="334" s="1"/>
  <c r="E101" i="334"/>
  <c r="D230" i="334" s="1"/>
  <c r="D239" i="334" s="1"/>
  <c r="F125" i="334"/>
  <c r="I125" i="334" s="1"/>
  <c r="F273" i="334"/>
  <c r="E275" i="334"/>
  <c r="I190" i="334"/>
  <c r="E191" i="334" s="1"/>
  <c r="S386" i="334"/>
  <c r="U386" i="334" s="1"/>
  <c r="S388" i="334"/>
  <c r="U388" i="334" s="1"/>
  <c r="U387" i="334" s="1"/>
  <c r="F158" i="334"/>
  <c r="I158" i="334" s="1"/>
  <c r="D261" i="334"/>
  <c r="D283" i="334"/>
  <c r="H4" i="334"/>
  <c r="E14" i="334"/>
  <c r="H71" i="334"/>
  <c r="H72" i="334" s="1"/>
  <c r="H76" i="334" s="1"/>
  <c r="H77" i="334" s="1"/>
  <c r="H78" i="334" s="1"/>
  <c r="H79" i="334" s="1"/>
  <c r="H80" i="334" s="1"/>
  <c r="H81" i="334" s="1"/>
  <c r="H82" i="334" s="1"/>
  <c r="H83" i="334" s="1"/>
  <c r="H84" i="334" s="1"/>
  <c r="H85" i="334" s="1"/>
  <c r="H86" i="334" s="1"/>
  <c r="H87" i="334" s="1"/>
  <c r="E254" i="334"/>
  <c r="E263" i="334"/>
  <c r="F160" i="334"/>
  <c r="I160" i="334" s="1"/>
  <c r="E177" i="334"/>
  <c r="E193" i="334"/>
  <c r="I193" i="334" s="1"/>
  <c r="F250" i="334"/>
  <c r="C338" i="334" s="1"/>
  <c r="H290" i="334"/>
  <c r="S385" i="334"/>
  <c r="U385" i="334" s="1"/>
  <c r="E247" i="334"/>
  <c r="E256" i="334"/>
  <c r="F157" i="334"/>
  <c r="D274" i="334"/>
  <c r="E278" i="334"/>
  <c r="C317" i="334"/>
  <c r="C215" i="334" a="1"/>
  <c r="C215" i="334" s="1"/>
  <c r="C274" i="334"/>
  <c r="F234" i="334"/>
  <c r="F242" i="334" s="1"/>
  <c r="F292" i="334" s="1"/>
  <c r="D40" i="332"/>
  <c r="H40" i="332" s="1"/>
  <c r="H41" i="332" s="1"/>
  <c r="D44" i="332"/>
  <c r="H44" i="332" s="1"/>
  <c r="D42" i="332"/>
  <c r="H42" i="332" s="1"/>
  <c r="H54" i="332" s="1"/>
  <c r="G243" i="334" l="1"/>
  <c r="G244" i="334" s="1"/>
  <c r="G245" i="334" s="1"/>
  <c r="H11" i="334"/>
  <c r="I11" i="334" s="1"/>
  <c r="I12" i="334" s="1"/>
  <c r="I10" i="334"/>
  <c r="C315" i="334"/>
  <c r="H315" i="334" s="1"/>
  <c r="C311" i="334"/>
  <c r="H311" i="334" s="1"/>
  <c r="H6" i="334"/>
  <c r="I79" i="334"/>
  <c r="I77" i="334"/>
  <c r="I82" i="334"/>
  <c r="I76" i="334"/>
  <c r="C231" i="334"/>
  <c r="F102" i="334"/>
  <c r="I102" i="334" s="1"/>
  <c r="C225" i="334"/>
  <c r="F92" i="334"/>
  <c r="C163" i="334"/>
  <c r="I157" i="334"/>
  <c r="E163" i="334" s="1"/>
  <c r="H366" i="334"/>
  <c r="D387" i="334" s="1"/>
  <c r="I387" i="334" s="1"/>
  <c r="D362" i="334"/>
  <c r="H362" i="334" s="1"/>
  <c r="D52" i="334"/>
  <c r="D35" i="334"/>
  <c r="D42" i="334"/>
  <c r="F42" i="334" s="1"/>
  <c r="E274" i="334"/>
  <c r="E283" i="334"/>
  <c r="E228" i="334"/>
  <c r="H228" i="334" s="1"/>
  <c r="C237" i="334"/>
  <c r="E237" i="334" s="1"/>
  <c r="H237" i="334" s="1"/>
  <c r="D68" i="334"/>
  <c r="D69" i="334"/>
  <c r="C281" i="334"/>
  <c r="E281" i="334" s="1"/>
  <c r="E252" i="334"/>
  <c r="I150" i="334"/>
  <c r="C235" i="334"/>
  <c r="E235" i="334" s="1"/>
  <c r="H235" i="334" s="1"/>
  <c r="E226" i="334"/>
  <c r="H226" i="334" s="1"/>
  <c r="E261" i="334"/>
  <c r="I86" i="334"/>
  <c r="F144" i="334"/>
  <c r="I144" i="334" s="1"/>
  <c r="E69" i="334"/>
  <c r="D244" i="334" s="1"/>
  <c r="F181" i="334"/>
  <c r="D62" i="334"/>
  <c r="U384" i="334"/>
  <c r="C126" i="334"/>
  <c r="I123" i="334"/>
  <c r="E126" i="334" s="1"/>
  <c r="C31" i="334"/>
  <c r="F14" i="334"/>
  <c r="C227" i="334"/>
  <c r="F94" i="334"/>
  <c r="I94" i="334" s="1"/>
  <c r="E267" i="334"/>
  <c r="I83" i="334"/>
  <c r="I85" i="334"/>
  <c r="F291" i="334"/>
  <c r="C339" i="334"/>
  <c r="H339" i="334" s="1"/>
  <c r="C271" i="334"/>
  <c r="E271" i="334" s="1"/>
  <c r="F151" i="334"/>
  <c r="I151" i="334" s="1"/>
  <c r="C343" i="334"/>
  <c r="H343" i="334" s="1"/>
  <c r="H338" i="334"/>
  <c r="D347" i="334"/>
  <c r="H347" i="334" s="1"/>
  <c r="H346" i="334"/>
  <c r="I87" i="334"/>
  <c r="C232" i="334"/>
  <c r="F103" i="334"/>
  <c r="I103" i="334" s="1"/>
  <c r="B250" i="334"/>
  <c r="B247" i="334"/>
  <c r="B248" i="334" s="1"/>
  <c r="B249" i="334" s="1"/>
  <c r="B251" i="334" s="1"/>
  <c r="B252" i="334" s="1"/>
  <c r="B253" i="334" s="1"/>
  <c r="B254" i="334" s="1"/>
  <c r="B255" i="334" s="1"/>
  <c r="B256" i="334" s="1"/>
  <c r="B257" i="334" s="1"/>
  <c r="B259" i="334" s="1"/>
  <c r="B260" i="334" s="1"/>
  <c r="B261" i="334" s="1"/>
  <c r="B262" i="334" s="1"/>
  <c r="B263" i="334" s="1"/>
  <c r="B264" i="334" s="1"/>
  <c r="G55" i="332"/>
  <c r="H55" i="332" s="1"/>
  <c r="J53" i="332"/>
  <c r="E12" i="334" l="1"/>
  <c r="G246" i="334"/>
  <c r="H245" i="334"/>
  <c r="C12" i="334"/>
  <c r="H12" i="334"/>
  <c r="C241" i="334"/>
  <c r="E241" i="334" s="1"/>
  <c r="H241" i="334" s="1"/>
  <c r="E232" i="334"/>
  <c r="H232" i="334" s="1"/>
  <c r="I42" i="334"/>
  <c r="E48" i="334" s="1"/>
  <c r="C48" i="334"/>
  <c r="D348" i="334"/>
  <c r="H348" i="334" s="1"/>
  <c r="D357" i="334"/>
  <c r="D342" i="334"/>
  <c r="H342" i="334" s="1"/>
  <c r="I62" i="334"/>
  <c r="E64" i="334" s="1"/>
  <c r="C64" i="334"/>
  <c r="C243" i="334"/>
  <c r="E243" i="334" s="1"/>
  <c r="F68" i="334"/>
  <c r="C334" i="334" a="1"/>
  <c r="C334" i="334" s="1"/>
  <c r="I52" i="334"/>
  <c r="E56" i="334" s="1"/>
  <c r="C56" i="334"/>
  <c r="C240" i="334"/>
  <c r="E240" i="334" s="1"/>
  <c r="H240" i="334" s="1"/>
  <c r="E231" i="334"/>
  <c r="H231" i="334" s="1"/>
  <c r="B266" i="334"/>
  <c r="B267" i="334"/>
  <c r="B268" i="334" s="1"/>
  <c r="B270" i="334" s="1"/>
  <c r="B271" i="334" s="1"/>
  <c r="B272" i="334" s="1"/>
  <c r="B274" i="334" s="1"/>
  <c r="B275" i="334" s="1"/>
  <c r="B276" i="334" s="1"/>
  <c r="B277" i="334" s="1"/>
  <c r="B278" i="334" s="1"/>
  <c r="B279" i="334" s="1"/>
  <c r="I273" i="334"/>
  <c r="I181" i="334"/>
  <c r="E184" i="334" s="1"/>
  <c r="C184" i="334"/>
  <c r="E153" i="334"/>
  <c r="I280" i="334"/>
  <c r="C234" i="334"/>
  <c r="E234" i="334" s="1"/>
  <c r="E225" i="334"/>
  <c r="C22" i="334"/>
  <c r="I14" i="334"/>
  <c r="E22" i="334" s="1"/>
  <c r="C300" i="334"/>
  <c r="G211" i="334"/>
  <c r="D101" i="334"/>
  <c r="F35" i="334"/>
  <c r="C323" i="334"/>
  <c r="E32" i="334"/>
  <c r="I32" i="334" s="1"/>
  <c r="E33" i="334"/>
  <c r="I33" i="334" s="1"/>
  <c r="C153" i="334"/>
  <c r="I265" i="334"/>
  <c r="C244" i="334"/>
  <c r="E244" i="334" s="1"/>
  <c r="H244" i="334" s="1"/>
  <c r="F69" i="334"/>
  <c r="I69" i="334" s="1"/>
  <c r="I258" i="334"/>
  <c r="E116" i="334"/>
  <c r="F108" i="334"/>
  <c r="I92" i="334"/>
  <c r="E97" i="334" s="1"/>
  <c r="C97" i="334"/>
  <c r="C236" i="334"/>
  <c r="E236" i="334" s="1"/>
  <c r="H236" i="334" s="1"/>
  <c r="E227" i="334"/>
  <c r="H227" i="334" s="1"/>
  <c r="I285" i="334"/>
  <c r="C327" i="334"/>
  <c r="E128" i="334"/>
  <c r="I128" i="334" s="1"/>
  <c r="E127" i="334"/>
  <c r="I127" i="334" s="1"/>
  <c r="E164" i="334"/>
  <c r="I164" i="334" s="1"/>
  <c r="E165" i="334"/>
  <c r="G56" i="332"/>
  <c r="H56" i="332" s="1"/>
  <c r="G57" i="332" s="1"/>
  <c r="H57" i="332" s="1"/>
  <c r="G247" i="334" l="1"/>
  <c r="H246" i="334"/>
  <c r="E143" i="334"/>
  <c r="D137" i="334"/>
  <c r="F116" i="334"/>
  <c r="C230" i="334"/>
  <c r="F101" i="334"/>
  <c r="H215" i="334" a="1"/>
  <c r="H215" i="334" s="1"/>
  <c r="I215" i="334" s="1"/>
  <c r="E220" i="334" s="1"/>
  <c r="I211" i="334"/>
  <c r="E154" i="334"/>
  <c r="I154" i="334" s="1"/>
  <c r="E155" i="334"/>
  <c r="I155" i="334" s="1"/>
  <c r="H334" i="334"/>
  <c r="K165" i="334"/>
  <c r="I165" i="334"/>
  <c r="E99" i="334"/>
  <c r="I99" i="334" s="1"/>
  <c r="E98" i="334"/>
  <c r="I98" i="334" s="1"/>
  <c r="E24" i="334"/>
  <c r="I24" i="334" s="1"/>
  <c r="E23" i="334"/>
  <c r="I23" i="334" s="1"/>
  <c r="C88" i="334"/>
  <c r="I68" i="334"/>
  <c r="E88" i="334" s="1"/>
  <c r="E49" i="334"/>
  <c r="I49" i="334" s="1"/>
  <c r="E50" i="334"/>
  <c r="I50" i="334" s="1"/>
  <c r="C328" i="334"/>
  <c r="H328" i="334" s="1"/>
  <c r="H327" i="334"/>
  <c r="H225" i="334"/>
  <c r="C324" i="334"/>
  <c r="H324" i="334" s="1"/>
  <c r="H323" i="334"/>
  <c r="H234" i="334"/>
  <c r="E66" i="334"/>
  <c r="I66" i="334" s="1"/>
  <c r="E65" i="334"/>
  <c r="I65" i="334" s="1"/>
  <c r="E185" i="334"/>
  <c r="I185" i="334" s="1"/>
  <c r="E186" i="334"/>
  <c r="I186" i="334" s="1"/>
  <c r="H243" i="334"/>
  <c r="I250" i="334"/>
  <c r="I108" i="334"/>
  <c r="E112" i="334" s="1"/>
  <c r="C112" i="334"/>
  <c r="I35" i="334"/>
  <c r="E38" i="334" s="1"/>
  <c r="C38" i="334"/>
  <c r="E58" i="334"/>
  <c r="I58" i="334" s="1"/>
  <c r="E57" i="334"/>
  <c r="I57" i="334" s="1"/>
  <c r="G58" i="332"/>
  <c r="H58" i="332" s="1"/>
  <c r="H59" i="332"/>
  <c r="H60" i="332" s="1"/>
  <c r="H37" i="332" s="1"/>
  <c r="J9" i="218"/>
  <c r="G306" i="298"/>
  <c r="H306" i="298" s="1"/>
  <c r="G306" i="299"/>
  <c r="H306" i="299" s="1"/>
  <c r="G306" i="300"/>
  <c r="G306" i="301"/>
  <c r="H306" i="301" s="1"/>
  <c r="G306" i="302"/>
  <c r="H306" i="302" s="1"/>
  <c r="G306" i="303"/>
  <c r="G306" i="304"/>
  <c r="H306" i="304" s="1"/>
  <c r="G306" i="310"/>
  <c r="H306" i="310" s="1"/>
  <c r="G306" i="311"/>
  <c r="G306" i="312"/>
  <c r="H306" i="312" s="1"/>
  <c r="G306" i="313"/>
  <c r="G306" i="314"/>
  <c r="G306" i="317"/>
  <c r="G306" i="318"/>
  <c r="G306" i="319"/>
  <c r="H306" i="319" s="1"/>
  <c r="G306" i="320"/>
  <c r="H306" i="320" s="1"/>
  <c r="G306" i="321"/>
  <c r="H306" i="321" s="1"/>
  <c r="G306" i="322"/>
  <c r="H306" i="322" s="1"/>
  <c r="G306" i="323"/>
  <c r="G306" i="324"/>
  <c r="G306" i="325"/>
  <c r="H306" i="325" s="1"/>
  <c r="G306" i="329"/>
  <c r="G306" i="308"/>
  <c r="H306" i="308" s="1"/>
  <c r="G306" i="328"/>
  <c r="H306" i="328" s="1"/>
  <c r="G306" i="309"/>
  <c r="H306" i="309" s="1"/>
  <c r="G306" i="217"/>
  <c r="H306" i="217" s="1"/>
  <c r="H306" i="300"/>
  <c r="H306" i="303"/>
  <c r="H306" i="311"/>
  <c r="H306" i="313"/>
  <c r="H306" i="314"/>
  <c r="H306" i="317"/>
  <c r="H306" i="318"/>
  <c r="H306" i="323"/>
  <c r="H306" i="324"/>
  <c r="H306" i="329"/>
  <c r="E306" i="298"/>
  <c r="E306" i="299"/>
  <c r="E306" i="300"/>
  <c r="E306" i="301"/>
  <c r="E306" i="302"/>
  <c r="E306" i="303"/>
  <c r="E306" i="304"/>
  <c r="E306" i="310"/>
  <c r="E306" i="311"/>
  <c r="E306" i="312"/>
  <c r="E306" i="313"/>
  <c r="E306" i="314"/>
  <c r="E306" i="317"/>
  <c r="E306" i="318"/>
  <c r="E306" i="319"/>
  <c r="E306" i="320"/>
  <c r="E306" i="321"/>
  <c r="E306" i="322"/>
  <c r="E306" i="323"/>
  <c r="E306" i="324"/>
  <c r="E306" i="325"/>
  <c r="E306" i="329"/>
  <c r="E306" i="308"/>
  <c r="E306" i="328"/>
  <c r="E306" i="309"/>
  <c r="E306" i="217"/>
  <c r="G60" i="315"/>
  <c r="G60" i="316"/>
  <c r="G60" i="306"/>
  <c r="C60" i="315"/>
  <c r="C60" i="316"/>
  <c r="C60" i="306"/>
  <c r="H361" i="298"/>
  <c r="H361" i="299"/>
  <c r="H361" i="300"/>
  <c r="H361" i="301"/>
  <c r="H361" i="302"/>
  <c r="H361" i="303"/>
  <c r="H361" i="304"/>
  <c r="H361" i="310"/>
  <c r="H361" i="311"/>
  <c r="H361" i="312"/>
  <c r="H361" i="313"/>
  <c r="H361" i="314"/>
  <c r="H361" i="317"/>
  <c r="H361" i="318"/>
  <c r="H361" i="319"/>
  <c r="H361" i="320"/>
  <c r="H361" i="321"/>
  <c r="H361" i="322"/>
  <c r="H361" i="323"/>
  <c r="H361" i="324"/>
  <c r="H361" i="325"/>
  <c r="H361" i="329"/>
  <c r="H361" i="217"/>
  <c r="D361" i="298"/>
  <c r="D361" i="299"/>
  <c r="D361" i="300"/>
  <c r="D361" i="301"/>
  <c r="D361" i="302"/>
  <c r="D361" i="303"/>
  <c r="D361" i="304"/>
  <c r="D361" i="310"/>
  <c r="D361" i="311"/>
  <c r="D361" i="312"/>
  <c r="D361" i="313"/>
  <c r="D361" i="314"/>
  <c r="D361" i="317"/>
  <c r="D361" i="318"/>
  <c r="D361" i="319"/>
  <c r="D361" i="320"/>
  <c r="D361" i="321"/>
  <c r="D361" i="322"/>
  <c r="D361" i="323"/>
  <c r="D361" i="324"/>
  <c r="D361" i="325"/>
  <c r="D361" i="329"/>
  <c r="D361" i="217"/>
  <c r="H360" i="298"/>
  <c r="H360" i="299"/>
  <c r="H360" i="300"/>
  <c r="H360" i="301"/>
  <c r="H360" i="302"/>
  <c r="H360" i="303"/>
  <c r="H360" i="304"/>
  <c r="H360" i="310"/>
  <c r="H360" i="311"/>
  <c r="H360" i="312"/>
  <c r="H360" i="313"/>
  <c r="H360" i="314"/>
  <c r="H360" i="317"/>
  <c r="H360" i="318"/>
  <c r="H360" i="319"/>
  <c r="H360" i="320"/>
  <c r="H360" i="321"/>
  <c r="H360" i="322"/>
  <c r="H360" i="323"/>
  <c r="H360" i="324"/>
  <c r="H360" i="325"/>
  <c r="H360" i="329"/>
  <c r="H360" i="217"/>
  <c r="K14" i="218"/>
  <c r="K15" i="218"/>
  <c r="K16" i="218"/>
  <c r="K17" i="218"/>
  <c r="K18" i="218"/>
  <c r="K19" i="218"/>
  <c r="K20" i="218"/>
  <c r="K21" i="218"/>
  <c r="O5" i="294"/>
  <c r="H40" i="294"/>
  <c r="O9" i="294"/>
  <c r="O10" i="294"/>
  <c r="O11" i="294"/>
  <c r="O7" i="294"/>
  <c r="H14" i="333"/>
  <c r="I14" i="333" s="1"/>
  <c r="F14" i="333"/>
  <c r="K13" i="333"/>
  <c r="M13" i="333" s="1"/>
  <c r="N13" i="333" s="1"/>
  <c r="I13" i="333"/>
  <c r="G13" i="333"/>
  <c r="K10" i="333"/>
  <c r="G10" i="333"/>
  <c r="G11" i="333" s="1"/>
  <c r="I11" i="333" s="1"/>
  <c r="J9" i="333"/>
  <c r="H9" i="333"/>
  <c r="F9" i="333"/>
  <c r="E9" i="333"/>
  <c r="J8" i="333"/>
  <c r="H8" i="333"/>
  <c r="G8" i="333"/>
  <c r="G9" i="333" s="1"/>
  <c r="F8" i="333"/>
  <c r="E8" i="333"/>
  <c r="K7" i="333"/>
  <c r="G7" i="333" s="1"/>
  <c r="H7" i="333"/>
  <c r="K6" i="333"/>
  <c r="H6" i="333"/>
  <c r="I6" i="333" s="1"/>
  <c r="G6" i="333"/>
  <c r="L5" i="333"/>
  <c r="M5" i="333" s="1"/>
  <c r="G5" i="333" s="1"/>
  <c r="H5" i="333"/>
  <c r="K4" i="333"/>
  <c r="G4" i="333" s="1"/>
  <c r="H4" i="333"/>
  <c r="I13" i="332"/>
  <c r="F13" i="332"/>
  <c r="I12" i="332"/>
  <c r="F12" i="332"/>
  <c r="I11" i="332"/>
  <c r="F11" i="332"/>
  <c r="I10" i="332"/>
  <c r="F10" i="332"/>
  <c r="E10" i="332"/>
  <c r="I9" i="332"/>
  <c r="F9" i="332"/>
  <c r="E9" i="332"/>
  <c r="I8" i="332"/>
  <c r="F8" i="332"/>
  <c r="E8" i="332"/>
  <c r="I7" i="332"/>
  <c r="F7" i="332"/>
  <c r="E7" i="332"/>
  <c r="I6" i="332"/>
  <c r="F6" i="332"/>
  <c r="E6" i="332"/>
  <c r="I5" i="332"/>
  <c r="F5" i="332"/>
  <c r="E5" i="332"/>
  <c r="I4" i="332"/>
  <c r="F4" i="332"/>
  <c r="E4" i="332"/>
  <c r="G248" i="334" l="1"/>
  <c r="H247" i="334"/>
  <c r="D384" i="334"/>
  <c r="I384" i="334" s="1"/>
  <c r="I101" i="334"/>
  <c r="E104" i="334" s="1"/>
  <c r="C104" i="334"/>
  <c r="C321" i="334"/>
  <c r="C239" i="334"/>
  <c r="E239" i="334" s="1"/>
  <c r="E230" i="334"/>
  <c r="C325" i="334"/>
  <c r="E39" i="334"/>
  <c r="I39" i="334" s="1"/>
  <c r="E40" i="334"/>
  <c r="I40" i="334" s="1"/>
  <c r="D355" i="334"/>
  <c r="H355" i="334" s="1"/>
  <c r="E89" i="334"/>
  <c r="I89" i="334" s="1"/>
  <c r="E90" i="334"/>
  <c r="I90" i="334" s="1"/>
  <c r="I116" i="334"/>
  <c r="E119" i="334" s="1"/>
  <c r="C119" i="334"/>
  <c r="I137" i="334"/>
  <c r="E139" i="334" s="1"/>
  <c r="C139" i="334"/>
  <c r="E114" i="334"/>
  <c r="I114" i="334" s="1"/>
  <c r="E113" i="334"/>
  <c r="D266" i="334"/>
  <c r="E266" i="334" s="1"/>
  <c r="F143" i="334"/>
  <c r="I30" i="332"/>
  <c r="I31" i="332" s="1"/>
  <c r="I32" i="332" s="1"/>
  <c r="I7" i="333"/>
  <c r="I4" i="333"/>
  <c r="I5" i="333"/>
  <c r="I9" i="333"/>
  <c r="G12" i="333"/>
  <c r="I12" i="333" s="1"/>
  <c r="I8" i="333"/>
  <c r="I28" i="333" s="1"/>
  <c r="I31" i="333" s="1"/>
  <c r="I10" i="333"/>
  <c r="G6" i="315"/>
  <c r="G6" i="316"/>
  <c r="G6" i="306"/>
  <c r="K68" i="323"/>
  <c r="K68" i="300"/>
  <c r="F6" i="300"/>
  <c r="D359" i="299"/>
  <c r="K68" i="299"/>
  <c r="E6" i="299"/>
  <c r="E15" i="299" s="1"/>
  <c r="K35" i="299" s="1"/>
  <c r="D6" i="299"/>
  <c r="E6" i="328"/>
  <c r="E6" i="309"/>
  <c r="E6" i="308"/>
  <c r="D6" i="328"/>
  <c r="D6" i="309"/>
  <c r="D6" i="308"/>
  <c r="E6" i="298"/>
  <c r="E6" i="300"/>
  <c r="E15" i="300" s="1"/>
  <c r="E6" i="301"/>
  <c r="E6" i="302"/>
  <c r="E6" i="303"/>
  <c r="E6" i="304"/>
  <c r="E6" i="310"/>
  <c r="E6" i="311"/>
  <c r="E6" i="312"/>
  <c r="E6" i="313"/>
  <c r="E6" i="314"/>
  <c r="E6" i="317"/>
  <c r="E6" i="318"/>
  <c r="E6" i="319"/>
  <c r="E6" i="320"/>
  <c r="E6" i="321"/>
  <c r="E6" i="322"/>
  <c r="E6" i="323"/>
  <c r="E15" i="323" s="1"/>
  <c r="E6" i="324"/>
  <c r="E6" i="325"/>
  <c r="E6" i="329"/>
  <c r="E6" i="217"/>
  <c r="D6" i="298"/>
  <c r="D6" i="300"/>
  <c r="D6" i="301"/>
  <c r="D6" i="302"/>
  <c r="D6" i="303"/>
  <c r="D6" i="304"/>
  <c r="D6" i="310"/>
  <c r="D6" i="311"/>
  <c r="D6" i="312"/>
  <c r="D6" i="313"/>
  <c r="D6" i="314"/>
  <c r="D6" i="317"/>
  <c r="D6" i="318"/>
  <c r="D6" i="319"/>
  <c r="D6" i="320"/>
  <c r="D6" i="321"/>
  <c r="D6" i="322"/>
  <c r="D6" i="323"/>
  <c r="D6" i="324"/>
  <c r="D6" i="325"/>
  <c r="D6" i="329"/>
  <c r="D6" i="217"/>
  <c r="H8" i="298"/>
  <c r="H8" i="299"/>
  <c r="H8" i="300"/>
  <c r="H8" i="301"/>
  <c r="H8" i="302"/>
  <c r="H8" i="303"/>
  <c r="H8" i="304"/>
  <c r="H8" i="310"/>
  <c r="H8" i="311"/>
  <c r="H8" i="312"/>
  <c r="H8" i="313"/>
  <c r="H8" i="314"/>
  <c r="H8" i="317"/>
  <c r="H8" i="318"/>
  <c r="H8" i="319"/>
  <c r="H8" i="320"/>
  <c r="H8" i="321"/>
  <c r="H8" i="322"/>
  <c r="H8" i="323"/>
  <c r="H8" i="324"/>
  <c r="H8" i="325"/>
  <c r="H8" i="329"/>
  <c r="H8" i="217"/>
  <c r="G249" i="334" l="1"/>
  <c r="H248" i="334"/>
  <c r="D354" i="334"/>
  <c r="H354" i="334" s="1"/>
  <c r="E105" i="334"/>
  <c r="I105" i="334" s="1"/>
  <c r="E106" i="334"/>
  <c r="I106" i="334" s="1"/>
  <c r="D385" i="334"/>
  <c r="I385" i="334" s="1"/>
  <c r="E141" i="334"/>
  <c r="I141" i="334" s="1"/>
  <c r="E140" i="334"/>
  <c r="I140" i="334" s="1"/>
  <c r="E218" i="334"/>
  <c r="D340" i="334"/>
  <c r="H340" i="334" s="1"/>
  <c r="H350" i="334" s="1"/>
  <c r="I113" i="334"/>
  <c r="C329" i="334"/>
  <c r="E121" i="334"/>
  <c r="I121" i="334" s="1"/>
  <c r="E120" i="334"/>
  <c r="I120" i="334" s="1"/>
  <c r="D380" i="334"/>
  <c r="C146" i="334"/>
  <c r="C319" i="334" s="1"/>
  <c r="I143" i="334"/>
  <c r="E146" i="334" s="1"/>
  <c r="I269" i="334"/>
  <c r="H230" i="334"/>
  <c r="H233" i="334" s="1"/>
  <c r="D291" i="334" a="1"/>
  <c r="D291" i="334" s="1"/>
  <c r="I233" i="334"/>
  <c r="D382" i="334"/>
  <c r="I382" i="334" s="1"/>
  <c r="D383" i="334"/>
  <c r="I383" i="334" s="1"/>
  <c r="H325" i="334"/>
  <c r="C326" i="334"/>
  <c r="H326" i="334" s="1"/>
  <c r="H239" i="334"/>
  <c r="H242" i="334" s="1"/>
  <c r="I242" i="334"/>
  <c r="J250" i="334" s="1"/>
  <c r="D292" i="334"/>
  <c r="D60" i="323"/>
  <c r="K69" i="323"/>
  <c r="D60" i="300"/>
  <c r="K69" i="300"/>
  <c r="I32" i="333"/>
  <c r="I33" i="333" s="1"/>
  <c r="I33" i="332"/>
  <c r="I34" i="332" s="1"/>
  <c r="B4" i="218"/>
  <c r="G122" i="307"/>
  <c r="H122" i="307" s="1"/>
  <c r="G122" i="326"/>
  <c r="H122" i="326" s="1"/>
  <c r="G122" i="327"/>
  <c r="H122" i="327" s="1"/>
  <c r="G122" i="331"/>
  <c r="H122" i="331" s="1"/>
  <c r="E126" i="331"/>
  <c r="E123" i="331"/>
  <c r="G121" i="331"/>
  <c r="E120" i="331"/>
  <c r="H120" i="331" s="1"/>
  <c r="D119" i="331"/>
  <c r="E118" i="331"/>
  <c r="H118" i="331" s="1"/>
  <c r="H117" i="331"/>
  <c r="H116" i="331"/>
  <c r="H115" i="331"/>
  <c r="F115" i="331"/>
  <c r="F114" i="331"/>
  <c r="E114" i="331"/>
  <c r="H114" i="331" s="1"/>
  <c r="F113" i="331"/>
  <c r="E113" i="331"/>
  <c r="H113" i="331" s="1"/>
  <c r="B112" i="331"/>
  <c r="E112" i="331" s="1"/>
  <c r="E108" i="331"/>
  <c r="G107" i="331"/>
  <c r="E107" i="331"/>
  <c r="E106" i="331"/>
  <c r="H106" i="331" s="1"/>
  <c r="O105" i="331"/>
  <c r="E105" i="331"/>
  <c r="H105" i="331" s="1"/>
  <c r="E104" i="331"/>
  <c r="H104" i="331" s="1"/>
  <c r="N103" i="331"/>
  <c r="M103" i="331"/>
  <c r="H100" i="331"/>
  <c r="H99" i="331"/>
  <c r="C99" i="331"/>
  <c r="G98" i="331"/>
  <c r="E96" i="331"/>
  <c r="H93" i="331"/>
  <c r="E93" i="331"/>
  <c r="E94" i="331" s="1"/>
  <c r="H94" i="331" s="1"/>
  <c r="M92" i="331"/>
  <c r="N92" i="331" s="1"/>
  <c r="H92" i="331"/>
  <c r="E92" i="331"/>
  <c r="E95" i="331" s="1"/>
  <c r="H95" i="331" s="1"/>
  <c r="H91" i="331"/>
  <c r="H89" i="331"/>
  <c r="E88" i="331"/>
  <c r="M87" i="331"/>
  <c r="N87" i="331" s="1"/>
  <c r="G87" i="331"/>
  <c r="G86" i="331"/>
  <c r="G88" i="331" s="1"/>
  <c r="E86" i="331"/>
  <c r="M85" i="331"/>
  <c r="N85" i="331" s="1"/>
  <c r="E85" i="331"/>
  <c r="H85" i="331" s="1"/>
  <c r="E83" i="331"/>
  <c r="M76" i="331"/>
  <c r="N76" i="331" s="1"/>
  <c r="E75" i="331"/>
  <c r="E74" i="331"/>
  <c r="A73" i="331"/>
  <c r="D70" i="331"/>
  <c r="D69" i="331"/>
  <c r="H68" i="331"/>
  <c r="H69" i="331" s="1"/>
  <c r="D68" i="331"/>
  <c r="G65" i="331"/>
  <c r="E65" i="331"/>
  <c r="A65" i="331"/>
  <c r="Q64" i="331"/>
  <c r="J64" i="331"/>
  <c r="C62" i="331"/>
  <c r="C61" i="331"/>
  <c r="G60" i="331"/>
  <c r="G62" i="331" s="1"/>
  <c r="F60" i="331"/>
  <c r="F63" i="331" s="1"/>
  <c r="E60" i="331"/>
  <c r="D60" i="331"/>
  <c r="C60" i="331"/>
  <c r="F58" i="331"/>
  <c r="G57" i="331"/>
  <c r="E57" i="331"/>
  <c r="H56" i="331"/>
  <c r="G56" i="331"/>
  <c r="E56" i="331"/>
  <c r="E61" i="331" s="1"/>
  <c r="H55" i="331"/>
  <c r="F53" i="331"/>
  <c r="G52" i="331"/>
  <c r="E52" i="331"/>
  <c r="H52" i="331" s="1"/>
  <c r="G51" i="331"/>
  <c r="E51" i="331"/>
  <c r="C50" i="331"/>
  <c r="H50" i="331" s="1"/>
  <c r="F48" i="331"/>
  <c r="G47" i="331"/>
  <c r="E47" i="331"/>
  <c r="G46" i="331"/>
  <c r="E46" i="331"/>
  <c r="H46" i="331" s="1"/>
  <c r="H45" i="331"/>
  <c r="F43" i="331"/>
  <c r="E43" i="331"/>
  <c r="G42" i="331"/>
  <c r="H42" i="331" s="1"/>
  <c r="G41" i="331"/>
  <c r="H41" i="331" s="1"/>
  <c r="H40" i="331"/>
  <c r="B38" i="331"/>
  <c r="G36" i="331"/>
  <c r="F36" i="331"/>
  <c r="E36" i="331"/>
  <c r="D36" i="331"/>
  <c r="C36" i="331"/>
  <c r="G35" i="331"/>
  <c r="F35" i="331"/>
  <c r="E35" i="331"/>
  <c r="D35" i="331"/>
  <c r="F34" i="331"/>
  <c r="E34" i="331"/>
  <c r="D34" i="331"/>
  <c r="C34" i="331"/>
  <c r="G31" i="331"/>
  <c r="F31" i="331"/>
  <c r="E31" i="331"/>
  <c r="D31" i="331"/>
  <c r="C31" i="331"/>
  <c r="G30" i="331"/>
  <c r="F30" i="331"/>
  <c r="E30" i="331"/>
  <c r="D30" i="331"/>
  <c r="F29" i="331"/>
  <c r="E29" i="331"/>
  <c r="D29" i="331"/>
  <c r="C29" i="331"/>
  <c r="B27" i="331"/>
  <c r="F25" i="331"/>
  <c r="D25" i="331"/>
  <c r="C25" i="331"/>
  <c r="G24" i="331"/>
  <c r="G25" i="331" s="1"/>
  <c r="F24" i="331"/>
  <c r="D24" i="331"/>
  <c r="F23" i="331"/>
  <c r="D23" i="331"/>
  <c r="F20" i="331"/>
  <c r="D20" i="331"/>
  <c r="F19" i="331"/>
  <c r="D19" i="331"/>
  <c r="C19" i="331"/>
  <c r="G18" i="331"/>
  <c r="G19" i="331" s="1"/>
  <c r="D18" i="331"/>
  <c r="B16" i="331"/>
  <c r="F15" i="331"/>
  <c r="G14" i="331"/>
  <c r="H14" i="331" s="1"/>
  <c r="G13" i="331"/>
  <c r="H13" i="331" s="1"/>
  <c r="C12" i="331"/>
  <c r="E15" i="331" s="1"/>
  <c r="B10" i="331"/>
  <c r="F9" i="331"/>
  <c r="G8" i="331"/>
  <c r="H8" i="331" s="1"/>
  <c r="G7" i="331"/>
  <c r="C7" i="331"/>
  <c r="C30" i="331" s="1"/>
  <c r="H6" i="331"/>
  <c r="R3" i="331"/>
  <c r="H3" i="331"/>
  <c r="G3" i="331"/>
  <c r="B3" i="331" a="1"/>
  <c r="B3" i="331" s="1"/>
  <c r="AE128" i="331" s="1"/>
  <c r="F70" i="290"/>
  <c r="K46" i="218"/>
  <c r="L46" i="218"/>
  <c r="M46" i="218"/>
  <c r="N46" i="218"/>
  <c r="O46" i="218"/>
  <c r="K47" i="218"/>
  <c r="L47" i="218"/>
  <c r="M47" i="218"/>
  <c r="K48" i="218"/>
  <c r="L48" i="218"/>
  <c r="M48" i="218"/>
  <c r="K49" i="218"/>
  <c r="L49" i="218"/>
  <c r="M49" i="218"/>
  <c r="K50" i="218"/>
  <c r="L50" i="218"/>
  <c r="M50" i="218"/>
  <c r="K51" i="218"/>
  <c r="L51" i="218"/>
  <c r="M51" i="218"/>
  <c r="K52" i="218"/>
  <c r="L52" i="218"/>
  <c r="M52" i="218"/>
  <c r="N52" i="218"/>
  <c r="O52" i="218"/>
  <c r="K53" i="218"/>
  <c r="L53" i="218"/>
  <c r="M53" i="218"/>
  <c r="N53" i="218"/>
  <c r="O53" i="218"/>
  <c r="K54" i="218"/>
  <c r="L54" i="218"/>
  <c r="M54" i="218"/>
  <c r="N54" i="218"/>
  <c r="O54" i="218"/>
  <c r="K55" i="218"/>
  <c r="L55" i="218"/>
  <c r="K35" i="218"/>
  <c r="L35" i="218"/>
  <c r="M35" i="218"/>
  <c r="N35" i="218"/>
  <c r="O35" i="218"/>
  <c r="K36" i="218"/>
  <c r="L36" i="218"/>
  <c r="M36" i="218"/>
  <c r="K37" i="218"/>
  <c r="L37" i="218"/>
  <c r="M37" i="218"/>
  <c r="K38" i="218"/>
  <c r="L38" i="218"/>
  <c r="M38" i="218"/>
  <c r="K39" i="218"/>
  <c r="L39" i="218"/>
  <c r="M39" i="218"/>
  <c r="K40" i="218"/>
  <c r="L40" i="218"/>
  <c r="M40" i="218"/>
  <c r="N40" i="218"/>
  <c r="O40" i="218"/>
  <c r="K41" i="218"/>
  <c r="L41" i="218"/>
  <c r="M41" i="218"/>
  <c r="N41" i="218"/>
  <c r="O41" i="218"/>
  <c r="K42" i="218"/>
  <c r="L42" i="218"/>
  <c r="M42" i="218"/>
  <c r="N42" i="218"/>
  <c r="O42" i="218"/>
  <c r="K43" i="218"/>
  <c r="L43" i="218"/>
  <c r="M43" i="218"/>
  <c r="N43" i="218"/>
  <c r="O43" i="218"/>
  <c r="K44" i="218"/>
  <c r="L44" i="218"/>
  <c r="M44" i="218"/>
  <c r="K24" i="218"/>
  <c r="L24" i="218"/>
  <c r="M24" i="218"/>
  <c r="N24" i="218"/>
  <c r="O24" i="218"/>
  <c r="K25" i="218"/>
  <c r="L25" i="218"/>
  <c r="M25" i="218"/>
  <c r="K26" i="218"/>
  <c r="L26" i="218"/>
  <c r="M26" i="218"/>
  <c r="K27" i="218"/>
  <c r="L27" i="218"/>
  <c r="M27" i="218"/>
  <c r="K28" i="218"/>
  <c r="L28" i="218"/>
  <c r="M28" i="218"/>
  <c r="K29" i="218"/>
  <c r="L29" i="218"/>
  <c r="M29" i="218"/>
  <c r="N29" i="218"/>
  <c r="O29" i="218"/>
  <c r="K30" i="218"/>
  <c r="L30" i="218"/>
  <c r="M30" i="218"/>
  <c r="N30" i="218"/>
  <c r="O30" i="218"/>
  <c r="K31" i="218"/>
  <c r="L31" i="218"/>
  <c r="M31" i="218"/>
  <c r="N31" i="218"/>
  <c r="O31" i="218"/>
  <c r="K32" i="218"/>
  <c r="L32" i="218"/>
  <c r="M32" i="218"/>
  <c r="N32" i="218"/>
  <c r="O32" i="218"/>
  <c r="K33" i="218"/>
  <c r="L33" i="218"/>
  <c r="M33" i="218"/>
  <c r="K13" i="218"/>
  <c r="L13" i="218"/>
  <c r="M13" i="218"/>
  <c r="N13" i="218"/>
  <c r="O13" i="218"/>
  <c r="L14" i="218"/>
  <c r="M14" i="218"/>
  <c r="L15" i="218"/>
  <c r="M15" i="218"/>
  <c r="L16" i="218"/>
  <c r="M16" i="218"/>
  <c r="N16" i="218"/>
  <c r="O16" i="218"/>
  <c r="L17" i="218"/>
  <c r="M17" i="218"/>
  <c r="L18" i="218"/>
  <c r="M18" i="218"/>
  <c r="N18" i="218"/>
  <c r="O18" i="218"/>
  <c r="L19" i="218"/>
  <c r="M19" i="218"/>
  <c r="N19" i="218"/>
  <c r="O19" i="218"/>
  <c r="L20" i="218"/>
  <c r="M20" i="218"/>
  <c r="N20" i="218"/>
  <c r="O20" i="218"/>
  <c r="L21" i="218"/>
  <c r="M21" i="218"/>
  <c r="N21" i="218"/>
  <c r="O21" i="218"/>
  <c r="K22" i="218"/>
  <c r="L22" i="218"/>
  <c r="M22" i="218"/>
  <c r="K2" i="218"/>
  <c r="L2" i="218"/>
  <c r="M2" i="218"/>
  <c r="N2" i="218"/>
  <c r="O2" i="218"/>
  <c r="K3" i="218"/>
  <c r="L3" i="218"/>
  <c r="K4" i="218"/>
  <c r="L4" i="218"/>
  <c r="K5" i="218"/>
  <c r="L5" i="218"/>
  <c r="K6" i="218"/>
  <c r="L6" i="218"/>
  <c r="K7" i="218"/>
  <c r="L7" i="218"/>
  <c r="M7" i="218"/>
  <c r="G7" i="218" s="1"/>
  <c r="N7" i="218"/>
  <c r="O7" i="218"/>
  <c r="K8" i="218"/>
  <c r="L8" i="218"/>
  <c r="N8" i="218"/>
  <c r="O8" i="218"/>
  <c r="I8" i="218" s="1"/>
  <c r="K9" i="218"/>
  <c r="L9" i="218"/>
  <c r="N9" i="218"/>
  <c r="O9" i="218"/>
  <c r="I9" i="218" s="1"/>
  <c r="K10" i="218"/>
  <c r="L10" i="218"/>
  <c r="M10" i="218"/>
  <c r="G10" i="218" s="1"/>
  <c r="N10" i="218"/>
  <c r="O10" i="218"/>
  <c r="I10" i="218" s="1"/>
  <c r="J10" i="218" s="1"/>
  <c r="K11" i="218"/>
  <c r="L11" i="218"/>
  <c r="O12" i="292"/>
  <c r="O11" i="292"/>
  <c r="P9" i="291"/>
  <c r="P12" i="291"/>
  <c r="O13" i="292"/>
  <c r="O10" i="292"/>
  <c r="O13" i="293"/>
  <c r="O12" i="293"/>
  <c r="O11" i="293"/>
  <c r="O10" i="293"/>
  <c r="O13" i="294"/>
  <c r="M55" i="218" s="1"/>
  <c r="O5" i="293"/>
  <c r="O6" i="293"/>
  <c r="O7" i="293"/>
  <c r="O8" i="293"/>
  <c r="H33" i="293"/>
  <c r="D386" i="329"/>
  <c r="I386" i="329" s="1"/>
  <c r="T382" i="329"/>
  <c r="S382" i="329"/>
  <c r="T381" i="329"/>
  <c r="U381" i="329" s="1"/>
  <c r="U380" i="329"/>
  <c r="T376" i="329"/>
  <c r="S376" i="329"/>
  <c r="C368" i="329"/>
  <c r="G366" i="329"/>
  <c r="H359" i="329"/>
  <c r="H358" i="329"/>
  <c r="D352" i="329"/>
  <c r="H352" i="329" s="1"/>
  <c r="D351" i="329"/>
  <c r="H351" i="329" s="1"/>
  <c r="D345" i="329"/>
  <c r="D346" i="329" s="1"/>
  <c r="C341" i="329"/>
  <c r="H341" i="329" s="1"/>
  <c r="C340" i="329"/>
  <c r="G329" i="329"/>
  <c r="G328" i="329"/>
  <c r="G325" i="329"/>
  <c r="G323" i="329"/>
  <c r="E321" i="329"/>
  <c r="E319" i="329"/>
  <c r="F318" i="329"/>
  <c r="G318" i="329" s="1"/>
  <c r="C316" i="329"/>
  <c r="C318" i="329" s="1"/>
  <c r="G313" i="329"/>
  <c r="H312" i="329"/>
  <c r="D310" i="329"/>
  <c r="C309" i="329"/>
  <c r="C310" i="329" s="1"/>
  <c r="H310" i="329" s="1"/>
  <c r="E308" i="329"/>
  <c r="H307" i="329"/>
  <c r="G305" i="329"/>
  <c r="E305" i="329"/>
  <c r="E304" i="329"/>
  <c r="D371" i="329" s="1"/>
  <c r="G303" i="329"/>
  <c r="H303" i="329" s="1"/>
  <c r="G302" i="329"/>
  <c r="H302" i="329" s="1"/>
  <c r="H301" i="329"/>
  <c r="H299" i="329"/>
  <c r="H297" i="329"/>
  <c r="F296" i="329"/>
  <c r="F298" i="329" s="1"/>
  <c r="F300" i="329" s="1"/>
  <c r="F302" i="329" s="1"/>
  <c r="F303" i="329" s="1"/>
  <c r="H295" i="329"/>
  <c r="I290" i="329"/>
  <c r="F290" i="329"/>
  <c r="E289" i="329"/>
  <c r="G288" i="329"/>
  <c r="G289" i="329" s="1"/>
  <c r="E288" i="329"/>
  <c r="B288" i="329"/>
  <c r="B289" i="329" s="1"/>
  <c r="E287" i="329"/>
  <c r="G286" i="329"/>
  <c r="G287" i="329" s="1"/>
  <c r="E286" i="329"/>
  <c r="B286" i="329"/>
  <c r="B287" i="329" s="1"/>
  <c r="F284" i="329"/>
  <c r="F285" i="329" s="1"/>
  <c r="F283" i="329"/>
  <c r="B281" i="329"/>
  <c r="B282" i="329" s="1"/>
  <c r="B283" i="329" s="1"/>
  <c r="B284" i="329" s="1"/>
  <c r="F279" i="329"/>
  <c r="F278" i="329"/>
  <c r="F277" i="329"/>
  <c r="F276" i="329"/>
  <c r="I275" i="329"/>
  <c r="I276" i="329" s="1"/>
  <c r="I277" i="329" s="1"/>
  <c r="I278" i="329" s="1"/>
  <c r="I279" i="329" s="1"/>
  <c r="F275" i="329"/>
  <c r="F274" i="329"/>
  <c r="F264" i="329"/>
  <c r="F263" i="329"/>
  <c r="F262" i="329"/>
  <c r="F261" i="329"/>
  <c r="F260" i="329"/>
  <c r="F259" i="329"/>
  <c r="F257" i="329"/>
  <c r="F256" i="329"/>
  <c r="F255" i="329"/>
  <c r="F254" i="329"/>
  <c r="F253" i="329"/>
  <c r="I252" i="329"/>
  <c r="I253" i="329" s="1"/>
  <c r="I254" i="329" s="1"/>
  <c r="I255" i="329" s="1"/>
  <c r="I256" i="329" s="1"/>
  <c r="I257" i="329" s="1"/>
  <c r="F252" i="329"/>
  <c r="F251" i="329"/>
  <c r="F249" i="329"/>
  <c r="F248" i="329"/>
  <c r="F247" i="329"/>
  <c r="F246" i="329"/>
  <c r="F245" i="329"/>
  <c r="F244" i="329"/>
  <c r="F243" i="329"/>
  <c r="F235" i="329"/>
  <c r="F229" i="329"/>
  <c r="F238" i="329" s="1"/>
  <c r="F228" i="329"/>
  <c r="F237" i="329" s="1"/>
  <c r="F227" i="329"/>
  <c r="F236" i="329" s="1"/>
  <c r="F226" i="329"/>
  <c r="F225" i="329"/>
  <c r="B225" i="329"/>
  <c r="B226" i="329" s="1"/>
  <c r="B227" i="329" s="1"/>
  <c r="B228" i="329" s="1"/>
  <c r="B229" i="329" s="1"/>
  <c r="B230" i="329" s="1"/>
  <c r="B231" i="329" s="1"/>
  <c r="B232" i="329" s="1"/>
  <c r="B234" i="329" s="1"/>
  <c r="B235" i="329" s="1"/>
  <c r="B236" i="329" s="1"/>
  <c r="B237" i="329" s="1"/>
  <c r="B238" i="329" s="1"/>
  <c r="B239" i="329" s="1"/>
  <c r="B240" i="329" s="1"/>
  <c r="C223" i="329"/>
  <c r="I222" i="329"/>
  <c r="C222" i="329"/>
  <c r="I221" i="329"/>
  <c r="C219" i="329"/>
  <c r="C220" i="329" s="1"/>
  <c r="C221" i="329" s="1"/>
  <c r="E213" i="329"/>
  <c r="E214" i="329" s="1"/>
  <c r="E211" i="329"/>
  <c r="E212" i="329" s="1"/>
  <c r="E209" i="329"/>
  <c r="E210" i="329" s="1"/>
  <c r="I207" i="329"/>
  <c r="I208" i="329" s="1"/>
  <c r="E207" i="329"/>
  <c r="E208" i="329" s="1"/>
  <c r="I206" i="329"/>
  <c r="I205" i="329"/>
  <c r="E205" i="329"/>
  <c r="E206" i="329" s="1"/>
  <c r="E204" i="329"/>
  <c r="I203" i="329"/>
  <c r="I204" i="329" s="1"/>
  <c r="E203" i="329"/>
  <c r="C315" i="329" s="1"/>
  <c r="H315" i="329" s="1"/>
  <c r="G201" i="329"/>
  <c r="G200" i="329"/>
  <c r="C199" i="329"/>
  <c r="E201" i="329" s="1"/>
  <c r="I201" i="329" s="1"/>
  <c r="H198" i="329"/>
  <c r="H196" i="329"/>
  <c r="I196" i="329" s="1"/>
  <c r="I195" i="329"/>
  <c r="G193" i="329"/>
  <c r="G192" i="329"/>
  <c r="I189" i="329"/>
  <c r="H189" i="329"/>
  <c r="H190" i="329" s="1"/>
  <c r="I188" i="329"/>
  <c r="G186" i="329"/>
  <c r="G185" i="329"/>
  <c r="H182" i="329"/>
  <c r="I182" i="329" s="1"/>
  <c r="G179" i="329"/>
  <c r="G178" i="329"/>
  <c r="C177" i="329"/>
  <c r="E179" i="329" s="1"/>
  <c r="I179" i="329" s="1"/>
  <c r="H175" i="329"/>
  <c r="I175" i="329" s="1"/>
  <c r="I174" i="329"/>
  <c r="G172" i="329"/>
  <c r="E172" i="329"/>
  <c r="I172" i="329" s="1"/>
  <c r="G171" i="329"/>
  <c r="C170" i="329"/>
  <c r="E171" i="329" s="1"/>
  <c r="I168" i="329"/>
  <c r="H168" i="329"/>
  <c r="H169" i="329" s="1"/>
  <c r="I169" i="329" s="1"/>
  <c r="I167" i="329"/>
  <c r="G165" i="329"/>
  <c r="G164" i="329"/>
  <c r="E162" i="329"/>
  <c r="D279" i="329" s="1"/>
  <c r="D162" i="329"/>
  <c r="C279" i="329" s="1"/>
  <c r="E161" i="329"/>
  <c r="D278" i="329" s="1"/>
  <c r="D161" i="329"/>
  <c r="C278" i="329" s="1"/>
  <c r="E160" i="329"/>
  <c r="D277" i="329" s="1"/>
  <c r="D160" i="329"/>
  <c r="C277" i="329" s="1"/>
  <c r="F159" i="329"/>
  <c r="E159" i="329"/>
  <c r="D276" i="329" s="1"/>
  <c r="D159" i="329"/>
  <c r="C276" i="329" s="1"/>
  <c r="E276" i="329" s="1"/>
  <c r="E158" i="329"/>
  <c r="D275" i="329" s="1"/>
  <c r="D158" i="329"/>
  <c r="C275" i="329" s="1"/>
  <c r="H157" i="329"/>
  <c r="H158" i="329" s="1"/>
  <c r="H159" i="329" s="1"/>
  <c r="E157" i="329"/>
  <c r="D274" i="329" s="1"/>
  <c r="D157" i="329"/>
  <c r="G155" i="329"/>
  <c r="G154" i="329"/>
  <c r="G152" i="329"/>
  <c r="F272" i="329" s="1"/>
  <c r="G151" i="329"/>
  <c r="F271" i="329" s="1"/>
  <c r="G150" i="329"/>
  <c r="F270" i="329" s="1"/>
  <c r="G148" i="329"/>
  <c r="G147" i="329"/>
  <c r="G145" i="329"/>
  <c r="F268" i="329" s="1"/>
  <c r="H144" i="329"/>
  <c r="H145" i="329" s="1"/>
  <c r="H150" i="329" s="1"/>
  <c r="H151" i="329" s="1"/>
  <c r="H152" i="329" s="1"/>
  <c r="G144" i="329"/>
  <c r="F267" i="329" s="1"/>
  <c r="G143" i="329"/>
  <c r="F266" i="329" s="1"/>
  <c r="G141" i="329"/>
  <c r="G140" i="329"/>
  <c r="I138" i="329"/>
  <c r="H138" i="329"/>
  <c r="G135" i="329"/>
  <c r="G134" i="329"/>
  <c r="J133" i="329"/>
  <c r="H132" i="329"/>
  <c r="F132" i="329"/>
  <c r="D132" i="329"/>
  <c r="H131" i="329"/>
  <c r="F131" i="329"/>
  <c r="D131" i="329"/>
  <c r="I131" i="329" s="1"/>
  <c r="F130" i="329"/>
  <c r="D130" i="329"/>
  <c r="C133" i="329" s="1"/>
  <c r="G128" i="329"/>
  <c r="G127" i="329"/>
  <c r="J126" i="329"/>
  <c r="E125" i="329"/>
  <c r="E152" i="329" s="1"/>
  <c r="D272" i="329" s="1"/>
  <c r="D125" i="329"/>
  <c r="D152" i="329" s="1"/>
  <c r="H124" i="329"/>
  <c r="H125" i="329" s="1"/>
  <c r="E124" i="329"/>
  <c r="E151" i="329" s="1"/>
  <c r="D271" i="329" s="1"/>
  <c r="D124" i="329"/>
  <c r="D151" i="329" s="1"/>
  <c r="F123" i="329"/>
  <c r="E123" i="329"/>
  <c r="E150" i="329" s="1"/>
  <c r="D270" i="329" s="1"/>
  <c r="D123" i="329"/>
  <c r="D150" i="329" s="1"/>
  <c r="G121" i="329"/>
  <c r="G120" i="329"/>
  <c r="J119" i="329"/>
  <c r="H118" i="329"/>
  <c r="F118" i="329"/>
  <c r="E118" i="329"/>
  <c r="E145" i="329" s="1"/>
  <c r="D268" i="329" s="1"/>
  <c r="D118" i="329"/>
  <c r="D145" i="329" s="1"/>
  <c r="H117" i="329"/>
  <c r="E117" i="329"/>
  <c r="E144" i="329" s="1"/>
  <c r="D267" i="329" s="1"/>
  <c r="D117" i="329"/>
  <c r="F117" i="329" s="1"/>
  <c r="I117" i="329" s="1"/>
  <c r="F116" i="329"/>
  <c r="I116" i="329" s="1"/>
  <c r="E116" i="329"/>
  <c r="D137" i="329" s="1"/>
  <c r="D116" i="329"/>
  <c r="D143" i="329" s="1"/>
  <c r="G114" i="329"/>
  <c r="G113" i="329"/>
  <c r="J112" i="329"/>
  <c r="F111" i="329"/>
  <c r="F110" i="329"/>
  <c r="H109" i="329"/>
  <c r="H110" i="329" s="1"/>
  <c r="H111" i="329" s="1"/>
  <c r="F109" i="329"/>
  <c r="I108" i="329"/>
  <c r="F108" i="329"/>
  <c r="G106" i="329"/>
  <c r="G105" i="329"/>
  <c r="G103" i="329"/>
  <c r="F232" i="329" s="1"/>
  <c r="F241" i="329" s="1"/>
  <c r="G102" i="329"/>
  <c r="F231" i="329" s="1"/>
  <c r="F240" i="329" s="1"/>
  <c r="G101" i="329"/>
  <c r="F230" i="329" s="1"/>
  <c r="F239" i="329" s="1"/>
  <c r="C101" i="329"/>
  <c r="G99" i="329"/>
  <c r="G98" i="329"/>
  <c r="G96" i="329"/>
  <c r="G95" i="329"/>
  <c r="H94" i="329"/>
  <c r="H95" i="329" s="1"/>
  <c r="H96" i="329" s="1"/>
  <c r="H101" i="329" s="1"/>
  <c r="H102" i="329" s="1"/>
  <c r="H103" i="329" s="1"/>
  <c r="G94" i="329"/>
  <c r="H93" i="329"/>
  <c r="G93" i="329"/>
  <c r="G92" i="329"/>
  <c r="G90" i="329"/>
  <c r="G89" i="329"/>
  <c r="E87" i="329"/>
  <c r="D264" i="329" s="1"/>
  <c r="D87" i="329"/>
  <c r="C264" i="329" s="1"/>
  <c r="E86" i="329"/>
  <c r="D263" i="329" s="1"/>
  <c r="D86" i="329"/>
  <c r="C263" i="329" s="1"/>
  <c r="E85" i="329"/>
  <c r="D85" i="329"/>
  <c r="E84" i="329"/>
  <c r="D283" i="329" s="1"/>
  <c r="D84" i="329"/>
  <c r="F84" i="329" s="1"/>
  <c r="E83" i="329"/>
  <c r="D260" i="329" s="1"/>
  <c r="D83" i="329"/>
  <c r="C260" i="329" s="1"/>
  <c r="E82" i="329"/>
  <c r="D259" i="329" s="1"/>
  <c r="D82" i="329"/>
  <c r="C259" i="329" s="1"/>
  <c r="E81" i="329"/>
  <c r="D257" i="329" s="1"/>
  <c r="D81" i="329"/>
  <c r="C257" i="329" s="1"/>
  <c r="E257" i="329" s="1"/>
  <c r="E80" i="329"/>
  <c r="D256" i="329" s="1"/>
  <c r="D80" i="329"/>
  <c r="C256" i="329" s="1"/>
  <c r="E79" i="329"/>
  <c r="D255" i="329" s="1"/>
  <c r="D79" i="329"/>
  <c r="C255" i="329" s="1"/>
  <c r="E255" i="329" s="1"/>
  <c r="E78" i="329"/>
  <c r="D254" i="329" s="1"/>
  <c r="D78" i="329"/>
  <c r="C254" i="329" s="1"/>
  <c r="E77" i="329"/>
  <c r="D253" i="329" s="1"/>
  <c r="D282" i="329" s="1"/>
  <c r="D77" i="329"/>
  <c r="C253" i="329" s="1"/>
  <c r="C282" i="329" s="1"/>
  <c r="F76" i="329"/>
  <c r="E76" i="329"/>
  <c r="D252" i="329" s="1"/>
  <c r="D281" i="329" s="1"/>
  <c r="D76" i="329"/>
  <c r="C252" i="329" s="1"/>
  <c r="E75" i="329"/>
  <c r="D251" i="329" s="1"/>
  <c r="D75" i="329"/>
  <c r="C251" i="329" s="1"/>
  <c r="E74" i="329"/>
  <c r="D249" i="329" s="1"/>
  <c r="D74" i="329"/>
  <c r="C249" i="329" s="1"/>
  <c r="E249" i="329" s="1"/>
  <c r="F73" i="329"/>
  <c r="E73" i="329"/>
  <c r="D248" i="329" s="1"/>
  <c r="D73" i="329"/>
  <c r="C248" i="329" s="1"/>
  <c r="E72" i="329"/>
  <c r="D247" i="329" s="1"/>
  <c r="D72" i="329"/>
  <c r="C247" i="329" s="1"/>
  <c r="E71" i="329"/>
  <c r="D246" i="329" s="1"/>
  <c r="D71" i="329"/>
  <c r="C246" i="329" s="1"/>
  <c r="H70" i="329"/>
  <c r="H73" i="329" s="1"/>
  <c r="H74" i="329" s="1"/>
  <c r="H75" i="329" s="1"/>
  <c r="E70" i="329"/>
  <c r="D245" i="329" s="1"/>
  <c r="D70" i="329"/>
  <c r="C245" i="329" s="1"/>
  <c r="H69" i="329"/>
  <c r="E69" i="329"/>
  <c r="D244" i="329" s="1"/>
  <c r="D69" i="329"/>
  <c r="C244" i="329" s="1"/>
  <c r="E244" i="329" s="1"/>
  <c r="G66" i="329"/>
  <c r="G65" i="329"/>
  <c r="J64" i="329"/>
  <c r="I63" i="329"/>
  <c r="I61" i="329"/>
  <c r="I60" i="329"/>
  <c r="G58" i="329"/>
  <c r="G57" i="329"/>
  <c r="J56" i="329"/>
  <c r="F55" i="329"/>
  <c r="D55" i="329"/>
  <c r="F54" i="329"/>
  <c r="D54" i="329"/>
  <c r="H53" i="329"/>
  <c r="H54" i="329" s="1"/>
  <c r="H55" i="329" s="1"/>
  <c r="F53" i="329"/>
  <c r="D53" i="329"/>
  <c r="I53" i="329" s="1"/>
  <c r="F52" i="329"/>
  <c r="D52" i="329"/>
  <c r="I52" i="329" s="1"/>
  <c r="G50" i="329"/>
  <c r="G49" i="329"/>
  <c r="J48" i="329"/>
  <c r="E47" i="329"/>
  <c r="D47" i="329"/>
  <c r="E46" i="329"/>
  <c r="D46" i="329"/>
  <c r="F46" i="329" s="1"/>
  <c r="E45" i="329"/>
  <c r="D45" i="329"/>
  <c r="E44" i="329"/>
  <c r="D44" i="329"/>
  <c r="H43" i="329"/>
  <c r="H44" i="329" s="1"/>
  <c r="H45" i="329" s="1"/>
  <c r="H46" i="329" s="1"/>
  <c r="E43" i="329"/>
  <c r="D43" i="329"/>
  <c r="F43" i="329" s="1"/>
  <c r="I43" i="329" s="1"/>
  <c r="E42" i="329"/>
  <c r="D42" i="329"/>
  <c r="G40" i="329"/>
  <c r="G39" i="329"/>
  <c r="J38" i="329"/>
  <c r="E37" i="329"/>
  <c r="E103" i="329" s="1"/>
  <c r="D232" i="329" s="1"/>
  <c r="D241" i="329" s="1"/>
  <c r="D37" i="329"/>
  <c r="D103" i="329" s="1"/>
  <c r="H36" i="329"/>
  <c r="H37" i="329" s="1"/>
  <c r="F36" i="329"/>
  <c r="E36" i="329"/>
  <c r="E102" i="329" s="1"/>
  <c r="D231" i="329" s="1"/>
  <c r="D240" i="329" s="1"/>
  <c r="D36" i="329"/>
  <c r="D102" i="329" s="1"/>
  <c r="E35" i="329"/>
  <c r="D35" i="329"/>
  <c r="G33" i="329"/>
  <c r="G32" i="329"/>
  <c r="J31" i="329"/>
  <c r="E30" i="329"/>
  <c r="E96" i="329" s="1"/>
  <c r="D229" i="329" s="1"/>
  <c r="D238" i="329" s="1"/>
  <c r="D30" i="329"/>
  <c r="E29" i="329"/>
  <c r="E95" i="329" s="1"/>
  <c r="D228" i="329" s="1"/>
  <c r="D237" i="329" s="1"/>
  <c r="D29" i="329"/>
  <c r="D95" i="329" s="1"/>
  <c r="H28" i="329"/>
  <c r="H29" i="329" s="1"/>
  <c r="H30" i="329" s="1"/>
  <c r="E28" i="329"/>
  <c r="E94" i="329" s="1"/>
  <c r="D227" i="329" s="1"/>
  <c r="D236" i="329" s="1"/>
  <c r="D28" i="329"/>
  <c r="D94" i="329" s="1"/>
  <c r="H27" i="329"/>
  <c r="E27" i="329"/>
  <c r="E93" i="329" s="1"/>
  <c r="D226" i="329" s="1"/>
  <c r="D235" i="329" s="1"/>
  <c r="D27" i="329"/>
  <c r="D93" i="329" s="1"/>
  <c r="C226" i="329" s="1"/>
  <c r="E26" i="329"/>
  <c r="E92" i="329" s="1"/>
  <c r="D225" i="329" s="1"/>
  <c r="D234" i="329" s="1"/>
  <c r="D26" i="329"/>
  <c r="G212" i="329" s="1"/>
  <c r="I212" i="329" s="1"/>
  <c r="J22" i="329"/>
  <c r="F21" i="329"/>
  <c r="F20" i="329"/>
  <c r="F19" i="329"/>
  <c r="F18" i="329"/>
  <c r="F17" i="329"/>
  <c r="F16" i="329"/>
  <c r="H15" i="329"/>
  <c r="H16" i="329" s="1"/>
  <c r="F15" i="329"/>
  <c r="M11" i="329"/>
  <c r="M10" i="329"/>
  <c r="M9" i="329"/>
  <c r="H9" i="329"/>
  <c r="H10" i="329" s="1"/>
  <c r="M8" i="329"/>
  <c r="E8" i="329"/>
  <c r="C8" i="329"/>
  <c r="M7" i="329"/>
  <c r="M6" i="329"/>
  <c r="F190" i="329"/>
  <c r="F217" i="329"/>
  <c r="M5" i="329"/>
  <c r="E5" i="329"/>
  <c r="E366" i="329" s="1"/>
  <c r="D5" i="329"/>
  <c r="D366" i="329" s="1"/>
  <c r="M4" i="329"/>
  <c r="F4" i="329"/>
  <c r="V372" i="329" s="1"/>
  <c r="B4" i="329"/>
  <c r="R370" i="329" s="1"/>
  <c r="E14" i="325"/>
  <c r="K68" i="325" s="1"/>
  <c r="E68" i="325" s="1"/>
  <c r="D243" i="325" s="1"/>
  <c r="D14" i="325"/>
  <c r="J68" i="325" s="1"/>
  <c r="D68" i="325" s="1"/>
  <c r="C243" i="325" s="1"/>
  <c r="F4" i="328"/>
  <c r="V372" i="328" s="1"/>
  <c r="D386" i="328"/>
  <c r="I386" i="328" s="1"/>
  <c r="T382" i="328"/>
  <c r="S382" i="328"/>
  <c r="T381" i="328"/>
  <c r="U381" i="328" s="1"/>
  <c r="U380" i="328"/>
  <c r="T376" i="328"/>
  <c r="C368" i="328"/>
  <c r="G366" i="328"/>
  <c r="H360" i="328"/>
  <c r="D359" i="328"/>
  <c r="H359" i="328" s="1"/>
  <c r="D358" i="328"/>
  <c r="H358" i="328" s="1"/>
  <c r="D352" i="328"/>
  <c r="H352" i="328" s="1"/>
  <c r="H351" i="328"/>
  <c r="D351" i="328"/>
  <c r="D345" i="328"/>
  <c r="D346" i="328" s="1"/>
  <c r="C341" i="328"/>
  <c r="H341" i="328" s="1"/>
  <c r="C340" i="328"/>
  <c r="G329" i="328"/>
  <c r="G328" i="328"/>
  <c r="G325" i="328"/>
  <c r="G323" i="328"/>
  <c r="E321" i="328"/>
  <c r="E319" i="328"/>
  <c r="F318" i="328"/>
  <c r="G318" i="328" s="1"/>
  <c r="C316" i="328"/>
  <c r="C318" i="328" s="1"/>
  <c r="G313" i="328"/>
  <c r="H312" i="328"/>
  <c r="D310" i="328"/>
  <c r="C309" i="328"/>
  <c r="H309" i="328" s="1"/>
  <c r="H307" i="328"/>
  <c r="G305" i="328"/>
  <c r="E305" i="328"/>
  <c r="E304" i="328"/>
  <c r="D371" i="328" s="1"/>
  <c r="G303" i="328"/>
  <c r="H303" i="328" s="1"/>
  <c r="G302" i="328"/>
  <c r="H302" i="328" s="1"/>
  <c r="H301" i="328"/>
  <c r="H299" i="328"/>
  <c r="H297" i="328"/>
  <c r="F296" i="328"/>
  <c r="F298" i="328" s="1"/>
  <c r="F300" i="328" s="1"/>
  <c r="F302" i="328" s="1"/>
  <c r="F303" i="328" s="1"/>
  <c r="H295" i="328"/>
  <c r="F290" i="328"/>
  <c r="E289" i="328"/>
  <c r="G288" i="328"/>
  <c r="E288" i="328"/>
  <c r="B288" i="328"/>
  <c r="B289" i="328" s="1"/>
  <c r="E287" i="328"/>
  <c r="G286" i="328"/>
  <c r="G287" i="328" s="1"/>
  <c r="E286" i="328"/>
  <c r="B286" i="328"/>
  <c r="B287" i="328" s="1"/>
  <c r="F284" i="328"/>
  <c r="F283" i="328"/>
  <c r="F285" i="328" s="1"/>
  <c r="B281" i="328"/>
  <c r="B282" i="328" s="1"/>
  <c r="B283" i="328" s="1"/>
  <c r="B284" i="328" s="1"/>
  <c r="F280" i="328"/>
  <c r="F279" i="328"/>
  <c r="F278" i="328"/>
  <c r="F277" i="328"/>
  <c r="F276" i="328"/>
  <c r="I275" i="328"/>
  <c r="I276" i="328" s="1"/>
  <c r="I277" i="328" s="1"/>
  <c r="I278" i="328" s="1"/>
  <c r="I279" i="328" s="1"/>
  <c r="F275" i="328"/>
  <c r="F274" i="328"/>
  <c r="F264" i="328"/>
  <c r="F263" i="328"/>
  <c r="F262" i="328"/>
  <c r="F261" i="328"/>
  <c r="F260" i="328"/>
  <c r="F259" i="328"/>
  <c r="F257" i="328"/>
  <c r="F256" i="328"/>
  <c r="F255" i="328"/>
  <c r="F254" i="328"/>
  <c r="F253" i="328"/>
  <c r="I252" i="328"/>
  <c r="I253" i="328" s="1"/>
  <c r="I254" i="328" s="1"/>
  <c r="I255" i="328" s="1"/>
  <c r="I256" i="328" s="1"/>
  <c r="I257" i="328" s="1"/>
  <c r="F252" i="328"/>
  <c r="F251" i="328"/>
  <c r="F249" i="328"/>
  <c r="F248" i="328"/>
  <c r="F247" i="328"/>
  <c r="F246" i="328"/>
  <c r="F245" i="328"/>
  <c r="F244" i="328"/>
  <c r="F243" i="328"/>
  <c r="F250" i="328" s="1"/>
  <c r="F234" i="328"/>
  <c r="F229" i="328"/>
  <c r="F238" i="328" s="1"/>
  <c r="F228" i="328"/>
  <c r="F237" i="328" s="1"/>
  <c r="F227" i="328"/>
  <c r="F236" i="328" s="1"/>
  <c r="F226" i="328"/>
  <c r="F235" i="328" s="1"/>
  <c r="F225" i="328"/>
  <c r="B225" i="328"/>
  <c r="B226" i="328" s="1"/>
  <c r="B227" i="328" s="1"/>
  <c r="B228" i="328" s="1"/>
  <c r="B229" i="328" s="1"/>
  <c r="B230" i="328" s="1"/>
  <c r="B231" i="328" s="1"/>
  <c r="B232" i="328" s="1"/>
  <c r="B234" i="328" s="1"/>
  <c r="B235" i="328" s="1"/>
  <c r="B236" i="328" s="1"/>
  <c r="B237" i="328" s="1"/>
  <c r="B238" i="328" s="1"/>
  <c r="B239" i="328" s="1"/>
  <c r="B240" i="328" s="1"/>
  <c r="C223" i="328"/>
  <c r="I222" i="328"/>
  <c r="C222" i="328"/>
  <c r="I221" i="328"/>
  <c r="C220" i="328"/>
  <c r="C221" i="328" s="1"/>
  <c r="C219" i="328"/>
  <c r="E213" i="328"/>
  <c r="E214" i="328" s="1"/>
  <c r="E211" i="328"/>
  <c r="E212" i="328" s="1"/>
  <c r="E209" i="328"/>
  <c r="E210" i="328" s="1"/>
  <c r="I207" i="328"/>
  <c r="I208" i="328" s="1"/>
  <c r="E207" i="328"/>
  <c r="E208" i="328" s="1"/>
  <c r="I205" i="328"/>
  <c r="I206" i="328" s="1"/>
  <c r="E205" i="328"/>
  <c r="E206" i="328" s="1"/>
  <c r="I203" i="328"/>
  <c r="I204" i="328" s="1"/>
  <c r="E203" i="328"/>
  <c r="G201" i="328"/>
  <c r="E201" i="328"/>
  <c r="I201" i="328" s="1"/>
  <c r="G200" i="328"/>
  <c r="C199" i="328"/>
  <c r="E200" i="328" s="1"/>
  <c r="H198" i="328"/>
  <c r="I196" i="328"/>
  <c r="E199" i="328" s="1"/>
  <c r="H196" i="328"/>
  <c r="I195" i="328"/>
  <c r="G193" i="328"/>
  <c r="G192" i="328"/>
  <c r="H189" i="328"/>
  <c r="H190" i="328" s="1"/>
  <c r="I188" i="328"/>
  <c r="G186" i="328"/>
  <c r="G185" i="328"/>
  <c r="H182" i="328"/>
  <c r="H183" i="328" s="1"/>
  <c r="I183" i="328" s="1"/>
  <c r="G179" i="328"/>
  <c r="G178" i="328"/>
  <c r="C177" i="328"/>
  <c r="E179" i="328" s="1"/>
  <c r="I179" i="328" s="1"/>
  <c r="H176" i="328"/>
  <c r="I176" i="328" s="1"/>
  <c r="H175" i="328"/>
  <c r="I175" i="328" s="1"/>
  <c r="I174" i="328"/>
  <c r="G172" i="328"/>
  <c r="G171" i="328"/>
  <c r="E171" i="328"/>
  <c r="I171" i="328" s="1"/>
  <c r="C170" i="328"/>
  <c r="E172" i="328" s="1"/>
  <c r="I172" i="328" s="1"/>
  <c r="H169" i="328"/>
  <c r="I169" i="328" s="1"/>
  <c r="I168" i="328"/>
  <c r="H168" i="328"/>
  <c r="I167" i="328"/>
  <c r="G165" i="328"/>
  <c r="G164" i="328"/>
  <c r="E162" i="328"/>
  <c r="D279" i="328" s="1"/>
  <c r="D162" i="328"/>
  <c r="C279" i="328" s="1"/>
  <c r="E161" i="328"/>
  <c r="D278" i="328" s="1"/>
  <c r="D161" i="328"/>
  <c r="C278" i="328" s="1"/>
  <c r="E278" i="328" s="1"/>
  <c r="E160" i="328"/>
  <c r="D277" i="328" s="1"/>
  <c r="D160" i="328"/>
  <c r="C277" i="328" s="1"/>
  <c r="E159" i="328"/>
  <c r="D276" i="328" s="1"/>
  <c r="D159" i="328"/>
  <c r="C276" i="328" s="1"/>
  <c r="E276" i="328" s="1"/>
  <c r="H158" i="328"/>
  <c r="H159" i="328" s="1"/>
  <c r="H160" i="328" s="1"/>
  <c r="E158" i="328"/>
  <c r="D275" i="328" s="1"/>
  <c r="D158" i="328"/>
  <c r="C275" i="328" s="1"/>
  <c r="E275" i="328" s="1"/>
  <c r="H157" i="328"/>
  <c r="E157" i="328"/>
  <c r="D274" i="328" s="1"/>
  <c r="D157" i="328"/>
  <c r="F157" i="328" s="1"/>
  <c r="G155" i="328"/>
  <c r="G154" i="328"/>
  <c r="G152" i="328"/>
  <c r="F272" i="328" s="1"/>
  <c r="D152" i="328"/>
  <c r="C272" i="328" s="1"/>
  <c r="G151" i="328"/>
  <c r="F271" i="328" s="1"/>
  <c r="G150" i="328"/>
  <c r="F270" i="328" s="1"/>
  <c r="F273" i="328" s="1"/>
  <c r="G148" i="328"/>
  <c r="G147" i="328"/>
  <c r="G145" i="328"/>
  <c r="F268" i="328" s="1"/>
  <c r="H144" i="328"/>
  <c r="H145" i="328" s="1"/>
  <c r="H150" i="328" s="1"/>
  <c r="H151" i="328" s="1"/>
  <c r="H152" i="328" s="1"/>
  <c r="G144" i="328"/>
  <c r="F267" i="328" s="1"/>
  <c r="G143" i="328"/>
  <c r="F266" i="328" s="1"/>
  <c r="G141" i="328"/>
  <c r="G140" i="328"/>
  <c r="H138" i="328"/>
  <c r="I138" i="328" s="1"/>
  <c r="G135" i="328"/>
  <c r="G134" i="328"/>
  <c r="J133" i="328"/>
  <c r="F132" i="328"/>
  <c r="D132" i="328"/>
  <c r="H131" i="328"/>
  <c r="H132" i="328" s="1"/>
  <c r="F131" i="328"/>
  <c r="D131" i="328"/>
  <c r="I130" i="328"/>
  <c r="F130" i="328"/>
  <c r="D130" i="328"/>
  <c r="G128" i="328"/>
  <c r="G127" i="328"/>
  <c r="J126" i="328"/>
  <c r="H125" i="328"/>
  <c r="F125" i="328"/>
  <c r="I125" i="328" s="1"/>
  <c r="E125" i="328"/>
  <c r="E152" i="328" s="1"/>
  <c r="D125" i="328"/>
  <c r="H124" i="328"/>
  <c r="F124" i="328"/>
  <c r="I124" i="328" s="1"/>
  <c r="E124" i="328"/>
  <c r="E151" i="328" s="1"/>
  <c r="D271" i="328" s="1"/>
  <c r="D124" i="328"/>
  <c r="D151" i="328" s="1"/>
  <c r="C271" i="328" s="1"/>
  <c r="E123" i="328"/>
  <c r="E150" i="328" s="1"/>
  <c r="D270" i="328" s="1"/>
  <c r="D123" i="328"/>
  <c r="F123" i="328" s="1"/>
  <c r="G121" i="328"/>
  <c r="G120" i="328"/>
  <c r="J119" i="328"/>
  <c r="E118" i="328"/>
  <c r="E145" i="328" s="1"/>
  <c r="D268" i="328" s="1"/>
  <c r="D118" i="328"/>
  <c r="H117" i="328"/>
  <c r="H118" i="328" s="1"/>
  <c r="E117" i="328"/>
  <c r="E144" i="328" s="1"/>
  <c r="D267" i="328" s="1"/>
  <c r="D117" i="328"/>
  <c r="F117" i="328" s="1"/>
  <c r="I117" i="328" s="1"/>
  <c r="G114" i="328"/>
  <c r="G113" i="328"/>
  <c r="J112" i="328"/>
  <c r="F111" i="328"/>
  <c r="F110" i="328"/>
  <c r="H109" i="328"/>
  <c r="H110" i="328" s="1"/>
  <c r="F109" i="328"/>
  <c r="I109" i="328" s="1"/>
  <c r="G106" i="328"/>
  <c r="G105" i="328"/>
  <c r="G103" i="328"/>
  <c r="F232" i="328" s="1"/>
  <c r="F241" i="328" s="1"/>
  <c r="G102" i="328"/>
  <c r="F231" i="328" s="1"/>
  <c r="F240" i="328" s="1"/>
  <c r="G101" i="328"/>
  <c r="F230" i="328" s="1"/>
  <c r="F239" i="328" s="1"/>
  <c r="C101" i="328"/>
  <c r="G99" i="328"/>
  <c r="G98" i="328"/>
  <c r="G96" i="328"/>
  <c r="G95" i="328"/>
  <c r="G94" i="328"/>
  <c r="H93" i="328"/>
  <c r="H94" i="328" s="1"/>
  <c r="H95" i="328" s="1"/>
  <c r="H96" i="328" s="1"/>
  <c r="H101" i="328" s="1"/>
  <c r="H102" i="328" s="1"/>
  <c r="H103" i="328" s="1"/>
  <c r="G93" i="328"/>
  <c r="G92" i="328"/>
  <c r="G90" i="328"/>
  <c r="G89" i="328"/>
  <c r="E87" i="328"/>
  <c r="D264" i="328" s="1"/>
  <c r="D87" i="328"/>
  <c r="C264" i="328" s="1"/>
  <c r="E86" i="328"/>
  <c r="D263" i="328" s="1"/>
  <c r="D86" i="328"/>
  <c r="C263" i="328" s="1"/>
  <c r="E85" i="328"/>
  <c r="D85" i="328"/>
  <c r="E84" i="328"/>
  <c r="D84" i="328"/>
  <c r="E83" i="328"/>
  <c r="D260" i="328" s="1"/>
  <c r="D83" i="328"/>
  <c r="C260" i="328" s="1"/>
  <c r="F82" i="328"/>
  <c r="E82" i="328"/>
  <c r="D259" i="328" s="1"/>
  <c r="D82" i="328"/>
  <c r="C259" i="328" s="1"/>
  <c r="E81" i="328"/>
  <c r="D257" i="328" s="1"/>
  <c r="D81" i="328"/>
  <c r="C257" i="328" s="1"/>
  <c r="E80" i="328"/>
  <c r="D256" i="328" s="1"/>
  <c r="D80" i="328"/>
  <c r="C256" i="328" s="1"/>
  <c r="F79" i="328"/>
  <c r="E79" i="328"/>
  <c r="D255" i="328" s="1"/>
  <c r="D79" i="328"/>
  <c r="C255" i="328" s="1"/>
  <c r="E78" i="328"/>
  <c r="D254" i="328" s="1"/>
  <c r="D78" i="328"/>
  <c r="C254" i="328" s="1"/>
  <c r="E77" i="328"/>
  <c r="D253" i="328" s="1"/>
  <c r="D282" i="328" s="1"/>
  <c r="D77" i="328"/>
  <c r="C253" i="328" s="1"/>
  <c r="E76" i="328"/>
  <c r="D252" i="328" s="1"/>
  <c r="D281" i="328" s="1"/>
  <c r="D76" i="328"/>
  <c r="C252" i="328" s="1"/>
  <c r="E75" i="328"/>
  <c r="D251" i="328" s="1"/>
  <c r="D75" i="328"/>
  <c r="C251" i="328" s="1"/>
  <c r="E74" i="328"/>
  <c r="D249" i="328" s="1"/>
  <c r="D74" i="328"/>
  <c r="C249" i="328" s="1"/>
  <c r="E73" i="328"/>
  <c r="D248" i="328" s="1"/>
  <c r="D73" i="328"/>
  <c r="C248" i="328" s="1"/>
  <c r="E248" i="328" s="1"/>
  <c r="E72" i="328"/>
  <c r="D247" i="328" s="1"/>
  <c r="D72" i="328"/>
  <c r="C247" i="328" s="1"/>
  <c r="E71" i="328"/>
  <c r="D246" i="328" s="1"/>
  <c r="D71" i="328"/>
  <c r="C246" i="328" s="1"/>
  <c r="E70" i="328"/>
  <c r="D245" i="328" s="1"/>
  <c r="D70" i="328"/>
  <c r="C245" i="328" s="1"/>
  <c r="H69" i="328"/>
  <c r="H70" i="328" s="1"/>
  <c r="E69" i="328"/>
  <c r="D244" i="328" s="1"/>
  <c r="D69" i="328"/>
  <c r="C244" i="328" s="1"/>
  <c r="E68" i="328"/>
  <c r="D243" i="328" s="1"/>
  <c r="D68" i="328"/>
  <c r="C243" i="328" s="1"/>
  <c r="G66" i="328"/>
  <c r="G65" i="328"/>
  <c r="E65" i="328"/>
  <c r="I65" i="328" s="1"/>
  <c r="J64" i="328"/>
  <c r="C64" i="328"/>
  <c r="E66" i="328" s="1"/>
  <c r="I63" i="328"/>
  <c r="I62" i="328"/>
  <c r="I61" i="328"/>
  <c r="I60" i="328"/>
  <c r="G58" i="328"/>
  <c r="G57" i="328"/>
  <c r="J56" i="328"/>
  <c r="F55" i="328"/>
  <c r="D55" i="328"/>
  <c r="H54" i="328"/>
  <c r="H55" i="328" s="1"/>
  <c r="F54" i="328"/>
  <c r="D54" i="328"/>
  <c r="H53" i="328"/>
  <c r="F53" i="328"/>
  <c r="D53" i="328"/>
  <c r="F52" i="328"/>
  <c r="D52" i="328"/>
  <c r="I52" i="328" s="1"/>
  <c r="G50" i="328"/>
  <c r="G49" i="328"/>
  <c r="J48" i="328"/>
  <c r="E47" i="328"/>
  <c r="D47" i="328"/>
  <c r="F47" i="328" s="1"/>
  <c r="I47" i="328" s="1"/>
  <c r="E46" i="328"/>
  <c r="D46" i="328"/>
  <c r="E45" i="328"/>
  <c r="F45" i="328" s="1"/>
  <c r="D45" i="328"/>
  <c r="E44" i="328"/>
  <c r="D44" i="328"/>
  <c r="F44" i="328" s="1"/>
  <c r="H43" i="328"/>
  <c r="H44" i="328" s="1"/>
  <c r="H45" i="328" s="1"/>
  <c r="H46" i="328" s="1"/>
  <c r="H47" i="328" s="1"/>
  <c r="E43" i="328"/>
  <c r="F43" i="328" s="1"/>
  <c r="I43" i="328" s="1"/>
  <c r="D43" i="328"/>
  <c r="E42" i="328"/>
  <c r="D42" i="328"/>
  <c r="G40" i="328"/>
  <c r="G39" i="328"/>
  <c r="J38" i="328"/>
  <c r="E37" i="328"/>
  <c r="E103" i="328" s="1"/>
  <c r="D232" i="328" s="1"/>
  <c r="D241" i="328" s="1"/>
  <c r="D37" i="328"/>
  <c r="D103" i="328" s="1"/>
  <c r="H36" i="328"/>
  <c r="H37" i="328" s="1"/>
  <c r="E36" i="328"/>
  <c r="E102" i="328" s="1"/>
  <c r="D231" i="328" s="1"/>
  <c r="D240" i="328" s="1"/>
  <c r="D36" i="328"/>
  <c r="F36" i="328" s="1"/>
  <c r="I36" i="328" s="1"/>
  <c r="F35" i="328"/>
  <c r="I35" i="328" s="1"/>
  <c r="E35" i="328"/>
  <c r="D35" i="328"/>
  <c r="C300" i="328" s="1"/>
  <c r="G33" i="328"/>
  <c r="G32" i="328"/>
  <c r="J31" i="328"/>
  <c r="F30" i="328"/>
  <c r="E30" i="328"/>
  <c r="E96" i="328" s="1"/>
  <c r="D229" i="328" s="1"/>
  <c r="D238" i="328" s="1"/>
  <c r="D30" i="328"/>
  <c r="D96" i="328" s="1"/>
  <c r="E29" i="328"/>
  <c r="E95" i="328" s="1"/>
  <c r="D228" i="328" s="1"/>
  <c r="D237" i="328" s="1"/>
  <c r="D29" i="328"/>
  <c r="D95" i="328" s="1"/>
  <c r="E28" i="328"/>
  <c r="E94" i="328" s="1"/>
  <c r="D227" i="328" s="1"/>
  <c r="D236" i="328" s="1"/>
  <c r="D28" i="328"/>
  <c r="D94" i="328" s="1"/>
  <c r="H27" i="328"/>
  <c r="H28" i="328" s="1"/>
  <c r="H29" i="328" s="1"/>
  <c r="H30" i="328" s="1"/>
  <c r="E27" i="328"/>
  <c r="E93" i="328" s="1"/>
  <c r="D226" i="328" s="1"/>
  <c r="D235" i="328" s="1"/>
  <c r="D27" i="328"/>
  <c r="E26" i="328"/>
  <c r="D26" i="328"/>
  <c r="F26" i="328" s="1"/>
  <c r="J22" i="328"/>
  <c r="F21" i="328"/>
  <c r="F20" i="328"/>
  <c r="F19" i="328"/>
  <c r="F18" i="328"/>
  <c r="F17" i="328"/>
  <c r="F16" i="328"/>
  <c r="H15" i="328"/>
  <c r="H16" i="328" s="1"/>
  <c r="F15" i="328"/>
  <c r="I15" i="328" s="1"/>
  <c r="I14" i="328"/>
  <c r="F14" i="328"/>
  <c r="C22" i="328" s="1"/>
  <c r="M11" i="328"/>
  <c r="M10" i="328"/>
  <c r="M9" i="328"/>
  <c r="H9" i="328"/>
  <c r="H10" i="328" s="1"/>
  <c r="M8" i="328"/>
  <c r="E8" i="328"/>
  <c r="C8" i="328"/>
  <c r="M7" i="328"/>
  <c r="M6" i="328"/>
  <c r="F190" i="328"/>
  <c r="D181" i="328"/>
  <c r="C184" i="328" s="1"/>
  <c r="M5" i="328"/>
  <c r="E5" i="328"/>
  <c r="E366" i="328" s="1"/>
  <c r="D5" i="328"/>
  <c r="D366" i="328" s="1"/>
  <c r="M4" i="328"/>
  <c r="G8" i="328" s="1"/>
  <c r="B4" i="328"/>
  <c r="R370" i="328" s="1"/>
  <c r="B112" i="327"/>
  <c r="F112" i="327" s="1"/>
  <c r="E126" i="327"/>
  <c r="E123" i="327"/>
  <c r="G121" i="327"/>
  <c r="E120" i="327"/>
  <c r="H120" i="327" s="1"/>
  <c r="D119" i="327"/>
  <c r="E118" i="327"/>
  <c r="H118" i="327" s="1"/>
  <c r="H117" i="327"/>
  <c r="H116" i="327"/>
  <c r="H115" i="327"/>
  <c r="F115" i="327"/>
  <c r="F114" i="327"/>
  <c r="E114" i="327"/>
  <c r="H114" i="327" s="1"/>
  <c r="F113" i="327"/>
  <c r="E113" i="327"/>
  <c r="H113" i="327" s="1"/>
  <c r="E108" i="327"/>
  <c r="G107" i="327"/>
  <c r="E107" i="327"/>
  <c r="E106" i="327"/>
  <c r="H106" i="327" s="1"/>
  <c r="O105" i="327"/>
  <c r="E105" i="327"/>
  <c r="H105" i="327" s="1"/>
  <c r="E104" i="327"/>
  <c r="H104" i="327" s="1"/>
  <c r="M103" i="327"/>
  <c r="N103" i="327" s="1"/>
  <c r="H100" i="327"/>
  <c r="H99" i="327"/>
  <c r="C99" i="327"/>
  <c r="G98" i="327"/>
  <c r="H98" i="327" s="1"/>
  <c r="E96" i="327"/>
  <c r="H96" i="327" s="1"/>
  <c r="E93" i="327"/>
  <c r="E94" i="327" s="1"/>
  <c r="H94" i="327" s="1"/>
  <c r="M92" i="327"/>
  <c r="N92" i="327" s="1"/>
  <c r="E92" i="327"/>
  <c r="E95" i="327" s="1"/>
  <c r="H95" i="327" s="1"/>
  <c r="H91" i="327"/>
  <c r="H89" i="327"/>
  <c r="E88" i="327"/>
  <c r="M87" i="327"/>
  <c r="N87" i="327" s="1"/>
  <c r="G87" i="327"/>
  <c r="G86" i="327"/>
  <c r="H86" i="327" s="1"/>
  <c r="E86" i="327"/>
  <c r="E102" i="327" s="1"/>
  <c r="H102" i="327" s="1"/>
  <c r="M85" i="327"/>
  <c r="N85" i="327" s="1"/>
  <c r="E85" i="327"/>
  <c r="H85" i="327" s="1"/>
  <c r="E83" i="327"/>
  <c r="M76" i="327"/>
  <c r="N76" i="327" s="1"/>
  <c r="E75" i="327"/>
  <c r="E74" i="327"/>
  <c r="A73" i="327"/>
  <c r="D70" i="327"/>
  <c r="D68" i="327"/>
  <c r="H68" i="327" s="1"/>
  <c r="H69" i="327" s="1"/>
  <c r="G65" i="327"/>
  <c r="E65" i="327"/>
  <c r="A65" i="327"/>
  <c r="Q64" i="327"/>
  <c r="J64" i="327"/>
  <c r="C62" i="327"/>
  <c r="C61" i="327"/>
  <c r="G60" i="327"/>
  <c r="G62" i="327" s="1"/>
  <c r="F60" i="327"/>
  <c r="F63" i="327" s="1"/>
  <c r="E60" i="327"/>
  <c r="D60" i="327"/>
  <c r="C60" i="327"/>
  <c r="F58" i="327"/>
  <c r="G57" i="327"/>
  <c r="E57" i="327"/>
  <c r="G56" i="327"/>
  <c r="E56" i="327"/>
  <c r="H55" i="327"/>
  <c r="F53" i="327"/>
  <c r="G52" i="327"/>
  <c r="E52" i="327"/>
  <c r="G51" i="327"/>
  <c r="E51" i="327"/>
  <c r="C50" i="327"/>
  <c r="H50" i="327" s="1"/>
  <c r="F48" i="327"/>
  <c r="G47" i="327"/>
  <c r="E47" i="327"/>
  <c r="G46" i="327"/>
  <c r="E46" i="327"/>
  <c r="H45" i="327"/>
  <c r="F43" i="327"/>
  <c r="E43" i="327"/>
  <c r="G42" i="327"/>
  <c r="H42" i="327" s="1"/>
  <c r="G41" i="327"/>
  <c r="H41" i="327" s="1"/>
  <c r="H40" i="327"/>
  <c r="B38" i="327"/>
  <c r="G36" i="327"/>
  <c r="F36" i="327"/>
  <c r="E36" i="327"/>
  <c r="D36" i="327"/>
  <c r="C36" i="327"/>
  <c r="G35" i="327"/>
  <c r="F35" i="327"/>
  <c r="E35" i="327"/>
  <c r="D35" i="327"/>
  <c r="F34" i="327"/>
  <c r="E34" i="327"/>
  <c r="D34" i="327"/>
  <c r="C34" i="327"/>
  <c r="G31" i="327"/>
  <c r="F31" i="327"/>
  <c r="E31" i="327"/>
  <c r="D31" i="327"/>
  <c r="C31" i="327"/>
  <c r="G30" i="327"/>
  <c r="F30" i="327"/>
  <c r="E30" i="327"/>
  <c r="D30" i="327"/>
  <c r="F29" i="327"/>
  <c r="E29" i="327"/>
  <c r="D29" i="327"/>
  <c r="C29" i="327"/>
  <c r="B27" i="327"/>
  <c r="F25" i="327"/>
  <c r="D25" i="327"/>
  <c r="C25" i="327"/>
  <c r="G24" i="327"/>
  <c r="G25" i="327" s="1"/>
  <c r="F24" i="327"/>
  <c r="D24" i="327"/>
  <c r="F23" i="327"/>
  <c r="D23" i="327"/>
  <c r="F20" i="327"/>
  <c r="D20" i="327"/>
  <c r="F19" i="327"/>
  <c r="D19" i="327"/>
  <c r="C19" i="327"/>
  <c r="G18" i="327"/>
  <c r="G19" i="327" s="1"/>
  <c r="D18" i="327"/>
  <c r="B16" i="327"/>
  <c r="F15" i="327"/>
  <c r="G14" i="327"/>
  <c r="H14" i="327" s="1"/>
  <c r="G13" i="327"/>
  <c r="H13" i="327" s="1"/>
  <c r="C12" i="327"/>
  <c r="C23" i="327" s="1"/>
  <c r="B10" i="327"/>
  <c r="F9" i="327"/>
  <c r="G8" i="327"/>
  <c r="H8" i="327" s="1"/>
  <c r="G7" i="327"/>
  <c r="C7" i="327"/>
  <c r="H7" i="327" s="1"/>
  <c r="H6" i="327"/>
  <c r="R3" i="327"/>
  <c r="H3" i="327"/>
  <c r="G3" i="327"/>
  <c r="B3" i="327" a="1"/>
  <c r="B3" i="327" s="1"/>
  <c r="AE128" i="327" s="1"/>
  <c r="D35" i="326"/>
  <c r="D30" i="326"/>
  <c r="C12" i="326"/>
  <c r="H12" i="326" s="1"/>
  <c r="E126" i="326"/>
  <c r="E123" i="326"/>
  <c r="G121" i="326"/>
  <c r="E120" i="326"/>
  <c r="H120" i="326" s="1"/>
  <c r="D119" i="326"/>
  <c r="E118" i="326"/>
  <c r="H118" i="326" s="1"/>
  <c r="H117" i="326"/>
  <c r="H116" i="326"/>
  <c r="H115" i="326"/>
  <c r="F115" i="326"/>
  <c r="E108" i="326"/>
  <c r="G107" i="326"/>
  <c r="E107" i="326"/>
  <c r="E106" i="326"/>
  <c r="H106" i="326" s="1"/>
  <c r="O105" i="326"/>
  <c r="H105" i="326"/>
  <c r="E105" i="326"/>
  <c r="E104" i="326"/>
  <c r="H104" i="326" s="1"/>
  <c r="M103" i="326"/>
  <c r="N103" i="326" s="1"/>
  <c r="H100" i="326"/>
  <c r="H99" i="326"/>
  <c r="C99" i="326"/>
  <c r="G98" i="326"/>
  <c r="E96" i="326"/>
  <c r="H96" i="326" s="1"/>
  <c r="E93" i="326"/>
  <c r="E94" i="326" s="1"/>
  <c r="H94" i="326" s="1"/>
  <c r="M92" i="326"/>
  <c r="N92" i="326" s="1"/>
  <c r="E92" i="326"/>
  <c r="H92" i="326" s="1"/>
  <c r="H91" i="326"/>
  <c r="H89" i="326"/>
  <c r="E88" i="326"/>
  <c r="M87" i="326"/>
  <c r="N87" i="326" s="1"/>
  <c r="G87" i="326"/>
  <c r="G86" i="326"/>
  <c r="G88" i="326" s="1"/>
  <c r="E86" i="326"/>
  <c r="M85" i="326"/>
  <c r="N85" i="326" s="1"/>
  <c r="E85" i="326"/>
  <c r="H85" i="326" s="1"/>
  <c r="E83" i="326"/>
  <c r="M76" i="326"/>
  <c r="N76" i="326" s="1"/>
  <c r="E75" i="326"/>
  <c r="E74" i="326"/>
  <c r="A73" i="326"/>
  <c r="D70" i="326"/>
  <c r="D68" i="326"/>
  <c r="H68" i="326" s="1"/>
  <c r="H69" i="326" s="1"/>
  <c r="G65" i="326"/>
  <c r="E65" i="326"/>
  <c r="A65" i="326"/>
  <c r="Q64" i="326"/>
  <c r="J64" i="326"/>
  <c r="C62" i="326"/>
  <c r="C61" i="326"/>
  <c r="G60" i="326"/>
  <c r="G62" i="326" s="1"/>
  <c r="F60" i="326"/>
  <c r="F63" i="326" s="1"/>
  <c r="E60" i="326"/>
  <c r="D60" i="326"/>
  <c r="C60" i="326"/>
  <c r="F58" i="326"/>
  <c r="G57" i="326"/>
  <c r="E57" i="326"/>
  <c r="E62" i="326" s="1"/>
  <c r="G56" i="326"/>
  <c r="E56" i="326"/>
  <c r="H56" i="326" s="1"/>
  <c r="H55" i="326"/>
  <c r="F53" i="326"/>
  <c r="G52" i="326"/>
  <c r="E52" i="326"/>
  <c r="G51" i="326"/>
  <c r="E51" i="326"/>
  <c r="C50" i="326"/>
  <c r="H50" i="326" s="1"/>
  <c r="F48" i="326"/>
  <c r="G47" i="326"/>
  <c r="H47" i="326" s="1"/>
  <c r="E47" i="326"/>
  <c r="G46" i="326"/>
  <c r="E46" i="326"/>
  <c r="H45" i="326"/>
  <c r="F43" i="326"/>
  <c r="E43" i="326"/>
  <c r="G42" i="326"/>
  <c r="H42" i="326" s="1"/>
  <c r="H41" i="326"/>
  <c r="G41" i="326"/>
  <c r="H40" i="326"/>
  <c r="B38" i="326"/>
  <c r="G36" i="326"/>
  <c r="F36" i="326"/>
  <c r="E36" i="326"/>
  <c r="D36" i="326"/>
  <c r="C36" i="326"/>
  <c r="G35" i="326"/>
  <c r="F35" i="326"/>
  <c r="E35" i="326"/>
  <c r="F34" i="326"/>
  <c r="E34" i="326"/>
  <c r="D34" i="326"/>
  <c r="C34" i="326"/>
  <c r="G31" i="326"/>
  <c r="F31" i="326"/>
  <c r="E31" i="326"/>
  <c r="D31" i="326"/>
  <c r="C31" i="326"/>
  <c r="G30" i="326"/>
  <c r="F30" i="326"/>
  <c r="E30" i="326"/>
  <c r="F29" i="326"/>
  <c r="E29" i="326"/>
  <c r="D29" i="326"/>
  <c r="C29" i="326"/>
  <c r="B27" i="326"/>
  <c r="F25" i="326"/>
  <c r="D25" i="326"/>
  <c r="C25" i="326"/>
  <c r="G24" i="326"/>
  <c r="G25" i="326" s="1"/>
  <c r="F24" i="326"/>
  <c r="D24" i="326"/>
  <c r="F23" i="326"/>
  <c r="D23" i="326"/>
  <c r="F20" i="326"/>
  <c r="D20" i="326"/>
  <c r="F19" i="326"/>
  <c r="D19" i="326"/>
  <c r="C19" i="326"/>
  <c r="C24" i="326" s="1"/>
  <c r="G18" i="326"/>
  <c r="G20" i="326" s="1"/>
  <c r="D18" i="326"/>
  <c r="B16" i="326"/>
  <c r="F15" i="326"/>
  <c r="G14" i="326"/>
  <c r="H14" i="326" s="1"/>
  <c r="G13" i="326"/>
  <c r="H13" i="326" s="1"/>
  <c r="B10" i="326"/>
  <c r="F9" i="326"/>
  <c r="G8" i="326"/>
  <c r="H8" i="326" s="1"/>
  <c r="G7" i="326"/>
  <c r="C7" i="326"/>
  <c r="C35" i="326" s="1"/>
  <c r="H6" i="326"/>
  <c r="R3" i="326"/>
  <c r="H3" i="326"/>
  <c r="G3" i="326"/>
  <c r="B3" i="326" a="1"/>
  <c r="B3" i="326" s="1"/>
  <c r="AE128" i="326" s="1"/>
  <c r="O8" i="292"/>
  <c r="O7" i="292"/>
  <c r="O6" i="292"/>
  <c r="O5" i="292"/>
  <c r="P7" i="291"/>
  <c r="P5" i="291"/>
  <c r="P4" i="291"/>
  <c r="D386" i="325"/>
  <c r="I386" i="325" s="1"/>
  <c r="T382" i="325"/>
  <c r="U382" i="325" s="1"/>
  <c r="S382" i="325"/>
  <c r="T381" i="325"/>
  <c r="U381" i="325" s="1"/>
  <c r="U380" i="325"/>
  <c r="T376" i="325"/>
  <c r="S376" i="325"/>
  <c r="C368" i="325"/>
  <c r="G366" i="325"/>
  <c r="H359" i="325"/>
  <c r="H358" i="325"/>
  <c r="H352" i="325"/>
  <c r="D352" i="325"/>
  <c r="D351" i="325"/>
  <c r="H351" i="325" s="1"/>
  <c r="D345" i="325"/>
  <c r="D346" i="325" s="1"/>
  <c r="C341" i="325"/>
  <c r="H341" i="325" s="1"/>
  <c r="C340" i="325"/>
  <c r="G329" i="325"/>
  <c r="G328" i="325"/>
  <c r="G325" i="325"/>
  <c r="G323" i="325"/>
  <c r="E321" i="325"/>
  <c r="E319" i="325"/>
  <c r="G318" i="325"/>
  <c r="F318" i="325"/>
  <c r="C316" i="325"/>
  <c r="C317" i="325" s="1"/>
  <c r="G313" i="325"/>
  <c r="H312" i="325"/>
  <c r="D310" i="325"/>
  <c r="C309" i="325"/>
  <c r="C310" i="325" s="1"/>
  <c r="H310" i="325" s="1"/>
  <c r="H307" i="325"/>
  <c r="G305" i="325"/>
  <c r="E305" i="325"/>
  <c r="E304" i="325"/>
  <c r="D371" i="325" s="1"/>
  <c r="G303" i="325"/>
  <c r="H303" i="325" s="1"/>
  <c r="G302" i="325"/>
  <c r="H302" i="325" s="1"/>
  <c r="H301" i="325"/>
  <c r="H299" i="325"/>
  <c r="F298" i="325"/>
  <c r="F300" i="325" s="1"/>
  <c r="F302" i="325" s="1"/>
  <c r="F303" i="325" s="1"/>
  <c r="H297" i="325"/>
  <c r="F296" i="325"/>
  <c r="H295" i="325"/>
  <c r="F290" i="325"/>
  <c r="E289" i="325"/>
  <c r="G288" i="325"/>
  <c r="G289" i="325" s="1"/>
  <c r="E288" i="325"/>
  <c r="H288" i="325" s="1"/>
  <c r="B288" i="325"/>
  <c r="B289" i="325" s="1"/>
  <c r="E287" i="325"/>
  <c r="G286" i="325"/>
  <c r="G287" i="325" s="1"/>
  <c r="E286" i="325"/>
  <c r="I290" i="325" s="1"/>
  <c r="B286" i="325"/>
  <c r="B287" i="325" s="1"/>
  <c r="F284" i="325"/>
  <c r="F285" i="325" s="1"/>
  <c r="F283" i="325"/>
  <c r="B281" i="325"/>
  <c r="B282" i="325" s="1"/>
  <c r="B283" i="325" s="1"/>
  <c r="B284" i="325" s="1"/>
  <c r="F279" i="325"/>
  <c r="F278" i="325"/>
  <c r="F277" i="325"/>
  <c r="F276" i="325"/>
  <c r="I275" i="325"/>
  <c r="I276" i="325" s="1"/>
  <c r="I277" i="325" s="1"/>
  <c r="I278" i="325" s="1"/>
  <c r="I279" i="325" s="1"/>
  <c r="F275" i="325"/>
  <c r="F274" i="325"/>
  <c r="F264" i="325"/>
  <c r="F263" i="325"/>
  <c r="F262" i="325"/>
  <c r="F261" i="325"/>
  <c r="F265" i="325" s="1"/>
  <c r="F260" i="325"/>
  <c r="F259" i="325"/>
  <c r="F257" i="325"/>
  <c r="F256" i="325"/>
  <c r="F255" i="325"/>
  <c r="F254" i="325"/>
  <c r="F253" i="325"/>
  <c r="I252" i="325"/>
  <c r="I253" i="325" s="1"/>
  <c r="I254" i="325" s="1"/>
  <c r="I255" i="325" s="1"/>
  <c r="I256" i="325" s="1"/>
  <c r="I257" i="325" s="1"/>
  <c r="F252" i="325"/>
  <c r="F251" i="325"/>
  <c r="F258" i="325" s="1"/>
  <c r="F249" i="325"/>
  <c r="F248" i="325"/>
  <c r="F247" i="325"/>
  <c r="F246" i="325"/>
  <c r="F245" i="325"/>
  <c r="F244" i="325"/>
  <c r="F243" i="325"/>
  <c r="F237" i="325"/>
  <c r="F229" i="325"/>
  <c r="F238" i="325" s="1"/>
  <c r="F228" i="325"/>
  <c r="F227" i="325"/>
  <c r="F236" i="325" s="1"/>
  <c r="F226" i="325"/>
  <c r="F235" i="325" s="1"/>
  <c r="F225" i="325"/>
  <c r="B225" i="325"/>
  <c r="B226" i="325" s="1"/>
  <c r="B227" i="325" s="1"/>
  <c r="B228" i="325" s="1"/>
  <c r="B229" i="325" s="1"/>
  <c r="B230" i="325" s="1"/>
  <c r="B231" i="325" s="1"/>
  <c r="B232" i="325" s="1"/>
  <c r="B234" i="325" s="1"/>
  <c r="B235" i="325" s="1"/>
  <c r="B236" i="325" s="1"/>
  <c r="B237" i="325" s="1"/>
  <c r="B238" i="325" s="1"/>
  <c r="B239" i="325" s="1"/>
  <c r="B240" i="325" s="1"/>
  <c r="C223" i="325"/>
  <c r="I222" i="325"/>
  <c r="C222" i="325"/>
  <c r="I221" i="325"/>
  <c r="C219" i="325"/>
  <c r="C220" i="325" s="1"/>
  <c r="C221" i="325" s="1"/>
  <c r="E214" i="325"/>
  <c r="E213" i="325"/>
  <c r="E211" i="325"/>
  <c r="E212" i="325" s="1"/>
  <c r="E210" i="325"/>
  <c r="E209" i="325"/>
  <c r="I207" i="325"/>
  <c r="I208" i="325" s="1"/>
  <c r="E207" i="325"/>
  <c r="E208" i="325" s="1"/>
  <c r="I205" i="325"/>
  <c r="I206" i="325" s="1"/>
  <c r="E205" i="325"/>
  <c r="E206" i="325" s="1"/>
  <c r="E204" i="325"/>
  <c r="I203" i="325"/>
  <c r="I204" i="325" s="1"/>
  <c r="E203" i="325"/>
  <c r="G201" i="325"/>
  <c r="G200" i="325"/>
  <c r="C199" i="325"/>
  <c r="E201" i="325" s="1"/>
  <c r="H198" i="325"/>
  <c r="H196" i="325"/>
  <c r="I196" i="325" s="1"/>
  <c r="I195" i="325"/>
  <c r="G193" i="325"/>
  <c r="G192" i="325"/>
  <c r="H189" i="325"/>
  <c r="I189" i="325" s="1"/>
  <c r="I188" i="325"/>
  <c r="G186" i="325"/>
  <c r="G185" i="325"/>
  <c r="H183" i="325"/>
  <c r="I183" i="325" s="1"/>
  <c r="I182" i="325"/>
  <c r="H182" i="325"/>
  <c r="G179" i="325"/>
  <c r="G178" i="325"/>
  <c r="C177" i="325"/>
  <c r="E179" i="325" s="1"/>
  <c r="I179" i="325" s="1"/>
  <c r="H176" i="325"/>
  <c r="I176" i="325" s="1"/>
  <c r="I175" i="325"/>
  <c r="H175" i="325"/>
  <c r="I174" i="325"/>
  <c r="E177" i="325" s="1"/>
  <c r="G172" i="325"/>
  <c r="G171" i="325"/>
  <c r="C170" i="325"/>
  <c r="E172" i="325" s="1"/>
  <c r="I168" i="325"/>
  <c r="H168" i="325"/>
  <c r="H169" i="325" s="1"/>
  <c r="I169" i="325" s="1"/>
  <c r="I167" i="325"/>
  <c r="G165" i="325"/>
  <c r="G164" i="325"/>
  <c r="E162" i="325"/>
  <c r="D279" i="325" s="1"/>
  <c r="D162" i="325"/>
  <c r="C279" i="325" s="1"/>
  <c r="E161" i="325"/>
  <c r="D278" i="325" s="1"/>
  <c r="D161" i="325"/>
  <c r="C278" i="325" s="1"/>
  <c r="E160" i="325"/>
  <c r="D277" i="325" s="1"/>
  <c r="D160" i="325"/>
  <c r="E159" i="325"/>
  <c r="D276" i="325" s="1"/>
  <c r="D159" i="325"/>
  <c r="C276" i="325" s="1"/>
  <c r="E276" i="325" s="1"/>
  <c r="E158" i="325"/>
  <c r="D275" i="325" s="1"/>
  <c r="D158" i="325"/>
  <c r="C275" i="325" s="1"/>
  <c r="E275" i="325" s="1"/>
  <c r="H157" i="325"/>
  <c r="H158" i="325" s="1"/>
  <c r="H159" i="325" s="1"/>
  <c r="H160" i="325" s="1"/>
  <c r="E157" i="325"/>
  <c r="D274" i="325" s="1"/>
  <c r="D157" i="325"/>
  <c r="G155" i="325"/>
  <c r="G154" i="325"/>
  <c r="G152" i="325"/>
  <c r="F272" i="325" s="1"/>
  <c r="G151" i="325"/>
  <c r="F271" i="325" s="1"/>
  <c r="D151" i="325"/>
  <c r="C271" i="325" s="1"/>
  <c r="G150" i="325"/>
  <c r="F270" i="325" s="1"/>
  <c r="G148" i="325"/>
  <c r="G147" i="325"/>
  <c r="G145" i="325"/>
  <c r="F268" i="325" s="1"/>
  <c r="H144" i="325"/>
  <c r="H145" i="325" s="1"/>
  <c r="H150" i="325" s="1"/>
  <c r="H151" i="325" s="1"/>
  <c r="H152" i="325" s="1"/>
  <c r="G144" i="325"/>
  <c r="F267" i="325" s="1"/>
  <c r="G143" i="325"/>
  <c r="F266" i="325" s="1"/>
  <c r="D143" i="325"/>
  <c r="C266" i="325" s="1"/>
  <c r="G141" i="325"/>
  <c r="G140" i="325"/>
  <c r="H138" i="325"/>
  <c r="I138" i="325" s="1"/>
  <c r="G135" i="325"/>
  <c r="G134" i="325"/>
  <c r="J133" i="325"/>
  <c r="H132" i="325"/>
  <c r="I132" i="325" s="1"/>
  <c r="F132" i="325"/>
  <c r="D132" i="325"/>
  <c r="H131" i="325"/>
  <c r="F131" i="325"/>
  <c r="I131" i="325" s="1"/>
  <c r="D131" i="325"/>
  <c r="I130" i="325"/>
  <c r="F130" i="325"/>
  <c r="D130" i="325"/>
  <c r="C133" i="325" s="1"/>
  <c r="G128" i="325"/>
  <c r="G127" i="325"/>
  <c r="J126" i="325"/>
  <c r="E125" i="325"/>
  <c r="E152" i="325" s="1"/>
  <c r="D272" i="325" s="1"/>
  <c r="D125" i="325"/>
  <c r="D152" i="325" s="1"/>
  <c r="H124" i="325"/>
  <c r="H125" i="325" s="1"/>
  <c r="E124" i="325"/>
  <c r="E151" i="325" s="1"/>
  <c r="D271" i="325" s="1"/>
  <c r="D124" i="325"/>
  <c r="E123" i="325"/>
  <c r="D123" i="325"/>
  <c r="D150" i="325" s="1"/>
  <c r="G121" i="325"/>
  <c r="G120" i="325"/>
  <c r="J119" i="325"/>
  <c r="H118" i="325"/>
  <c r="E118" i="325"/>
  <c r="F118" i="325" s="1"/>
  <c r="I118" i="325" s="1"/>
  <c r="D118" i="325"/>
  <c r="D145" i="325" s="1"/>
  <c r="H117" i="325"/>
  <c r="E117" i="325"/>
  <c r="E144" i="325" s="1"/>
  <c r="D267" i="325" s="1"/>
  <c r="D117" i="325"/>
  <c r="D144" i="325" s="1"/>
  <c r="E116" i="325"/>
  <c r="D137" i="325" s="1"/>
  <c r="D116" i="325"/>
  <c r="F116" i="325" s="1"/>
  <c r="I116" i="325" s="1"/>
  <c r="G114" i="325"/>
  <c r="G113" i="325"/>
  <c r="J112" i="325"/>
  <c r="F111" i="325"/>
  <c r="H110" i="325"/>
  <c r="H111" i="325" s="1"/>
  <c r="I111" i="325" s="1"/>
  <c r="F110" i="325"/>
  <c r="H109" i="325"/>
  <c r="F109" i="325"/>
  <c r="F108" i="325"/>
  <c r="I108" i="325" s="1"/>
  <c r="G106" i="325"/>
  <c r="G105" i="325"/>
  <c r="G103" i="325"/>
  <c r="F232" i="325" s="1"/>
  <c r="F241" i="325" s="1"/>
  <c r="G102" i="325"/>
  <c r="F231" i="325" s="1"/>
  <c r="F240" i="325" s="1"/>
  <c r="D102" i="325"/>
  <c r="C231" i="325" s="1"/>
  <c r="G101" i="325"/>
  <c r="F230" i="325" s="1"/>
  <c r="F239" i="325" s="1"/>
  <c r="C101" i="325"/>
  <c r="G99" i="325"/>
  <c r="G98" i="325"/>
  <c r="G96" i="325"/>
  <c r="G95" i="325"/>
  <c r="G94" i="325"/>
  <c r="H93" i="325"/>
  <c r="H94" i="325" s="1"/>
  <c r="H95" i="325" s="1"/>
  <c r="H96" i="325" s="1"/>
  <c r="H101" i="325" s="1"/>
  <c r="H102" i="325" s="1"/>
  <c r="H103" i="325" s="1"/>
  <c r="G93" i="325"/>
  <c r="G92" i="325"/>
  <c r="D92" i="325"/>
  <c r="C225" i="325" s="1"/>
  <c r="G90" i="325"/>
  <c r="G89" i="325"/>
  <c r="E87" i="325"/>
  <c r="D264" i="325" s="1"/>
  <c r="D87" i="325"/>
  <c r="C264" i="325" s="1"/>
  <c r="F86" i="325"/>
  <c r="E86" i="325"/>
  <c r="D263" i="325" s="1"/>
  <c r="D86" i="325"/>
  <c r="C263" i="325" s="1"/>
  <c r="E85" i="325"/>
  <c r="D85" i="325"/>
  <c r="E84" i="325"/>
  <c r="D84" i="325"/>
  <c r="F84" i="325" s="1"/>
  <c r="E83" i="325"/>
  <c r="D260" i="325" s="1"/>
  <c r="D83" i="325"/>
  <c r="C260" i="325" s="1"/>
  <c r="E82" i="325"/>
  <c r="D259" i="325" s="1"/>
  <c r="D82" i="325"/>
  <c r="C259" i="325" s="1"/>
  <c r="E259" i="325" s="1"/>
  <c r="E81" i="325"/>
  <c r="D257" i="325" s="1"/>
  <c r="D81" i="325"/>
  <c r="C257" i="325" s="1"/>
  <c r="E80" i="325"/>
  <c r="D256" i="325" s="1"/>
  <c r="D80" i="325"/>
  <c r="C256" i="325" s="1"/>
  <c r="E79" i="325"/>
  <c r="D255" i="325" s="1"/>
  <c r="D79" i="325"/>
  <c r="C255" i="325" s="1"/>
  <c r="E78" i="325"/>
  <c r="D254" i="325" s="1"/>
  <c r="D78" i="325"/>
  <c r="C254" i="325" s="1"/>
  <c r="E254" i="325" s="1"/>
  <c r="E77" i="325"/>
  <c r="D253" i="325" s="1"/>
  <c r="D282" i="325" s="1"/>
  <c r="D77" i="325"/>
  <c r="C253" i="325" s="1"/>
  <c r="E76" i="325"/>
  <c r="D252" i="325" s="1"/>
  <c r="D281" i="325" s="1"/>
  <c r="D76" i="325"/>
  <c r="C252" i="325" s="1"/>
  <c r="E75" i="325"/>
  <c r="D251" i="325" s="1"/>
  <c r="D75" i="325"/>
  <c r="C251" i="325" s="1"/>
  <c r="E74" i="325"/>
  <c r="D249" i="325" s="1"/>
  <c r="D74" i="325"/>
  <c r="C249" i="325" s="1"/>
  <c r="E73" i="325"/>
  <c r="D248" i="325" s="1"/>
  <c r="D73" i="325"/>
  <c r="C248" i="325" s="1"/>
  <c r="E72" i="325"/>
  <c r="D247" i="325" s="1"/>
  <c r="D72" i="325"/>
  <c r="C247" i="325" s="1"/>
  <c r="E71" i="325"/>
  <c r="D246" i="325" s="1"/>
  <c r="D71" i="325"/>
  <c r="C246" i="325" s="1"/>
  <c r="E246" i="325" s="1"/>
  <c r="E70" i="325"/>
  <c r="D245" i="325" s="1"/>
  <c r="D70" i="325"/>
  <c r="C245" i="325" s="1"/>
  <c r="E245" i="325" s="1"/>
  <c r="H69" i="325"/>
  <c r="H70" i="325" s="1"/>
  <c r="E69" i="325"/>
  <c r="D244" i="325" s="1"/>
  <c r="D69" i="325"/>
  <c r="C244" i="325" s="1"/>
  <c r="G66" i="325"/>
  <c r="G65" i="325"/>
  <c r="J64" i="325"/>
  <c r="I63" i="325"/>
  <c r="I61" i="325"/>
  <c r="I60" i="325"/>
  <c r="G58" i="325"/>
  <c r="G57" i="325"/>
  <c r="J56" i="325"/>
  <c r="F55" i="325"/>
  <c r="D55" i="325"/>
  <c r="F54" i="325"/>
  <c r="D54" i="325"/>
  <c r="H53" i="325"/>
  <c r="H54" i="325" s="1"/>
  <c r="H55" i="325" s="1"/>
  <c r="F53" i="325"/>
  <c r="D53" i="325"/>
  <c r="D52" i="325"/>
  <c r="G50" i="325"/>
  <c r="G49" i="325"/>
  <c r="J48" i="325"/>
  <c r="E47" i="325"/>
  <c r="D47" i="325"/>
  <c r="F47" i="325" s="1"/>
  <c r="E46" i="325"/>
  <c r="F46" i="325" s="1"/>
  <c r="D46" i="325"/>
  <c r="E45" i="325"/>
  <c r="D45" i="325"/>
  <c r="F45" i="325" s="1"/>
  <c r="E44" i="325"/>
  <c r="D44" i="325"/>
  <c r="H43" i="325"/>
  <c r="H44" i="325" s="1"/>
  <c r="H45" i="325" s="1"/>
  <c r="H46" i="325" s="1"/>
  <c r="H47" i="325" s="1"/>
  <c r="E43" i="325"/>
  <c r="D43" i="325"/>
  <c r="F43" i="325" s="1"/>
  <c r="I43" i="325" s="1"/>
  <c r="E42" i="325"/>
  <c r="D42" i="325"/>
  <c r="G40" i="325"/>
  <c r="G39" i="325"/>
  <c r="J38" i="325"/>
  <c r="E37" i="325"/>
  <c r="E103" i="325" s="1"/>
  <c r="D232" i="325" s="1"/>
  <c r="D241" i="325" s="1"/>
  <c r="D37" i="325"/>
  <c r="D103" i="325" s="1"/>
  <c r="H36" i="325"/>
  <c r="H37" i="325" s="1"/>
  <c r="E36" i="325"/>
  <c r="F36" i="325" s="1"/>
  <c r="I36" i="325" s="1"/>
  <c r="D36" i="325"/>
  <c r="G33" i="325"/>
  <c r="G32" i="325"/>
  <c r="J31" i="325"/>
  <c r="E30" i="325"/>
  <c r="D30" i="325"/>
  <c r="D96" i="325" s="1"/>
  <c r="E29" i="325"/>
  <c r="E95" i="325" s="1"/>
  <c r="D228" i="325" s="1"/>
  <c r="D237" i="325" s="1"/>
  <c r="D29" i="325"/>
  <c r="E28" i="325"/>
  <c r="F28" i="325" s="1"/>
  <c r="D28" i="325"/>
  <c r="D94" i="325" s="1"/>
  <c r="H27" i="325"/>
  <c r="H28" i="325" s="1"/>
  <c r="H29" i="325" s="1"/>
  <c r="H30" i="325" s="1"/>
  <c r="E27" i="325"/>
  <c r="E93" i="325" s="1"/>
  <c r="D226" i="325" s="1"/>
  <c r="D235" i="325" s="1"/>
  <c r="D27" i="325"/>
  <c r="D93" i="325" s="1"/>
  <c r="E26" i="325"/>
  <c r="E92" i="325" s="1"/>
  <c r="D225" i="325" s="1"/>
  <c r="D234" i="325" s="1"/>
  <c r="D26" i="325"/>
  <c r="J22" i="325"/>
  <c r="F21" i="325"/>
  <c r="F20" i="325"/>
  <c r="F19" i="325"/>
  <c r="F18" i="325"/>
  <c r="F17" i="325"/>
  <c r="H16" i="325"/>
  <c r="H17" i="325" s="1"/>
  <c r="F16" i="325"/>
  <c r="I15" i="325"/>
  <c r="H15" i="325"/>
  <c r="F15" i="325"/>
  <c r="M11" i="325"/>
  <c r="M10" i="325"/>
  <c r="M9" i="325"/>
  <c r="H9" i="325"/>
  <c r="I9" i="325" s="1"/>
  <c r="M8" i="325"/>
  <c r="E8" i="325"/>
  <c r="C8" i="325"/>
  <c r="M7" i="325"/>
  <c r="M6" i="325"/>
  <c r="F190" i="325"/>
  <c r="F217" i="325"/>
  <c r="M5" i="325"/>
  <c r="E5" i="325"/>
  <c r="E366" i="325" s="1"/>
  <c r="D5" i="325"/>
  <c r="D366" i="325" s="1"/>
  <c r="M4" i="325"/>
  <c r="F4" i="325"/>
  <c r="V372" i="325" s="1"/>
  <c r="B4" i="325"/>
  <c r="R370" i="325" s="1"/>
  <c r="F4" i="324"/>
  <c r="E14" i="324"/>
  <c r="K52" i="324" s="1"/>
  <c r="F52" i="324" s="1"/>
  <c r="D14" i="324"/>
  <c r="J35" i="324" s="1"/>
  <c r="D386" i="324"/>
  <c r="I386" i="324" s="1"/>
  <c r="T382" i="324"/>
  <c r="U382" i="324" s="1"/>
  <c r="S382" i="324"/>
  <c r="T381" i="324"/>
  <c r="U381" i="324" s="1"/>
  <c r="U380" i="324"/>
  <c r="T376" i="324"/>
  <c r="U376" i="324" s="1"/>
  <c r="S376" i="324"/>
  <c r="C368" i="324"/>
  <c r="G366" i="324"/>
  <c r="H359" i="324"/>
  <c r="H358" i="324"/>
  <c r="D352" i="324"/>
  <c r="H352" i="324" s="1"/>
  <c r="D351" i="324"/>
  <c r="H351" i="324" s="1"/>
  <c r="D345" i="324"/>
  <c r="D346" i="324" s="1"/>
  <c r="C341" i="324"/>
  <c r="H341" i="324" s="1"/>
  <c r="C340" i="324"/>
  <c r="G329" i="324"/>
  <c r="G328" i="324"/>
  <c r="G325" i="324"/>
  <c r="G323" i="324"/>
  <c r="E321" i="324"/>
  <c r="E319" i="324"/>
  <c r="F318" i="324"/>
  <c r="G318" i="324" s="1"/>
  <c r="C316" i="324"/>
  <c r="C318" i="324" s="1"/>
  <c r="G313" i="324"/>
  <c r="H312" i="324"/>
  <c r="D310" i="324"/>
  <c r="C309" i="324"/>
  <c r="C310" i="324" s="1"/>
  <c r="H310" i="324" s="1"/>
  <c r="E308" i="324"/>
  <c r="H307" i="324"/>
  <c r="G305" i="324"/>
  <c r="H305" i="324" s="1"/>
  <c r="E305" i="324"/>
  <c r="E304" i="324"/>
  <c r="D371" i="324" s="1"/>
  <c r="G303" i="324"/>
  <c r="H303" i="324" s="1"/>
  <c r="G302" i="324"/>
  <c r="H302" i="324" s="1"/>
  <c r="H301" i="324"/>
  <c r="H299" i="324"/>
  <c r="H297" i="324"/>
  <c r="F296" i="324"/>
  <c r="F298" i="324" s="1"/>
  <c r="F300" i="324" s="1"/>
  <c r="F302" i="324" s="1"/>
  <c r="F303" i="324" s="1"/>
  <c r="H295" i="324"/>
  <c r="F290" i="324"/>
  <c r="E289" i="324"/>
  <c r="G288" i="324"/>
  <c r="G289" i="324" s="1"/>
  <c r="H289" i="324" s="1"/>
  <c r="E288" i="324"/>
  <c r="B288" i="324"/>
  <c r="B289" i="324" s="1"/>
  <c r="E287" i="324"/>
  <c r="I290" i="324" s="1"/>
  <c r="G286" i="324"/>
  <c r="E286" i="324"/>
  <c r="B286" i="324"/>
  <c r="B287" i="324" s="1"/>
  <c r="F284" i="324"/>
  <c r="F283" i="324"/>
  <c r="F285" i="324" s="1"/>
  <c r="B281" i="324"/>
  <c r="B282" i="324" s="1"/>
  <c r="B283" i="324" s="1"/>
  <c r="B284" i="324" s="1"/>
  <c r="F279" i="324"/>
  <c r="F278" i="324"/>
  <c r="F277" i="324"/>
  <c r="F276" i="324"/>
  <c r="I275" i="324"/>
  <c r="I276" i="324" s="1"/>
  <c r="I277" i="324" s="1"/>
  <c r="I278" i="324" s="1"/>
  <c r="I279" i="324" s="1"/>
  <c r="F275" i="324"/>
  <c r="F280" i="324" s="1"/>
  <c r="F274" i="324"/>
  <c r="F264" i="324"/>
  <c r="F263" i="324"/>
  <c r="F262" i="324"/>
  <c r="F261" i="324"/>
  <c r="F260" i="324"/>
  <c r="F259" i="324"/>
  <c r="F257" i="324"/>
  <c r="F256" i="324"/>
  <c r="F255" i="324"/>
  <c r="F254" i="324"/>
  <c r="F253" i="324"/>
  <c r="I252" i="324"/>
  <c r="I253" i="324" s="1"/>
  <c r="I254" i="324" s="1"/>
  <c r="I255" i="324" s="1"/>
  <c r="I256" i="324" s="1"/>
  <c r="I257" i="324" s="1"/>
  <c r="F252" i="324"/>
  <c r="F251" i="324"/>
  <c r="F249" i="324"/>
  <c r="F248" i="324"/>
  <c r="F247" i="324"/>
  <c r="F246" i="324"/>
  <c r="F245" i="324"/>
  <c r="F244" i="324"/>
  <c r="F243" i="324"/>
  <c r="F235" i="324"/>
  <c r="F234" i="324"/>
  <c r="F229" i="324"/>
  <c r="F238" i="324" s="1"/>
  <c r="F228" i="324"/>
  <c r="F237" i="324" s="1"/>
  <c r="F227" i="324"/>
  <c r="F236" i="324" s="1"/>
  <c r="F226" i="324"/>
  <c r="F225" i="324"/>
  <c r="B225" i="324"/>
  <c r="B226" i="324" s="1"/>
  <c r="B227" i="324" s="1"/>
  <c r="B228" i="324" s="1"/>
  <c r="B229" i="324" s="1"/>
  <c r="B230" i="324" s="1"/>
  <c r="B231" i="324" s="1"/>
  <c r="B232" i="324" s="1"/>
  <c r="B234" i="324" s="1"/>
  <c r="B235" i="324" s="1"/>
  <c r="B236" i="324" s="1"/>
  <c r="B237" i="324" s="1"/>
  <c r="B238" i="324" s="1"/>
  <c r="B239" i="324" s="1"/>
  <c r="B240" i="324" s="1"/>
  <c r="C223" i="324"/>
  <c r="I222" i="324"/>
  <c r="C222" i="324"/>
  <c r="I221" i="324"/>
  <c r="C220" i="324"/>
  <c r="C221" i="324" s="1"/>
  <c r="C219" i="324"/>
  <c r="E213" i="324"/>
  <c r="E214" i="324" s="1"/>
  <c r="E211" i="324"/>
  <c r="E212" i="324" s="1"/>
  <c r="I207" i="324"/>
  <c r="I208" i="324" s="1"/>
  <c r="E207" i="324"/>
  <c r="E208" i="324" s="1"/>
  <c r="I206" i="324"/>
  <c r="I205" i="324"/>
  <c r="E205" i="324"/>
  <c r="E206" i="324" s="1"/>
  <c r="I203" i="324"/>
  <c r="I204" i="324" s="1"/>
  <c r="E203" i="324"/>
  <c r="G201" i="324"/>
  <c r="G200" i="324"/>
  <c r="C199" i="324"/>
  <c r="E200" i="324" s="1"/>
  <c r="H198" i="324"/>
  <c r="H196" i="324"/>
  <c r="I196" i="324" s="1"/>
  <c r="I195" i="324"/>
  <c r="E199" i="324" s="1"/>
  <c r="G193" i="324"/>
  <c r="G192" i="324"/>
  <c r="H189" i="324"/>
  <c r="H190" i="324" s="1"/>
  <c r="I188" i="324"/>
  <c r="G186" i="324"/>
  <c r="G185" i="324"/>
  <c r="H182" i="324"/>
  <c r="G179" i="324"/>
  <c r="G178" i="324"/>
  <c r="C177" i="324"/>
  <c r="E179" i="324" s="1"/>
  <c r="I179" i="324" s="1"/>
  <c r="H175" i="324"/>
  <c r="I174" i="324"/>
  <c r="G172" i="324"/>
  <c r="E172" i="324"/>
  <c r="G171" i="324"/>
  <c r="E171" i="324"/>
  <c r="I171" i="324" s="1"/>
  <c r="C170" i="324"/>
  <c r="H169" i="324"/>
  <c r="I169" i="324" s="1"/>
  <c r="H168" i="324"/>
  <c r="I168" i="324" s="1"/>
  <c r="I167" i="324"/>
  <c r="G165" i="324"/>
  <c r="G164" i="324"/>
  <c r="E162" i="324"/>
  <c r="D279" i="324" s="1"/>
  <c r="D162" i="324"/>
  <c r="C279" i="324" s="1"/>
  <c r="E161" i="324"/>
  <c r="D278" i="324" s="1"/>
  <c r="D161" i="324"/>
  <c r="C278" i="324" s="1"/>
  <c r="F160" i="324"/>
  <c r="E160" i="324"/>
  <c r="D277" i="324" s="1"/>
  <c r="D160" i="324"/>
  <c r="C277" i="324" s="1"/>
  <c r="E159" i="324"/>
  <c r="D276" i="324" s="1"/>
  <c r="D159" i="324"/>
  <c r="C276" i="324" s="1"/>
  <c r="E158" i="324"/>
  <c r="D275" i="324" s="1"/>
  <c r="D158" i="324"/>
  <c r="H157" i="324"/>
  <c r="H158" i="324" s="1"/>
  <c r="H159" i="324" s="1"/>
  <c r="H160" i="324" s="1"/>
  <c r="E157" i="324"/>
  <c r="D274" i="324" s="1"/>
  <c r="D157" i="324"/>
  <c r="G155" i="324"/>
  <c r="G154" i="324"/>
  <c r="G152" i="324"/>
  <c r="F272" i="324" s="1"/>
  <c r="E152" i="324"/>
  <c r="D272" i="324" s="1"/>
  <c r="G151" i="324"/>
  <c r="F271" i="324" s="1"/>
  <c r="E151" i="324"/>
  <c r="D271" i="324" s="1"/>
  <c r="G150" i="324"/>
  <c r="F270" i="324" s="1"/>
  <c r="G148" i="324"/>
  <c r="G147" i="324"/>
  <c r="G145" i="324"/>
  <c r="F268" i="324" s="1"/>
  <c r="H144" i="324"/>
  <c r="H145" i="324" s="1"/>
  <c r="H150" i="324" s="1"/>
  <c r="H151" i="324" s="1"/>
  <c r="H152" i="324" s="1"/>
  <c r="G144" i="324"/>
  <c r="F267" i="324" s="1"/>
  <c r="G143" i="324"/>
  <c r="F266" i="324" s="1"/>
  <c r="F269" i="324" s="1"/>
  <c r="G141" i="324"/>
  <c r="G140" i="324"/>
  <c r="H138" i="324"/>
  <c r="I138" i="324" s="1"/>
  <c r="G135" i="324"/>
  <c r="G134" i="324"/>
  <c r="J133" i="324"/>
  <c r="F132" i="324"/>
  <c r="D132" i="324"/>
  <c r="H131" i="324"/>
  <c r="H132" i="324" s="1"/>
  <c r="F131" i="324"/>
  <c r="D131" i="324"/>
  <c r="F130" i="324"/>
  <c r="D130" i="324"/>
  <c r="G128" i="324"/>
  <c r="G127" i="324"/>
  <c r="J126" i="324"/>
  <c r="E125" i="324"/>
  <c r="D125" i="324"/>
  <c r="D152" i="324" s="1"/>
  <c r="H124" i="324"/>
  <c r="H125" i="324" s="1"/>
  <c r="E124" i="324"/>
  <c r="D124" i="324"/>
  <c r="D151" i="324" s="1"/>
  <c r="E123" i="324"/>
  <c r="E150" i="324" s="1"/>
  <c r="D270" i="324" s="1"/>
  <c r="D123" i="324"/>
  <c r="D150" i="324" s="1"/>
  <c r="G121" i="324"/>
  <c r="G120" i="324"/>
  <c r="J119" i="324"/>
  <c r="E118" i="324"/>
  <c r="E145" i="324" s="1"/>
  <c r="D268" i="324" s="1"/>
  <c r="D118" i="324"/>
  <c r="D145" i="324" s="1"/>
  <c r="H117" i="324"/>
  <c r="H118" i="324" s="1"/>
  <c r="E117" i="324"/>
  <c r="D117" i="324"/>
  <c r="D144" i="324" s="1"/>
  <c r="D116" i="324"/>
  <c r="G114" i="324"/>
  <c r="G113" i="324"/>
  <c r="J112" i="324"/>
  <c r="F111" i="324"/>
  <c r="F110" i="324"/>
  <c r="H109" i="324"/>
  <c r="H110" i="324" s="1"/>
  <c r="H111" i="324" s="1"/>
  <c r="F109" i="324"/>
  <c r="G106" i="324"/>
  <c r="G105" i="324"/>
  <c r="G103" i="324"/>
  <c r="F232" i="324" s="1"/>
  <c r="F241" i="324" s="1"/>
  <c r="G102" i="324"/>
  <c r="F231" i="324" s="1"/>
  <c r="F240" i="324" s="1"/>
  <c r="G101" i="324"/>
  <c r="F230" i="324" s="1"/>
  <c r="F239" i="324" s="1"/>
  <c r="C101" i="324"/>
  <c r="G99" i="324"/>
  <c r="G98" i="324"/>
  <c r="G96" i="324"/>
  <c r="D96" i="324"/>
  <c r="C229" i="324" s="1"/>
  <c r="G95" i="324"/>
  <c r="G94" i="324"/>
  <c r="H93" i="324"/>
  <c r="H94" i="324" s="1"/>
  <c r="H95" i="324" s="1"/>
  <c r="H96" i="324" s="1"/>
  <c r="H101" i="324" s="1"/>
  <c r="H102" i="324" s="1"/>
  <c r="H103" i="324" s="1"/>
  <c r="G93" i="324"/>
  <c r="G92" i="324"/>
  <c r="G90" i="324"/>
  <c r="G89" i="324"/>
  <c r="E87" i="324"/>
  <c r="D264" i="324" s="1"/>
  <c r="D87" i="324"/>
  <c r="C264" i="324" s="1"/>
  <c r="E86" i="324"/>
  <c r="D263" i="324" s="1"/>
  <c r="D86" i="324"/>
  <c r="C263" i="324" s="1"/>
  <c r="E85" i="324"/>
  <c r="D85" i="324"/>
  <c r="F85" i="324" s="1"/>
  <c r="E84" i="324"/>
  <c r="D84" i="324"/>
  <c r="E83" i="324"/>
  <c r="D260" i="324" s="1"/>
  <c r="D83" i="324"/>
  <c r="C260" i="324" s="1"/>
  <c r="E260" i="324" s="1"/>
  <c r="F82" i="324"/>
  <c r="E82" i="324"/>
  <c r="D259" i="324" s="1"/>
  <c r="D82" i="324"/>
  <c r="C259" i="324" s="1"/>
  <c r="E81" i="324"/>
  <c r="D257" i="324" s="1"/>
  <c r="D81" i="324"/>
  <c r="C257" i="324" s="1"/>
  <c r="E80" i="324"/>
  <c r="D256" i="324" s="1"/>
  <c r="D80" i="324"/>
  <c r="C256" i="324" s="1"/>
  <c r="E256" i="324" s="1"/>
  <c r="E79" i="324"/>
  <c r="D255" i="324" s="1"/>
  <c r="D79" i="324"/>
  <c r="C255" i="324" s="1"/>
  <c r="E78" i="324"/>
  <c r="D254" i="324" s="1"/>
  <c r="D78" i="324"/>
  <c r="C254" i="324" s="1"/>
  <c r="E77" i="324"/>
  <c r="D253" i="324" s="1"/>
  <c r="D282" i="324" s="1"/>
  <c r="D77" i="324"/>
  <c r="C253" i="324" s="1"/>
  <c r="E76" i="324"/>
  <c r="D252" i="324" s="1"/>
  <c r="D281" i="324" s="1"/>
  <c r="D76" i="324"/>
  <c r="C252" i="324" s="1"/>
  <c r="E75" i="324"/>
  <c r="D251" i="324" s="1"/>
  <c r="D75" i="324"/>
  <c r="C251" i="324" s="1"/>
  <c r="E74" i="324"/>
  <c r="D249" i="324" s="1"/>
  <c r="D74" i="324"/>
  <c r="C249" i="324" s="1"/>
  <c r="E73" i="324"/>
  <c r="D248" i="324" s="1"/>
  <c r="D73" i="324"/>
  <c r="C248" i="324" s="1"/>
  <c r="E72" i="324"/>
  <c r="D247" i="324" s="1"/>
  <c r="D72" i="324"/>
  <c r="C247" i="324" s="1"/>
  <c r="E247" i="324" s="1"/>
  <c r="E71" i="324"/>
  <c r="D246" i="324" s="1"/>
  <c r="D71" i="324"/>
  <c r="C246" i="324" s="1"/>
  <c r="H70" i="324"/>
  <c r="H71" i="324" s="1"/>
  <c r="H72" i="324" s="1"/>
  <c r="H76" i="324" s="1"/>
  <c r="H77" i="324" s="1"/>
  <c r="H78" i="324" s="1"/>
  <c r="H79" i="324" s="1"/>
  <c r="H80" i="324" s="1"/>
  <c r="H81" i="324" s="1"/>
  <c r="H82" i="324" s="1"/>
  <c r="H83" i="324" s="1"/>
  <c r="H84" i="324" s="1"/>
  <c r="H85" i="324" s="1"/>
  <c r="H86" i="324" s="1"/>
  <c r="H87" i="324" s="1"/>
  <c r="E70" i="324"/>
  <c r="D245" i="324" s="1"/>
  <c r="D70" i="324"/>
  <c r="C245" i="324" s="1"/>
  <c r="H69" i="324"/>
  <c r="E68" i="324"/>
  <c r="D243" i="324" s="1"/>
  <c r="G66" i="324"/>
  <c r="G65" i="324"/>
  <c r="J64" i="324"/>
  <c r="I63" i="324"/>
  <c r="I61" i="324"/>
  <c r="I60" i="324"/>
  <c r="G58" i="324"/>
  <c r="G57" i="324"/>
  <c r="J56" i="324"/>
  <c r="F55" i="324"/>
  <c r="D55" i="324"/>
  <c r="H54" i="324"/>
  <c r="H55" i="324" s="1"/>
  <c r="F54" i="324"/>
  <c r="D54" i="324"/>
  <c r="H53" i="324"/>
  <c r="F53" i="324"/>
  <c r="D53" i="324"/>
  <c r="G50" i="324"/>
  <c r="G49" i="324"/>
  <c r="E47" i="324"/>
  <c r="D47" i="324"/>
  <c r="F46" i="324"/>
  <c r="E46" i="324"/>
  <c r="D46" i="324"/>
  <c r="E45" i="324"/>
  <c r="F45" i="324" s="1"/>
  <c r="D45" i="324"/>
  <c r="E44" i="324"/>
  <c r="D44" i="324"/>
  <c r="H43" i="324"/>
  <c r="H44" i="324" s="1"/>
  <c r="H45" i="324" s="1"/>
  <c r="H46" i="324" s="1"/>
  <c r="H47" i="324" s="1"/>
  <c r="E43" i="324"/>
  <c r="F43" i="324" s="1"/>
  <c r="D43" i="324"/>
  <c r="E42" i="324"/>
  <c r="J48" i="324"/>
  <c r="G40" i="324"/>
  <c r="G39" i="324"/>
  <c r="J38" i="324"/>
  <c r="H37" i="324"/>
  <c r="E37" i="324"/>
  <c r="E103" i="324" s="1"/>
  <c r="D232" i="324" s="1"/>
  <c r="D241" i="324" s="1"/>
  <c r="D37" i="324"/>
  <c r="D103" i="324" s="1"/>
  <c r="H36" i="324"/>
  <c r="E36" i="324"/>
  <c r="E102" i="324" s="1"/>
  <c r="D231" i="324" s="1"/>
  <c r="D240" i="324" s="1"/>
  <c r="D36" i="324"/>
  <c r="G33" i="324"/>
  <c r="G32" i="324"/>
  <c r="J31" i="324"/>
  <c r="F30" i="324"/>
  <c r="I30" i="324" s="1"/>
  <c r="E30" i="324"/>
  <c r="E96" i="324" s="1"/>
  <c r="D229" i="324" s="1"/>
  <c r="D238" i="324" s="1"/>
  <c r="D30" i="324"/>
  <c r="E29" i="324"/>
  <c r="E95" i="324" s="1"/>
  <c r="D228" i="324" s="1"/>
  <c r="D237" i="324" s="1"/>
  <c r="D29" i="324"/>
  <c r="D95" i="324" s="1"/>
  <c r="E28" i="324"/>
  <c r="E94" i="324" s="1"/>
  <c r="D227" i="324" s="1"/>
  <c r="D236" i="324" s="1"/>
  <c r="D28" i="324"/>
  <c r="D94" i="324" s="1"/>
  <c r="H27" i="324"/>
  <c r="H28" i="324" s="1"/>
  <c r="H29" i="324" s="1"/>
  <c r="H30" i="324" s="1"/>
  <c r="E27" i="324"/>
  <c r="E93" i="324" s="1"/>
  <c r="D226" i="324" s="1"/>
  <c r="D235" i="324" s="1"/>
  <c r="D27" i="324"/>
  <c r="D93" i="324" s="1"/>
  <c r="C226" i="324" s="1"/>
  <c r="C235" i="324" s="1"/>
  <c r="E26" i="324"/>
  <c r="G213" i="324" s="1"/>
  <c r="I213" i="324" s="1"/>
  <c r="D26" i="324"/>
  <c r="D92" i="324" s="1"/>
  <c r="J22" i="324"/>
  <c r="F21" i="324"/>
  <c r="F20" i="324"/>
  <c r="F19" i="324"/>
  <c r="F18" i="324"/>
  <c r="F17" i="324"/>
  <c r="F16" i="324"/>
  <c r="H15" i="324"/>
  <c r="H16" i="324" s="1"/>
  <c r="H17" i="324" s="1"/>
  <c r="H18" i="324" s="1"/>
  <c r="F15" i="324"/>
  <c r="I15" i="324" s="1"/>
  <c r="M11" i="324"/>
  <c r="M10" i="324"/>
  <c r="M9" i="324"/>
  <c r="H9" i="324"/>
  <c r="I9" i="324" s="1"/>
  <c r="M8" i="324"/>
  <c r="E8" i="324"/>
  <c r="I8" i="324" s="1"/>
  <c r="C8" i="324"/>
  <c r="M7" i="324"/>
  <c r="M6" i="324"/>
  <c r="F190" i="324"/>
  <c r="C191" i="324" s="1"/>
  <c r="F217" i="324"/>
  <c r="D349" i="324" s="1"/>
  <c r="H349" i="324" s="1"/>
  <c r="M5" i="324"/>
  <c r="E5" i="324"/>
  <c r="E366" i="324" s="1"/>
  <c r="D5" i="324"/>
  <c r="D366" i="324" s="1"/>
  <c r="M4" i="324"/>
  <c r="V372" i="324"/>
  <c r="B4" i="324"/>
  <c r="R370" i="324" s="1"/>
  <c r="F52" i="323"/>
  <c r="D14" i="323"/>
  <c r="D386" i="323"/>
  <c r="I386" i="323" s="1"/>
  <c r="T382" i="323"/>
  <c r="S382" i="323"/>
  <c r="T381" i="323"/>
  <c r="U381" i="323" s="1"/>
  <c r="S380" i="323"/>
  <c r="T376" i="323"/>
  <c r="V372" i="323"/>
  <c r="S388" i="323" s="1"/>
  <c r="U388" i="323" s="1"/>
  <c r="U387" i="323" s="1"/>
  <c r="D371" i="323"/>
  <c r="C368" i="323"/>
  <c r="G366" i="323"/>
  <c r="H359" i="323"/>
  <c r="D358" i="323"/>
  <c r="H358" i="323" s="1"/>
  <c r="D352" i="323"/>
  <c r="H352" i="323" s="1"/>
  <c r="D351" i="323"/>
  <c r="H351" i="323" s="1"/>
  <c r="D345" i="323"/>
  <c r="D346" i="323" s="1"/>
  <c r="C341" i="323"/>
  <c r="H341" i="323" s="1"/>
  <c r="C340" i="323"/>
  <c r="G329" i="323"/>
  <c r="G328" i="323"/>
  <c r="G325" i="323"/>
  <c r="G323" i="323"/>
  <c r="E321" i="323"/>
  <c r="E319" i="323"/>
  <c r="F318" i="323"/>
  <c r="G318" i="323" s="1"/>
  <c r="C317" i="323"/>
  <c r="C316" i="323"/>
  <c r="C318" i="323" s="1"/>
  <c r="G313" i="323"/>
  <c r="H312" i="323"/>
  <c r="D310" i="323"/>
  <c r="C310" i="323"/>
  <c r="H310" i="323" s="1"/>
  <c r="C309" i="323"/>
  <c r="H309" i="323" s="1"/>
  <c r="H307" i="323"/>
  <c r="G305" i="323"/>
  <c r="E305" i="323"/>
  <c r="E304" i="323"/>
  <c r="G303" i="323"/>
  <c r="H303" i="323" s="1"/>
  <c r="G302" i="323"/>
  <c r="H302" i="323" s="1"/>
  <c r="H301" i="323"/>
  <c r="H299" i="323"/>
  <c r="H297" i="323"/>
  <c r="F296" i="323"/>
  <c r="F298" i="323" s="1"/>
  <c r="F300" i="323" s="1"/>
  <c r="F302" i="323" s="1"/>
  <c r="F303" i="323" s="1"/>
  <c r="H295" i="323"/>
  <c r="F290" i="323"/>
  <c r="E289" i="323"/>
  <c r="G288" i="323"/>
  <c r="G289" i="323" s="1"/>
  <c r="E288" i="323"/>
  <c r="B288" i="323"/>
  <c r="B289" i="323" s="1"/>
  <c r="E287" i="323"/>
  <c r="G286" i="323"/>
  <c r="G287" i="323" s="1"/>
  <c r="E286" i="323"/>
  <c r="B286" i="323"/>
  <c r="B287" i="323" s="1"/>
  <c r="F284" i="323"/>
  <c r="F283" i="323"/>
  <c r="F285" i="323" s="1"/>
  <c r="B281" i="323"/>
  <c r="B282" i="323" s="1"/>
  <c r="B283" i="323" s="1"/>
  <c r="B284" i="323" s="1"/>
  <c r="F279" i="323"/>
  <c r="F278" i="323"/>
  <c r="F277" i="323"/>
  <c r="F276" i="323"/>
  <c r="I275" i="323"/>
  <c r="I276" i="323" s="1"/>
  <c r="I277" i="323" s="1"/>
  <c r="I278" i="323" s="1"/>
  <c r="I279" i="323" s="1"/>
  <c r="F275" i="323"/>
  <c r="F274" i="323"/>
  <c r="F280" i="323" s="1"/>
  <c r="F264" i="323"/>
  <c r="C264" i="323"/>
  <c r="F263" i="323"/>
  <c r="F262" i="323"/>
  <c r="F261" i="323"/>
  <c r="F260" i="323"/>
  <c r="F259" i="323"/>
  <c r="F257" i="323"/>
  <c r="F256" i="323"/>
  <c r="F255" i="323"/>
  <c r="F254" i="323"/>
  <c r="F253" i="323"/>
  <c r="I252" i="323"/>
  <c r="I253" i="323" s="1"/>
  <c r="I254" i="323" s="1"/>
  <c r="I255" i="323" s="1"/>
  <c r="I256" i="323" s="1"/>
  <c r="I257" i="323" s="1"/>
  <c r="F252" i="323"/>
  <c r="F251" i="323"/>
  <c r="F249" i="323"/>
  <c r="F248" i="323"/>
  <c r="F247" i="323"/>
  <c r="F246" i="323"/>
  <c r="F245" i="323"/>
  <c r="F244" i="323"/>
  <c r="F243" i="323"/>
  <c r="F240" i="323"/>
  <c r="F229" i="323"/>
  <c r="F238" i="323" s="1"/>
  <c r="F228" i="323"/>
  <c r="F237" i="323" s="1"/>
  <c r="F227" i="323"/>
  <c r="F236" i="323" s="1"/>
  <c r="F226" i="323"/>
  <c r="F235" i="323" s="1"/>
  <c r="F225" i="323"/>
  <c r="B225" i="323"/>
  <c r="B226" i="323" s="1"/>
  <c r="B227" i="323" s="1"/>
  <c r="B228" i="323" s="1"/>
  <c r="B229" i="323" s="1"/>
  <c r="B230" i="323" s="1"/>
  <c r="B231" i="323" s="1"/>
  <c r="B232" i="323" s="1"/>
  <c r="B234" i="323" s="1"/>
  <c r="B235" i="323" s="1"/>
  <c r="B236" i="323" s="1"/>
  <c r="B237" i="323" s="1"/>
  <c r="B238" i="323" s="1"/>
  <c r="B239" i="323" s="1"/>
  <c r="B240" i="323" s="1"/>
  <c r="C223" i="323"/>
  <c r="I222" i="323"/>
  <c r="C222" i="323"/>
  <c r="I221" i="323"/>
  <c r="C219" i="323"/>
  <c r="C220" i="323" s="1"/>
  <c r="C221" i="323" s="1"/>
  <c r="F217" i="323"/>
  <c r="G217" i="323" s="1"/>
  <c r="E213" i="323"/>
  <c r="E214" i="323" s="1"/>
  <c r="E212" i="323"/>
  <c r="E211" i="323"/>
  <c r="I207" i="323"/>
  <c r="I208" i="323" s="1"/>
  <c r="E207" i="323"/>
  <c r="E208" i="323" s="1"/>
  <c r="I205" i="323"/>
  <c r="I206" i="323" s="1"/>
  <c r="E205" i="323"/>
  <c r="E206" i="323" s="1"/>
  <c r="I203" i="323"/>
  <c r="I204" i="323" s="1"/>
  <c r="E203" i="323"/>
  <c r="G201" i="323"/>
  <c r="G200" i="323"/>
  <c r="E200" i="323"/>
  <c r="I200" i="323" s="1"/>
  <c r="E199" i="323"/>
  <c r="C199" i="323"/>
  <c r="E201" i="323" s="1"/>
  <c r="I201" i="323" s="1"/>
  <c r="H198" i="323"/>
  <c r="I196" i="323"/>
  <c r="H196" i="323"/>
  <c r="I195" i="323"/>
  <c r="G193" i="323"/>
  <c r="G192" i="323"/>
  <c r="H190" i="323"/>
  <c r="H189" i="323"/>
  <c r="I189" i="323" s="1"/>
  <c r="I188" i="323"/>
  <c r="G186" i="323"/>
  <c r="G185" i="323"/>
  <c r="H182" i="323"/>
  <c r="G179" i="323"/>
  <c r="G178" i="323"/>
  <c r="C177" i="323"/>
  <c r="E178" i="323" s="1"/>
  <c r="H175" i="323"/>
  <c r="I175" i="323" s="1"/>
  <c r="I174" i="323"/>
  <c r="G172" i="323"/>
  <c r="E172" i="323"/>
  <c r="I172" i="323" s="1"/>
  <c r="G171" i="323"/>
  <c r="C170" i="323"/>
  <c r="E171" i="323" s="1"/>
  <c r="H169" i="323"/>
  <c r="I169" i="323" s="1"/>
  <c r="H168" i="323"/>
  <c r="I168" i="323" s="1"/>
  <c r="I167" i="323"/>
  <c r="G165" i="323"/>
  <c r="G164" i="323"/>
  <c r="E162" i="323"/>
  <c r="D279" i="323" s="1"/>
  <c r="D162" i="323"/>
  <c r="C279" i="323" s="1"/>
  <c r="E161" i="323"/>
  <c r="D278" i="323" s="1"/>
  <c r="D161" i="323"/>
  <c r="C278" i="323" s="1"/>
  <c r="E160" i="323"/>
  <c r="D277" i="323" s="1"/>
  <c r="D160" i="323"/>
  <c r="E159" i="323"/>
  <c r="D276" i="323" s="1"/>
  <c r="D159" i="323"/>
  <c r="C276" i="323" s="1"/>
  <c r="E158" i="323"/>
  <c r="D275" i="323" s="1"/>
  <c r="D158" i="323"/>
  <c r="C275" i="323" s="1"/>
  <c r="H157" i="323"/>
  <c r="H158" i="323" s="1"/>
  <c r="H159" i="323" s="1"/>
  <c r="H160" i="323" s="1"/>
  <c r="E157" i="323"/>
  <c r="D157" i="323"/>
  <c r="G155" i="323"/>
  <c r="G154" i="323"/>
  <c r="G152" i="323"/>
  <c r="F272" i="323" s="1"/>
  <c r="G151" i="323"/>
  <c r="F271" i="323" s="1"/>
  <c r="G150" i="323"/>
  <c r="F270" i="323" s="1"/>
  <c r="F273" i="323" s="1"/>
  <c r="G148" i="323"/>
  <c r="G147" i="323"/>
  <c r="G145" i="323"/>
  <c r="F268" i="323" s="1"/>
  <c r="H144" i="323"/>
  <c r="H145" i="323" s="1"/>
  <c r="H150" i="323" s="1"/>
  <c r="H151" i="323" s="1"/>
  <c r="H152" i="323" s="1"/>
  <c r="G144" i="323"/>
  <c r="F267" i="323" s="1"/>
  <c r="D144" i="323"/>
  <c r="C267" i="323" s="1"/>
  <c r="G143" i="323"/>
  <c r="F266" i="323" s="1"/>
  <c r="F269" i="323" s="1"/>
  <c r="G141" i="323"/>
  <c r="G140" i="323"/>
  <c r="H138" i="323"/>
  <c r="I138" i="323" s="1"/>
  <c r="G135" i="323"/>
  <c r="G134" i="323"/>
  <c r="J133" i="323"/>
  <c r="F132" i="323"/>
  <c r="D132" i="323"/>
  <c r="H131" i="323"/>
  <c r="H132" i="323" s="1"/>
  <c r="F131" i="323"/>
  <c r="D131" i="323"/>
  <c r="F130" i="323"/>
  <c r="D130" i="323"/>
  <c r="G128" i="323"/>
  <c r="G127" i="323"/>
  <c r="J126" i="323"/>
  <c r="E125" i="323"/>
  <c r="E152" i="323" s="1"/>
  <c r="D272" i="323" s="1"/>
  <c r="D125" i="323"/>
  <c r="D152" i="323" s="1"/>
  <c r="C272" i="323" s="1"/>
  <c r="E272" i="323" s="1"/>
  <c r="H124" i="323"/>
  <c r="H125" i="323" s="1"/>
  <c r="E124" i="323"/>
  <c r="E151" i="323" s="1"/>
  <c r="D271" i="323" s="1"/>
  <c r="D124" i="323"/>
  <c r="D151" i="323" s="1"/>
  <c r="E123" i="323"/>
  <c r="E150" i="323" s="1"/>
  <c r="D270" i="323" s="1"/>
  <c r="D123" i="323"/>
  <c r="F123" i="323" s="1"/>
  <c r="G121" i="323"/>
  <c r="G120" i="323"/>
  <c r="J119" i="323"/>
  <c r="E118" i="323"/>
  <c r="E145" i="323" s="1"/>
  <c r="D268" i="323" s="1"/>
  <c r="D118" i="323"/>
  <c r="F118" i="323" s="1"/>
  <c r="H117" i="323"/>
  <c r="H118" i="323" s="1"/>
  <c r="E117" i="323"/>
  <c r="E144" i="323" s="1"/>
  <c r="D117" i="323"/>
  <c r="F117" i="323" s="1"/>
  <c r="I117" i="323" s="1"/>
  <c r="E116" i="323"/>
  <c r="D116" i="323"/>
  <c r="D143" i="323" s="1"/>
  <c r="C266" i="323" s="1"/>
  <c r="G114" i="323"/>
  <c r="G113" i="323"/>
  <c r="J112" i="323"/>
  <c r="F111" i="323"/>
  <c r="F110" i="323"/>
  <c r="H109" i="323"/>
  <c r="H110" i="323" s="1"/>
  <c r="F109" i="323"/>
  <c r="I109" i="323" s="1"/>
  <c r="F108" i="323"/>
  <c r="I108" i="323" s="1"/>
  <c r="G106" i="323"/>
  <c r="G105" i="323"/>
  <c r="G103" i="323"/>
  <c r="F232" i="323" s="1"/>
  <c r="F241" i="323" s="1"/>
  <c r="G102" i="323"/>
  <c r="F231" i="323" s="1"/>
  <c r="E102" i="323"/>
  <c r="D231" i="323" s="1"/>
  <c r="D240" i="323" s="1"/>
  <c r="G101" i="323"/>
  <c r="F230" i="323" s="1"/>
  <c r="F239" i="323" s="1"/>
  <c r="C101" i="323"/>
  <c r="G99" i="323"/>
  <c r="G98" i="323"/>
  <c r="G96" i="323"/>
  <c r="G95" i="323"/>
  <c r="H94" i="323"/>
  <c r="H95" i="323" s="1"/>
  <c r="H96" i="323" s="1"/>
  <c r="H101" i="323" s="1"/>
  <c r="H102" i="323" s="1"/>
  <c r="H103" i="323" s="1"/>
  <c r="G94" i="323"/>
  <c r="H93" i="323"/>
  <c r="G93" i="323"/>
  <c r="G92" i="323"/>
  <c r="G90" i="323"/>
  <c r="G89" i="323"/>
  <c r="E87" i="323"/>
  <c r="D264" i="323" s="1"/>
  <c r="D87" i="323"/>
  <c r="E86" i="323"/>
  <c r="D263" i="323" s="1"/>
  <c r="D86" i="323"/>
  <c r="C263" i="323" s="1"/>
  <c r="E85" i="323"/>
  <c r="D262" i="323" s="1"/>
  <c r="D85" i="323"/>
  <c r="C262" i="323" s="1"/>
  <c r="E262" i="323" s="1"/>
  <c r="E84" i="323"/>
  <c r="D84" i="323"/>
  <c r="C261" i="323" s="1"/>
  <c r="F83" i="323"/>
  <c r="E83" i="323"/>
  <c r="D260" i="323" s="1"/>
  <c r="D83" i="323"/>
  <c r="C260" i="323" s="1"/>
  <c r="E260" i="323" s="1"/>
  <c r="E82" i="323"/>
  <c r="D259" i="323" s="1"/>
  <c r="D82" i="323"/>
  <c r="C259" i="323" s="1"/>
  <c r="E81" i="323"/>
  <c r="D257" i="323" s="1"/>
  <c r="D81" i="323"/>
  <c r="C257" i="323" s="1"/>
  <c r="E257" i="323" s="1"/>
  <c r="E80" i="323"/>
  <c r="D256" i="323" s="1"/>
  <c r="D80" i="323"/>
  <c r="C256" i="323" s="1"/>
  <c r="E79" i="323"/>
  <c r="D255" i="323" s="1"/>
  <c r="D79" i="323"/>
  <c r="E78" i="323"/>
  <c r="D254" i="323" s="1"/>
  <c r="D78" i="323"/>
  <c r="C254" i="323" s="1"/>
  <c r="E77" i="323"/>
  <c r="D253" i="323" s="1"/>
  <c r="D282" i="323" s="1"/>
  <c r="D77" i="323"/>
  <c r="C253" i="323" s="1"/>
  <c r="E76" i="323"/>
  <c r="D252" i="323" s="1"/>
  <c r="D281" i="323" s="1"/>
  <c r="D76" i="323"/>
  <c r="C252" i="323" s="1"/>
  <c r="E75" i="323"/>
  <c r="D75" i="323"/>
  <c r="C251" i="323" s="1"/>
  <c r="E74" i="323"/>
  <c r="D249" i="323" s="1"/>
  <c r="D74" i="323"/>
  <c r="F74" i="323" s="1"/>
  <c r="E73" i="323"/>
  <c r="D248" i="323" s="1"/>
  <c r="D73" i="323"/>
  <c r="E72" i="323"/>
  <c r="D247" i="323" s="1"/>
  <c r="D72" i="323"/>
  <c r="C247" i="323" s="1"/>
  <c r="F71" i="323"/>
  <c r="E71" i="323"/>
  <c r="D246" i="323" s="1"/>
  <c r="D71" i="323"/>
  <c r="C246" i="323" s="1"/>
  <c r="E246" i="323" s="1"/>
  <c r="H70" i="323"/>
  <c r="H71" i="323" s="1"/>
  <c r="H72" i="323" s="1"/>
  <c r="H76" i="323" s="1"/>
  <c r="H77" i="323" s="1"/>
  <c r="H78" i="323" s="1"/>
  <c r="H79" i="323" s="1"/>
  <c r="H80" i="323" s="1"/>
  <c r="H81" i="323" s="1"/>
  <c r="H82" i="323" s="1"/>
  <c r="H83" i="323" s="1"/>
  <c r="H84" i="323" s="1"/>
  <c r="H85" i="323" s="1"/>
  <c r="H86" i="323" s="1"/>
  <c r="H87" i="323" s="1"/>
  <c r="E70" i="323"/>
  <c r="D245" i="323" s="1"/>
  <c r="D70" i="323"/>
  <c r="C245" i="323" s="1"/>
  <c r="H69" i="323"/>
  <c r="G66" i="323"/>
  <c r="G65" i="323"/>
  <c r="J64" i="323"/>
  <c r="I63" i="323"/>
  <c r="I62" i="323"/>
  <c r="I61" i="323"/>
  <c r="G58" i="323"/>
  <c r="G57" i="323"/>
  <c r="J56" i="323"/>
  <c r="F55" i="323"/>
  <c r="D55" i="323"/>
  <c r="F54" i="323"/>
  <c r="D54" i="323"/>
  <c r="H53" i="323"/>
  <c r="H54" i="323" s="1"/>
  <c r="H55" i="323" s="1"/>
  <c r="I55" i="323" s="1"/>
  <c r="F53" i="323"/>
  <c r="I53" i="323" s="1"/>
  <c r="D53" i="323"/>
  <c r="G50" i="323"/>
  <c r="G49" i="323"/>
  <c r="E47" i="323"/>
  <c r="D47" i="323"/>
  <c r="E46" i="323"/>
  <c r="D46" i="323"/>
  <c r="F46" i="323" s="1"/>
  <c r="I46" i="323" s="1"/>
  <c r="E45" i="323"/>
  <c r="D45" i="323"/>
  <c r="E44" i="323"/>
  <c r="D44" i="323"/>
  <c r="F44" i="323" s="1"/>
  <c r="I44" i="323" s="1"/>
  <c r="H43" i="323"/>
  <c r="H44" i="323" s="1"/>
  <c r="H45" i="323" s="1"/>
  <c r="H46" i="323" s="1"/>
  <c r="H47" i="323" s="1"/>
  <c r="E43" i="323"/>
  <c r="D43" i="323"/>
  <c r="F43" i="323" s="1"/>
  <c r="I43" i="323" s="1"/>
  <c r="K42" i="323"/>
  <c r="E42" i="323" s="1"/>
  <c r="G42" i="323"/>
  <c r="E209" i="323" s="1"/>
  <c r="E210" i="323" s="1"/>
  <c r="G40" i="323"/>
  <c r="G39" i="323"/>
  <c r="J38" i="323"/>
  <c r="E37" i="323"/>
  <c r="E103" i="323" s="1"/>
  <c r="D232" i="323" s="1"/>
  <c r="D241" i="323" s="1"/>
  <c r="D37" i="323"/>
  <c r="H36" i="323"/>
  <c r="H37" i="323" s="1"/>
  <c r="E36" i="323"/>
  <c r="D36" i="323"/>
  <c r="D102" i="323" s="1"/>
  <c r="E35" i="323"/>
  <c r="G33" i="323"/>
  <c r="G32" i="323"/>
  <c r="J31" i="323"/>
  <c r="E30" i="323"/>
  <c r="E96" i="323" s="1"/>
  <c r="D229" i="323" s="1"/>
  <c r="D238" i="323" s="1"/>
  <c r="D30" i="323"/>
  <c r="E29" i="323"/>
  <c r="D29" i="323"/>
  <c r="D95" i="323" s="1"/>
  <c r="C228" i="323" s="1"/>
  <c r="C237" i="323" s="1"/>
  <c r="E28" i="323"/>
  <c r="E94" i="323" s="1"/>
  <c r="D227" i="323" s="1"/>
  <c r="D236" i="323" s="1"/>
  <c r="D28" i="323"/>
  <c r="D94" i="323" s="1"/>
  <c r="H27" i="323"/>
  <c r="H28" i="323" s="1"/>
  <c r="H29" i="323" s="1"/>
  <c r="H30" i="323" s="1"/>
  <c r="E27" i="323"/>
  <c r="D27" i="323"/>
  <c r="D93" i="323" s="1"/>
  <c r="E26" i="323"/>
  <c r="E92" i="323" s="1"/>
  <c r="D225" i="323" s="1"/>
  <c r="D234" i="323" s="1"/>
  <c r="D26" i="323"/>
  <c r="D92" i="323" s="1"/>
  <c r="J22" i="323"/>
  <c r="F21" i="323"/>
  <c r="F20" i="323"/>
  <c r="F19" i="323"/>
  <c r="F18" i="323"/>
  <c r="F17" i="323"/>
  <c r="F16" i="323"/>
  <c r="H15" i="323"/>
  <c r="H16" i="323" s="1"/>
  <c r="M11" i="323"/>
  <c r="M10" i="323"/>
  <c r="M9" i="323"/>
  <c r="H9" i="323"/>
  <c r="H10" i="323" s="1"/>
  <c r="M8" i="323"/>
  <c r="E8" i="323"/>
  <c r="C8" i="323"/>
  <c r="M7" i="323"/>
  <c r="M6" i="323"/>
  <c r="F190" i="323"/>
  <c r="C191" i="323" s="1"/>
  <c r="D181" i="323"/>
  <c r="M5" i="323"/>
  <c r="E5" i="323"/>
  <c r="E366" i="323" s="1"/>
  <c r="D5" i="323"/>
  <c r="D366" i="323" s="1"/>
  <c r="M4" i="323"/>
  <c r="I8" i="323" s="1"/>
  <c r="H4" i="323"/>
  <c r="B4" i="323"/>
  <c r="R370" i="323" s="1"/>
  <c r="D359" i="322"/>
  <c r="H359" i="322" s="1"/>
  <c r="J69" i="322"/>
  <c r="J116" i="322"/>
  <c r="D14" i="322"/>
  <c r="D386" i="322"/>
  <c r="I386" i="322" s="1"/>
  <c r="T382" i="322"/>
  <c r="U382" i="322" s="1"/>
  <c r="S382" i="322"/>
  <c r="T381" i="322"/>
  <c r="U381" i="322" s="1"/>
  <c r="U380" i="322"/>
  <c r="T376" i="322"/>
  <c r="S376" i="322"/>
  <c r="U376" i="322" s="1"/>
  <c r="C368" i="322"/>
  <c r="G366" i="322"/>
  <c r="H358" i="322"/>
  <c r="D352" i="322"/>
  <c r="H352" i="322" s="1"/>
  <c r="D351" i="322"/>
  <c r="H351" i="322" s="1"/>
  <c r="D345" i="322"/>
  <c r="D346" i="322" s="1"/>
  <c r="C341" i="322"/>
  <c r="H341" i="322" s="1"/>
  <c r="C340" i="322"/>
  <c r="G329" i="322"/>
  <c r="G328" i="322"/>
  <c r="G325" i="322"/>
  <c r="G323" i="322"/>
  <c r="E321" i="322"/>
  <c r="E319" i="322"/>
  <c r="F318" i="322"/>
  <c r="G318" i="322" s="1"/>
  <c r="C317" i="322"/>
  <c r="C316" i="322"/>
  <c r="C318" i="322" s="1"/>
  <c r="G313" i="322"/>
  <c r="H312" i="322"/>
  <c r="D310" i="322"/>
  <c r="C309" i="322"/>
  <c r="H307" i="322"/>
  <c r="G305" i="322"/>
  <c r="E305" i="322"/>
  <c r="E304" i="322"/>
  <c r="D371" i="322" s="1"/>
  <c r="G303" i="322"/>
  <c r="H303" i="322" s="1"/>
  <c r="G302" i="322"/>
  <c r="H302" i="322" s="1"/>
  <c r="H301" i="322"/>
  <c r="H299" i="322"/>
  <c r="F298" i="322"/>
  <c r="F300" i="322" s="1"/>
  <c r="F302" i="322" s="1"/>
  <c r="F303" i="322" s="1"/>
  <c r="H297" i="322"/>
  <c r="F296" i="322"/>
  <c r="H295" i="322"/>
  <c r="I290" i="322"/>
  <c r="F290" i="322"/>
  <c r="G289" i="322"/>
  <c r="H289" i="322" s="1"/>
  <c r="E289" i="322"/>
  <c r="G288" i="322"/>
  <c r="H288" i="322" s="1"/>
  <c r="E288" i="322"/>
  <c r="B288" i="322"/>
  <c r="B289" i="322" s="1"/>
  <c r="E287" i="322"/>
  <c r="G286" i="322"/>
  <c r="E286" i="322"/>
  <c r="B286" i="322"/>
  <c r="B287" i="322" s="1"/>
  <c r="F285" i="322"/>
  <c r="F284" i="322"/>
  <c r="F283" i="322"/>
  <c r="B281" i="322"/>
  <c r="B282" i="322" s="1"/>
  <c r="B283" i="322" s="1"/>
  <c r="B284" i="322" s="1"/>
  <c r="F279" i="322"/>
  <c r="F278" i="322"/>
  <c r="C278" i="322"/>
  <c r="F277" i="322"/>
  <c r="I276" i="322"/>
  <c r="I277" i="322" s="1"/>
  <c r="I278" i="322" s="1"/>
  <c r="I279" i="322" s="1"/>
  <c r="F276" i="322"/>
  <c r="I275" i="322"/>
  <c r="F275" i="322"/>
  <c r="F274" i="322"/>
  <c r="F280" i="322" s="1"/>
  <c r="F264" i="322"/>
  <c r="F263" i="322"/>
  <c r="F262" i="322"/>
  <c r="F261" i="322"/>
  <c r="F260" i="322"/>
  <c r="F259" i="322"/>
  <c r="F257" i="322"/>
  <c r="F256" i="322"/>
  <c r="F255" i="322"/>
  <c r="F254" i="322"/>
  <c r="F253" i="322"/>
  <c r="I252" i="322"/>
  <c r="I253" i="322" s="1"/>
  <c r="I254" i="322" s="1"/>
  <c r="I255" i="322" s="1"/>
  <c r="I256" i="322" s="1"/>
  <c r="I257" i="322" s="1"/>
  <c r="F252" i="322"/>
  <c r="F251" i="322"/>
  <c r="F258" i="322" s="1"/>
  <c r="F249" i="322"/>
  <c r="F248" i="322"/>
  <c r="F247" i="322"/>
  <c r="F246" i="322"/>
  <c r="F245" i="322"/>
  <c r="F244" i="322"/>
  <c r="F243" i="322"/>
  <c r="F237" i="322"/>
  <c r="F236" i="322"/>
  <c r="F235" i="322"/>
  <c r="F229" i="322"/>
  <c r="F238" i="322" s="1"/>
  <c r="F228" i="322"/>
  <c r="F227" i="322"/>
  <c r="F226" i="322"/>
  <c r="F225" i="322"/>
  <c r="F234" i="322" s="1"/>
  <c r="B225" i="322"/>
  <c r="B226" i="322" s="1"/>
  <c r="B227" i="322" s="1"/>
  <c r="B228" i="322" s="1"/>
  <c r="B229" i="322" s="1"/>
  <c r="B230" i="322" s="1"/>
  <c r="B231" i="322" s="1"/>
  <c r="B232" i="322" s="1"/>
  <c r="B234" i="322" s="1"/>
  <c r="B235" i="322" s="1"/>
  <c r="B236" i="322" s="1"/>
  <c r="B237" i="322" s="1"/>
  <c r="B238" i="322" s="1"/>
  <c r="B239" i="322" s="1"/>
  <c r="B240" i="322" s="1"/>
  <c r="C223" i="322"/>
  <c r="I222" i="322"/>
  <c r="C222" i="322"/>
  <c r="I221" i="322"/>
  <c r="C219" i="322"/>
  <c r="C220" i="322" s="1"/>
  <c r="C221" i="322" s="1"/>
  <c r="E213" i="322"/>
  <c r="E214" i="322" s="1"/>
  <c r="E211" i="322"/>
  <c r="E212" i="322" s="1"/>
  <c r="I207" i="322"/>
  <c r="I208" i="322" s="1"/>
  <c r="E207" i="322"/>
  <c r="E208" i="322" s="1"/>
  <c r="I205" i="322"/>
  <c r="I206" i="322" s="1"/>
  <c r="E205" i="322"/>
  <c r="I204" i="322"/>
  <c r="I203" i="322"/>
  <c r="E203" i="322"/>
  <c r="E204" i="322" s="1"/>
  <c r="G201" i="322"/>
  <c r="G200" i="322"/>
  <c r="C199" i="322"/>
  <c r="H198" i="322"/>
  <c r="H196" i="322"/>
  <c r="I196" i="322" s="1"/>
  <c r="I195" i="322"/>
  <c r="G193" i="322"/>
  <c r="G192" i="322"/>
  <c r="H190" i="322"/>
  <c r="I189" i="322"/>
  <c r="H189" i="322"/>
  <c r="I188" i="322"/>
  <c r="G186" i="322"/>
  <c r="G185" i="322"/>
  <c r="H183" i="322"/>
  <c r="I183" i="322" s="1"/>
  <c r="H182" i="322"/>
  <c r="I182" i="322" s="1"/>
  <c r="G179" i="322"/>
  <c r="G178" i="322"/>
  <c r="C177" i="322"/>
  <c r="E179" i="322" s="1"/>
  <c r="H176" i="322"/>
  <c r="I176" i="322" s="1"/>
  <c r="H175" i="322"/>
  <c r="I175" i="322" s="1"/>
  <c r="I174" i="322"/>
  <c r="G172" i="322"/>
  <c r="E172" i="322"/>
  <c r="I172" i="322" s="1"/>
  <c r="G171" i="322"/>
  <c r="C170" i="322"/>
  <c r="E171" i="322" s="1"/>
  <c r="I168" i="322"/>
  <c r="H168" i="322"/>
  <c r="H169" i="322" s="1"/>
  <c r="I169" i="322" s="1"/>
  <c r="I167" i="322"/>
  <c r="G165" i="322"/>
  <c r="G164" i="322"/>
  <c r="E162" i="322"/>
  <c r="D279" i="322" s="1"/>
  <c r="D162" i="322"/>
  <c r="C279" i="322" s="1"/>
  <c r="E161" i="322"/>
  <c r="D161" i="322"/>
  <c r="E160" i="322"/>
  <c r="D160" i="322"/>
  <c r="C277" i="322" s="1"/>
  <c r="E159" i="322"/>
  <c r="D276" i="322" s="1"/>
  <c r="D159" i="322"/>
  <c r="C276" i="322" s="1"/>
  <c r="E276" i="322" s="1"/>
  <c r="E158" i="322"/>
  <c r="D275" i="322" s="1"/>
  <c r="D158" i="322"/>
  <c r="H157" i="322"/>
  <c r="H158" i="322" s="1"/>
  <c r="H159" i="322" s="1"/>
  <c r="H160" i="322" s="1"/>
  <c r="E157" i="322"/>
  <c r="D274" i="322" s="1"/>
  <c r="D157" i="322"/>
  <c r="G155" i="322"/>
  <c r="G154" i="322"/>
  <c r="G152" i="322"/>
  <c r="F272" i="322" s="1"/>
  <c r="G151" i="322"/>
  <c r="F271" i="322" s="1"/>
  <c r="E151" i="322"/>
  <c r="D271" i="322" s="1"/>
  <c r="G150" i="322"/>
  <c r="F270" i="322" s="1"/>
  <c r="E150" i="322"/>
  <c r="D270" i="322" s="1"/>
  <c r="G148" i="322"/>
  <c r="G147" i="322"/>
  <c r="H145" i="322"/>
  <c r="H150" i="322" s="1"/>
  <c r="H151" i="322" s="1"/>
  <c r="H152" i="322" s="1"/>
  <c r="G145" i="322"/>
  <c r="F268" i="322" s="1"/>
  <c r="H144" i="322"/>
  <c r="G144" i="322"/>
  <c r="F267" i="322" s="1"/>
  <c r="G143" i="322"/>
  <c r="F266" i="322" s="1"/>
  <c r="G141" i="322"/>
  <c r="G140" i="322"/>
  <c r="H138" i="322"/>
  <c r="I138" i="322" s="1"/>
  <c r="G135" i="322"/>
  <c r="G134" i="322"/>
  <c r="J133" i="322"/>
  <c r="H132" i="322"/>
  <c r="I132" i="322" s="1"/>
  <c r="F132" i="322"/>
  <c r="D132" i="322"/>
  <c r="H131" i="322"/>
  <c r="F131" i="322"/>
  <c r="I131" i="322" s="1"/>
  <c r="D131" i="322"/>
  <c r="F130" i="322"/>
  <c r="D130" i="322"/>
  <c r="G128" i="322"/>
  <c r="G127" i="322"/>
  <c r="J126" i="322"/>
  <c r="H125" i="322"/>
  <c r="E125" i="322"/>
  <c r="E152" i="322" s="1"/>
  <c r="D272" i="322" s="1"/>
  <c r="D125" i="322"/>
  <c r="D152" i="322" s="1"/>
  <c r="H124" i="322"/>
  <c r="E124" i="322"/>
  <c r="D124" i="322"/>
  <c r="E123" i="322"/>
  <c r="D123" i="322"/>
  <c r="G121" i="322"/>
  <c r="G120" i="322"/>
  <c r="J119" i="322"/>
  <c r="H118" i="322"/>
  <c r="E118" i="322"/>
  <c r="D118" i="322"/>
  <c r="D145" i="322" s="1"/>
  <c r="H117" i="322"/>
  <c r="F117" i="322"/>
  <c r="I117" i="322" s="1"/>
  <c r="E117" i="322"/>
  <c r="E144" i="322" s="1"/>
  <c r="D267" i="322" s="1"/>
  <c r="D117" i="322"/>
  <c r="D144" i="322" s="1"/>
  <c r="D116" i="322"/>
  <c r="G114" i="322"/>
  <c r="G113" i="322"/>
  <c r="J112" i="322"/>
  <c r="F111" i="322"/>
  <c r="H110" i="322"/>
  <c r="H111" i="322" s="1"/>
  <c r="F110" i="322"/>
  <c r="I109" i="322"/>
  <c r="H109" i="322"/>
  <c r="F109" i="322"/>
  <c r="G106" i="322"/>
  <c r="G105" i="322"/>
  <c r="G103" i="322"/>
  <c r="F232" i="322" s="1"/>
  <c r="F241" i="322" s="1"/>
  <c r="G102" i="322"/>
  <c r="F231" i="322" s="1"/>
  <c r="F240" i="322" s="1"/>
  <c r="G101" i="322"/>
  <c r="F230" i="322" s="1"/>
  <c r="F239" i="322" s="1"/>
  <c r="C101" i="322"/>
  <c r="G99" i="322"/>
  <c r="G98" i="322"/>
  <c r="G96" i="322"/>
  <c r="G95" i="322"/>
  <c r="G94" i="322"/>
  <c r="H93" i="322"/>
  <c r="H94" i="322" s="1"/>
  <c r="H95" i="322" s="1"/>
  <c r="H96" i="322" s="1"/>
  <c r="H101" i="322" s="1"/>
  <c r="H102" i="322" s="1"/>
  <c r="H103" i="322" s="1"/>
  <c r="G93" i="322"/>
  <c r="G92" i="322"/>
  <c r="G90" i="322"/>
  <c r="G89" i="322"/>
  <c r="E87" i="322"/>
  <c r="D264" i="322" s="1"/>
  <c r="D87" i="322"/>
  <c r="C264" i="322" s="1"/>
  <c r="E264" i="322" s="1"/>
  <c r="E86" i="322"/>
  <c r="D263" i="322" s="1"/>
  <c r="D86" i="322"/>
  <c r="C263" i="322" s="1"/>
  <c r="E85" i="322"/>
  <c r="F85" i="322" s="1"/>
  <c r="D85" i="322"/>
  <c r="E84" i="322"/>
  <c r="D283" i="322" s="1"/>
  <c r="D84" i="322"/>
  <c r="E83" i="322"/>
  <c r="D260" i="322" s="1"/>
  <c r="D83" i="322"/>
  <c r="F83" i="322" s="1"/>
  <c r="E82" i="322"/>
  <c r="D259" i="322" s="1"/>
  <c r="D82" i="322"/>
  <c r="C259" i="322" s="1"/>
  <c r="E81" i="322"/>
  <c r="D257" i="322" s="1"/>
  <c r="D81" i="322"/>
  <c r="E80" i="322"/>
  <c r="D256" i="322" s="1"/>
  <c r="D80" i="322"/>
  <c r="C256" i="322" s="1"/>
  <c r="E256" i="322" s="1"/>
  <c r="E79" i="322"/>
  <c r="D255" i="322" s="1"/>
  <c r="D79" i="322"/>
  <c r="C255" i="322" s="1"/>
  <c r="E78" i="322"/>
  <c r="D254" i="322" s="1"/>
  <c r="D78" i="322"/>
  <c r="C254" i="322" s="1"/>
  <c r="E254" i="322" s="1"/>
  <c r="E77" i="322"/>
  <c r="D253" i="322" s="1"/>
  <c r="D282" i="322" s="1"/>
  <c r="D77" i="322"/>
  <c r="C253" i="322" s="1"/>
  <c r="C282" i="322" s="1"/>
  <c r="E76" i="322"/>
  <c r="D252" i="322" s="1"/>
  <c r="D281" i="322" s="1"/>
  <c r="D76" i="322"/>
  <c r="C252" i="322" s="1"/>
  <c r="C281" i="322" s="1"/>
  <c r="E281" i="322" s="1"/>
  <c r="E75" i="322"/>
  <c r="D251" i="322" s="1"/>
  <c r="D75" i="322"/>
  <c r="C251" i="322" s="1"/>
  <c r="E74" i="322"/>
  <c r="D249" i="322" s="1"/>
  <c r="D74" i="322"/>
  <c r="C249" i="322" s="1"/>
  <c r="F73" i="322"/>
  <c r="I73" i="322" s="1"/>
  <c r="E73" i="322"/>
  <c r="D248" i="322" s="1"/>
  <c r="D73" i="322"/>
  <c r="C248" i="322" s="1"/>
  <c r="E248" i="322" s="1"/>
  <c r="E72" i="322"/>
  <c r="D247" i="322" s="1"/>
  <c r="D72" i="322"/>
  <c r="C247" i="322" s="1"/>
  <c r="E71" i="322"/>
  <c r="D246" i="322" s="1"/>
  <c r="D71" i="322"/>
  <c r="C246" i="322" s="1"/>
  <c r="E246" i="322" s="1"/>
  <c r="E70" i="322"/>
  <c r="D245" i="322" s="1"/>
  <c r="D70" i="322"/>
  <c r="C245" i="322" s="1"/>
  <c r="H69" i="322"/>
  <c r="H70" i="322" s="1"/>
  <c r="H73" i="322" s="1"/>
  <c r="H74" i="322" s="1"/>
  <c r="H75" i="322" s="1"/>
  <c r="E68" i="322"/>
  <c r="D243" i="322" s="1"/>
  <c r="G66" i="322"/>
  <c r="G65" i="322"/>
  <c r="J64" i="322"/>
  <c r="I63" i="322"/>
  <c r="I61" i="322"/>
  <c r="I60" i="322"/>
  <c r="G58" i="322"/>
  <c r="G57" i="322"/>
  <c r="J56" i="322"/>
  <c r="F55" i="322"/>
  <c r="D55" i="322"/>
  <c r="F54" i="322"/>
  <c r="D54" i="322"/>
  <c r="H53" i="322"/>
  <c r="H54" i="322" s="1"/>
  <c r="H55" i="322" s="1"/>
  <c r="F53" i="322"/>
  <c r="D53" i="322"/>
  <c r="F52" i="322"/>
  <c r="G50" i="322"/>
  <c r="G49" i="322"/>
  <c r="E47" i="322"/>
  <c r="D47" i="322"/>
  <c r="E46" i="322"/>
  <c r="D46" i="322"/>
  <c r="E45" i="322"/>
  <c r="D45" i="322"/>
  <c r="F45" i="322" s="1"/>
  <c r="E44" i="322"/>
  <c r="D44" i="322"/>
  <c r="H43" i="322"/>
  <c r="H44" i="322" s="1"/>
  <c r="H45" i="322" s="1"/>
  <c r="H46" i="322" s="1"/>
  <c r="H47" i="322" s="1"/>
  <c r="E43" i="322"/>
  <c r="D43" i="322"/>
  <c r="E42" i="322"/>
  <c r="G42" i="322"/>
  <c r="J48" i="322" s="1"/>
  <c r="G40" i="322"/>
  <c r="G39" i="322"/>
  <c r="J38" i="322"/>
  <c r="H37" i="322"/>
  <c r="F37" i="322"/>
  <c r="I37" i="322" s="1"/>
  <c r="E37" i="322"/>
  <c r="E103" i="322" s="1"/>
  <c r="D232" i="322" s="1"/>
  <c r="D241" i="322" s="1"/>
  <c r="D37" i="322"/>
  <c r="D103" i="322" s="1"/>
  <c r="C232" i="322" s="1"/>
  <c r="H36" i="322"/>
  <c r="E36" i="322"/>
  <c r="E102" i="322" s="1"/>
  <c r="D231" i="322" s="1"/>
  <c r="D240" i="322" s="1"/>
  <c r="D36" i="322"/>
  <c r="F36" i="322" s="1"/>
  <c r="I36" i="322" s="1"/>
  <c r="E35" i="322"/>
  <c r="G214" i="322" s="1"/>
  <c r="I214" i="322" s="1"/>
  <c r="G33" i="322"/>
  <c r="G32" i="322"/>
  <c r="J31" i="322"/>
  <c r="E30" i="322"/>
  <c r="E96" i="322" s="1"/>
  <c r="D30" i="322"/>
  <c r="D96" i="322" s="1"/>
  <c r="C229" i="322" s="1"/>
  <c r="E29" i="322"/>
  <c r="E95" i="322" s="1"/>
  <c r="D228" i="322" s="1"/>
  <c r="D237" i="322" s="1"/>
  <c r="D29" i="322"/>
  <c r="D95" i="322" s="1"/>
  <c r="C228" i="322" s="1"/>
  <c r="H28" i="322"/>
  <c r="H29" i="322" s="1"/>
  <c r="H30" i="322" s="1"/>
  <c r="E28" i="322"/>
  <c r="E94" i="322" s="1"/>
  <c r="D227" i="322" s="1"/>
  <c r="D236" i="322" s="1"/>
  <c r="D28" i="322"/>
  <c r="H27" i="322"/>
  <c r="E27" i="322"/>
  <c r="E93" i="322" s="1"/>
  <c r="D226" i="322" s="1"/>
  <c r="D235" i="322" s="1"/>
  <c r="D27" i="322"/>
  <c r="D93" i="322" s="1"/>
  <c r="E26" i="322"/>
  <c r="E92" i="322" s="1"/>
  <c r="D225" i="322" s="1"/>
  <c r="D234" i="322" s="1"/>
  <c r="D26" i="322"/>
  <c r="J22" i="322"/>
  <c r="F21" i="322"/>
  <c r="F20" i="322"/>
  <c r="F19" i="322"/>
  <c r="F18" i="322"/>
  <c r="F17" i="322"/>
  <c r="I16" i="322"/>
  <c r="H16" i="322"/>
  <c r="H17" i="322" s="1"/>
  <c r="H18" i="322" s="1"/>
  <c r="F16" i="322"/>
  <c r="I15" i="322"/>
  <c r="H15" i="322"/>
  <c r="F15" i="322"/>
  <c r="M11" i="322"/>
  <c r="M10" i="322"/>
  <c r="M9" i="322"/>
  <c r="H9" i="322"/>
  <c r="I9" i="322" s="1"/>
  <c r="M8" i="322"/>
  <c r="E8" i="322"/>
  <c r="C8" i="322"/>
  <c r="M7" i="322"/>
  <c r="M6" i="322"/>
  <c r="F6" i="322"/>
  <c r="C311" i="322" s="1"/>
  <c r="H311" i="322" s="1"/>
  <c r="F190" i="322"/>
  <c r="F217" i="322"/>
  <c r="M5" i="322"/>
  <c r="E5" i="322"/>
  <c r="E366" i="322" s="1"/>
  <c r="D5" i="322"/>
  <c r="M4" i="322"/>
  <c r="F4" i="322"/>
  <c r="V372" i="322" s="1"/>
  <c r="B4" i="322"/>
  <c r="R370" i="322" s="1"/>
  <c r="D359" i="321"/>
  <c r="H359" i="321" s="1"/>
  <c r="G42" i="321"/>
  <c r="E209" i="321" s="1"/>
  <c r="E210" i="321" s="1"/>
  <c r="K42" i="321"/>
  <c r="E42" i="321" s="1"/>
  <c r="E14" i="321"/>
  <c r="K69" i="321" s="1"/>
  <c r="E69" i="321" s="1"/>
  <c r="D244" i="321" s="1"/>
  <c r="D14" i="321"/>
  <c r="J68" i="321" s="1"/>
  <c r="J116" i="321"/>
  <c r="D386" i="321"/>
  <c r="I386" i="321" s="1"/>
  <c r="T382" i="321"/>
  <c r="S382" i="321"/>
  <c r="U381" i="321"/>
  <c r="T381" i="321"/>
  <c r="U380" i="321"/>
  <c r="T376" i="321"/>
  <c r="S376" i="321"/>
  <c r="C368" i="321"/>
  <c r="G366" i="321"/>
  <c r="H358" i="321"/>
  <c r="D352" i="321"/>
  <c r="H352" i="321" s="1"/>
  <c r="D351" i="321"/>
  <c r="H351" i="321" s="1"/>
  <c r="D345" i="321"/>
  <c r="D346" i="321" s="1"/>
  <c r="D347" i="321" s="1"/>
  <c r="H347" i="321" s="1"/>
  <c r="C341" i="321"/>
  <c r="H341" i="321" s="1"/>
  <c r="C340" i="321"/>
  <c r="G329" i="321"/>
  <c r="G328" i="321"/>
  <c r="G325" i="321"/>
  <c r="G323" i="321"/>
  <c r="E321" i="321"/>
  <c r="E319" i="321"/>
  <c r="F318" i="321"/>
  <c r="G318" i="321" s="1"/>
  <c r="C316" i="321"/>
  <c r="C318" i="321" s="1"/>
  <c r="G313" i="321"/>
  <c r="H312" i="321"/>
  <c r="D310" i="321"/>
  <c r="C309" i="321"/>
  <c r="C310" i="321" s="1"/>
  <c r="H310" i="321" s="1"/>
  <c r="H307" i="321"/>
  <c r="G305" i="321"/>
  <c r="E305" i="321"/>
  <c r="E304" i="321"/>
  <c r="D371" i="321" s="1"/>
  <c r="G303" i="321"/>
  <c r="H303" i="321" s="1"/>
  <c r="G302" i="321"/>
  <c r="H302" i="321" s="1"/>
  <c r="H301" i="321"/>
  <c r="H299" i="321"/>
  <c r="H297" i="321"/>
  <c r="F296" i="321"/>
  <c r="F298" i="321" s="1"/>
  <c r="F300" i="321" s="1"/>
  <c r="F302" i="321" s="1"/>
  <c r="F303" i="321" s="1"/>
  <c r="H295" i="321"/>
  <c r="F290" i="321"/>
  <c r="E289" i="321"/>
  <c r="G288" i="321"/>
  <c r="G289" i="321" s="1"/>
  <c r="E288" i="321"/>
  <c r="B288" i="321"/>
  <c r="B289" i="321" s="1"/>
  <c r="E287" i="321"/>
  <c r="G286" i="321"/>
  <c r="G287" i="321" s="1"/>
  <c r="E286" i="321"/>
  <c r="I290" i="321" s="1"/>
  <c r="B286" i="321"/>
  <c r="B287" i="321" s="1"/>
  <c r="F284" i="321"/>
  <c r="F283" i="321"/>
  <c r="B281" i="321"/>
  <c r="B282" i="321" s="1"/>
  <c r="B283" i="321" s="1"/>
  <c r="B284" i="321" s="1"/>
  <c r="F279" i="321"/>
  <c r="D279" i="321"/>
  <c r="F278" i="321"/>
  <c r="F277" i="321"/>
  <c r="F276" i="321"/>
  <c r="I275" i="321"/>
  <c r="I276" i="321" s="1"/>
  <c r="I277" i="321" s="1"/>
  <c r="I278" i="321" s="1"/>
  <c r="I279" i="321" s="1"/>
  <c r="F275" i="321"/>
  <c r="F274" i="321"/>
  <c r="C274" i="321"/>
  <c r="E274" i="321" s="1"/>
  <c r="F264" i="321"/>
  <c r="F263" i="321"/>
  <c r="F262" i="321"/>
  <c r="F261" i="321"/>
  <c r="F260" i="321"/>
  <c r="F259" i="321"/>
  <c r="F257" i="321"/>
  <c r="C257" i="321"/>
  <c r="E257" i="321" s="1"/>
  <c r="F256" i="321"/>
  <c r="F255" i="321"/>
  <c r="F254" i="321"/>
  <c r="F253" i="321"/>
  <c r="I252" i="321"/>
  <c r="I253" i="321" s="1"/>
  <c r="I254" i="321" s="1"/>
  <c r="I255" i="321" s="1"/>
  <c r="I256" i="321" s="1"/>
  <c r="I257" i="321" s="1"/>
  <c r="F252" i="321"/>
  <c r="F258" i="321" s="1"/>
  <c r="F251" i="321"/>
  <c r="F249" i="321"/>
  <c r="F248" i="321"/>
  <c r="F247" i="321"/>
  <c r="F246" i="321"/>
  <c r="F245" i="321"/>
  <c r="F244" i="321"/>
  <c r="F243" i="321"/>
  <c r="F229" i="321"/>
  <c r="F238" i="321" s="1"/>
  <c r="F228" i="321"/>
  <c r="F237" i="321" s="1"/>
  <c r="F227" i="321"/>
  <c r="F236" i="321" s="1"/>
  <c r="F226" i="321"/>
  <c r="F235" i="321" s="1"/>
  <c r="F225" i="321"/>
  <c r="B225" i="321"/>
  <c r="B226" i="321" s="1"/>
  <c r="B227" i="321" s="1"/>
  <c r="B228" i="321" s="1"/>
  <c r="B229" i="321" s="1"/>
  <c r="B230" i="321" s="1"/>
  <c r="B231" i="321" s="1"/>
  <c r="B232" i="321" s="1"/>
  <c r="B234" i="321" s="1"/>
  <c r="B235" i="321" s="1"/>
  <c r="B236" i="321" s="1"/>
  <c r="B237" i="321" s="1"/>
  <c r="B238" i="321" s="1"/>
  <c r="B239" i="321" s="1"/>
  <c r="B240" i="321" s="1"/>
  <c r="C223" i="321"/>
  <c r="I222" i="321"/>
  <c r="C222" i="321"/>
  <c r="I221" i="321"/>
  <c r="C219" i="321"/>
  <c r="C220" i="321" s="1"/>
  <c r="C221" i="321" s="1"/>
  <c r="E213" i="321"/>
  <c r="E214" i="321" s="1"/>
  <c r="E211" i="321"/>
  <c r="E212" i="321" s="1"/>
  <c r="I207" i="321"/>
  <c r="I208" i="321" s="1"/>
  <c r="E207" i="321"/>
  <c r="E208" i="321" s="1"/>
  <c r="I205" i="321"/>
  <c r="I206" i="321" s="1"/>
  <c r="E205" i="321"/>
  <c r="E206" i="321" s="1"/>
  <c r="I203" i="321"/>
  <c r="I204" i="321" s="1"/>
  <c r="E203" i="321"/>
  <c r="G201" i="321"/>
  <c r="G200" i="321"/>
  <c r="C199" i="321"/>
  <c r="H198" i="321"/>
  <c r="H196" i="321"/>
  <c r="I196" i="321" s="1"/>
  <c r="I195" i="321"/>
  <c r="E199" i="321" s="1"/>
  <c r="G193" i="321"/>
  <c r="G192" i="321"/>
  <c r="H189" i="321"/>
  <c r="I189" i="321" s="1"/>
  <c r="I188" i="321"/>
  <c r="G186" i="321"/>
  <c r="G185" i="321"/>
  <c r="H183" i="321"/>
  <c r="I183" i="321" s="1"/>
  <c r="I182" i="321"/>
  <c r="H182" i="321"/>
  <c r="G179" i="321"/>
  <c r="G178" i="321"/>
  <c r="C177" i="321"/>
  <c r="H176" i="321"/>
  <c r="I176" i="321" s="1"/>
  <c r="I175" i="321"/>
  <c r="E177" i="321" s="1"/>
  <c r="H175" i="321"/>
  <c r="I174" i="321"/>
  <c r="G172" i="321"/>
  <c r="G171" i="321"/>
  <c r="C170" i="321"/>
  <c r="H168" i="321"/>
  <c r="H169" i="321" s="1"/>
  <c r="I169" i="321" s="1"/>
  <c r="I167" i="321"/>
  <c r="G165" i="321"/>
  <c r="G164" i="321"/>
  <c r="E162" i="321"/>
  <c r="D162" i="321"/>
  <c r="C279" i="321" s="1"/>
  <c r="E161" i="321"/>
  <c r="D278" i="321" s="1"/>
  <c r="D161" i="321"/>
  <c r="C278" i="321" s="1"/>
  <c r="F160" i="321"/>
  <c r="E160" i="321"/>
  <c r="D277" i="321" s="1"/>
  <c r="D160" i="321"/>
  <c r="C277" i="321" s="1"/>
  <c r="E159" i="321"/>
  <c r="D159" i="321"/>
  <c r="C276" i="321" s="1"/>
  <c r="E158" i="321"/>
  <c r="D275" i="321" s="1"/>
  <c r="D158" i="321"/>
  <c r="C275" i="321" s="1"/>
  <c r="H157" i="321"/>
  <c r="H158" i="321" s="1"/>
  <c r="H159" i="321" s="1"/>
  <c r="H160" i="321" s="1"/>
  <c r="E157" i="321"/>
  <c r="D274" i="321" s="1"/>
  <c r="D157" i="321"/>
  <c r="G155" i="321"/>
  <c r="G154" i="321"/>
  <c r="G152" i="321"/>
  <c r="F272" i="321" s="1"/>
  <c r="E152" i="321"/>
  <c r="D272" i="321" s="1"/>
  <c r="G151" i="321"/>
  <c r="F271" i="321" s="1"/>
  <c r="E151" i="321"/>
  <c r="D271" i="321" s="1"/>
  <c r="G150" i="321"/>
  <c r="F270" i="321" s="1"/>
  <c r="G148" i="321"/>
  <c r="G147" i="321"/>
  <c r="G145" i="321"/>
  <c r="F268" i="321" s="1"/>
  <c r="H144" i="321"/>
  <c r="H145" i="321" s="1"/>
  <c r="H150" i="321" s="1"/>
  <c r="H151" i="321" s="1"/>
  <c r="H152" i="321" s="1"/>
  <c r="G144" i="321"/>
  <c r="F267" i="321" s="1"/>
  <c r="E144" i="321"/>
  <c r="D267" i="321" s="1"/>
  <c r="G143" i="321"/>
  <c r="F266" i="321" s="1"/>
  <c r="F269" i="321" s="1"/>
  <c r="G141" i="321"/>
  <c r="G140" i="321"/>
  <c r="H138" i="321"/>
  <c r="I138" i="321" s="1"/>
  <c r="G135" i="321"/>
  <c r="G134" i="321"/>
  <c r="J133" i="321"/>
  <c r="H132" i="321"/>
  <c r="F132" i="321"/>
  <c r="D132" i="321"/>
  <c r="H131" i="321"/>
  <c r="F131" i="321"/>
  <c r="D131" i="321"/>
  <c r="I131" i="321" s="1"/>
  <c r="F130" i="321"/>
  <c r="D130" i="321"/>
  <c r="G128" i="321"/>
  <c r="G127" i="321"/>
  <c r="J126" i="321"/>
  <c r="E125" i="321"/>
  <c r="D125" i="321"/>
  <c r="D152" i="321" s="1"/>
  <c r="H124" i="321"/>
  <c r="H125" i="321" s="1"/>
  <c r="E124" i="321"/>
  <c r="D124" i="321"/>
  <c r="D151" i="321" s="1"/>
  <c r="E123" i="321"/>
  <c r="E150" i="321" s="1"/>
  <c r="D270" i="321" s="1"/>
  <c r="D123" i="321"/>
  <c r="G121" i="321"/>
  <c r="G120" i="321"/>
  <c r="J119" i="321"/>
  <c r="H118" i="321"/>
  <c r="E118" i="321"/>
  <c r="E145" i="321" s="1"/>
  <c r="D268" i="321" s="1"/>
  <c r="D118" i="321"/>
  <c r="F118" i="321" s="1"/>
  <c r="H117" i="321"/>
  <c r="E117" i="321"/>
  <c r="D117" i="321"/>
  <c r="D144" i="321" s="1"/>
  <c r="G114" i="321"/>
  <c r="G113" i="321"/>
  <c r="J112" i="321"/>
  <c r="H111" i="321"/>
  <c r="F111" i="321"/>
  <c r="F110" i="321"/>
  <c r="H109" i="321"/>
  <c r="H110" i="321" s="1"/>
  <c r="F109" i="321"/>
  <c r="I109" i="321" s="1"/>
  <c r="G106" i="321"/>
  <c r="G105" i="321"/>
  <c r="G103" i="321"/>
  <c r="F232" i="321" s="1"/>
  <c r="F241" i="321" s="1"/>
  <c r="G102" i="321"/>
  <c r="F231" i="321" s="1"/>
  <c r="F240" i="321" s="1"/>
  <c r="G101" i="321"/>
  <c r="F230" i="321" s="1"/>
  <c r="F239" i="321" s="1"/>
  <c r="C101" i="321"/>
  <c r="G99" i="321"/>
  <c r="G98" i="321"/>
  <c r="G96" i="321"/>
  <c r="G95" i="321"/>
  <c r="G94" i="321"/>
  <c r="H93" i="321"/>
  <c r="H94" i="321" s="1"/>
  <c r="H95" i="321" s="1"/>
  <c r="H96" i="321" s="1"/>
  <c r="H101" i="321" s="1"/>
  <c r="H102" i="321" s="1"/>
  <c r="H103" i="321" s="1"/>
  <c r="G93" i="321"/>
  <c r="G92" i="321"/>
  <c r="G90" i="321"/>
  <c r="G89" i="321"/>
  <c r="E87" i="321"/>
  <c r="D264" i="321" s="1"/>
  <c r="D87" i="321"/>
  <c r="F87" i="321" s="1"/>
  <c r="F86" i="321"/>
  <c r="E86" i="321"/>
  <c r="D263" i="321" s="1"/>
  <c r="D86" i="321"/>
  <c r="C263" i="321" s="1"/>
  <c r="E85" i="321"/>
  <c r="D262" i="321" s="1"/>
  <c r="D85" i="321"/>
  <c r="C284" i="321" s="1"/>
  <c r="E84" i="321"/>
  <c r="D84" i="321"/>
  <c r="C261" i="321" s="1"/>
  <c r="E83" i="321"/>
  <c r="D260" i="321" s="1"/>
  <c r="D83" i="321"/>
  <c r="C260" i="321" s="1"/>
  <c r="E82" i="321"/>
  <c r="D259" i="321" s="1"/>
  <c r="D82" i="321"/>
  <c r="C259" i="321" s="1"/>
  <c r="E259" i="321" s="1"/>
  <c r="E81" i="321"/>
  <c r="D257" i="321" s="1"/>
  <c r="D81" i="321"/>
  <c r="E80" i="321"/>
  <c r="D256" i="321" s="1"/>
  <c r="D80" i="321"/>
  <c r="C256" i="321" s="1"/>
  <c r="E256" i="321" s="1"/>
  <c r="E79" i="321"/>
  <c r="D255" i="321" s="1"/>
  <c r="D79" i="321"/>
  <c r="E78" i="321"/>
  <c r="D254" i="321" s="1"/>
  <c r="D78" i="321"/>
  <c r="C254" i="321" s="1"/>
  <c r="E77" i="321"/>
  <c r="D253" i="321" s="1"/>
  <c r="D282" i="321" s="1"/>
  <c r="D77" i="321"/>
  <c r="C253" i="321" s="1"/>
  <c r="E76" i="321"/>
  <c r="D76" i="321"/>
  <c r="C252" i="321" s="1"/>
  <c r="E75" i="321"/>
  <c r="D251" i="321" s="1"/>
  <c r="D75" i="321"/>
  <c r="C251" i="321" s="1"/>
  <c r="E74" i="321"/>
  <c r="D249" i="321" s="1"/>
  <c r="D74" i="321"/>
  <c r="C249" i="321" s="1"/>
  <c r="E73" i="321"/>
  <c r="D248" i="321" s="1"/>
  <c r="D73" i="321"/>
  <c r="C248" i="321" s="1"/>
  <c r="E248" i="321" s="1"/>
  <c r="E72" i="321"/>
  <c r="D247" i="321" s="1"/>
  <c r="D72" i="321"/>
  <c r="C247" i="321" s="1"/>
  <c r="E71" i="321"/>
  <c r="D246" i="321" s="1"/>
  <c r="D71" i="321"/>
  <c r="E70" i="321"/>
  <c r="D245" i="321" s="1"/>
  <c r="D70" i="321"/>
  <c r="H69" i="321"/>
  <c r="H70" i="321" s="1"/>
  <c r="G66" i="321"/>
  <c r="G65" i="321"/>
  <c r="J64" i="321"/>
  <c r="I63" i="321"/>
  <c r="I61" i="321"/>
  <c r="I60" i="321"/>
  <c r="G58" i="321"/>
  <c r="G57" i="321"/>
  <c r="J56" i="321"/>
  <c r="F55" i="321"/>
  <c r="D55" i="321"/>
  <c r="F54" i="321"/>
  <c r="D54" i="321"/>
  <c r="I53" i="321"/>
  <c r="H53" i="321"/>
  <c r="H54" i="321" s="1"/>
  <c r="H55" i="321" s="1"/>
  <c r="F53" i="321"/>
  <c r="D53" i="321"/>
  <c r="F52" i="321"/>
  <c r="G50" i="321"/>
  <c r="G49" i="321"/>
  <c r="E47" i="321"/>
  <c r="D47" i="321"/>
  <c r="E46" i="321"/>
  <c r="D46" i="321"/>
  <c r="E45" i="321"/>
  <c r="D45" i="321"/>
  <c r="E44" i="321"/>
  <c r="D44" i="321"/>
  <c r="F44" i="321" s="1"/>
  <c r="H43" i="321"/>
  <c r="H44" i="321" s="1"/>
  <c r="H45" i="321" s="1"/>
  <c r="H46" i="321" s="1"/>
  <c r="H47" i="321" s="1"/>
  <c r="E43" i="321"/>
  <c r="D43" i="321"/>
  <c r="G40" i="321"/>
  <c r="G39" i="321"/>
  <c r="J38" i="321"/>
  <c r="E37" i="321"/>
  <c r="E103" i="321" s="1"/>
  <c r="D232" i="321" s="1"/>
  <c r="D241" i="321" s="1"/>
  <c r="D37" i="321"/>
  <c r="D103" i="321" s="1"/>
  <c r="H36" i="321"/>
  <c r="H37" i="321" s="1"/>
  <c r="E36" i="321"/>
  <c r="E102" i="321" s="1"/>
  <c r="D231" i="321" s="1"/>
  <c r="D240" i="321" s="1"/>
  <c r="D36" i="321"/>
  <c r="E35" i="321"/>
  <c r="G33" i="321"/>
  <c r="G32" i="321"/>
  <c r="J31" i="321"/>
  <c r="E30" i="321"/>
  <c r="E96" i="321" s="1"/>
  <c r="D229" i="321" s="1"/>
  <c r="D238" i="321" s="1"/>
  <c r="D30" i="321"/>
  <c r="I29" i="321"/>
  <c r="F29" i="321"/>
  <c r="E29" i="321"/>
  <c r="E95" i="321" s="1"/>
  <c r="D228" i="321" s="1"/>
  <c r="D237" i="321" s="1"/>
  <c r="D29" i="321"/>
  <c r="D95" i="321" s="1"/>
  <c r="H28" i="321"/>
  <c r="H29" i="321" s="1"/>
  <c r="H30" i="321" s="1"/>
  <c r="E28" i="321"/>
  <c r="E94" i="321" s="1"/>
  <c r="D227" i="321" s="1"/>
  <c r="D236" i="321" s="1"/>
  <c r="D28" i="321"/>
  <c r="D94" i="321" s="1"/>
  <c r="H27" i="321"/>
  <c r="E27" i="321"/>
  <c r="E93" i="321" s="1"/>
  <c r="D226" i="321" s="1"/>
  <c r="D235" i="321" s="1"/>
  <c r="D27" i="321"/>
  <c r="E26" i="321"/>
  <c r="D26" i="321"/>
  <c r="J22" i="321"/>
  <c r="F21" i="321"/>
  <c r="F20" i="321"/>
  <c r="F19" i="321"/>
  <c r="F18" i="321"/>
  <c r="F17" i="321"/>
  <c r="F16" i="321"/>
  <c r="H15" i="321"/>
  <c r="H16" i="321" s="1"/>
  <c r="H17" i="321" s="1"/>
  <c r="F15" i="321"/>
  <c r="I15" i="321" s="1"/>
  <c r="M11" i="321"/>
  <c r="M10" i="321"/>
  <c r="M9" i="321"/>
  <c r="H9" i="321"/>
  <c r="H10" i="321" s="1"/>
  <c r="M8" i="321"/>
  <c r="E8" i="321"/>
  <c r="C8" i="321"/>
  <c r="M7" i="321"/>
  <c r="M6" i="321"/>
  <c r="F217" i="321"/>
  <c r="D349" i="321" s="1"/>
  <c r="H349" i="321" s="1"/>
  <c r="M5" i="321"/>
  <c r="E5" i="321"/>
  <c r="E366" i="321" s="1"/>
  <c r="D5" i="321"/>
  <c r="D366" i="321" s="1"/>
  <c r="M4" i="321"/>
  <c r="F4" i="321"/>
  <c r="V372" i="321" s="1"/>
  <c r="B4" i="321"/>
  <c r="R370" i="321" s="1"/>
  <c r="D358" i="320"/>
  <c r="H358" i="320" s="1"/>
  <c r="D359" i="320"/>
  <c r="H359" i="320" s="1"/>
  <c r="D174" i="320"/>
  <c r="C177" i="320" s="1"/>
  <c r="E108" i="320"/>
  <c r="K116" i="320" s="1"/>
  <c r="E116" i="320" s="1"/>
  <c r="D108" i="320"/>
  <c r="J116" i="320" s="1"/>
  <c r="K68" i="320"/>
  <c r="E68" i="320" s="1"/>
  <c r="D243" i="320" s="1"/>
  <c r="J68" i="320"/>
  <c r="D68" i="320" s="1"/>
  <c r="C243" i="320" s="1"/>
  <c r="D14" i="320"/>
  <c r="F14" i="320" s="1"/>
  <c r="I14" i="320" s="1"/>
  <c r="D386" i="320"/>
  <c r="I386" i="320" s="1"/>
  <c r="T382" i="320"/>
  <c r="S382" i="320"/>
  <c r="T381" i="320"/>
  <c r="U381" i="320" s="1"/>
  <c r="U380" i="320"/>
  <c r="T376" i="320"/>
  <c r="C368" i="320"/>
  <c r="G366" i="320"/>
  <c r="D352" i="320"/>
  <c r="H352" i="320" s="1"/>
  <c r="D351" i="320"/>
  <c r="H351" i="320" s="1"/>
  <c r="D345" i="320"/>
  <c r="D346" i="320" s="1"/>
  <c r="C341" i="320"/>
  <c r="H341" i="320" s="1"/>
  <c r="C340" i="320"/>
  <c r="G329" i="320"/>
  <c r="G328" i="320"/>
  <c r="G325" i="320"/>
  <c r="G323" i="320"/>
  <c r="E321" i="320"/>
  <c r="E319" i="320"/>
  <c r="F318" i="320"/>
  <c r="G318" i="320" s="1"/>
  <c r="C316" i="320"/>
  <c r="C318" i="320" s="1"/>
  <c r="G313" i="320"/>
  <c r="H312" i="320"/>
  <c r="D310" i="320"/>
  <c r="C309" i="320"/>
  <c r="H307" i="320"/>
  <c r="G305" i="320"/>
  <c r="E305" i="320"/>
  <c r="E304" i="320"/>
  <c r="D371" i="320" s="1"/>
  <c r="G303" i="320"/>
  <c r="H303" i="320" s="1"/>
  <c r="G302" i="320"/>
  <c r="H302" i="320" s="1"/>
  <c r="H301" i="320"/>
  <c r="H299" i="320"/>
  <c r="H297" i="320"/>
  <c r="F296" i="320"/>
  <c r="F298" i="320" s="1"/>
  <c r="F300" i="320" s="1"/>
  <c r="F302" i="320" s="1"/>
  <c r="F303" i="320" s="1"/>
  <c r="H295" i="320"/>
  <c r="F290" i="320"/>
  <c r="E289" i="320"/>
  <c r="G288" i="320"/>
  <c r="H288" i="320" s="1"/>
  <c r="E288" i="320"/>
  <c r="B288" i="320"/>
  <c r="B289" i="320" s="1"/>
  <c r="E287" i="320"/>
  <c r="I290" i="320" s="1"/>
  <c r="G286" i="320"/>
  <c r="G287" i="320" s="1"/>
  <c r="E286" i="320"/>
  <c r="B286" i="320"/>
  <c r="B287" i="320" s="1"/>
  <c r="F284" i="320"/>
  <c r="F285" i="320" s="1"/>
  <c r="F283" i="320"/>
  <c r="B281" i="320"/>
  <c r="B282" i="320" s="1"/>
  <c r="B283" i="320" s="1"/>
  <c r="B284" i="320" s="1"/>
  <c r="F279" i="320"/>
  <c r="F278" i="320"/>
  <c r="F277" i="320"/>
  <c r="F276" i="320"/>
  <c r="I275" i="320"/>
  <c r="I276" i="320" s="1"/>
  <c r="I277" i="320" s="1"/>
  <c r="I278" i="320" s="1"/>
  <c r="I279" i="320" s="1"/>
  <c r="F275" i="320"/>
  <c r="F274" i="320"/>
  <c r="F280" i="320" s="1"/>
  <c r="F264" i="320"/>
  <c r="F263" i="320"/>
  <c r="F262" i="320"/>
  <c r="F261" i="320"/>
  <c r="F260" i="320"/>
  <c r="F265" i="320" s="1"/>
  <c r="F259" i="320"/>
  <c r="D259" i="320"/>
  <c r="F257" i="320"/>
  <c r="F256" i="320"/>
  <c r="F255" i="320"/>
  <c r="F254" i="320"/>
  <c r="F253" i="320"/>
  <c r="I252" i="320"/>
  <c r="I253" i="320" s="1"/>
  <c r="I254" i="320" s="1"/>
  <c r="I255" i="320" s="1"/>
  <c r="I256" i="320" s="1"/>
  <c r="I257" i="320" s="1"/>
  <c r="F252" i="320"/>
  <c r="F251" i="320"/>
  <c r="F258" i="320" s="1"/>
  <c r="F249" i="320"/>
  <c r="F248" i="320"/>
  <c r="F247" i="320"/>
  <c r="F246" i="320"/>
  <c r="F245" i="320"/>
  <c r="F244" i="320"/>
  <c r="F243" i="320"/>
  <c r="F237" i="320"/>
  <c r="F229" i="320"/>
  <c r="F238" i="320" s="1"/>
  <c r="F228" i="320"/>
  <c r="F227" i="320"/>
  <c r="F236" i="320" s="1"/>
  <c r="F226" i="320"/>
  <c r="F235" i="320" s="1"/>
  <c r="F225" i="320"/>
  <c r="F234" i="320" s="1"/>
  <c r="B225" i="320"/>
  <c r="B226" i="320" s="1"/>
  <c r="B227" i="320" s="1"/>
  <c r="B228" i="320" s="1"/>
  <c r="B229" i="320" s="1"/>
  <c r="B230" i="320" s="1"/>
  <c r="B231" i="320" s="1"/>
  <c r="B232" i="320" s="1"/>
  <c r="B234" i="320" s="1"/>
  <c r="B235" i="320" s="1"/>
  <c r="B236" i="320" s="1"/>
  <c r="B237" i="320" s="1"/>
  <c r="B238" i="320" s="1"/>
  <c r="B239" i="320" s="1"/>
  <c r="B240" i="320" s="1"/>
  <c r="C223" i="320"/>
  <c r="I222" i="320"/>
  <c r="C222" i="320"/>
  <c r="I221" i="320"/>
  <c r="C220" i="320"/>
  <c r="C221" i="320" s="1"/>
  <c r="C219" i="320"/>
  <c r="E213" i="320"/>
  <c r="E214" i="320" s="1"/>
  <c r="E211" i="320"/>
  <c r="E212" i="320" s="1"/>
  <c r="E209" i="320"/>
  <c r="E210" i="320" s="1"/>
  <c r="I208" i="320"/>
  <c r="E208" i="320"/>
  <c r="I207" i="320"/>
  <c r="E207" i="320"/>
  <c r="I206" i="320"/>
  <c r="E206" i="320"/>
  <c r="I205" i="320"/>
  <c r="E205" i="320"/>
  <c r="I203" i="320"/>
  <c r="I204" i="320" s="1"/>
  <c r="E203" i="320"/>
  <c r="G201" i="320"/>
  <c r="G200" i="320"/>
  <c r="C199" i="320"/>
  <c r="E201" i="320" s="1"/>
  <c r="I201" i="320" s="1"/>
  <c r="H198" i="320"/>
  <c r="I196" i="320"/>
  <c r="H196" i="320"/>
  <c r="I195" i="320"/>
  <c r="G193" i="320"/>
  <c r="G192" i="320"/>
  <c r="H190" i="320"/>
  <c r="I189" i="320"/>
  <c r="H189" i="320"/>
  <c r="I188" i="320"/>
  <c r="G186" i="320"/>
  <c r="G185" i="320"/>
  <c r="H182" i="320"/>
  <c r="I182" i="320" s="1"/>
  <c r="F181" i="320"/>
  <c r="G179" i="320"/>
  <c r="G178" i="320"/>
  <c r="H176" i="320"/>
  <c r="I176" i="320" s="1"/>
  <c r="H175" i="320"/>
  <c r="I175" i="320" s="1"/>
  <c r="I174" i="320"/>
  <c r="G172" i="320"/>
  <c r="G171" i="320"/>
  <c r="C170" i="320"/>
  <c r="E171" i="320" s="1"/>
  <c r="I169" i="320"/>
  <c r="H169" i="320"/>
  <c r="I168" i="320"/>
  <c r="H168" i="320"/>
  <c r="I167" i="320"/>
  <c r="G165" i="320"/>
  <c r="G164" i="320"/>
  <c r="E162" i="320"/>
  <c r="D279" i="320" s="1"/>
  <c r="D162" i="320"/>
  <c r="C279" i="320" s="1"/>
  <c r="F161" i="320"/>
  <c r="E161" i="320"/>
  <c r="D278" i="320" s="1"/>
  <c r="D161" i="320"/>
  <c r="C278" i="320" s="1"/>
  <c r="E160" i="320"/>
  <c r="D277" i="320" s="1"/>
  <c r="D160" i="320"/>
  <c r="C277" i="320" s="1"/>
  <c r="E277" i="320" s="1"/>
  <c r="E159" i="320"/>
  <c r="D276" i="320" s="1"/>
  <c r="D159" i="320"/>
  <c r="C276" i="320" s="1"/>
  <c r="E158" i="320"/>
  <c r="D275" i="320" s="1"/>
  <c r="D158" i="320"/>
  <c r="C275" i="320" s="1"/>
  <c r="H157" i="320"/>
  <c r="H158" i="320" s="1"/>
  <c r="H159" i="320" s="1"/>
  <c r="H160" i="320" s="1"/>
  <c r="E157" i="320"/>
  <c r="D274" i="320" s="1"/>
  <c r="D157" i="320"/>
  <c r="G155" i="320"/>
  <c r="G154" i="320"/>
  <c r="G152" i="320"/>
  <c r="F272" i="320" s="1"/>
  <c r="G151" i="320"/>
  <c r="F271" i="320" s="1"/>
  <c r="G150" i="320"/>
  <c r="F270" i="320" s="1"/>
  <c r="G148" i="320"/>
  <c r="G147" i="320"/>
  <c r="G145" i="320"/>
  <c r="F268" i="320" s="1"/>
  <c r="H144" i="320"/>
  <c r="H145" i="320" s="1"/>
  <c r="H150" i="320" s="1"/>
  <c r="H151" i="320" s="1"/>
  <c r="H152" i="320" s="1"/>
  <c r="G144" i="320"/>
  <c r="F267" i="320" s="1"/>
  <c r="G143" i="320"/>
  <c r="F266" i="320" s="1"/>
  <c r="G141" i="320"/>
  <c r="G140" i="320"/>
  <c r="H138" i="320"/>
  <c r="I138" i="320" s="1"/>
  <c r="G135" i="320"/>
  <c r="G134" i="320"/>
  <c r="J133" i="320"/>
  <c r="F132" i="320"/>
  <c r="D132" i="320"/>
  <c r="H131" i="320"/>
  <c r="H132" i="320" s="1"/>
  <c r="F131" i="320"/>
  <c r="D131" i="320"/>
  <c r="C133" i="320" s="1"/>
  <c r="F130" i="320"/>
  <c r="I130" i="320" s="1"/>
  <c r="D130" i="320"/>
  <c r="G128" i="320"/>
  <c r="G127" i="320"/>
  <c r="J126" i="320"/>
  <c r="F125" i="320"/>
  <c r="I125" i="320" s="1"/>
  <c r="E125" i="320"/>
  <c r="E152" i="320" s="1"/>
  <c r="D272" i="320" s="1"/>
  <c r="D125" i="320"/>
  <c r="D152" i="320" s="1"/>
  <c r="H124" i="320"/>
  <c r="H125" i="320" s="1"/>
  <c r="F124" i="320"/>
  <c r="I124" i="320" s="1"/>
  <c r="E124" i="320"/>
  <c r="E151" i="320" s="1"/>
  <c r="D271" i="320" s="1"/>
  <c r="D124" i="320"/>
  <c r="D151" i="320" s="1"/>
  <c r="C271" i="320" s="1"/>
  <c r="E123" i="320"/>
  <c r="E150" i="320" s="1"/>
  <c r="D270" i="320" s="1"/>
  <c r="D123" i="320"/>
  <c r="F123" i="320" s="1"/>
  <c r="G121" i="320"/>
  <c r="G120" i="320"/>
  <c r="J119" i="320"/>
  <c r="H118" i="320"/>
  <c r="E118" i="320"/>
  <c r="E145" i="320" s="1"/>
  <c r="D268" i="320" s="1"/>
  <c r="D118" i="320"/>
  <c r="F118" i="320" s="1"/>
  <c r="H117" i="320"/>
  <c r="E117" i="320"/>
  <c r="E144" i="320" s="1"/>
  <c r="D267" i="320" s="1"/>
  <c r="D117" i="320"/>
  <c r="D144" i="320" s="1"/>
  <c r="G114" i="320"/>
  <c r="G113" i="320"/>
  <c r="J112" i="320"/>
  <c r="F111" i="320"/>
  <c r="F110" i="320"/>
  <c r="I110" i="320" s="1"/>
  <c r="H109" i="320"/>
  <c r="H110" i="320" s="1"/>
  <c r="H111" i="320" s="1"/>
  <c r="I111" i="320" s="1"/>
  <c r="F109" i="320"/>
  <c r="G106" i="320"/>
  <c r="G105" i="320"/>
  <c r="G103" i="320"/>
  <c r="F232" i="320" s="1"/>
  <c r="F241" i="320" s="1"/>
  <c r="G102" i="320"/>
  <c r="F231" i="320" s="1"/>
  <c r="F240" i="320" s="1"/>
  <c r="G101" i="320"/>
  <c r="F230" i="320" s="1"/>
  <c r="F239" i="320" s="1"/>
  <c r="C101" i="320"/>
  <c r="G99" i="320"/>
  <c r="G98" i="320"/>
  <c r="G96" i="320"/>
  <c r="D96" i="320"/>
  <c r="C229" i="320" s="1"/>
  <c r="C238" i="320" s="1"/>
  <c r="G95" i="320"/>
  <c r="G94" i="320"/>
  <c r="H93" i="320"/>
  <c r="H94" i="320" s="1"/>
  <c r="H95" i="320" s="1"/>
  <c r="H96" i="320" s="1"/>
  <c r="H101" i="320" s="1"/>
  <c r="H102" i="320" s="1"/>
  <c r="H103" i="320" s="1"/>
  <c r="G93" i="320"/>
  <c r="G92" i="320"/>
  <c r="G90" i="320"/>
  <c r="G89" i="320"/>
  <c r="E87" i="320"/>
  <c r="D264" i="320" s="1"/>
  <c r="D87" i="320"/>
  <c r="C264" i="320" s="1"/>
  <c r="E86" i="320"/>
  <c r="D263" i="320" s="1"/>
  <c r="D86" i="320"/>
  <c r="C263" i="320" s="1"/>
  <c r="E85" i="320"/>
  <c r="D85" i="320"/>
  <c r="E84" i="320"/>
  <c r="D84" i="320"/>
  <c r="E83" i="320"/>
  <c r="D260" i="320" s="1"/>
  <c r="D83" i="320"/>
  <c r="C260" i="320" s="1"/>
  <c r="E82" i="320"/>
  <c r="D82" i="320"/>
  <c r="E81" i="320"/>
  <c r="D257" i="320" s="1"/>
  <c r="D81" i="320"/>
  <c r="C257" i="320" s="1"/>
  <c r="E80" i="320"/>
  <c r="D256" i="320" s="1"/>
  <c r="D80" i="320"/>
  <c r="C256" i="320" s="1"/>
  <c r="E79" i="320"/>
  <c r="D255" i="320" s="1"/>
  <c r="D79" i="320"/>
  <c r="C255" i="320" s="1"/>
  <c r="E78" i="320"/>
  <c r="D254" i="320" s="1"/>
  <c r="D78" i="320"/>
  <c r="C254" i="320" s="1"/>
  <c r="E77" i="320"/>
  <c r="D253" i="320" s="1"/>
  <c r="D282" i="320" s="1"/>
  <c r="D77" i="320"/>
  <c r="C253" i="320" s="1"/>
  <c r="E76" i="320"/>
  <c r="D252" i="320" s="1"/>
  <c r="D281" i="320" s="1"/>
  <c r="D76" i="320"/>
  <c r="C252" i="320" s="1"/>
  <c r="E75" i="320"/>
  <c r="D251" i="320" s="1"/>
  <c r="D75" i="320"/>
  <c r="C251" i="320" s="1"/>
  <c r="F74" i="320"/>
  <c r="E74" i="320"/>
  <c r="D249" i="320" s="1"/>
  <c r="D74" i="320"/>
  <c r="C249" i="320" s="1"/>
  <c r="E249" i="320" s="1"/>
  <c r="E73" i="320"/>
  <c r="D248" i="320" s="1"/>
  <c r="D73" i="320"/>
  <c r="C248" i="320" s="1"/>
  <c r="E72" i="320"/>
  <c r="D247" i="320" s="1"/>
  <c r="D72" i="320"/>
  <c r="C247" i="320" s="1"/>
  <c r="E71" i="320"/>
  <c r="D246" i="320" s="1"/>
  <c r="D71" i="320"/>
  <c r="C246" i="320" s="1"/>
  <c r="E70" i="320"/>
  <c r="D245" i="320" s="1"/>
  <c r="D70" i="320"/>
  <c r="C245" i="320" s="1"/>
  <c r="H69" i="320"/>
  <c r="H70" i="320" s="1"/>
  <c r="E69" i="320"/>
  <c r="D244" i="320" s="1"/>
  <c r="D69" i="320"/>
  <c r="C244" i="320" s="1"/>
  <c r="E244" i="320" s="1"/>
  <c r="G66" i="320"/>
  <c r="G65" i="320"/>
  <c r="J64" i="320"/>
  <c r="C64" i="320"/>
  <c r="E66" i="320" s="1"/>
  <c r="I63" i="320"/>
  <c r="I62" i="320"/>
  <c r="I61" i="320"/>
  <c r="I60" i="320"/>
  <c r="E64" i="320" s="1"/>
  <c r="G58" i="320"/>
  <c r="G57" i="320"/>
  <c r="J56" i="320"/>
  <c r="F55" i="320"/>
  <c r="D55" i="320"/>
  <c r="F54" i="320"/>
  <c r="D54" i="320"/>
  <c r="H53" i="320"/>
  <c r="H54" i="320" s="1"/>
  <c r="H55" i="320" s="1"/>
  <c r="F53" i="320"/>
  <c r="D53" i="320"/>
  <c r="F52" i="320"/>
  <c r="D52" i="320"/>
  <c r="C56" i="320" s="1"/>
  <c r="G50" i="320"/>
  <c r="G49" i="320"/>
  <c r="J48" i="320"/>
  <c r="E47" i="320"/>
  <c r="D47" i="320"/>
  <c r="E46" i="320"/>
  <c r="D46" i="320"/>
  <c r="F45" i="320"/>
  <c r="E45" i="320"/>
  <c r="D45" i="320"/>
  <c r="E44" i="320"/>
  <c r="D44" i="320"/>
  <c r="F44" i="320" s="1"/>
  <c r="I44" i="320" s="1"/>
  <c r="H43" i="320"/>
  <c r="H44" i="320" s="1"/>
  <c r="H45" i="320" s="1"/>
  <c r="H46" i="320" s="1"/>
  <c r="H47" i="320" s="1"/>
  <c r="E43" i="320"/>
  <c r="D43" i="320"/>
  <c r="E42" i="320"/>
  <c r="D42" i="320"/>
  <c r="F42" i="320" s="1"/>
  <c r="G40" i="320"/>
  <c r="G39" i="320"/>
  <c r="J38" i="320"/>
  <c r="H37" i="320"/>
  <c r="E37" i="320"/>
  <c r="E103" i="320" s="1"/>
  <c r="D232" i="320" s="1"/>
  <c r="D241" i="320" s="1"/>
  <c r="D37" i="320"/>
  <c r="D103" i="320" s="1"/>
  <c r="H36" i="320"/>
  <c r="E36" i="320"/>
  <c r="E102" i="320" s="1"/>
  <c r="D231" i="320" s="1"/>
  <c r="D240" i="320" s="1"/>
  <c r="D36" i="320"/>
  <c r="E35" i="320"/>
  <c r="G214" i="320" s="1"/>
  <c r="I214" i="320" s="1"/>
  <c r="D35" i="320"/>
  <c r="D101" i="320" s="1"/>
  <c r="C230" i="320" s="1"/>
  <c r="G33" i="320"/>
  <c r="G32" i="320"/>
  <c r="J31" i="320"/>
  <c r="E30" i="320"/>
  <c r="D30" i="320"/>
  <c r="E29" i="320"/>
  <c r="E95" i="320" s="1"/>
  <c r="D228" i="320" s="1"/>
  <c r="D237" i="320" s="1"/>
  <c r="D29" i="320"/>
  <c r="D95" i="320" s="1"/>
  <c r="E28" i="320"/>
  <c r="E94" i="320" s="1"/>
  <c r="D227" i="320" s="1"/>
  <c r="D236" i="320" s="1"/>
  <c r="D28" i="320"/>
  <c r="D94" i="320" s="1"/>
  <c r="H27" i="320"/>
  <c r="H28" i="320" s="1"/>
  <c r="H29" i="320" s="1"/>
  <c r="H30" i="320" s="1"/>
  <c r="E27" i="320"/>
  <c r="E93" i="320" s="1"/>
  <c r="D226" i="320" s="1"/>
  <c r="D235" i="320" s="1"/>
  <c r="D27" i="320"/>
  <c r="E26" i="320"/>
  <c r="D26" i="320"/>
  <c r="D92" i="320" s="1"/>
  <c r="C225" i="320" s="1"/>
  <c r="J22" i="320"/>
  <c r="F21" i="320"/>
  <c r="F20" i="320"/>
  <c r="F19" i="320"/>
  <c r="F18" i="320"/>
  <c r="F17" i="320"/>
  <c r="H16" i="320"/>
  <c r="H17" i="320" s="1"/>
  <c r="F16" i="320"/>
  <c r="H15" i="320"/>
  <c r="F15" i="320"/>
  <c r="I15" i="320" s="1"/>
  <c r="M11" i="320"/>
  <c r="M10" i="320"/>
  <c r="M9" i="320"/>
  <c r="I9" i="320"/>
  <c r="H9" i="320"/>
  <c r="H10" i="320" s="1"/>
  <c r="H11" i="320" s="1"/>
  <c r="I11" i="320" s="1"/>
  <c r="M8" i="320"/>
  <c r="E8" i="320"/>
  <c r="C8" i="320"/>
  <c r="M7" i="320"/>
  <c r="M6" i="320"/>
  <c r="F190" i="320"/>
  <c r="F217" i="320"/>
  <c r="M5" i="320"/>
  <c r="E5" i="320"/>
  <c r="D5" i="320"/>
  <c r="D366" i="320" s="1"/>
  <c r="M4" i="320"/>
  <c r="H4" i="320"/>
  <c r="V372" i="320"/>
  <c r="B4" i="320"/>
  <c r="R370" i="320" s="1"/>
  <c r="D359" i="319"/>
  <c r="H359" i="319" s="1"/>
  <c r="E108" i="319"/>
  <c r="D108" i="319"/>
  <c r="D386" i="319"/>
  <c r="I386" i="319" s="1"/>
  <c r="U382" i="319"/>
  <c r="T382" i="319"/>
  <c r="S382" i="319"/>
  <c r="T381" i="319"/>
  <c r="U381" i="319" s="1"/>
  <c r="U380" i="319"/>
  <c r="T376" i="319"/>
  <c r="S376" i="319"/>
  <c r="C368" i="319"/>
  <c r="G366" i="319"/>
  <c r="H358" i="319"/>
  <c r="D352" i="319"/>
  <c r="H352" i="319" s="1"/>
  <c r="D351" i="319"/>
  <c r="H351" i="319" s="1"/>
  <c r="D345" i="319"/>
  <c r="D346" i="319" s="1"/>
  <c r="C341" i="319"/>
  <c r="H341" i="319" s="1"/>
  <c r="C340" i="319"/>
  <c r="G329" i="319"/>
  <c r="G328" i="319"/>
  <c r="G325" i="319"/>
  <c r="G323" i="319"/>
  <c r="E321" i="319"/>
  <c r="E319" i="319"/>
  <c r="F318" i="319"/>
  <c r="G318" i="319" s="1"/>
  <c r="C316" i="319"/>
  <c r="C318" i="319" s="1"/>
  <c r="G313" i="319"/>
  <c r="H312" i="319"/>
  <c r="D310" i="319"/>
  <c r="C309" i="319"/>
  <c r="E308" i="319"/>
  <c r="H307" i="319"/>
  <c r="G305" i="319"/>
  <c r="E305" i="319"/>
  <c r="E304" i="319"/>
  <c r="D371" i="319" s="1"/>
  <c r="G303" i="319"/>
  <c r="H303" i="319" s="1"/>
  <c r="G302" i="319"/>
  <c r="H302" i="319" s="1"/>
  <c r="H301" i="319"/>
  <c r="H299" i="319"/>
  <c r="H297" i="319"/>
  <c r="F296" i="319"/>
  <c r="F298" i="319" s="1"/>
  <c r="F300" i="319" s="1"/>
  <c r="F302" i="319" s="1"/>
  <c r="F303" i="319" s="1"/>
  <c r="H295" i="319"/>
  <c r="F290" i="319"/>
  <c r="E289" i="319"/>
  <c r="H288" i="319"/>
  <c r="G288" i="319"/>
  <c r="G289" i="319" s="1"/>
  <c r="E288" i="319"/>
  <c r="B288" i="319"/>
  <c r="B289" i="319" s="1"/>
  <c r="G287" i="319"/>
  <c r="H287" i="319" s="1"/>
  <c r="E287" i="319"/>
  <c r="G286" i="319"/>
  <c r="E286" i="319"/>
  <c r="I290" i="319" s="1"/>
  <c r="B286" i="319"/>
  <c r="B287" i="319" s="1"/>
  <c r="F284" i="319"/>
  <c r="F283" i="319"/>
  <c r="F285" i="319" s="1"/>
  <c r="B281" i="319"/>
  <c r="B282" i="319" s="1"/>
  <c r="B283" i="319" s="1"/>
  <c r="B284" i="319" s="1"/>
  <c r="F279" i="319"/>
  <c r="F278" i="319"/>
  <c r="F277" i="319"/>
  <c r="F276" i="319"/>
  <c r="I275" i="319"/>
  <c r="I276" i="319" s="1"/>
  <c r="I277" i="319" s="1"/>
  <c r="I278" i="319" s="1"/>
  <c r="I279" i="319" s="1"/>
  <c r="F275" i="319"/>
  <c r="F274" i="319"/>
  <c r="F280" i="319" s="1"/>
  <c r="F264" i="319"/>
  <c r="F263" i="319"/>
  <c r="F262" i="319"/>
  <c r="F261" i="319"/>
  <c r="F265" i="319" s="1"/>
  <c r="F260" i="319"/>
  <c r="F259" i="319"/>
  <c r="F257" i="319"/>
  <c r="F256" i="319"/>
  <c r="F255" i="319"/>
  <c r="F254" i="319"/>
  <c r="F253" i="319"/>
  <c r="I252" i="319"/>
  <c r="I253" i="319" s="1"/>
  <c r="I254" i="319" s="1"/>
  <c r="I255" i="319" s="1"/>
  <c r="I256" i="319" s="1"/>
  <c r="I257" i="319" s="1"/>
  <c r="F252" i="319"/>
  <c r="F251" i="319"/>
  <c r="F249" i="319"/>
  <c r="F248" i="319"/>
  <c r="F247" i="319"/>
  <c r="F246" i="319"/>
  <c r="F245" i="319"/>
  <c r="F244" i="319"/>
  <c r="F243" i="319"/>
  <c r="F229" i="319"/>
  <c r="F238" i="319" s="1"/>
  <c r="F228" i="319"/>
  <c r="F237" i="319" s="1"/>
  <c r="F227" i="319"/>
  <c r="F236" i="319" s="1"/>
  <c r="F226" i="319"/>
  <c r="F235" i="319" s="1"/>
  <c r="F225" i="319"/>
  <c r="F234" i="319" s="1"/>
  <c r="B225" i="319"/>
  <c r="B226" i="319" s="1"/>
  <c r="B227" i="319" s="1"/>
  <c r="B228" i="319" s="1"/>
  <c r="B229" i="319" s="1"/>
  <c r="B230" i="319" s="1"/>
  <c r="B231" i="319" s="1"/>
  <c r="B232" i="319" s="1"/>
  <c r="B234" i="319" s="1"/>
  <c r="B235" i="319" s="1"/>
  <c r="B236" i="319" s="1"/>
  <c r="B237" i="319" s="1"/>
  <c r="B238" i="319" s="1"/>
  <c r="B239" i="319" s="1"/>
  <c r="B240" i="319" s="1"/>
  <c r="C223" i="319"/>
  <c r="I222" i="319"/>
  <c r="C222" i="319"/>
  <c r="I221" i="319"/>
  <c r="C219" i="319"/>
  <c r="C220" i="319" s="1"/>
  <c r="C221" i="319" s="1"/>
  <c r="E214" i="319"/>
  <c r="E213" i="319"/>
  <c r="E211" i="319"/>
  <c r="E212" i="319" s="1"/>
  <c r="E209" i="319"/>
  <c r="E210" i="319" s="1"/>
  <c r="I208" i="319"/>
  <c r="I207" i="319"/>
  <c r="E207" i="319"/>
  <c r="E208" i="319" s="1"/>
  <c r="E206" i="319"/>
  <c r="I205" i="319"/>
  <c r="I206" i="319" s="1"/>
  <c r="E205" i="319"/>
  <c r="I203" i="319"/>
  <c r="I204" i="319" s="1"/>
  <c r="E203" i="319"/>
  <c r="G201" i="319"/>
  <c r="G200" i="319"/>
  <c r="C199" i="319"/>
  <c r="H198" i="319"/>
  <c r="H196" i="319"/>
  <c r="I196" i="319" s="1"/>
  <c r="E199" i="319" s="1"/>
  <c r="I195" i="319"/>
  <c r="G193" i="319"/>
  <c r="G192" i="319"/>
  <c r="H190" i="319"/>
  <c r="H189" i="319"/>
  <c r="I189" i="319" s="1"/>
  <c r="I188" i="319"/>
  <c r="G186" i="319"/>
  <c r="G185" i="319"/>
  <c r="H183" i="319"/>
  <c r="I183" i="319" s="1"/>
  <c r="H182" i="319"/>
  <c r="I182" i="319" s="1"/>
  <c r="G179" i="319"/>
  <c r="G178" i="319"/>
  <c r="C177" i="319"/>
  <c r="E178" i="319" s="1"/>
  <c r="I178" i="319" s="1"/>
  <c r="H176" i="319"/>
  <c r="I176" i="319" s="1"/>
  <c r="H175" i="319"/>
  <c r="I175" i="319" s="1"/>
  <c r="I174" i="319"/>
  <c r="G172" i="319"/>
  <c r="G171" i="319"/>
  <c r="C170" i="319"/>
  <c r="E171" i="319" s="1"/>
  <c r="I171" i="319" s="1"/>
  <c r="I169" i="319"/>
  <c r="H169" i="319"/>
  <c r="I168" i="319"/>
  <c r="H168" i="319"/>
  <c r="I167" i="319"/>
  <c r="G165" i="319"/>
  <c r="G164" i="319"/>
  <c r="F162" i="319"/>
  <c r="E162" i="319"/>
  <c r="D279" i="319" s="1"/>
  <c r="D162" i="319"/>
  <c r="C279" i="319" s="1"/>
  <c r="E161" i="319"/>
  <c r="D278" i="319" s="1"/>
  <c r="D161" i="319"/>
  <c r="C278" i="319" s="1"/>
  <c r="E160" i="319"/>
  <c r="D277" i="319" s="1"/>
  <c r="D160" i="319"/>
  <c r="C277" i="319" s="1"/>
  <c r="F159" i="319"/>
  <c r="E159" i="319"/>
  <c r="D276" i="319" s="1"/>
  <c r="D159" i="319"/>
  <c r="C276" i="319" s="1"/>
  <c r="E158" i="319"/>
  <c r="D275" i="319" s="1"/>
  <c r="D158" i="319"/>
  <c r="H157" i="319"/>
  <c r="H158" i="319" s="1"/>
  <c r="H159" i="319" s="1"/>
  <c r="H160" i="319" s="1"/>
  <c r="E157" i="319"/>
  <c r="D274" i="319" s="1"/>
  <c r="D157" i="319"/>
  <c r="G155" i="319"/>
  <c r="G154" i="319"/>
  <c r="G152" i="319"/>
  <c r="F272" i="319" s="1"/>
  <c r="G151" i="319"/>
  <c r="F271" i="319" s="1"/>
  <c r="G150" i="319"/>
  <c r="F270" i="319" s="1"/>
  <c r="G148" i="319"/>
  <c r="G147" i="319"/>
  <c r="H145" i="319"/>
  <c r="H150" i="319" s="1"/>
  <c r="H151" i="319" s="1"/>
  <c r="H152" i="319" s="1"/>
  <c r="G145" i="319"/>
  <c r="F268" i="319" s="1"/>
  <c r="H144" i="319"/>
  <c r="G144" i="319"/>
  <c r="F267" i="319" s="1"/>
  <c r="G143" i="319"/>
  <c r="F266" i="319" s="1"/>
  <c r="G141" i="319"/>
  <c r="G140" i="319"/>
  <c r="I138" i="319"/>
  <c r="H138" i="319"/>
  <c r="G135" i="319"/>
  <c r="G134" i="319"/>
  <c r="J133" i="319"/>
  <c r="F132" i="319"/>
  <c r="D132" i="319"/>
  <c r="H131" i="319"/>
  <c r="H132" i="319" s="1"/>
  <c r="I132" i="319" s="1"/>
  <c r="F131" i="319"/>
  <c r="D131" i="319"/>
  <c r="F130" i="319"/>
  <c r="I130" i="319" s="1"/>
  <c r="D130" i="319"/>
  <c r="G128" i="319"/>
  <c r="G127" i="319"/>
  <c r="J126" i="319"/>
  <c r="E125" i="319"/>
  <c r="F125" i="319" s="1"/>
  <c r="D125" i="319"/>
  <c r="D152" i="319" s="1"/>
  <c r="C272" i="319" s="1"/>
  <c r="H124" i="319"/>
  <c r="H125" i="319" s="1"/>
  <c r="E124" i="319"/>
  <c r="E151" i="319" s="1"/>
  <c r="D271" i="319" s="1"/>
  <c r="D124" i="319"/>
  <c r="D151" i="319" s="1"/>
  <c r="E123" i="319"/>
  <c r="E150" i="319" s="1"/>
  <c r="D270" i="319" s="1"/>
  <c r="D123" i="319"/>
  <c r="D150" i="319" s="1"/>
  <c r="G121" i="319"/>
  <c r="G120" i="319"/>
  <c r="J119" i="319"/>
  <c r="E118" i="319"/>
  <c r="E145" i="319" s="1"/>
  <c r="D268" i="319" s="1"/>
  <c r="D118" i="319"/>
  <c r="D145" i="319" s="1"/>
  <c r="H117" i="319"/>
  <c r="H118" i="319" s="1"/>
  <c r="E117" i="319"/>
  <c r="E144" i="319" s="1"/>
  <c r="D267" i="319" s="1"/>
  <c r="D117" i="319"/>
  <c r="D144" i="319" s="1"/>
  <c r="C267" i="319" s="1"/>
  <c r="G114" i="319"/>
  <c r="G113" i="319"/>
  <c r="J112" i="319"/>
  <c r="F111" i="319"/>
  <c r="F110" i="319"/>
  <c r="H109" i="319"/>
  <c r="I109" i="319" s="1"/>
  <c r="F109" i="319"/>
  <c r="G106" i="319"/>
  <c r="G105" i="319"/>
  <c r="G103" i="319"/>
  <c r="F232" i="319" s="1"/>
  <c r="F241" i="319" s="1"/>
  <c r="G102" i="319"/>
  <c r="F231" i="319" s="1"/>
  <c r="F240" i="319" s="1"/>
  <c r="G101" i="319"/>
  <c r="F230" i="319" s="1"/>
  <c r="F239" i="319" s="1"/>
  <c r="E101" i="319"/>
  <c r="D230" i="319" s="1"/>
  <c r="D239" i="319" s="1"/>
  <c r="C101" i="319"/>
  <c r="G99" i="319"/>
  <c r="G98" i="319"/>
  <c r="G96" i="319"/>
  <c r="G95" i="319"/>
  <c r="G94" i="319"/>
  <c r="H93" i="319"/>
  <c r="H94" i="319" s="1"/>
  <c r="H95" i="319" s="1"/>
  <c r="H96" i="319" s="1"/>
  <c r="H101" i="319" s="1"/>
  <c r="H102" i="319" s="1"/>
  <c r="H103" i="319" s="1"/>
  <c r="G93" i="319"/>
  <c r="G92" i="319"/>
  <c r="E92" i="319"/>
  <c r="D225" i="319" s="1"/>
  <c r="D234" i="319" s="1"/>
  <c r="G90" i="319"/>
  <c r="G89" i="319"/>
  <c r="E87" i="319"/>
  <c r="D264" i="319" s="1"/>
  <c r="D87" i="319"/>
  <c r="C264" i="319" s="1"/>
  <c r="F86" i="319"/>
  <c r="E86" i="319"/>
  <c r="D263" i="319" s="1"/>
  <c r="D86" i="319"/>
  <c r="C263" i="319" s="1"/>
  <c r="F85" i="319"/>
  <c r="E85" i="319"/>
  <c r="D85" i="319"/>
  <c r="E84" i="319"/>
  <c r="D84" i="319"/>
  <c r="E83" i="319"/>
  <c r="D260" i="319" s="1"/>
  <c r="D83" i="319"/>
  <c r="C260" i="319" s="1"/>
  <c r="E82" i="319"/>
  <c r="D82" i="319"/>
  <c r="C259" i="319" s="1"/>
  <c r="E81" i="319"/>
  <c r="D257" i="319" s="1"/>
  <c r="D81" i="319"/>
  <c r="C257" i="319" s="1"/>
  <c r="E257" i="319" s="1"/>
  <c r="E80" i="319"/>
  <c r="D256" i="319" s="1"/>
  <c r="D80" i="319"/>
  <c r="C256" i="319" s="1"/>
  <c r="E79" i="319"/>
  <c r="D255" i="319" s="1"/>
  <c r="D79" i="319"/>
  <c r="C255" i="319" s="1"/>
  <c r="E78" i="319"/>
  <c r="D78" i="319"/>
  <c r="C254" i="319" s="1"/>
  <c r="E77" i="319"/>
  <c r="D253" i="319" s="1"/>
  <c r="D282" i="319" s="1"/>
  <c r="D77" i="319"/>
  <c r="C253" i="319" s="1"/>
  <c r="E76" i="319"/>
  <c r="D252" i="319" s="1"/>
  <c r="D281" i="319" s="1"/>
  <c r="D76" i="319"/>
  <c r="C252" i="319" s="1"/>
  <c r="E75" i="319"/>
  <c r="D251" i="319" s="1"/>
  <c r="D75" i="319"/>
  <c r="C251" i="319" s="1"/>
  <c r="E74" i="319"/>
  <c r="D249" i="319" s="1"/>
  <c r="D74" i="319"/>
  <c r="C249" i="319" s="1"/>
  <c r="E73" i="319"/>
  <c r="D248" i="319" s="1"/>
  <c r="D73" i="319"/>
  <c r="C248" i="319" s="1"/>
  <c r="E72" i="319"/>
  <c r="D247" i="319" s="1"/>
  <c r="D72" i="319"/>
  <c r="C247" i="319" s="1"/>
  <c r="E71" i="319"/>
  <c r="D246" i="319" s="1"/>
  <c r="D71" i="319"/>
  <c r="C246" i="319" s="1"/>
  <c r="E246" i="319" s="1"/>
  <c r="E70" i="319"/>
  <c r="D245" i="319" s="1"/>
  <c r="D70" i="319"/>
  <c r="C245" i="319" s="1"/>
  <c r="E245" i="319" s="1"/>
  <c r="H69" i="319"/>
  <c r="H70" i="319" s="1"/>
  <c r="E69" i="319"/>
  <c r="D244" i="319" s="1"/>
  <c r="D69" i="319"/>
  <c r="C244" i="319" s="1"/>
  <c r="D68" i="319"/>
  <c r="C243" i="319" s="1"/>
  <c r="G66" i="319"/>
  <c r="G65" i="319"/>
  <c r="J64" i="319"/>
  <c r="C64" i="319"/>
  <c r="E66" i="319" s="1"/>
  <c r="I63" i="319"/>
  <c r="I62" i="319"/>
  <c r="I61" i="319"/>
  <c r="I60" i="319"/>
  <c r="E64" i="319" s="1"/>
  <c r="G58" i="319"/>
  <c r="G57" i="319"/>
  <c r="J56" i="319"/>
  <c r="F55" i="319"/>
  <c r="D55" i="319"/>
  <c r="H54" i="319"/>
  <c r="F54" i="319"/>
  <c r="D54" i="319"/>
  <c r="H53" i="319"/>
  <c r="F53" i="319"/>
  <c r="D53" i="319"/>
  <c r="I53" i="319" s="1"/>
  <c r="F52" i="319"/>
  <c r="I52" i="319" s="1"/>
  <c r="D52" i="319"/>
  <c r="G50" i="319"/>
  <c r="G49" i="319"/>
  <c r="J48" i="319"/>
  <c r="E47" i="319"/>
  <c r="D47" i="319"/>
  <c r="E46" i="319"/>
  <c r="D46" i="319"/>
  <c r="E45" i="319"/>
  <c r="D45" i="319"/>
  <c r="E44" i="319"/>
  <c r="D44" i="319"/>
  <c r="F44" i="319" s="1"/>
  <c r="H43" i="319"/>
  <c r="H44" i="319" s="1"/>
  <c r="H45" i="319" s="1"/>
  <c r="H46" i="319" s="1"/>
  <c r="H47" i="319" s="1"/>
  <c r="E43" i="319"/>
  <c r="D43" i="319"/>
  <c r="F43" i="319" s="1"/>
  <c r="I43" i="319" s="1"/>
  <c r="E42" i="319"/>
  <c r="F42" i="319" s="1"/>
  <c r="D42" i="319"/>
  <c r="G40" i="319"/>
  <c r="G39" i="319"/>
  <c r="J38" i="319"/>
  <c r="E37" i="319"/>
  <c r="F37" i="319" s="1"/>
  <c r="D37" i="319"/>
  <c r="D103" i="319" s="1"/>
  <c r="H36" i="319"/>
  <c r="H37" i="319" s="1"/>
  <c r="E36" i="319"/>
  <c r="E102" i="319" s="1"/>
  <c r="D231" i="319" s="1"/>
  <c r="D240" i="319" s="1"/>
  <c r="D36" i="319"/>
  <c r="D102" i="319" s="1"/>
  <c r="F35" i="319"/>
  <c r="I35" i="319" s="1"/>
  <c r="E35" i="319"/>
  <c r="D35" i="319"/>
  <c r="G33" i="319"/>
  <c r="G32" i="319"/>
  <c r="J31" i="319"/>
  <c r="E30" i="319"/>
  <c r="E96" i="319" s="1"/>
  <c r="D229" i="319" s="1"/>
  <c r="D238" i="319" s="1"/>
  <c r="D30" i="319"/>
  <c r="E29" i="319"/>
  <c r="E95" i="319" s="1"/>
  <c r="D228" i="319" s="1"/>
  <c r="D237" i="319" s="1"/>
  <c r="D29" i="319"/>
  <c r="D95" i="319" s="1"/>
  <c r="C228" i="319" s="1"/>
  <c r="C237" i="319" s="1"/>
  <c r="E28" i="319"/>
  <c r="F28" i="319" s="1"/>
  <c r="I28" i="319" s="1"/>
  <c r="D28" i="319"/>
  <c r="D94" i="319" s="1"/>
  <c r="C227" i="319" s="1"/>
  <c r="H27" i="319"/>
  <c r="H28" i="319" s="1"/>
  <c r="H29" i="319" s="1"/>
  <c r="H30" i="319" s="1"/>
  <c r="E27" i="319"/>
  <c r="F27" i="319" s="1"/>
  <c r="D27" i="319"/>
  <c r="D93" i="319" s="1"/>
  <c r="F26" i="319"/>
  <c r="I26" i="319" s="1"/>
  <c r="E26" i="319"/>
  <c r="D26" i="319"/>
  <c r="J22" i="319"/>
  <c r="F21" i="319"/>
  <c r="F20" i="319"/>
  <c r="F19" i="319"/>
  <c r="F18" i="319"/>
  <c r="F17" i="319"/>
  <c r="F16" i="319"/>
  <c r="H15" i="319"/>
  <c r="H16" i="319" s="1"/>
  <c r="H17" i="319" s="1"/>
  <c r="F15" i="319"/>
  <c r="F181" i="319"/>
  <c r="I181" i="319" s="1"/>
  <c r="M11" i="319"/>
  <c r="M10" i="319"/>
  <c r="M9" i="319"/>
  <c r="H9" i="319"/>
  <c r="I9" i="319" s="1"/>
  <c r="M8" i="319"/>
  <c r="E8" i="319"/>
  <c r="C8" i="319"/>
  <c r="M7" i="319"/>
  <c r="M6" i="319"/>
  <c r="F190" i="319"/>
  <c r="C191" i="319" s="1"/>
  <c r="F217" i="319"/>
  <c r="M5" i="319"/>
  <c r="E5" i="319"/>
  <c r="E366" i="319" s="1"/>
  <c r="D5" i="319"/>
  <c r="D366" i="319" s="1"/>
  <c r="M4" i="319"/>
  <c r="F4" i="319"/>
  <c r="V372" i="319" s="1"/>
  <c r="B4" i="319"/>
  <c r="R370" i="319" s="1"/>
  <c r="D359" i="318"/>
  <c r="H359" i="318" s="1"/>
  <c r="F181" i="318"/>
  <c r="I181" i="318" s="1"/>
  <c r="D108" i="318"/>
  <c r="J116" i="318" s="1"/>
  <c r="J68" i="318"/>
  <c r="E14" i="318"/>
  <c r="F14" i="318" s="1"/>
  <c r="F6" i="318"/>
  <c r="F4" i="318"/>
  <c r="V372" i="318" s="1"/>
  <c r="D386" i="318"/>
  <c r="I386" i="318" s="1"/>
  <c r="T382" i="318"/>
  <c r="S382" i="318"/>
  <c r="T381" i="318"/>
  <c r="U381" i="318" s="1"/>
  <c r="U380" i="318"/>
  <c r="T376" i="318"/>
  <c r="S376" i="318"/>
  <c r="C368" i="318"/>
  <c r="G366" i="318"/>
  <c r="H358" i="318"/>
  <c r="D352" i="318"/>
  <c r="H352" i="318" s="1"/>
  <c r="D351" i="318"/>
  <c r="H351" i="318" s="1"/>
  <c r="D345" i="318"/>
  <c r="H345" i="318" s="1"/>
  <c r="C341" i="318"/>
  <c r="H341" i="318" s="1"/>
  <c r="C340" i="318"/>
  <c r="G329" i="318"/>
  <c r="G328" i="318"/>
  <c r="G325" i="318"/>
  <c r="G323" i="318"/>
  <c r="E321" i="318"/>
  <c r="E319" i="318"/>
  <c r="F318" i="318"/>
  <c r="G318" i="318" s="1"/>
  <c r="C316" i="318"/>
  <c r="C318" i="318" s="1"/>
  <c r="G313" i="318"/>
  <c r="H312" i="318"/>
  <c r="D310" i="318"/>
  <c r="C309" i="318"/>
  <c r="C310" i="318" s="1"/>
  <c r="H310" i="318" s="1"/>
  <c r="H307" i="318"/>
  <c r="E308" i="318"/>
  <c r="G305" i="318"/>
  <c r="E305" i="318"/>
  <c r="E304" i="318"/>
  <c r="D371" i="318" s="1"/>
  <c r="G303" i="318"/>
  <c r="H303" i="318" s="1"/>
  <c r="G302" i="318"/>
  <c r="H302" i="318" s="1"/>
  <c r="H301" i="318"/>
  <c r="H299" i="318"/>
  <c r="F298" i="318"/>
  <c r="F300" i="318" s="1"/>
  <c r="F302" i="318" s="1"/>
  <c r="F303" i="318" s="1"/>
  <c r="H297" i="318"/>
  <c r="F296" i="318"/>
  <c r="H295" i="318"/>
  <c r="F290" i="318"/>
  <c r="E289" i="318"/>
  <c r="G288" i="318"/>
  <c r="G289" i="318" s="1"/>
  <c r="E288" i="318"/>
  <c r="B288" i="318"/>
  <c r="B289" i="318" s="1"/>
  <c r="E287" i="318"/>
  <c r="G286" i="318"/>
  <c r="G287" i="318" s="1"/>
  <c r="E286" i="318"/>
  <c r="B286" i="318"/>
  <c r="B287" i="318" s="1"/>
  <c r="F284" i="318"/>
  <c r="F285" i="318" s="1"/>
  <c r="F283" i="318"/>
  <c r="B281" i="318"/>
  <c r="B282" i="318" s="1"/>
  <c r="B283" i="318" s="1"/>
  <c r="B284" i="318" s="1"/>
  <c r="F279" i="318"/>
  <c r="F278" i="318"/>
  <c r="F277" i="318"/>
  <c r="F276" i="318"/>
  <c r="I275" i="318"/>
  <c r="I276" i="318" s="1"/>
  <c r="I277" i="318" s="1"/>
  <c r="I278" i="318" s="1"/>
  <c r="I279" i="318" s="1"/>
  <c r="F275" i="318"/>
  <c r="C275" i="318"/>
  <c r="F274" i="318"/>
  <c r="F264" i="318"/>
  <c r="F263" i="318"/>
  <c r="F262" i="318"/>
  <c r="F261" i="318"/>
  <c r="F260" i="318"/>
  <c r="F259" i="318"/>
  <c r="F257" i="318"/>
  <c r="F256" i="318"/>
  <c r="F255" i="318"/>
  <c r="F254" i="318"/>
  <c r="I253" i="318"/>
  <c r="I254" i="318" s="1"/>
  <c r="I255" i="318" s="1"/>
  <c r="I256" i="318" s="1"/>
  <c r="I257" i="318" s="1"/>
  <c r="F253" i="318"/>
  <c r="I252" i="318"/>
  <c r="F252" i="318"/>
  <c r="F258" i="318" s="1"/>
  <c r="F251" i="318"/>
  <c r="F249" i="318"/>
  <c r="F248" i="318"/>
  <c r="F247" i="318"/>
  <c r="F246" i="318"/>
  <c r="E246" i="318"/>
  <c r="F245" i="318"/>
  <c r="F244" i="318"/>
  <c r="F243" i="318"/>
  <c r="F250" i="318" s="1"/>
  <c r="F238" i="318"/>
  <c r="F229" i="318"/>
  <c r="F228" i="318"/>
  <c r="F237" i="318" s="1"/>
  <c r="F227" i="318"/>
  <c r="F236" i="318" s="1"/>
  <c r="F226" i="318"/>
  <c r="F235" i="318" s="1"/>
  <c r="F225" i="318"/>
  <c r="B225" i="318"/>
  <c r="B226" i="318" s="1"/>
  <c r="B227" i="318" s="1"/>
  <c r="B228" i="318" s="1"/>
  <c r="B229" i="318" s="1"/>
  <c r="B230" i="318" s="1"/>
  <c r="B231" i="318" s="1"/>
  <c r="B232" i="318" s="1"/>
  <c r="B234" i="318" s="1"/>
  <c r="B235" i="318" s="1"/>
  <c r="B236" i="318" s="1"/>
  <c r="B237" i="318" s="1"/>
  <c r="B238" i="318" s="1"/>
  <c r="B239" i="318" s="1"/>
  <c r="B240" i="318" s="1"/>
  <c r="C223" i="318"/>
  <c r="I222" i="318"/>
  <c r="C222" i="318"/>
  <c r="I221" i="318"/>
  <c r="C219" i="318"/>
  <c r="C220" i="318" s="1"/>
  <c r="C221" i="318" s="1"/>
  <c r="E213" i="318"/>
  <c r="E214" i="318" s="1"/>
  <c r="E211" i="318"/>
  <c r="E212" i="318" s="1"/>
  <c r="E209" i="318"/>
  <c r="E210" i="318" s="1"/>
  <c r="I207" i="318"/>
  <c r="I208" i="318" s="1"/>
  <c r="E207" i="318"/>
  <c r="E208" i="318" s="1"/>
  <c r="I205" i="318"/>
  <c r="I206" i="318" s="1"/>
  <c r="E205" i="318"/>
  <c r="E206" i="318" s="1"/>
  <c r="I203" i="318"/>
  <c r="I204" i="318" s="1"/>
  <c r="E203" i="318"/>
  <c r="G201" i="318"/>
  <c r="I200" i="318"/>
  <c r="G200" i="318"/>
  <c r="C199" i="318"/>
  <c r="E200" i="318" s="1"/>
  <c r="H198" i="318"/>
  <c r="H196" i="318"/>
  <c r="I196" i="318" s="1"/>
  <c r="I195" i="318"/>
  <c r="G193" i="318"/>
  <c r="G192" i="318"/>
  <c r="H190" i="318"/>
  <c r="H189" i="318"/>
  <c r="I189" i="318" s="1"/>
  <c r="I188" i="318"/>
  <c r="G186" i="318"/>
  <c r="G185" i="318"/>
  <c r="H182" i="318"/>
  <c r="I182" i="318" s="1"/>
  <c r="I179" i="318"/>
  <c r="G179" i="318"/>
  <c r="G178" i="318"/>
  <c r="C177" i="318"/>
  <c r="E179" i="318" s="1"/>
  <c r="H175" i="318"/>
  <c r="I174" i="318"/>
  <c r="G172" i="318"/>
  <c r="G171" i="318"/>
  <c r="C170" i="318"/>
  <c r="E171" i="318" s="1"/>
  <c r="H168" i="318"/>
  <c r="H169" i="318" s="1"/>
  <c r="I169" i="318" s="1"/>
  <c r="I167" i="318"/>
  <c r="G165" i="318"/>
  <c r="G164" i="318"/>
  <c r="E162" i="318"/>
  <c r="D279" i="318" s="1"/>
  <c r="D162" i="318"/>
  <c r="C279" i="318" s="1"/>
  <c r="E161" i="318"/>
  <c r="D278" i="318" s="1"/>
  <c r="D161" i="318"/>
  <c r="F161" i="318" s="1"/>
  <c r="E160" i="318"/>
  <c r="D277" i="318" s="1"/>
  <c r="D160" i="318"/>
  <c r="C277" i="318" s="1"/>
  <c r="E277" i="318" s="1"/>
  <c r="E159" i="318"/>
  <c r="D276" i="318" s="1"/>
  <c r="D159" i="318"/>
  <c r="C276" i="318" s="1"/>
  <c r="E276" i="318" s="1"/>
  <c r="E158" i="318"/>
  <c r="D275" i="318" s="1"/>
  <c r="D158" i="318"/>
  <c r="H157" i="318"/>
  <c r="H158" i="318" s="1"/>
  <c r="H159" i="318" s="1"/>
  <c r="H160" i="318" s="1"/>
  <c r="F157" i="318"/>
  <c r="I157" i="318" s="1"/>
  <c r="E157" i="318"/>
  <c r="D274" i="318" s="1"/>
  <c r="D157" i="318"/>
  <c r="G155" i="318"/>
  <c r="G154" i="318"/>
  <c r="G152" i="318"/>
  <c r="F272" i="318" s="1"/>
  <c r="G151" i="318"/>
  <c r="F271" i="318" s="1"/>
  <c r="G150" i="318"/>
  <c r="F270" i="318" s="1"/>
  <c r="G148" i="318"/>
  <c r="G147" i="318"/>
  <c r="G145" i="318"/>
  <c r="F268" i="318" s="1"/>
  <c r="H144" i="318"/>
  <c r="H145" i="318" s="1"/>
  <c r="H150" i="318" s="1"/>
  <c r="H151" i="318" s="1"/>
  <c r="H152" i="318" s="1"/>
  <c r="G144" i="318"/>
  <c r="F267" i="318" s="1"/>
  <c r="D144" i="318"/>
  <c r="C267" i="318" s="1"/>
  <c r="G143" i="318"/>
  <c r="F266" i="318" s="1"/>
  <c r="G141" i="318"/>
  <c r="G140" i="318"/>
  <c r="H138" i="318"/>
  <c r="I138" i="318" s="1"/>
  <c r="G135" i="318"/>
  <c r="G134" i="318"/>
  <c r="J133" i="318"/>
  <c r="F132" i="318"/>
  <c r="D132" i="318"/>
  <c r="H131" i="318"/>
  <c r="F131" i="318"/>
  <c r="D131" i="318"/>
  <c r="F130" i="318"/>
  <c r="D130" i="318"/>
  <c r="G128" i="318"/>
  <c r="G127" i="318"/>
  <c r="J126" i="318"/>
  <c r="E125" i="318"/>
  <c r="E152" i="318" s="1"/>
  <c r="D272" i="318" s="1"/>
  <c r="D125" i="318"/>
  <c r="D152" i="318" s="1"/>
  <c r="H124" i="318"/>
  <c r="H125" i="318" s="1"/>
  <c r="E124" i="318"/>
  <c r="E151" i="318" s="1"/>
  <c r="D271" i="318" s="1"/>
  <c r="D124" i="318"/>
  <c r="F124" i="318" s="1"/>
  <c r="E123" i="318"/>
  <c r="E150" i="318" s="1"/>
  <c r="D270" i="318" s="1"/>
  <c r="D123" i="318"/>
  <c r="G121" i="318"/>
  <c r="G120" i="318"/>
  <c r="J119" i="318"/>
  <c r="E118" i="318"/>
  <c r="E145" i="318" s="1"/>
  <c r="D268" i="318" s="1"/>
  <c r="D118" i="318"/>
  <c r="F118" i="318" s="1"/>
  <c r="H117" i="318"/>
  <c r="H118" i="318" s="1"/>
  <c r="E117" i="318"/>
  <c r="E144" i="318" s="1"/>
  <c r="D267" i="318" s="1"/>
  <c r="D117" i="318"/>
  <c r="G114" i="318"/>
  <c r="G113" i="318"/>
  <c r="J112" i="318"/>
  <c r="F111" i="318"/>
  <c r="F110" i="318"/>
  <c r="H109" i="318"/>
  <c r="H110" i="318" s="1"/>
  <c r="I110" i="318" s="1"/>
  <c r="F109" i="318"/>
  <c r="G106" i="318"/>
  <c r="G105" i="318"/>
  <c r="G103" i="318"/>
  <c r="F232" i="318" s="1"/>
  <c r="F241" i="318" s="1"/>
  <c r="G102" i="318"/>
  <c r="F231" i="318" s="1"/>
  <c r="F240" i="318" s="1"/>
  <c r="G101" i="318"/>
  <c r="F230" i="318" s="1"/>
  <c r="F239" i="318" s="1"/>
  <c r="C101" i="318"/>
  <c r="G99" i="318"/>
  <c r="G98" i="318"/>
  <c r="G96" i="318"/>
  <c r="G95" i="318"/>
  <c r="H94" i="318"/>
  <c r="H95" i="318" s="1"/>
  <c r="H96" i="318" s="1"/>
  <c r="H101" i="318" s="1"/>
  <c r="H102" i="318" s="1"/>
  <c r="H103" i="318" s="1"/>
  <c r="G94" i="318"/>
  <c r="H93" i="318"/>
  <c r="G93" i="318"/>
  <c r="G92" i="318"/>
  <c r="G90" i="318"/>
  <c r="G89" i="318"/>
  <c r="E87" i="318"/>
  <c r="D264" i="318" s="1"/>
  <c r="D87" i="318"/>
  <c r="E86" i="318"/>
  <c r="D263" i="318" s="1"/>
  <c r="D86" i="318"/>
  <c r="C263" i="318" s="1"/>
  <c r="E263" i="318" s="1"/>
  <c r="E85" i="318"/>
  <c r="D85" i="318"/>
  <c r="E84" i="318"/>
  <c r="D84" i="318"/>
  <c r="E83" i="318"/>
  <c r="D260" i="318" s="1"/>
  <c r="D83" i="318"/>
  <c r="E82" i="318"/>
  <c r="D259" i="318" s="1"/>
  <c r="D82" i="318"/>
  <c r="C259" i="318" s="1"/>
  <c r="E259" i="318" s="1"/>
  <c r="E81" i="318"/>
  <c r="D257" i="318" s="1"/>
  <c r="D81" i="318"/>
  <c r="C257" i="318" s="1"/>
  <c r="E80" i="318"/>
  <c r="D256" i="318" s="1"/>
  <c r="D80" i="318"/>
  <c r="C256" i="318" s="1"/>
  <c r="E256" i="318" s="1"/>
  <c r="E79" i="318"/>
  <c r="D79" i="318"/>
  <c r="C255" i="318" s="1"/>
  <c r="E78" i="318"/>
  <c r="D254" i="318" s="1"/>
  <c r="D78" i="318"/>
  <c r="C254" i="318" s="1"/>
  <c r="E254" i="318" s="1"/>
  <c r="E77" i="318"/>
  <c r="D253" i="318" s="1"/>
  <c r="D282" i="318" s="1"/>
  <c r="D77" i="318"/>
  <c r="C253" i="318" s="1"/>
  <c r="C282" i="318" s="1"/>
  <c r="E76" i="318"/>
  <c r="D76" i="318"/>
  <c r="C252" i="318" s="1"/>
  <c r="C281" i="318" s="1"/>
  <c r="E75" i="318"/>
  <c r="D251" i="318" s="1"/>
  <c r="D75" i="318"/>
  <c r="E74" i="318"/>
  <c r="D249" i="318" s="1"/>
  <c r="D74" i="318"/>
  <c r="C249" i="318" s="1"/>
  <c r="E73" i="318"/>
  <c r="D248" i="318" s="1"/>
  <c r="D73" i="318"/>
  <c r="C248" i="318" s="1"/>
  <c r="E72" i="318"/>
  <c r="D247" i="318" s="1"/>
  <c r="D72" i="318"/>
  <c r="C247" i="318" s="1"/>
  <c r="E71" i="318"/>
  <c r="D246" i="318" s="1"/>
  <c r="D71" i="318"/>
  <c r="C246" i="318" s="1"/>
  <c r="E70" i="318"/>
  <c r="D245" i="318" s="1"/>
  <c r="D70" i="318"/>
  <c r="C245" i="318" s="1"/>
  <c r="H69" i="318"/>
  <c r="H70" i="318" s="1"/>
  <c r="H73" i="318" s="1"/>
  <c r="H74" i="318" s="1"/>
  <c r="H75" i="318" s="1"/>
  <c r="E69" i="318"/>
  <c r="D244" i="318" s="1"/>
  <c r="D69" i="318"/>
  <c r="D68" i="318"/>
  <c r="C243" i="318" s="1"/>
  <c r="G66" i="318"/>
  <c r="G65" i="318"/>
  <c r="J64" i="318"/>
  <c r="C64" i="318"/>
  <c r="E66" i="318" s="1"/>
  <c r="I66" i="318" s="1"/>
  <c r="I63" i="318"/>
  <c r="I62" i="318"/>
  <c r="I61" i="318"/>
  <c r="I60" i="318"/>
  <c r="G58" i="318"/>
  <c r="G57" i="318"/>
  <c r="J56" i="318"/>
  <c r="F55" i="318"/>
  <c r="D55" i="318"/>
  <c r="F54" i="318"/>
  <c r="D54" i="318"/>
  <c r="H53" i="318"/>
  <c r="H54" i="318" s="1"/>
  <c r="F53" i="318"/>
  <c r="D53" i="318"/>
  <c r="F52" i="318"/>
  <c r="D52" i="318"/>
  <c r="G50" i="318"/>
  <c r="G49" i="318"/>
  <c r="J48" i="318"/>
  <c r="E47" i="318"/>
  <c r="D47" i="318"/>
  <c r="E46" i="318"/>
  <c r="D46" i="318"/>
  <c r="F46" i="318" s="1"/>
  <c r="I46" i="318" s="1"/>
  <c r="E45" i="318"/>
  <c r="D45" i="318"/>
  <c r="F45" i="318" s="1"/>
  <c r="E44" i="318"/>
  <c r="D44" i="318"/>
  <c r="F44" i="318" s="1"/>
  <c r="H43" i="318"/>
  <c r="H44" i="318" s="1"/>
  <c r="H45" i="318" s="1"/>
  <c r="H46" i="318" s="1"/>
  <c r="H47" i="318" s="1"/>
  <c r="E43" i="318"/>
  <c r="D43" i="318"/>
  <c r="E42" i="318"/>
  <c r="D42" i="318"/>
  <c r="G40" i="318"/>
  <c r="G39" i="318"/>
  <c r="J38" i="318"/>
  <c r="H37" i="318"/>
  <c r="E37" i="318"/>
  <c r="F37" i="318" s="1"/>
  <c r="D37" i="318"/>
  <c r="D103" i="318" s="1"/>
  <c r="C232" i="318" s="1"/>
  <c r="H36" i="318"/>
  <c r="E36" i="318"/>
  <c r="E102" i="318" s="1"/>
  <c r="D231" i="318" s="1"/>
  <c r="D240" i="318" s="1"/>
  <c r="D36" i="318"/>
  <c r="E35" i="318"/>
  <c r="D35" i="318"/>
  <c r="G33" i="318"/>
  <c r="G32" i="318"/>
  <c r="J31" i="318"/>
  <c r="E30" i="318"/>
  <c r="E96" i="318" s="1"/>
  <c r="D229" i="318" s="1"/>
  <c r="D238" i="318" s="1"/>
  <c r="D30" i="318"/>
  <c r="E29" i="318"/>
  <c r="D29" i="318"/>
  <c r="D95" i="318" s="1"/>
  <c r="C228" i="318" s="1"/>
  <c r="E28" i="318"/>
  <c r="E94" i="318" s="1"/>
  <c r="D227" i="318" s="1"/>
  <c r="D236" i="318" s="1"/>
  <c r="D28" i="318"/>
  <c r="D94" i="318" s="1"/>
  <c r="H27" i="318"/>
  <c r="H28" i="318" s="1"/>
  <c r="H29" i="318" s="1"/>
  <c r="H30" i="318" s="1"/>
  <c r="E27" i="318"/>
  <c r="E93" i="318" s="1"/>
  <c r="D226" i="318" s="1"/>
  <c r="D235" i="318" s="1"/>
  <c r="D27" i="318"/>
  <c r="F27" i="318" s="1"/>
  <c r="I27" i="318" s="1"/>
  <c r="E26" i="318"/>
  <c r="D26" i="318"/>
  <c r="J22" i="318"/>
  <c r="F21" i="318"/>
  <c r="F20" i="318"/>
  <c r="F19" i="318"/>
  <c r="F18" i="318"/>
  <c r="F17" i="318"/>
  <c r="F16" i="318"/>
  <c r="I16" i="318" s="1"/>
  <c r="H15" i="318"/>
  <c r="H16" i="318" s="1"/>
  <c r="H17" i="318" s="1"/>
  <c r="H18" i="318" s="1"/>
  <c r="H19" i="318" s="1"/>
  <c r="F15" i="318"/>
  <c r="I15" i="318" s="1"/>
  <c r="M11" i="318"/>
  <c r="M10" i="318"/>
  <c r="M9" i="318"/>
  <c r="H9" i="318"/>
  <c r="H10" i="318" s="1"/>
  <c r="I10" i="318" s="1"/>
  <c r="M8" i="318"/>
  <c r="E8" i="318"/>
  <c r="C8" i="318"/>
  <c r="I8" i="318" s="1"/>
  <c r="M7" i="318"/>
  <c r="M6" i="318"/>
  <c r="F190" i="318"/>
  <c r="F217" i="318"/>
  <c r="D349" i="318" s="1"/>
  <c r="H349" i="318" s="1"/>
  <c r="M5" i="318"/>
  <c r="E5" i="318"/>
  <c r="E366" i="318" s="1"/>
  <c r="D5" i="318"/>
  <c r="D366" i="318" s="1"/>
  <c r="M4" i="318"/>
  <c r="H4" i="318"/>
  <c r="B4" i="318"/>
  <c r="R370" i="318" s="1"/>
  <c r="J52" i="317"/>
  <c r="J69" i="317" s="1"/>
  <c r="E14" i="317"/>
  <c r="E68" i="317" s="1"/>
  <c r="D243" i="317" s="1"/>
  <c r="D14" i="317"/>
  <c r="F4" i="317"/>
  <c r="D386" i="317"/>
  <c r="I386" i="317" s="1"/>
  <c r="T382" i="317"/>
  <c r="U382" i="317" s="1"/>
  <c r="S382" i="317"/>
  <c r="T381" i="317"/>
  <c r="U381" i="317" s="1"/>
  <c r="S380" i="317"/>
  <c r="T376" i="317"/>
  <c r="V372" i="317"/>
  <c r="C368" i="317"/>
  <c r="G366" i="317"/>
  <c r="D359" i="317"/>
  <c r="H359" i="317" s="1"/>
  <c r="H352" i="317"/>
  <c r="D352" i="317"/>
  <c r="D351" i="317"/>
  <c r="H351" i="317" s="1"/>
  <c r="D345" i="317"/>
  <c r="H345" i="317" s="1"/>
  <c r="C341" i="317"/>
  <c r="H341" i="317" s="1"/>
  <c r="C340" i="317"/>
  <c r="G329" i="317"/>
  <c r="G328" i="317"/>
  <c r="G325" i="317"/>
  <c r="G323" i="317"/>
  <c r="E321" i="317"/>
  <c r="E319" i="317"/>
  <c r="F318" i="317"/>
  <c r="G318" i="317" s="1"/>
  <c r="C316" i="317"/>
  <c r="G313" i="317"/>
  <c r="H312" i="317"/>
  <c r="D310" i="317"/>
  <c r="C309" i="317"/>
  <c r="H309" i="317" s="1"/>
  <c r="H307" i="317"/>
  <c r="G305" i="317"/>
  <c r="E305" i="317"/>
  <c r="E304" i="317"/>
  <c r="D371" i="317" s="1"/>
  <c r="G303" i="317"/>
  <c r="H303" i="317" s="1"/>
  <c r="G302" i="317"/>
  <c r="H302" i="317" s="1"/>
  <c r="H301" i="317"/>
  <c r="F300" i="317"/>
  <c r="F302" i="317" s="1"/>
  <c r="F303" i="317" s="1"/>
  <c r="H299" i="317"/>
  <c r="H297" i="317"/>
  <c r="F296" i="317"/>
  <c r="F298" i="317" s="1"/>
  <c r="H295" i="317"/>
  <c r="F290" i="317"/>
  <c r="E289" i="317"/>
  <c r="G288" i="317"/>
  <c r="G289" i="317" s="1"/>
  <c r="E288" i="317"/>
  <c r="B288" i="317"/>
  <c r="B289" i="317" s="1"/>
  <c r="E287" i="317"/>
  <c r="G286" i="317"/>
  <c r="G287" i="317" s="1"/>
  <c r="E286" i="317"/>
  <c r="B286" i="317"/>
  <c r="B287" i="317" s="1"/>
  <c r="F284" i="317"/>
  <c r="F283" i="317"/>
  <c r="D283" i="317"/>
  <c r="B281" i="317"/>
  <c r="B282" i="317" s="1"/>
  <c r="B283" i="317" s="1"/>
  <c r="B284" i="317" s="1"/>
  <c r="F279" i="317"/>
  <c r="F278" i="317"/>
  <c r="F277" i="317"/>
  <c r="D277" i="317"/>
  <c r="F276" i="317"/>
  <c r="I275" i="317"/>
  <c r="I276" i="317" s="1"/>
  <c r="I277" i="317" s="1"/>
  <c r="I278" i="317" s="1"/>
  <c r="I279" i="317" s="1"/>
  <c r="F275" i="317"/>
  <c r="F274" i="317"/>
  <c r="F264" i="317"/>
  <c r="F263" i="317"/>
  <c r="F262" i="317"/>
  <c r="F261" i="317"/>
  <c r="F260" i="317"/>
  <c r="F259" i="317"/>
  <c r="F257" i="317"/>
  <c r="F256" i="317"/>
  <c r="F255" i="317"/>
  <c r="F254" i="317"/>
  <c r="F253" i="317"/>
  <c r="I252" i="317"/>
  <c r="I253" i="317" s="1"/>
  <c r="I254" i="317" s="1"/>
  <c r="I255" i="317" s="1"/>
  <c r="I256" i="317" s="1"/>
  <c r="I257" i="317" s="1"/>
  <c r="F252" i="317"/>
  <c r="F251" i="317"/>
  <c r="F249" i="317"/>
  <c r="F248" i="317"/>
  <c r="F247" i="317"/>
  <c r="F246" i="317"/>
  <c r="F245" i="317"/>
  <c r="F244" i="317"/>
  <c r="F243" i="317"/>
  <c r="F237" i="317"/>
  <c r="F229" i="317"/>
  <c r="F238" i="317" s="1"/>
  <c r="F228" i="317"/>
  <c r="F227" i="317"/>
  <c r="F236" i="317" s="1"/>
  <c r="F226" i="317"/>
  <c r="F235" i="317" s="1"/>
  <c r="F225" i="317"/>
  <c r="F234" i="317" s="1"/>
  <c r="B225" i="317"/>
  <c r="B226" i="317" s="1"/>
  <c r="B227" i="317" s="1"/>
  <c r="B228" i="317" s="1"/>
  <c r="B229" i="317" s="1"/>
  <c r="B230" i="317" s="1"/>
  <c r="B231" i="317" s="1"/>
  <c r="B232" i="317" s="1"/>
  <c r="B234" i="317" s="1"/>
  <c r="B235" i="317" s="1"/>
  <c r="B236" i="317" s="1"/>
  <c r="B237" i="317" s="1"/>
  <c r="B238" i="317" s="1"/>
  <c r="B239" i="317" s="1"/>
  <c r="B240" i="317" s="1"/>
  <c r="C223" i="317"/>
  <c r="I222" i="317"/>
  <c r="C222" i="317"/>
  <c r="I221" i="317"/>
  <c r="C220" i="317"/>
  <c r="C221" i="317" s="1"/>
  <c r="C219" i="317"/>
  <c r="E213" i="317"/>
  <c r="E214" i="317" s="1"/>
  <c r="E211" i="317"/>
  <c r="I207" i="317"/>
  <c r="I208" i="317" s="1"/>
  <c r="E207" i="317"/>
  <c r="E208" i="317" s="1"/>
  <c r="E206" i="317"/>
  <c r="I205" i="317"/>
  <c r="I206" i="317" s="1"/>
  <c r="E205" i="317"/>
  <c r="I203" i="317"/>
  <c r="I204" i="317" s="1"/>
  <c r="E203" i="317"/>
  <c r="E204" i="317" s="1"/>
  <c r="G201" i="317"/>
  <c r="G200" i="317"/>
  <c r="E200" i="317"/>
  <c r="I200" i="317" s="1"/>
  <c r="C199" i="317"/>
  <c r="E201" i="317" s="1"/>
  <c r="I201" i="317" s="1"/>
  <c r="H198" i="317"/>
  <c r="H196" i="317"/>
  <c r="I196" i="317" s="1"/>
  <c r="I195" i="317"/>
  <c r="G193" i="317"/>
  <c r="G192" i="317"/>
  <c r="H189" i="317"/>
  <c r="I189" i="317" s="1"/>
  <c r="I188" i="317"/>
  <c r="G186" i="317"/>
  <c r="G185" i="317"/>
  <c r="H183" i="317"/>
  <c r="I183" i="317" s="1"/>
  <c r="I182" i="317"/>
  <c r="H182" i="317"/>
  <c r="G179" i="317"/>
  <c r="G178" i="317"/>
  <c r="C177" i="317"/>
  <c r="H175" i="317"/>
  <c r="H176" i="317" s="1"/>
  <c r="I176" i="317" s="1"/>
  <c r="I174" i="317"/>
  <c r="G172" i="317"/>
  <c r="E172" i="317"/>
  <c r="I172" i="317" s="1"/>
  <c r="G171" i="317"/>
  <c r="C170" i="317"/>
  <c r="E171" i="317" s="1"/>
  <c r="H168" i="317"/>
  <c r="H169" i="317" s="1"/>
  <c r="I169" i="317" s="1"/>
  <c r="I167" i="317"/>
  <c r="G165" i="317"/>
  <c r="G164" i="317"/>
  <c r="E162" i="317"/>
  <c r="D162" i="317"/>
  <c r="C279" i="317" s="1"/>
  <c r="E161" i="317"/>
  <c r="D278" i="317" s="1"/>
  <c r="D161" i="317"/>
  <c r="F161" i="317" s="1"/>
  <c r="E160" i="317"/>
  <c r="D160" i="317"/>
  <c r="C277" i="317" s="1"/>
  <c r="E159" i="317"/>
  <c r="D276" i="317" s="1"/>
  <c r="D159" i="317"/>
  <c r="E158" i="317"/>
  <c r="D275" i="317" s="1"/>
  <c r="D158" i="317"/>
  <c r="C275" i="317" s="1"/>
  <c r="H157" i="317"/>
  <c r="H158" i="317" s="1"/>
  <c r="H159" i="317" s="1"/>
  <c r="H160" i="317" s="1"/>
  <c r="E157" i="317"/>
  <c r="D274" i="317" s="1"/>
  <c r="D157" i="317"/>
  <c r="F157" i="317" s="1"/>
  <c r="G155" i="317"/>
  <c r="G154" i="317"/>
  <c r="G152" i="317"/>
  <c r="F272" i="317" s="1"/>
  <c r="G151" i="317"/>
  <c r="F271" i="317" s="1"/>
  <c r="G150" i="317"/>
  <c r="F270" i="317" s="1"/>
  <c r="G148" i="317"/>
  <c r="G147" i="317"/>
  <c r="H145" i="317"/>
  <c r="H150" i="317" s="1"/>
  <c r="H151" i="317" s="1"/>
  <c r="H152" i="317" s="1"/>
  <c r="G145" i="317"/>
  <c r="F268" i="317" s="1"/>
  <c r="H144" i="317"/>
  <c r="G144" i="317"/>
  <c r="F267" i="317" s="1"/>
  <c r="E144" i="317"/>
  <c r="D267" i="317" s="1"/>
  <c r="G143" i="317"/>
  <c r="F266" i="317" s="1"/>
  <c r="G141" i="317"/>
  <c r="G140" i="317"/>
  <c r="I138" i="317"/>
  <c r="H138" i="317"/>
  <c r="G135" i="317"/>
  <c r="G134" i="317"/>
  <c r="J133" i="317"/>
  <c r="F132" i="317"/>
  <c r="D132" i="317"/>
  <c r="I132" i="317" s="1"/>
  <c r="H131" i="317"/>
  <c r="H132" i="317" s="1"/>
  <c r="F131" i="317"/>
  <c r="D131" i="317"/>
  <c r="I131" i="317" s="1"/>
  <c r="F130" i="317"/>
  <c r="D130" i="317"/>
  <c r="I130" i="317" s="1"/>
  <c r="G128" i="317"/>
  <c r="G127" i="317"/>
  <c r="J126" i="317"/>
  <c r="F125" i="317"/>
  <c r="I125" i="317" s="1"/>
  <c r="E125" i="317"/>
  <c r="E152" i="317" s="1"/>
  <c r="D272" i="317" s="1"/>
  <c r="D125" i="317"/>
  <c r="D152" i="317" s="1"/>
  <c r="C272" i="317" s="1"/>
  <c r="H124" i="317"/>
  <c r="H125" i="317" s="1"/>
  <c r="E124" i="317"/>
  <c r="E151" i="317" s="1"/>
  <c r="D271" i="317" s="1"/>
  <c r="D124" i="317"/>
  <c r="D151" i="317" s="1"/>
  <c r="E123" i="317"/>
  <c r="E150" i="317" s="1"/>
  <c r="D270" i="317" s="1"/>
  <c r="D123" i="317"/>
  <c r="D150" i="317" s="1"/>
  <c r="G121" i="317"/>
  <c r="G120" i="317"/>
  <c r="J119" i="317"/>
  <c r="H118" i="317"/>
  <c r="E118" i="317"/>
  <c r="E145" i="317" s="1"/>
  <c r="D268" i="317" s="1"/>
  <c r="D118" i="317"/>
  <c r="D145" i="317" s="1"/>
  <c r="H117" i="317"/>
  <c r="E117" i="317"/>
  <c r="D117" i="317"/>
  <c r="E116" i="317"/>
  <c r="D116" i="317"/>
  <c r="G114" i="317"/>
  <c r="G113" i="317"/>
  <c r="J112" i="317"/>
  <c r="F111" i="317"/>
  <c r="F110" i="317"/>
  <c r="H109" i="317"/>
  <c r="H110" i="317" s="1"/>
  <c r="F109" i="317"/>
  <c r="F108" i="317"/>
  <c r="I108" i="317" s="1"/>
  <c r="G106" i="317"/>
  <c r="G105" i="317"/>
  <c r="G103" i="317"/>
  <c r="F232" i="317" s="1"/>
  <c r="F241" i="317" s="1"/>
  <c r="G102" i="317"/>
  <c r="F231" i="317" s="1"/>
  <c r="F240" i="317" s="1"/>
  <c r="G101" i="317"/>
  <c r="F230" i="317" s="1"/>
  <c r="F239" i="317" s="1"/>
  <c r="C101" i="317"/>
  <c r="G99" i="317"/>
  <c r="G98" i="317"/>
  <c r="G96" i="317"/>
  <c r="G95" i="317"/>
  <c r="G94" i="317"/>
  <c r="H93" i="317"/>
  <c r="H94" i="317" s="1"/>
  <c r="H95" i="317" s="1"/>
  <c r="H96" i="317" s="1"/>
  <c r="H101" i="317" s="1"/>
  <c r="H102" i="317" s="1"/>
  <c r="H103" i="317" s="1"/>
  <c r="G93" i="317"/>
  <c r="G92" i="317"/>
  <c r="G90" i="317"/>
  <c r="G89" i="317"/>
  <c r="E87" i="317"/>
  <c r="D264" i="317" s="1"/>
  <c r="D87" i="317"/>
  <c r="C264" i="317" s="1"/>
  <c r="E86" i="317"/>
  <c r="D263" i="317" s="1"/>
  <c r="D86" i="317"/>
  <c r="C263" i="317" s="1"/>
  <c r="E85" i="317"/>
  <c r="D85" i="317"/>
  <c r="C284" i="317" s="1"/>
  <c r="E84" i="317"/>
  <c r="D261" i="317" s="1"/>
  <c r="D84" i="317"/>
  <c r="E83" i="317"/>
  <c r="D260" i="317" s="1"/>
  <c r="D83" i="317"/>
  <c r="C260" i="317" s="1"/>
  <c r="E82" i="317"/>
  <c r="D259" i="317" s="1"/>
  <c r="D82" i="317"/>
  <c r="E81" i="317"/>
  <c r="D257" i="317" s="1"/>
  <c r="D81" i="317"/>
  <c r="C257" i="317" s="1"/>
  <c r="E257" i="317" s="1"/>
  <c r="E80" i="317"/>
  <c r="D256" i="317" s="1"/>
  <c r="D80" i="317"/>
  <c r="E79" i="317"/>
  <c r="D255" i="317" s="1"/>
  <c r="D79" i="317"/>
  <c r="F78" i="317"/>
  <c r="E78" i="317"/>
  <c r="D254" i="317" s="1"/>
  <c r="D78" i="317"/>
  <c r="C254" i="317" s="1"/>
  <c r="E77" i="317"/>
  <c r="D253" i="317" s="1"/>
  <c r="D282" i="317" s="1"/>
  <c r="D77" i="317"/>
  <c r="E76" i="317"/>
  <c r="D252" i="317" s="1"/>
  <c r="D281" i="317" s="1"/>
  <c r="D76" i="317"/>
  <c r="E75" i="317"/>
  <c r="D251" i="317" s="1"/>
  <c r="D75" i="317"/>
  <c r="C251" i="317" s="1"/>
  <c r="E74" i="317"/>
  <c r="D249" i="317" s="1"/>
  <c r="D74" i="317"/>
  <c r="C249" i="317" s="1"/>
  <c r="E249" i="317" s="1"/>
  <c r="E73" i="317"/>
  <c r="D248" i="317" s="1"/>
  <c r="D73" i="317"/>
  <c r="E72" i="317"/>
  <c r="D247" i="317" s="1"/>
  <c r="D72" i="317"/>
  <c r="E71" i="317"/>
  <c r="D71" i="317"/>
  <c r="C246" i="317" s="1"/>
  <c r="E70" i="317"/>
  <c r="D245" i="317" s="1"/>
  <c r="D70" i="317"/>
  <c r="H69" i="317"/>
  <c r="H70" i="317" s="1"/>
  <c r="G66" i="317"/>
  <c r="G65" i="317"/>
  <c r="J64" i="317"/>
  <c r="I63" i="317"/>
  <c r="I61" i="317"/>
  <c r="G58" i="317"/>
  <c r="G57" i="317"/>
  <c r="J56" i="317"/>
  <c r="F55" i="317"/>
  <c r="D55" i="317"/>
  <c r="F54" i="317"/>
  <c r="D54" i="317"/>
  <c r="H53" i="317"/>
  <c r="H54" i="317" s="1"/>
  <c r="H55" i="317" s="1"/>
  <c r="F53" i="317"/>
  <c r="D53" i="317"/>
  <c r="F52" i="317"/>
  <c r="G50" i="317"/>
  <c r="G49" i="317"/>
  <c r="J48" i="317"/>
  <c r="E47" i="317"/>
  <c r="D47" i="317"/>
  <c r="F47" i="317" s="1"/>
  <c r="E46" i="317"/>
  <c r="D46" i="317"/>
  <c r="E45" i="317"/>
  <c r="D45" i="317"/>
  <c r="E44" i="317"/>
  <c r="D44" i="317"/>
  <c r="F44" i="317" s="1"/>
  <c r="H43" i="317"/>
  <c r="H44" i="317" s="1"/>
  <c r="H45" i="317" s="1"/>
  <c r="H46" i="317" s="1"/>
  <c r="H47" i="317" s="1"/>
  <c r="E43" i="317"/>
  <c r="D43" i="317"/>
  <c r="F43" i="317" s="1"/>
  <c r="I43" i="317" s="1"/>
  <c r="K42" i="317"/>
  <c r="E42" i="317" s="1"/>
  <c r="G42" i="317"/>
  <c r="E209" i="317" s="1"/>
  <c r="E210" i="317" s="1"/>
  <c r="G40" i="317"/>
  <c r="G39" i="317"/>
  <c r="J38" i="317"/>
  <c r="E37" i="317"/>
  <c r="E103" i="317" s="1"/>
  <c r="D232" i="317" s="1"/>
  <c r="D241" i="317" s="1"/>
  <c r="D37" i="317"/>
  <c r="D103" i="317" s="1"/>
  <c r="C232" i="317" s="1"/>
  <c r="H36" i="317"/>
  <c r="H37" i="317" s="1"/>
  <c r="E36" i="317"/>
  <c r="E102" i="317" s="1"/>
  <c r="D231" i="317" s="1"/>
  <c r="D240" i="317" s="1"/>
  <c r="D36" i="317"/>
  <c r="D102" i="317" s="1"/>
  <c r="E35" i="317"/>
  <c r="G33" i="317"/>
  <c r="G32" i="317"/>
  <c r="J31" i="317"/>
  <c r="E30" i="317"/>
  <c r="E96" i="317" s="1"/>
  <c r="D229" i="317" s="1"/>
  <c r="D238" i="317" s="1"/>
  <c r="D30" i="317"/>
  <c r="E29" i="317"/>
  <c r="E95" i="317" s="1"/>
  <c r="D228" i="317" s="1"/>
  <c r="D237" i="317" s="1"/>
  <c r="D29" i="317"/>
  <c r="E28" i="317"/>
  <c r="E94" i="317" s="1"/>
  <c r="D227" i="317" s="1"/>
  <c r="D236" i="317" s="1"/>
  <c r="D28" i="317"/>
  <c r="D94" i="317" s="1"/>
  <c r="H27" i="317"/>
  <c r="H28" i="317" s="1"/>
  <c r="H29" i="317" s="1"/>
  <c r="H30" i="317" s="1"/>
  <c r="E27" i="317"/>
  <c r="E93" i="317" s="1"/>
  <c r="D226" i="317" s="1"/>
  <c r="D235" i="317" s="1"/>
  <c r="D27" i="317"/>
  <c r="E26" i="317"/>
  <c r="D26" i="317"/>
  <c r="J22" i="317"/>
  <c r="F21" i="317"/>
  <c r="F20" i="317"/>
  <c r="F19" i="317"/>
  <c r="F18" i="317"/>
  <c r="F17" i="317"/>
  <c r="F16" i="317"/>
  <c r="H15" i="317"/>
  <c r="H16" i="317" s="1"/>
  <c r="H17" i="317" s="1"/>
  <c r="H18" i="317" s="1"/>
  <c r="H19" i="317" s="1"/>
  <c r="H20" i="317" s="1"/>
  <c r="H21" i="317" s="1"/>
  <c r="I21" i="317" s="1"/>
  <c r="M11" i="317"/>
  <c r="M10" i="317"/>
  <c r="M9" i="317"/>
  <c r="H9" i="317"/>
  <c r="H10" i="317" s="1"/>
  <c r="M8" i="317"/>
  <c r="E8" i="317"/>
  <c r="C8" i="317"/>
  <c r="M7" i="317"/>
  <c r="M6" i="317"/>
  <c r="F217" i="317"/>
  <c r="M5" i="317"/>
  <c r="F5" i="317"/>
  <c r="H5" i="317" s="1"/>
  <c r="E5" i="317"/>
  <c r="E366" i="317" s="1"/>
  <c r="F366" i="317" s="1"/>
  <c r="D5" i="317"/>
  <c r="D366" i="317" s="1"/>
  <c r="M4" i="317"/>
  <c r="H4" i="317"/>
  <c r="B4" i="317"/>
  <c r="R370" i="317" s="1"/>
  <c r="E3" i="316"/>
  <c r="G3" i="316"/>
  <c r="D62" i="316" s="1"/>
  <c r="G50" i="316"/>
  <c r="P76" i="316"/>
  <c r="P75" i="316"/>
  <c r="P74" i="316"/>
  <c r="N73" i="316"/>
  <c r="P73" i="316" s="1"/>
  <c r="P71" i="316"/>
  <c r="P70" i="316"/>
  <c r="O70" i="316"/>
  <c r="I62" i="316"/>
  <c r="E55" i="316"/>
  <c r="F55" i="316" s="1"/>
  <c r="B55" i="316"/>
  <c r="D54" i="316"/>
  <c r="B54" i="316"/>
  <c r="G53" i="316"/>
  <c r="C51" i="316"/>
  <c r="G51" i="316" s="1"/>
  <c r="B48" i="316"/>
  <c r="H47" i="316"/>
  <c r="H46" i="316"/>
  <c r="H45" i="316"/>
  <c r="H44" i="316"/>
  <c r="H43" i="316"/>
  <c r="C42" i="316"/>
  <c r="F41" i="316"/>
  <c r="H41" i="316" s="1"/>
  <c r="D37" i="316"/>
  <c r="K37" i="316" s="1"/>
  <c r="H36" i="316"/>
  <c r="G36" i="316"/>
  <c r="H35" i="316"/>
  <c r="G35" i="316"/>
  <c r="H34" i="316"/>
  <c r="G31" i="316"/>
  <c r="H31" i="316" s="1"/>
  <c r="H30" i="316"/>
  <c r="G30" i="316"/>
  <c r="H26" i="316"/>
  <c r="G26" i="316"/>
  <c r="G25" i="316"/>
  <c r="H25" i="316" s="1"/>
  <c r="G21" i="316"/>
  <c r="F21" i="316"/>
  <c r="G20" i="316"/>
  <c r="F20" i="316"/>
  <c r="J17" i="316"/>
  <c r="F17" i="316"/>
  <c r="F42" i="316" s="1"/>
  <c r="H42" i="316" s="1"/>
  <c r="G16" i="316"/>
  <c r="E16" i="316"/>
  <c r="C16" i="316"/>
  <c r="E15" i="316"/>
  <c r="G14" i="316"/>
  <c r="G15" i="316" s="1"/>
  <c r="B14" i="316"/>
  <c r="F12" i="316"/>
  <c r="G11" i="316"/>
  <c r="E11" i="316"/>
  <c r="H11" i="316" s="1"/>
  <c r="G10" i="316"/>
  <c r="E10" i="316"/>
  <c r="E20" i="316" s="1"/>
  <c r="H20" i="316" s="1"/>
  <c r="L6" i="316"/>
  <c r="D6" i="316"/>
  <c r="B6" i="316"/>
  <c r="L5" i="316"/>
  <c r="L4" i="316"/>
  <c r="F6" i="316" s="1"/>
  <c r="D4" i="316"/>
  <c r="D24" i="316" s="1"/>
  <c r="C4" i="316"/>
  <c r="C9" i="316" s="1"/>
  <c r="C14" i="316" s="1"/>
  <c r="L3" i="316"/>
  <c r="B56" i="316"/>
  <c r="G56" i="316" s="1"/>
  <c r="B3" i="316"/>
  <c r="M64" i="316" s="1"/>
  <c r="P76" i="315"/>
  <c r="P75" i="315"/>
  <c r="P74" i="315"/>
  <c r="N73" i="315"/>
  <c r="P73" i="315" s="1"/>
  <c r="P71" i="315"/>
  <c r="O70" i="315"/>
  <c r="P70" i="315" s="1"/>
  <c r="I62" i="315"/>
  <c r="E55" i="315"/>
  <c r="F55" i="315" s="1"/>
  <c r="B55" i="315"/>
  <c r="D54" i="315"/>
  <c r="B54" i="315"/>
  <c r="G53" i="315"/>
  <c r="C51" i="315"/>
  <c r="G51" i="315" s="1"/>
  <c r="G50" i="315"/>
  <c r="B48" i="315"/>
  <c r="H47" i="315"/>
  <c r="H46" i="315"/>
  <c r="H45" i="315"/>
  <c r="H44" i="315"/>
  <c r="H43" i="315"/>
  <c r="C42" i="315"/>
  <c r="F41" i="315"/>
  <c r="H41" i="315" s="1"/>
  <c r="D37" i="315"/>
  <c r="K37" i="315" s="1"/>
  <c r="G36" i="315"/>
  <c r="H36" i="315" s="1"/>
  <c r="G35" i="315"/>
  <c r="H35" i="315" s="1"/>
  <c r="H34" i="315"/>
  <c r="G31" i="315"/>
  <c r="H31" i="315" s="1"/>
  <c r="G30" i="315"/>
  <c r="H30" i="315" s="1"/>
  <c r="H26" i="315"/>
  <c r="G26" i="315"/>
  <c r="H25" i="315"/>
  <c r="G25" i="315"/>
  <c r="G21" i="315"/>
  <c r="F21" i="315"/>
  <c r="G20" i="315"/>
  <c r="F20" i="315"/>
  <c r="J17" i="315"/>
  <c r="F17" i="315"/>
  <c r="F42" i="315" s="1"/>
  <c r="H42" i="315" s="1"/>
  <c r="C16" i="315"/>
  <c r="E16" i="315" s="1"/>
  <c r="E15" i="315"/>
  <c r="G14" i="315"/>
  <c r="E14" i="315"/>
  <c r="B14" i="315"/>
  <c r="F12" i="315"/>
  <c r="G11" i="315"/>
  <c r="H11" i="315" s="1"/>
  <c r="E11" i="315"/>
  <c r="E21" i="315" s="1"/>
  <c r="H21" i="315" s="1"/>
  <c r="G10" i="315"/>
  <c r="E10" i="315"/>
  <c r="E20" i="315" s="1"/>
  <c r="L6" i="315"/>
  <c r="D6" i="315"/>
  <c r="B6" i="315"/>
  <c r="L5" i="315"/>
  <c r="L4" i="315"/>
  <c r="F6" i="315" s="1"/>
  <c r="D4" i="315"/>
  <c r="D9" i="315" s="1"/>
  <c r="C4" i="315"/>
  <c r="C9" i="315" s="1"/>
  <c r="C19" i="315" s="1"/>
  <c r="L3" i="315"/>
  <c r="E3" i="315"/>
  <c r="G3" i="315" s="1"/>
  <c r="B3" i="315"/>
  <c r="M64" i="315" s="1"/>
  <c r="K69" i="314"/>
  <c r="D386" i="314"/>
  <c r="I386" i="314" s="1"/>
  <c r="T382" i="314"/>
  <c r="S382" i="314"/>
  <c r="T381" i="314"/>
  <c r="U381" i="314" s="1"/>
  <c r="S380" i="314"/>
  <c r="T376" i="314"/>
  <c r="V372" i="314"/>
  <c r="S386" i="314" s="1"/>
  <c r="U386" i="314" s="1"/>
  <c r="D371" i="314"/>
  <c r="C368" i="314"/>
  <c r="G366" i="314"/>
  <c r="H359" i="314"/>
  <c r="D352" i="314"/>
  <c r="H352" i="314" s="1"/>
  <c r="D351" i="314"/>
  <c r="H351" i="314" s="1"/>
  <c r="D346" i="314"/>
  <c r="D345" i="314"/>
  <c r="H345" i="314" s="1"/>
  <c r="C341" i="314"/>
  <c r="H341" i="314" s="1"/>
  <c r="C340" i="314"/>
  <c r="G329" i="314"/>
  <c r="G328" i="314"/>
  <c r="G325" i="314"/>
  <c r="G323" i="314"/>
  <c r="E321" i="314"/>
  <c r="E319" i="314"/>
  <c r="F318" i="314"/>
  <c r="G318" i="314" s="1"/>
  <c r="C316" i="314"/>
  <c r="C318" i="314" s="1"/>
  <c r="G313" i="314"/>
  <c r="H312" i="314"/>
  <c r="D310" i="314"/>
  <c r="C309" i="314"/>
  <c r="C310" i="314" s="1"/>
  <c r="H310" i="314" s="1"/>
  <c r="H307" i="314"/>
  <c r="G305" i="314"/>
  <c r="H305" i="314" s="1"/>
  <c r="E305" i="314"/>
  <c r="E304" i="314"/>
  <c r="G303" i="314"/>
  <c r="H303" i="314" s="1"/>
  <c r="G302" i="314"/>
  <c r="H302" i="314" s="1"/>
  <c r="H301" i="314"/>
  <c r="H299" i="314"/>
  <c r="F298" i="314"/>
  <c r="F300" i="314" s="1"/>
  <c r="F302" i="314" s="1"/>
  <c r="F303" i="314" s="1"/>
  <c r="H297" i="314"/>
  <c r="F296" i="314"/>
  <c r="H295" i="314"/>
  <c r="F290" i="314"/>
  <c r="E289" i="314"/>
  <c r="G288" i="314"/>
  <c r="G289" i="314" s="1"/>
  <c r="H289" i="314" s="1"/>
  <c r="E288" i="314"/>
  <c r="B288" i="314"/>
  <c r="B289" i="314" s="1"/>
  <c r="E287" i="314"/>
  <c r="G286" i="314"/>
  <c r="G287" i="314" s="1"/>
  <c r="H287" i="314" s="1"/>
  <c r="E286" i="314"/>
  <c r="B286" i="314"/>
  <c r="B287" i="314" s="1"/>
  <c r="F284" i="314"/>
  <c r="F283" i="314"/>
  <c r="F285" i="314" s="1"/>
  <c r="D283" i="314"/>
  <c r="B281" i="314"/>
  <c r="B282" i="314" s="1"/>
  <c r="B283" i="314" s="1"/>
  <c r="B284" i="314" s="1"/>
  <c r="F279" i="314"/>
  <c r="F278" i="314"/>
  <c r="F277" i="314"/>
  <c r="F276" i="314"/>
  <c r="C276" i="314"/>
  <c r="I275" i="314"/>
  <c r="I276" i="314" s="1"/>
  <c r="I277" i="314" s="1"/>
  <c r="I278" i="314" s="1"/>
  <c r="I279" i="314" s="1"/>
  <c r="F275" i="314"/>
  <c r="C275" i="314"/>
  <c r="F274" i="314"/>
  <c r="F280" i="314" s="1"/>
  <c r="F264" i="314"/>
  <c r="F263" i="314"/>
  <c r="F262" i="314"/>
  <c r="F261" i="314"/>
  <c r="F260" i="314"/>
  <c r="F259" i="314"/>
  <c r="F257" i="314"/>
  <c r="F256" i="314"/>
  <c r="F255" i="314"/>
  <c r="F254" i="314"/>
  <c r="F253" i="314"/>
  <c r="I252" i="314"/>
  <c r="I253" i="314" s="1"/>
  <c r="I254" i="314" s="1"/>
  <c r="I255" i="314" s="1"/>
  <c r="I256" i="314" s="1"/>
  <c r="I257" i="314" s="1"/>
  <c r="F252" i="314"/>
  <c r="F251" i="314"/>
  <c r="F249" i="314"/>
  <c r="F248" i="314"/>
  <c r="F247" i="314"/>
  <c r="F246" i="314"/>
  <c r="F245" i="314"/>
  <c r="F244" i="314"/>
  <c r="F243" i="314"/>
  <c r="F238" i="314"/>
  <c r="F229" i="314"/>
  <c r="F228" i="314"/>
  <c r="F237" i="314" s="1"/>
  <c r="F227" i="314"/>
  <c r="F236" i="314" s="1"/>
  <c r="F226" i="314"/>
  <c r="F235" i="314" s="1"/>
  <c r="F225" i="314"/>
  <c r="B225" i="314"/>
  <c r="B226" i="314" s="1"/>
  <c r="B227" i="314" s="1"/>
  <c r="B228" i="314" s="1"/>
  <c r="B229" i="314" s="1"/>
  <c r="B230" i="314" s="1"/>
  <c r="B231" i="314" s="1"/>
  <c r="B232" i="314" s="1"/>
  <c r="B234" i="314" s="1"/>
  <c r="B235" i="314" s="1"/>
  <c r="B236" i="314" s="1"/>
  <c r="B237" i="314" s="1"/>
  <c r="B238" i="314" s="1"/>
  <c r="B239" i="314" s="1"/>
  <c r="B240" i="314" s="1"/>
  <c r="C223" i="314"/>
  <c r="I222" i="314"/>
  <c r="C222" i="314"/>
  <c r="I221" i="314"/>
  <c r="C220" i="314"/>
  <c r="C221" i="314" s="1"/>
  <c r="C219" i="314"/>
  <c r="E213" i="314"/>
  <c r="E214" i="314" s="1"/>
  <c r="E212" i="314"/>
  <c r="E211" i="314"/>
  <c r="I207" i="314"/>
  <c r="I208" i="314" s="1"/>
  <c r="E207" i="314"/>
  <c r="E208" i="314" s="1"/>
  <c r="I206" i="314"/>
  <c r="I205" i="314"/>
  <c r="E205" i="314"/>
  <c r="E206" i="314" s="1"/>
  <c r="E204" i="314"/>
  <c r="I203" i="314"/>
  <c r="I204" i="314" s="1"/>
  <c r="E203" i="314"/>
  <c r="G201" i="314"/>
  <c r="G200" i="314"/>
  <c r="E200" i="314"/>
  <c r="C199" i="314"/>
  <c r="E201" i="314" s="1"/>
  <c r="H198" i="314"/>
  <c r="H196" i="314"/>
  <c r="I196" i="314" s="1"/>
  <c r="I195" i="314"/>
  <c r="G193" i="314"/>
  <c r="G192" i="314"/>
  <c r="H190" i="314"/>
  <c r="H189" i="314"/>
  <c r="I189" i="314" s="1"/>
  <c r="I188" i="314"/>
  <c r="G186" i="314"/>
  <c r="G185" i="314"/>
  <c r="H183" i="314"/>
  <c r="I183" i="314" s="1"/>
  <c r="H182" i="314"/>
  <c r="I182" i="314" s="1"/>
  <c r="D181" i="314"/>
  <c r="I181" i="314" s="1"/>
  <c r="E184" i="314" s="1"/>
  <c r="G179" i="314"/>
  <c r="G178" i="314"/>
  <c r="C177" i="314"/>
  <c r="H175" i="314"/>
  <c r="I175" i="314" s="1"/>
  <c r="I174" i="314"/>
  <c r="G172" i="314"/>
  <c r="G171" i="314"/>
  <c r="E170" i="314"/>
  <c r="C170" i="314"/>
  <c r="E171" i="314" s="1"/>
  <c r="H169" i="314"/>
  <c r="I169" i="314" s="1"/>
  <c r="I168" i="314"/>
  <c r="H168" i="314"/>
  <c r="I167" i="314"/>
  <c r="G165" i="314"/>
  <c r="G164" i="314"/>
  <c r="E162" i="314"/>
  <c r="D279" i="314" s="1"/>
  <c r="D162" i="314"/>
  <c r="F162" i="314" s="1"/>
  <c r="F161" i="314"/>
  <c r="E161" i="314"/>
  <c r="D278" i="314" s="1"/>
  <c r="D161" i="314"/>
  <c r="C278" i="314" s="1"/>
  <c r="E278" i="314" s="1"/>
  <c r="E160" i="314"/>
  <c r="D277" i="314" s="1"/>
  <c r="D160" i="314"/>
  <c r="C277" i="314" s="1"/>
  <c r="E277" i="314" s="1"/>
  <c r="E159" i="314"/>
  <c r="D159" i="314"/>
  <c r="E158" i="314"/>
  <c r="D275" i="314" s="1"/>
  <c r="D158" i="314"/>
  <c r="H157" i="314"/>
  <c r="H158" i="314" s="1"/>
  <c r="H159" i="314" s="1"/>
  <c r="H160" i="314" s="1"/>
  <c r="E157" i="314"/>
  <c r="D274" i="314" s="1"/>
  <c r="D157" i="314"/>
  <c r="G155" i="314"/>
  <c r="G154" i="314"/>
  <c r="G152" i="314"/>
  <c r="F272" i="314" s="1"/>
  <c r="G151" i="314"/>
  <c r="F271" i="314" s="1"/>
  <c r="G150" i="314"/>
  <c r="F270" i="314" s="1"/>
  <c r="G148" i="314"/>
  <c r="G147" i="314"/>
  <c r="G145" i="314"/>
  <c r="F268" i="314" s="1"/>
  <c r="H144" i="314"/>
  <c r="H145" i="314" s="1"/>
  <c r="H150" i="314" s="1"/>
  <c r="H151" i="314" s="1"/>
  <c r="H152" i="314" s="1"/>
  <c r="G144" i="314"/>
  <c r="F267" i="314" s="1"/>
  <c r="G143" i="314"/>
  <c r="F266" i="314" s="1"/>
  <c r="G141" i="314"/>
  <c r="G140" i="314"/>
  <c r="H138" i="314"/>
  <c r="I138" i="314" s="1"/>
  <c r="D137" i="314"/>
  <c r="I137" i="314" s="1"/>
  <c r="G135" i="314"/>
  <c r="G134" i="314"/>
  <c r="J133" i="314"/>
  <c r="C133" i="314"/>
  <c r="E134" i="314" s="1"/>
  <c r="I134" i="314" s="1"/>
  <c r="F132" i="314"/>
  <c r="D132" i="314"/>
  <c r="H131" i="314"/>
  <c r="H132" i="314" s="1"/>
  <c r="F131" i="314"/>
  <c r="D131" i="314"/>
  <c r="I131" i="314" s="1"/>
  <c r="I130" i="314"/>
  <c r="F130" i="314"/>
  <c r="D130" i="314"/>
  <c r="G128" i="314"/>
  <c r="G127" i="314"/>
  <c r="J126" i="314"/>
  <c r="E125" i="314"/>
  <c r="D125" i="314"/>
  <c r="D152" i="314" s="1"/>
  <c r="H124" i="314"/>
  <c r="H125" i="314" s="1"/>
  <c r="E124" i="314"/>
  <c r="E151" i="314" s="1"/>
  <c r="D271" i="314" s="1"/>
  <c r="D124" i="314"/>
  <c r="D151" i="314" s="1"/>
  <c r="C271" i="314" s="1"/>
  <c r="E271" i="314" s="1"/>
  <c r="E123" i="314"/>
  <c r="E150" i="314" s="1"/>
  <c r="D270" i="314" s="1"/>
  <c r="D123" i="314"/>
  <c r="G121" i="314"/>
  <c r="G120" i="314"/>
  <c r="J119" i="314"/>
  <c r="E118" i="314"/>
  <c r="E145" i="314" s="1"/>
  <c r="D268" i="314" s="1"/>
  <c r="D118" i="314"/>
  <c r="H117" i="314"/>
  <c r="H118" i="314" s="1"/>
  <c r="E117" i="314"/>
  <c r="E144" i="314" s="1"/>
  <c r="D267" i="314" s="1"/>
  <c r="D117" i="314"/>
  <c r="D144" i="314" s="1"/>
  <c r="E116" i="314"/>
  <c r="E143" i="314" s="1"/>
  <c r="D266" i="314" s="1"/>
  <c r="D116" i="314"/>
  <c r="D143" i="314" s="1"/>
  <c r="G114" i="314"/>
  <c r="G113" i="314"/>
  <c r="J112" i="314"/>
  <c r="F111" i="314"/>
  <c r="F110" i="314"/>
  <c r="H109" i="314"/>
  <c r="H110" i="314" s="1"/>
  <c r="F109" i="314"/>
  <c r="I109" i="314" s="1"/>
  <c r="F108" i="314"/>
  <c r="G106" i="314"/>
  <c r="G105" i="314"/>
  <c r="G103" i="314"/>
  <c r="F232" i="314" s="1"/>
  <c r="F241" i="314" s="1"/>
  <c r="G102" i="314"/>
  <c r="F231" i="314" s="1"/>
  <c r="F240" i="314" s="1"/>
  <c r="G101" i="314"/>
  <c r="F230" i="314" s="1"/>
  <c r="F239" i="314" s="1"/>
  <c r="C101" i="314"/>
  <c r="G99" i="314"/>
  <c r="G98" i="314"/>
  <c r="G96" i="314"/>
  <c r="G95" i="314"/>
  <c r="G94" i="314"/>
  <c r="H93" i="314"/>
  <c r="H94" i="314" s="1"/>
  <c r="H95" i="314" s="1"/>
  <c r="H96" i="314" s="1"/>
  <c r="H101" i="314" s="1"/>
  <c r="H102" i="314" s="1"/>
  <c r="H103" i="314" s="1"/>
  <c r="G93" i="314"/>
  <c r="D93" i="314"/>
  <c r="C226" i="314" s="1"/>
  <c r="G92" i="314"/>
  <c r="G90" i="314"/>
  <c r="G89" i="314"/>
  <c r="E87" i="314"/>
  <c r="D264" i="314" s="1"/>
  <c r="D87" i="314"/>
  <c r="C264" i="314" s="1"/>
  <c r="E86" i="314"/>
  <c r="D263" i="314" s="1"/>
  <c r="D86" i="314"/>
  <c r="C263" i="314" s="1"/>
  <c r="E263" i="314" s="1"/>
  <c r="E85" i="314"/>
  <c r="D85" i="314"/>
  <c r="E84" i="314"/>
  <c r="D261" i="314" s="1"/>
  <c r="D84" i="314"/>
  <c r="F84" i="314" s="1"/>
  <c r="E83" i="314"/>
  <c r="D260" i="314" s="1"/>
  <c r="D83" i="314"/>
  <c r="C260" i="314" s="1"/>
  <c r="F82" i="314"/>
  <c r="E82" i="314"/>
  <c r="D259" i="314" s="1"/>
  <c r="D82" i="314"/>
  <c r="C259" i="314" s="1"/>
  <c r="E81" i="314"/>
  <c r="D81" i="314"/>
  <c r="C257" i="314" s="1"/>
  <c r="E80" i="314"/>
  <c r="D256" i="314" s="1"/>
  <c r="D80" i="314"/>
  <c r="C256" i="314" s="1"/>
  <c r="E79" i="314"/>
  <c r="D255" i="314" s="1"/>
  <c r="D79" i="314"/>
  <c r="C255" i="314" s="1"/>
  <c r="E78" i="314"/>
  <c r="D254" i="314" s="1"/>
  <c r="D78" i="314"/>
  <c r="E77" i="314"/>
  <c r="D253" i="314" s="1"/>
  <c r="D282" i="314" s="1"/>
  <c r="D77" i="314"/>
  <c r="C253" i="314" s="1"/>
  <c r="E76" i="314"/>
  <c r="D252" i="314" s="1"/>
  <c r="D281" i="314" s="1"/>
  <c r="D76" i="314"/>
  <c r="C252" i="314" s="1"/>
  <c r="E75" i="314"/>
  <c r="D251" i="314" s="1"/>
  <c r="D75" i="314"/>
  <c r="E74" i="314"/>
  <c r="D249" i="314" s="1"/>
  <c r="D74" i="314"/>
  <c r="C249" i="314" s="1"/>
  <c r="E249" i="314" s="1"/>
  <c r="F73" i="314"/>
  <c r="E73" i="314"/>
  <c r="D248" i="314" s="1"/>
  <c r="D73" i="314"/>
  <c r="C248" i="314" s="1"/>
  <c r="E72" i="314"/>
  <c r="D247" i="314" s="1"/>
  <c r="D72" i="314"/>
  <c r="C247" i="314" s="1"/>
  <c r="E247" i="314" s="1"/>
  <c r="E71" i="314"/>
  <c r="D246" i="314" s="1"/>
  <c r="D71" i="314"/>
  <c r="C246" i="314" s="1"/>
  <c r="H70" i="314"/>
  <c r="H73" i="314" s="1"/>
  <c r="F70" i="314"/>
  <c r="I70" i="314" s="1"/>
  <c r="E70" i="314"/>
  <c r="D245" i="314" s="1"/>
  <c r="D70" i="314"/>
  <c r="C245" i="314" s="1"/>
  <c r="H69" i="314"/>
  <c r="K68" i="314"/>
  <c r="E68" i="314" s="1"/>
  <c r="D243" i="314" s="1"/>
  <c r="G66" i="314"/>
  <c r="G65" i="314"/>
  <c r="J64" i="314"/>
  <c r="I63" i="314"/>
  <c r="I62" i="314"/>
  <c r="I61" i="314"/>
  <c r="G58" i="314"/>
  <c r="G57" i="314"/>
  <c r="J56" i="314"/>
  <c r="F55" i="314"/>
  <c r="D55" i="314"/>
  <c r="F54" i="314"/>
  <c r="D54" i="314"/>
  <c r="H53" i="314"/>
  <c r="F53" i="314"/>
  <c r="D53" i="314"/>
  <c r="F52" i="314"/>
  <c r="G50" i="314"/>
  <c r="G49" i="314"/>
  <c r="E47" i="314"/>
  <c r="D47" i="314"/>
  <c r="F47" i="314" s="1"/>
  <c r="E46" i="314"/>
  <c r="D46" i="314"/>
  <c r="E45" i="314"/>
  <c r="F45" i="314" s="1"/>
  <c r="D45" i="314"/>
  <c r="E44" i="314"/>
  <c r="D44" i="314"/>
  <c r="F44" i="314" s="1"/>
  <c r="H43" i="314"/>
  <c r="H44" i="314" s="1"/>
  <c r="H45" i="314" s="1"/>
  <c r="E43" i="314"/>
  <c r="F43" i="314" s="1"/>
  <c r="I43" i="314" s="1"/>
  <c r="D43" i="314"/>
  <c r="K42" i="314"/>
  <c r="E42" i="314" s="1"/>
  <c r="G42" i="314"/>
  <c r="E209" i="314" s="1"/>
  <c r="E210" i="314" s="1"/>
  <c r="G40" i="314"/>
  <c r="G39" i="314"/>
  <c r="J38" i="314"/>
  <c r="E37" i="314"/>
  <c r="E103" i="314" s="1"/>
  <c r="D37" i="314"/>
  <c r="D103" i="314" s="1"/>
  <c r="C232" i="314" s="1"/>
  <c r="H36" i="314"/>
  <c r="H37" i="314" s="1"/>
  <c r="E36" i="314"/>
  <c r="E102" i="314" s="1"/>
  <c r="D231" i="314" s="1"/>
  <c r="D240" i="314" s="1"/>
  <c r="D36" i="314"/>
  <c r="D102" i="314" s="1"/>
  <c r="E35" i="314"/>
  <c r="G33" i="314"/>
  <c r="G32" i="314"/>
  <c r="J31" i="314"/>
  <c r="E30" i="314"/>
  <c r="E96" i="314" s="1"/>
  <c r="D229" i="314" s="1"/>
  <c r="D238" i="314" s="1"/>
  <c r="D30" i="314"/>
  <c r="E29" i="314"/>
  <c r="D29" i="314"/>
  <c r="D95" i="314" s="1"/>
  <c r="E28" i="314"/>
  <c r="E94" i="314" s="1"/>
  <c r="D227" i="314" s="1"/>
  <c r="D236" i="314" s="1"/>
  <c r="D28" i="314"/>
  <c r="H27" i="314"/>
  <c r="H28" i="314" s="1"/>
  <c r="H29" i="314" s="1"/>
  <c r="H30" i="314" s="1"/>
  <c r="E27" i="314"/>
  <c r="D27" i="314"/>
  <c r="E26" i="314"/>
  <c r="D26" i="314"/>
  <c r="J22" i="314"/>
  <c r="F21" i="314"/>
  <c r="F20" i="314"/>
  <c r="F19" i="314"/>
  <c r="F18" i="314"/>
  <c r="F17" i="314"/>
  <c r="F16" i="314"/>
  <c r="H15" i="314"/>
  <c r="H16" i="314" s="1"/>
  <c r="E15" i="314"/>
  <c r="M11" i="314"/>
  <c r="M10" i="314"/>
  <c r="M9" i="314"/>
  <c r="H9" i="314"/>
  <c r="I9" i="314" s="1"/>
  <c r="M8" i="314"/>
  <c r="E8" i="314"/>
  <c r="C8" i="314"/>
  <c r="M7" i="314"/>
  <c r="M6" i="314"/>
  <c r="F190" i="314"/>
  <c r="F217" i="314"/>
  <c r="M5" i="314"/>
  <c r="E5" i="314"/>
  <c r="E366" i="314" s="1"/>
  <c r="D5" i="314"/>
  <c r="D366" i="314" s="1"/>
  <c r="M4" i="314"/>
  <c r="H4" i="314"/>
  <c r="B4" i="314"/>
  <c r="R370" i="314" s="1"/>
  <c r="D359" i="313"/>
  <c r="H359" i="313" s="1"/>
  <c r="D60" i="313"/>
  <c r="C64" i="313" s="1"/>
  <c r="E66" i="313" s="1"/>
  <c r="E15" i="313"/>
  <c r="D386" i="313"/>
  <c r="I386" i="313" s="1"/>
  <c r="T382" i="313"/>
  <c r="U382" i="313" s="1"/>
  <c r="S382" i="313"/>
  <c r="T381" i="313"/>
  <c r="U381" i="313" s="1"/>
  <c r="S380" i="313"/>
  <c r="T376" i="313"/>
  <c r="V372" i="313"/>
  <c r="S386" i="313" s="1"/>
  <c r="U386" i="313" s="1"/>
  <c r="C368" i="313"/>
  <c r="G366" i="313"/>
  <c r="D352" i="313"/>
  <c r="H352" i="313" s="1"/>
  <c r="D351" i="313"/>
  <c r="H351" i="313" s="1"/>
  <c r="D345" i="313"/>
  <c r="H345" i="313" s="1"/>
  <c r="C341" i="313"/>
  <c r="H341" i="313" s="1"/>
  <c r="C340" i="313"/>
  <c r="G329" i="313"/>
  <c r="G328" i="313"/>
  <c r="G325" i="313"/>
  <c r="G323" i="313"/>
  <c r="E321" i="313"/>
  <c r="E319" i="313"/>
  <c r="F318" i="313"/>
  <c r="G318" i="313" s="1"/>
  <c r="C316" i="313"/>
  <c r="G313" i="313"/>
  <c r="H312" i="313"/>
  <c r="D310" i="313"/>
  <c r="C309" i="313"/>
  <c r="H309" i="313" s="1"/>
  <c r="H307" i="313"/>
  <c r="G305" i="313"/>
  <c r="E305" i="313"/>
  <c r="E304" i="313"/>
  <c r="D371" i="313" s="1"/>
  <c r="G303" i="313"/>
  <c r="H303" i="313" s="1"/>
  <c r="G302" i="313"/>
  <c r="H302" i="313" s="1"/>
  <c r="H301" i="313"/>
  <c r="H299" i="313"/>
  <c r="F298" i="313"/>
  <c r="F300" i="313" s="1"/>
  <c r="F302" i="313" s="1"/>
  <c r="F303" i="313" s="1"/>
  <c r="H297" i="313"/>
  <c r="F296" i="313"/>
  <c r="H295" i="313"/>
  <c r="F290" i="313"/>
  <c r="E289" i="313"/>
  <c r="G288" i="313"/>
  <c r="G289" i="313" s="1"/>
  <c r="E288" i="313"/>
  <c r="B288" i="313"/>
  <c r="B289" i="313" s="1"/>
  <c r="E287" i="313"/>
  <c r="G286" i="313"/>
  <c r="G287" i="313" s="1"/>
  <c r="E286" i="313"/>
  <c r="B286" i="313"/>
  <c r="B287" i="313" s="1"/>
  <c r="F284" i="313"/>
  <c r="F285" i="313" s="1"/>
  <c r="F283" i="313"/>
  <c r="B281" i="313"/>
  <c r="B282" i="313" s="1"/>
  <c r="B283" i="313" s="1"/>
  <c r="B284" i="313" s="1"/>
  <c r="F279" i="313"/>
  <c r="F278" i="313"/>
  <c r="F277" i="313"/>
  <c r="F276" i="313"/>
  <c r="I275" i="313"/>
  <c r="I276" i="313" s="1"/>
  <c r="I277" i="313" s="1"/>
  <c r="I278" i="313" s="1"/>
  <c r="I279" i="313" s="1"/>
  <c r="F275" i="313"/>
  <c r="F274" i="313"/>
  <c r="F264" i="313"/>
  <c r="F263" i="313"/>
  <c r="F262" i="313"/>
  <c r="F261" i="313"/>
  <c r="F260" i="313"/>
  <c r="F259" i="313"/>
  <c r="F257" i="313"/>
  <c r="F256" i="313"/>
  <c r="F255" i="313"/>
  <c r="F254" i="313"/>
  <c r="F253" i="313"/>
  <c r="I252" i="313"/>
  <c r="I253" i="313" s="1"/>
  <c r="I254" i="313" s="1"/>
  <c r="I255" i="313" s="1"/>
  <c r="I256" i="313" s="1"/>
  <c r="I257" i="313" s="1"/>
  <c r="F252" i="313"/>
  <c r="F251" i="313"/>
  <c r="F258" i="313" s="1"/>
  <c r="F249" i="313"/>
  <c r="F248" i="313"/>
  <c r="F247" i="313"/>
  <c r="F246" i="313"/>
  <c r="F245" i="313"/>
  <c r="F244" i="313"/>
  <c r="F243" i="313"/>
  <c r="F237" i="313"/>
  <c r="F229" i="313"/>
  <c r="F238" i="313" s="1"/>
  <c r="F228" i="313"/>
  <c r="F227" i="313"/>
  <c r="F236" i="313" s="1"/>
  <c r="F226" i="313"/>
  <c r="F235" i="313" s="1"/>
  <c r="F225" i="313"/>
  <c r="B225" i="313"/>
  <c r="B226" i="313" s="1"/>
  <c r="B227" i="313" s="1"/>
  <c r="B228" i="313" s="1"/>
  <c r="B229" i="313" s="1"/>
  <c r="B230" i="313" s="1"/>
  <c r="B231" i="313" s="1"/>
  <c r="B232" i="313" s="1"/>
  <c r="B234" i="313" s="1"/>
  <c r="B235" i="313" s="1"/>
  <c r="B236" i="313" s="1"/>
  <c r="B237" i="313" s="1"/>
  <c r="B238" i="313" s="1"/>
  <c r="B239" i="313" s="1"/>
  <c r="B240" i="313" s="1"/>
  <c r="C223" i="313"/>
  <c r="I222" i="313"/>
  <c r="C222" i="313"/>
  <c r="I221" i="313"/>
  <c r="C219" i="313"/>
  <c r="C220" i="313" s="1"/>
  <c r="C221" i="313" s="1"/>
  <c r="E213" i="313"/>
  <c r="E214" i="313" s="1"/>
  <c r="E211" i="313"/>
  <c r="E212" i="313" s="1"/>
  <c r="I207" i="313"/>
  <c r="I208" i="313" s="1"/>
  <c r="E207" i="313"/>
  <c r="E208" i="313" s="1"/>
  <c r="I205" i="313"/>
  <c r="I206" i="313" s="1"/>
  <c r="E205" i="313"/>
  <c r="E206" i="313" s="1"/>
  <c r="E204" i="313"/>
  <c r="I203" i="313"/>
  <c r="I204" i="313" s="1"/>
  <c r="E203" i="313"/>
  <c r="G201" i="313"/>
  <c r="G200" i="313"/>
  <c r="C199" i="313"/>
  <c r="E201" i="313" s="1"/>
  <c r="H198" i="313"/>
  <c r="I196" i="313"/>
  <c r="H196" i="313"/>
  <c r="I195" i="313"/>
  <c r="G193" i="313"/>
  <c r="G192" i="313"/>
  <c r="H189" i="313"/>
  <c r="I189" i="313" s="1"/>
  <c r="I188" i="313"/>
  <c r="G186" i="313"/>
  <c r="G185" i="313"/>
  <c r="H182" i="313"/>
  <c r="I182" i="313" s="1"/>
  <c r="G179" i="313"/>
  <c r="G178" i="313"/>
  <c r="C177" i="313"/>
  <c r="H175" i="313"/>
  <c r="I175" i="313" s="1"/>
  <c r="I174" i="313"/>
  <c r="G172" i="313"/>
  <c r="G171" i="313"/>
  <c r="C170" i="313"/>
  <c r="E171" i="313" s="1"/>
  <c r="H168" i="313"/>
  <c r="H169" i="313" s="1"/>
  <c r="I169" i="313" s="1"/>
  <c r="I167" i="313"/>
  <c r="G165" i="313"/>
  <c r="G164" i="313"/>
  <c r="E162" i="313"/>
  <c r="D279" i="313" s="1"/>
  <c r="D162" i="313"/>
  <c r="F162" i="313" s="1"/>
  <c r="E161" i="313"/>
  <c r="D278" i="313" s="1"/>
  <c r="D161" i="313"/>
  <c r="C278" i="313" s="1"/>
  <c r="E160" i="313"/>
  <c r="D160" i="313"/>
  <c r="C277" i="313" s="1"/>
  <c r="E159" i="313"/>
  <c r="D276" i="313" s="1"/>
  <c r="D159" i="313"/>
  <c r="F159" i="313" s="1"/>
  <c r="I159" i="313" s="1"/>
  <c r="E158" i="313"/>
  <c r="D275" i="313" s="1"/>
  <c r="D158" i="313"/>
  <c r="C275" i="313" s="1"/>
  <c r="H157" i="313"/>
  <c r="H158" i="313" s="1"/>
  <c r="H159" i="313" s="1"/>
  <c r="H160" i="313" s="1"/>
  <c r="E157" i="313"/>
  <c r="D274" i="313" s="1"/>
  <c r="D157" i="313"/>
  <c r="G155" i="313"/>
  <c r="G154" i="313"/>
  <c r="G152" i="313"/>
  <c r="F272" i="313" s="1"/>
  <c r="E152" i="313"/>
  <c r="D272" i="313" s="1"/>
  <c r="G151" i="313"/>
  <c r="F271" i="313" s="1"/>
  <c r="G150" i="313"/>
  <c r="F270" i="313" s="1"/>
  <c r="G148" i="313"/>
  <c r="G147" i="313"/>
  <c r="G145" i="313"/>
  <c r="F268" i="313" s="1"/>
  <c r="H144" i="313"/>
  <c r="H145" i="313" s="1"/>
  <c r="H150" i="313" s="1"/>
  <c r="H151" i="313" s="1"/>
  <c r="H152" i="313" s="1"/>
  <c r="G144" i="313"/>
  <c r="F267" i="313" s="1"/>
  <c r="G143" i="313"/>
  <c r="F266" i="313" s="1"/>
  <c r="G141" i="313"/>
  <c r="G140" i="313"/>
  <c r="H138" i="313"/>
  <c r="I138" i="313" s="1"/>
  <c r="G135" i="313"/>
  <c r="G134" i="313"/>
  <c r="J133" i="313"/>
  <c r="F132" i="313"/>
  <c r="D132" i="313"/>
  <c r="H131" i="313"/>
  <c r="H132" i="313" s="1"/>
  <c r="F131" i="313"/>
  <c r="D131" i="313"/>
  <c r="I131" i="313" s="1"/>
  <c r="F130" i="313"/>
  <c r="D130" i="313"/>
  <c r="G128" i="313"/>
  <c r="G127" i="313"/>
  <c r="J126" i="313"/>
  <c r="E125" i="313"/>
  <c r="D125" i="313"/>
  <c r="F125" i="313" s="1"/>
  <c r="H124" i="313"/>
  <c r="H125" i="313" s="1"/>
  <c r="E124" i="313"/>
  <c r="E151" i="313" s="1"/>
  <c r="D271" i="313" s="1"/>
  <c r="D124" i="313"/>
  <c r="D151" i="313" s="1"/>
  <c r="E123" i="313"/>
  <c r="D123" i="313"/>
  <c r="D150" i="313" s="1"/>
  <c r="G121" i="313"/>
  <c r="G120" i="313"/>
  <c r="J119" i="313"/>
  <c r="H118" i="313"/>
  <c r="E118" i="313"/>
  <c r="F118" i="313" s="1"/>
  <c r="D118" i="313"/>
  <c r="D145" i="313" s="1"/>
  <c r="H117" i="313"/>
  <c r="F117" i="313"/>
  <c r="I117" i="313" s="1"/>
  <c r="E117" i="313"/>
  <c r="E144" i="313" s="1"/>
  <c r="D267" i="313" s="1"/>
  <c r="D117" i="313"/>
  <c r="D144" i="313" s="1"/>
  <c r="E116" i="313"/>
  <c r="D116" i="313"/>
  <c r="D143" i="313" s="1"/>
  <c r="C266" i="313" s="1"/>
  <c r="G114" i="313"/>
  <c r="G113" i="313"/>
  <c r="J112" i="313"/>
  <c r="F111" i="313"/>
  <c r="F110" i="313"/>
  <c r="H109" i="313"/>
  <c r="F109" i="313"/>
  <c r="F108" i="313"/>
  <c r="I108" i="313" s="1"/>
  <c r="G106" i="313"/>
  <c r="G105" i="313"/>
  <c r="G103" i="313"/>
  <c r="F232" i="313" s="1"/>
  <c r="F241" i="313" s="1"/>
  <c r="G102" i="313"/>
  <c r="F231" i="313" s="1"/>
  <c r="F240" i="313" s="1"/>
  <c r="G101" i="313"/>
  <c r="F230" i="313" s="1"/>
  <c r="F239" i="313" s="1"/>
  <c r="C101" i="313"/>
  <c r="G99" i="313"/>
  <c r="G98" i="313"/>
  <c r="G96" i="313"/>
  <c r="G95" i="313"/>
  <c r="G94" i="313"/>
  <c r="H93" i="313"/>
  <c r="H94" i="313" s="1"/>
  <c r="H95" i="313" s="1"/>
  <c r="H96" i="313" s="1"/>
  <c r="H101" i="313" s="1"/>
  <c r="H102" i="313" s="1"/>
  <c r="H103" i="313" s="1"/>
  <c r="G93" i="313"/>
  <c r="G92" i="313"/>
  <c r="G90" i="313"/>
  <c r="G89" i="313"/>
  <c r="E87" i="313"/>
  <c r="D264" i="313" s="1"/>
  <c r="D87" i="313"/>
  <c r="C264" i="313" s="1"/>
  <c r="E86" i="313"/>
  <c r="D263" i="313" s="1"/>
  <c r="D86" i="313"/>
  <c r="F86" i="313" s="1"/>
  <c r="E85" i="313"/>
  <c r="D85" i="313"/>
  <c r="E84" i="313"/>
  <c r="D84" i="313"/>
  <c r="E83" i="313"/>
  <c r="D260" i="313" s="1"/>
  <c r="D83" i="313"/>
  <c r="E82" i="313"/>
  <c r="D259" i="313" s="1"/>
  <c r="D82" i="313"/>
  <c r="C259" i="313" s="1"/>
  <c r="E81" i="313"/>
  <c r="D257" i="313" s="1"/>
  <c r="D81" i="313"/>
  <c r="C257" i="313" s="1"/>
  <c r="E80" i="313"/>
  <c r="D256" i="313" s="1"/>
  <c r="D80" i="313"/>
  <c r="C256" i="313" s="1"/>
  <c r="E79" i="313"/>
  <c r="D255" i="313" s="1"/>
  <c r="D79" i="313"/>
  <c r="C255" i="313" s="1"/>
  <c r="E78" i="313"/>
  <c r="D254" i="313" s="1"/>
  <c r="D78" i="313"/>
  <c r="C254" i="313" s="1"/>
  <c r="E254" i="313" s="1"/>
  <c r="E77" i="313"/>
  <c r="D253" i="313" s="1"/>
  <c r="D282" i="313" s="1"/>
  <c r="D77" i="313"/>
  <c r="C253" i="313" s="1"/>
  <c r="E76" i="313"/>
  <c r="D252" i="313" s="1"/>
  <c r="D281" i="313" s="1"/>
  <c r="D76" i="313"/>
  <c r="E75" i="313"/>
  <c r="D251" i="313" s="1"/>
  <c r="D75" i="313"/>
  <c r="C251" i="313" s="1"/>
  <c r="E74" i="313"/>
  <c r="D249" i="313" s="1"/>
  <c r="D74" i="313"/>
  <c r="C249" i="313" s="1"/>
  <c r="E73" i="313"/>
  <c r="D248" i="313" s="1"/>
  <c r="D73" i="313"/>
  <c r="C248" i="313" s="1"/>
  <c r="F72" i="313"/>
  <c r="E72" i="313"/>
  <c r="D247" i="313" s="1"/>
  <c r="D72" i="313"/>
  <c r="C247" i="313" s="1"/>
  <c r="E71" i="313"/>
  <c r="D246" i="313" s="1"/>
  <c r="D71" i="313"/>
  <c r="C246" i="313" s="1"/>
  <c r="E70" i="313"/>
  <c r="D245" i="313" s="1"/>
  <c r="D70" i="313"/>
  <c r="C245" i="313" s="1"/>
  <c r="H69" i="313"/>
  <c r="H70" i="313" s="1"/>
  <c r="K68" i="313"/>
  <c r="E68" i="313" s="1"/>
  <c r="D243" i="313" s="1"/>
  <c r="G66" i="313"/>
  <c r="G65" i="313"/>
  <c r="J64" i="313"/>
  <c r="I63" i="313"/>
  <c r="I62" i="313"/>
  <c r="I61" i="313"/>
  <c r="G58" i="313"/>
  <c r="G57" i="313"/>
  <c r="J56" i="313"/>
  <c r="F55" i="313"/>
  <c r="D55" i="313"/>
  <c r="I54" i="313"/>
  <c r="H54" i="313"/>
  <c r="H55" i="313" s="1"/>
  <c r="F54" i="313"/>
  <c r="D54" i="313"/>
  <c r="I53" i="313"/>
  <c r="H53" i="313"/>
  <c r="F53" i="313"/>
  <c r="D53" i="313"/>
  <c r="F52" i="313"/>
  <c r="G50" i="313"/>
  <c r="G49" i="313"/>
  <c r="E47" i="313"/>
  <c r="D47" i="313"/>
  <c r="F47" i="313" s="1"/>
  <c r="E46" i="313"/>
  <c r="D46" i="313"/>
  <c r="E45" i="313"/>
  <c r="F45" i="313" s="1"/>
  <c r="I45" i="313" s="1"/>
  <c r="D45" i="313"/>
  <c r="E44" i="313"/>
  <c r="F44" i="313" s="1"/>
  <c r="I44" i="313" s="1"/>
  <c r="D44" i="313"/>
  <c r="H43" i="313"/>
  <c r="H44" i="313" s="1"/>
  <c r="H45" i="313" s="1"/>
  <c r="H46" i="313" s="1"/>
  <c r="H47" i="313" s="1"/>
  <c r="E43" i="313"/>
  <c r="D43" i="313"/>
  <c r="F43" i="313" s="1"/>
  <c r="I43" i="313" s="1"/>
  <c r="K42" i="313"/>
  <c r="E42" i="313" s="1"/>
  <c r="G42" i="313"/>
  <c r="E209" i="313" s="1"/>
  <c r="E210" i="313" s="1"/>
  <c r="G40" i="313"/>
  <c r="G39" i="313"/>
  <c r="J38" i="313"/>
  <c r="E37" i="313"/>
  <c r="E103" i="313" s="1"/>
  <c r="D232" i="313" s="1"/>
  <c r="D241" i="313" s="1"/>
  <c r="D37" i="313"/>
  <c r="D103" i="313" s="1"/>
  <c r="H36" i="313"/>
  <c r="H37" i="313" s="1"/>
  <c r="E36" i="313"/>
  <c r="E102" i="313" s="1"/>
  <c r="D231" i="313" s="1"/>
  <c r="D240" i="313" s="1"/>
  <c r="D36" i="313"/>
  <c r="D102" i="313" s="1"/>
  <c r="E35" i="313"/>
  <c r="G214" i="313" s="1"/>
  <c r="I214" i="313" s="1"/>
  <c r="G33" i="313"/>
  <c r="G32" i="313"/>
  <c r="J31" i="313"/>
  <c r="E30" i="313"/>
  <c r="E96" i="313" s="1"/>
  <c r="D229" i="313" s="1"/>
  <c r="D238" i="313" s="1"/>
  <c r="D30" i="313"/>
  <c r="E29" i="313"/>
  <c r="E95" i="313" s="1"/>
  <c r="D228" i="313" s="1"/>
  <c r="D237" i="313" s="1"/>
  <c r="D29" i="313"/>
  <c r="E28" i="313"/>
  <c r="E94" i="313" s="1"/>
  <c r="D227" i="313" s="1"/>
  <c r="D236" i="313" s="1"/>
  <c r="D28" i="313"/>
  <c r="H27" i="313"/>
  <c r="H28" i="313" s="1"/>
  <c r="H29" i="313" s="1"/>
  <c r="H30" i="313" s="1"/>
  <c r="E27" i="313"/>
  <c r="E93" i="313" s="1"/>
  <c r="D226" i="313" s="1"/>
  <c r="D235" i="313" s="1"/>
  <c r="D27" i="313"/>
  <c r="D93" i="313" s="1"/>
  <c r="E26" i="313"/>
  <c r="E92" i="313" s="1"/>
  <c r="D225" i="313" s="1"/>
  <c r="D234" i="313" s="1"/>
  <c r="D26" i="313"/>
  <c r="J22" i="313"/>
  <c r="F21" i="313"/>
  <c r="F20" i="313"/>
  <c r="F19" i="313"/>
  <c r="F18" i="313"/>
  <c r="F17" i="313"/>
  <c r="I17" i="313" s="1"/>
  <c r="F16" i="313"/>
  <c r="I16" i="313" s="1"/>
  <c r="H15" i="313"/>
  <c r="H16" i="313" s="1"/>
  <c r="H17" i="313" s="1"/>
  <c r="H18" i="313" s="1"/>
  <c r="H19" i="313" s="1"/>
  <c r="K69" i="313"/>
  <c r="E69" i="313" s="1"/>
  <c r="D244" i="313" s="1"/>
  <c r="M11" i="313"/>
  <c r="M10" i="313"/>
  <c r="M9" i="313"/>
  <c r="H9" i="313"/>
  <c r="I9" i="313" s="1"/>
  <c r="M8" i="313"/>
  <c r="E8" i="313"/>
  <c r="C8" i="313"/>
  <c r="M7" i="313"/>
  <c r="M6" i="313"/>
  <c r="F190" i="313"/>
  <c r="F217" i="313"/>
  <c r="M5" i="313"/>
  <c r="E5" i="313"/>
  <c r="E366" i="313" s="1"/>
  <c r="D5" i="313"/>
  <c r="D366" i="313" s="1"/>
  <c r="M4" i="313"/>
  <c r="H4" i="313"/>
  <c r="B4" i="313"/>
  <c r="R370" i="313" s="1"/>
  <c r="F181" i="312"/>
  <c r="J116" i="312"/>
  <c r="K35" i="312"/>
  <c r="J35" i="312"/>
  <c r="D386" i="312"/>
  <c r="I386" i="312" s="1"/>
  <c r="T382" i="312"/>
  <c r="U382" i="312" s="1"/>
  <c r="S382" i="312"/>
  <c r="T381" i="312"/>
  <c r="U381" i="312" s="1"/>
  <c r="U380" i="312"/>
  <c r="T376" i="312"/>
  <c r="V372" i="312"/>
  <c r="S386" i="312" s="1"/>
  <c r="U386" i="312" s="1"/>
  <c r="C368" i="312"/>
  <c r="G366" i="312"/>
  <c r="H359" i="312"/>
  <c r="D352" i="312"/>
  <c r="H352" i="312" s="1"/>
  <c r="D351" i="312"/>
  <c r="H351" i="312" s="1"/>
  <c r="D345" i="312"/>
  <c r="D346" i="312" s="1"/>
  <c r="C341" i="312"/>
  <c r="H341" i="312" s="1"/>
  <c r="C340" i="312"/>
  <c r="G329" i="312"/>
  <c r="G328" i="312"/>
  <c r="G325" i="312"/>
  <c r="G323" i="312"/>
  <c r="E321" i="312"/>
  <c r="E319" i="312"/>
  <c r="F318" i="312"/>
  <c r="G318" i="312" s="1"/>
  <c r="C316" i="312"/>
  <c r="C318" i="312" s="1"/>
  <c r="G313" i="312"/>
  <c r="H312" i="312"/>
  <c r="D310" i="312"/>
  <c r="C309" i="312"/>
  <c r="H307" i="312"/>
  <c r="G305" i="312"/>
  <c r="E305" i="312"/>
  <c r="E304" i="312"/>
  <c r="D371" i="312" s="1"/>
  <c r="G303" i="312"/>
  <c r="H303" i="312" s="1"/>
  <c r="G302" i="312"/>
  <c r="H302" i="312" s="1"/>
  <c r="H301" i="312"/>
  <c r="H299" i="312"/>
  <c r="H297" i="312"/>
  <c r="F296" i="312"/>
  <c r="F298" i="312" s="1"/>
  <c r="F300" i="312" s="1"/>
  <c r="F302" i="312" s="1"/>
  <c r="F303" i="312" s="1"/>
  <c r="H295" i="312"/>
  <c r="I290" i="312"/>
  <c r="F290" i="312"/>
  <c r="E289" i="312"/>
  <c r="G288" i="312"/>
  <c r="E288" i="312"/>
  <c r="B288" i="312"/>
  <c r="B289" i="312" s="1"/>
  <c r="E287" i="312"/>
  <c r="G286" i="312"/>
  <c r="H286" i="312" s="1"/>
  <c r="E286" i="312"/>
  <c r="B286" i="312"/>
  <c r="B287" i="312" s="1"/>
  <c r="F284" i="312"/>
  <c r="F283" i="312"/>
  <c r="B281" i="312"/>
  <c r="B282" i="312" s="1"/>
  <c r="B283" i="312" s="1"/>
  <c r="B284" i="312" s="1"/>
  <c r="F279" i="312"/>
  <c r="F278" i="312"/>
  <c r="F277" i="312"/>
  <c r="F276" i="312"/>
  <c r="I275" i="312"/>
  <c r="I276" i="312" s="1"/>
  <c r="I277" i="312" s="1"/>
  <c r="I278" i="312" s="1"/>
  <c r="I279" i="312" s="1"/>
  <c r="F275" i="312"/>
  <c r="F274" i="312"/>
  <c r="F264" i="312"/>
  <c r="F263" i="312"/>
  <c r="F262" i="312"/>
  <c r="F261" i="312"/>
  <c r="F260" i="312"/>
  <c r="F259" i="312"/>
  <c r="F257" i="312"/>
  <c r="F256" i="312"/>
  <c r="F255" i="312"/>
  <c r="F254" i="312"/>
  <c r="F253" i="312"/>
  <c r="I252" i="312"/>
  <c r="I253" i="312" s="1"/>
  <c r="I254" i="312" s="1"/>
  <c r="I255" i="312" s="1"/>
  <c r="I256" i="312" s="1"/>
  <c r="I257" i="312" s="1"/>
  <c r="F252" i="312"/>
  <c r="F251" i="312"/>
  <c r="F249" i="312"/>
  <c r="F248" i="312"/>
  <c r="F247" i="312"/>
  <c r="F246" i="312"/>
  <c r="F245" i="312"/>
  <c r="F244" i="312"/>
  <c r="F243" i="312"/>
  <c r="F237" i="312"/>
  <c r="F229" i="312"/>
  <c r="F238" i="312" s="1"/>
  <c r="F228" i="312"/>
  <c r="F227" i="312"/>
  <c r="F236" i="312" s="1"/>
  <c r="F226" i="312"/>
  <c r="F235" i="312" s="1"/>
  <c r="F225" i="312"/>
  <c r="F234" i="312" s="1"/>
  <c r="B225" i="312"/>
  <c r="B226" i="312" s="1"/>
  <c r="B227" i="312" s="1"/>
  <c r="B228" i="312" s="1"/>
  <c r="B229" i="312" s="1"/>
  <c r="B230" i="312" s="1"/>
  <c r="B231" i="312" s="1"/>
  <c r="B232" i="312" s="1"/>
  <c r="B234" i="312" s="1"/>
  <c r="B235" i="312" s="1"/>
  <c r="B236" i="312" s="1"/>
  <c r="B237" i="312" s="1"/>
  <c r="B238" i="312" s="1"/>
  <c r="B239" i="312" s="1"/>
  <c r="B240" i="312" s="1"/>
  <c r="C223" i="312"/>
  <c r="I222" i="312"/>
  <c r="C222" i="312"/>
  <c r="I221" i="312"/>
  <c r="C219" i="312"/>
  <c r="C220" i="312" s="1"/>
  <c r="C221" i="312" s="1"/>
  <c r="E213" i="312"/>
  <c r="E214" i="312" s="1"/>
  <c r="E211" i="312"/>
  <c r="E212" i="312" s="1"/>
  <c r="E209" i="312"/>
  <c r="E210" i="312" s="1"/>
  <c r="E208" i="312"/>
  <c r="I207" i="312"/>
  <c r="I208" i="312" s="1"/>
  <c r="E207" i="312"/>
  <c r="I205" i="312"/>
  <c r="I206" i="312" s="1"/>
  <c r="E205" i="312"/>
  <c r="E206" i="312" s="1"/>
  <c r="I203" i="312"/>
  <c r="I204" i="312" s="1"/>
  <c r="E203" i="312"/>
  <c r="G201" i="312"/>
  <c r="G200" i="312"/>
  <c r="C199" i="312"/>
  <c r="E201" i="312" s="1"/>
  <c r="H198" i="312"/>
  <c r="I196" i="312"/>
  <c r="H196" i="312"/>
  <c r="I195" i="312"/>
  <c r="G193" i="312"/>
  <c r="G192" i="312"/>
  <c r="H190" i="312"/>
  <c r="I189" i="312"/>
  <c r="H189" i="312"/>
  <c r="I188" i="312"/>
  <c r="G186" i="312"/>
  <c r="G185" i="312"/>
  <c r="H182" i="312"/>
  <c r="G179" i="312"/>
  <c r="G178" i="312"/>
  <c r="C177" i="312"/>
  <c r="H175" i="312"/>
  <c r="I174" i="312"/>
  <c r="G172" i="312"/>
  <c r="G171" i="312"/>
  <c r="E171" i="312"/>
  <c r="I171" i="312" s="1"/>
  <c r="C170" i="312"/>
  <c r="E172" i="312" s="1"/>
  <c r="I172" i="312" s="1"/>
  <c r="H168" i="312"/>
  <c r="I168" i="312" s="1"/>
  <c r="I167" i="312"/>
  <c r="G165" i="312"/>
  <c r="G164" i="312"/>
  <c r="E162" i="312"/>
  <c r="D279" i="312" s="1"/>
  <c r="D162" i="312"/>
  <c r="E161" i="312"/>
  <c r="D278" i="312" s="1"/>
  <c r="D161" i="312"/>
  <c r="C278" i="312" s="1"/>
  <c r="E160" i="312"/>
  <c r="D277" i="312" s="1"/>
  <c r="D160" i="312"/>
  <c r="E159" i="312"/>
  <c r="D276" i="312" s="1"/>
  <c r="D159" i="312"/>
  <c r="C276" i="312" s="1"/>
  <c r="E158" i="312"/>
  <c r="D275" i="312" s="1"/>
  <c r="D158" i="312"/>
  <c r="C275" i="312" s="1"/>
  <c r="H157" i="312"/>
  <c r="H158" i="312" s="1"/>
  <c r="H159" i="312" s="1"/>
  <c r="H160" i="312" s="1"/>
  <c r="E157" i="312"/>
  <c r="D274" i="312" s="1"/>
  <c r="D157" i="312"/>
  <c r="G155" i="312"/>
  <c r="G154" i="312"/>
  <c r="G152" i="312"/>
  <c r="F272" i="312" s="1"/>
  <c r="G151" i="312"/>
  <c r="F271" i="312" s="1"/>
  <c r="G150" i="312"/>
  <c r="F270" i="312" s="1"/>
  <c r="F273" i="312" s="1"/>
  <c r="G148" i="312"/>
  <c r="G147" i="312"/>
  <c r="G145" i="312"/>
  <c r="F268" i="312" s="1"/>
  <c r="H144" i="312"/>
  <c r="H145" i="312" s="1"/>
  <c r="H150" i="312" s="1"/>
  <c r="H151" i="312" s="1"/>
  <c r="H152" i="312" s="1"/>
  <c r="G144" i="312"/>
  <c r="F267" i="312" s="1"/>
  <c r="G143" i="312"/>
  <c r="F266" i="312" s="1"/>
  <c r="G141" i="312"/>
  <c r="G140" i="312"/>
  <c r="H138" i="312"/>
  <c r="I138" i="312" s="1"/>
  <c r="G135" i="312"/>
  <c r="G134" i="312"/>
  <c r="J133" i="312"/>
  <c r="F132" i="312"/>
  <c r="D132" i="312"/>
  <c r="H131" i="312"/>
  <c r="H132" i="312" s="1"/>
  <c r="I132" i="312" s="1"/>
  <c r="F131" i="312"/>
  <c r="D131" i="312"/>
  <c r="F130" i="312"/>
  <c r="D130" i="312"/>
  <c r="I130" i="312" s="1"/>
  <c r="G128" i="312"/>
  <c r="G127" i="312"/>
  <c r="J126" i="312"/>
  <c r="E125" i="312"/>
  <c r="E152" i="312" s="1"/>
  <c r="D272" i="312" s="1"/>
  <c r="D125" i="312"/>
  <c r="H124" i="312"/>
  <c r="H125" i="312" s="1"/>
  <c r="E124" i="312"/>
  <c r="E151" i="312" s="1"/>
  <c r="D271" i="312" s="1"/>
  <c r="D124" i="312"/>
  <c r="D151" i="312" s="1"/>
  <c r="E123" i="312"/>
  <c r="E150" i="312" s="1"/>
  <c r="D270" i="312" s="1"/>
  <c r="D123" i="312"/>
  <c r="G121" i="312"/>
  <c r="G120" i="312"/>
  <c r="J119" i="312"/>
  <c r="E118" i="312"/>
  <c r="E145" i="312" s="1"/>
  <c r="D268" i="312" s="1"/>
  <c r="D118" i="312"/>
  <c r="F118" i="312" s="1"/>
  <c r="H117" i="312"/>
  <c r="H118" i="312" s="1"/>
  <c r="E117" i="312"/>
  <c r="E144" i="312" s="1"/>
  <c r="D267" i="312" s="1"/>
  <c r="D117" i="312"/>
  <c r="D116" i="312"/>
  <c r="G114" i="312"/>
  <c r="G113" i="312"/>
  <c r="J112" i="312"/>
  <c r="F111" i="312"/>
  <c r="F110" i="312"/>
  <c r="H109" i="312"/>
  <c r="H110" i="312" s="1"/>
  <c r="H111" i="312" s="1"/>
  <c r="F109" i="312"/>
  <c r="I109" i="312" s="1"/>
  <c r="G106" i="312"/>
  <c r="G105" i="312"/>
  <c r="G103" i="312"/>
  <c r="F232" i="312" s="1"/>
  <c r="F241" i="312" s="1"/>
  <c r="G102" i="312"/>
  <c r="F231" i="312" s="1"/>
  <c r="F240" i="312" s="1"/>
  <c r="G101" i="312"/>
  <c r="F230" i="312" s="1"/>
  <c r="C101" i="312"/>
  <c r="G99" i="312"/>
  <c r="G98" i="312"/>
  <c r="H96" i="312"/>
  <c r="H101" i="312" s="1"/>
  <c r="H102" i="312" s="1"/>
  <c r="H103" i="312" s="1"/>
  <c r="G96" i="312"/>
  <c r="G95" i="312"/>
  <c r="G94" i="312"/>
  <c r="H93" i="312"/>
  <c r="H94" i="312" s="1"/>
  <c r="H95" i="312" s="1"/>
  <c r="G93" i="312"/>
  <c r="G92" i="312"/>
  <c r="G90" i="312"/>
  <c r="G89" i="312"/>
  <c r="F87" i="312"/>
  <c r="E87" i="312"/>
  <c r="D264" i="312" s="1"/>
  <c r="D87" i="312"/>
  <c r="C264" i="312" s="1"/>
  <c r="E86" i="312"/>
  <c r="D263" i="312" s="1"/>
  <c r="D86" i="312"/>
  <c r="C263" i="312" s="1"/>
  <c r="E85" i="312"/>
  <c r="D85" i="312"/>
  <c r="F85" i="312" s="1"/>
  <c r="E84" i="312"/>
  <c r="D84" i="312"/>
  <c r="F84" i="312" s="1"/>
  <c r="E83" i="312"/>
  <c r="D260" i="312" s="1"/>
  <c r="D83" i="312"/>
  <c r="C260" i="312" s="1"/>
  <c r="E82" i="312"/>
  <c r="D82" i="312"/>
  <c r="C259" i="312" s="1"/>
  <c r="E81" i="312"/>
  <c r="D257" i="312" s="1"/>
  <c r="D81" i="312"/>
  <c r="E80" i="312"/>
  <c r="D256" i="312" s="1"/>
  <c r="D80" i="312"/>
  <c r="C256" i="312" s="1"/>
  <c r="E79" i="312"/>
  <c r="D255" i="312" s="1"/>
  <c r="D79" i="312"/>
  <c r="C255" i="312" s="1"/>
  <c r="E78" i="312"/>
  <c r="D254" i="312" s="1"/>
  <c r="D78" i="312"/>
  <c r="C254" i="312" s="1"/>
  <c r="E77" i="312"/>
  <c r="D253" i="312" s="1"/>
  <c r="D282" i="312" s="1"/>
  <c r="D77" i="312"/>
  <c r="C253" i="312" s="1"/>
  <c r="E76" i="312"/>
  <c r="D252" i="312" s="1"/>
  <c r="D281" i="312" s="1"/>
  <c r="D76" i="312"/>
  <c r="C252" i="312" s="1"/>
  <c r="E75" i="312"/>
  <c r="D251" i="312" s="1"/>
  <c r="D75" i="312"/>
  <c r="C251" i="312" s="1"/>
  <c r="E251" i="312" s="1"/>
  <c r="E74" i="312"/>
  <c r="D74" i="312"/>
  <c r="C249" i="312" s="1"/>
  <c r="E73" i="312"/>
  <c r="D248" i="312" s="1"/>
  <c r="D73" i="312"/>
  <c r="E72" i="312"/>
  <c r="D247" i="312" s="1"/>
  <c r="D72" i="312"/>
  <c r="C247" i="312" s="1"/>
  <c r="E71" i="312"/>
  <c r="D246" i="312" s="1"/>
  <c r="D71" i="312"/>
  <c r="C246" i="312" s="1"/>
  <c r="E246" i="312" s="1"/>
  <c r="H70" i="312"/>
  <c r="H71" i="312" s="1"/>
  <c r="H72" i="312" s="1"/>
  <c r="H76" i="312" s="1"/>
  <c r="H77" i="312" s="1"/>
  <c r="H78" i="312" s="1"/>
  <c r="H79" i="312" s="1"/>
  <c r="H80" i="312" s="1"/>
  <c r="H81" i="312" s="1"/>
  <c r="H82" i="312" s="1"/>
  <c r="H83" i="312" s="1"/>
  <c r="H84" i="312" s="1"/>
  <c r="H85" i="312" s="1"/>
  <c r="H86" i="312" s="1"/>
  <c r="H87" i="312" s="1"/>
  <c r="E70" i="312"/>
  <c r="D245" i="312" s="1"/>
  <c r="D70" i="312"/>
  <c r="C245" i="312" s="1"/>
  <c r="H69" i="312"/>
  <c r="D69" i="312"/>
  <c r="C244" i="312" s="1"/>
  <c r="E68" i="312"/>
  <c r="D243" i="312" s="1"/>
  <c r="G66" i="312"/>
  <c r="G65" i="312"/>
  <c r="J64" i="312"/>
  <c r="C64" i="312"/>
  <c r="E66" i="312" s="1"/>
  <c r="I66" i="312" s="1"/>
  <c r="I63" i="312"/>
  <c r="I62" i="312"/>
  <c r="I61" i="312"/>
  <c r="I60" i="312"/>
  <c r="G58" i="312"/>
  <c r="G57" i="312"/>
  <c r="J56" i="312"/>
  <c r="F55" i="312"/>
  <c r="D55" i="312"/>
  <c r="F54" i="312"/>
  <c r="D54" i="312"/>
  <c r="H53" i="312"/>
  <c r="H54" i="312" s="1"/>
  <c r="H55" i="312" s="1"/>
  <c r="F53" i="312"/>
  <c r="D53" i="312"/>
  <c r="D52" i="312"/>
  <c r="F52" i="312"/>
  <c r="G50" i="312"/>
  <c r="G49" i="312"/>
  <c r="J48" i="312"/>
  <c r="E47" i="312"/>
  <c r="D47" i="312"/>
  <c r="F47" i="312" s="1"/>
  <c r="E46" i="312"/>
  <c r="D46" i="312"/>
  <c r="E45" i="312"/>
  <c r="D45" i="312"/>
  <c r="E44" i="312"/>
  <c r="D44" i="312"/>
  <c r="F44" i="312" s="1"/>
  <c r="H43" i="312"/>
  <c r="H44" i="312" s="1"/>
  <c r="H45" i="312" s="1"/>
  <c r="H46" i="312" s="1"/>
  <c r="H47" i="312" s="1"/>
  <c r="E43" i="312"/>
  <c r="D43" i="312"/>
  <c r="F43" i="312" s="1"/>
  <c r="I43" i="312" s="1"/>
  <c r="G40" i="312"/>
  <c r="G39" i="312"/>
  <c r="J38" i="312"/>
  <c r="E37" i="312"/>
  <c r="E103" i="312" s="1"/>
  <c r="D232" i="312" s="1"/>
  <c r="D241" i="312" s="1"/>
  <c r="D37" i="312"/>
  <c r="H36" i="312"/>
  <c r="H37" i="312" s="1"/>
  <c r="E36" i="312"/>
  <c r="E102" i="312" s="1"/>
  <c r="D231" i="312" s="1"/>
  <c r="D240" i="312" s="1"/>
  <c r="D36" i="312"/>
  <c r="F36" i="312" s="1"/>
  <c r="I36" i="312" s="1"/>
  <c r="D42" i="312"/>
  <c r="E35" i="312"/>
  <c r="D35" i="312"/>
  <c r="G33" i="312"/>
  <c r="G32" i="312"/>
  <c r="J31" i="312"/>
  <c r="E30" i="312"/>
  <c r="E96" i="312" s="1"/>
  <c r="D229" i="312" s="1"/>
  <c r="D238" i="312" s="1"/>
  <c r="D30" i="312"/>
  <c r="E29" i="312"/>
  <c r="E95" i="312" s="1"/>
  <c r="D228" i="312" s="1"/>
  <c r="D237" i="312" s="1"/>
  <c r="D29" i="312"/>
  <c r="D95" i="312" s="1"/>
  <c r="E28" i="312"/>
  <c r="E94" i="312" s="1"/>
  <c r="D227" i="312" s="1"/>
  <c r="D236" i="312" s="1"/>
  <c r="D28" i="312"/>
  <c r="D94" i="312" s="1"/>
  <c r="H27" i="312"/>
  <c r="H28" i="312" s="1"/>
  <c r="H29" i="312" s="1"/>
  <c r="H30" i="312" s="1"/>
  <c r="E27" i="312"/>
  <c r="E93" i="312" s="1"/>
  <c r="D226" i="312" s="1"/>
  <c r="D235" i="312" s="1"/>
  <c r="D27" i="312"/>
  <c r="E26" i="312"/>
  <c r="E92" i="312" s="1"/>
  <c r="D225" i="312" s="1"/>
  <c r="D234" i="312" s="1"/>
  <c r="D26" i="312"/>
  <c r="J22" i="312"/>
  <c r="F21" i="312"/>
  <c r="F20" i="312"/>
  <c r="F19" i="312"/>
  <c r="I18" i="312"/>
  <c r="F18" i="312"/>
  <c r="F17" i="312"/>
  <c r="F16" i="312"/>
  <c r="H15" i="312"/>
  <c r="H16" i="312" s="1"/>
  <c r="H17" i="312" s="1"/>
  <c r="H18" i="312" s="1"/>
  <c r="H19" i="312" s="1"/>
  <c r="M11" i="312"/>
  <c r="M10" i="312"/>
  <c r="M9" i="312"/>
  <c r="H9" i="312"/>
  <c r="I9" i="312" s="1"/>
  <c r="M8" i="312"/>
  <c r="E8" i="312"/>
  <c r="C8" i="312"/>
  <c r="M7" i="312"/>
  <c r="M6" i="312"/>
  <c r="F190" i="312"/>
  <c r="C191" i="312" s="1"/>
  <c r="M5" i="312"/>
  <c r="E5" i="312"/>
  <c r="E366" i="312" s="1"/>
  <c r="D5" i="312"/>
  <c r="D366" i="312" s="1"/>
  <c r="M4" i="312"/>
  <c r="H4" i="312"/>
  <c r="B4" i="312"/>
  <c r="R370" i="312" s="1"/>
  <c r="D359" i="311"/>
  <c r="J116" i="311"/>
  <c r="E108" i="311"/>
  <c r="K116" i="311" s="1"/>
  <c r="K69" i="311"/>
  <c r="E69" i="311" s="1"/>
  <c r="D244" i="311" s="1"/>
  <c r="J69" i="311"/>
  <c r="J52" i="311"/>
  <c r="D52" i="311" s="1"/>
  <c r="J42" i="311"/>
  <c r="D42" i="311" s="1"/>
  <c r="J35" i="311"/>
  <c r="E15" i="311"/>
  <c r="K42" i="311" s="1"/>
  <c r="E42" i="311" s="1"/>
  <c r="D14" i="311"/>
  <c r="J68" i="311" s="1"/>
  <c r="S388" i="311"/>
  <c r="U388" i="311" s="1"/>
  <c r="U387" i="311" s="1"/>
  <c r="D386" i="311"/>
  <c r="I386" i="311" s="1"/>
  <c r="T382" i="311"/>
  <c r="S382" i="311"/>
  <c r="T381" i="311"/>
  <c r="U381" i="311" s="1"/>
  <c r="U380" i="311"/>
  <c r="T376" i="311"/>
  <c r="V372" i="311"/>
  <c r="S386" i="311" s="1"/>
  <c r="U386" i="311" s="1"/>
  <c r="C368" i="311"/>
  <c r="G366" i="311"/>
  <c r="H359" i="311"/>
  <c r="D352" i="311"/>
  <c r="H352" i="311" s="1"/>
  <c r="D351" i="311"/>
  <c r="H351" i="311" s="1"/>
  <c r="D345" i="311"/>
  <c r="D346" i="311" s="1"/>
  <c r="H341" i="311"/>
  <c r="C341" i="311"/>
  <c r="C340" i="311"/>
  <c r="G329" i="311"/>
  <c r="G328" i="311"/>
  <c r="G325" i="311"/>
  <c r="G323" i="311"/>
  <c r="E321" i="311"/>
  <c r="E319" i="311"/>
  <c r="F318" i="311"/>
  <c r="G318" i="311" s="1"/>
  <c r="C316" i="311"/>
  <c r="C318" i="311" s="1"/>
  <c r="G313" i="311"/>
  <c r="H312" i="311"/>
  <c r="D310" i="311"/>
  <c r="C309" i="311"/>
  <c r="H307" i="311"/>
  <c r="G305" i="311"/>
  <c r="E305" i="311"/>
  <c r="E304" i="311"/>
  <c r="D371" i="311" s="1"/>
  <c r="G303" i="311"/>
  <c r="H303" i="311" s="1"/>
  <c r="G302" i="311"/>
  <c r="H302" i="311" s="1"/>
  <c r="H301" i="311"/>
  <c r="H299" i="311"/>
  <c r="H297" i="311"/>
  <c r="F296" i="311"/>
  <c r="F298" i="311" s="1"/>
  <c r="F300" i="311" s="1"/>
  <c r="F302" i="311" s="1"/>
  <c r="F303" i="311" s="1"/>
  <c r="H295" i="311"/>
  <c r="F290" i="311"/>
  <c r="E289" i="311"/>
  <c r="G288" i="311"/>
  <c r="G289" i="311" s="1"/>
  <c r="E288" i="311"/>
  <c r="B288" i="311"/>
  <c r="B289" i="311" s="1"/>
  <c r="E287" i="311"/>
  <c r="G286" i="311"/>
  <c r="G287" i="311" s="1"/>
  <c r="E286" i="311"/>
  <c r="B286" i="311"/>
  <c r="B287" i="311" s="1"/>
  <c r="F284" i="311"/>
  <c r="F285" i="311" s="1"/>
  <c r="F283" i="311"/>
  <c r="B281" i="311"/>
  <c r="B282" i="311" s="1"/>
  <c r="B283" i="311" s="1"/>
  <c r="B284" i="311" s="1"/>
  <c r="F279" i="311"/>
  <c r="F278" i="311"/>
  <c r="F277" i="311"/>
  <c r="F276" i="311"/>
  <c r="I275" i="311"/>
  <c r="I276" i="311" s="1"/>
  <c r="I277" i="311" s="1"/>
  <c r="I278" i="311" s="1"/>
  <c r="I279" i="311" s="1"/>
  <c r="F275" i="311"/>
  <c r="F274" i="311"/>
  <c r="F280" i="311" s="1"/>
  <c r="F264" i="311"/>
  <c r="F263" i="311"/>
  <c r="F262" i="311"/>
  <c r="F261" i="311"/>
  <c r="F260" i="311"/>
  <c r="F259" i="311"/>
  <c r="F257" i="311"/>
  <c r="F256" i="311"/>
  <c r="F255" i="311"/>
  <c r="F254" i="311"/>
  <c r="F253" i="311"/>
  <c r="I252" i="311"/>
  <c r="I253" i="311" s="1"/>
  <c r="I254" i="311" s="1"/>
  <c r="I255" i="311" s="1"/>
  <c r="I256" i="311" s="1"/>
  <c r="I257" i="311" s="1"/>
  <c r="F252" i="311"/>
  <c r="F251" i="311"/>
  <c r="F249" i="311"/>
  <c r="F248" i="311"/>
  <c r="F247" i="311"/>
  <c r="F246" i="311"/>
  <c r="F245" i="311"/>
  <c r="F244" i="311"/>
  <c r="F243" i="311"/>
  <c r="F237" i="311"/>
  <c r="F229" i="311"/>
  <c r="F238" i="311" s="1"/>
  <c r="F228" i="311"/>
  <c r="F227" i="311"/>
  <c r="F236" i="311" s="1"/>
  <c r="F226" i="311"/>
  <c r="F235" i="311" s="1"/>
  <c r="F225" i="311"/>
  <c r="F234" i="311" s="1"/>
  <c r="B225" i="311"/>
  <c r="B226" i="311" s="1"/>
  <c r="B227" i="311" s="1"/>
  <c r="B228" i="311" s="1"/>
  <c r="B229" i="311" s="1"/>
  <c r="B230" i="311" s="1"/>
  <c r="B231" i="311" s="1"/>
  <c r="B232" i="311" s="1"/>
  <c r="B234" i="311" s="1"/>
  <c r="B235" i="311" s="1"/>
  <c r="B236" i="311" s="1"/>
  <c r="B237" i="311" s="1"/>
  <c r="B238" i="311" s="1"/>
  <c r="B239" i="311" s="1"/>
  <c r="B240" i="311" s="1"/>
  <c r="C223" i="311"/>
  <c r="I222" i="311"/>
  <c r="C222" i="311"/>
  <c r="I221" i="311"/>
  <c r="C219" i="311"/>
  <c r="C220" i="311" s="1"/>
  <c r="C221" i="311" s="1"/>
  <c r="E213" i="311"/>
  <c r="E214" i="311" s="1"/>
  <c r="E211" i="311"/>
  <c r="E212" i="311" s="1"/>
  <c r="E209" i="311"/>
  <c r="E210" i="311" s="1"/>
  <c r="I207" i="311"/>
  <c r="I208" i="311" s="1"/>
  <c r="E207" i="311"/>
  <c r="E208" i="311" s="1"/>
  <c r="E206" i="311"/>
  <c r="I205" i="311"/>
  <c r="I206" i="311" s="1"/>
  <c r="E205" i="311"/>
  <c r="I203" i="311"/>
  <c r="I204" i="311" s="1"/>
  <c r="E203" i="311"/>
  <c r="E204" i="311" s="1"/>
  <c r="G201" i="311"/>
  <c r="G200" i="311"/>
  <c r="C199" i="311"/>
  <c r="E201" i="311" s="1"/>
  <c r="I201" i="311" s="1"/>
  <c r="H198" i="311"/>
  <c r="I196" i="311"/>
  <c r="H196" i="311"/>
  <c r="I195" i="311"/>
  <c r="G193" i="311"/>
  <c r="G192" i="311"/>
  <c r="I189" i="311"/>
  <c r="H189" i="311"/>
  <c r="H190" i="311" s="1"/>
  <c r="I188" i="311"/>
  <c r="G186" i="311"/>
  <c r="G185" i="311"/>
  <c r="H182" i="311"/>
  <c r="I182" i="311" s="1"/>
  <c r="G179" i="311"/>
  <c r="G178" i="311"/>
  <c r="C177" i="311"/>
  <c r="E179" i="311" s="1"/>
  <c r="H175" i="311"/>
  <c r="I175" i="311" s="1"/>
  <c r="I174" i="311"/>
  <c r="G172" i="311"/>
  <c r="G171" i="311"/>
  <c r="C170" i="311"/>
  <c r="E171" i="311" s="1"/>
  <c r="I171" i="311" s="1"/>
  <c r="H168" i="311"/>
  <c r="H169" i="311" s="1"/>
  <c r="I169" i="311" s="1"/>
  <c r="I167" i="311"/>
  <c r="G165" i="311"/>
  <c r="G164" i="311"/>
  <c r="E162" i="311"/>
  <c r="D279" i="311" s="1"/>
  <c r="D162" i="311"/>
  <c r="C279" i="311" s="1"/>
  <c r="E161" i="311"/>
  <c r="D278" i="311" s="1"/>
  <c r="D161" i="311"/>
  <c r="C278" i="311" s="1"/>
  <c r="E160" i="311"/>
  <c r="D277" i="311" s="1"/>
  <c r="D160" i="311"/>
  <c r="C277" i="311" s="1"/>
  <c r="E277" i="311" s="1"/>
  <c r="E159" i="311"/>
  <c r="D276" i="311" s="1"/>
  <c r="D159" i="311"/>
  <c r="C276" i="311" s="1"/>
  <c r="F158" i="311"/>
  <c r="E158" i="311"/>
  <c r="D275" i="311" s="1"/>
  <c r="D158" i="311"/>
  <c r="C275" i="311" s="1"/>
  <c r="E275" i="311" s="1"/>
  <c r="H157" i="311"/>
  <c r="H158" i="311" s="1"/>
  <c r="E157" i="311"/>
  <c r="D274" i="311" s="1"/>
  <c r="D157" i="311"/>
  <c r="G155" i="311"/>
  <c r="G154" i="311"/>
  <c r="G152" i="311"/>
  <c r="F272" i="311" s="1"/>
  <c r="E152" i="311"/>
  <c r="D272" i="311" s="1"/>
  <c r="D152" i="311"/>
  <c r="C272" i="311" s="1"/>
  <c r="G151" i="311"/>
  <c r="F271" i="311" s="1"/>
  <c r="G150" i="311"/>
  <c r="F270" i="311" s="1"/>
  <c r="F273" i="311" s="1"/>
  <c r="G148" i="311"/>
  <c r="G147" i="311"/>
  <c r="G145" i="311"/>
  <c r="F268" i="311" s="1"/>
  <c r="H144" i="311"/>
  <c r="H145" i="311" s="1"/>
  <c r="H150" i="311" s="1"/>
  <c r="H151" i="311" s="1"/>
  <c r="H152" i="311" s="1"/>
  <c r="G144" i="311"/>
  <c r="F267" i="311" s="1"/>
  <c r="E144" i="311"/>
  <c r="D267" i="311" s="1"/>
  <c r="G143" i="311"/>
  <c r="F266" i="311" s="1"/>
  <c r="G141" i="311"/>
  <c r="G140" i="311"/>
  <c r="H138" i="311"/>
  <c r="I138" i="311" s="1"/>
  <c r="G135" i="311"/>
  <c r="G134" i="311"/>
  <c r="J133" i="311"/>
  <c r="F132" i="311"/>
  <c r="D132" i="311"/>
  <c r="H131" i="311"/>
  <c r="H132" i="311" s="1"/>
  <c r="F131" i="311"/>
  <c r="D131" i="311"/>
  <c r="F130" i="311"/>
  <c r="D130" i="311"/>
  <c r="I130" i="311" s="1"/>
  <c r="G128" i="311"/>
  <c r="G127" i="311"/>
  <c r="J126" i="311"/>
  <c r="E125" i="311"/>
  <c r="F125" i="311" s="1"/>
  <c r="D125" i="311"/>
  <c r="H124" i="311"/>
  <c r="H125" i="311" s="1"/>
  <c r="E124" i="311"/>
  <c r="E151" i="311" s="1"/>
  <c r="D124" i="311"/>
  <c r="F124" i="311" s="1"/>
  <c r="I124" i="311" s="1"/>
  <c r="E123" i="311"/>
  <c r="E150" i="311" s="1"/>
  <c r="D270" i="311" s="1"/>
  <c r="D123" i="311"/>
  <c r="G121" i="311"/>
  <c r="G120" i="311"/>
  <c r="J119" i="311"/>
  <c r="E118" i="311"/>
  <c r="E145" i="311" s="1"/>
  <c r="D268" i="311" s="1"/>
  <c r="D118" i="311"/>
  <c r="H117" i="311"/>
  <c r="H118" i="311" s="1"/>
  <c r="E117" i="311"/>
  <c r="F117" i="311" s="1"/>
  <c r="I117" i="311" s="1"/>
  <c r="D117" i="311"/>
  <c r="D144" i="311" s="1"/>
  <c r="G114" i="311"/>
  <c r="G113" i="311"/>
  <c r="J112" i="311"/>
  <c r="F111" i="311"/>
  <c r="F110" i="311"/>
  <c r="H109" i="311"/>
  <c r="H110" i="311" s="1"/>
  <c r="F109" i="311"/>
  <c r="I109" i="311" s="1"/>
  <c r="G106" i="311"/>
  <c r="G105" i="311"/>
  <c r="G103" i="311"/>
  <c r="F232" i="311" s="1"/>
  <c r="F241" i="311" s="1"/>
  <c r="G102" i="311"/>
  <c r="F231" i="311" s="1"/>
  <c r="F240" i="311" s="1"/>
  <c r="G101" i="311"/>
  <c r="F230" i="311" s="1"/>
  <c r="F239" i="311" s="1"/>
  <c r="C101" i="311"/>
  <c r="G99" i="311"/>
  <c r="G98" i="311"/>
  <c r="G96" i="311"/>
  <c r="G95" i="311"/>
  <c r="H94" i="311"/>
  <c r="H95" i="311" s="1"/>
  <c r="H96" i="311" s="1"/>
  <c r="H101" i="311" s="1"/>
  <c r="H102" i="311" s="1"/>
  <c r="H103" i="311" s="1"/>
  <c r="G94" i="311"/>
  <c r="H93" i="311"/>
  <c r="G93" i="311"/>
  <c r="G92" i="311"/>
  <c r="G90" i="311"/>
  <c r="G89" i="311"/>
  <c r="E87" i="311"/>
  <c r="D264" i="311" s="1"/>
  <c r="D87" i="311"/>
  <c r="C264" i="311" s="1"/>
  <c r="E86" i="311"/>
  <c r="D263" i="311" s="1"/>
  <c r="D86" i="311"/>
  <c r="C263" i="311" s="1"/>
  <c r="E85" i="311"/>
  <c r="D85" i="311"/>
  <c r="E84" i="311"/>
  <c r="F84" i="311" s="1"/>
  <c r="D84" i="311"/>
  <c r="F83" i="311"/>
  <c r="E83" i="311"/>
  <c r="D260" i="311" s="1"/>
  <c r="D83" i="311"/>
  <c r="C260" i="311" s="1"/>
  <c r="E82" i="311"/>
  <c r="D259" i="311" s="1"/>
  <c r="D82" i="311"/>
  <c r="C259" i="311" s="1"/>
  <c r="E81" i="311"/>
  <c r="D257" i="311" s="1"/>
  <c r="D81" i="311"/>
  <c r="C257" i="311" s="1"/>
  <c r="E80" i="311"/>
  <c r="D256" i="311" s="1"/>
  <c r="D80" i="311"/>
  <c r="C256" i="311" s="1"/>
  <c r="E79" i="311"/>
  <c r="D255" i="311" s="1"/>
  <c r="D79" i="311"/>
  <c r="C255" i="311" s="1"/>
  <c r="E78" i="311"/>
  <c r="D254" i="311" s="1"/>
  <c r="D78" i="311"/>
  <c r="C254" i="311" s="1"/>
  <c r="E77" i="311"/>
  <c r="D253" i="311" s="1"/>
  <c r="D282" i="311" s="1"/>
  <c r="D77" i="311"/>
  <c r="F76" i="311"/>
  <c r="E76" i="311"/>
  <c r="D252" i="311" s="1"/>
  <c r="D281" i="311" s="1"/>
  <c r="D76" i="311"/>
  <c r="C252" i="311" s="1"/>
  <c r="E75" i="311"/>
  <c r="D251" i="311" s="1"/>
  <c r="D75" i="311"/>
  <c r="C251" i="311" s="1"/>
  <c r="E251" i="311" s="1"/>
  <c r="E74" i="311"/>
  <c r="D249" i="311" s="1"/>
  <c r="D74" i="311"/>
  <c r="C249" i="311" s="1"/>
  <c r="E73" i="311"/>
  <c r="D248" i="311" s="1"/>
  <c r="D73" i="311"/>
  <c r="C248" i="311" s="1"/>
  <c r="E72" i="311"/>
  <c r="D247" i="311" s="1"/>
  <c r="D72" i="311"/>
  <c r="C247" i="311" s="1"/>
  <c r="E71" i="311"/>
  <c r="D246" i="311" s="1"/>
  <c r="D71" i="311"/>
  <c r="C246" i="311" s="1"/>
  <c r="E70" i="311"/>
  <c r="D245" i="311" s="1"/>
  <c r="D70" i="311"/>
  <c r="C245" i="311" s="1"/>
  <c r="H69" i="311"/>
  <c r="H70" i="311" s="1"/>
  <c r="D69" i="311"/>
  <c r="K68" i="311"/>
  <c r="E68" i="311" s="1"/>
  <c r="D243" i="311" s="1"/>
  <c r="G66" i="311"/>
  <c r="G65" i="311"/>
  <c r="J64" i="311"/>
  <c r="C64" i="311"/>
  <c r="E66" i="311" s="1"/>
  <c r="I63" i="311"/>
  <c r="I62" i="311"/>
  <c r="I61" i="311"/>
  <c r="I60" i="311"/>
  <c r="G58" i="311"/>
  <c r="G57" i="311"/>
  <c r="J56" i="311"/>
  <c r="F55" i="311"/>
  <c r="D55" i="311"/>
  <c r="F54" i="311"/>
  <c r="D54" i="311"/>
  <c r="H53" i="311"/>
  <c r="H54" i="311" s="1"/>
  <c r="H55" i="311" s="1"/>
  <c r="F53" i="311"/>
  <c r="D53" i="311"/>
  <c r="F52" i="311"/>
  <c r="G50" i="311"/>
  <c r="G49" i="311"/>
  <c r="J48" i="311"/>
  <c r="F47" i="311"/>
  <c r="E47" i="311"/>
  <c r="D47" i="311"/>
  <c r="E46" i="311"/>
  <c r="F46" i="311" s="1"/>
  <c r="D46" i="311"/>
  <c r="E45" i="311"/>
  <c r="D45" i="311"/>
  <c r="H44" i="311"/>
  <c r="H45" i="311" s="1"/>
  <c r="H46" i="311" s="1"/>
  <c r="H47" i="311" s="1"/>
  <c r="E44" i="311"/>
  <c r="F44" i="311" s="1"/>
  <c r="I44" i="311" s="1"/>
  <c r="D44" i="311"/>
  <c r="H43" i="311"/>
  <c r="E43" i="311"/>
  <c r="D43" i="311"/>
  <c r="G40" i="311"/>
  <c r="G39" i="311"/>
  <c r="J38" i="311"/>
  <c r="E37" i="311"/>
  <c r="F37" i="311" s="1"/>
  <c r="I37" i="311" s="1"/>
  <c r="D37" i="311"/>
  <c r="D103" i="311" s="1"/>
  <c r="H36" i="311"/>
  <c r="H37" i="311" s="1"/>
  <c r="E36" i="311"/>
  <c r="D36" i="311"/>
  <c r="D102" i="311" s="1"/>
  <c r="C231" i="311" s="1"/>
  <c r="E35" i="311"/>
  <c r="E101" i="311" s="1"/>
  <c r="D230" i="311" s="1"/>
  <c r="D239" i="311" s="1"/>
  <c r="D35" i="311"/>
  <c r="G33" i="311"/>
  <c r="G32" i="311"/>
  <c r="J31" i="311"/>
  <c r="E30" i="311"/>
  <c r="E96" i="311" s="1"/>
  <c r="D229" i="311" s="1"/>
  <c r="D238" i="311" s="1"/>
  <c r="D30" i="311"/>
  <c r="E29" i="311"/>
  <c r="F29" i="311" s="1"/>
  <c r="D29" i="311"/>
  <c r="E28" i="311"/>
  <c r="E94" i="311" s="1"/>
  <c r="D227" i="311" s="1"/>
  <c r="D236" i="311" s="1"/>
  <c r="D28" i="311"/>
  <c r="F28" i="311" s="1"/>
  <c r="H27" i="311"/>
  <c r="H28" i="311" s="1"/>
  <c r="H29" i="311" s="1"/>
  <c r="H30" i="311" s="1"/>
  <c r="E27" i="311"/>
  <c r="E93" i="311" s="1"/>
  <c r="D226" i="311" s="1"/>
  <c r="D235" i="311" s="1"/>
  <c r="D27" i="311"/>
  <c r="D93" i="311" s="1"/>
  <c r="E26" i="311"/>
  <c r="D26" i="311"/>
  <c r="F26" i="311" s="1"/>
  <c r="I26" i="311" s="1"/>
  <c r="J22" i="311"/>
  <c r="F21" i="311"/>
  <c r="F20" i="311"/>
  <c r="F19" i="311"/>
  <c r="F18" i="311"/>
  <c r="F17" i="311"/>
  <c r="F16" i="311"/>
  <c r="H15" i="311"/>
  <c r="H16" i="311" s="1"/>
  <c r="I16" i="311" s="1"/>
  <c r="F15" i="311"/>
  <c r="M11" i="311"/>
  <c r="M10" i="311"/>
  <c r="M9" i="311"/>
  <c r="H9" i="311"/>
  <c r="H10" i="311" s="1"/>
  <c r="H11" i="311" s="1"/>
  <c r="I11" i="311" s="1"/>
  <c r="M8" i="311"/>
  <c r="I8" i="311"/>
  <c r="E8" i="311"/>
  <c r="C8" i="311"/>
  <c r="M7" i="311"/>
  <c r="M6" i="311"/>
  <c r="F6" i="311"/>
  <c r="F217" i="311"/>
  <c r="D349" i="311" s="1"/>
  <c r="H349" i="311" s="1"/>
  <c r="M5" i="311"/>
  <c r="E5" i="311"/>
  <c r="E366" i="311" s="1"/>
  <c r="D5" i="311"/>
  <c r="M4" i="311"/>
  <c r="H4" i="311"/>
  <c r="B4" i="311"/>
  <c r="R370" i="311" s="1"/>
  <c r="H31" i="326" l="1"/>
  <c r="H51" i="326"/>
  <c r="H47" i="327"/>
  <c r="H34" i="331"/>
  <c r="H46" i="326"/>
  <c r="H48" i="326" s="1"/>
  <c r="E9" i="326"/>
  <c r="C121" i="326" s="1"/>
  <c r="H20" i="326"/>
  <c r="H57" i="327"/>
  <c r="F37" i="327"/>
  <c r="E48" i="327"/>
  <c r="H31" i="331"/>
  <c r="F32" i="331"/>
  <c r="H31" i="327"/>
  <c r="H34" i="327"/>
  <c r="H24" i="326"/>
  <c r="H51" i="327"/>
  <c r="G61" i="327"/>
  <c r="F21" i="331"/>
  <c r="H47" i="331"/>
  <c r="H48" i="331" s="1"/>
  <c r="H25" i="327"/>
  <c r="E53" i="327"/>
  <c r="F119" i="327"/>
  <c r="F21" i="326"/>
  <c r="H34" i="326"/>
  <c r="H124" i="326"/>
  <c r="H35" i="326"/>
  <c r="H101" i="327"/>
  <c r="H124" i="331"/>
  <c r="H7" i="326"/>
  <c r="H9" i="326" s="1"/>
  <c r="E53" i="326"/>
  <c r="H56" i="327"/>
  <c r="H57" i="331"/>
  <c r="B64" i="331"/>
  <c r="C218" i="334"/>
  <c r="H287" i="318"/>
  <c r="H305" i="329"/>
  <c r="H318" i="329"/>
  <c r="H288" i="318"/>
  <c r="H305" i="325"/>
  <c r="H288" i="314"/>
  <c r="H289" i="323"/>
  <c r="H287" i="313"/>
  <c r="H286" i="317"/>
  <c r="G251" i="334"/>
  <c r="H249" i="334"/>
  <c r="H250" i="334" s="1"/>
  <c r="H291" i="334" s="1"/>
  <c r="I291" i="334" s="1"/>
  <c r="C335" i="334"/>
  <c r="C320" i="334"/>
  <c r="C331" i="334"/>
  <c r="H331" i="334" s="1"/>
  <c r="C313" i="334"/>
  <c r="H313" i="334" s="1"/>
  <c r="H314" i="334" s="1"/>
  <c r="S377" i="334"/>
  <c r="C330" i="334"/>
  <c r="H330" i="334" s="1"/>
  <c r="H329" i="334"/>
  <c r="D356" i="334"/>
  <c r="H356" i="334" s="1"/>
  <c r="H363" i="334" s="1"/>
  <c r="E219" i="334"/>
  <c r="E223" i="334" s="1"/>
  <c r="S375" i="334" s="1"/>
  <c r="E148" i="334"/>
  <c r="I148" i="334" s="1"/>
  <c r="E147" i="334"/>
  <c r="I147" i="334" s="1"/>
  <c r="C333" i="334"/>
  <c r="H333" i="334" s="1"/>
  <c r="I388" i="334"/>
  <c r="C19" i="316"/>
  <c r="E29" i="316"/>
  <c r="H29" i="316" s="1"/>
  <c r="H32" i="316" s="1"/>
  <c r="H14" i="315"/>
  <c r="H20" i="315"/>
  <c r="H15" i="316"/>
  <c r="D9" i="316"/>
  <c r="D14" i="316" s="1"/>
  <c r="E19" i="316" s="1"/>
  <c r="H10" i="316"/>
  <c r="H16" i="316"/>
  <c r="H37" i="316"/>
  <c r="C226" i="311"/>
  <c r="F93" i="311"/>
  <c r="I93" i="311" s="1"/>
  <c r="H111" i="311"/>
  <c r="I110" i="311"/>
  <c r="C228" i="312"/>
  <c r="C237" i="312" s="1"/>
  <c r="F95" i="312"/>
  <c r="I95" i="312" s="1"/>
  <c r="I125" i="311"/>
  <c r="F157" i="311"/>
  <c r="I157" i="311" s="1"/>
  <c r="F159" i="311"/>
  <c r="H183" i="311"/>
  <c r="I183" i="311" s="1"/>
  <c r="U382" i="311"/>
  <c r="I44" i="312"/>
  <c r="I47" i="312"/>
  <c r="I111" i="312"/>
  <c r="I118" i="312"/>
  <c r="F158" i="312"/>
  <c r="I158" i="312" s="1"/>
  <c r="I182" i="312"/>
  <c r="H183" i="312"/>
  <c r="I183" i="312" s="1"/>
  <c r="D277" i="313"/>
  <c r="F160" i="313"/>
  <c r="C251" i="314"/>
  <c r="F75" i="314"/>
  <c r="F258" i="314"/>
  <c r="H71" i="317"/>
  <c r="H72" i="317" s="1"/>
  <c r="H76" i="317" s="1"/>
  <c r="H77" i="317" s="1"/>
  <c r="H78" i="317" s="1"/>
  <c r="H79" i="317" s="1"/>
  <c r="H80" i="317" s="1"/>
  <c r="H81" i="317" s="1"/>
  <c r="H82" i="317" s="1"/>
  <c r="H83" i="317" s="1"/>
  <c r="H84" i="317" s="1"/>
  <c r="H85" i="317" s="1"/>
  <c r="H86" i="317" s="1"/>
  <c r="H87" i="317" s="1"/>
  <c r="H73" i="317"/>
  <c r="H74" i="317" s="1"/>
  <c r="H75" i="317" s="1"/>
  <c r="H71" i="318"/>
  <c r="H72" i="318" s="1"/>
  <c r="H76" i="318" s="1"/>
  <c r="H77" i="318" s="1"/>
  <c r="H78" i="318" s="1"/>
  <c r="H79" i="318" s="1"/>
  <c r="D255" i="318"/>
  <c r="F79" i="318"/>
  <c r="E103" i="318"/>
  <c r="D232" i="318" s="1"/>
  <c r="D241" i="318" s="1"/>
  <c r="C259" i="320"/>
  <c r="E259" i="320" s="1"/>
  <c r="F82" i="320"/>
  <c r="E64" i="311"/>
  <c r="F75" i="311"/>
  <c r="F28" i="312"/>
  <c r="F77" i="312"/>
  <c r="I77" i="312" s="1"/>
  <c r="C252" i="313"/>
  <c r="F76" i="313"/>
  <c r="D145" i="314"/>
  <c r="F118" i="314"/>
  <c r="I118" i="314" s="1"/>
  <c r="C245" i="317"/>
  <c r="F70" i="317"/>
  <c r="I70" i="317" s="1"/>
  <c r="D254" i="319"/>
  <c r="F78" i="319"/>
  <c r="F27" i="311"/>
  <c r="E95" i="311"/>
  <c r="D228" i="311" s="1"/>
  <c r="D237" i="311" s="1"/>
  <c r="I15" i="311"/>
  <c r="F82" i="311"/>
  <c r="F152" i="311"/>
  <c r="H176" i="311"/>
  <c r="I176" i="311" s="1"/>
  <c r="E177" i="311" s="1"/>
  <c r="S385" i="311"/>
  <c r="U385" i="311" s="1"/>
  <c r="U384" i="311" s="1"/>
  <c r="I52" i="311"/>
  <c r="I16" i="312"/>
  <c r="I28" i="312"/>
  <c r="I47" i="313"/>
  <c r="D261" i="313"/>
  <c r="F84" i="313"/>
  <c r="E143" i="313"/>
  <c r="D266" i="313" s="1"/>
  <c r="D137" i="313"/>
  <c r="C139" i="313" s="1"/>
  <c r="F116" i="313"/>
  <c r="I116" i="313" s="1"/>
  <c r="F29" i="314"/>
  <c r="E95" i="314"/>
  <c r="D228" i="314" s="1"/>
  <c r="D237" i="314" s="1"/>
  <c r="E133" i="314"/>
  <c r="F27" i="317"/>
  <c r="I27" i="317" s="1"/>
  <c r="D93" i="317"/>
  <c r="C226" i="317" s="1"/>
  <c r="C259" i="317"/>
  <c r="F82" i="317"/>
  <c r="E133" i="319"/>
  <c r="F43" i="311"/>
  <c r="I43" i="311" s="1"/>
  <c r="F73" i="311"/>
  <c r="E260" i="311"/>
  <c r="E103" i="311"/>
  <c r="D232" i="311" s="1"/>
  <c r="D241" i="311" s="1"/>
  <c r="F160" i="311"/>
  <c r="H288" i="311"/>
  <c r="I17" i="312"/>
  <c r="G214" i="312"/>
  <c r="I214" i="312" s="1"/>
  <c r="F45" i="312"/>
  <c r="I45" i="312" s="1"/>
  <c r="E247" i="312"/>
  <c r="F125" i="312"/>
  <c r="I125" i="312" s="1"/>
  <c r="D152" i="312"/>
  <c r="C272" i="312" s="1"/>
  <c r="H176" i="312"/>
  <c r="I176" i="312" s="1"/>
  <c r="I175" i="312"/>
  <c r="E177" i="312" s="1"/>
  <c r="H110" i="313"/>
  <c r="I109" i="313"/>
  <c r="E92" i="314"/>
  <c r="D225" i="314" s="1"/>
  <c r="D234" i="314" s="1"/>
  <c r="F26" i="314"/>
  <c r="I26" i="314" s="1"/>
  <c r="I53" i="314"/>
  <c r="H54" i="314"/>
  <c r="F162" i="317"/>
  <c r="D279" i="317"/>
  <c r="I46" i="311"/>
  <c r="E249" i="311"/>
  <c r="I131" i="311"/>
  <c r="E278" i="311"/>
  <c r="I168" i="311"/>
  <c r="E170" i="311" s="1"/>
  <c r="E178" i="311"/>
  <c r="I178" i="311" s="1"/>
  <c r="C277" i="312"/>
  <c r="E277" i="312" s="1"/>
  <c r="F160" i="312"/>
  <c r="E178" i="312"/>
  <c r="E179" i="312"/>
  <c r="I179" i="312" s="1"/>
  <c r="F280" i="312"/>
  <c r="H288" i="312"/>
  <c r="G289" i="312"/>
  <c r="I108" i="314"/>
  <c r="C112" i="314"/>
  <c r="E113" i="314" s="1"/>
  <c r="F125" i="314"/>
  <c r="I125" i="314" s="1"/>
  <c r="E152" i="314"/>
  <c r="D272" i="314" s="1"/>
  <c r="I44" i="317"/>
  <c r="E133" i="317"/>
  <c r="F159" i="317"/>
  <c r="I159" i="317" s="1"/>
  <c r="C276" i="317"/>
  <c r="I111" i="311"/>
  <c r="F258" i="311"/>
  <c r="D144" i="312"/>
  <c r="F117" i="312"/>
  <c r="I117" i="312" s="1"/>
  <c r="D94" i="313"/>
  <c r="F28" i="313"/>
  <c r="F27" i="314"/>
  <c r="I27" i="314" s="1"/>
  <c r="E93" i="314"/>
  <c r="D226" i="314" s="1"/>
  <c r="D235" i="314" s="1"/>
  <c r="D257" i="314"/>
  <c r="F81" i="314"/>
  <c r="I124" i="318"/>
  <c r="I175" i="318"/>
  <c r="E177" i="318" s="1"/>
  <c r="H176" i="318"/>
  <c r="I176" i="318" s="1"/>
  <c r="F74" i="311"/>
  <c r="I132" i="311"/>
  <c r="F269" i="311"/>
  <c r="D151" i="311"/>
  <c r="C271" i="311" s="1"/>
  <c r="E276" i="311"/>
  <c r="F250" i="311"/>
  <c r="C338" i="311" s="1"/>
  <c r="F46" i="312"/>
  <c r="I46" i="312" s="1"/>
  <c r="I52" i="312"/>
  <c r="F79" i="312"/>
  <c r="E260" i="312"/>
  <c r="F269" i="312"/>
  <c r="E278" i="312"/>
  <c r="F258" i="312"/>
  <c r="E179" i="313"/>
  <c r="I179" i="313" s="1"/>
  <c r="E178" i="313"/>
  <c r="I178" i="313" s="1"/>
  <c r="C254" i="314"/>
  <c r="F78" i="314"/>
  <c r="D150" i="314"/>
  <c r="F123" i="314"/>
  <c r="I123" i="314" s="1"/>
  <c r="I132" i="314"/>
  <c r="U382" i="314"/>
  <c r="I16" i="320"/>
  <c r="I47" i="311"/>
  <c r="F81" i="311"/>
  <c r="F265" i="311"/>
  <c r="H286" i="311"/>
  <c r="I290" i="311"/>
  <c r="F181" i="311"/>
  <c r="I53" i="312"/>
  <c r="E65" i="312"/>
  <c r="I65" i="312" s="1"/>
  <c r="H73" i="312"/>
  <c r="H74" i="312" s="1"/>
  <c r="H75" i="312" s="1"/>
  <c r="E256" i="312"/>
  <c r="I29" i="313"/>
  <c r="F29" i="313"/>
  <c r="C260" i="313"/>
  <c r="F83" i="313"/>
  <c r="D94" i="314"/>
  <c r="F28" i="314"/>
  <c r="C248" i="317"/>
  <c r="E248" i="317" s="1"/>
  <c r="F73" i="317"/>
  <c r="E143" i="317"/>
  <c r="D266" i="317" s="1"/>
  <c r="D137" i="317"/>
  <c r="I137" i="317" s="1"/>
  <c r="E139" i="317" s="1"/>
  <c r="E255" i="318"/>
  <c r="C264" i="318"/>
  <c r="E264" i="318" s="1"/>
  <c r="F87" i="318"/>
  <c r="D96" i="319"/>
  <c r="F30" i="319"/>
  <c r="I30" i="319" s="1"/>
  <c r="E255" i="312"/>
  <c r="F82" i="312"/>
  <c r="F123" i="312"/>
  <c r="I131" i="312"/>
  <c r="E133" i="312" s="1"/>
  <c r="F157" i="312"/>
  <c r="I201" i="312"/>
  <c r="G212" i="313"/>
  <c r="I212" i="313" s="1"/>
  <c r="F75" i="313"/>
  <c r="I130" i="313"/>
  <c r="E275" i="313"/>
  <c r="H190" i="313"/>
  <c r="E200" i="313"/>
  <c r="I200" i="313" s="1"/>
  <c r="G212" i="314"/>
  <c r="I212" i="314" s="1"/>
  <c r="F85" i="314"/>
  <c r="F116" i="314"/>
  <c r="I116" i="314" s="1"/>
  <c r="F36" i="317"/>
  <c r="I36" i="317" s="1"/>
  <c r="F45" i="317"/>
  <c r="I45" i="317" s="1"/>
  <c r="F77" i="317"/>
  <c r="F86" i="317"/>
  <c r="E272" i="317"/>
  <c r="F273" i="317"/>
  <c r="C278" i="317"/>
  <c r="F285" i="317"/>
  <c r="F47" i="318"/>
  <c r="E65" i="318"/>
  <c r="I65" i="318" s="1"/>
  <c r="E248" i="318"/>
  <c r="E282" i="318"/>
  <c r="F117" i="318"/>
  <c r="I117" i="318" s="1"/>
  <c r="F123" i="318"/>
  <c r="I123" i="318" s="1"/>
  <c r="F158" i="318"/>
  <c r="F280" i="318"/>
  <c r="D346" i="318"/>
  <c r="U376" i="318"/>
  <c r="E184" i="319"/>
  <c r="H289" i="319"/>
  <c r="H290" i="319" s="1"/>
  <c r="F30" i="320"/>
  <c r="E260" i="320"/>
  <c r="F269" i="320"/>
  <c r="H183" i="320"/>
  <c r="I183" i="320" s="1"/>
  <c r="C315" i="320"/>
  <c r="H315" i="320" s="1"/>
  <c r="H286" i="320"/>
  <c r="F36" i="321"/>
  <c r="I36" i="321" s="1"/>
  <c r="F43" i="321"/>
  <c r="I43" i="321" s="1"/>
  <c r="F46" i="321"/>
  <c r="I46" i="321" s="1"/>
  <c r="I55" i="321"/>
  <c r="C245" i="321"/>
  <c r="E245" i="321" s="1"/>
  <c r="F70" i="321"/>
  <c r="I70" i="321" s="1"/>
  <c r="E254" i="321"/>
  <c r="E201" i="321"/>
  <c r="I201" i="321" s="1"/>
  <c r="E200" i="321"/>
  <c r="I200" i="321" s="1"/>
  <c r="I171" i="322"/>
  <c r="D103" i="323"/>
  <c r="F37" i="323"/>
  <c r="I290" i="323"/>
  <c r="E139" i="314"/>
  <c r="F258" i="317"/>
  <c r="F280" i="317"/>
  <c r="F30" i="318"/>
  <c r="E257" i="318"/>
  <c r="I109" i="318"/>
  <c r="E279" i="318"/>
  <c r="I171" i="318"/>
  <c r="F5" i="318"/>
  <c r="I15" i="319"/>
  <c r="F46" i="319"/>
  <c r="I66" i="319"/>
  <c r="E248" i="319"/>
  <c r="E256" i="319"/>
  <c r="F84" i="319"/>
  <c r="E264" i="319"/>
  <c r="I66" i="320"/>
  <c r="E170" i="320"/>
  <c r="E199" i="320"/>
  <c r="E171" i="321"/>
  <c r="I171" i="321" s="1"/>
  <c r="E172" i="321"/>
  <c r="I172" i="321" s="1"/>
  <c r="C255" i="323"/>
  <c r="E255" i="323" s="1"/>
  <c r="F79" i="323"/>
  <c r="I79" i="323" s="1"/>
  <c r="F285" i="312"/>
  <c r="H289" i="312"/>
  <c r="I125" i="313"/>
  <c r="F280" i="313"/>
  <c r="F366" i="314"/>
  <c r="F76" i="314"/>
  <c r="F158" i="314"/>
  <c r="H176" i="314"/>
  <c r="I176" i="314" s="1"/>
  <c r="E177" i="314" s="1"/>
  <c r="F250" i="314"/>
  <c r="C338" i="314" s="1"/>
  <c r="C343" i="314" s="1"/>
  <c r="H343" i="314" s="1"/>
  <c r="E275" i="314"/>
  <c r="C279" i="314"/>
  <c r="G212" i="317"/>
  <c r="I212" i="317" s="1"/>
  <c r="E264" i="317"/>
  <c r="F123" i="317"/>
  <c r="I123" i="317" s="1"/>
  <c r="I175" i="317"/>
  <c r="E177" i="317" s="1"/>
  <c r="F250" i="317"/>
  <c r="E64" i="318"/>
  <c r="E249" i="318"/>
  <c r="E267" i="318"/>
  <c r="C22" i="318"/>
  <c r="I37" i="319"/>
  <c r="F123" i="319"/>
  <c r="I123" i="319" s="1"/>
  <c r="E277" i="319"/>
  <c r="F43" i="320"/>
  <c r="I43" i="320" s="1"/>
  <c r="F46" i="320"/>
  <c r="F73" i="320"/>
  <c r="F84" i="320"/>
  <c r="E279" i="320"/>
  <c r="U382" i="320"/>
  <c r="D181" i="320"/>
  <c r="C184" i="320" s="1"/>
  <c r="F78" i="321"/>
  <c r="C133" i="322"/>
  <c r="I130" i="322"/>
  <c r="E133" i="322" s="1"/>
  <c r="D251" i="323"/>
  <c r="F75" i="323"/>
  <c r="F87" i="323"/>
  <c r="E264" i="312"/>
  <c r="E275" i="312"/>
  <c r="D344" i="312"/>
  <c r="H344" i="312" s="1"/>
  <c r="I18" i="313"/>
  <c r="E245" i="313"/>
  <c r="E199" i="313"/>
  <c r="F46" i="314"/>
  <c r="I201" i="314"/>
  <c r="I8" i="317"/>
  <c r="G213" i="317"/>
  <c r="I213" i="317" s="1"/>
  <c r="F46" i="317"/>
  <c r="I46" i="317" s="1"/>
  <c r="F74" i="317"/>
  <c r="I74" i="317" s="1"/>
  <c r="E254" i="317"/>
  <c r="F118" i="317"/>
  <c r="I168" i="317"/>
  <c r="K69" i="317"/>
  <c r="I30" i="318"/>
  <c r="F42" i="318"/>
  <c r="D93" i="318"/>
  <c r="I118" i="318"/>
  <c r="D151" i="318"/>
  <c r="F162" i="318"/>
  <c r="I16" i="319"/>
  <c r="E65" i="319"/>
  <c r="I65" i="319" s="1"/>
  <c r="F77" i="319"/>
  <c r="F118" i="319"/>
  <c r="I118" i="319" s="1"/>
  <c r="F269" i="319"/>
  <c r="F273" i="319"/>
  <c r="E170" i="319"/>
  <c r="E172" i="319"/>
  <c r="I172" i="319" s="1"/>
  <c r="H286" i="319"/>
  <c r="I53" i="320"/>
  <c r="E65" i="320"/>
  <c r="I65" i="320" s="1"/>
  <c r="E308" i="320"/>
  <c r="I118" i="321"/>
  <c r="C133" i="321"/>
  <c r="D344" i="321"/>
  <c r="H344" i="321" s="1"/>
  <c r="E204" i="321"/>
  <c r="E199" i="312"/>
  <c r="F265" i="312"/>
  <c r="I55" i="313"/>
  <c r="E249" i="313"/>
  <c r="F80" i="313"/>
  <c r="E277" i="313"/>
  <c r="F250" i="313"/>
  <c r="F265" i="313"/>
  <c r="I66" i="313"/>
  <c r="F74" i="314"/>
  <c r="F83" i="314"/>
  <c r="F86" i="314"/>
  <c r="F93" i="314"/>
  <c r="I93" i="314" s="1"/>
  <c r="C139" i="314"/>
  <c r="E141" i="314" s="1"/>
  <c r="I141" i="314" s="1"/>
  <c r="I171" i="314"/>
  <c r="I200" i="314"/>
  <c r="F265" i="314"/>
  <c r="E308" i="314"/>
  <c r="F26" i="317"/>
  <c r="F81" i="317"/>
  <c r="F269" i="317"/>
  <c r="F158" i="317"/>
  <c r="I158" i="317" s="1"/>
  <c r="E279" i="317"/>
  <c r="I171" i="317"/>
  <c r="F265" i="317"/>
  <c r="F43" i="318"/>
  <c r="I43" i="318" s="1"/>
  <c r="F69" i="318"/>
  <c r="I69" i="318" s="1"/>
  <c r="F71" i="318"/>
  <c r="I71" i="318" s="1"/>
  <c r="F159" i="318"/>
  <c r="I159" i="318" s="1"/>
  <c r="E199" i="318"/>
  <c r="H305" i="318"/>
  <c r="U382" i="318"/>
  <c r="F47" i="319"/>
  <c r="F70" i="319"/>
  <c r="E254" i="319"/>
  <c r="C315" i="319"/>
  <c r="H315" i="319" s="1"/>
  <c r="F47" i="320"/>
  <c r="F81" i="320"/>
  <c r="I109" i="320"/>
  <c r="F162" i="320"/>
  <c r="C257" i="322"/>
  <c r="E257" i="322" s="1"/>
  <c r="F81" i="322"/>
  <c r="H286" i="322"/>
  <c r="H290" i="322" s="1"/>
  <c r="G287" i="322"/>
  <c r="H287" i="322" s="1"/>
  <c r="D252" i="321"/>
  <c r="D281" i="321" s="1"/>
  <c r="F76" i="321"/>
  <c r="F160" i="322"/>
  <c r="D277" i="322"/>
  <c r="F73" i="323"/>
  <c r="C248" i="323"/>
  <c r="E248" i="323" s="1"/>
  <c r="H161" i="323"/>
  <c r="H162" i="323"/>
  <c r="F123" i="313"/>
  <c r="I132" i="313"/>
  <c r="F273" i="314"/>
  <c r="C133" i="317"/>
  <c r="I52" i="318"/>
  <c r="E247" i="318"/>
  <c r="D145" i="318"/>
  <c r="F82" i="319"/>
  <c r="E263" i="319"/>
  <c r="F117" i="319"/>
  <c r="I117" i="319" s="1"/>
  <c r="I131" i="319"/>
  <c r="E279" i="319"/>
  <c r="F36" i="320"/>
  <c r="I36" i="320" s="1"/>
  <c r="E251" i="320"/>
  <c r="E172" i="320"/>
  <c r="I172" i="320" s="1"/>
  <c r="G212" i="321"/>
  <c r="I212" i="321" s="1"/>
  <c r="F26" i="321"/>
  <c r="F280" i="321"/>
  <c r="I111" i="322"/>
  <c r="D150" i="322"/>
  <c r="F123" i="322"/>
  <c r="I123" i="322" s="1"/>
  <c r="I182" i="323"/>
  <c r="H183" i="323"/>
  <c r="I183" i="323" s="1"/>
  <c r="I110" i="312"/>
  <c r="C133" i="312"/>
  <c r="E308" i="312"/>
  <c r="F46" i="313"/>
  <c r="I46" i="313" s="1"/>
  <c r="E247" i="313"/>
  <c r="E259" i="313"/>
  <c r="D92" i="313"/>
  <c r="C225" i="313" s="1"/>
  <c r="C234" i="313" s="1"/>
  <c r="E278" i="313"/>
  <c r="I168" i="313"/>
  <c r="I201" i="313"/>
  <c r="I29" i="314"/>
  <c r="I44" i="318"/>
  <c r="I53" i="318"/>
  <c r="E253" i="318"/>
  <c r="E275" i="318"/>
  <c r="F45" i="319"/>
  <c r="I54" i="319"/>
  <c r="E244" i="319"/>
  <c r="E247" i="319"/>
  <c r="E255" i="319"/>
  <c r="E260" i="319"/>
  <c r="I125" i="319"/>
  <c r="F258" i="319"/>
  <c r="H305" i="319"/>
  <c r="H308" i="319" s="1"/>
  <c r="G212" i="320"/>
  <c r="I212" i="320" s="1"/>
  <c r="I118" i="320"/>
  <c r="I132" i="320"/>
  <c r="F273" i="320"/>
  <c r="G289" i="320"/>
  <c r="H71" i="321"/>
  <c r="H72" i="321" s="1"/>
  <c r="H76" i="321" s="1"/>
  <c r="H73" i="321"/>
  <c r="H74" i="321" s="1"/>
  <c r="H75" i="321" s="1"/>
  <c r="I54" i="323"/>
  <c r="I44" i="321"/>
  <c r="J48" i="321"/>
  <c r="I54" i="321"/>
  <c r="F162" i="321"/>
  <c r="F29" i="322"/>
  <c r="I29" i="322" s="1"/>
  <c r="F77" i="322"/>
  <c r="F28" i="323"/>
  <c r="G214" i="323"/>
  <c r="I214" i="323" s="1"/>
  <c r="J48" i="323"/>
  <c r="D381" i="323" s="1"/>
  <c r="I381" i="323" s="1"/>
  <c r="F116" i="323"/>
  <c r="F162" i="323"/>
  <c r="I171" i="323"/>
  <c r="I178" i="323"/>
  <c r="H287" i="323"/>
  <c r="F36" i="324"/>
  <c r="I36" i="324" s="1"/>
  <c r="I130" i="324"/>
  <c r="F258" i="324"/>
  <c r="F265" i="324"/>
  <c r="F366" i="325"/>
  <c r="F42" i="325"/>
  <c r="I55" i="325"/>
  <c r="E249" i="325"/>
  <c r="F161" i="325"/>
  <c r="I172" i="325"/>
  <c r="I201" i="325"/>
  <c r="F250" i="325"/>
  <c r="U376" i="325"/>
  <c r="I9" i="328"/>
  <c r="E64" i="328"/>
  <c r="E243" i="328"/>
  <c r="E249" i="328"/>
  <c r="E257" i="328"/>
  <c r="F87" i="328"/>
  <c r="F118" i="328"/>
  <c r="I118" i="328" s="1"/>
  <c r="F265" i="328"/>
  <c r="I9" i="329"/>
  <c r="F29" i="329"/>
  <c r="I29" i="329" s="1"/>
  <c r="F47" i="329"/>
  <c r="H71" i="329"/>
  <c r="H72" i="329" s="1"/>
  <c r="H76" i="329" s="1"/>
  <c r="H77" i="329" s="1"/>
  <c r="H78" i="329" s="1"/>
  <c r="H79" i="329" s="1"/>
  <c r="H80" i="329" s="1"/>
  <c r="H81" i="329" s="1"/>
  <c r="H82" i="329" s="1"/>
  <c r="H83" i="329" s="1"/>
  <c r="H84" i="329" s="1"/>
  <c r="H85" i="329" s="1"/>
  <c r="H86" i="329" s="1"/>
  <c r="H87" i="329" s="1"/>
  <c r="E254" i="329"/>
  <c r="F81" i="329"/>
  <c r="E277" i="329"/>
  <c r="H183" i="329"/>
  <c r="I183" i="329" s="1"/>
  <c r="I8" i="321"/>
  <c r="I16" i="321"/>
  <c r="D102" i="321"/>
  <c r="C231" i="321" s="1"/>
  <c r="I110" i="321"/>
  <c r="F159" i="321"/>
  <c r="I159" i="321" s="1"/>
  <c r="H190" i="321"/>
  <c r="U376" i="321"/>
  <c r="I55" i="322"/>
  <c r="I132" i="323"/>
  <c r="S376" i="323"/>
  <c r="U376" i="323" s="1"/>
  <c r="D15" i="323"/>
  <c r="F15" i="323" s="1"/>
  <c r="J35" i="323"/>
  <c r="I17" i="324"/>
  <c r="F29" i="324"/>
  <c r="I29" i="324" s="1"/>
  <c r="I55" i="324"/>
  <c r="F81" i="324"/>
  <c r="F250" i="324"/>
  <c r="I45" i="325"/>
  <c r="F70" i="325"/>
  <c r="F125" i="325"/>
  <c r="F158" i="325"/>
  <c r="C338" i="328"/>
  <c r="F258" i="328"/>
  <c r="G214" i="329"/>
  <c r="I214" i="329" s="1"/>
  <c r="F44" i="329"/>
  <c r="I55" i="329"/>
  <c r="E56" i="329" s="1"/>
  <c r="E247" i="329"/>
  <c r="G214" i="321"/>
  <c r="I214" i="321" s="1"/>
  <c r="F45" i="321"/>
  <c r="I45" i="321" s="1"/>
  <c r="F84" i="321"/>
  <c r="F117" i="321"/>
  <c r="I117" i="321" s="1"/>
  <c r="F285" i="321"/>
  <c r="F118" i="322"/>
  <c r="I118" i="322" s="1"/>
  <c r="F162" i="322"/>
  <c r="I179" i="322"/>
  <c r="F265" i="322"/>
  <c r="F29" i="323"/>
  <c r="F258" i="323"/>
  <c r="H305" i="323"/>
  <c r="F74" i="324"/>
  <c r="I131" i="324"/>
  <c r="F159" i="324"/>
  <c r="I159" i="324" s="1"/>
  <c r="F26" i="325"/>
  <c r="I26" i="325" s="1"/>
  <c r="H190" i="325"/>
  <c r="H124" i="327"/>
  <c r="G213" i="328"/>
  <c r="I213" i="328" s="1"/>
  <c r="I55" i="328"/>
  <c r="F68" i="328"/>
  <c r="F71" i="328"/>
  <c r="F74" i="328"/>
  <c r="F81" i="328"/>
  <c r="I290" i="328"/>
  <c r="E308" i="328"/>
  <c r="C112" i="329"/>
  <c r="F160" i="329"/>
  <c r="E170" i="329"/>
  <c r="F71" i="321"/>
  <c r="I111" i="321"/>
  <c r="F123" i="321"/>
  <c r="I132" i="321"/>
  <c r="F157" i="321"/>
  <c r="C264" i="321"/>
  <c r="E264" i="321" s="1"/>
  <c r="J35" i="321"/>
  <c r="D35" i="321" s="1"/>
  <c r="F5" i="322"/>
  <c r="H5" i="322" s="1"/>
  <c r="I8" i="322"/>
  <c r="F28" i="322"/>
  <c r="F43" i="322"/>
  <c r="I43" i="322" s="1"/>
  <c r="I53" i="322"/>
  <c r="E255" i="322"/>
  <c r="E277" i="322"/>
  <c r="E178" i="322"/>
  <c r="I178" i="322" s="1"/>
  <c r="F366" i="323"/>
  <c r="F45" i="323"/>
  <c r="I45" i="323" s="1"/>
  <c r="E251" i="323"/>
  <c r="E259" i="323"/>
  <c r="C112" i="323"/>
  <c r="E113" i="323" s="1"/>
  <c r="J68" i="323"/>
  <c r="J69" i="323" s="1"/>
  <c r="I53" i="324"/>
  <c r="E251" i="324"/>
  <c r="I109" i="324"/>
  <c r="I172" i="324"/>
  <c r="I53" i="325"/>
  <c r="F78" i="325"/>
  <c r="E263" i="325"/>
  <c r="F123" i="325"/>
  <c r="F280" i="325"/>
  <c r="G214" i="328"/>
  <c r="I214" i="328" s="1"/>
  <c r="F46" i="328"/>
  <c r="I66" i="328"/>
  <c r="E244" i="328"/>
  <c r="E251" i="328"/>
  <c r="E259" i="328"/>
  <c r="F158" i="328"/>
  <c r="I158" i="328" s="1"/>
  <c r="I200" i="328"/>
  <c r="H287" i="328"/>
  <c r="H305" i="328"/>
  <c r="U382" i="328"/>
  <c r="H4" i="329"/>
  <c r="F42" i="329"/>
  <c r="F45" i="329"/>
  <c r="I54" i="329"/>
  <c r="E252" i="329"/>
  <c r="E260" i="329"/>
  <c r="I132" i="329"/>
  <c r="H176" i="329"/>
  <c r="I176" i="329" s="1"/>
  <c r="F250" i="329"/>
  <c r="C338" i="329" s="1"/>
  <c r="F258" i="329"/>
  <c r="H288" i="329"/>
  <c r="U382" i="329"/>
  <c r="I43" i="324"/>
  <c r="E247" i="325"/>
  <c r="E255" i="325"/>
  <c r="I109" i="325"/>
  <c r="E112" i="325" s="1"/>
  <c r="F27" i="328"/>
  <c r="I53" i="328"/>
  <c r="D93" i="328"/>
  <c r="C226" i="328" s="1"/>
  <c r="C235" i="328" s="1"/>
  <c r="I15" i="329"/>
  <c r="E256" i="329"/>
  <c r="E264" i="329"/>
  <c r="I109" i="329"/>
  <c r="I118" i="329"/>
  <c r="F46" i="322"/>
  <c r="H305" i="322"/>
  <c r="I130" i="323"/>
  <c r="I54" i="324"/>
  <c r="I110" i="324"/>
  <c r="I200" i="324"/>
  <c r="E266" i="325"/>
  <c r="C133" i="328"/>
  <c r="E135" i="328" s="1"/>
  <c r="I135" i="328" s="1"/>
  <c r="I73" i="329"/>
  <c r="I76" i="329"/>
  <c r="D144" i="329"/>
  <c r="C267" i="329" s="1"/>
  <c r="F161" i="329"/>
  <c r="F265" i="329"/>
  <c r="F47" i="321"/>
  <c r="I47" i="321" s="1"/>
  <c r="F79" i="321"/>
  <c r="F265" i="321"/>
  <c r="U382" i="321"/>
  <c r="F44" i="322"/>
  <c r="I44" i="322" s="1"/>
  <c r="F47" i="322"/>
  <c r="I47" i="322" s="1"/>
  <c r="I54" i="322"/>
  <c r="E282" i="322"/>
  <c r="F273" i="322"/>
  <c r="E308" i="322"/>
  <c r="F47" i="323"/>
  <c r="I131" i="323"/>
  <c r="H176" i="323"/>
  <c r="I176" i="323" s="1"/>
  <c r="E177" i="323" s="1"/>
  <c r="U382" i="323"/>
  <c r="F44" i="324"/>
  <c r="F47" i="324"/>
  <c r="F73" i="324"/>
  <c r="F117" i="324"/>
  <c r="I117" i="324" s="1"/>
  <c r="E278" i="324"/>
  <c r="I8" i="325"/>
  <c r="F44" i="325"/>
  <c r="I44" i="325" s="1"/>
  <c r="I54" i="325"/>
  <c r="F76" i="325"/>
  <c r="E256" i="325"/>
  <c r="E264" i="325"/>
  <c r="I110" i="325"/>
  <c r="E143" i="325"/>
  <c r="D266" i="325" s="1"/>
  <c r="F273" i="325"/>
  <c r="E278" i="325"/>
  <c r="I30" i="328"/>
  <c r="F42" i="328"/>
  <c r="E260" i="328"/>
  <c r="S376" i="328"/>
  <c r="U376" i="328" s="1"/>
  <c r="E246" i="329"/>
  <c r="E282" i="329"/>
  <c r="E279" i="329"/>
  <c r="E200" i="329"/>
  <c r="I200" i="329" s="1"/>
  <c r="E253" i="329"/>
  <c r="E264" i="323"/>
  <c r="I16" i="324"/>
  <c r="H73" i="324"/>
  <c r="H74" i="324" s="1"/>
  <c r="H75" i="324" s="1"/>
  <c r="I111" i="324"/>
  <c r="E133" i="325"/>
  <c r="I54" i="328"/>
  <c r="F73" i="328"/>
  <c r="I132" i="328"/>
  <c r="F26" i="329"/>
  <c r="U376" i="329"/>
  <c r="I34" i="333"/>
  <c r="I35" i="333" s="1"/>
  <c r="K35" i="324"/>
  <c r="E35" i="324" s="1"/>
  <c r="G214" i="324" s="1"/>
  <c r="I214" i="324" s="1"/>
  <c r="K68" i="318"/>
  <c r="E68" i="318" s="1"/>
  <c r="D243" i="318" s="1"/>
  <c r="D62" i="321"/>
  <c r="I60" i="313"/>
  <c r="E64" i="313" s="1"/>
  <c r="E108" i="318"/>
  <c r="K116" i="318" s="1"/>
  <c r="E116" i="318" s="1"/>
  <c r="D137" i="318" s="1"/>
  <c r="C139" i="318" s="1"/>
  <c r="D62" i="317"/>
  <c r="I62" i="317" s="1"/>
  <c r="J69" i="321"/>
  <c r="D69" i="321" s="1"/>
  <c r="C244" i="321" s="1"/>
  <c r="D68" i="321"/>
  <c r="C243" i="321" s="1"/>
  <c r="J52" i="321"/>
  <c r="D52" i="321" s="1"/>
  <c r="I52" i="321" s="1"/>
  <c r="E56" i="321" s="1"/>
  <c r="J42" i="321"/>
  <c r="D42" i="321" s="1"/>
  <c r="D358" i="311"/>
  <c r="I10" i="311"/>
  <c r="I10" i="317"/>
  <c r="H11" i="317"/>
  <c r="I11" i="317" s="1"/>
  <c r="H10" i="322"/>
  <c r="H11" i="322" s="1"/>
  <c r="I11" i="322" s="1"/>
  <c r="H10" i="325"/>
  <c r="H11" i="325" s="1"/>
  <c r="I11" i="325" s="1"/>
  <c r="I9" i="317"/>
  <c r="H10" i="314"/>
  <c r="H11" i="314" s="1"/>
  <c r="I11" i="314" s="1"/>
  <c r="I10" i="320"/>
  <c r="H10" i="312"/>
  <c r="H11" i="318"/>
  <c r="I11" i="318" s="1"/>
  <c r="I9" i="311"/>
  <c r="I12" i="311" s="1"/>
  <c r="H10" i="319"/>
  <c r="I10" i="319" s="1"/>
  <c r="F64" i="331"/>
  <c r="H25" i="326"/>
  <c r="H36" i="326"/>
  <c r="H37" i="326" s="1"/>
  <c r="H60" i="326"/>
  <c r="H19" i="327"/>
  <c r="H36" i="327"/>
  <c r="E48" i="326"/>
  <c r="C35" i="327"/>
  <c r="E87" i="327"/>
  <c r="H92" i="327"/>
  <c r="H30" i="331"/>
  <c r="H25" i="331"/>
  <c r="H15" i="326"/>
  <c r="E81" i="327"/>
  <c r="H81" i="327" s="1"/>
  <c r="F37" i="331"/>
  <c r="G19" i="326"/>
  <c r="H62" i="326"/>
  <c r="H93" i="326"/>
  <c r="E119" i="331"/>
  <c r="E80" i="331" s="1"/>
  <c r="H80" i="331" s="1"/>
  <c r="H57" i="326"/>
  <c r="H58" i="326" s="1"/>
  <c r="F32" i="327"/>
  <c r="D69" i="327"/>
  <c r="H70" i="327" s="1"/>
  <c r="H93" i="327"/>
  <c r="H58" i="331"/>
  <c r="H60" i="331"/>
  <c r="H43" i="326"/>
  <c r="G61" i="326"/>
  <c r="E9" i="327"/>
  <c r="C121" i="327" s="1"/>
  <c r="F26" i="327"/>
  <c r="H43" i="327"/>
  <c r="H52" i="327"/>
  <c r="H60" i="327"/>
  <c r="E112" i="327"/>
  <c r="E119" i="327" s="1"/>
  <c r="E80" i="327" s="1"/>
  <c r="H29" i="331"/>
  <c r="H32" i="331" s="1"/>
  <c r="H36" i="331"/>
  <c r="H98" i="331"/>
  <c r="H101" i="331" s="1"/>
  <c r="H52" i="326"/>
  <c r="H83" i="326"/>
  <c r="H98" i="326"/>
  <c r="H101" i="326" s="1"/>
  <c r="H29" i="327"/>
  <c r="E53" i="331"/>
  <c r="E73" i="331"/>
  <c r="D76" i="331" s="1"/>
  <c r="F26" i="331"/>
  <c r="H7" i="331"/>
  <c r="H9" i="331" s="1"/>
  <c r="H88" i="331"/>
  <c r="E9" i="331"/>
  <c r="E79" i="331" s="1"/>
  <c r="H86" i="331"/>
  <c r="F112" i="331"/>
  <c r="F119" i="331" s="1"/>
  <c r="E87" i="331"/>
  <c r="H87" i="331" s="1"/>
  <c r="E102" i="331"/>
  <c r="H102" i="331" s="1"/>
  <c r="H43" i="331"/>
  <c r="H70" i="331"/>
  <c r="E82" i="331"/>
  <c r="D16" i="331"/>
  <c r="H16" i="331" s="1"/>
  <c r="H19" i="331"/>
  <c r="G20" i="331"/>
  <c r="H20" i="331" s="1"/>
  <c r="E58" i="331"/>
  <c r="A75" i="331"/>
  <c r="H12" i="331"/>
  <c r="H15" i="331" s="1"/>
  <c r="E32" i="331"/>
  <c r="C35" i="331"/>
  <c r="H35" i="331" s="1"/>
  <c r="H37" i="331" s="1"/>
  <c r="H51" i="331"/>
  <c r="H53" i="331" s="1"/>
  <c r="H83" i="331"/>
  <c r="E48" i="331"/>
  <c r="G61" i="331"/>
  <c r="H61" i="331" s="1"/>
  <c r="B65" i="331"/>
  <c r="H96" i="331"/>
  <c r="H97" i="331" s="1"/>
  <c r="C24" i="331"/>
  <c r="H24" i="331" s="1"/>
  <c r="A74" i="331"/>
  <c r="E109" i="331"/>
  <c r="H109" i="331" s="1"/>
  <c r="C18" i="331"/>
  <c r="H18" i="331" s="1"/>
  <c r="C23" i="331"/>
  <c r="H23" i="331" s="1"/>
  <c r="E81" i="331"/>
  <c r="E62" i="331"/>
  <c r="H62" i="331" s="1"/>
  <c r="G287" i="312"/>
  <c r="H288" i="313"/>
  <c r="H318" i="314"/>
  <c r="G287" i="324"/>
  <c r="H287" i="324" s="1"/>
  <c r="H286" i="324"/>
  <c r="H305" i="313"/>
  <c r="H308" i="313" s="1"/>
  <c r="G289" i="328"/>
  <c r="H289" i="328" s="1"/>
  <c r="H288" i="328"/>
  <c r="H305" i="317"/>
  <c r="H308" i="317" s="1"/>
  <c r="H286" i="321"/>
  <c r="H286" i="325"/>
  <c r="H286" i="329"/>
  <c r="H318" i="323"/>
  <c r="H308" i="324"/>
  <c r="H286" i="328"/>
  <c r="H318" i="328"/>
  <c r="H318" i="319"/>
  <c r="H308" i="329"/>
  <c r="H288" i="324"/>
  <c r="H287" i="329"/>
  <c r="I8" i="329"/>
  <c r="F366" i="329"/>
  <c r="H366" i="329" s="1"/>
  <c r="D387" i="329" s="1"/>
  <c r="I387" i="329" s="1"/>
  <c r="F6" i="329"/>
  <c r="C227" i="329"/>
  <c r="F94" i="329"/>
  <c r="I94" i="329" s="1"/>
  <c r="C231" i="329"/>
  <c r="F102" i="329"/>
  <c r="I102" i="329" s="1"/>
  <c r="I44" i="329"/>
  <c r="C268" i="329"/>
  <c r="E268" i="329" s="1"/>
  <c r="F145" i="329"/>
  <c r="I145" i="329" s="1"/>
  <c r="C270" i="329"/>
  <c r="E270" i="329" s="1"/>
  <c r="F150" i="329"/>
  <c r="E113" i="329"/>
  <c r="E114" i="329"/>
  <c r="I114" i="329" s="1"/>
  <c r="H17" i="329"/>
  <c r="I16" i="329"/>
  <c r="I84" i="329"/>
  <c r="C266" i="329"/>
  <c r="H47" i="329"/>
  <c r="I47" i="329" s="1"/>
  <c r="I46" i="329"/>
  <c r="C48" i="329"/>
  <c r="I42" i="329"/>
  <c r="I45" i="329"/>
  <c r="I81" i="329"/>
  <c r="I137" i="329"/>
  <c r="E139" i="329" s="1"/>
  <c r="C139" i="329"/>
  <c r="B241" i="329"/>
  <c r="B243" i="329"/>
  <c r="B244" i="329" s="1"/>
  <c r="B245" i="329" s="1"/>
  <c r="B246" i="329" s="1"/>
  <c r="H11" i="329"/>
  <c r="I11" i="329" s="1"/>
  <c r="I10" i="329"/>
  <c r="F95" i="329"/>
  <c r="I95" i="329" s="1"/>
  <c r="C228" i="329"/>
  <c r="I110" i="329"/>
  <c r="E112" i="329" s="1"/>
  <c r="C119" i="329"/>
  <c r="C271" i="329"/>
  <c r="E271" i="329" s="1"/>
  <c r="F151" i="329"/>
  <c r="I151" i="329" s="1"/>
  <c r="C232" i="329"/>
  <c r="F103" i="329"/>
  <c r="I103" i="329" s="1"/>
  <c r="I111" i="329"/>
  <c r="E119" i="329"/>
  <c r="E134" i="329"/>
  <c r="I134" i="329" s="1"/>
  <c r="E135" i="329"/>
  <c r="I135" i="329" s="1"/>
  <c r="C272" i="329"/>
  <c r="E272" i="329" s="1"/>
  <c r="F152" i="329"/>
  <c r="I152" i="329" s="1"/>
  <c r="H160" i="329"/>
  <c r="I160" i="329" s="1"/>
  <c r="I159" i="329"/>
  <c r="F5" i="329"/>
  <c r="H5" i="329" s="1"/>
  <c r="D381" i="329"/>
  <c r="I381" i="329" s="1"/>
  <c r="I26" i="329"/>
  <c r="F28" i="329"/>
  <c r="C300" i="329"/>
  <c r="G211" i="329"/>
  <c r="I36" i="329"/>
  <c r="C56" i="329"/>
  <c r="F70" i="329"/>
  <c r="I70" i="329" s="1"/>
  <c r="F78" i="329"/>
  <c r="I78" i="329" s="1"/>
  <c r="F86" i="329"/>
  <c r="I86" i="329" s="1"/>
  <c r="I123" i="329"/>
  <c r="F125" i="329"/>
  <c r="I125" i="329" s="1"/>
  <c r="I130" i="329"/>
  <c r="E133" i="329" s="1"/>
  <c r="F273" i="329"/>
  <c r="F158" i="329"/>
  <c r="I158" i="329" s="1"/>
  <c r="E178" i="329"/>
  <c r="I178" i="329" s="1"/>
  <c r="C294" i="329"/>
  <c r="D347" i="329"/>
  <c r="H347" i="329" s="1"/>
  <c r="H346" i="329"/>
  <c r="F75" i="329"/>
  <c r="I75" i="329" s="1"/>
  <c r="F83" i="329"/>
  <c r="I83" i="329" s="1"/>
  <c r="C262" i="329"/>
  <c r="C284" i="329"/>
  <c r="F93" i="329"/>
  <c r="I93" i="329" s="1"/>
  <c r="D96" i="329"/>
  <c r="F144" i="329"/>
  <c r="I144" i="329" s="1"/>
  <c r="C274" i="329"/>
  <c r="E274" i="329" s="1"/>
  <c r="F233" i="329"/>
  <c r="C235" i="329"/>
  <c r="E235" i="329" s="1"/>
  <c r="E226" i="329"/>
  <c r="I28" i="329"/>
  <c r="F30" i="329"/>
  <c r="I30" i="329" s="1"/>
  <c r="F35" i="329"/>
  <c r="F72" i="329"/>
  <c r="I72" i="329" s="1"/>
  <c r="F80" i="329"/>
  <c r="I80" i="329" s="1"/>
  <c r="E259" i="329"/>
  <c r="D262" i="329"/>
  <c r="D284" i="329"/>
  <c r="D92" i="329"/>
  <c r="D101" i="329"/>
  <c r="S386" i="329"/>
  <c r="U386" i="329" s="1"/>
  <c r="S388" i="329"/>
  <c r="U388" i="329" s="1"/>
  <c r="U387" i="329" s="1"/>
  <c r="G217" i="329"/>
  <c r="D349" i="329"/>
  <c r="H349" i="329" s="1"/>
  <c r="D14" i="329"/>
  <c r="F27" i="329"/>
  <c r="I27" i="329" s="1"/>
  <c r="F37" i="329"/>
  <c r="I37" i="329" s="1"/>
  <c r="F69" i="329"/>
  <c r="I69" i="329" s="1"/>
  <c r="F77" i="329"/>
  <c r="I77" i="329" s="1"/>
  <c r="F85" i="329"/>
  <c r="I85" i="329" s="1"/>
  <c r="E101" i="329"/>
  <c r="D230" i="329" s="1"/>
  <c r="D239" i="329" s="1"/>
  <c r="F124" i="329"/>
  <c r="I124" i="329" s="1"/>
  <c r="E143" i="329"/>
  <c r="D266" i="329" s="1"/>
  <c r="F157" i="329"/>
  <c r="I171" i="329"/>
  <c r="E177" i="329"/>
  <c r="F280" i="329"/>
  <c r="C281" i="329"/>
  <c r="E281" i="329" s="1"/>
  <c r="E267" i="329"/>
  <c r="C191" i="329"/>
  <c r="I190" i="329"/>
  <c r="E191" i="329" s="1"/>
  <c r="E14" i="329"/>
  <c r="F74" i="329"/>
  <c r="I74" i="329" s="1"/>
  <c r="F82" i="329"/>
  <c r="I82" i="329" s="1"/>
  <c r="C261" i="329"/>
  <c r="C283" i="329"/>
  <c r="E283" i="329" s="1"/>
  <c r="F162" i="329"/>
  <c r="H289" i="329"/>
  <c r="H290" i="329" s="1"/>
  <c r="S385" i="329"/>
  <c r="U385" i="329" s="1"/>
  <c r="C332" i="329" a="1"/>
  <c r="C332" i="329" s="1"/>
  <c r="H332" i="329" s="1"/>
  <c r="F71" i="329"/>
  <c r="I71" i="329" s="1"/>
  <c r="E248" i="329"/>
  <c r="F79" i="329"/>
  <c r="I79" i="329" s="1"/>
  <c r="F87" i="329"/>
  <c r="I87" i="329" s="1"/>
  <c r="F269" i="329"/>
  <c r="E278" i="329"/>
  <c r="D261" i="329"/>
  <c r="C317" i="329"/>
  <c r="E251" i="329"/>
  <c r="G213" i="329"/>
  <c r="I213" i="329" s="1"/>
  <c r="E245" i="329"/>
  <c r="E263" i="329"/>
  <c r="E275" i="329"/>
  <c r="E199" i="329"/>
  <c r="F234" i="329"/>
  <c r="F242" i="329" s="1"/>
  <c r="D344" i="329"/>
  <c r="H344" i="329" s="1"/>
  <c r="H309" i="329"/>
  <c r="H345" i="329"/>
  <c r="C215" i="329" a="1"/>
  <c r="C215" i="329" s="1"/>
  <c r="H308" i="325"/>
  <c r="C315" i="325"/>
  <c r="H315" i="325" s="1"/>
  <c r="C215" i="325" a="1"/>
  <c r="C215" i="325" s="1"/>
  <c r="F5" i="328"/>
  <c r="H5" i="328" s="1"/>
  <c r="E108" i="328"/>
  <c r="K116" i="328" s="1"/>
  <c r="E116" i="328" s="1"/>
  <c r="E143" i="328" s="1"/>
  <c r="D266" i="328" s="1"/>
  <c r="C310" i="328"/>
  <c r="H310" i="328" s="1"/>
  <c r="F366" i="328"/>
  <c r="D362" i="328" s="1"/>
  <c r="H362" i="328" s="1"/>
  <c r="I8" i="328"/>
  <c r="H12" i="328" s="1"/>
  <c r="H4" i="328"/>
  <c r="F6" i="328"/>
  <c r="C311" i="328" s="1"/>
  <c r="H311" i="328" s="1"/>
  <c r="I46" i="328"/>
  <c r="E56" i="328"/>
  <c r="D137" i="328"/>
  <c r="E186" i="328"/>
  <c r="I186" i="328" s="1"/>
  <c r="E185" i="328"/>
  <c r="I185" i="328" s="1"/>
  <c r="H11" i="328"/>
  <c r="I11" i="328" s="1"/>
  <c r="I10" i="328"/>
  <c r="H17" i="328"/>
  <c r="I16" i="328"/>
  <c r="C191" i="328"/>
  <c r="I190" i="328"/>
  <c r="C227" i="328"/>
  <c r="F94" i="328"/>
  <c r="I94" i="328" s="1"/>
  <c r="H111" i="328"/>
  <c r="I111" i="328" s="1"/>
  <c r="I110" i="328"/>
  <c r="D272" i="328"/>
  <c r="F152" i="328"/>
  <c r="I152" i="328" s="1"/>
  <c r="C48" i="328"/>
  <c r="I42" i="328"/>
  <c r="I123" i="328"/>
  <c r="E126" i="328" s="1"/>
  <c r="C126" i="328"/>
  <c r="C228" i="328"/>
  <c r="F95" i="328"/>
  <c r="I95" i="328" s="1"/>
  <c r="C232" i="328"/>
  <c r="F103" i="328"/>
  <c r="I103" i="328" s="1"/>
  <c r="I44" i="328"/>
  <c r="E134" i="328"/>
  <c r="I134" i="328" s="1"/>
  <c r="H71" i="328"/>
  <c r="H73" i="328"/>
  <c r="H74" i="328" s="1"/>
  <c r="H75" i="328" s="1"/>
  <c r="E235" i="328"/>
  <c r="B243" i="328"/>
  <c r="B244" i="328" s="1"/>
  <c r="B245" i="328" s="1"/>
  <c r="B246" i="328" s="1"/>
  <c r="B241" i="328"/>
  <c r="F96" i="328"/>
  <c r="I96" i="328" s="1"/>
  <c r="C229" i="328"/>
  <c r="E177" i="328"/>
  <c r="I45" i="328"/>
  <c r="H161" i="328"/>
  <c r="H162" i="328"/>
  <c r="E271" i="328"/>
  <c r="E226" i="328"/>
  <c r="S386" i="328"/>
  <c r="U386" i="328" s="1"/>
  <c r="S388" i="328"/>
  <c r="U388" i="328" s="1"/>
  <c r="U387" i="328" s="1"/>
  <c r="S385" i="328"/>
  <c r="U385" i="328" s="1"/>
  <c r="C332" i="328" a="1"/>
  <c r="C332" i="328" s="1"/>
  <c r="H332" i="328" s="1"/>
  <c r="C294" i="328"/>
  <c r="G212" i="328"/>
  <c r="I212" i="328" s="1"/>
  <c r="I27" i="328"/>
  <c r="F29" i="328"/>
  <c r="I68" i="328"/>
  <c r="F70" i="328"/>
  <c r="I70" i="328" s="1"/>
  <c r="E247" i="328"/>
  <c r="F78" i="328"/>
  <c r="E256" i="328"/>
  <c r="F86" i="328"/>
  <c r="D102" i="328"/>
  <c r="I131" i="328"/>
  <c r="F162" i="328"/>
  <c r="I181" i="328"/>
  <c r="I189" i="328"/>
  <c r="F75" i="328"/>
  <c r="I75" i="328" s="1"/>
  <c r="E253" i="328"/>
  <c r="C282" i="328"/>
  <c r="E282" i="328" s="1"/>
  <c r="F83" i="328"/>
  <c r="C262" i="328"/>
  <c r="C284" i="328"/>
  <c r="F93" i="328"/>
  <c r="I93" i="328" s="1"/>
  <c r="F269" i="328"/>
  <c r="D145" i="328"/>
  <c r="D150" i="328"/>
  <c r="F151" i="328"/>
  <c r="I151" i="328" s="1"/>
  <c r="I157" i="328"/>
  <c r="F159" i="328"/>
  <c r="I159" i="328" s="1"/>
  <c r="F217" i="328"/>
  <c r="I29" i="328"/>
  <c r="F72" i="328"/>
  <c r="F80" i="328"/>
  <c r="D262" i="328"/>
  <c r="D284" i="328"/>
  <c r="D92" i="328"/>
  <c r="D101" i="328"/>
  <c r="E178" i="328"/>
  <c r="I178" i="328" s="1"/>
  <c r="I182" i="328"/>
  <c r="D344" i="328"/>
  <c r="H344" i="328" s="1"/>
  <c r="C315" i="328"/>
  <c r="H315" i="328" s="1"/>
  <c r="E204" i="328"/>
  <c r="C215" i="328" s="1" a="1"/>
  <c r="C215" i="328" s="1"/>
  <c r="D381" i="328"/>
  <c r="I381" i="328" s="1"/>
  <c r="I26" i="328"/>
  <c r="F28" i="328"/>
  <c r="I28" i="328" s="1"/>
  <c r="C56" i="328"/>
  <c r="F69" i="328"/>
  <c r="I69" i="328" s="1"/>
  <c r="E246" i="328"/>
  <c r="F77" i="328"/>
  <c r="E255" i="328"/>
  <c r="F85" i="328"/>
  <c r="E264" i="328"/>
  <c r="E92" i="328"/>
  <c r="D225" i="328" s="1"/>
  <c r="D234" i="328" s="1"/>
  <c r="E101" i="328"/>
  <c r="D230" i="328" s="1"/>
  <c r="D239" i="328" s="1"/>
  <c r="D144" i="328"/>
  <c r="F161" i="328"/>
  <c r="I161" i="328" s="1"/>
  <c r="F233" i="328"/>
  <c r="C343" i="328"/>
  <c r="H343" i="328" s="1"/>
  <c r="H338" i="328"/>
  <c r="H366" i="328"/>
  <c r="D387" i="328" s="1"/>
  <c r="I387" i="328" s="1"/>
  <c r="E23" i="328"/>
  <c r="I23" i="328" s="1"/>
  <c r="C281" i="328"/>
  <c r="E281" i="328" s="1"/>
  <c r="E252" i="328"/>
  <c r="C261" i="328"/>
  <c r="C283" i="328"/>
  <c r="E283" i="328" s="1"/>
  <c r="E277" i="328"/>
  <c r="D347" i="328"/>
  <c r="H347" i="328" s="1"/>
  <c r="H346" i="328"/>
  <c r="D261" i="328"/>
  <c r="D283" i="328"/>
  <c r="E272" i="328"/>
  <c r="C334" i="328" a="1"/>
  <c r="C334" i="328" s="1"/>
  <c r="C274" i="328"/>
  <c r="E274" i="328" s="1"/>
  <c r="E170" i="328"/>
  <c r="F242" i="328"/>
  <c r="E24" i="328"/>
  <c r="I24" i="328" s="1"/>
  <c r="F37" i="328"/>
  <c r="I37" i="328" s="1"/>
  <c r="E38" i="328" s="1"/>
  <c r="E245" i="328"/>
  <c r="I250" i="328" s="1"/>
  <c r="F76" i="328"/>
  <c r="E254" i="328"/>
  <c r="F84" i="328"/>
  <c r="E263" i="328"/>
  <c r="D108" i="328"/>
  <c r="F160" i="328"/>
  <c r="I160" i="328" s="1"/>
  <c r="E279" i="328"/>
  <c r="G211" i="328"/>
  <c r="C317" i="328"/>
  <c r="H345" i="328"/>
  <c r="H23" i="327"/>
  <c r="F21" i="327"/>
  <c r="H35" i="327"/>
  <c r="E37" i="327"/>
  <c r="D38" i="327" s="1"/>
  <c r="H38" i="327" s="1"/>
  <c r="H58" i="327"/>
  <c r="H53" i="327"/>
  <c r="H80" i="327"/>
  <c r="H9" i="327"/>
  <c r="C30" i="327"/>
  <c r="H30" i="327" s="1"/>
  <c r="E62" i="327"/>
  <c r="H62" i="327" s="1"/>
  <c r="D10" i="327"/>
  <c r="H10" i="327" s="1"/>
  <c r="E15" i="327"/>
  <c r="H46" i="327"/>
  <c r="H48" i="327" s="1"/>
  <c r="G20" i="327"/>
  <c r="H20" i="327" s="1"/>
  <c r="E58" i="327"/>
  <c r="A75" i="327"/>
  <c r="C24" i="327"/>
  <c r="H24" i="327" s="1"/>
  <c r="H12" i="327"/>
  <c r="H15" i="327" s="1"/>
  <c r="E21" i="327"/>
  <c r="E61" i="327"/>
  <c r="H83" i="327"/>
  <c r="G88" i="327"/>
  <c r="H88" i="327" s="1"/>
  <c r="A74" i="327"/>
  <c r="D76" i="327"/>
  <c r="E109" i="327"/>
  <c r="H109" i="327" s="1"/>
  <c r="C18" i="327"/>
  <c r="H18" i="327" s="1"/>
  <c r="F26" i="326"/>
  <c r="F37" i="326"/>
  <c r="F32" i="326"/>
  <c r="E37" i="326"/>
  <c r="D38" i="326" s="1"/>
  <c r="H38" i="326" s="1"/>
  <c r="H88" i="326"/>
  <c r="E112" i="326"/>
  <c r="F112" i="326"/>
  <c r="F113" i="326"/>
  <c r="E113" i="326"/>
  <c r="H53" i="326"/>
  <c r="C18" i="326"/>
  <c r="H18" i="326" s="1"/>
  <c r="H19" i="326"/>
  <c r="C23" i="326"/>
  <c r="H23" i="326" s="1"/>
  <c r="H29" i="326"/>
  <c r="D69" i="326"/>
  <c r="H70" i="326" s="1"/>
  <c r="A74" i="326"/>
  <c r="H86" i="326"/>
  <c r="E102" i="326"/>
  <c r="H102" i="326" s="1"/>
  <c r="E109" i="326"/>
  <c r="H109" i="326" s="1"/>
  <c r="C30" i="326"/>
  <c r="H30" i="326" s="1"/>
  <c r="E81" i="326"/>
  <c r="E87" i="326"/>
  <c r="D10" i="326"/>
  <c r="H10" i="326" s="1"/>
  <c r="E15" i="326"/>
  <c r="E103" i="326" s="1"/>
  <c r="H103" i="326" s="1"/>
  <c r="E58" i="326"/>
  <c r="A75" i="326"/>
  <c r="E95" i="326"/>
  <c r="H95" i="326" s="1"/>
  <c r="H97" i="326" s="1"/>
  <c r="G97" i="326" s="1"/>
  <c r="E21" i="326"/>
  <c r="E61" i="326"/>
  <c r="C48" i="325"/>
  <c r="I42" i="325"/>
  <c r="C272" i="325"/>
  <c r="E272" i="325" s="1"/>
  <c r="F152" i="325"/>
  <c r="I152" i="325" s="1"/>
  <c r="C232" i="325"/>
  <c r="F103" i="325"/>
  <c r="I103" i="325" s="1"/>
  <c r="H71" i="325"/>
  <c r="H72" i="325" s="1"/>
  <c r="H76" i="325" s="1"/>
  <c r="H73" i="325"/>
  <c r="H74" i="325" s="1"/>
  <c r="H75" i="325" s="1"/>
  <c r="I125" i="325"/>
  <c r="C226" i="325"/>
  <c r="F93" i="325"/>
  <c r="I93" i="325" s="1"/>
  <c r="C270" i="325"/>
  <c r="C227" i="325"/>
  <c r="I46" i="325"/>
  <c r="C268" i="325"/>
  <c r="I123" i="325"/>
  <c r="H162" i="325"/>
  <c r="H161" i="325"/>
  <c r="I161" i="325" s="1"/>
  <c r="B241" i="325"/>
  <c r="B243" i="325"/>
  <c r="B244" i="325" s="1"/>
  <c r="B245" i="325" s="1"/>
  <c r="B246" i="325" s="1"/>
  <c r="I47" i="325"/>
  <c r="I70" i="325"/>
  <c r="C267" i="325"/>
  <c r="E267" i="325" s="1"/>
  <c r="F144" i="325"/>
  <c r="I144" i="325" s="1"/>
  <c r="I17" i="325"/>
  <c r="H18" i="325"/>
  <c r="H19" i="325" s="1"/>
  <c r="H20" i="325" s="1"/>
  <c r="E170" i="325"/>
  <c r="C229" i="325"/>
  <c r="I29" i="325"/>
  <c r="I137" i="325"/>
  <c r="E139" i="325" s="1"/>
  <c r="C139" i="325"/>
  <c r="E134" i="325"/>
  <c r="I134" i="325" s="1"/>
  <c r="E135" i="325"/>
  <c r="I135" i="325" s="1"/>
  <c r="I158" i="325"/>
  <c r="C240" i="325"/>
  <c r="C277" i="325"/>
  <c r="E277" i="325" s="1"/>
  <c r="F160" i="325"/>
  <c r="I160" i="325" s="1"/>
  <c r="G212" i="325"/>
  <c r="I212" i="325" s="1"/>
  <c r="I10" i="325"/>
  <c r="I12" i="325" s="1"/>
  <c r="I28" i="325"/>
  <c r="F30" i="325"/>
  <c r="I30" i="325" s="1"/>
  <c r="E244" i="325"/>
  <c r="F75" i="325"/>
  <c r="I75" i="325" s="1"/>
  <c r="C282" i="325"/>
  <c r="E282" i="325" s="1"/>
  <c r="E253" i="325"/>
  <c r="F83" i="325"/>
  <c r="C262" i="325"/>
  <c r="C284" i="325"/>
  <c r="E102" i="325"/>
  <c r="D231" i="325" s="1"/>
  <c r="D240" i="325" s="1"/>
  <c r="C112" i="325"/>
  <c r="C334" i="325" a="1"/>
  <c r="C334" i="325" s="1"/>
  <c r="C274" i="325"/>
  <c r="E274" i="325" s="1"/>
  <c r="E279" i="325"/>
  <c r="E200" i="325"/>
  <c r="I200" i="325" s="1"/>
  <c r="F233" i="325"/>
  <c r="F234" i="325"/>
  <c r="F242" i="325" s="1"/>
  <c r="S386" i="325"/>
  <c r="U386" i="325" s="1"/>
  <c r="S388" i="325"/>
  <c r="U388" i="325" s="1"/>
  <c r="U387" i="325" s="1"/>
  <c r="S385" i="325"/>
  <c r="U385" i="325" s="1"/>
  <c r="G217" i="325"/>
  <c r="D349" i="325"/>
  <c r="H349" i="325" s="1"/>
  <c r="F27" i="325"/>
  <c r="F72" i="325"/>
  <c r="F80" i="325"/>
  <c r="D262" i="325"/>
  <c r="D284" i="325"/>
  <c r="C234" i="325"/>
  <c r="E234" i="325" s="1"/>
  <c r="E225" i="325"/>
  <c r="E96" i="325"/>
  <c r="D229" i="325" s="1"/>
  <c r="D238" i="325" s="1"/>
  <c r="F117" i="325"/>
  <c r="I117" i="325" s="1"/>
  <c r="E119" i="325" s="1"/>
  <c r="C119" i="325"/>
  <c r="H4" i="325"/>
  <c r="C191" i="325"/>
  <c r="I190" i="325"/>
  <c r="E191" i="325" s="1"/>
  <c r="I16" i="325"/>
  <c r="F69" i="325"/>
  <c r="I69" i="325" s="1"/>
  <c r="F77" i="325"/>
  <c r="F85" i="325"/>
  <c r="D95" i="325"/>
  <c r="F124" i="325"/>
  <c r="I124" i="325" s="1"/>
  <c r="E271" i="325"/>
  <c r="F157" i="325"/>
  <c r="F162" i="325"/>
  <c r="H287" i="325"/>
  <c r="F6" i="325"/>
  <c r="C332" i="325" a="1"/>
  <c r="C332" i="325" s="1"/>
  <c r="H332" i="325" s="1"/>
  <c r="C294" i="325"/>
  <c r="I27" i="325"/>
  <c r="F29" i="325"/>
  <c r="C31" i="325"/>
  <c r="F37" i="325"/>
  <c r="I37" i="325" s="1"/>
  <c r="F74" i="325"/>
  <c r="I74" i="325" s="1"/>
  <c r="C281" i="325"/>
  <c r="E281" i="325" s="1"/>
  <c r="E252" i="325"/>
  <c r="F82" i="325"/>
  <c r="C261" i="325"/>
  <c r="E261" i="325" s="1"/>
  <c r="C283" i="325"/>
  <c r="F92" i="325"/>
  <c r="F143" i="325"/>
  <c r="D347" i="325"/>
  <c r="H347" i="325" s="1"/>
  <c r="H346" i="325"/>
  <c r="G213" i="325"/>
  <c r="I213" i="325" s="1"/>
  <c r="E243" i="325"/>
  <c r="F71" i="325"/>
  <c r="I71" i="325" s="1"/>
  <c r="E248" i="325"/>
  <c r="F79" i="325"/>
  <c r="E257" i="325"/>
  <c r="D283" i="325"/>
  <c r="D261" i="325"/>
  <c r="F87" i="325"/>
  <c r="F269" i="325"/>
  <c r="F151" i="325"/>
  <c r="I151" i="325" s="1"/>
  <c r="F159" i="325"/>
  <c r="I159" i="325" s="1"/>
  <c r="E171" i="325"/>
  <c r="I171" i="325" s="1"/>
  <c r="E199" i="325"/>
  <c r="H366" i="325"/>
  <c r="D387" i="325" s="1"/>
  <c r="I387" i="325" s="1"/>
  <c r="D362" i="325"/>
  <c r="H362" i="325" s="1"/>
  <c r="E94" i="325"/>
  <c r="D227" i="325" s="1"/>
  <c r="D236" i="325" s="1"/>
  <c r="E145" i="325"/>
  <c r="D268" i="325" s="1"/>
  <c r="E150" i="325"/>
  <c r="D270" i="325" s="1"/>
  <c r="F5" i="325"/>
  <c r="H5" i="325" s="1"/>
  <c r="D381" i="325"/>
  <c r="I381" i="325" s="1"/>
  <c r="F68" i="325"/>
  <c r="I68" i="325" s="1"/>
  <c r="F73" i="325"/>
  <c r="I73" i="325" s="1"/>
  <c r="E251" i="325"/>
  <c r="F81" i="325"/>
  <c r="E260" i="325"/>
  <c r="H289" i="325"/>
  <c r="E178" i="325"/>
  <c r="I178" i="325" s="1"/>
  <c r="E308" i="325"/>
  <c r="C318" i="325"/>
  <c r="H318" i="325" s="1"/>
  <c r="D344" i="325"/>
  <c r="H344" i="325" s="1"/>
  <c r="H309" i="325"/>
  <c r="H345" i="325"/>
  <c r="H309" i="324"/>
  <c r="F6" i="324"/>
  <c r="C311" i="324" s="1"/>
  <c r="H311" i="324" s="1"/>
  <c r="C227" i="324"/>
  <c r="F94" i="324"/>
  <c r="I94" i="324" s="1"/>
  <c r="C232" i="324"/>
  <c r="F103" i="324"/>
  <c r="I103" i="324" s="1"/>
  <c r="I45" i="324"/>
  <c r="C272" i="324"/>
  <c r="E272" i="324" s="1"/>
  <c r="F152" i="324"/>
  <c r="I152" i="324" s="1"/>
  <c r="H161" i="324"/>
  <c r="H162" i="324"/>
  <c r="I160" i="324"/>
  <c r="D143" i="324"/>
  <c r="C228" i="324"/>
  <c r="F95" i="324"/>
  <c r="I95" i="324" s="1"/>
  <c r="C267" i="324"/>
  <c r="C225" i="324"/>
  <c r="F92" i="324"/>
  <c r="I46" i="324"/>
  <c r="I81" i="324"/>
  <c r="I85" i="324"/>
  <c r="C270" i="324"/>
  <c r="E270" i="324" s="1"/>
  <c r="F150" i="324"/>
  <c r="E193" i="324"/>
  <c r="I193" i="324" s="1"/>
  <c r="E192" i="324"/>
  <c r="I192" i="324" s="1"/>
  <c r="H19" i="324"/>
  <c r="I18" i="324"/>
  <c r="I44" i="324"/>
  <c r="I47" i="324"/>
  <c r="I74" i="324"/>
  <c r="I132" i="324"/>
  <c r="E133" i="324" s="1"/>
  <c r="C268" i="324"/>
  <c r="E268" i="324" s="1"/>
  <c r="F145" i="324"/>
  <c r="I145" i="324" s="1"/>
  <c r="C271" i="324"/>
  <c r="E271" i="324" s="1"/>
  <c r="F151" i="324"/>
  <c r="I151" i="324" s="1"/>
  <c r="B243" i="324"/>
  <c r="B244" i="324" s="1"/>
  <c r="B245" i="324" s="1"/>
  <c r="B246" i="324" s="1"/>
  <c r="B241" i="324"/>
  <c r="I82" i="324"/>
  <c r="F5" i="324"/>
  <c r="H5" i="324" s="1"/>
  <c r="D381" i="324"/>
  <c r="I381" i="324" s="1"/>
  <c r="F28" i="324"/>
  <c r="I28" i="324" s="1"/>
  <c r="F72" i="324"/>
  <c r="I72" i="324" s="1"/>
  <c r="E249" i="324"/>
  <c r="F80" i="324"/>
  <c r="I80" i="324" s="1"/>
  <c r="E259" i="324"/>
  <c r="D262" i="324"/>
  <c r="D284" i="324"/>
  <c r="F118" i="324"/>
  <c r="I118" i="324" s="1"/>
  <c r="F123" i="324"/>
  <c r="E277" i="324"/>
  <c r="I189" i="324"/>
  <c r="E191" i="324" s="1"/>
  <c r="F233" i="324"/>
  <c r="F242" i="324"/>
  <c r="C338" i="324"/>
  <c r="H10" i="324"/>
  <c r="E246" i="324"/>
  <c r="F77" i="324"/>
  <c r="I77" i="324" s="1"/>
  <c r="E255" i="324"/>
  <c r="E264" i="324"/>
  <c r="E92" i="324"/>
  <c r="D225" i="324" s="1"/>
  <c r="D234" i="324" s="1"/>
  <c r="F96" i="324"/>
  <c r="I96" i="324" s="1"/>
  <c r="E101" i="324"/>
  <c r="D230" i="324" s="1"/>
  <c r="D239" i="324" s="1"/>
  <c r="F125" i="324"/>
  <c r="I125" i="324" s="1"/>
  <c r="E144" i="324"/>
  <c r="D267" i="324" s="1"/>
  <c r="F273" i="324"/>
  <c r="E279" i="324"/>
  <c r="E178" i="324"/>
  <c r="I178" i="324" s="1"/>
  <c r="I190" i="324"/>
  <c r="H318" i="324"/>
  <c r="C281" i="324"/>
  <c r="E281" i="324" s="1"/>
  <c r="E252" i="324"/>
  <c r="C261" i="324"/>
  <c r="E261" i="324" s="1"/>
  <c r="C283" i="324"/>
  <c r="C133" i="324"/>
  <c r="C274" i="324"/>
  <c r="E274" i="324" s="1"/>
  <c r="S386" i="324"/>
  <c r="U386" i="324" s="1"/>
  <c r="S388" i="324"/>
  <c r="U388" i="324" s="1"/>
  <c r="U387" i="324" s="1"/>
  <c r="S385" i="324"/>
  <c r="U385" i="324" s="1"/>
  <c r="U384" i="324" s="1"/>
  <c r="F27" i="324"/>
  <c r="I27" i="324" s="1"/>
  <c r="F71" i="324"/>
  <c r="I71" i="324" s="1"/>
  <c r="E248" i="324"/>
  <c r="F79" i="324"/>
  <c r="I79" i="324" s="1"/>
  <c r="E257" i="324"/>
  <c r="D261" i="324"/>
  <c r="D283" i="324"/>
  <c r="F87" i="324"/>
  <c r="I87" i="324" s="1"/>
  <c r="E276" i="324"/>
  <c r="F162" i="324"/>
  <c r="I162" i="324" s="1"/>
  <c r="E204" i="324"/>
  <c r="D344" i="324"/>
  <c r="H344" i="324" s="1"/>
  <c r="E226" i="324"/>
  <c r="H4" i="324"/>
  <c r="F37" i="324"/>
  <c r="I37" i="324" s="1"/>
  <c r="E245" i="324"/>
  <c r="F76" i="324"/>
  <c r="I76" i="324" s="1"/>
  <c r="E254" i="324"/>
  <c r="F84" i="324"/>
  <c r="I84" i="324" s="1"/>
  <c r="E263" i="324"/>
  <c r="F124" i="324"/>
  <c r="I124" i="324" s="1"/>
  <c r="F157" i="324"/>
  <c r="E209" i="324"/>
  <c r="E210" i="324" s="1"/>
  <c r="D347" i="324"/>
  <c r="H347" i="324" s="1"/>
  <c r="H346" i="324"/>
  <c r="C294" i="324"/>
  <c r="G212" i="324"/>
  <c r="I212" i="324" s="1"/>
  <c r="C332" i="324" a="1"/>
  <c r="C332" i="324" s="1"/>
  <c r="H332" i="324" s="1"/>
  <c r="E235" i="324"/>
  <c r="H176" i="324"/>
  <c r="I176" i="324" s="1"/>
  <c r="I175" i="324"/>
  <c r="G217" i="324"/>
  <c r="F70" i="324"/>
  <c r="I70" i="324" s="1"/>
  <c r="F78" i="324"/>
  <c r="I78" i="324" s="1"/>
  <c r="F86" i="324"/>
  <c r="I86" i="324" s="1"/>
  <c r="D102" i="324"/>
  <c r="H183" i="324"/>
  <c r="I183" i="324" s="1"/>
  <c r="I182" i="324"/>
  <c r="F366" i="324"/>
  <c r="F26" i="324"/>
  <c r="F75" i="324"/>
  <c r="I75" i="324" s="1"/>
  <c r="E253" i="324"/>
  <c r="C282" i="324"/>
  <c r="E282" i="324" s="1"/>
  <c r="F83" i="324"/>
  <c r="I83" i="324" s="1"/>
  <c r="C262" i="324"/>
  <c r="E262" i="324" s="1"/>
  <c r="C284" i="324"/>
  <c r="F93" i="324"/>
  <c r="I93" i="324" s="1"/>
  <c r="C238" i="324"/>
  <c r="E238" i="324" s="1"/>
  <c r="E229" i="324"/>
  <c r="F158" i="324"/>
  <c r="I158" i="324" s="1"/>
  <c r="C275" i="324"/>
  <c r="E275" i="324" s="1"/>
  <c r="F161" i="324"/>
  <c r="E170" i="324"/>
  <c r="E201" i="324"/>
  <c r="I201" i="324" s="1"/>
  <c r="C317" i="324"/>
  <c r="H345" i="324"/>
  <c r="F5" i="323"/>
  <c r="H5" i="323" s="1"/>
  <c r="S385" i="323"/>
  <c r="U385" i="323" s="1"/>
  <c r="S386" i="323"/>
  <c r="U386" i="323" s="1"/>
  <c r="I47" i="323"/>
  <c r="H17" i="323"/>
  <c r="H18" i="323" s="1"/>
  <c r="H19" i="323" s="1"/>
  <c r="I16" i="323"/>
  <c r="H111" i="323"/>
  <c r="I111" i="323" s="1"/>
  <c r="I110" i="323"/>
  <c r="E112" i="323" s="1"/>
  <c r="H366" i="323"/>
  <c r="D387" i="323" s="1"/>
  <c r="I387" i="323" s="1"/>
  <c r="D362" i="323"/>
  <c r="H362" i="323" s="1"/>
  <c r="C225" i="323"/>
  <c r="F92" i="323"/>
  <c r="C231" i="323"/>
  <c r="F102" i="323"/>
  <c r="I102" i="323" s="1"/>
  <c r="I71" i="323"/>
  <c r="I116" i="323"/>
  <c r="E119" i="323" s="1"/>
  <c r="C119" i="323"/>
  <c r="E170" i="323"/>
  <c r="B243" i="323"/>
  <c r="B244" i="323" s="1"/>
  <c r="B245" i="323" s="1"/>
  <c r="B246" i="323" s="1"/>
  <c r="B241" i="323"/>
  <c r="I123" i="323"/>
  <c r="H11" i="323"/>
  <c r="I11" i="323" s="1"/>
  <c r="I10" i="323"/>
  <c r="C226" i="323"/>
  <c r="D340" i="323"/>
  <c r="H340" i="323" s="1"/>
  <c r="I113" i="323"/>
  <c r="D267" i="323"/>
  <c r="E267" i="323" s="1"/>
  <c r="F144" i="323"/>
  <c r="I144" i="323" s="1"/>
  <c r="I181" i="323"/>
  <c r="E184" i="323" s="1"/>
  <c r="C184" i="323"/>
  <c r="C232" i="323"/>
  <c r="F103" i="323"/>
  <c r="I103" i="323" s="1"/>
  <c r="I83" i="323"/>
  <c r="C271" i="323"/>
  <c r="E271" i="323" s="1"/>
  <c r="F151" i="323"/>
  <c r="I151" i="323" s="1"/>
  <c r="E192" i="323"/>
  <c r="I192" i="323" s="1"/>
  <c r="E193" i="323"/>
  <c r="I193" i="323" s="1"/>
  <c r="I87" i="323"/>
  <c r="I118" i="323"/>
  <c r="E191" i="323"/>
  <c r="C227" i="323"/>
  <c r="F94" i="323"/>
  <c r="I94" i="323" s="1"/>
  <c r="I37" i="323"/>
  <c r="I9" i="323"/>
  <c r="F26" i="323"/>
  <c r="I29" i="323"/>
  <c r="F36" i="323"/>
  <c r="I36" i="323" s="1"/>
  <c r="F70" i="323"/>
  <c r="I70" i="323" s="1"/>
  <c r="E247" i="323"/>
  <c r="H73" i="323"/>
  <c r="H74" i="323" s="1"/>
  <c r="H75" i="323" s="1"/>
  <c r="I75" i="323" s="1"/>
  <c r="F78" i="323"/>
  <c r="I78" i="323" s="1"/>
  <c r="E256" i="323"/>
  <c r="F86" i="323"/>
  <c r="I86" i="323" s="1"/>
  <c r="E93" i="323"/>
  <c r="D226" i="323" s="1"/>
  <c r="D235" i="323" s="1"/>
  <c r="F125" i="323"/>
  <c r="I125" i="323" s="1"/>
  <c r="E276" i="323"/>
  <c r="E278" i="323"/>
  <c r="H345" i="323"/>
  <c r="E253" i="323"/>
  <c r="C282" i="323"/>
  <c r="E282" i="323" s="1"/>
  <c r="D96" i="323"/>
  <c r="E114" i="323"/>
  <c r="I114" i="323" s="1"/>
  <c r="C133" i="323"/>
  <c r="F157" i="323"/>
  <c r="D274" i="323"/>
  <c r="F233" i="323"/>
  <c r="C284" i="323"/>
  <c r="E308" i="323"/>
  <c r="H308" i="323"/>
  <c r="D349" i="323"/>
  <c r="H349" i="323" s="1"/>
  <c r="I15" i="323"/>
  <c r="F72" i="323"/>
  <c r="I72" i="323" s="1"/>
  <c r="F80" i="323"/>
  <c r="I80" i="323" s="1"/>
  <c r="E266" i="323"/>
  <c r="F159" i="323"/>
  <c r="I159" i="323" s="1"/>
  <c r="F161" i="323"/>
  <c r="I161" i="323" s="1"/>
  <c r="D344" i="323"/>
  <c r="H344" i="323" s="1"/>
  <c r="C315" i="323"/>
  <c r="H315" i="323" s="1"/>
  <c r="E204" i="323"/>
  <c r="C215" i="323" s="1" a="1"/>
  <c r="C215" i="323" s="1"/>
  <c r="D284" i="323"/>
  <c r="I28" i="323"/>
  <c r="F30" i="323"/>
  <c r="I30" i="323" s="1"/>
  <c r="F77" i="323"/>
  <c r="I77" i="323" s="1"/>
  <c r="F85" i="323"/>
  <c r="I85" i="323" s="1"/>
  <c r="E101" i="323"/>
  <c r="D230" i="323" s="1"/>
  <c r="D239" i="323" s="1"/>
  <c r="F124" i="323"/>
  <c r="I124" i="323" s="1"/>
  <c r="E143" i="323"/>
  <c r="D266" i="323" s="1"/>
  <c r="F152" i="323"/>
  <c r="I152" i="323" s="1"/>
  <c r="C249" i="323"/>
  <c r="E249" i="323" s="1"/>
  <c r="F27" i="323"/>
  <c r="I27" i="323" s="1"/>
  <c r="C281" i="323"/>
  <c r="E281" i="323" s="1"/>
  <c r="E252" i="323"/>
  <c r="F82" i="323"/>
  <c r="I82" i="323" s="1"/>
  <c r="E95" i="323"/>
  <c r="D137" i="323"/>
  <c r="F143" i="323"/>
  <c r="E275" i="323"/>
  <c r="E279" i="323"/>
  <c r="E179" i="323"/>
  <c r="I179" i="323" s="1"/>
  <c r="D261" i="323"/>
  <c r="E261" i="323" s="1"/>
  <c r="D283" i="323"/>
  <c r="D145" i="323"/>
  <c r="D150" i="323"/>
  <c r="F160" i="323"/>
  <c r="I160" i="323" s="1"/>
  <c r="C277" i="323"/>
  <c r="E277" i="323" s="1"/>
  <c r="F6" i="323"/>
  <c r="C332" i="323" a="1"/>
  <c r="C332" i="323" s="1"/>
  <c r="H332" i="323" s="1"/>
  <c r="C294" i="323"/>
  <c r="G212" i="323"/>
  <c r="I212" i="323" s="1"/>
  <c r="E245" i="323"/>
  <c r="F76" i="323"/>
  <c r="I76" i="323" s="1"/>
  <c r="E254" i="323"/>
  <c r="F84" i="323"/>
  <c r="I84" i="323" s="1"/>
  <c r="E263" i="323"/>
  <c r="F158" i="323"/>
  <c r="I158" i="323" s="1"/>
  <c r="I190" i="323"/>
  <c r="F250" i="323"/>
  <c r="F265" i="323"/>
  <c r="G213" i="323"/>
  <c r="I213" i="323" s="1"/>
  <c r="I258" i="323"/>
  <c r="F81" i="323"/>
  <c r="I81" i="323" s="1"/>
  <c r="C283" i="323"/>
  <c r="E283" i="323" s="1"/>
  <c r="D347" i="323"/>
  <c r="H347" i="323" s="1"/>
  <c r="H346" i="323"/>
  <c r="C274" i="323"/>
  <c r="H286" i="323"/>
  <c r="H288" i="323"/>
  <c r="F234" i="323"/>
  <c r="F242" i="323" s="1"/>
  <c r="H308" i="322"/>
  <c r="F250" i="322"/>
  <c r="C338" i="322" s="1"/>
  <c r="H346" i="322"/>
  <c r="D347" i="322"/>
  <c r="H347" i="322" s="1"/>
  <c r="H345" i="322"/>
  <c r="H4" i="322"/>
  <c r="H19" i="322"/>
  <c r="I18" i="322"/>
  <c r="C237" i="322"/>
  <c r="E237" i="322" s="1"/>
  <c r="E228" i="322"/>
  <c r="I45" i="322"/>
  <c r="D143" i="322"/>
  <c r="H161" i="322"/>
  <c r="H162" i="322"/>
  <c r="I162" i="322" s="1"/>
  <c r="I160" i="322"/>
  <c r="I17" i="322"/>
  <c r="F93" i="322"/>
  <c r="I93" i="322" s="1"/>
  <c r="C226" i="322"/>
  <c r="I46" i="322"/>
  <c r="E135" i="322"/>
  <c r="I135" i="322" s="1"/>
  <c r="E134" i="322"/>
  <c r="I134" i="322" s="1"/>
  <c r="D229" i="322"/>
  <c r="D238" i="322" s="1"/>
  <c r="F96" i="322"/>
  <c r="I96" i="322" s="1"/>
  <c r="F269" i="322"/>
  <c r="B241" i="322"/>
  <c r="B243" i="322"/>
  <c r="B244" i="322" s="1"/>
  <c r="B245" i="322" s="1"/>
  <c r="B246" i="322" s="1"/>
  <c r="E145" i="322"/>
  <c r="D268" i="322" s="1"/>
  <c r="I10" i="322"/>
  <c r="E12" i="322" s="1"/>
  <c r="I28" i="322"/>
  <c r="F30" i="322"/>
  <c r="I30" i="322" s="1"/>
  <c r="C241" i="322"/>
  <c r="E241" i="322" s="1"/>
  <c r="E232" i="322"/>
  <c r="F74" i="322"/>
  <c r="I74" i="322" s="1"/>
  <c r="F82" i="322"/>
  <c r="C261" i="322"/>
  <c r="C283" i="322"/>
  <c r="E283" i="322" s="1"/>
  <c r="E279" i="322"/>
  <c r="F242" i="322"/>
  <c r="S386" i="322"/>
  <c r="U386" i="322" s="1"/>
  <c r="S388" i="322"/>
  <c r="U388" i="322" s="1"/>
  <c r="U387" i="322" s="1"/>
  <c r="S385" i="322"/>
  <c r="U385" i="322" s="1"/>
  <c r="G217" i="322"/>
  <c r="D349" i="322"/>
  <c r="H349" i="322" s="1"/>
  <c r="F27" i="322"/>
  <c r="F71" i="322"/>
  <c r="F79" i="322"/>
  <c r="F87" i="322"/>
  <c r="D94" i="322"/>
  <c r="F95" i="322"/>
  <c r="I95" i="322" s="1"/>
  <c r="F103" i="322"/>
  <c r="I103" i="322" s="1"/>
  <c r="F144" i="322"/>
  <c r="I144" i="322" s="1"/>
  <c r="C267" i="322"/>
  <c r="E267" i="322" s="1"/>
  <c r="D151" i="322"/>
  <c r="F124" i="322"/>
  <c r="I124" i="322" s="1"/>
  <c r="E126" i="322" s="1"/>
  <c r="E170" i="322"/>
  <c r="C260" i="322"/>
  <c r="E260" i="322" s="1"/>
  <c r="C191" i="322"/>
  <c r="I190" i="322"/>
  <c r="E191" i="322" s="1"/>
  <c r="E14" i="322"/>
  <c r="K69" i="322" s="1"/>
  <c r="E245" i="322"/>
  <c r="H71" i="322"/>
  <c r="H72" i="322" s="1"/>
  <c r="H76" i="322" s="1"/>
  <c r="H77" i="322" s="1"/>
  <c r="H78" i="322" s="1"/>
  <c r="H79" i="322" s="1"/>
  <c r="H80" i="322" s="1"/>
  <c r="H81" i="322" s="1"/>
  <c r="H82" i="322" s="1"/>
  <c r="H83" i="322" s="1"/>
  <c r="H84" i="322" s="1"/>
  <c r="H85" i="322" s="1"/>
  <c r="H86" i="322" s="1"/>
  <c r="H87" i="322" s="1"/>
  <c r="F76" i="322"/>
  <c r="I76" i="322" s="1"/>
  <c r="F84" i="322"/>
  <c r="E263" i="322"/>
  <c r="D102" i="322"/>
  <c r="E200" i="322"/>
  <c r="I200" i="322" s="1"/>
  <c r="E201" i="322"/>
  <c r="I201" i="322" s="1"/>
  <c r="E252" i="322"/>
  <c r="D366" i="322"/>
  <c r="F366" i="322" s="1"/>
  <c r="C294" i="322"/>
  <c r="G212" i="322"/>
  <c r="I212" i="322" s="1"/>
  <c r="C332" i="322" a="1"/>
  <c r="C332" i="322" s="1"/>
  <c r="H332" i="322" s="1"/>
  <c r="I27" i="322"/>
  <c r="E251" i="322"/>
  <c r="D344" i="322"/>
  <c r="H344" i="322" s="1"/>
  <c r="E209" i="322"/>
  <c r="E210" i="322" s="1"/>
  <c r="D278" i="322"/>
  <c r="E278" i="322" s="1"/>
  <c r="F161" i="322"/>
  <c r="H6" i="322"/>
  <c r="G213" i="322"/>
  <c r="I213" i="322" s="1"/>
  <c r="F70" i="322"/>
  <c r="I70" i="322" s="1"/>
  <c r="E247" i="322"/>
  <c r="F78" i="322"/>
  <c r="F86" i="322"/>
  <c r="I110" i="322"/>
  <c r="C272" i="322"/>
  <c r="E272" i="322" s="1"/>
  <c r="F152" i="322"/>
  <c r="I152" i="322" s="1"/>
  <c r="F158" i="322"/>
  <c r="I158" i="322" s="1"/>
  <c r="C275" i="322"/>
  <c r="E275" i="322" s="1"/>
  <c r="F233" i="322"/>
  <c r="D261" i="322"/>
  <c r="C310" i="322"/>
  <c r="H310" i="322" s="1"/>
  <c r="H309" i="322"/>
  <c r="F26" i="322"/>
  <c r="I26" i="322" s="1"/>
  <c r="F75" i="322"/>
  <c r="I75" i="322" s="1"/>
  <c r="C262" i="322"/>
  <c r="C284" i="322"/>
  <c r="E284" i="322" s="1"/>
  <c r="C270" i="322"/>
  <c r="E270" i="322" s="1"/>
  <c r="F150" i="322"/>
  <c r="E206" i="322"/>
  <c r="C215" i="322" s="1" a="1"/>
  <c r="C215" i="322" s="1"/>
  <c r="D381" i="322"/>
  <c r="I381" i="322" s="1"/>
  <c r="F72" i="322"/>
  <c r="E249" i="322"/>
  <c r="F80" i="322"/>
  <c r="E259" i="322"/>
  <c r="D262" i="322"/>
  <c r="D284" i="322"/>
  <c r="D92" i="322"/>
  <c r="E101" i="322"/>
  <c r="D230" i="322" s="1"/>
  <c r="D239" i="322" s="1"/>
  <c r="C268" i="322"/>
  <c r="F125" i="322"/>
  <c r="I125" i="322" s="1"/>
  <c r="E177" i="322"/>
  <c r="E199" i="322"/>
  <c r="C238" i="322"/>
  <c r="E238" i="322" s="1"/>
  <c r="E253" i="322"/>
  <c r="H318" i="322"/>
  <c r="F157" i="322"/>
  <c r="F159" i="322"/>
  <c r="I159" i="322" s="1"/>
  <c r="C274" i="322"/>
  <c r="E274" i="322" s="1"/>
  <c r="E308" i="321"/>
  <c r="F250" i="321"/>
  <c r="C338" i="321" s="1"/>
  <c r="E244" i="321"/>
  <c r="C215" i="321" a="1"/>
  <c r="C215" i="321" s="1"/>
  <c r="F42" i="321"/>
  <c r="I42" i="321" s="1"/>
  <c r="E48" i="321" s="1"/>
  <c r="H346" i="321"/>
  <c r="D381" i="321"/>
  <c r="I381" i="321" s="1"/>
  <c r="C317" i="321"/>
  <c r="H4" i="321"/>
  <c r="H309" i="321"/>
  <c r="G217" i="321"/>
  <c r="D116" i="321"/>
  <c r="D143" i="321" s="1"/>
  <c r="H11" i="321"/>
  <c r="I11" i="321" s="1"/>
  <c r="I10" i="321"/>
  <c r="I71" i="321"/>
  <c r="C240" i="321"/>
  <c r="E240" i="321" s="1"/>
  <c r="E231" i="321"/>
  <c r="C271" i="321"/>
  <c r="E271" i="321" s="1"/>
  <c r="F151" i="321"/>
  <c r="I151" i="321" s="1"/>
  <c r="I27" i="321"/>
  <c r="E135" i="321"/>
  <c r="I135" i="321" s="1"/>
  <c r="E134" i="321"/>
  <c r="I134" i="321" s="1"/>
  <c r="B243" i="321"/>
  <c r="B244" i="321" s="1"/>
  <c r="B245" i="321" s="1"/>
  <c r="B246" i="321" s="1"/>
  <c r="B241" i="321"/>
  <c r="F181" i="321"/>
  <c r="F14" i="321"/>
  <c r="E68" i="321"/>
  <c r="D243" i="321" s="1"/>
  <c r="E243" i="321" s="1"/>
  <c r="E108" i="321"/>
  <c r="C267" i="321"/>
  <c r="E267" i="321" s="1"/>
  <c r="F144" i="321"/>
  <c r="I144" i="321" s="1"/>
  <c r="C281" i="321"/>
  <c r="E281" i="321" s="1"/>
  <c r="E252" i="321"/>
  <c r="C272" i="321"/>
  <c r="E272" i="321" s="1"/>
  <c r="F152" i="321"/>
  <c r="I152" i="321" s="1"/>
  <c r="I157" i="321"/>
  <c r="C227" i="321"/>
  <c r="F94" i="321"/>
  <c r="I94" i="321" s="1"/>
  <c r="I17" i="321"/>
  <c r="H18" i="321"/>
  <c r="H19" i="321" s="1"/>
  <c r="H162" i="321"/>
  <c r="I162" i="321" s="1"/>
  <c r="H161" i="321"/>
  <c r="I160" i="321"/>
  <c r="C232" i="321"/>
  <c r="F103" i="321"/>
  <c r="I103" i="321" s="1"/>
  <c r="E253" i="321"/>
  <c r="C282" i="321"/>
  <c r="E282" i="321" s="1"/>
  <c r="I123" i="321"/>
  <c r="C228" i="321"/>
  <c r="F95" i="321"/>
  <c r="I95" i="321" s="1"/>
  <c r="H77" i="321"/>
  <c r="H78" i="321" s="1"/>
  <c r="H79" i="321" s="1"/>
  <c r="H80" i="321" s="1"/>
  <c r="H81" i="321" s="1"/>
  <c r="H82" i="321" s="1"/>
  <c r="H83" i="321" s="1"/>
  <c r="H84" i="321" s="1"/>
  <c r="I76" i="321"/>
  <c r="F6" i="321"/>
  <c r="G213" i="321"/>
  <c r="I213" i="321" s="1"/>
  <c r="F73" i="321"/>
  <c r="I73" i="321" s="1"/>
  <c r="E251" i="321"/>
  <c r="F81" i="321"/>
  <c r="E260" i="321"/>
  <c r="D93" i="321"/>
  <c r="F124" i="321"/>
  <c r="I124" i="321" s="1"/>
  <c r="E178" i="321"/>
  <c r="I178" i="321" s="1"/>
  <c r="E179" i="321"/>
  <c r="I179" i="321" s="1"/>
  <c r="H289" i="321"/>
  <c r="H318" i="321"/>
  <c r="E247" i="321"/>
  <c r="D276" i="321"/>
  <c r="E276" i="321" s="1"/>
  <c r="F366" i="321"/>
  <c r="I9" i="321"/>
  <c r="I26" i="321"/>
  <c r="F28" i="321"/>
  <c r="C31" i="321" s="1"/>
  <c r="C300" i="321"/>
  <c r="G211" i="321"/>
  <c r="C56" i="321"/>
  <c r="F75" i="321"/>
  <c r="I75" i="321" s="1"/>
  <c r="F83" i="321"/>
  <c r="I83" i="321" s="1"/>
  <c r="E284" i="321"/>
  <c r="D96" i="321"/>
  <c r="D145" i="321"/>
  <c r="D150" i="321"/>
  <c r="E278" i="321"/>
  <c r="F233" i="321"/>
  <c r="F234" i="321"/>
  <c r="F242" i="321" s="1"/>
  <c r="F5" i="321"/>
  <c r="H5" i="321" s="1"/>
  <c r="F72" i="321"/>
  <c r="I72" i="321" s="1"/>
  <c r="E249" i="321"/>
  <c r="F80" i="321"/>
  <c r="I80" i="321" s="1"/>
  <c r="D92" i="321"/>
  <c r="D101" i="321"/>
  <c r="F102" i="321"/>
  <c r="I102" i="321" s="1"/>
  <c r="E275" i="321"/>
  <c r="I168" i="321"/>
  <c r="E170" i="321" s="1"/>
  <c r="I28" i="321"/>
  <c r="F30" i="321"/>
  <c r="I30" i="321" s="1"/>
  <c r="F35" i="321"/>
  <c r="F69" i="321"/>
  <c r="I69" i="321" s="1"/>
  <c r="F77" i="321"/>
  <c r="F85" i="321"/>
  <c r="E92" i="321"/>
  <c r="D225" i="321" s="1"/>
  <c r="D234" i="321" s="1"/>
  <c r="E101" i="321"/>
  <c r="D230" i="321" s="1"/>
  <c r="D239" i="321" s="1"/>
  <c r="F161" i="321"/>
  <c r="I161" i="321" s="1"/>
  <c r="F190" i="321"/>
  <c r="C255" i="321"/>
  <c r="E255" i="321" s="1"/>
  <c r="C283" i="321"/>
  <c r="H287" i="321"/>
  <c r="F27" i="321"/>
  <c r="F37" i="321"/>
  <c r="I37" i="321" s="1"/>
  <c r="F74" i="321"/>
  <c r="I74" i="321" s="1"/>
  <c r="F82" i="321"/>
  <c r="I82" i="321" s="1"/>
  <c r="E261" i="321"/>
  <c r="F125" i="321"/>
  <c r="I125" i="321" s="1"/>
  <c r="I130" i="321"/>
  <c r="E133" i="321" s="1"/>
  <c r="F273" i="321"/>
  <c r="F158" i="321"/>
  <c r="I158" i="321" s="1"/>
  <c r="E277" i="321"/>
  <c r="C246" i="321"/>
  <c r="E246" i="321" s="1"/>
  <c r="C262" i="321"/>
  <c r="E262" i="321" s="1"/>
  <c r="S386" i="321"/>
  <c r="U386" i="321" s="1"/>
  <c r="S388" i="321"/>
  <c r="U388" i="321" s="1"/>
  <c r="U387" i="321" s="1"/>
  <c r="S385" i="321"/>
  <c r="U385" i="321" s="1"/>
  <c r="D261" i="321"/>
  <c r="D283" i="321"/>
  <c r="E279" i="321"/>
  <c r="H288" i="321"/>
  <c r="C294" i="321"/>
  <c r="C332" i="321" a="1"/>
  <c r="C332" i="321" s="1"/>
  <c r="H332" i="321" s="1"/>
  <c r="E263" i="321"/>
  <c r="D284" i="321"/>
  <c r="C315" i="321"/>
  <c r="H315" i="321" s="1"/>
  <c r="C334" i="321" a="1"/>
  <c r="C334" i="321" s="1"/>
  <c r="H305" i="321"/>
  <c r="H308" i="321" s="1"/>
  <c r="H345" i="321"/>
  <c r="S376" i="320"/>
  <c r="U376" i="320" s="1"/>
  <c r="I181" i="320"/>
  <c r="E184" i="320" s="1"/>
  <c r="F250" i="320"/>
  <c r="C338" i="320" s="1"/>
  <c r="C343" i="320" s="1"/>
  <c r="H343" i="320" s="1"/>
  <c r="F68" i="320"/>
  <c r="I68" i="320" s="1"/>
  <c r="E204" i="320"/>
  <c r="C22" i="320"/>
  <c r="E23" i="320" s="1"/>
  <c r="I23" i="320" s="1"/>
  <c r="D116" i="320"/>
  <c r="F116" i="320" s="1"/>
  <c r="H73" i="320"/>
  <c r="H74" i="320" s="1"/>
  <c r="H75" i="320" s="1"/>
  <c r="H71" i="320"/>
  <c r="H72" i="320" s="1"/>
  <c r="H76" i="320" s="1"/>
  <c r="H77" i="320" s="1"/>
  <c r="H78" i="320" s="1"/>
  <c r="H79" i="320" s="1"/>
  <c r="H80" i="320" s="1"/>
  <c r="H81" i="320" s="1"/>
  <c r="H82" i="320" s="1"/>
  <c r="H83" i="320" s="1"/>
  <c r="H84" i="320" s="1"/>
  <c r="H85" i="320" s="1"/>
  <c r="H86" i="320" s="1"/>
  <c r="H87" i="320" s="1"/>
  <c r="I42" i="320"/>
  <c r="C48" i="320"/>
  <c r="C267" i="320"/>
  <c r="E267" i="320" s="1"/>
  <c r="F144" i="320"/>
  <c r="I144" i="320" s="1"/>
  <c r="C272" i="320"/>
  <c r="E272" i="320" s="1"/>
  <c r="F152" i="320"/>
  <c r="I152" i="320" s="1"/>
  <c r="E366" i="320"/>
  <c r="F366" i="320" s="1"/>
  <c r="F5" i="320"/>
  <c r="H5" i="320" s="1"/>
  <c r="C232" i="320"/>
  <c r="F103" i="320"/>
  <c r="I103" i="320" s="1"/>
  <c r="I54" i="320"/>
  <c r="H162" i="320"/>
  <c r="I162" i="320" s="1"/>
  <c r="H161" i="320"/>
  <c r="I161" i="320" s="1"/>
  <c r="C227" i="320"/>
  <c r="F94" i="320"/>
  <c r="I94" i="320" s="1"/>
  <c r="I45" i="320"/>
  <c r="I55" i="320"/>
  <c r="C126" i="320"/>
  <c r="I123" i="320"/>
  <c r="E126" i="320" s="1"/>
  <c r="E135" i="320"/>
  <c r="I135" i="320" s="1"/>
  <c r="E134" i="320"/>
  <c r="I134" i="320" s="1"/>
  <c r="I46" i="320"/>
  <c r="E58" i="320"/>
  <c r="I58" i="320" s="1"/>
  <c r="E57" i="320"/>
  <c r="I57" i="320" s="1"/>
  <c r="B243" i="320"/>
  <c r="B244" i="320" s="1"/>
  <c r="B245" i="320" s="1"/>
  <c r="B246" i="320" s="1"/>
  <c r="B241" i="320"/>
  <c r="I8" i="320"/>
  <c r="E12" i="320" s="1"/>
  <c r="H18" i="320"/>
  <c r="I17" i="320"/>
  <c r="E143" i="320"/>
  <c r="D266" i="320" s="1"/>
  <c r="D137" i="320"/>
  <c r="C228" i="320"/>
  <c r="F95" i="320"/>
  <c r="I95" i="320" s="1"/>
  <c r="I47" i="320"/>
  <c r="C281" i="320"/>
  <c r="E281" i="320" s="1"/>
  <c r="E252" i="320"/>
  <c r="F27" i="320"/>
  <c r="I27" i="320" s="1"/>
  <c r="F37" i="320"/>
  <c r="I37" i="320" s="1"/>
  <c r="I52" i="320"/>
  <c r="E245" i="320"/>
  <c r="F76" i="320"/>
  <c r="E254" i="320"/>
  <c r="E263" i="320"/>
  <c r="F117" i="320"/>
  <c r="I117" i="320" s="1"/>
  <c r="E200" i="320"/>
  <c r="I200" i="320" s="1"/>
  <c r="I30" i="320"/>
  <c r="D93" i="320"/>
  <c r="S386" i="320"/>
  <c r="U386" i="320" s="1"/>
  <c r="S388" i="320"/>
  <c r="U388" i="320" s="1"/>
  <c r="U387" i="320" s="1"/>
  <c r="S385" i="320"/>
  <c r="U385" i="320" s="1"/>
  <c r="U384" i="320" s="1"/>
  <c r="G217" i="320"/>
  <c r="D349" i="320"/>
  <c r="H349" i="320" s="1"/>
  <c r="C294" i="320"/>
  <c r="C332" i="320" a="1"/>
  <c r="C332" i="320" s="1"/>
  <c r="H332" i="320" s="1"/>
  <c r="F29" i="320"/>
  <c r="F70" i="320"/>
  <c r="I70" i="320" s="1"/>
  <c r="E247" i="320"/>
  <c r="F78" i="320"/>
  <c r="I78" i="320" s="1"/>
  <c r="E256" i="320"/>
  <c r="F86" i="320"/>
  <c r="D102" i="320"/>
  <c r="F108" i="320"/>
  <c r="I131" i="320"/>
  <c r="E133" i="320" s="1"/>
  <c r="E275" i="320"/>
  <c r="E177" i="320"/>
  <c r="H287" i="320"/>
  <c r="C310" i="320"/>
  <c r="H310" i="320" s="1"/>
  <c r="H309" i="320"/>
  <c r="C191" i="320"/>
  <c r="I190" i="320"/>
  <c r="E191" i="320" s="1"/>
  <c r="G213" i="320"/>
  <c r="I213" i="320" s="1"/>
  <c r="F75" i="320"/>
  <c r="I75" i="320" s="1"/>
  <c r="E253" i="320"/>
  <c r="C282" i="320"/>
  <c r="E282" i="320" s="1"/>
  <c r="F83" i="320"/>
  <c r="C262" i="320"/>
  <c r="C284" i="320"/>
  <c r="E229" i="320"/>
  <c r="D145" i="320"/>
  <c r="D150" i="320"/>
  <c r="F151" i="320"/>
  <c r="I151" i="320" s="1"/>
  <c r="I171" i="320"/>
  <c r="F233" i="320"/>
  <c r="F6" i="320"/>
  <c r="F26" i="320"/>
  <c r="I26" i="320" s="1"/>
  <c r="I29" i="320"/>
  <c r="F72" i="320"/>
  <c r="F80" i="320"/>
  <c r="D262" i="320"/>
  <c r="D284" i="320"/>
  <c r="C234" i="320"/>
  <c r="E96" i="320"/>
  <c r="D229" i="320" s="1"/>
  <c r="D238" i="320" s="1"/>
  <c r="E238" i="320" s="1"/>
  <c r="C239" i="320"/>
  <c r="F158" i="320"/>
  <c r="I158" i="320" s="1"/>
  <c r="D347" i="320"/>
  <c r="H347" i="320" s="1"/>
  <c r="H346" i="320"/>
  <c r="E271" i="320"/>
  <c r="D381" i="320"/>
  <c r="I381" i="320" s="1"/>
  <c r="F28" i="320"/>
  <c r="I28" i="320" s="1"/>
  <c r="C300" i="320"/>
  <c r="G211" i="320"/>
  <c r="F69" i="320"/>
  <c r="I69" i="320" s="1"/>
  <c r="E246" i="320"/>
  <c r="F77" i="320"/>
  <c r="E255" i="320"/>
  <c r="F85" i="320"/>
  <c r="E264" i="320"/>
  <c r="E92" i="320"/>
  <c r="E101" i="320"/>
  <c r="F160" i="320"/>
  <c r="I160" i="320" s="1"/>
  <c r="E178" i="320"/>
  <c r="I178" i="320" s="1"/>
  <c r="E179" i="320"/>
  <c r="I179" i="320" s="1"/>
  <c r="E185" i="320"/>
  <c r="I185" i="320" s="1"/>
  <c r="E186" i="320"/>
  <c r="I186" i="320" s="1"/>
  <c r="C215" i="320" a="1"/>
  <c r="C215" i="320" s="1"/>
  <c r="C261" i="320"/>
  <c r="C283" i="320"/>
  <c r="F35" i="320"/>
  <c r="E243" i="320"/>
  <c r="F71" i="320"/>
  <c r="I71" i="320" s="1"/>
  <c r="E248" i="320"/>
  <c r="F79" i="320"/>
  <c r="E257" i="320"/>
  <c r="D261" i="320"/>
  <c r="D283" i="320"/>
  <c r="F87" i="320"/>
  <c r="C334" i="320" a="1"/>
  <c r="C334" i="320" s="1"/>
  <c r="C274" i="320"/>
  <c r="E274" i="320" s="1"/>
  <c r="F157" i="320"/>
  <c r="E276" i="320"/>
  <c r="E278" i="320"/>
  <c r="F242" i="320"/>
  <c r="F292" i="320" s="1"/>
  <c r="H289" i="320"/>
  <c r="H318" i="320"/>
  <c r="D344" i="320"/>
  <c r="H344" i="320" s="1"/>
  <c r="F159" i="320"/>
  <c r="I159" i="320" s="1"/>
  <c r="H305" i="320"/>
  <c r="H308" i="320" s="1"/>
  <c r="C317" i="320"/>
  <c r="H345" i="320"/>
  <c r="I8" i="319"/>
  <c r="F250" i="319"/>
  <c r="F69" i="319"/>
  <c r="I69" i="319" s="1"/>
  <c r="C232" i="319"/>
  <c r="F103" i="319"/>
  <c r="I103" i="319" s="1"/>
  <c r="H18" i="319"/>
  <c r="I17" i="319"/>
  <c r="I46" i="319"/>
  <c r="I70" i="319"/>
  <c r="C48" i="319"/>
  <c r="I42" i="319"/>
  <c r="I159" i="319"/>
  <c r="C268" i="319"/>
  <c r="E268" i="319" s="1"/>
  <c r="F145" i="319"/>
  <c r="I145" i="319" s="1"/>
  <c r="C270" i="319"/>
  <c r="E270" i="319" s="1"/>
  <c r="F150" i="319"/>
  <c r="B243" i="319"/>
  <c r="B244" i="319" s="1"/>
  <c r="B245" i="319" s="1"/>
  <c r="B246" i="319" s="1"/>
  <c r="B241" i="319"/>
  <c r="F96" i="319"/>
  <c r="I96" i="319" s="1"/>
  <c r="C229" i="319"/>
  <c r="I82" i="319"/>
  <c r="C226" i="319"/>
  <c r="I47" i="319"/>
  <c r="H161" i="319"/>
  <c r="H162" i="319"/>
  <c r="I162" i="319" s="1"/>
  <c r="C231" i="319"/>
  <c r="F102" i="319"/>
  <c r="I102" i="319" s="1"/>
  <c r="I44" i="319"/>
  <c r="C271" i="319"/>
  <c r="E271" i="319" s="1"/>
  <c r="F151" i="319"/>
  <c r="I151" i="319" s="1"/>
  <c r="C338" i="319"/>
  <c r="H73" i="319"/>
  <c r="H74" i="319" s="1"/>
  <c r="H75" i="319" s="1"/>
  <c r="H71" i="319"/>
  <c r="H72" i="319" s="1"/>
  <c r="H76" i="319" s="1"/>
  <c r="H77" i="319" s="1"/>
  <c r="H78" i="319" s="1"/>
  <c r="H79" i="319" s="1"/>
  <c r="H80" i="319" s="1"/>
  <c r="H81" i="319" s="1"/>
  <c r="H82" i="319" s="1"/>
  <c r="H83" i="319" s="1"/>
  <c r="H84" i="319" s="1"/>
  <c r="H85" i="319" s="1"/>
  <c r="H86" i="319" s="1"/>
  <c r="H87" i="319" s="1"/>
  <c r="I84" i="319"/>
  <c r="I45" i="319"/>
  <c r="S386" i="319"/>
  <c r="U386" i="319" s="1"/>
  <c r="S388" i="319"/>
  <c r="U388" i="319" s="1"/>
  <c r="U387" i="319" s="1"/>
  <c r="S385" i="319"/>
  <c r="U385" i="319" s="1"/>
  <c r="G217" i="319"/>
  <c r="D349" i="319"/>
  <c r="H349" i="319" s="1"/>
  <c r="F71" i="319"/>
  <c r="I71" i="319" s="1"/>
  <c r="F79" i="319"/>
  <c r="D261" i="319"/>
  <c r="D283" i="319"/>
  <c r="F87" i="319"/>
  <c r="I87" i="319" s="1"/>
  <c r="C236" i="319"/>
  <c r="F95" i="319"/>
  <c r="I95" i="319" s="1"/>
  <c r="C133" i="319"/>
  <c r="F144" i="319"/>
  <c r="I144" i="319" s="1"/>
  <c r="C184" i="319"/>
  <c r="F242" i="319"/>
  <c r="F292" i="319" s="1"/>
  <c r="E228" i="319"/>
  <c r="F233" i="319"/>
  <c r="H4" i="319"/>
  <c r="E192" i="319"/>
  <c r="I192" i="319" s="1"/>
  <c r="E193" i="319"/>
  <c r="I193" i="319" s="1"/>
  <c r="F14" i="319"/>
  <c r="C294" i="319"/>
  <c r="G212" i="319"/>
  <c r="I212" i="319" s="1"/>
  <c r="C332" i="319" a="1"/>
  <c r="C332" i="319" s="1"/>
  <c r="H332" i="319" s="1"/>
  <c r="I27" i="319"/>
  <c r="F29" i="319"/>
  <c r="I29" i="319" s="1"/>
  <c r="C31" i="319"/>
  <c r="F76" i="319"/>
  <c r="I76" i="319" s="1"/>
  <c r="E94" i="319"/>
  <c r="D227" i="319" s="1"/>
  <c r="D236" i="319" s="1"/>
  <c r="H110" i="319"/>
  <c r="H111" i="319" s="1"/>
  <c r="I111" i="319" s="1"/>
  <c r="E152" i="319"/>
  <c r="D272" i="319" s="1"/>
  <c r="E272" i="319" s="1"/>
  <c r="F161" i="319"/>
  <c r="I161" i="319" s="1"/>
  <c r="I190" i="319"/>
  <c r="E200" i="319"/>
  <c r="I200" i="319" s="1"/>
  <c r="E201" i="319"/>
  <c r="I201" i="319" s="1"/>
  <c r="F6" i="319"/>
  <c r="G213" i="319"/>
  <c r="I213" i="319" s="1"/>
  <c r="F36" i="319"/>
  <c r="I36" i="319" s="1"/>
  <c r="E38" i="319" s="1"/>
  <c r="C38" i="319"/>
  <c r="H55" i="319"/>
  <c r="I55" i="319" s="1"/>
  <c r="E56" i="319" s="1"/>
  <c r="F73" i="319"/>
  <c r="E251" i="319"/>
  <c r="F81" i="319"/>
  <c r="I81" i="319" s="1"/>
  <c r="F94" i="319"/>
  <c r="I94" i="319" s="1"/>
  <c r="E103" i="319"/>
  <c r="D232" i="319" s="1"/>
  <c r="D241" i="319" s="1"/>
  <c r="K116" i="319"/>
  <c r="E116" i="319" s="1"/>
  <c r="F124" i="319"/>
  <c r="I124" i="319" s="1"/>
  <c r="E126" i="319" s="1"/>
  <c r="F152" i="319"/>
  <c r="I152" i="319" s="1"/>
  <c r="F158" i="319"/>
  <c r="I158" i="319" s="1"/>
  <c r="C275" i="319"/>
  <c r="E275" i="319" s="1"/>
  <c r="E177" i="319"/>
  <c r="E179" i="319"/>
  <c r="I179" i="319" s="1"/>
  <c r="C310" i="319"/>
  <c r="H310" i="319" s="1"/>
  <c r="H309" i="319"/>
  <c r="U376" i="319"/>
  <c r="E68" i="319"/>
  <c r="D243" i="319" s="1"/>
  <c r="E243" i="319" s="1"/>
  <c r="E93" i="319"/>
  <c r="D226" i="319" s="1"/>
  <c r="D235" i="319" s="1"/>
  <c r="F366" i="319"/>
  <c r="D381" i="319"/>
  <c r="I381" i="319" s="1"/>
  <c r="C300" i="319"/>
  <c r="G211" i="319"/>
  <c r="C56" i="319"/>
  <c r="F75" i="319"/>
  <c r="E253" i="319"/>
  <c r="C282" i="319"/>
  <c r="E282" i="319" s="1"/>
  <c r="F83" i="319"/>
  <c r="C262" i="319"/>
  <c r="C284" i="319"/>
  <c r="E284" i="319" s="1"/>
  <c r="D259" i="319"/>
  <c r="D347" i="319"/>
  <c r="H347" i="319" s="1"/>
  <c r="H346" i="319"/>
  <c r="F5" i="319"/>
  <c r="H5" i="319" s="1"/>
  <c r="G214" i="319"/>
  <c r="I214" i="319" s="1"/>
  <c r="F72" i="319"/>
  <c r="E249" i="319"/>
  <c r="F80" i="319"/>
  <c r="I80" i="319" s="1"/>
  <c r="E259" i="319"/>
  <c r="D262" i="319"/>
  <c r="D284" i="319"/>
  <c r="D92" i="319"/>
  <c r="D101" i="319"/>
  <c r="F160" i="319"/>
  <c r="I160" i="319" s="1"/>
  <c r="E237" i="319"/>
  <c r="E267" i="319"/>
  <c r="C334" i="319" a="1"/>
  <c r="C334" i="319" s="1"/>
  <c r="C274" i="319"/>
  <c r="E274" i="319" s="1"/>
  <c r="F157" i="319"/>
  <c r="E276" i="319"/>
  <c r="E191" i="319"/>
  <c r="F74" i="319"/>
  <c r="I74" i="319" s="1"/>
  <c r="C281" i="319"/>
  <c r="E281" i="319" s="1"/>
  <c r="E252" i="319"/>
  <c r="C261" i="319"/>
  <c r="C283" i="319"/>
  <c r="E278" i="319"/>
  <c r="D344" i="319"/>
  <c r="H344" i="319" s="1"/>
  <c r="C317" i="319"/>
  <c r="H345" i="319"/>
  <c r="E204" i="319"/>
  <c r="C215" i="319" s="1" a="1"/>
  <c r="C215" i="319" s="1"/>
  <c r="H308" i="318"/>
  <c r="F108" i="318"/>
  <c r="I108" i="318" s="1"/>
  <c r="E143" i="318"/>
  <c r="D266" i="318" s="1"/>
  <c r="C112" i="318"/>
  <c r="E114" i="318" s="1"/>
  <c r="I114" i="318" s="1"/>
  <c r="D116" i="318"/>
  <c r="F116" i="318" s="1"/>
  <c r="E243" i="318"/>
  <c r="I14" i="318"/>
  <c r="S386" i="318"/>
  <c r="U386" i="318" s="1"/>
  <c r="S385" i="318"/>
  <c r="U385" i="318" s="1"/>
  <c r="G217" i="318"/>
  <c r="H80" i="318"/>
  <c r="H81" i="318" s="1"/>
  <c r="H82" i="318" s="1"/>
  <c r="H83" i="318" s="1"/>
  <c r="H84" i="318" s="1"/>
  <c r="H85" i="318" s="1"/>
  <c r="H86" i="318" s="1"/>
  <c r="H87" i="318" s="1"/>
  <c r="I87" i="318" s="1"/>
  <c r="I79" i="318"/>
  <c r="H20" i="318"/>
  <c r="H21" i="318" s="1"/>
  <c r="I19" i="318"/>
  <c r="C227" i="318"/>
  <c r="F94" i="318"/>
  <c r="I94" i="318" s="1"/>
  <c r="C251" i="318"/>
  <c r="E251" i="318" s="1"/>
  <c r="F75" i="318"/>
  <c r="I75" i="318" s="1"/>
  <c r="C226" i="318"/>
  <c r="F93" i="318"/>
  <c r="I93" i="318" s="1"/>
  <c r="D143" i="318"/>
  <c r="I18" i="318"/>
  <c r="C237" i="318"/>
  <c r="I47" i="318"/>
  <c r="D283" i="318"/>
  <c r="D261" i="318"/>
  <c r="F84" i="318"/>
  <c r="F95" i="318"/>
  <c r="I95" i="318" s="1"/>
  <c r="C241" i="318"/>
  <c r="E241" i="318" s="1"/>
  <c r="E232" i="318"/>
  <c r="H111" i="318"/>
  <c r="I111" i="318" s="1"/>
  <c r="H132" i="318"/>
  <c r="I131" i="318"/>
  <c r="I137" i="318"/>
  <c r="E139" i="318" s="1"/>
  <c r="F269" i="318"/>
  <c r="I190" i="318"/>
  <c r="E191" i="318" s="1"/>
  <c r="C191" i="318"/>
  <c r="E95" i="318"/>
  <c r="D228" i="318" s="1"/>
  <c r="D237" i="318" s="1"/>
  <c r="F29" i="318"/>
  <c r="I29" i="318" s="1"/>
  <c r="C48" i="318"/>
  <c r="F81" i="318"/>
  <c r="I81" i="318" s="1"/>
  <c r="I132" i="318"/>
  <c r="H161" i="318"/>
  <c r="I161" i="318" s="1"/>
  <c r="H162" i="318"/>
  <c r="I162" i="318" s="1"/>
  <c r="G213" i="318"/>
  <c r="I213" i="318" s="1"/>
  <c r="E92" i="318"/>
  <c r="D225" i="318" s="1"/>
  <c r="D234" i="318" s="1"/>
  <c r="I37" i="318"/>
  <c r="I42" i="318"/>
  <c r="I45" i="318"/>
  <c r="F68" i="318"/>
  <c r="D252" i="318"/>
  <c r="D281" i="318" s="1"/>
  <c r="F76" i="318"/>
  <c r="I76" i="318" s="1"/>
  <c r="I20" i="318"/>
  <c r="F73" i="318"/>
  <c r="I73" i="318" s="1"/>
  <c r="F152" i="318"/>
  <c r="I152" i="318" s="1"/>
  <c r="C272" i="318"/>
  <c r="E272" i="318" s="1"/>
  <c r="D150" i="318"/>
  <c r="I158" i="318"/>
  <c r="I21" i="318"/>
  <c r="C300" i="318"/>
  <c r="G211" i="318"/>
  <c r="F35" i="318"/>
  <c r="D101" i="318"/>
  <c r="C133" i="318"/>
  <c r="E24" i="318"/>
  <c r="I24" i="318" s="1"/>
  <c r="E23" i="318"/>
  <c r="I23" i="318" s="1"/>
  <c r="G214" i="318"/>
  <c r="I214" i="318" s="1"/>
  <c r="E101" i="318"/>
  <c r="D230" i="318" s="1"/>
  <c r="D239" i="318" s="1"/>
  <c r="F83" i="318"/>
  <c r="C260" i="318"/>
  <c r="E260" i="318" s="1"/>
  <c r="E141" i="318"/>
  <c r="I141" i="318" s="1"/>
  <c r="E140" i="318"/>
  <c r="I140" i="318" s="1"/>
  <c r="C268" i="318"/>
  <c r="E268" i="318" s="1"/>
  <c r="F145" i="318"/>
  <c r="I145" i="318" s="1"/>
  <c r="H55" i="318"/>
  <c r="I54" i="318"/>
  <c r="I17" i="318"/>
  <c r="F28" i="318"/>
  <c r="I28" i="318" s="1"/>
  <c r="F36" i="318"/>
  <c r="I36" i="318" s="1"/>
  <c r="D102" i="318"/>
  <c r="C56" i="318"/>
  <c r="I55" i="318"/>
  <c r="B241" i="318"/>
  <c r="B243" i="318"/>
  <c r="B244" i="318" s="1"/>
  <c r="B245" i="318" s="1"/>
  <c r="B246" i="318" s="1"/>
  <c r="G212" i="318"/>
  <c r="I212" i="318" s="1"/>
  <c r="C332" i="318" a="1"/>
  <c r="C332" i="318" s="1"/>
  <c r="H332" i="318" s="1"/>
  <c r="E245" i="318"/>
  <c r="F26" i="318"/>
  <c r="F70" i="318"/>
  <c r="I70" i="318" s="1"/>
  <c r="F78" i="318"/>
  <c r="I78" i="318" s="1"/>
  <c r="F86" i="318"/>
  <c r="F103" i="318"/>
  <c r="I103" i="318" s="1"/>
  <c r="C244" i="318"/>
  <c r="E244" i="318" s="1"/>
  <c r="C278" i="318"/>
  <c r="E278" i="318" s="1"/>
  <c r="E281" i="318"/>
  <c r="H318" i="318"/>
  <c r="D347" i="318"/>
  <c r="H347" i="318" s="1"/>
  <c r="H346" i="318"/>
  <c r="F233" i="318"/>
  <c r="D381" i="318"/>
  <c r="I381" i="318" s="1"/>
  <c r="I26" i="318"/>
  <c r="C262" i="318"/>
  <c r="C284" i="318"/>
  <c r="D96" i="318"/>
  <c r="C315" i="318"/>
  <c r="H315" i="318" s="1"/>
  <c r="E204" i="318"/>
  <c r="C215" i="318" s="1" a="1"/>
  <c r="C215" i="318" s="1"/>
  <c r="D344" i="318"/>
  <c r="H344" i="318" s="1"/>
  <c r="C294" i="318"/>
  <c r="F366" i="318"/>
  <c r="I9" i="318"/>
  <c r="F72" i="318"/>
  <c r="I72" i="318" s="1"/>
  <c r="F80" i="318"/>
  <c r="D262" i="318"/>
  <c r="D284" i="318"/>
  <c r="D92" i="318"/>
  <c r="F125" i="318"/>
  <c r="I130" i="318"/>
  <c r="E133" i="318" s="1"/>
  <c r="F273" i="318"/>
  <c r="E172" i="318"/>
  <c r="I172" i="318" s="1"/>
  <c r="H183" i="318"/>
  <c r="I183" i="318" s="1"/>
  <c r="E184" i="318" s="1"/>
  <c r="H5" i="318"/>
  <c r="F77" i="318"/>
  <c r="I77" i="318" s="1"/>
  <c r="F85" i="318"/>
  <c r="F144" i="318"/>
  <c r="I144" i="318" s="1"/>
  <c r="C334" i="318" a="1"/>
  <c r="C334" i="318" s="1"/>
  <c r="C274" i="318"/>
  <c r="E274" i="318" s="1"/>
  <c r="E178" i="318"/>
  <c r="I178" i="318" s="1"/>
  <c r="C184" i="318"/>
  <c r="F74" i="318"/>
  <c r="I74" i="318" s="1"/>
  <c r="F82" i="318"/>
  <c r="C261" i="318"/>
  <c r="C283" i="318"/>
  <c r="E283" i="318" s="1"/>
  <c r="F160" i="318"/>
  <c r="I160" i="318" s="1"/>
  <c r="I168" i="318"/>
  <c r="E170" i="318" s="1"/>
  <c r="F265" i="318"/>
  <c r="C338" i="318" s="1"/>
  <c r="H286" i="318"/>
  <c r="I290" i="318"/>
  <c r="H289" i="318"/>
  <c r="C317" i="318"/>
  <c r="E201" i="318"/>
  <c r="I201" i="318" s="1"/>
  <c r="F234" i="318"/>
  <c r="F242" i="318" s="1"/>
  <c r="F292" i="318" s="1"/>
  <c r="S388" i="318"/>
  <c r="U388" i="318" s="1"/>
  <c r="U387" i="318" s="1"/>
  <c r="H309" i="318"/>
  <c r="D346" i="317"/>
  <c r="D347" i="317" s="1"/>
  <c r="H347" i="317" s="1"/>
  <c r="F233" i="317"/>
  <c r="F291" i="317" s="1"/>
  <c r="E260" i="317"/>
  <c r="C231" i="317"/>
  <c r="F102" i="317"/>
  <c r="I102" i="317" s="1"/>
  <c r="F116" i="317"/>
  <c r="D143" i="317"/>
  <c r="I118" i="317"/>
  <c r="E134" i="317"/>
  <c r="I134" i="317" s="1"/>
  <c r="E135" i="317"/>
  <c r="I135" i="317" s="1"/>
  <c r="E275" i="317"/>
  <c r="I54" i="317"/>
  <c r="C261" i="317"/>
  <c r="E261" i="317" s="1"/>
  <c r="C283" i="317"/>
  <c r="E283" i="317" s="1"/>
  <c r="F84" i="317"/>
  <c r="I84" i="317" s="1"/>
  <c r="E170" i="317"/>
  <c r="I18" i="317"/>
  <c r="F76" i="317"/>
  <c r="I76" i="317" s="1"/>
  <c r="C252" i="317"/>
  <c r="I78" i="317"/>
  <c r="I81" i="317"/>
  <c r="F103" i="317"/>
  <c r="I103" i="317" s="1"/>
  <c r="F151" i="317"/>
  <c r="I151" i="317" s="1"/>
  <c r="C271" i="317"/>
  <c r="E271" i="317" s="1"/>
  <c r="C139" i="317"/>
  <c r="F242" i="317"/>
  <c r="F292" i="317" s="1"/>
  <c r="I19" i="317"/>
  <c r="C227" i="317"/>
  <c r="F94" i="317"/>
  <c r="I94" i="317" s="1"/>
  <c r="I55" i="317"/>
  <c r="I73" i="317"/>
  <c r="F79" i="317"/>
  <c r="I79" i="317" s="1"/>
  <c r="F93" i="317"/>
  <c r="I93" i="317" s="1"/>
  <c r="I109" i="317"/>
  <c r="C112" i="317"/>
  <c r="H366" i="317"/>
  <c r="D387" i="317" s="1"/>
  <c r="I387" i="317" s="1"/>
  <c r="D362" i="317"/>
  <c r="H362" i="317" s="1"/>
  <c r="C241" i="317"/>
  <c r="E241" i="317" s="1"/>
  <c r="E232" i="317"/>
  <c r="I17" i="317"/>
  <c r="I86" i="317"/>
  <c r="F117" i="317"/>
  <c r="I117" i="317" s="1"/>
  <c r="D144" i="317"/>
  <c r="F6" i="317"/>
  <c r="F190" i="317"/>
  <c r="I20" i="317"/>
  <c r="I47" i="317"/>
  <c r="I157" i="317"/>
  <c r="E277" i="317"/>
  <c r="I53" i="317"/>
  <c r="D246" i="317"/>
  <c r="E246" i="317" s="1"/>
  <c r="F71" i="317"/>
  <c r="I71" i="317" s="1"/>
  <c r="I77" i="317"/>
  <c r="C256" i="317"/>
  <c r="E256" i="317" s="1"/>
  <c r="F80" i="317"/>
  <c r="I80" i="317" s="1"/>
  <c r="C268" i="317"/>
  <c r="E268" i="317" s="1"/>
  <c r="F145" i="317"/>
  <c r="I145" i="317" s="1"/>
  <c r="I16" i="317"/>
  <c r="F29" i="317"/>
  <c r="I29" i="317" s="1"/>
  <c r="D95" i="317"/>
  <c r="C247" i="317"/>
  <c r="E247" i="317" s="1"/>
  <c r="F72" i="317"/>
  <c r="I72" i="317" s="1"/>
  <c r="I82" i="317"/>
  <c r="I110" i="317"/>
  <c r="H111" i="317"/>
  <c r="I111" i="317" s="1"/>
  <c r="C270" i="317"/>
  <c r="E270" i="317" s="1"/>
  <c r="F150" i="317"/>
  <c r="H162" i="317"/>
  <c r="I162" i="317" s="1"/>
  <c r="H161" i="317"/>
  <c r="I161" i="317" s="1"/>
  <c r="B243" i="317"/>
  <c r="B244" i="317" s="1"/>
  <c r="B245" i="317" s="1"/>
  <c r="B246" i="317" s="1"/>
  <c r="B241" i="317"/>
  <c r="E251" i="317"/>
  <c r="C274" i="317"/>
  <c r="E274" i="317" s="1"/>
  <c r="E276" i="317"/>
  <c r="E278" i="317"/>
  <c r="H289" i="317"/>
  <c r="D348" i="317"/>
  <c r="H348" i="317" s="1"/>
  <c r="D357" i="317"/>
  <c r="C338" i="317"/>
  <c r="D381" i="317"/>
  <c r="I381" i="317" s="1"/>
  <c r="I26" i="317"/>
  <c r="F28" i="317"/>
  <c r="I28" i="317" s="1"/>
  <c r="F75" i="317"/>
  <c r="I75" i="317" s="1"/>
  <c r="F83" i="317"/>
  <c r="I83" i="317" s="1"/>
  <c r="D96" i="317"/>
  <c r="E212" i="317"/>
  <c r="C215" i="317" s="1" a="1"/>
  <c r="C215" i="317" s="1"/>
  <c r="C262" i="317"/>
  <c r="E262" i="317" s="1"/>
  <c r="S386" i="317"/>
  <c r="U386" i="317" s="1"/>
  <c r="S385" i="317"/>
  <c r="U385" i="317" s="1"/>
  <c r="G214" i="317"/>
  <c r="I214" i="317" s="1"/>
  <c r="E259" i="317"/>
  <c r="D262" i="317"/>
  <c r="D284" i="317"/>
  <c r="E284" i="317" s="1"/>
  <c r="D92" i="317"/>
  <c r="F160" i="317"/>
  <c r="I160" i="317" s="1"/>
  <c r="C253" i="317"/>
  <c r="C255" i="317"/>
  <c r="E255" i="317" s="1"/>
  <c r="H287" i="317"/>
  <c r="H346" i="317"/>
  <c r="D349" i="317"/>
  <c r="H349" i="317" s="1"/>
  <c r="G217" i="317"/>
  <c r="F30" i="317"/>
  <c r="I30" i="317" s="1"/>
  <c r="F85" i="317"/>
  <c r="I85" i="317" s="1"/>
  <c r="E92" i="317"/>
  <c r="D225" i="317" s="1"/>
  <c r="D234" i="317" s="1"/>
  <c r="E101" i="317"/>
  <c r="D230" i="317" s="1"/>
  <c r="D239" i="317" s="1"/>
  <c r="F124" i="317"/>
  <c r="I124" i="317" s="1"/>
  <c r="E126" i="317" s="1"/>
  <c r="F152" i="317"/>
  <c r="I152" i="317" s="1"/>
  <c r="E179" i="317"/>
  <c r="I179" i="317" s="1"/>
  <c r="E178" i="317"/>
  <c r="I178" i="317" s="1"/>
  <c r="D181" i="317"/>
  <c r="H190" i="317"/>
  <c r="E199" i="317"/>
  <c r="I290" i="317"/>
  <c r="C339" i="317"/>
  <c r="H339" i="317" s="1"/>
  <c r="E226" i="317"/>
  <c r="C235" i="317"/>
  <c r="E235" i="317" s="1"/>
  <c r="E263" i="317"/>
  <c r="C315" i="317"/>
  <c r="H315" i="317" s="1"/>
  <c r="D344" i="317"/>
  <c r="H344" i="317" s="1"/>
  <c r="F37" i="317"/>
  <c r="I37" i="317" s="1"/>
  <c r="F87" i="317"/>
  <c r="I87" i="317" s="1"/>
  <c r="H288" i="317"/>
  <c r="C332" i="317" a="1"/>
  <c r="C332" i="317" s="1"/>
  <c r="H332" i="317" s="1"/>
  <c r="C294" i="317"/>
  <c r="E245" i="317"/>
  <c r="D342" i="317"/>
  <c r="H342" i="317" s="1"/>
  <c r="S388" i="317"/>
  <c r="U388" i="317" s="1"/>
  <c r="U387" i="317" s="1"/>
  <c r="C310" i="317"/>
  <c r="H310" i="317" s="1"/>
  <c r="C317" i="317"/>
  <c r="E308" i="317"/>
  <c r="C318" i="317"/>
  <c r="H318" i="317" s="1"/>
  <c r="D48" i="316"/>
  <c r="H6" i="316"/>
  <c r="D7" i="316" s="1"/>
  <c r="G55" i="316"/>
  <c r="I55" i="316" s="1"/>
  <c r="C58" i="316"/>
  <c r="G58" i="316" s="1"/>
  <c r="E9" i="316"/>
  <c r="C24" i="316"/>
  <c r="D32" i="316"/>
  <c r="K32" i="316" s="1"/>
  <c r="C59" i="316"/>
  <c r="G59" i="316" s="1"/>
  <c r="Q66" i="316"/>
  <c r="E4" i="316"/>
  <c r="G4" i="316" s="1"/>
  <c r="E21" i="316"/>
  <c r="H21" i="316" s="1"/>
  <c r="C52" i="316"/>
  <c r="G52" i="316" s="1"/>
  <c r="B57" i="316"/>
  <c r="G57" i="316" s="1"/>
  <c r="C24" i="315"/>
  <c r="H6" i="315"/>
  <c r="D7" i="315" s="1"/>
  <c r="G55" i="315"/>
  <c r="C58" i="315"/>
  <c r="G58" i="315" s="1"/>
  <c r="H37" i="315"/>
  <c r="D62" i="315"/>
  <c r="B57" i="315"/>
  <c r="G57" i="315" s="1"/>
  <c r="H19" i="315"/>
  <c r="H22" i="315" s="1"/>
  <c r="D17" i="315"/>
  <c r="D48" i="315"/>
  <c r="E19" i="315"/>
  <c r="D22" i="315" s="1"/>
  <c r="E9" i="315"/>
  <c r="G15" i="315"/>
  <c r="H15" i="315" s="1"/>
  <c r="C59" i="315"/>
  <c r="G59" i="315" s="1"/>
  <c r="Q66" i="315"/>
  <c r="E4" i="315"/>
  <c r="G4" i="315" s="1"/>
  <c r="D24" i="315"/>
  <c r="C52" i="315" s="1"/>
  <c r="G52" i="315" s="1"/>
  <c r="H10" i="315"/>
  <c r="E29" i="315"/>
  <c r="B56" i="315"/>
  <c r="G56" i="315" s="1"/>
  <c r="G16" i="315"/>
  <c r="H16" i="315" s="1"/>
  <c r="H308" i="314"/>
  <c r="E69" i="314"/>
  <c r="D244" i="314" s="1"/>
  <c r="F36" i="314"/>
  <c r="I36" i="314" s="1"/>
  <c r="D60" i="314"/>
  <c r="C64" i="314" s="1"/>
  <c r="E66" i="314" s="1"/>
  <c r="I66" i="314" s="1"/>
  <c r="H309" i="314"/>
  <c r="F5" i="314"/>
  <c r="H5" i="314" s="1"/>
  <c r="D340" i="314"/>
  <c r="H340" i="314" s="1"/>
  <c r="I113" i="314"/>
  <c r="H366" i="314"/>
  <c r="D387" i="314" s="1"/>
  <c r="I387" i="314" s="1"/>
  <c r="D362" i="314"/>
  <c r="H362" i="314" s="1"/>
  <c r="I8" i="314"/>
  <c r="I45" i="314"/>
  <c r="H46" i="314"/>
  <c r="H47" i="314" s="1"/>
  <c r="I47" i="314" s="1"/>
  <c r="H162" i="314"/>
  <c r="I162" i="314" s="1"/>
  <c r="H161" i="314"/>
  <c r="I161" i="314" s="1"/>
  <c r="C228" i="314"/>
  <c r="F95" i="314"/>
  <c r="I95" i="314" s="1"/>
  <c r="F103" i="314"/>
  <c r="I103" i="314" s="1"/>
  <c r="D232" i="314"/>
  <c r="D241" i="314" s="1"/>
  <c r="H17" i="314"/>
  <c r="I16" i="314"/>
  <c r="C231" i="314"/>
  <c r="F102" i="314"/>
  <c r="I102" i="314" s="1"/>
  <c r="E119" i="314"/>
  <c r="C267" i="314"/>
  <c r="E267" i="314" s="1"/>
  <c r="F144" i="314"/>
  <c r="I144" i="314" s="1"/>
  <c r="C268" i="314"/>
  <c r="E268" i="314" s="1"/>
  <c r="F145" i="314"/>
  <c r="I145" i="314" s="1"/>
  <c r="B243" i="314"/>
  <c r="B244" i="314" s="1"/>
  <c r="B245" i="314" s="1"/>
  <c r="B246" i="314" s="1"/>
  <c r="B241" i="314"/>
  <c r="C227" i="314"/>
  <c r="F94" i="314"/>
  <c r="I94" i="314" s="1"/>
  <c r="H74" i="314"/>
  <c r="I73" i="314"/>
  <c r="H111" i="314"/>
  <c r="I111" i="314" s="1"/>
  <c r="I110" i="314"/>
  <c r="E112" i="314" s="1"/>
  <c r="C266" i="314"/>
  <c r="E266" i="314" s="1"/>
  <c r="F143" i="314"/>
  <c r="C270" i="314"/>
  <c r="E270" i="314" s="1"/>
  <c r="F150" i="314"/>
  <c r="I158" i="314"/>
  <c r="I44" i="314"/>
  <c r="E253" i="314"/>
  <c r="C282" i="314"/>
  <c r="E282" i="314" s="1"/>
  <c r="I10" i="314"/>
  <c r="G214" i="314"/>
  <c r="I214" i="314" s="1"/>
  <c r="F72" i="314"/>
  <c r="F80" i="314"/>
  <c r="E259" i="314"/>
  <c r="D262" i="314"/>
  <c r="D284" i="314"/>
  <c r="D92" i="314"/>
  <c r="F117" i="314"/>
  <c r="I117" i="314" s="1"/>
  <c r="F160" i="314"/>
  <c r="I160" i="314" s="1"/>
  <c r="E199" i="314"/>
  <c r="D344" i="314"/>
  <c r="H344" i="314" s="1"/>
  <c r="E279" i="314"/>
  <c r="D96" i="314"/>
  <c r="E179" i="314"/>
  <c r="I179" i="314" s="1"/>
  <c r="E178" i="314"/>
  <c r="I178" i="314" s="1"/>
  <c r="D349" i="314"/>
  <c r="H349" i="314" s="1"/>
  <c r="G217" i="314"/>
  <c r="D14" i="314"/>
  <c r="J68" i="314" s="1"/>
  <c r="I28" i="314"/>
  <c r="F30" i="314"/>
  <c r="I30" i="314" s="1"/>
  <c r="E246" i="314"/>
  <c r="F77" i="314"/>
  <c r="E255" i="314"/>
  <c r="E264" i="314"/>
  <c r="E101" i="314"/>
  <c r="D230" i="314" s="1"/>
  <c r="D239" i="314" s="1"/>
  <c r="F124" i="314"/>
  <c r="I124" i="314" s="1"/>
  <c r="E126" i="314" s="1"/>
  <c r="E172" i="314"/>
  <c r="I172" i="314" s="1"/>
  <c r="C184" i="314"/>
  <c r="F233" i="314"/>
  <c r="I190" i="314"/>
  <c r="E191" i="314" s="1"/>
  <c r="C191" i="314"/>
  <c r="C281" i="314"/>
  <c r="E281" i="314" s="1"/>
  <c r="E252" i="314"/>
  <c r="C261" i="314"/>
  <c r="E261" i="314" s="1"/>
  <c r="C283" i="314"/>
  <c r="E283" i="314" s="1"/>
  <c r="E140" i="314"/>
  <c r="I140" i="314" s="1"/>
  <c r="F151" i="314"/>
  <c r="I151" i="314" s="1"/>
  <c r="F157" i="314"/>
  <c r="C274" i="314"/>
  <c r="E274" i="314" s="1"/>
  <c r="C215" i="314" a="1"/>
  <c r="C215" i="314" s="1"/>
  <c r="E114" i="314"/>
  <c r="I114" i="314" s="1"/>
  <c r="E135" i="314"/>
  <c r="I135" i="314" s="1"/>
  <c r="F6" i="314"/>
  <c r="F37" i="314"/>
  <c r="I37" i="314" s="1"/>
  <c r="F71" i="314"/>
  <c r="E248" i="314"/>
  <c r="F79" i="314"/>
  <c r="E257" i="314"/>
  <c r="F87" i="314"/>
  <c r="F269" i="314"/>
  <c r="F159" i="314"/>
  <c r="I159" i="314" s="1"/>
  <c r="D276" i="314"/>
  <c r="E276" i="314" s="1"/>
  <c r="H286" i="314"/>
  <c r="H290" i="314" s="1"/>
  <c r="I290" i="314"/>
  <c r="D347" i="314"/>
  <c r="H347" i="314" s="1"/>
  <c r="H346" i="314"/>
  <c r="C284" i="314"/>
  <c r="C262" i="314"/>
  <c r="E262" i="314" s="1"/>
  <c r="C332" i="314" a="1"/>
  <c r="C332" i="314" s="1"/>
  <c r="H332" i="314" s="1"/>
  <c r="C294" i="314"/>
  <c r="E245" i="314"/>
  <c r="H71" i="314"/>
  <c r="H72" i="314" s="1"/>
  <c r="H76" i="314" s="1"/>
  <c r="E254" i="314"/>
  <c r="C241" i="314"/>
  <c r="E241" i="314" s="1"/>
  <c r="G213" i="314"/>
  <c r="I213" i="314" s="1"/>
  <c r="J48" i="314"/>
  <c r="D381" i="314" s="1"/>
  <c r="I381" i="314" s="1"/>
  <c r="E251" i="314"/>
  <c r="E260" i="314"/>
  <c r="E226" i="314"/>
  <c r="E256" i="314"/>
  <c r="F152" i="314"/>
  <c r="I152" i="314" s="1"/>
  <c r="C272" i="314"/>
  <c r="E272" i="314" s="1"/>
  <c r="C235" i="314"/>
  <c r="E235" i="314" s="1"/>
  <c r="H338" i="314"/>
  <c r="C317" i="314"/>
  <c r="S385" i="314"/>
  <c r="U385" i="314" s="1"/>
  <c r="U384" i="314" s="1"/>
  <c r="C315" i="314"/>
  <c r="H315" i="314" s="1"/>
  <c r="S388" i="314"/>
  <c r="U388" i="314" s="1"/>
  <c r="U387" i="314" s="1"/>
  <c r="F234" i="314"/>
  <c r="F242" i="314" s="1"/>
  <c r="D346" i="313"/>
  <c r="C215" i="313" a="1"/>
  <c r="C215" i="313" s="1"/>
  <c r="F366" i="313"/>
  <c r="H366" i="313" s="1"/>
  <c r="D387" i="313" s="1"/>
  <c r="I387" i="313" s="1"/>
  <c r="C232" i="313"/>
  <c r="F103" i="313"/>
  <c r="I103" i="313" s="1"/>
  <c r="B243" i="313"/>
  <c r="B244" i="313" s="1"/>
  <c r="B245" i="313" s="1"/>
  <c r="B246" i="313" s="1"/>
  <c r="B241" i="313"/>
  <c r="I8" i="313"/>
  <c r="H20" i="313"/>
  <c r="I19" i="313"/>
  <c r="C267" i="313"/>
  <c r="E267" i="313" s="1"/>
  <c r="F144" i="313"/>
  <c r="I144" i="313" s="1"/>
  <c r="E133" i="313"/>
  <c r="E234" i="313"/>
  <c r="I160" i="313"/>
  <c r="E170" i="313"/>
  <c r="H161" i="313"/>
  <c r="H162" i="313"/>
  <c r="I162" i="313" s="1"/>
  <c r="C270" i="313"/>
  <c r="E141" i="313"/>
  <c r="I141" i="313" s="1"/>
  <c r="E140" i="313"/>
  <c r="I140" i="313" s="1"/>
  <c r="C226" i="313"/>
  <c r="F93" i="313"/>
  <c r="I93" i="313" s="1"/>
  <c r="H73" i="313"/>
  <c r="H74" i="313" s="1"/>
  <c r="H75" i="313" s="1"/>
  <c r="I75" i="313" s="1"/>
  <c r="H71" i="313"/>
  <c r="H72" i="313" s="1"/>
  <c r="H76" i="313" s="1"/>
  <c r="H77" i="313" s="1"/>
  <c r="H78" i="313" s="1"/>
  <c r="H79" i="313" s="1"/>
  <c r="H80" i="313" s="1"/>
  <c r="H81" i="313" s="1"/>
  <c r="H82" i="313" s="1"/>
  <c r="H83" i="313" s="1"/>
  <c r="H84" i="313" s="1"/>
  <c r="H85" i="313" s="1"/>
  <c r="H86" i="313" s="1"/>
  <c r="H87" i="313" s="1"/>
  <c r="F102" i="313"/>
  <c r="I102" i="313" s="1"/>
  <c r="C231" i="313"/>
  <c r="C268" i="313"/>
  <c r="I123" i="313"/>
  <c r="H111" i="313"/>
  <c r="I111" i="313" s="1"/>
  <c r="I110" i="313"/>
  <c r="C119" i="313"/>
  <c r="I118" i="313"/>
  <c r="E119" i="313" s="1"/>
  <c r="F151" i="313"/>
  <c r="I151" i="313" s="1"/>
  <c r="C271" i="313"/>
  <c r="E271" i="313" s="1"/>
  <c r="C227" i="313"/>
  <c r="F94" i="313"/>
  <c r="I94" i="313" s="1"/>
  <c r="E266" i="313"/>
  <c r="H10" i="313"/>
  <c r="E253" i="313"/>
  <c r="C282" i="313"/>
  <c r="E282" i="313" s="1"/>
  <c r="C284" i="313"/>
  <c r="C262" i="313"/>
  <c r="D96" i="313"/>
  <c r="C112" i="313"/>
  <c r="C133" i="313"/>
  <c r="D152" i="313"/>
  <c r="C274" i="313"/>
  <c r="E274" i="313" s="1"/>
  <c r="D181" i="313"/>
  <c r="C279" i="313"/>
  <c r="E279" i="313" s="1"/>
  <c r="D349" i="313"/>
  <c r="H349" i="313" s="1"/>
  <c r="G217" i="313"/>
  <c r="D14" i="313"/>
  <c r="J68" i="313" s="1"/>
  <c r="I28" i="313"/>
  <c r="F30" i="313"/>
  <c r="I30" i="313" s="1"/>
  <c r="E65" i="313"/>
  <c r="I65" i="313" s="1"/>
  <c r="E246" i="313"/>
  <c r="F77" i="313"/>
  <c r="E255" i="313"/>
  <c r="F85" i="313"/>
  <c r="E264" i="313"/>
  <c r="D95" i="313"/>
  <c r="E101" i="313"/>
  <c r="D230" i="313" s="1"/>
  <c r="D239" i="313" s="1"/>
  <c r="F124" i="313"/>
  <c r="I124" i="313" s="1"/>
  <c r="F157" i="313"/>
  <c r="E172" i="313"/>
  <c r="I172" i="313" s="1"/>
  <c r="H183" i="313"/>
  <c r="I183" i="313" s="1"/>
  <c r="E225" i="313"/>
  <c r="C276" i="313"/>
  <c r="E276" i="313" s="1"/>
  <c r="H289" i="313"/>
  <c r="D347" i="313"/>
  <c r="H347" i="313" s="1"/>
  <c r="H346" i="313"/>
  <c r="D262" i="313"/>
  <c r="D284" i="313"/>
  <c r="I190" i="313"/>
  <c r="E191" i="313" s="1"/>
  <c r="C191" i="313"/>
  <c r="F27" i="313"/>
  <c r="F74" i="313"/>
  <c r="C281" i="313"/>
  <c r="E281" i="313" s="1"/>
  <c r="E252" i="313"/>
  <c r="F82" i="313"/>
  <c r="C261" i="313"/>
  <c r="E261" i="313" s="1"/>
  <c r="C283" i="313"/>
  <c r="F92" i="313"/>
  <c r="F143" i="313"/>
  <c r="F233" i="313"/>
  <c r="F234" i="313"/>
  <c r="F242" i="313" s="1"/>
  <c r="C263" i="313"/>
  <c r="E263" i="313" s="1"/>
  <c r="F6" i="313"/>
  <c r="F37" i="313"/>
  <c r="I37" i="313" s="1"/>
  <c r="F71" i="313"/>
  <c r="E248" i="313"/>
  <c r="F79" i="313"/>
  <c r="E257" i="313"/>
  <c r="F87" i="313"/>
  <c r="I137" i="313"/>
  <c r="E139" i="313" s="1"/>
  <c r="F269" i="313"/>
  <c r="H286" i="313"/>
  <c r="I290" i="313"/>
  <c r="C332" i="313" a="1"/>
  <c r="C332" i="313" s="1"/>
  <c r="H332" i="313" s="1"/>
  <c r="C294" i="313"/>
  <c r="I27" i="313"/>
  <c r="E145" i="313"/>
  <c r="D268" i="313" s="1"/>
  <c r="E150" i="313"/>
  <c r="D270" i="313" s="1"/>
  <c r="I171" i="313"/>
  <c r="G213" i="313"/>
  <c r="I213" i="313" s="1"/>
  <c r="J48" i="313"/>
  <c r="D381" i="313" s="1"/>
  <c r="I381" i="313" s="1"/>
  <c r="F73" i="313"/>
  <c r="E251" i="313"/>
  <c r="F81" i="313"/>
  <c r="E260" i="313"/>
  <c r="F161" i="313"/>
  <c r="I161" i="313" s="1"/>
  <c r="F5" i="313"/>
  <c r="H5" i="313" s="1"/>
  <c r="F26" i="313"/>
  <c r="C31" i="313" s="1"/>
  <c r="F36" i="313"/>
  <c r="I36" i="313" s="1"/>
  <c r="F70" i="313"/>
  <c r="I70" i="313" s="1"/>
  <c r="F78" i="313"/>
  <c r="E256" i="313"/>
  <c r="F273" i="313"/>
  <c r="F158" i="313"/>
  <c r="I158" i="313" s="1"/>
  <c r="H176" i="313"/>
  <c r="I176" i="313" s="1"/>
  <c r="E177" i="313" s="1"/>
  <c r="D344" i="313"/>
  <c r="H344" i="313" s="1"/>
  <c r="C338" i="313"/>
  <c r="D283" i="313"/>
  <c r="C310" i="313"/>
  <c r="H310" i="313" s="1"/>
  <c r="C317" i="313"/>
  <c r="S385" i="313"/>
  <c r="U385" i="313" s="1"/>
  <c r="U384" i="313" s="1"/>
  <c r="C315" i="313"/>
  <c r="H315" i="313" s="1"/>
  <c r="S388" i="313"/>
  <c r="U388" i="313" s="1"/>
  <c r="U387" i="313" s="1"/>
  <c r="E308" i="313"/>
  <c r="C318" i="313"/>
  <c r="H318" i="313" s="1"/>
  <c r="S385" i="312"/>
  <c r="U385" i="312" s="1"/>
  <c r="F250" i="312"/>
  <c r="F71" i="312"/>
  <c r="I71" i="312" s="1"/>
  <c r="D381" i="312"/>
  <c r="I381" i="312" s="1"/>
  <c r="E204" i="312"/>
  <c r="C215" i="312" s="1" a="1"/>
  <c r="C215" i="312" s="1"/>
  <c r="F5" i="312"/>
  <c r="H5" i="312" s="1"/>
  <c r="I8" i="312"/>
  <c r="I54" i="312"/>
  <c r="I79" i="312"/>
  <c r="F239" i="312"/>
  <c r="F233" i="312"/>
  <c r="D249" i="312"/>
  <c r="E249" i="312" s="1"/>
  <c r="F74" i="312"/>
  <c r="I74" i="312" s="1"/>
  <c r="I157" i="312"/>
  <c r="I55" i="312"/>
  <c r="E56" i="312" s="1"/>
  <c r="E64" i="312"/>
  <c r="I84" i="312"/>
  <c r="C338" i="312"/>
  <c r="H20" i="312"/>
  <c r="I19" i="312"/>
  <c r="C257" i="312"/>
  <c r="E257" i="312" s="1"/>
  <c r="F81" i="312"/>
  <c r="I81" i="312" s="1"/>
  <c r="D261" i="312"/>
  <c r="D283" i="312"/>
  <c r="H161" i="312"/>
  <c r="H162" i="312"/>
  <c r="E193" i="312"/>
  <c r="I193" i="312" s="1"/>
  <c r="E192" i="312"/>
  <c r="I192" i="312" s="1"/>
  <c r="D96" i="312"/>
  <c r="F37" i="312"/>
  <c r="I37" i="312" s="1"/>
  <c r="D103" i="312"/>
  <c r="I87" i="312"/>
  <c r="C227" i="312"/>
  <c r="F94" i="312"/>
  <c r="I94" i="312" s="1"/>
  <c r="I123" i="312"/>
  <c r="E135" i="312"/>
  <c r="I135" i="312" s="1"/>
  <c r="E134" i="312"/>
  <c r="I134" i="312" s="1"/>
  <c r="C248" i="312"/>
  <c r="E248" i="312" s="1"/>
  <c r="F73" i="312"/>
  <c r="I73" i="312" s="1"/>
  <c r="D143" i="312"/>
  <c r="C300" i="312"/>
  <c r="G211" i="312"/>
  <c r="D101" i="312"/>
  <c r="F30" i="312"/>
  <c r="I30" i="312" s="1"/>
  <c r="I82" i="312"/>
  <c r="C271" i="312"/>
  <c r="E271" i="312" s="1"/>
  <c r="F151" i="312"/>
  <c r="I151" i="312" s="1"/>
  <c r="B243" i="312"/>
  <c r="B244" i="312" s="1"/>
  <c r="B245" i="312" s="1"/>
  <c r="B246" i="312" s="1"/>
  <c r="B241" i="312"/>
  <c r="F35" i="312"/>
  <c r="I85" i="312"/>
  <c r="C267" i="312"/>
  <c r="E267" i="312" s="1"/>
  <c r="F144" i="312"/>
  <c r="I144" i="312" s="1"/>
  <c r="I160" i="312"/>
  <c r="F217" i="312"/>
  <c r="F27" i="312"/>
  <c r="I27" i="312" s="1"/>
  <c r="E245" i="312"/>
  <c r="F76" i="312"/>
  <c r="I76" i="312" s="1"/>
  <c r="E254" i="312"/>
  <c r="E263" i="312"/>
  <c r="F124" i="312"/>
  <c r="I124" i="312" s="1"/>
  <c r="F152" i="312"/>
  <c r="I152" i="312" s="1"/>
  <c r="E276" i="312"/>
  <c r="E228" i="312"/>
  <c r="C56" i="312"/>
  <c r="D93" i="312"/>
  <c r="F242" i="312"/>
  <c r="F292" i="312" s="1"/>
  <c r="D259" i="312"/>
  <c r="H318" i="312"/>
  <c r="I190" i="312"/>
  <c r="E191" i="312" s="1"/>
  <c r="F70" i="312"/>
  <c r="I70" i="312" s="1"/>
  <c r="F78" i="312"/>
  <c r="I78" i="312" s="1"/>
  <c r="F86" i="312"/>
  <c r="I86" i="312" s="1"/>
  <c r="D102" i="312"/>
  <c r="D145" i="312"/>
  <c r="D150" i="312"/>
  <c r="F159" i="312"/>
  <c r="I159" i="312" s="1"/>
  <c r="F6" i="312"/>
  <c r="C332" i="312" a="1"/>
  <c r="C332" i="312" s="1"/>
  <c r="H332" i="312" s="1"/>
  <c r="C294" i="312"/>
  <c r="F29" i="312"/>
  <c r="I29" i="312" s="1"/>
  <c r="G213" i="312"/>
  <c r="I213" i="312" s="1"/>
  <c r="F75" i="312"/>
  <c r="I75" i="312" s="1"/>
  <c r="E253" i="312"/>
  <c r="C282" i="312"/>
  <c r="E282" i="312" s="1"/>
  <c r="F83" i="312"/>
  <c r="I83" i="312" s="1"/>
  <c r="C262" i="312"/>
  <c r="C284" i="312"/>
  <c r="F161" i="312"/>
  <c r="I178" i="312"/>
  <c r="G212" i="312"/>
  <c r="I212" i="312" s="1"/>
  <c r="F366" i="312"/>
  <c r="F26" i="312"/>
  <c r="F72" i="312"/>
  <c r="I72" i="312" s="1"/>
  <c r="F80" i="312"/>
  <c r="I80" i="312" s="1"/>
  <c r="E259" i="312"/>
  <c r="D262" i="312"/>
  <c r="D284" i="312"/>
  <c r="D92" i="312"/>
  <c r="E200" i="312"/>
  <c r="I200" i="312" s="1"/>
  <c r="H287" i="312"/>
  <c r="C310" i="312"/>
  <c r="H310" i="312" s="1"/>
  <c r="H309" i="312"/>
  <c r="U384" i="312"/>
  <c r="E237" i="312"/>
  <c r="E101" i="312"/>
  <c r="D230" i="312" s="1"/>
  <c r="D239" i="312" s="1"/>
  <c r="C281" i="312"/>
  <c r="E281" i="312" s="1"/>
  <c r="E252" i="312"/>
  <c r="C261" i="312"/>
  <c r="E261" i="312" s="1"/>
  <c r="C283" i="312"/>
  <c r="E272" i="312"/>
  <c r="C274" i="312"/>
  <c r="E274" i="312" s="1"/>
  <c r="F162" i="312"/>
  <c r="I162" i="312" s="1"/>
  <c r="C279" i="312"/>
  <c r="E279" i="312" s="1"/>
  <c r="H169" i="312"/>
  <c r="I169" i="312" s="1"/>
  <c r="E170" i="312" s="1"/>
  <c r="D347" i="312"/>
  <c r="H347" i="312" s="1"/>
  <c r="H346" i="312"/>
  <c r="H305" i="312"/>
  <c r="H308" i="312" s="1"/>
  <c r="C317" i="312"/>
  <c r="H345" i="312"/>
  <c r="S388" i="312"/>
  <c r="U388" i="312" s="1"/>
  <c r="U387" i="312" s="1"/>
  <c r="C315" i="312"/>
  <c r="H315" i="312" s="1"/>
  <c r="E308" i="311"/>
  <c r="D347" i="311"/>
  <c r="H347" i="311" s="1"/>
  <c r="H346" i="311"/>
  <c r="H345" i="311"/>
  <c r="C56" i="311"/>
  <c r="E57" i="311" s="1"/>
  <c r="I57" i="311" s="1"/>
  <c r="D381" i="311"/>
  <c r="I381" i="311" s="1"/>
  <c r="F42" i="311"/>
  <c r="I42" i="311" s="1"/>
  <c r="G214" i="311"/>
  <c r="I214" i="311" s="1"/>
  <c r="C12" i="311"/>
  <c r="C311" i="311"/>
  <c r="H311" i="311" s="1"/>
  <c r="H6" i="311"/>
  <c r="C267" i="311"/>
  <c r="E267" i="311" s="1"/>
  <c r="F144" i="311"/>
  <c r="I144" i="311" s="1"/>
  <c r="C332" i="311" a="1"/>
  <c r="C332" i="311" s="1"/>
  <c r="H332" i="311" s="1"/>
  <c r="C294" i="311"/>
  <c r="G212" i="311"/>
  <c r="I212" i="311" s="1"/>
  <c r="D92" i="311"/>
  <c r="I27" i="311"/>
  <c r="F30" i="311"/>
  <c r="I30" i="311" s="1"/>
  <c r="F36" i="311"/>
  <c r="I36" i="311" s="1"/>
  <c r="D96" i="311"/>
  <c r="E102" i="311"/>
  <c r="D231" i="311" s="1"/>
  <c r="D240" i="311" s="1"/>
  <c r="C343" i="311"/>
  <c r="H343" i="311" s="1"/>
  <c r="H338" i="311"/>
  <c r="F190" i="311"/>
  <c r="E116" i="311"/>
  <c r="I55" i="311"/>
  <c r="C235" i="311"/>
  <c r="E235" i="311" s="1"/>
  <c r="E226" i="311"/>
  <c r="E12" i="311"/>
  <c r="H17" i="311"/>
  <c r="G213" i="311"/>
  <c r="I213" i="311" s="1"/>
  <c r="E92" i="311"/>
  <c r="D225" i="311" s="1"/>
  <c r="D234" i="311" s="1"/>
  <c r="D94" i="311"/>
  <c r="I28" i="311"/>
  <c r="F123" i="311"/>
  <c r="D150" i="311"/>
  <c r="F45" i="311"/>
  <c r="I45" i="311" s="1"/>
  <c r="I53" i="311"/>
  <c r="E56" i="311" s="1"/>
  <c r="H73" i="311"/>
  <c r="H71" i="311"/>
  <c r="H72" i="311" s="1"/>
  <c r="H76" i="311" s="1"/>
  <c r="H77" i="311" s="1"/>
  <c r="H78" i="311" s="1"/>
  <c r="H79" i="311" s="1"/>
  <c r="H80" i="311" s="1"/>
  <c r="H81" i="311" s="1"/>
  <c r="C262" i="311"/>
  <c r="E262" i="311" s="1"/>
  <c r="C284" i="311"/>
  <c r="F85" i="311"/>
  <c r="F118" i="311"/>
  <c r="I118" i="311" s="1"/>
  <c r="D145" i="311"/>
  <c r="E133" i="311"/>
  <c r="H12" i="311"/>
  <c r="D366" i="311"/>
  <c r="F5" i="311"/>
  <c r="H5" i="311" s="1"/>
  <c r="C300" i="311"/>
  <c r="G211" i="311"/>
  <c r="F35" i="311"/>
  <c r="D101" i="311"/>
  <c r="C133" i="311"/>
  <c r="I54" i="311"/>
  <c r="I66" i="311"/>
  <c r="C253" i="311"/>
  <c r="F77" i="311"/>
  <c r="D271" i="311"/>
  <c r="F151" i="311"/>
  <c r="I151" i="311" s="1"/>
  <c r="C163" i="311"/>
  <c r="B243" i="311"/>
  <c r="B244" i="311" s="1"/>
  <c r="B245" i="311" s="1"/>
  <c r="B246" i="311" s="1"/>
  <c r="B241" i="311"/>
  <c r="F366" i="311"/>
  <c r="I29" i="311"/>
  <c r="D95" i="311"/>
  <c r="C244" i="311"/>
  <c r="E244" i="311" s="1"/>
  <c r="F69" i="311"/>
  <c r="I69" i="311" s="1"/>
  <c r="I152" i="311"/>
  <c r="I158" i="311"/>
  <c r="H159" i="311"/>
  <c r="H160" i="311" s="1"/>
  <c r="F72" i="311"/>
  <c r="F80" i="311"/>
  <c r="E259" i="311"/>
  <c r="D262" i="311"/>
  <c r="D284" i="311"/>
  <c r="F102" i="311"/>
  <c r="I102" i="311" s="1"/>
  <c r="D181" i="311"/>
  <c r="H305" i="311"/>
  <c r="H308" i="311" s="1"/>
  <c r="E246" i="311"/>
  <c r="E255" i="311"/>
  <c r="E264" i="311"/>
  <c r="F161" i="311"/>
  <c r="E200" i="311"/>
  <c r="I200" i="311" s="1"/>
  <c r="C281" i="311"/>
  <c r="E281" i="311" s="1"/>
  <c r="E252" i="311"/>
  <c r="C261" i="311"/>
  <c r="C283" i="311"/>
  <c r="I179" i="311"/>
  <c r="E65" i="311"/>
  <c r="I65" i="311" s="1"/>
  <c r="F71" i="311"/>
  <c r="E248" i="311"/>
  <c r="F79" i="311"/>
  <c r="E257" i="311"/>
  <c r="D261" i="311"/>
  <c r="D283" i="311"/>
  <c r="F87" i="311"/>
  <c r="E272" i="311"/>
  <c r="C274" i="311"/>
  <c r="E274" i="311" s="1"/>
  <c r="E199" i="311"/>
  <c r="H289" i="311"/>
  <c r="H318" i="311"/>
  <c r="E245" i="311"/>
  <c r="E254" i="311"/>
  <c r="E263" i="311"/>
  <c r="E279" i="311"/>
  <c r="E172" i="311"/>
  <c r="I172" i="311" s="1"/>
  <c r="F242" i="311"/>
  <c r="F292" i="311" s="1"/>
  <c r="C232" i="311"/>
  <c r="E271" i="311"/>
  <c r="D344" i="311"/>
  <c r="H344" i="311" s="1"/>
  <c r="C315" i="311"/>
  <c r="H315" i="311" s="1"/>
  <c r="C215" i="311" a="1"/>
  <c r="C215" i="311" s="1"/>
  <c r="F233" i="311"/>
  <c r="F70" i="311"/>
  <c r="I70" i="311" s="1"/>
  <c r="E247" i="311"/>
  <c r="F78" i="311"/>
  <c r="E256" i="311"/>
  <c r="F86" i="311"/>
  <c r="C240" i="311"/>
  <c r="F162" i="311"/>
  <c r="G217" i="311"/>
  <c r="H287" i="311"/>
  <c r="C310" i="311"/>
  <c r="H310" i="311" s="1"/>
  <c r="H309" i="311"/>
  <c r="C317" i="311"/>
  <c r="H23" i="291"/>
  <c r="D359" i="310"/>
  <c r="E108" i="310"/>
  <c r="K116" i="310" s="1"/>
  <c r="E116" i="310" s="1"/>
  <c r="D14" i="310"/>
  <c r="J68" i="310" s="1"/>
  <c r="D386" i="310"/>
  <c r="I386" i="310" s="1"/>
  <c r="T382" i="310"/>
  <c r="S382" i="310"/>
  <c r="T381" i="310"/>
  <c r="U381" i="310" s="1"/>
  <c r="U380" i="310"/>
  <c r="T376" i="310"/>
  <c r="V372" i="310"/>
  <c r="S386" i="310" s="1"/>
  <c r="U386" i="310" s="1"/>
  <c r="C368" i="310"/>
  <c r="G366" i="310"/>
  <c r="H359" i="310"/>
  <c r="H352" i="310"/>
  <c r="D352" i="310"/>
  <c r="D351" i="310"/>
  <c r="H351" i="310" s="1"/>
  <c r="D345" i="310"/>
  <c r="C341" i="310"/>
  <c r="H341" i="310" s="1"/>
  <c r="C340" i="310"/>
  <c r="G329" i="310"/>
  <c r="G328" i="310"/>
  <c r="G325" i="310"/>
  <c r="G323" i="310"/>
  <c r="E321" i="310"/>
  <c r="E319" i="310"/>
  <c r="F318" i="310"/>
  <c r="G318" i="310" s="1"/>
  <c r="C316" i="310"/>
  <c r="C318" i="310" s="1"/>
  <c r="G313" i="310"/>
  <c r="H312" i="310"/>
  <c r="D310" i="310"/>
  <c r="C309" i="310"/>
  <c r="C310" i="310" s="1"/>
  <c r="H310" i="310" s="1"/>
  <c r="H307" i="310"/>
  <c r="G305" i="310"/>
  <c r="H305" i="310" s="1"/>
  <c r="E305" i="310"/>
  <c r="E304" i="310"/>
  <c r="D371" i="310" s="1"/>
  <c r="G303" i="310"/>
  <c r="H303" i="310" s="1"/>
  <c r="G302" i="310"/>
  <c r="H302" i="310" s="1"/>
  <c r="H301" i="310"/>
  <c r="H299" i="310"/>
  <c r="H297" i="310"/>
  <c r="F296" i="310"/>
  <c r="F298" i="310" s="1"/>
  <c r="F300" i="310" s="1"/>
  <c r="F302" i="310" s="1"/>
  <c r="F303" i="310" s="1"/>
  <c r="H295" i="310"/>
  <c r="F290" i="310"/>
  <c r="E289" i="310"/>
  <c r="G288" i="310"/>
  <c r="G289" i="310" s="1"/>
  <c r="E288" i="310"/>
  <c r="B288" i="310"/>
  <c r="B289" i="310" s="1"/>
  <c r="E287" i="310"/>
  <c r="I290" i="310" s="1"/>
  <c r="G286" i="310"/>
  <c r="G287" i="310" s="1"/>
  <c r="E286" i="310"/>
  <c r="B286" i="310"/>
  <c r="B287" i="310" s="1"/>
  <c r="F284" i="310"/>
  <c r="F283" i="310"/>
  <c r="B281" i="310"/>
  <c r="B282" i="310" s="1"/>
  <c r="B283" i="310" s="1"/>
  <c r="B284" i="310" s="1"/>
  <c r="F279" i="310"/>
  <c r="F278" i="310"/>
  <c r="F277" i="310"/>
  <c r="F276" i="310"/>
  <c r="I275" i="310"/>
  <c r="I276" i="310" s="1"/>
  <c r="I277" i="310" s="1"/>
  <c r="I278" i="310" s="1"/>
  <c r="I279" i="310" s="1"/>
  <c r="F275" i="310"/>
  <c r="F274" i="310"/>
  <c r="F264" i="310"/>
  <c r="F263" i="310"/>
  <c r="F262" i="310"/>
  <c r="F261" i="310"/>
  <c r="F260" i="310"/>
  <c r="F259" i="310"/>
  <c r="F257" i="310"/>
  <c r="F256" i="310"/>
  <c r="F255" i="310"/>
  <c r="F254" i="310"/>
  <c r="F253" i="310"/>
  <c r="I252" i="310"/>
  <c r="I253" i="310" s="1"/>
  <c r="I254" i="310" s="1"/>
  <c r="I255" i="310" s="1"/>
  <c r="I256" i="310" s="1"/>
  <c r="I257" i="310" s="1"/>
  <c r="F252" i="310"/>
  <c r="F251" i="310"/>
  <c r="F258" i="310" s="1"/>
  <c r="F249" i="310"/>
  <c r="F248" i="310"/>
  <c r="F247" i="310"/>
  <c r="F246" i="310"/>
  <c r="F245" i="310"/>
  <c r="F244" i="310"/>
  <c r="F243" i="310"/>
  <c r="F229" i="310"/>
  <c r="F238" i="310" s="1"/>
  <c r="F228" i="310"/>
  <c r="F237" i="310" s="1"/>
  <c r="F227" i="310"/>
  <c r="F236" i="310" s="1"/>
  <c r="F226" i="310"/>
  <c r="F235" i="310" s="1"/>
  <c r="F225" i="310"/>
  <c r="F234" i="310" s="1"/>
  <c r="B225" i="310"/>
  <c r="B226" i="310" s="1"/>
  <c r="B227" i="310" s="1"/>
  <c r="B228" i="310" s="1"/>
  <c r="B229" i="310" s="1"/>
  <c r="B230" i="310" s="1"/>
  <c r="B231" i="310" s="1"/>
  <c r="B232" i="310" s="1"/>
  <c r="B234" i="310" s="1"/>
  <c r="B235" i="310" s="1"/>
  <c r="B236" i="310" s="1"/>
  <c r="B237" i="310" s="1"/>
  <c r="B238" i="310" s="1"/>
  <c r="B239" i="310" s="1"/>
  <c r="B240" i="310" s="1"/>
  <c r="C223" i="310"/>
  <c r="I222" i="310"/>
  <c r="C222" i="310"/>
  <c r="I221" i="310"/>
  <c r="C219" i="310"/>
  <c r="E213" i="310"/>
  <c r="E214" i="310" s="1"/>
  <c r="E211" i="310"/>
  <c r="E212" i="310" s="1"/>
  <c r="E209" i="310"/>
  <c r="E210" i="310" s="1"/>
  <c r="I207" i="310"/>
  <c r="I208" i="310" s="1"/>
  <c r="E207" i="310"/>
  <c r="E208" i="310" s="1"/>
  <c r="I206" i="310"/>
  <c r="I205" i="310"/>
  <c r="E205" i="310"/>
  <c r="E206" i="310" s="1"/>
  <c r="I203" i="310"/>
  <c r="I204" i="310" s="1"/>
  <c r="E203" i="310"/>
  <c r="G201" i="310"/>
  <c r="G200" i="310"/>
  <c r="C199" i="310"/>
  <c r="E201" i="310" s="1"/>
  <c r="I201" i="310" s="1"/>
  <c r="H198" i="310"/>
  <c r="I196" i="310"/>
  <c r="H196" i="310"/>
  <c r="I195" i="310"/>
  <c r="G193" i="310"/>
  <c r="G192" i="310"/>
  <c r="H190" i="310"/>
  <c r="I189" i="310"/>
  <c r="H189" i="310"/>
  <c r="I188" i="310"/>
  <c r="G186" i="310"/>
  <c r="G185" i="310"/>
  <c r="H182" i="310"/>
  <c r="I182" i="310" s="1"/>
  <c r="G179" i="310"/>
  <c r="G178" i="310"/>
  <c r="C177" i="310"/>
  <c r="E178" i="310" s="1"/>
  <c r="I178" i="310" s="1"/>
  <c r="I176" i="310"/>
  <c r="H176" i="310"/>
  <c r="H175" i="310"/>
  <c r="I175" i="310" s="1"/>
  <c r="I174" i="310"/>
  <c r="G172" i="310"/>
  <c r="I171" i="310"/>
  <c r="G171" i="310"/>
  <c r="C170" i="310"/>
  <c r="E171" i="310" s="1"/>
  <c r="H168" i="310"/>
  <c r="H169" i="310" s="1"/>
  <c r="I169" i="310" s="1"/>
  <c r="I167" i="310"/>
  <c r="G165" i="310"/>
  <c r="G164" i="310"/>
  <c r="F162" i="310"/>
  <c r="E162" i="310"/>
  <c r="D279" i="310" s="1"/>
  <c r="D162" i="310"/>
  <c r="C279" i="310" s="1"/>
  <c r="E161" i="310"/>
  <c r="D278" i="310" s="1"/>
  <c r="D161" i="310"/>
  <c r="C278" i="310" s="1"/>
  <c r="E278" i="310" s="1"/>
  <c r="E160" i="310"/>
  <c r="D277" i="310" s="1"/>
  <c r="D160" i="310"/>
  <c r="F159" i="310"/>
  <c r="E159" i="310"/>
  <c r="D276" i="310" s="1"/>
  <c r="D159" i="310"/>
  <c r="C276" i="310" s="1"/>
  <c r="E158" i="310"/>
  <c r="D275" i="310" s="1"/>
  <c r="D158" i="310"/>
  <c r="C275" i="310" s="1"/>
  <c r="E275" i="310" s="1"/>
  <c r="H157" i="310"/>
  <c r="H158" i="310" s="1"/>
  <c r="H159" i="310" s="1"/>
  <c r="H160" i="310" s="1"/>
  <c r="E157" i="310"/>
  <c r="D274" i="310" s="1"/>
  <c r="D157" i="310"/>
  <c r="F157" i="310" s="1"/>
  <c r="G155" i="310"/>
  <c r="G154" i="310"/>
  <c r="G152" i="310"/>
  <c r="F272" i="310" s="1"/>
  <c r="G151" i="310"/>
  <c r="F271" i="310" s="1"/>
  <c r="G150" i="310"/>
  <c r="F270" i="310" s="1"/>
  <c r="F273" i="310" s="1"/>
  <c r="G148" i="310"/>
  <c r="G147" i="310"/>
  <c r="G145" i="310"/>
  <c r="F268" i="310" s="1"/>
  <c r="D145" i="310"/>
  <c r="C268" i="310" s="1"/>
  <c r="H144" i="310"/>
  <c r="H145" i="310" s="1"/>
  <c r="H150" i="310" s="1"/>
  <c r="H151" i="310" s="1"/>
  <c r="H152" i="310" s="1"/>
  <c r="G144" i="310"/>
  <c r="F267" i="310" s="1"/>
  <c r="G143" i="310"/>
  <c r="F266" i="310" s="1"/>
  <c r="F269" i="310" s="1"/>
  <c r="G141" i="310"/>
  <c r="G140" i="310"/>
  <c r="H138" i="310"/>
  <c r="I138" i="310" s="1"/>
  <c r="G135" i="310"/>
  <c r="G134" i="310"/>
  <c r="J133" i="310"/>
  <c r="H132" i="310"/>
  <c r="F132" i="310"/>
  <c r="D132" i="310"/>
  <c r="I132" i="310" s="1"/>
  <c r="H131" i="310"/>
  <c r="F131" i="310"/>
  <c r="D131" i="310"/>
  <c r="C133" i="310" s="1"/>
  <c r="I130" i="310"/>
  <c r="F130" i="310"/>
  <c r="D130" i="310"/>
  <c r="G128" i="310"/>
  <c r="G127" i="310"/>
  <c r="J126" i="310"/>
  <c r="E125" i="310"/>
  <c r="E152" i="310" s="1"/>
  <c r="D272" i="310" s="1"/>
  <c r="D125" i="310"/>
  <c r="D152" i="310" s="1"/>
  <c r="H124" i="310"/>
  <c r="H125" i="310" s="1"/>
  <c r="E124" i="310"/>
  <c r="E151" i="310" s="1"/>
  <c r="D124" i="310"/>
  <c r="D151" i="310" s="1"/>
  <c r="C271" i="310" s="1"/>
  <c r="E123" i="310"/>
  <c r="E150" i="310" s="1"/>
  <c r="D270" i="310" s="1"/>
  <c r="D123" i="310"/>
  <c r="G121" i="310"/>
  <c r="G120" i="310"/>
  <c r="J119" i="310"/>
  <c r="E118" i="310"/>
  <c r="E145" i="310" s="1"/>
  <c r="D268" i="310" s="1"/>
  <c r="D118" i="310"/>
  <c r="H117" i="310"/>
  <c r="H118" i="310" s="1"/>
  <c r="E117" i="310"/>
  <c r="E144" i="310" s="1"/>
  <c r="D267" i="310" s="1"/>
  <c r="D117" i="310"/>
  <c r="F117" i="310" s="1"/>
  <c r="I117" i="310" s="1"/>
  <c r="G114" i="310"/>
  <c r="G113" i="310"/>
  <c r="J112" i="310"/>
  <c r="F111" i="310"/>
  <c r="H110" i="310"/>
  <c r="H111" i="310" s="1"/>
  <c r="F110" i="310"/>
  <c r="H109" i="310"/>
  <c r="F109" i="310"/>
  <c r="I109" i="310" s="1"/>
  <c r="G106" i="310"/>
  <c r="G105" i="310"/>
  <c r="G103" i="310"/>
  <c r="F232" i="310" s="1"/>
  <c r="F241" i="310" s="1"/>
  <c r="G102" i="310"/>
  <c r="F231" i="310" s="1"/>
  <c r="F240" i="310" s="1"/>
  <c r="G101" i="310"/>
  <c r="F230" i="310" s="1"/>
  <c r="F239" i="310" s="1"/>
  <c r="C101" i="310"/>
  <c r="G99" i="310"/>
  <c r="G98" i="310"/>
  <c r="G96" i="310"/>
  <c r="G95" i="310"/>
  <c r="G94" i="310"/>
  <c r="H93" i="310"/>
  <c r="H94" i="310" s="1"/>
  <c r="H95" i="310" s="1"/>
  <c r="H96" i="310" s="1"/>
  <c r="H101" i="310" s="1"/>
  <c r="H102" i="310" s="1"/>
  <c r="H103" i="310" s="1"/>
  <c r="G93" i="310"/>
  <c r="D93" i="310"/>
  <c r="C226" i="310" s="1"/>
  <c r="G92" i="310"/>
  <c r="G90" i="310"/>
  <c r="G89" i="310"/>
  <c r="E87" i="310"/>
  <c r="D264" i="310" s="1"/>
  <c r="D87" i="310"/>
  <c r="C264" i="310" s="1"/>
  <c r="E264" i="310" s="1"/>
  <c r="E86" i="310"/>
  <c r="D263" i="310" s="1"/>
  <c r="D86" i="310"/>
  <c r="C263" i="310" s="1"/>
  <c r="E85" i="310"/>
  <c r="D85" i="310"/>
  <c r="C262" i="310" s="1"/>
  <c r="E84" i="310"/>
  <c r="D84" i="310"/>
  <c r="E83" i="310"/>
  <c r="D260" i="310" s="1"/>
  <c r="D83" i="310"/>
  <c r="C260" i="310" s="1"/>
  <c r="E260" i="310" s="1"/>
  <c r="E82" i="310"/>
  <c r="D259" i="310" s="1"/>
  <c r="D82" i="310"/>
  <c r="C259" i="310" s="1"/>
  <c r="E81" i="310"/>
  <c r="D257" i="310" s="1"/>
  <c r="D81" i="310"/>
  <c r="C257" i="310" s="1"/>
  <c r="E80" i="310"/>
  <c r="D256" i="310" s="1"/>
  <c r="D80" i="310"/>
  <c r="C256" i="310" s="1"/>
  <c r="E79" i="310"/>
  <c r="D255" i="310" s="1"/>
  <c r="D79" i="310"/>
  <c r="C255" i="310" s="1"/>
  <c r="E255" i="310" s="1"/>
  <c r="E78" i="310"/>
  <c r="D254" i="310" s="1"/>
  <c r="D78" i="310"/>
  <c r="C254" i="310" s="1"/>
  <c r="F77" i="310"/>
  <c r="E77" i="310"/>
  <c r="D253" i="310" s="1"/>
  <c r="D282" i="310" s="1"/>
  <c r="D77" i="310"/>
  <c r="C253" i="310" s="1"/>
  <c r="E76" i="310"/>
  <c r="D252" i="310" s="1"/>
  <c r="D281" i="310" s="1"/>
  <c r="D76" i="310"/>
  <c r="C252" i="310" s="1"/>
  <c r="E75" i="310"/>
  <c r="D251" i="310" s="1"/>
  <c r="D75" i="310"/>
  <c r="C251" i="310" s="1"/>
  <c r="E251" i="310" s="1"/>
  <c r="E74" i="310"/>
  <c r="D249" i="310" s="1"/>
  <c r="D74" i="310"/>
  <c r="C249" i="310" s="1"/>
  <c r="E249" i="310" s="1"/>
  <c r="E73" i="310"/>
  <c r="D248" i="310" s="1"/>
  <c r="D73" i="310"/>
  <c r="C248" i="310" s="1"/>
  <c r="E72" i="310"/>
  <c r="D247" i="310" s="1"/>
  <c r="D72" i="310"/>
  <c r="C247" i="310" s="1"/>
  <c r="E247" i="310" s="1"/>
  <c r="E71" i="310"/>
  <c r="D246" i="310" s="1"/>
  <c r="D71" i="310"/>
  <c r="C246" i="310" s="1"/>
  <c r="E246" i="310" s="1"/>
  <c r="E70" i="310"/>
  <c r="D245" i="310" s="1"/>
  <c r="D70" i="310"/>
  <c r="C245" i="310" s="1"/>
  <c r="H69" i="310"/>
  <c r="H70" i="310" s="1"/>
  <c r="E69" i="310"/>
  <c r="D244" i="310" s="1"/>
  <c r="D69" i="310"/>
  <c r="C244" i="310" s="1"/>
  <c r="E244" i="310" s="1"/>
  <c r="G66" i="310"/>
  <c r="G65" i="310"/>
  <c r="J64" i="310"/>
  <c r="C64" i="310"/>
  <c r="E66" i="310" s="1"/>
  <c r="I63" i="310"/>
  <c r="I62" i="310"/>
  <c r="I61" i="310"/>
  <c r="I60" i="310"/>
  <c r="E64" i="310" s="1"/>
  <c r="G58" i="310"/>
  <c r="G57" i="310"/>
  <c r="J56" i="310"/>
  <c r="F55" i="310"/>
  <c r="D55" i="310"/>
  <c r="F54" i="310"/>
  <c r="D54" i="310"/>
  <c r="H53" i="310"/>
  <c r="H54" i="310" s="1"/>
  <c r="I54" i="310" s="1"/>
  <c r="F53" i="310"/>
  <c r="D53" i="310"/>
  <c r="F52" i="310"/>
  <c r="D52" i="310"/>
  <c r="G50" i="310"/>
  <c r="G49" i="310"/>
  <c r="J48" i="310"/>
  <c r="E47" i="310"/>
  <c r="F47" i="310" s="1"/>
  <c r="D47" i="310"/>
  <c r="E46" i="310"/>
  <c r="D46" i="310"/>
  <c r="E45" i="310"/>
  <c r="D45" i="310"/>
  <c r="E44" i="310"/>
  <c r="D44" i="310"/>
  <c r="F44" i="310" s="1"/>
  <c r="H43" i="310"/>
  <c r="H44" i="310" s="1"/>
  <c r="H45" i="310" s="1"/>
  <c r="H46" i="310" s="1"/>
  <c r="H47" i="310" s="1"/>
  <c r="E43" i="310"/>
  <c r="D43" i="310"/>
  <c r="E42" i="310"/>
  <c r="F42" i="310" s="1"/>
  <c r="D42" i="310"/>
  <c r="G40" i="310"/>
  <c r="G39" i="310"/>
  <c r="J38" i="310"/>
  <c r="H37" i="310"/>
  <c r="E37" i="310"/>
  <c r="D37" i="310"/>
  <c r="D103" i="310" s="1"/>
  <c r="H36" i="310"/>
  <c r="E36" i="310"/>
  <c r="E102" i="310" s="1"/>
  <c r="D231" i="310" s="1"/>
  <c r="D240" i="310" s="1"/>
  <c r="D36" i="310"/>
  <c r="D102" i="310" s="1"/>
  <c r="E35" i="310"/>
  <c r="E101" i="310" s="1"/>
  <c r="D230" i="310" s="1"/>
  <c r="D239" i="310" s="1"/>
  <c r="D35" i="310"/>
  <c r="C300" i="310" s="1"/>
  <c r="G33" i="310"/>
  <c r="G32" i="310"/>
  <c r="J31" i="310"/>
  <c r="E30" i="310"/>
  <c r="E96" i="310" s="1"/>
  <c r="D229" i="310" s="1"/>
  <c r="D238" i="310" s="1"/>
  <c r="D30" i="310"/>
  <c r="D96" i="310" s="1"/>
  <c r="E29" i="310"/>
  <c r="E95" i="310" s="1"/>
  <c r="D228" i="310" s="1"/>
  <c r="D237" i="310" s="1"/>
  <c r="D29" i="310"/>
  <c r="F29" i="310" s="1"/>
  <c r="E28" i="310"/>
  <c r="E94" i="310" s="1"/>
  <c r="D227" i="310" s="1"/>
  <c r="D236" i="310" s="1"/>
  <c r="D28" i="310"/>
  <c r="D94" i="310" s="1"/>
  <c r="C227" i="310" s="1"/>
  <c r="C236" i="310" s="1"/>
  <c r="H27" i="310"/>
  <c r="H28" i="310" s="1"/>
  <c r="H29" i="310" s="1"/>
  <c r="H30" i="310" s="1"/>
  <c r="E27" i="310"/>
  <c r="D27" i="310"/>
  <c r="E26" i="310"/>
  <c r="E92" i="310" s="1"/>
  <c r="D225" i="310" s="1"/>
  <c r="D234" i="310" s="1"/>
  <c r="D26" i="310"/>
  <c r="J22" i="310"/>
  <c r="F21" i="310"/>
  <c r="F20" i="310"/>
  <c r="F19" i="310"/>
  <c r="F18" i="310"/>
  <c r="I18" i="310" s="1"/>
  <c r="H17" i="310"/>
  <c r="H18" i="310" s="1"/>
  <c r="H19" i="310" s="1"/>
  <c r="H20" i="310" s="1"/>
  <c r="H21" i="310" s="1"/>
  <c r="I21" i="310" s="1"/>
  <c r="F17" i="310"/>
  <c r="H16" i="310"/>
  <c r="F16" i="310"/>
  <c r="H15" i="310"/>
  <c r="F15" i="310"/>
  <c r="M11" i="310"/>
  <c r="M10" i="310"/>
  <c r="M9" i="310"/>
  <c r="H9" i="310"/>
  <c r="H10" i="310" s="1"/>
  <c r="H11" i="310" s="1"/>
  <c r="I11" i="310" s="1"/>
  <c r="M8" i="310"/>
  <c r="E8" i="310"/>
  <c r="C8" i="310"/>
  <c r="M7" i="310"/>
  <c r="M6" i="310"/>
  <c r="F190" i="310"/>
  <c r="C191" i="310" s="1"/>
  <c r="E192" i="310" s="1"/>
  <c r="I192" i="310" s="1"/>
  <c r="F217" i="310"/>
  <c r="M5" i="310"/>
  <c r="E5" i="310"/>
  <c r="E366" i="310" s="1"/>
  <c r="D5" i="310"/>
  <c r="M4" i="310"/>
  <c r="H4" i="310"/>
  <c r="B4" i="310"/>
  <c r="R370" i="310" s="1"/>
  <c r="E126" i="307"/>
  <c r="F4" i="309"/>
  <c r="V372" i="309" s="1"/>
  <c r="S386" i="309" s="1"/>
  <c r="U386" i="309" s="1"/>
  <c r="F4" i="308"/>
  <c r="D386" i="309"/>
  <c r="I386" i="309" s="1"/>
  <c r="T382" i="309"/>
  <c r="U382" i="309" s="1"/>
  <c r="S382" i="309"/>
  <c r="T381" i="309"/>
  <c r="U381" i="309" s="1"/>
  <c r="S380" i="309"/>
  <c r="T376" i="309"/>
  <c r="D371" i="309"/>
  <c r="C368" i="309"/>
  <c r="G366" i="309"/>
  <c r="H360" i="309"/>
  <c r="H359" i="309"/>
  <c r="D358" i="309"/>
  <c r="S376" i="309" s="1"/>
  <c r="U376" i="309" s="1"/>
  <c r="H352" i="309"/>
  <c r="D352" i="309"/>
  <c r="D351" i="309"/>
  <c r="H351" i="309" s="1"/>
  <c r="D345" i="309"/>
  <c r="D346" i="309" s="1"/>
  <c r="H341" i="309"/>
  <c r="C341" i="309"/>
  <c r="C340" i="309"/>
  <c r="G329" i="309"/>
  <c r="G328" i="309"/>
  <c r="G325" i="309"/>
  <c r="G323" i="309"/>
  <c r="E321" i="309"/>
  <c r="E319" i="309"/>
  <c r="F318" i="309"/>
  <c r="G318" i="309" s="1"/>
  <c r="C316" i="309"/>
  <c r="C318" i="309" s="1"/>
  <c r="G313" i="309"/>
  <c r="H312" i="309"/>
  <c r="D310" i="309"/>
  <c r="C309" i="309"/>
  <c r="H309" i="309" s="1"/>
  <c r="H307" i="309"/>
  <c r="G305" i="309"/>
  <c r="E305" i="309"/>
  <c r="E304" i="309"/>
  <c r="G303" i="309"/>
  <c r="H303" i="309" s="1"/>
  <c r="G302" i="309"/>
  <c r="H302" i="309" s="1"/>
  <c r="H301" i="309"/>
  <c r="H299" i="309"/>
  <c r="H297" i="309"/>
  <c r="F296" i="309"/>
  <c r="F298" i="309" s="1"/>
  <c r="F300" i="309" s="1"/>
  <c r="F302" i="309" s="1"/>
  <c r="F303" i="309" s="1"/>
  <c r="H295" i="309"/>
  <c r="F290" i="309"/>
  <c r="E289" i="309"/>
  <c r="G288" i="309"/>
  <c r="G289" i="309" s="1"/>
  <c r="E288" i="309"/>
  <c r="B288" i="309"/>
  <c r="B289" i="309" s="1"/>
  <c r="E287" i="309"/>
  <c r="G286" i="309"/>
  <c r="G287" i="309" s="1"/>
  <c r="E286" i="309"/>
  <c r="I290" i="309" s="1"/>
  <c r="B286" i="309"/>
  <c r="B287" i="309" s="1"/>
  <c r="F284" i="309"/>
  <c r="F283" i="309"/>
  <c r="B281" i="309"/>
  <c r="B282" i="309" s="1"/>
  <c r="B283" i="309" s="1"/>
  <c r="B284" i="309" s="1"/>
  <c r="F279" i="309"/>
  <c r="F278" i="309"/>
  <c r="F277" i="309"/>
  <c r="F276" i="309"/>
  <c r="I275" i="309"/>
  <c r="I276" i="309" s="1"/>
  <c r="I277" i="309" s="1"/>
  <c r="I278" i="309" s="1"/>
  <c r="I279" i="309" s="1"/>
  <c r="F275" i="309"/>
  <c r="F274" i="309"/>
  <c r="F280" i="309" s="1"/>
  <c r="F264" i="309"/>
  <c r="C264" i="309"/>
  <c r="F263" i="309"/>
  <c r="F262" i="309"/>
  <c r="F261" i="309"/>
  <c r="F260" i="309"/>
  <c r="F259" i="309"/>
  <c r="F265" i="309" s="1"/>
  <c r="F257" i="309"/>
  <c r="F256" i="309"/>
  <c r="F255" i="309"/>
  <c r="F254" i="309"/>
  <c r="F253" i="309"/>
  <c r="I252" i="309"/>
  <c r="I253" i="309" s="1"/>
  <c r="I254" i="309" s="1"/>
  <c r="I255" i="309" s="1"/>
  <c r="I256" i="309" s="1"/>
  <c r="I257" i="309" s="1"/>
  <c r="F252" i="309"/>
  <c r="F251" i="309"/>
  <c r="F249" i="309"/>
  <c r="F248" i="309"/>
  <c r="F247" i="309"/>
  <c r="F246" i="309"/>
  <c r="F245" i="309"/>
  <c r="F244" i="309"/>
  <c r="F243" i="309"/>
  <c r="F250" i="309" s="1"/>
  <c r="F239" i="309"/>
  <c r="F229" i="309"/>
  <c r="F238" i="309" s="1"/>
  <c r="F228" i="309"/>
  <c r="F237" i="309" s="1"/>
  <c r="F227" i="309"/>
  <c r="F236" i="309" s="1"/>
  <c r="F226" i="309"/>
  <c r="F235" i="309" s="1"/>
  <c r="F225" i="309"/>
  <c r="B225" i="309"/>
  <c r="B226" i="309" s="1"/>
  <c r="B227" i="309" s="1"/>
  <c r="B228" i="309" s="1"/>
  <c r="B229" i="309" s="1"/>
  <c r="B230" i="309" s="1"/>
  <c r="B231" i="309" s="1"/>
  <c r="B232" i="309" s="1"/>
  <c r="B234" i="309" s="1"/>
  <c r="B235" i="309" s="1"/>
  <c r="B236" i="309" s="1"/>
  <c r="B237" i="309" s="1"/>
  <c r="B238" i="309" s="1"/>
  <c r="B239" i="309" s="1"/>
  <c r="B240" i="309" s="1"/>
  <c r="C223" i="309"/>
  <c r="I222" i="309"/>
  <c r="C222" i="309"/>
  <c r="I221" i="309"/>
  <c r="C219" i="309"/>
  <c r="C220" i="309" s="1"/>
  <c r="C221" i="309" s="1"/>
  <c r="E213" i="309"/>
  <c r="E214" i="309" s="1"/>
  <c r="E211" i="309"/>
  <c r="E212" i="309" s="1"/>
  <c r="I208" i="309"/>
  <c r="E208" i="309"/>
  <c r="I207" i="309"/>
  <c r="E207" i="309"/>
  <c r="E206" i="309"/>
  <c r="I205" i="309"/>
  <c r="I206" i="309" s="1"/>
  <c r="E205" i="309"/>
  <c r="E204" i="309"/>
  <c r="I203" i="309"/>
  <c r="I204" i="309" s="1"/>
  <c r="E203" i="309"/>
  <c r="G201" i="309"/>
  <c r="G200" i="309"/>
  <c r="C199" i="309"/>
  <c r="E201" i="309" s="1"/>
  <c r="H198" i="309"/>
  <c r="H196" i="309"/>
  <c r="I196" i="309" s="1"/>
  <c r="I195" i="309"/>
  <c r="G193" i="309"/>
  <c r="G192" i="309"/>
  <c r="H190" i="309"/>
  <c r="H189" i="309"/>
  <c r="I189" i="309" s="1"/>
  <c r="I188" i="309"/>
  <c r="G186" i="309"/>
  <c r="G185" i="309"/>
  <c r="H183" i="309"/>
  <c r="I183" i="309" s="1"/>
  <c r="H182" i="309"/>
  <c r="I182" i="309" s="1"/>
  <c r="G179" i="309"/>
  <c r="G178" i="309"/>
  <c r="C177" i="309"/>
  <c r="H175" i="309"/>
  <c r="I175" i="309" s="1"/>
  <c r="I174" i="309"/>
  <c r="G172" i="309"/>
  <c r="E172" i="309"/>
  <c r="G171" i="309"/>
  <c r="C170" i="309"/>
  <c r="E171" i="309" s="1"/>
  <c r="H168" i="309"/>
  <c r="H169" i="309" s="1"/>
  <c r="I169" i="309" s="1"/>
  <c r="I167" i="309"/>
  <c r="G165" i="309"/>
  <c r="G164" i="309"/>
  <c r="E162" i="309"/>
  <c r="D279" i="309" s="1"/>
  <c r="D162" i="309"/>
  <c r="C279" i="309" s="1"/>
  <c r="E279" i="309" s="1"/>
  <c r="E161" i="309"/>
  <c r="D278" i="309" s="1"/>
  <c r="D161" i="309"/>
  <c r="C278" i="309" s="1"/>
  <c r="E160" i="309"/>
  <c r="D277" i="309" s="1"/>
  <c r="D160" i="309"/>
  <c r="E159" i="309"/>
  <c r="D276" i="309" s="1"/>
  <c r="D159" i="309"/>
  <c r="E158" i="309"/>
  <c r="D275" i="309" s="1"/>
  <c r="D158" i="309"/>
  <c r="C275" i="309" s="1"/>
  <c r="E275" i="309" s="1"/>
  <c r="H157" i="309"/>
  <c r="H158" i="309" s="1"/>
  <c r="H159" i="309" s="1"/>
  <c r="H160" i="309" s="1"/>
  <c r="F157" i="309"/>
  <c r="I157" i="309" s="1"/>
  <c r="E157" i="309"/>
  <c r="D274" i="309" s="1"/>
  <c r="D157" i="309"/>
  <c r="G155" i="309"/>
  <c r="G154" i="309"/>
  <c r="G152" i="309"/>
  <c r="F272" i="309" s="1"/>
  <c r="G151" i="309"/>
  <c r="F271" i="309" s="1"/>
  <c r="E151" i="309"/>
  <c r="D271" i="309" s="1"/>
  <c r="D151" i="309"/>
  <c r="C271" i="309" s="1"/>
  <c r="G150" i="309"/>
  <c r="F270" i="309" s="1"/>
  <c r="G148" i="309"/>
  <c r="G147" i="309"/>
  <c r="G145" i="309"/>
  <c r="F268" i="309" s="1"/>
  <c r="H144" i="309"/>
  <c r="H145" i="309" s="1"/>
  <c r="H150" i="309" s="1"/>
  <c r="H151" i="309" s="1"/>
  <c r="H152" i="309" s="1"/>
  <c r="G144" i="309"/>
  <c r="F267" i="309" s="1"/>
  <c r="E144" i="309"/>
  <c r="D267" i="309" s="1"/>
  <c r="D144" i="309"/>
  <c r="C267" i="309" s="1"/>
  <c r="E267" i="309" s="1"/>
  <c r="G143" i="309"/>
  <c r="F266" i="309" s="1"/>
  <c r="G141" i="309"/>
  <c r="G140" i="309"/>
  <c r="H138" i="309"/>
  <c r="I138" i="309" s="1"/>
  <c r="G135" i="309"/>
  <c r="G134" i="309"/>
  <c r="J133" i="309"/>
  <c r="F132" i="309"/>
  <c r="D132" i="309"/>
  <c r="H131" i="309"/>
  <c r="H132" i="309" s="1"/>
  <c r="F131" i="309"/>
  <c r="D131" i="309"/>
  <c r="I131" i="309" s="1"/>
  <c r="F130" i="309"/>
  <c r="C133" i="309" s="1"/>
  <c r="D130" i="309"/>
  <c r="G128" i="309"/>
  <c r="G127" i="309"/>
  <c r="J126" i="309"/>
  <c r="E125" i="309"/>
  <c r="E152" i="309" s="1"/>
  <c r="D272" i="309" s="1"/>
  <c r="D125" i="309"/>
  <c r="D152" i="309" s="1"/>
  <c r="H124" i="309"/>
  <c r="H125" i="309" s="1"/>
  <c r="F124" i="309"/>
  <c r="I124" i="309" s="1"/>
  <c r="E124" i="309"/>
  <c r="D124" i="309"/>
  <c r="E123" i="309"/>
  <c r="F123" i="309" s="1"/>
  <c r="D123" i="309"/>
  <c r="D150" i="309" s="1"/>
  <c r="G121" i="309"/>
  <c r="G120" i="309"/>
  <c r="J119" i="309"/>
  <c r="E118" i="309"/>
  <c r="F118" i="309" s="1"/>
  <c r="D118" i="309"/>
  <c r="D145" i="309" s="1"/>
  <c r="H117" i="309"/>
  <c r="H118" i="309" s="1"/>
  <c r="E117" i="309"/>
  <c r="D117" i="309"/>
  <c r="F117" i="309" s="1"/>
  <c r="I117" i="309" s="1"/>
  <c r="E116" i="309"/>
  <c r="E143" i="309" s="1"/>
  <c r="D266" i="309" s="1"/>
  <c r="D116" i="309"/>
  <c r="D143" i="309" s="1"/>
  <c r="G114" i="309"/>
  <c r="G113" i="309"/>
  <c r="J112" i="309"/>
  <c r="F111" i="309"/>
  <c r="F110" i="309"/>
  <c r="H109" i="309"/>
  <c r="H110" i="309" s="1"/>
  <c r="H111" i="309" s="1"/>
  <c r="F109" i="309"/>
  <c r="F108" i="309"/>
  <c r="C112" i="309" s="1"/>
  <c r="G106" i="309"/>
  <c r="G105" i="309"/>
  <c r="G103" i="309"/>
  <c r="F232" i="309" s="1"/>
  <c r="F241" i="309" s="1"/>
  <c r="G102" i="309"/>
  <c r="F231" i="309" s="1"/>
  <c r="F240" i="309" s="1"/>
  <c r="G101" i="309"/>
  <c r="F230" i="309" s="1"/>
  <c r="C101" i="309"/>
  <c r="G99" i="309"/>
  <c r="G98" i="309"/>
  <c r="G96" i="309"/>
  <c r="G95" i="309"/>
  <c r="G94" i="309"/>
  <c r="E94" i="309"/>
  <c r="D227" i="309" s="1"/>
  <c r="D236" i="309" s="1"/>
  <c r="H93" i="309"/>
  <c r="H94" i="309" s="1"/>
  <c r="H95" i="309" s="1"/>
  <c r="H96" i="309" s="1"/>
  <c r="H101" i="309" s="1"/>
  <c r="H102" i="309" s="1"/>
  <c r="H103" i="309" s="1"/>
  <c r="G93" i="309"/>
  <c r="G92" i="309"/>
  <c r="G90" i="309"/>
  <c r="G89" i="309"/>
  <c r="E87" i="309"/>
  <c r="D264" i="309" s="1"/>
  <c r="D87" i="309"/>
  <c r="F87" i="309" s="1"/>
  <c r="E86" i="309"/>
  <c r="D263" i="309" s="1"/>
  <c r="D86" i="309"/>
  <c r="C263" i="309" s="1"/>
  <c r="E263" i="309" s="1"/>
  <c r="E85" i="309"/>
  <c r="D262" i="309" s="1"/>
  <c r="D85" i="309"/>
  <c r="F85" i="309" s="1"/>
  <c r="E84" i="309"/>
  <c r="D84" i="309"/>
  <c r="C261" i="309" s="1"/>
  <c r="E83" i="309"/>
  <c r="D260" i="309" s="1"/>
  <c r="D83" i="309"/>
  <c r="C260" i="309" s="1"/>
  <c r="E260" i="309" s="1"/>
  <c r="F82" i="309"/>
  <c r="E82" i="309"/>
  <c r="D259" i="309" s="1"/>
  <c r="D82" i="309"/>
  <c r="C259" i="309" s="1"/>
  <c r="E81" i="309"/>
  <c r="D257" i="309" s="1"/>
  <c r="D81" i="309"/>
  <c r="C257" i="309" s="1"/>
  <c r="E80" i="309"/>
  <c r="D256" i="309" s="1"/>
  <c r="D80" i="309"/>
  <c r="C256" i="309" s="1"/>
  <c r="E256" i="309" s="1"/>
  <c r="E79" i="309"/>
  <c r="D255" i="309" s="1"/>
  <c r="D79" i="309"/>
  <c r="C255" i="309" s="1"/>
  <c r="E78" i="309"/>
  <c r="D254" i="309" s="1"/>
  <c r="D78" i="309"/>
  <c r="C254" i="309" s="1"/>
  <c r="E77" i="309"/>
  <c r="D253" i="309" s="1"/>
  <c r="D282" i="309" s="1"/>
  <c r="D77" i="309"/>
  <c r="C253" i="309" s="1"/>
  <c r="E76" i="309"/>
  <c r="D252" i="309" s="1"/>
  <c r="D281" i="309" s="1"/>
  <c r="D76" i="309"/>
  <c r="C252" i="309" s="1"/>
  <c r="E75" i="309"/>
  <c r="D251" i="309" s="1"/>
  <c r="D75" i="309"/>
  <c r="C251" i="309" s="1"/>
  <c r="E251" i="309" s="1"/>
  <c r="F74" i="309"/>
  <c r="E74" i="309"/>
  <c r="D249" i="309" s="1"/>
  <c r="D74" i="309"/>
  <c r="C249" i="309" s="1"/>
  <c r="E73" i="309"/>
  <c r="D248" i="309" s="1"/>
  <c r="D73" i="309"/>
  <c r="C248" i="309" s="1"/>
  <c r="E248" i="309" s="1"/>
  <c r="F72" i="309"/>
  <c r="E72" i="309"/>
  <c r="D247" i="309" s="1"/>
  <c r="D72" i="309"/>
  <c r="C247" i="309" s="1"/>
  <c r="E247" i="309" s="1"/>
  <c r="E71" i="309"/>
  <c r="D246" i="309" s="1"/>
  <c r="D71" i="309"/>
  <c r="C246" i="309" s="1"/>
  <c r="E70" i="309"/>
  <c r="D245" i="309" s="1"/>
  <c r="D70" i="309"/>
  <c r="C245" i="309" s="1"/>
  <c r="E245" i="309" s="1"/>
  <c r="H69" i="309"/>
  <c r="H70" i="309" s="1"/>
  <c r="G66" i="309"/>
  <c r="G65" i="309"/>
  <c r="J64" i="309"/>
  <c r="I63" i="309"/>
  <c r="I62" i="309"/>
  <c r="I61" i="309"/>
  <c r="G58" i="309"/>
  <c r="G57" i="309"/>
  <c r="J56" i="309"/>
  <c r="F55" i="309"/>
  <c r="D55" i="309"/>
  <c r="F54" i="309"/>
  <c r="D54" i="309"/>
  <c r="H53" i="309"/>
  <c r="H54" i="309" s="1"/>
  <c r="H55" i="309" s="1"/>
  <c r="F53" i="309"/>
  <c r="D53" i="309"/>
  <c r="I53" i="309" s="1"/>
  <c r="G50" i="309"/>
  <c r="G49" i="309"/>
  <c r="E47" i="309"/>
  <c r="D47" i="309"/>
  <c r="E46" i="309"/>
  <c r="D46" i="309"/>
  <c r="F46" i="309" s="1"/>
  <c r="E45" i="309"/>
  <c r="D45" i="309"/>
  <c r="H44" i="309"/>
  <c r="H45" i="309" s="1"/>
  <c r="H46" i="309" s="1"/>
  <c r="H47" i="309" s="1"/>
  <c r="E44" i="309"/>
  <c r="D44" i="309"/>
  <c r="H43" i="309"/>
  <c r="E43" i="309"/>
  <c r="D43" i="309"/>
  <c r="F43" i="309" s="1"/>
  <c r="I43" i="309" s="1"/>
  <c r="E42" i="309"/>
  <c r="E209" i="309"/>
  <c r="E210" i="309" s="1"/>
  <c r="G40" i="309"/>
  <c r="G39" i="309"/>
  <c r="J38" i="309"/>
  <c r="H37" i="309"/>
  <c r="E37" i="309"/>
  <c r="E103" i="309" s="1"/>
  <c r="D232" i="309" s="1"/>
  <c r="D241" i="309" s="1"/>
  <c r="D37" i="309"/>
  <c r="D103" i="309" s="1"/>
  <c r="H36" i="309"/>
  <c r="E36" i="309"/>
  <c r="E102" i="309" s="1"/>
  <c r="D231" i="309" s="1"/>
  <c r="D240" i="309" s="1"/>
  <c r="D36" i="309"/>
  <c r="D102" i="309" s="1"/>
  <c r="G33" i="309"/>
  <c r="G32" i="309"/>
  <c r="J31" i="309"/>
  <c r="E30" i="309"/>
  <c r="E96" i="309" s="1"/>
  <c r="D229" i="309" s="1"/>
  <c r="D238" i="309" s="1"/>
  <c r="D30" i="309"/>
  <c r="D96" i="309" s="1"/>
  <c r="E29" i="309"/>
  <c r="E95" i="309" s="1"/>
  <c r="D228" i="309" s="1"/>
  <c r="D237" i="309" s="1"/>
  <c r="D29" i="309"/>
  <c r="D95" i="309" s="1"/>
  <c r="E28" i="309"/>
  <c r="D28" i="309"/>
  <c r="F28" i="309" s="1"/>
  <c r="I28" i="309" s="1"/>
  <c r="H27" i="309"/>
  <c r="H28" i="309" s="1"/>
  <c r="H29" i="309" s="1"/>
  <c r="H30" i="309" s="1"/>
  <c r="F27" i="309"/>
  <c r="I27" i="309" s="1"/>
  <c r="E27" i="309"/>
  <c r="E93" i="309" s="1"/>
  <c r="D226" i="309" s="1"/>
  <c r="D235" i="309" s="1"/>
  <c r="D27" i="309"/>
  <c r="D93" i="309" s="1"/>
  <c r="E26" i="309"/>
  <c r="D26" i="309"/>
  <c r="J22" i="309"/>
  <c r="F21" i="309"/>
  <c r="F20" i="309"/>
  <c r="F19" i="309"/>
  <c r="F18" i="309"/>
  <c r="F17" i="309"/>
  <c r="I17" i="309" s="1"/>
  <c r="H16" i="309"/>
  <c r="H17" i="309" s="1"/>
  <c r="H18" i="309" s="1"/>
  <c r="F16" i="309"/>
  <c r="H15" i="309"/>
  <c r="F15" i="309"/>
  <c r="I15" i="309" s="1"/>
  <c r="M11" i="309"/>
  <c r="M10" i="309"/>
  <c r="I10" i="309"/>
  <c r="H10" i="309"/>
  <c r="H11" i="309" s="1"/>
  <c r="I11" i="309" s="1"/>
  <c r="M9" i="309"/>
  <c r="H9" i="309"/>
  <c r="I9" i="309" s="1"/>
  <c r="M8" i="309"/>
  <c r="G8" i="309"/>
  <c r="E8" i="309"/>
  <c r="C8" i="309"/>
  <c r="M7" i="309"/>
  <c r="M6" i="309"/>
  <c r="F190" i="309"/>
  <c r="F217" i="309"/>
  <c r="D349" i="309" s="1"/>
  <c r="H349" i="309" s="1"/>
  <c r="M5" i="309"/>
  <c r="E5" i="309"/>
  <c r="E366" i="309" s="1"/>
  <c r="D5" i="309"/>
  <c r="D366" i="309" s="1"/>
  <c r="M4" i="309"/>
  <c r="B4" i="309"/>
  <c r="R370" i="309" s="1"/>
  <c r="J116" i="308"/>
  <c r="D108" i="308"/>
  <c r="E108" i="308"/>
  <c r="D386" i="308"/>
  <c r="I386" i="308" s="1"/>
  <c r="T382" i="308"/>
  <c r="S382" i="308"/>
  <c r="T381" i="308"/>
  <c r="U381" i="308" s="1"/>
  <c r="U380" i="308"/>
  <c r="T376" i="308"/>
  <c r="V372" i="308"/>
  <c r="S386" i="308" s="1"/>
  <c r="U386" i="308" s="1"/>
  <c r="C368" i="308"/>
  <c r="G366" i="308"/>
  <c r="H360" i="308"/>
  <c r="D359" i="308"/>
  <c r="H359" i="308" s="1"/>
  <c r="D352" i="308"/>
  <c r="H352" i="308" s="1"/>
  <c r="D351" i="308"/>
  <c r="H351" i="308" s="1"/>
  <c r="D345" i="308"/>
  <c r="C341" i="308"/>
  <c r="H341" i="308" s="1"/>
  <c r="C340" i="308"/>
  <c r="G329" i="308"/>
  <c r="G328" i="308"/>
  <c r="G325" i="308"/>
  <c r="G323" i="308"/>
  <c r="E321" i="308"/>
  <c r="E319" i="308"/>
  <c r="F318" i="308"/>
  <c r="G318" i="308" s="1"/>
  <c r="C316" i="308"/>
  <c r="C318" i="308" s="1"/>
  <c r="G313" i="308"/>
  <c r="H312" i="308"/>
  <c r="D310" i="308"/>
  <c r="C309" i="308"/>
  <c r="C310" i="308" s="1"/>
  <c r="H310" i="308" s="1"/>
  <c r="H307" i="308"/>
  <c r="G305" i="308"/>
  <c r="E305" i="308"/>
  <c r="E308" i="308" s="1"/>
  <c r="E304" i="308"/>
  <c r="D371" i="308" s="1"/>
  <c r="G303" i="308"/>
  <c r="H303" i="308" s="1"/>
  <c r="H302" i="308"/>
  <c r="G302" i="308"/>
  <c r="H301" i="308"/>
  <c r="H299" i="308"/>
  <c r="F298" i="308"/>
  <c r="F300" i="308" s="1"/>
  <c r="F302" i="308" s="1"/>
  <c r="F303" i="308" s="1"/>
  <c r="H297" i="308"/>
  <c r="F296" i="308"/>
  <c r="H295" i="308"/>
  <c r="F290" i="308"/>
  <c r="E289" i="308"/>
  <c r="G288" i="308"/>
  <c r="E288" i="308"/>
  <c r="B288" i="308"/>
  <c r="B289" i="308" s="1"/>
  <c r="E287" i="308"/>
  <c r="I290" i="308" s="1"/>
  <c r="G286" i="308"/>
  <c r="H286" i="308" s="1"/>
  <c r="E286" i="308"/>
  <c r="B286" i="308"/>
  <c r="B287" i="308" s="1"/>
  <c r="F284" i="308"/>
  <c r="F283" i="308"/>
  <c r="B281" i="308"/>
  <c r="B282" i="308" s="1"/>
  <c r="B283" i="308" s="1"/>
  <c r="B284" i="308" s="1"/>
  <c r="F279" i="308"/>
  <c r="F278" i="308"/>
  <c r="F277" i="308"/>
  <c r="F276" i="308"/>
  <c r="I275" i="308"/>
  <c r="I276" i="308" s="1"/>
  <c r="I277" i="308" s="1"/>
  <c r="I278" i="308" s="1"/>
  <c r="I279" i="308" s="1"/>
  <c r="F275" i="308"/>
  <c r="F274" i="308"/>
  <c r="F264" i="308"/>
  <c r="F263" i="308"/>
  <c r="F262" i="308"/>
  <c r="F261" i="308"/>
  <c r="F260" i="308"/>
  <c r="F259" i="308"/>
  <c r="F257" i="308"/>
  <c r="F256" i="308"/>
  <c r="F255" i="308"/>
  <c r="F254" i="308"/>
  <c r="F253" i="308"/>
  <c r="I252" i="308"/>
  <c r="I253" i="308" s="1"/>
  <c r="I254" i="308" s="1"/>
  <c r="I255" i="308" s="1"/>
  <c r="I256" i="308" s="1"/>
  <c r="I257" i="308" s="1"/>
  <c r="F252" i="308"/>
  <c r="F251" i="308"/>
  <c r="F249" i="308"/>
  <c r="C249" i="308"/>
  <c r="F248" i="308"/>
  <c r="F247" i="308"/>
  <c r="F246" i="308"/>
  <c r="F245" i="308"/>
  <c r="F244" i="308"/>
  <c r="F243" i="308"/>
  <c r="F235" i="308"/>
  <c r="F229" i="308"/>
  <c r="F238" i="308" s="1"/>
  <c r="F228" i="308"/>
  <c r="F237" i="308" s="1"/>
  <c r="F227" i="308"/>
  <c r="F236" i="308" s="1"/>
  <c r="F226" i="308"/>
  <c r="F225" i="308"/>
  <c r="B225" i="308"/>
  <c r="B226" i="308" s="1"/>
  <c r="B227" i="308" s="1"/>
  <c r="B228" i="308" s="1"/>
  <c r="B229" i="308" s="1"/>
  <c r="B230" i="308" s="1"/>
  <c r="B231" i="308" s="1"/>
  <c r="B232" i="308" s="1"/>
  <c r="B234" i="308" s="1"/>
  <c r="B235" i="308" s="1"/>
  <c r="B236" i="308" s="1"/>
  <c r="B237" i="308" s="1"/>
  <c r="B238" i="308" s="1"/>
  <c r="B239" i="308" s="1"/>
  <c r="B240" i="308" s="1"/>
  <c r="C223" i="308"/>
  <c r="I222" i="308"/>
  <c r="C222" i="308"/>
  <c r="I221" i="308"/>
  <c r="C219" i="308"/>
  <c r="E214" i="308"/>
  <c r="E213" i="308"/>
  <c r="E211" i="308"/>
  <c r="E212" i="308" s="1"/>
  <c r="E209" i="308"/>
  <c r="E210" i="308" s="1"/>
  <c r="I207" i="308"/>
  <c r="I208" i="308" s="1"/>
  <c r="E207" i="308"/>
  <c r="E208" i="308" s="1"/>
  <c r="I206" i="308"/>
  <c r="I205" i="308"/>
  <c r="E205" i="308"/>
  <c r="E206" i="308" s="1"/>
  <c r="I203" i="308"/>
  <c r="I204" i="308" s="1"/>
  <c r="E203" i="308"/>
  <c r="D344" i="308" s="1"/>
  <c r="H344" i="308" s="1"/>
  <c r="G201" i="308"/>
  <c r="E201" i="308"/>
  <c r="I201" i="308" s="1"/>
  <c r="G200" i="308"/>
  <c r="C199" i="308"/>
  <c r="E200" i="308" s="1"/>
  <c r="I200" i="308" s="1"/>
  <c r="H198" i="308"/>
  <c r="H196" i="308"/>
  <c r="I196" i="308" s="1"/>
  <c r="E199" i="308" s="1"/>
  <c r="I195" i="308"/>
  <c r="G193" i="308"/>
  <c r="G192" i="308"/>
  <c r="H189" i="308"/>
  <c r="H190" i="308" s="1"/>
  <c r="I188" i="308"/>
  <c r="G186" i="308"/>
  <c r="G185" i="308"/>
  <c r="H182" i="308"/>
  <c r="G179" i="308"/>
  <c r="G178" i="308"/>
  <c r="C177" i="308"/>
  <c r="E179" i="308" s="1"/>
  <c r="I179" i="308" s="1"/>
  <c r="I176" i="308"/>
  <c r="H175" i="308"/>
  <c r="H176" i="308" s="1"/>
  <c r="I174" i="308"/>
  <c r="G172" i="308"/>
  <c r="G171" i="308"/>
  <c r="C170" i="308"/>
  <c r="E172" i="308" s="1"/>
  <c r="I172" i="308" s="1"/>
  <c r="H168" i="308"/>
  <c r="I167" i="308"/>
  <c r="G165" i="308"/>
  <c r="G164" i="308"/>
  <c r="E162" i="308"/>
  <c r="D279" i="308" s="1"/>
  <c r="D162" i="308"/>
  <c r="C279" i="308" s="1"/>
  <c r="E161" i="308"/>
  <c r="D278" i="308" s="1"/>
  <c r="D161" i="308"/>
  <c r="F160" i="308"/>
  <c r="E160" i="308"/>
  <c r="D277" i="308" s="1"/>
  <c r="D160" i="308"/>
  <c r="C277" i="308" s="1"/>
  <c r="F159" i="308"/>
  <c r="E159" i="308"/>
  <c r="D276" i="308" s="1"/>
  <c r="D159" i="308"/>
  <c r="C276" i="308" s="1"/>
  <c r="E158" i="308"/>
  <c r="D275" i="308" s="1"/>
  <c r="D158" i="308"/>
  <c r="H157" i="308"/>
  <c r="H158" i="308" s="1"/>
  <c r="H159" i="308" s="1"/>
  <c r="H160" i="308" s="1"/>
  <c r="E157" i="308"/>
  <c r="D274" i="308" s="1"/>
  <c r="D157" i="308"/>
  <c r="F157" i="308" s="1"/>
  <c r="G155" i="308"/>
  <c r="G154" i="308"/>
  <c r="G152" i="308"/>
  <c r="F272" i="308" s="1"/>
  <c r="G151" i="308"/>
  <c r="F271" i="308" s="1"/>
  <c r="G150" i="308"/>
  <c r="F270" i="308" s="1"/>
  <c r="G148" i="308"/>
  <c r="G147" i="308"/>
  <c r="G145" i="308"/>
  <c r="F268" i="308" s="1"/>
  <c r="H144" i="308"/>
  <c r="H145" i="308" s="1"/>
  <c r="H150" i="308" s="1"/>
  <c r="H151" i="308" s="1"/>
  <c r="H152" i="308" s="1"/>
  <c r="G144" i="308"/>
  <c r="F267" i="308" s="1"/>
  <c r="G143" i="308"/>
  <c r="F266" i="308" s="1"/>
  <c r="G141" i="308"/>
  <c r="G140" i="308"/>
  <c r="H138" i="308"/>
  <c r="I138" i="308" s="1"/>
  <c r="G135" i="308"/>
  <c r="G134" i="308"/>
  <c r="J133" i="308"/>
  <c r="F132" i="308"/>
  <c r="D132" i="308"/>
  <c r="I132" i="308" s="1"/>
  <c r="H131" i="308"/>
  <c r="H132" i="308" s="1"/>
  <c r="F131" i="308"/>
  <c r="D131" i="308"/>
  <c r="F130" i="308"/>
  <c r="D130" i="308"/>
  <c r="I130" i="308" s="1"/>
  <c r="G128" i="308"/>
  <c r="G127" i="308"/>
  <c r="J126" i="308"/>
  <c r="H125" i="308"/>
  <c r="F125" i="308"/>
  <c r="E125" i="308"/>
  <c r="E152" i="308" s="1"/>
  <c r="D125" i="308"/>
  <c r="D152" i="308" s="1"/>
  <c r="C272" i="308" s="1"/>
  <c r="H124" i="308"/>
  <c r="E124" i="308"/>
  <c r="E151" i="308" s="1"/>
  <c r="D271" i="308" s="1"/>
  <c r="D124" i="308"/>
  <c r="D151" i="308" s="1"/>
  <c r="C271" i="308" s="1"/>
  <c r="E123" i="308"/>
  <c r="E150" i="308" s="1"/>
  <c r="D270" i="308" s="1"/>
  <c r="D123" i="308"/>
  <c r="G121" i="308"/>
  <c r="G120" i="308"/>
  <c r="J119" i="308"/>
  <c r="E118" i="308"/>
  <c r="E145" i="308" s="1"/>
  <c r="D268" i="308" s="1"/>
  <c r="D118" i="308"/>
  <c r="H117" i="308"/>
  <c r="H118" i="308" s="1"/>
  <c r="E117" i="308"/>
  <c r="E144" i="308" s="1"/>
  <c r="D267" i="308" s="1"/>
  <c r="D117" i="308"/>
  <c r="K116" i="308"/>
  <c r="E116" i="308" s="1"/>
  <c r="D137" i="308" s="1"/>
  <c r="G114" i="308"/>
  <c r="G113" i="308"/>
  <c r="J112" i="308"/>
  <c r="F111" i="308"/>
  <c r="H110" i="308"/>
  <c r="H111" i="308" s="1"/>
  <c r="I111" i="308" s="1"/>
  <c r="F110" i="308"/>
  <c r="H109" i="308"/>
  <c r="F109" i="308"/>
  <c r="I109" i="308" s="1"/>
  <c r="G106" i="308"/>
  <c r="G105" i="308"/>
  <c r="G103" i="308"/>
  <c r="F232" i="308" s="1"/>
  <c r="F241" i="308" s="1"/>
  <c r="D103" i="308"/>
  <c r="G102" i="308"/>
  <c r="F231" i="308" s="1"/>
  <c r="F240" i="308" s="1"/>
  <c r="G101" i="308"/>
  <c r="F230" i="308" s="1"/>
  <c r="F239" i="308" s="1"/>
  <c r="E101" i="308"/>
  <c r="D230" i="308" s="1"/>
  <c r="D239" i="308" s="1"/>
  <c r="C101" i="308"/>
  <c r="G99" i="308"/>
  <c r="G98" i="308"/>
  <c r="G96" i="308"/>
  <c r="G95" i="308"/>
  <c r="G94" i="308"/>
  <c r="H93" i="308"/>
  <c r="H94" i="308" s="1"/>
  <c r="H95" i="308" s="1"/>
  <c r="H96" i="308" s="1"/>
  <c r="H101" i="308" s="1"/>
  <c r="H102" i="308" s="1"/>
  <c r="H103" i="308" s="1"/>
  <c r="G93" i="308"/>
  <c r="G92" i="308"/>
  <c r="E92" i="308"/>
  <c r="D225" i="308" s="1"/>
  <c r="D234" i="308" s="1"/>
  <c r="G90" i="308"/>
  <c r="G89" i="308"/>
  <c r="E87" i="308"/>
  <c r="D264" i="308" s="1"/>
  <c r="D87" i="308"/>
  <c r="E86" i="308"/>
  <c r="D263" i="308" s="1"/>
  <c r="D86" i="308"/>
  <c r="F85" i="308"/>
  <c r="E85" i="308"/>
  <c r="D85" i="308"/>
  <c r="C262" i="308" s="1"/>
  <c r="E84" i="308"/>
  <c r="D84" i="308"/>
  <c r="F84" i="308" s="1"/>
  <c r="E83" i="308"/>
  <c r="D260" i="308" s="1"/>
  <c r="D83" i="308"/>
  <c r="C260" i="308" s="1"/>
  <c r="E82" i="308"/>
  <c r="D259" i="308" s="1"/>
  <c r="E259" i="308" s="1"/>
  <c r="D82" i="308"/>
  <c r="C259" i="308" s="1"/>
  <c r="E81" i="308"/>
  <c r="D257" i="308" s="1"/>
  <c r="D81" i="308"/>
  <c r="C257" i="308" s="1"/>
  <c r="E80" i="308"/>
  <c r="D256" i="308" s="1"/>
  <c r="D80" i="308"/>
  <c r="C256" i="308" s="1"/>
  <c r="E256" i="308" s="1"/>
  <c r="E79" i="308"/>
  <c r="D255" i="308" s="1"/>
  <c r="D79" i="308"/>
  <c r="E78" i="308"/>
  <c r="D254" i="308" s="1"/>
  <c r="D78" i="308"/>
  <c r="E77" i="308"/>
  <c r="D253" i="308" s="1"/>
  <c r="D282" i="308" s="1"/>
  <c r="D77" i="308"/>
  <c r="C253" i="308" s="1"/>
  <c r="E76" i="308"/>
  <c r="D252" i="308" s="1"/>
  <c r="D281" i="308" s="1"/>
  <c r="D76" i="308"/>
  <c r="C252" i="308" s="1"/>
  <c r="E75" i="308"/>
  <c r="D251" i="308" s="1"/>
  <c r="D75" i="308"/>
  <c r="C251" i="308" s="1"/>
  <c r="E74" i="308"/>
  <c r="D249" i="308" s="1"/>
  <c r="D74" i="308"/>
  <c r="E73" i="308"/>
  <c r="D248" i="308" s="1"/>
  <c r="D73" i="308"/>
  <c r="C248" i="308" s="1"/>
  <c r="E72" i="308"/>
  <c r="D247" i="308" s="1"/>
  <c r="D72" i="308"/>
  <c r="C247" i="308" s="1"/>
  <c r="H71" i="308"/>
  <c r="H72" i="308" s="1"/>
  <c r="H76" i="308" s="1"/>
  <c r="H77" i="308" s="1"/>
  <c r="H78" i="308" s="1"/>
  <c r="H79" i="308" s="1"/>
  <c r="H80" i="308" s="1"/>
  <c r="H81" i="308" s="1"/>
  <c r="H82" i="308" s="1"/>
  <c r="H83" i="308" s="1"/>
  <c r="H84" i="308" s="1"/>
  <c r="H85" i="308" s="1"/>
  <c r="H86" i="308" s="1"/>
  <c r="H87" i="308" s="1"/>
  <c r="E71" i="308"/>
  <c r="D246" i="308" s="1"/>
  <c r="D71" i="308"/>
  <c r="E70" i="308"/>
  <c r="D245" i="308" s="1"/>
  <c r="D70" i="308"/>
  <c r="H69" i="308"/>
  <c r="H70" i="308" s="1"/>
  <c r="H73" i="308" s="1"/>
  <c r="H74" i="308" s="1"/>
  <c r="H75" i="308" s="1"/>
  <c r="F69" i="308"/>
  <c r="I69" i="308" s="1"/>
  <c r="E69" i="308"/>
  <c r="D244" i="308" s="1"/>
  <c r="D69" i="308"/>
  <c r="C244" i="308" s="1"/>
  <c r="E244" i="308" s="1"/>
  <c r="G66" i="308"/>
  <c r="G65" i="308"/>
  <c r="J64" i="308"/>
  <c r="C64" i="308"/>
  <c r="E65" i="308" s="1"/>
  <c r="I65" i="308" s="1"/>
  <c r="I63" i="308"/>
  <c r="I62" i="308"/>
  <c r="I61" i="308"/>
  <c r="I60" i="308"/>
  <c r="G58" i="308"/>
  <c r="G57" i="308"/>
  <c r="J56" i="308"/>
  <c r="F55" i="308"/>
  <c r="D55" i="308"/>
  <c r="H54" i="308"/>
  <c r="H55" i="308" s="1"/>
  <c r="F54" i="308"/>
  <c r="D54" i="308"/>
  <c r="H53" i="308"/>
  <c r="F53" i="308"/>
  <c r="D53" i="308"/>
  <c r="F52" i="308"/>
  <c r="D52" i="308"/>
  <c r="G50" i="308"/>
  <c r="G49" i="308"/>
  <c r="J48" i="308"/>
  <c r="E47" i="308"/>
  <c r="F47" i="308" s="1"/>
  <c r="D47" i="308"/>
  <c r="E46" i="308"/>
  <c r="D46" i="308"/>
  <c r="F46" i="308" s="1"/>
  <c r="E45" i="308"/>
  <c r="D45" i="308"/>
  <c r="H44" i="308"/>
  <c r="H45" i="308" s="1"/>
  <c r="H46" i="308" s="1"/>
  <c r="H47" i="308" s="1"/>
  <c r="E44" i="308"/>
  <c r="D44" i="308"/>
  <c r="H43" i="308"/>
  <c r="E43" i="308"/>
  <c r="D43" i="308"/>
  <c r="F43" i="308" s="1"/>
  <c r="I43" i="308" s="1"/>
  <c r="E42" i="308"/>
  <c r="F42" i="308" s="1"/>
  <c r="D42" i="308"/>
  <c r="G40" i="308"/>
  <c r="G39" i="308"/>
  <c r="J38" i="308"/>
  <c r="E37" i="308"/>
  <c r="E103" i="308" s="1"/>
  <c r="D232" i="308" s="1"/>
  <c r="D241" i="308" s="1"/>
  <c r="D37" i="308"/>
  <c r="H36" i="308"/>
  <c r="H37" i="308" s="1"/>
  <c r="E36" i="308"/>
  <c r="E102" i="308" s="1"/>
  <c r="D231" i="308" s="1"/>
  <c r="D240" i="308" s="1"/>
  <c r="D36" i="308"/>
  <c r="F35" i="308"/>
  <c r="E35" i="308"/>
  <c r="D35" i="308"/>
  <c r="C300" i="308" s="1"/>
  <c r="G33" i="308"/>
  <c r="G32" i="308"/>
  <c r="J31" i="308"/>
  <c r="F30" i="308"/>
  <c r="E30" i="308"/>
  <c r="E96" i="308" s="1"/>
  <c r="D229" i="308" s="1"/>
  <c r="D238" i="308" s="1"/>
  <c r="D30" i="308"/>
  <c r="D96" i="308" s="1"/>
  <c r="C229" i="308" s="1"/>
  <c r="E29" i="308"/>
  <c r="E95" i="308" s="1"/>
  <c r="D228" i="308" s="1"/>
  <c r="D237" i="308" s="1"/>
  <c r="D29" i="308"/>
  <c r="D95" i="308" s="1"/>
  <c r="E28" i="308"/>
  <c r="E94" i="308" s="1"/>
  <c r="D227" i="308" s="1"/>
  <c r="D236" i="308" s="1"/>
  <c r="D28" i="308"/>
  <c r="D94" i="308" s="1"/>
  <c r="H27" i="308"/>
  <c r="H28" i="308" s="1"/>
  <c r="H29" i="308" s="1"/>
  <c r="H30" i="308" s="1"/>
  <c r="E27" i="308"/>
  <c r="E93" i="308" s="1"/>
  <c r="D226" i="308" s="1"/>
  <c r="D235" i="308" s="1"/>
  <c r="D27" i="308"/>
  <c r="D93" i="308" s="1"/>
  <c r="E26" i="308"/>
  <c r="D26" i="308"/>
  <c r="J22" i="308"/>
  <c r="F21" i="308"/>
  <c r="F20" i="308"/>
  <c r="F19" i="308"/>
  <c r="F18" i="308"/>
  <c r="F17" i="308"/>
  <c r="F16" i="308"/>
  <c r="H15" i="308"/>
  <c r="H16" i="308" s="1"/>
  <c r="H17" i="308" s="1"/>
  <c r="H18" i="308" s="1"/>
  <c r="F15" i="308"/>
  <c r="I15" i="308" s="1"/>
  <c r="M11" i="308"/>
  <c r="H11" i="308"/>
  <c r="I11" i="308" s="1"/>
  <c r="M10" i="308"/>
  <c r="M9" i="308"/>
  <c r="H9" i="308"/>
  <c r="H10" i="308" s="1"/>
  <c r="I10" i="308" s="1"/>
  <c r="M8" i="308"/>
  <c r="E8" i="308"/>
  <c r="C8" i="308"/>
  <c r="M7" i="308"/>
  <c r="M6" i="308"/>
  <c r="F190" i="308"/>
  <c r="M5" i="308"/>
  <c r="E5" i="308"/>
  <c r="E366" i="308" s="1"/>
  <c r="D5" i="308"/>
  <c r="D366" i="308" s="1"/>
  <c r="M4" i="308"/>
  <c r="G8" i="308" s="1"/>
  <c r="I8" i="308" s="1"/>
  <c r="H4" i="308"/>
  <c r="B4" i="308"/>
  <c r="R370" i="308" s="1"/>
  <c r="B112" i="307"/>
  <c r="B113" i="307" s="1"/>
  <c r="E96" i="307"/>
  <c r="Q64" i="307"/>
  <c r="C12" i="307"/>
  <c r="H61" i="327" l="1"/>
  <c r="H63" i="327" s="1"/>
  <c r="D65" i="327" s="1"/>
  <c r="H65" i="327" s="1"/>
  <c r="E103" i="327"/>
  <c r="H103" i="327" s="1"/>
  <c r="H26" i="326"/>
  <c r="H97" i="327"/>
  <c r="G97" i="327" s="1"/>
  <c r="H26" i="331"/>
  <c r="H37" i="327"/>
  <c r="H26" i="327"/>
  <c r="H290" i="312"/>
  <c r="H217" i="334"/>
  <c r="I217" i="334" s="1"/>
  <c r="G88" i="334"/>
  <c r="I88" i="334" s="1"/>
  <c r="G153" i="334"/>
  <c r="I153" i="334" s="1"/>
  <c r="G112" i="334"/>
  <c r="I112" i="334" s="1"/>
  <c r="G104" i="334"/>
  <c r="I104" i="334" s="1"/>
  <c r="G97" i="334"/>
  <c r="I97" i="334" s="1"/>
  <c r="G22" i="334"/>
  <c r="I22" i="334" s="1"/>
  <c r="G119" i="334"/>
  <c r="I119" i="334" s="1"/>
  <c r="G170" i="334"/>
  <c r="I170" i="334" s="1"/>
  <c r="G163" i="334"/>
  <c r="I163" i="334" s="1"/>
  <c r="G146" i="334"/>
  <c r="I146" i="334" s="1"/>
  <c r="G56" i="334"/>
  <c r="I56" i="334" s="1"/>
  <c r="G64" i="334"/>
  <c r="I64" i="334" s="1"/>
  <c r="G199" i="334"/>
  <c r="I199" i="334" s="1"/>
  <c r="G191" i="334"/>
  <c r="I191" i="334" s="1"/>
  <c r="G48" i="334"/>
  <c r="I48" i="334" s="1"/>
  <c r="G133" i="334"/>
  <c r="I133" i="334" s="1"/>
  <c r="G38" i="334"/>
  <c r="I38" i="334" s="1"/>
  <c r="G139" i="334"/>
  <c r="I139" i="334" s="1"/>
  <c r="G184" i="334"/>
  <c r="I184" i="334" s="1"/>
  <c r="G177" i="334"/>
  <c r="I177" i="334" s="1"/>
  <c r="G31" i="334"/>
  <c r="I31" i="334" s="1"/>
  <c r="G126" i="334"/>
  <c r="I126" i="334" s="1"/>
  <c r="I220" i="334"/>
  <c r="G220" i="334" s="1"/>
  <c r="H12" i="318"/>
  <c r="G252" i="334"/>
  <c r="H251" i="334"/>
  <c r="H337" i="334"/>
  <c r="S379" i="334" s="1"/>
  <c r="U379" i="334" s="1"/>
  <c r="C336" i="334"/>
  <c r="T383" i="334"/>
  <c r="U383" i="334" s="1"/>
  <c r="H17" i="315"/>
  <c r="I55" i="315"/>
  <c r="E14" i="316"/>
  <c r="F94" i="308"/>
  <c r="I94" i="308" s="1"/>
  <c r="C227" i="308"/>
  <c r="C236" i="308" s="1"/>
  <c r="I18" i="308"/>
  <c r="H19" i="308"/>
  <c r="H20" i="308" s="1"/>
  <c r="I20" i="308" s="1"/>
  <c r="H305" i="308"/>
  <c r="I109" i="309"/>
  <c r="E268" i="310"/>
  <c r="H290" i="317"/>
  <c r="I77" i="320"/>
  <c r="I80" i="320"/>
  <c r="I82" i="320"/>
  <c r="C31" i="324"/>
  <c r="F144" i="324"/>
  <c r="I144" i="324" s="1"/>
  <c r="H308" i="328"/>
  <c r="F366" i="309"/>
  <c r="F30" i="309"/>
  <c r="I168" i="309"/>
  <c r="E170" i="309" s="1"/>
  <c r="F258" i="309"/>
  <c r="I157" i="310"/>
  <c r="F258" i="308"/>
  <c r="F265" i="308"/>
  <c r="F285" i="308"/>
  <c r="I110" i="309"/>
  <c r="D137" i="309"/>
  <c r="C139" i="309" s="1"/>
  <c r="H176" i="309"/>
  <c r="I176" i="309" s="1"/>
  <c r="F233" i="309"/>
  <c r="F285" i="309"/>
  <c r="F35" i="310"/>
  <c r="F125" i="310"/>
  <c r="I125" i="310" s="1"/>
  <c r="I131" i="310"/>
  <c r="I168" i="310"/>
  <c r="E170" i="310" s="1"/>
  <c r="H183" i="310"/>
  <c r="I183" i="310" s="1"/>
  <c r="F280" i="310"/>
  <c r="I74" i="313"/>
  <c r="D362" i="313"/>
  <c r="H362" i="313" s="1"/>
  <c r="I72" i="314"/>
  <c r="I85" i="318"/>
  <c r="I86" i="318"/>
  <c r="E283" i="319"/>
  <c r="I87" i="320"/>
  <c r="I72" i="320"/>
  <c r="I76" i="320"/>
  <c r="F292" i="322"/>
  <c r="E267" i="324"/>
  <c r="E262" i="325"/>
  <c r="I265" i="325" s="1"/>
  <c r="E31" i="314"/>
  <c r="I44" i="310"/>
  <c r="I16" i="308"/>
  <c r="E178" i="308"/>
  <c r="I178" i="308" s="1"/>
  <c r="I189" i="308"/>
  <c r="F80" i="309"/>
  <c r="I201" i="309"/>
  <c r="I15" i="310"/>
  <c r="I19" i="310"/>
  <c r="F45" i="310"/>
  <c r="E256" i="310"/>
  <c r="F84" i="310"/>
  <c r="F123" i="310"/>
  <c r="E279" i="310"/>
  <c r="C284" i="310"/>
  <c r="H289" i="310"/>
  <c r="C48" i="311"/>
  <c r="C126" i="313"/>
  <c r="E232" i="314"/>
  <c r="E284" i="314"/>
  <c r="E112" i="317"/>
  <c r="I82" i="318"/>
  <c r="I83" i="318"/>
  <c r="E237" i="318"/>
  <c r="U384" i="318"/>
  <c r="E261" i="319"/>
  <c r="E283" i="320"/>
  <c r="I81" i="321"/>
  <c r="I71" i="322"/>
  <c r="E274" i="323"/>
  <c r="C338" i="323"/>
  <c r="E284" i="324"/>
  <c r="E177" i="324"/>
  <c r="E12" i="317"/>
  <c r="C56" i="308"/>
  <c r="F76" i="308"/>
  <c r="F280" i="308"/>
  <c r="E200" i="310"/>
  <c r="I200" i="310" s="1"/>
  <c r="I9" i="308"/>
  <c r="E171" i="308"/>
  <c r="I171" i="308" s="1"/>
  <c r="F44" i="308"/>
  <c r="I47" i="308"/>
  <c r="F77" i="308"/>
  <c r="I190" i="309"/>
  <c r="I16" i="309"/>
  <c r="F44" i="309"/>
  <c r="I44" i="309" s="1"/>
  <c r="F47" i="309"/>
  <c r="I47" i="309" s="1"/>
  <c r="I54" i="309"/>
  <c r="F77" i="309"/>
  <c r="F162" i="309"/>
  <c r="E200" i="309"/>
  <c r="I200" i="309" s="1"/>
  <c r="I20" i="310"/>
  <c r="F30" i="310"/>
  <c r="I30" i="310" s="1"/>
  <c r="F69" i="310"/>
  <c r="I69" i="310" s="1"/>
  <c r="E248" i="310"/>
  <c r="I110" i="310"/>
  <c r="E276" i="310"/>
  <c r="E199" i="310"/>
  <c r="D344" i="310"/>
  <c r="H344" i="310" s="1"/>
  <c r="F250" i="310"/>
  <c r="F285" i="310"/>
  <c r="E231" i="311"/>
  <c r="I73" i="313"/>
  <c r="C163" i="317"/>
  <c r="E56" i="318"/>
  <c r="F96" i="320"/>
  <c r="I96" i="320" s="1"/>
  <c r="E284" i="320"/>
  <c r="I81" i="320"/>
  <c r="I77" i="321"/>
  <c r="I78" i="322"/>
  <c r="I162" i="328"/>
  <c r="E133" i="323"/>
  <c r="F28" i="308"/>
  <c r="I28" i="308" s="1"/>
  <c r="F124" i="308"/>
  <c r="I124" i="308" s="1"/>
  <c r="H288" i="308"/>
  <c r="I110" i="308"/>
  <c r="F123" i="308"/>
  <c r="I125" i="308"/>
  <c r="E254" i="309"/>
  <c r="I172" i="309"/>
  <c r="I16" i="310"/>
  <c r="F28" i="310"/>
  <c r="F46" i="310"/>
  <c r="I66" i="310"/>
  <c r="E257" i="310"/>
  <c r="D95" i="310"/>
  <c r="C228" i="310" s="1"/>
  <c r="F118" i="310"/>
  <c r="I118" i="310" s="1"/>
  <c r="E240" i="311"/>
  <c r="E283" i="311"/>
  <c r="E268" i="313"/>
  <c r="I80" i="318"/>
  <c r="E252" i="318"/>
  <c r="H338" i="320"/>
  <c r="I84" i="320"/>
  <c r="E229" i="322"/>
  <c r="C315" i="322"/>
  <c r="H315" i="322" s="1"/>
  <c r="E284" i="323"/>
  <c r="I161" i="324"/>
  <c r="E133" i="328"/>
  <c r="E262" i="329"/>
  <c r="C338" i="325"/>
  <c r="C271" i="318"/>
  <c r="E271" i="318" s="1"/>
  <c r="F151" i="318"/>
  <c r="I151" i="318" s="1"/>
  <c r="H55" i="314"/>
  <c r="I55" i="314" s="1"/>
  <c r="I54" i="314"/>
  <c r="I159" i="310"/>
  <c r="E261" i="311"/>
  <c r="E284" i="313"/>
  <c r="C163" i="318"/>
  <c r="I79" i="320"/>
  <c r="I83" i="320"/>
  <c r="I86" i="320"/>
  <c r="U384" i="329"/>
  <c r="F103" i="311"/>
  <c r="I103" i="311" s="1"/>
  <c r="I53" i="310"/>
  <c r="I30" i="308"/>
  <c r="F45" i="308"/>
  <c r="E247" i="308"/>
  <c r="F118" i="308"/>
  <c r="I118" i="308" s="1"/>
  <c r="I8" i="309"/>
  <c r="F45" i="309"/>
  <c r="I130" i="309"/>
  <c r="I28" i="310"/>
  <c r="F43" i="310"/>
  <c r="I43" i="310" s="1"/>
  <c r="E65" i="310"/>
  <c r="I65" i="310" s="1"/>
  <c r="E259" i="310"/>
  <c r="F85" i="310"/>
  <c r="D150" i="310"/>
  <c r="C270" i="310" s="1"/>
  <c r="E172" i="310"/>
  <c r="I172" i="310" s="1"/>
  <c r="H287" i="310"/>
  <c r="E308" i="310"/>
  <c r="U382" i="310"/>
  <c r="I82" i="313"/>
  <c r="I71" i="314"/>
  <c r="E262" i="318"/>
  <c r="E163" i="318"/>
  <c r="I84" i="318"/>
  <c r="E31" i="319"/>
  <c r="I85" i="320"/>
  <c r="I78" i="321"/>
  <c r="U384" i="322"/>
  <c r="F150" i="325"/>
  <c r="I73" i="324"/>
  <c r="I162" i="323"/>
  <c r="B7" i="316"/>
  <c r="I60" i="314"/>
  <c r="E64" i="314" s="1"/>
  <c r="E22" i="318"/>
  <c r="C64" i="321"/>
  <c r="I62" i="321"/>
  <c r="E64" i="321" s="1"/>
  <c r="E112" i="318"/>
  <c r="D143" i="320"/>
  <c r="F143" i="320" s="1"/>
  <c r="H12" i="321"/>
  <c r="H12" i="317"/>
  <c r="I12" i="323"/>
  <c r="C12" i="317"/>
  <c r="I12" i="317"/>
  <c r="H11" i="319"/>
  <c r="I11" i="319" s="1"/>
  <c r="E12" i="319" s="1"/>
  <c r="I12" i="329"/>
  <c r="I12" i="322"/>
  <c r="C12" i="322"/>
  <c r="H12" i="322"/>
  <c r="C12" i="314"/>
  <c r="I10" i="312"/>
  <c r="H12" i="312" s="1"/>
  <c r="H11" i="312"/>
  <c r="I11" i="312" s="1"/>
  <c r="C12" i="329"/>
  <c r="B114" i="307"/>
  <c r="E114" i="307" s="1"/>
  <c r="E113" i="307"/>
  <c r="F112" i="307"/>
  <c r="H63" i="331"/>
  <c r="D65" i="331" s="1"/>
  <c r="H65" i="331" s="1"/>
  <c r="E21" i="331"/>
  <c r="E79" i="327"/>
  <c r="H87" i="327"/>
  <c r="H90" i="327" s="1"/>
  <c r="H32" i="327"/>
  <c r="E26" i="327"/>
  <c r="D27" i="327" s="1"/>
  <c r="H27" i="327" s="1"/>
  <c r="E103" i="331"/>
  <c r="H103" i="331" s="1"/>
  <c r="H90" i="331"/>
  <c r="C121" i="331"/>
  <c r="D10" i="331"/>
  <c r="H10" i="331" s="1"/>
  <c r="G97" i="331"/>
  <c r="H21" i="331"/>
  <c r="E63" i="331"/>
  <c r="H82" i="331"/>
  <c r="E37" i="331"/>
  <c r="D38" i="331" s="1"/>
  <c r="H38" i="331" s="1"/>
  <c r="E84" i="331"/>
  <c r="H79" i="331"/>
  <c r="E26" i="331"/>
  <c r="D27" i="331" s="1"/>
  <c r="H27" i="331" s="1"/>
  <c r="H81" i="331"/>
  <c r="H308" i="310"/>
  <c r="H286" i="310"/>
  <c r="H290" i="321"/>
  <c r="H290" i="320"/>
  <c r="H290" i="323"/>
  <c r="H318" i="308"/>
  <c r="H318" i="310"/>
  <c r="H290" i="328"/>
  <c r="H288" i="310"/>
  <c r="U382" i="308"/>
  <c r="H286" i="309"/>
  <c r="H290" i="311"/>
  <c r="H308" i="308"/>
  <c r="H288" i="309"/>
  <c r="H290" i="318"/>
  <c r="H290" i="325"/>
  <c r="H290" i="324"/>
  <c r="D362" i="329"/>
  <c r="H362" i="329" s="1"/>
  <c r="C311" i="329"/>
  <c r="H311" i="329" s="1"/>
  <c r="H6" i="329"/>
  <c r="E193" i="329"/>
  <c r="I193" i="329" s="1"/>
  <c r="E192" i="329"/>
  <c r="I192" i="329" s="1"/>
  <c r="C163" i="329"/>
  <c r="I157" i="329"/>
  <c r="I280" i="329"/>
  <c r="E12" i="329"/>
  <c r="B247" i="329"/>
  <c r="B248" i="329" s="1"/>
  <c r="B249" i="329" s="1"/>
  <c r="B251" i="329" s="1"/>
  <c r="B252" i="329" s="1"/>
  <c r="B253" i="329" s="1"/>
  <c r="B254" i="329" s="1"/>
  <c r="B255" i="329" s="1"/>
  <c r="B256" i="329" s="1"/>
  <c r="B257" i="329" s="1"/>
  <c r="B259" i="329" s="1"/>
  <c r="B260" i="329" s="1"/>
  <c r="B261" i="329" s="1"/>
  <c r="B262" i="329" s="1"/>
  <c r="B263" i="329" s="1"/>
  <c r="B264" i="329" s="1"/>
  <c r="B250" i="329"/>
  <c r="E48" i="329"/>
  <c r="F143" i="329"/>
  <c r="I150" i="329"/>
  <c r="E153" i="329" s="1"/>
  <c r="C153" i="329"/>
  <c r="E231" i="329"/>
  <c r="C240" i="329"/>
  <c r="E240" i="329" s="1"/>
  <c r="C339" i="329"/>
  <c r="H339" i="329" s="1"/>
  <c r="F291" i="329"/>
  <c r="I258" i="329"/>
  <c r="C38" i="329"/>
  <c r="I35" i="329"/>
  <c r="E38" i="329" s="1"/>
  <c r="E57" i="329"/>
  <c r="I57" i="329" s="1"/>
  <c r="E58" i="329"/>
  <c r="I58" i="329" s="1"/>
  <c r="C329" i="329"/>
  <c r="E120" i="329"/>
  <c r="I120" i="329" s="1"/>
  <c r="E121" i="329"/>
  <c r="I121" i="329" s="1"/>
  <c r="E50" i="329"/>
  <c r="I50" i="329" s="1"/>
  <c r="E49" i="329"/>
  <c r="I49" i="329" s="1"/>
  <c r="E266" i="329"/>
  <c r="I273" i="329"/>
  <c r="D340" i="329"/>
  <c r="H340" i="329" s="1"/>
  <c r="I113" i="329"/>
  <c r="F14" i="329"/>
  <c r="J68" i="329"/>
  <c r="D68" i="329" s="1"/>
  <c r="C230" i="329"/>
  <c r="F101" i="329"/>
  <c r="C126" i="329"/>
  <c r="C343" i="329"/>
  <c r="H343" i="329" s="1"/>
  <c r="H338" i="329"/>
  <c r="E261" i="329"/>
  <c r="C225" i="329"/>
  <c r="F92" i="329"/>
  <c r="C229" i="329"/>
  <c r="F96" i="329"/>
  <c r="I96" i="329" s="1"/>
  <c r="I211" i="329"/>
  <c r="H215" i="329" a="1"/>
  <c r="H215" i="329" s="1"/>
  <c r="I215" i="329" s="1"/>
  <c r="E220" i="329" s="1"/>
  <c r="C241" i="329"/>
  <c r="E241" i="329" s="1"/>
  <c r="E232" i="329"/>
  <c r="E140" i="329"/>
  <c r="I140" i="329" s="1"/>
  <c r="E141" i="329"/>
  <c r="I141" i="329" s="1"/>
  <c r="C236" i="329"/>
  <c r="E236" i="329" s="1"/>
  <c r="E227" i="329"/>
  <c r="E126" i="329"/>
  <c r="C31" i="329"/>
  <c r="C237" i="329"/>
  <c r="E237" i="329" s="1"/>
  <c r="E228" i="329"/>
  <c r="H12" i="329"/>
  <c r="E284" i="329"/>
  <c r="H162" i="329"/>
  <c r="I162" i="329" s="1"/>
  <c r="H161" i="329"/>
  <c r="I161" i="329" s="1"/>
  <c r="I17" i="329"/>
  <c r="H18" i="329"/>
  <c r="F292" i="329"/>
  <c r="D62" i="329"/>
  <c r="F181" i="329"/>
  <c r="K68" i="329"/>
  <c r="E68" i="329" s="1"/>
  <c r="D243" i="329" s="1"/>
  <c r="E31" i="329"/>
  <c r="F102" i="325"/>
  <c r="I102" i="325" s="1"/>
  <c r="E240" i="325"/>
  <c r="E191" i="328"/>
  <c r="H6" i="328"/>
  <c r="E12" i="328"/>
  <c r="J116" i="328"/>
  <c r="D116" i="328" s="1"/>
  <c r="F108" i="328"/>
  <c r="F292" i="328"/>
  <c r="E31" i="328"/>
  <c r="E284" i="328"/>
  <c r="I285" i="328" s="1"/>
  <c r="U384" i="328"/>
  <c r="E229" i="328"/>
  <c r="C238" i="328"/>
  <c r="E238" i="328" s="1"/>
  <c r="H72" i="328"/>
  <c r="H76" i="328" s="1"/>
  <c r="H77" i="328" s="1"/>
  <c r="H78" i="328" s="1"/>
  <c r="H79" i="328" s="1"/>
  <c r="I71" i="328"/>
  <c r="C236" i="328"/>
  <c r="E236" i="328" s="1"/>
  <c r="E227" i="328"/>
  <c r="E262" i="328"/>
  <c r="E184" i="328"/>
  <c r="I258" i="328"/>
  <c r="I73" i="328"/>
  <c r="C237" i="328"/>
  <c r="E237" i="328" s="1"/>
  <c r="E228" i="328"/>
  <c r="C12" i="328"/>
  <c r="I280" i="328"/>
  <c r="E163" i="328"/>
  <c r="C31" i="328"/>
  <c r="H334" i="328"/>
  <c r="E261" i="328"/>
  <c r="F291" i="328"/>
  <c r="C339" i="328"/>
  <c r="H339" i="328" s="1"/>
  <c r="C327" i="328"/>
  <c r="E127" i="328"/>
  <c r="I127" i="328" s="1"/>
  <c r="E128" i="328"/>
  <c r="I128" i="328" s="1"/>
  <c r="E193" i="328"/>
  <c r="I193" i="328" s="1"/>
  <c r="E192" i="328"/>
  <c r="I192" i="328" s="1"/>
  <c r="C139" i="328"/>
  <c r="I137" i="328"/>
  <c r="E139" i="328" s="1"/>
  <c r="C270" i="328"/>
  <c r="E270" i="328" s="1"/>
  <c r="F150" i="328"/>
  <c r="C231" i="328"/>
  <c r="F102" i="328"/>
  <c r="I102" i="328" s="1"/>
  <c r="B250" i="328"/>
  <c r="B247" i="328"/>
  <c r="B248" i="328" s="1"/>
  <c r="B249" i="328" s="1"/>
  <c r="B251" i="328" s="1"/>
  <c r="B252" i="328" s="1"/>
  <c r="B253" i="328" s="1"/>
  <c r="B254" i="328" s="1"/>
  <c r="B255" i="328" s="1"/>
  <c r="B256" i="328" s="1"/>
  <c r="B257" i="328" s="1"/>
  <c r="B259" i="328" s="1"/>
  <c r="B260" i="328" s="1"/>
  <c r="B261" i="328" s="1"/>
  <c r="B262" i="328" s="1"/>
  <c r="B263" i="328" s="1"/>
  <c r="B264" i="328" s="1"/>
  <c r="H215" i="328" a="1"/>
  <c r="H215" i="328" s="1"/>
  <c r="I215" i="328" s="1"/>
  <c r="E220" i="328" s="1"/>
  <c r="I211" i="328"/>
  <c r="C267" i="328"/>
  <c r="E267" i="328" s="1"/>
  <c r="F144" i="328"/>
  <c r="I144" i="328" s="1"/>
  <c r="C230" i="328"/>
  <c r="F101" i="328"/>
  <c r="I72" i="328"/>
  <c r="C268" i="328"/>
  <c r="E268" i="328" s="1"/>
  <c r="F145" i="328"/>
  <c r="I145" i="328" s="1"/>
  <c r="I12" i="328"/>
  <c r="E48" i="328"/>
  <c r="I74" i="328"/>
  <c r="H18" i="328"/>
  <c r="I17" i="328"/>
  <c r="E58" i="328"/>
  <c r="I58" i="328" s="1"/>
  <c r="E57" i="328"/>
  <c r="I57" i="328" s="1"/>
  <c r="F92" i="328"/>
  <c r="C225" i="328"/>
  <c r="E49" i="328"/>
  <c r="I49" i="328" s="1"/>
  <c r="E50" i="328"/>
  <c r="I50" i="328" s="1"/>
  <c r="C88" i="328"/>
  <c r="D349" i="328"/>
  <c r="H349" i="328" s="1"/>
  <c r="G217" i="328"/>
  <c r="C38" i="328"/>
  <c r="E232" i="328"/>
  <c r="C241" i="328"/>
  <c r="E241" i="328" s="1"/>
  <c r="C163" i="328"/>
  <c r="H110" i="327"/>
  <c r="H79" i="327"/>
  <c r="E63" i="327"/>
  <c r="H21" i="327"/>
  <c r="E32" i="327"/>
  <c r="D16" i="327"/>
  <c r="H16" i="327" s="1"/>
  <c r="H66" i="327" s="1"/>
  <c r="E82" i="327"/>
  <c r="H112" i="326"/>
  <c r="E26" i="326"/>
  <c r="D27" i="326" s="1"/>
  <c r="H27" i="326" s="1"/>
  <c r="H21" i="326"/>
  <c r="E79" i="326"/>
  <c r="H110" i="326"/>
  <c r="H61" i="326"/>
  <c r="H63" i="326" s="1"/>
  <c r="E63" i="326"/>
  <c r="H87" i="326"/>
  <c r="H90" i="326" s="1"/>
  <c r="H113" i="326"/>
  <c r="H81" i="326"/>
  <c r="H32" i="326"/>
  <c r="F114" i="326"/>
  <c r="F119" i="326" s="1"/>
  <c r="E114" i="326"/>
  <c r="D65" i="326"/>
  <c r="H65" i="326" s="1"/>
  <c r="E32" i="326"/>
  <c r="D16" i="326"/>
  <c r="H16" i="326" s="1"/>
  <c r="E82" i="326"/>
  <c r="E31" i="325"/>
  <c r="C311" i="325"/>
  <c r="H311" i="325" s="1"/>
  <c r="H6" i="325"/>
  <c r="C228" i="325"/>
  <c r="F95" i="325"/>
  <c r="I95" i="325" s="1"/>
  <c r="D62" i="325"/>
  <c r="F181" i="325"/>
  <c r="F52" i="325"/>
  <c r="E35" i="325"/>
  <c r="U384" i="325"/>
  <c r="E231" i="325"/>
  <c r="C236" i="325"/>
  <c r="E236" i="325" s="1"/>
  <c r="E227" i="325"/>
  <c r="I280" i="325"/>
  <c r="C153" i="325"/>
  <c r="I150" i="325"/>
  <c r="E153" i="325" s="1"/>
  <c r="H77" i="325"/>
  <c r="H78" i="325" s="1"/>
  <c r="I76" i="325"/>
  <c r="C12" i="325"/>
  <c r="I250" i="325"/>
  <c r="I143" i="325"/>
  <c r="E193" i="325"/>
  <c r="I193" i="325" s="1"/>
  <c r="E192" i="325"/>
  <c r="I192" i="325" s="1"/>
  <c r="I72" i="325"/>
  <c r="H334" i="325"/>
  <c r="F96" i="325"/>
  <c r="I96" i="325" s="1"/>
  <c r="E126" i="325"/>
  <c r="E270" i="325"/>
  <c r="E48" i="325"/>
  <c r="I92" i="325"/>
  <c r="C323" i="325"/>
  <c r="E33" i="325"/>
  <c r="I33" i="325" s="1"/>
  <c r="E32" i="325"/>
  <c r="I32" i="325" s="1"/>
  <c r="I162" i="325"/>
  <c r="E113" i="325"/>
  <c r="E114" i="325"/>
  <c r="I114" i="325" s="1"/>
  <c r="C238" i="325"/>
  <c r="E238" i="325" s="1"/>
  <c r="E229" i="325"/>
  <c r="E12" i="325"/>
  <c r="C126" i="325"/>
  <c r="C241" i="325"/>
  <c r="E241" i="325" s="1"/>
  <c r="E232" i="325"/>
  <c r="E50" i="325"/>
  <c r="I50" i="325" s="1"/>
  <c r="E49" i="325"/>
  <c r="I49" i="325" s="1"/>
  <c r="E283" i="325"/>
  <c r="F145" i="325"/>
  <c r="I145" i="325" s="1"/>
  <c r="I258" i="325"/>
  <c r="C163" i="325"/>
  <c r="I157" i="325"/>
  <c r="E163" i="325" s="1"/>
  <c r="F14" i="325"/>
  <c r="D35" i="325"/>
  <c r="F292" i="325"/>
  <c r="E284" i="325"/>
  <c r="I20" i="325"/>
  <c r="H21" i="325"/>
  <c r="I21" i="325" s="1"/>
  <c r="I19" i="325"/>
  <c r="E268" i="325"/>
  <c r="I18" i="325"/>
  <c r="C329" i="325"/>
  <c r="E120" i="325"/>
  <c r="I120" i="325" s="1"/>
  <c r="E121" i="325"/>
  <c r="I121" i="325" s="1"/>
  <c r="C339" i="325"/>
  <c r="H339" i="325" s="1"/>
  <c r="F291" i="325"/>
  <c r="E141" i="325"/>
  <c r="I141" i="325" s="1"/>
  <c r="E140" i="325"/>
  <c r="I140" i="325" s="1"/>
  <c r="B247" i="325"/>
  <c r="B248" i="325" s="1"/>
  <c r="B249" i="325" s="1"/>
  <c r="B251" i="325" s="1"/>
  <c r="B252" i="325" s="1"/>
  <c r="B253" i="325" s="1"/>
  <c r="B254" i="325" s="1"/>
  <c r="B255" i="325" s="1"/>
  <c r="B256" i="325" s="1"/>
  <c r="B257" i="325" s="1"/>
  <c r="B259" i="325" s="1"/>
  <c r="B260" i="325" s="1"/>
  <c r="B261" i="325" s="1"/>
  <c r="B262" i="325" s="1"/>
  <c r="B263" i="325" s="1"/>
  <c r="B264" i="325" s="1"/>
  <c r="B250" i="325"/>
  <c r="C235" i="325"/>
  <c r="E235" i="325" s="1"/>
  <c r="E226" i="325"/>
  <c r="H12" i="325"/>
  <c r="C88" i="325"/>
  <c r="F94" i="325"/>
  <c r="I94" i="325" s="1"/>
  <c r="H6" i="324"/>
  <c r="H366" i="324"/>
  <c r="D387" i="324" s="1"/>
  <c r="I387" i="324" s="1"/>
  <c r="D362" i="324"/>
  <c r="H362" i="324" s="1"/>
  <c r="C163" i="324"/>
  <c r="I157" i="324"/>
  <c r="E163" i="324" s="1"/>
  <c r="F181" i="324"/>
  <c r="E69" i="324"/>
  <c r="D244" i="324" s="1"/>
  <c r="D62" i="324"/>
  <c r="B247" i="324"/>
  <c r="B248" i="324" s="1"/>
  <c r="B249" i="324" s="1"/>
  <c r="B251" i="324" s="1"/>
  <c r="B252" i="324" s="1"/>
  <c r="B253" i="324" s="1"/>
  <c r="B254" i="324" s="1"/>
  <c r="B255" i="324" s="1"/>
  <c r="B256" i="324" s="1"/>
  <c r="B257" i="324" s="1"/>
  <c r="B259" i="324" s="1"/>
  <c r="B260" i="324" s="1"/>
  <c r="B261" i="324" s="1"/>
  <c r="B262" i="324" s="1"/>
  <c r="B263" i="324" s="1"/>
  <c r="B264" i="324" s="1"/>
  <c r="B250" i="324"/>
  <c r="I273" i="324"/>
  <c r="C231" i="324"/>
  <c r="F102" i="324"/>
  <c r="I102" i="324" s="1"/>
  <c r="F14" i="324"/>
  <c r="I14" i="324" s="1"/>
  <c r="H11" i="324"/>
  <c r="I11" i="324" s="1"/>
  <c r="I10" i="324"/>
  <c r="I26" i="324"/>
  <c r="E31" i="324" s="1"/>
  <c r="C237" i="324"/>
  <c r="E237" i="324" s="1"/>
  <c r="E228" i="324"/>
  <c r="I280" i="324"/>
  <c r="C343" i="324"/>
  <c r="H343" i="324" s="1"/>
  <c r="H338" i="324"/>
  <c r="H20" i="324"/>
  <c r="I19" i="324"/>
  <c r="C97" i="324"/>
  <c r="I92" i="324"/>
  <c r="E97" i="324" s="1"/>
  <c r="C266" i="324"/>
  <c r="F292" i="324"/>
  <c r="C234" i="324"/>
  <c r="E234" i="324" s="1"/>
  <c r="E225" i="324"/>
  <c r="E134" i="324"/>
  <c r="I134" i="324" s="1"/>
  <c r="E135" i="324"/>
  <c r="I135" i="324" s="1"/>
  <c r="C339" i="324"/>
  <c r="H339" i="324" s="1"/>
  <c r="F291" i="324"/>
  <c r="I265" i="324"/>
  <c r="C215" i="324" a="1"/>
  <c r="C215" i="324" s="1"/>
  <c r="E283" i="324"/>
  <c r="I150" i="324"/>
  <c r="E153" i="324" s="1"/>
  <c r="C153" i="324"/>
  <c r="C241" i="324"/>
  <c r="E241" i="324" s="1"/>
  <c r="E232" i="324"/>
  <c r="C315" i="324"/>
  <c r="H315" i="324" s="1"/>
  <c r="C323" i="324"/>
  <c r="E33" i="324"/>
  <c r="I33" i="324" s="1"/>
  <c r="E32" i="324"/>
  <c r="I32" i="324" s="1"/>
  <c r="I258" i="324"/>
  <c r="C126" i="324"/>
  <c r="I123" i="324"/>
  <c r="E126" i="324" s="1"/>
  <c r="E227" i="324"/>
  <c r="C236" i="324"/>
  <c r="E236" i="324" s="1"/>
  <c r="U384" i="323"/>
  <c r="I265" i="323"/>
  <c r="C229" i="323"/>
  <c r="F96" i="323"/>
  <c r="I96" i="323" s="1"/>
  <c r="I137" i="323"/>
  <c r="E139" i="323" s="1"/>
  <c r="C139" i="323"/>
  <c r="F14" i="323"/>
  <c r="I14" i="323" s="1"/>
  <c r="J52" i="323"/>
  <c r="D52" i="323" s="1"/>
  <c r="C126" i="323"/>
  <c r="I19" i="323"/>
  <c r="H20" i="323"/>
  <c r="C241" i="323"/>
  <c r="E241" i="323" s="1"/>
  <c r="E232" i="323"/>
  <c r="C343" i="323"/>
  <c r="H343" i="323" s="1"/>
  <c r="H338" i="323"/>
  <c r="C270" i="323"/>
  <c r="E270" i="323" s="1"/>
  <c r="F150" i="323"/>
  <c r="D228" i="323"/>
  <c r="F95" i="323"/>
  <c r="I95" i="323" s="1"/>
  <c r="F291" i="323"/>
  <c r="C339" i="323"/>
  <c r="H339" i="323" s="1"/>
  <c r="C31" i="323"/>
  <c r="I26" i="323"/>
  <c r="E31" i="323" s="1"/>
  <c r="E227" i="323"/>
  <c r="C236" i="323"/>
  <c r="E236" i="323" s="1"/>
  <c r="F93" i="323"/>
  <c r="I93" i="323" s="1"/>
  <c r="I17" i="323"/>
  <c r="F292" i="323"/>
  <c r="F145" i="323"/>
  <c r="I145" i="323" s="1"/>
  <c r="C268" i="323"/>
  <c r="E268" i="323" s="1"/>
  <c r="E12" i="323"/>
  <c r="C12" i="323"/>
  <c r="E185" i="323"/>
  <c r="I185" i="323" s="1"/>
  <c r="E186" i="323"/>
  <c r="I186" i="323" s="1"/>
  <c r="C235" i="323"/>
  <c r="E235" i="323" s="1"/>
  <c r="E226" i="323"/>
  <c r="I18" i="323"/>
  <c r="B250" i="323"/>
  <c r="B247" i="323"/>
  <c r="B248" i="323" s="1"/>
  <c r="B249" i="323" s="1"/>
  <c r="B251" i="323" s="1"/>
  <c r="B252" i="323" s="1"/>
  <c r="B253" i="323" s="1"/>
  <c r="B254" i="323" s="1"/>
  <c r="B255" i="323" s="1"/>
  <c r="B256" i="323" s="1"/>
  <c r="B257" i="323" s="1"/>
  <c r="B259" i="323" s="1"/>
  <c r="B260" i="323" s="1"/>
  <c r="B261" i="323" s="1"/>
  <c r="B262" i="323" s="1"/>
  <c r="B263" i="323" s="1"/>
  <c r="B264" i="323" s="1"/>
  <c r="C240" i="323"/>
  <c r="E240" i="323" s="1"/>
  <c r="E231" i="323"/>
  <c r="C311" i="323"/>
  <c r="H311" i="323" s="1"/>
  <c r="H6" i="323"/>
  <c r="I157" i="323"/>
  <c r="E163" i="323" s="1"/>
  <c r="C163" i="323"/>
  <c r="I92" i="323"/>
  <c r="I280" i="323"/>
  <c r="I285" i="323"/>
  <c r="E134" i="323"/>
  <c r="I134" i="323" s="1"/>
  <c r="E135" i="323"/>
  <c r="I135" i="323" s="1"/>
  <c r="C234" i="323"/>
  <c r="E234" i="323" s="1"/>
  <c r="E225" i="323"/>
  <c r="H12" i="323"/>
  <c r="I143" i="323"/>
  <c r="I269" i="323"/>
  <c r="I74" i="323"/>
  <c r="I73" i="323"/>
  <c r="E126" i="323"/>
  <c r="C329" i="323"/>
  <c r="E120" i="323"/>
  <c r="I120" i="323" s="1"/>
  <c r="E121" i="323"/>
  <c r="I121" i="323" s="1"/>
  <c r="H366" i="322"/>
  <c r="D387" i="322" s="1"/>
  <c r="I387" i="322" s="1"/>
  <c r="D362" i="322"/>
  <c r="H362" i="322" s="1"/>
  <c r="C225" i="322"/>
  <c r="F92" i="322"/>
  <c r="E262" i="322"/>
  <c r="C339" i="322"/>
  <c r="H339" i="322" s="1"/>
  <c r="F291" i="322"/>
  <c r="C343" i="322"/>
  <c r="H343" i="322" s="1"/>
  <c r="H338" i="322"/>
  <c r="E193" i="322"/>
  <c r="I193" i="322" s="1"/>
  <c r="E192" i="322"/>
  <c r="I192" i="322" s="1"/>
  <c r="C235" i="322"/>
  <c r="E235" i="322" s="1"/>
  <c r="E226" i="322"/>
  <c r="C126" i="322"/>
  <c r="I84" i="322"/>
  <c r="F14" i="322"/>
  <c r="E31" i="322"/>
  <c r="C31" i="322"/>
  <c r="E261" i="322"/>
  <c r="I83" i="322"/>
  <c r="C231" i="322"/>
  <c r="F102" i="322"/>
  <c r="I102" i="322" s="1"/>
  <c r="I258" i="322"/>
  <c r="C227" i="322"/>
  <c r="F94" i="322"/>
  <c r="I94" i="322" s="1"/>
  <c r="I82" i="322"/>
  <c r="I285" i="322"/>
  <c r="C266" i="322"/>
  <c r="H20" i="322"/>
  <c r="I19" i="322"/>
  <c r="I280" i="322"/>
  <c r="I80" i="322"/>
  <c r="I150" i="322"/>
  <c r="I161" i="322"/>
  <c r="I87" i="322"/>
  <c r="B247" i="322"/>
  <c r="B248" i="322" s="1"/>
  <c r="B249" i="322" s="1"/>
  <c r="B251" i="322" s="1"/>
  <c r="B252" i="322" s="1"/>
  <c r="B253" i="322" s="1"/>
  <c r="B254" i="322" s="1"/>
  <c r="B255" i="322" s="1"/>
  <c r="B256" i="322" s="1"/>
  <c r="B257" i="322" s="1"/>
  <c r="B259" i="322" s="1"/>
  <c r="B260" i="322" s="1"/>
  <c r="B261" i="322" s="1"/>
  <c r="B262" i="322" s="1"/>
  <c r="B263" i="322" s="1"/>
  <c r="B264" i="322" s="1"/>
  <c r="B250" i="322"/>
  <c r="I81" i="322"/>
  <c r="E268" i="322"/>
  <c r="I79" i="322"/>
  <c r="I77" i="322"/>
  <c r="C163" i="322"/>
  <c r="I157" i="322"/>
  <c r="F145" i="322"/>
  <c r="I145" i="322" s="1"/>
  <c r="I72" i="322"/>
  <c r="I86" i="322"/>
  <c r="F181" i="322"/>
  <c r="E108" i="322"/>
  <c r="E69" i="322"/>
  <c r="D244" i="322" s="1"/>
  <c r="D62" i="322"/>
  <c r="C271" i="322"/>
  <c r="E271" i="322" s="1"/>
  <c r="F151" i="322"/>
  <c r="I151" i="322" s="1"/>
  <c r="I85" i="322"/>
  <c r="F68" i="321"/>
  <c r="I68" i="321" s="1"/>
  <c r="C48" i="321"/>
  <c r="E49" i="321" s="1"/>
  <c r="I49" i="321" s="1"/>
  <c r="I280" i="321"/>
  <c r="I250" i="321"/>
  <c r="F101" i="321"/>
  <c r="C230" i="321"/>
  <c r="C229" i="321"/>
  <c r="F96" i="321"/>
  <c r="I96" i="321" s="1"/>
  <c r="C226" i="321"/>
  <c r="F93" i="321"/>
  <c r="I93" i="321" s="1"/>
  <c r="C266" i="321"/>
  <c r="I79" i="321"/>
  <c r="I190" i="321"/>
  <c r="E191" i="321" s="1"/>
  <c r="C191" i="321"/>
  <c r="I35" i="321"/>
  <c r="E38" i="321" s="1"/>
  <c r="C38" i="321"/>
  <c r="C225" i="321"/>
  <c r="F92" i="321"/>
  <c r="E31" i="321"/>
  <c r="U384" i="321"/>
  <c r="H85" i="321"/>
  <c r="H86" i="321" s="1"/>
  <c r="I84" i="321"/>
  <c r="C241" i="321"/>
  <c r="E241" i="321" s="1"/>
  <c r="E232" i="321"/>
  <c r="I19" i="321"/>
  <c r="H20" i="321"/>
  <c r="K116" i="321"/>
  <c r="E116" i="321" s="1"/>
  <c r="F108" i="321"/>
  <c r="F292" i="321"/>
  <c r="E12" i="321"/>
  <c r="C12" i="321"/>
  <c r="I258" i="321"/>
  <c r="H334" i="321"/>
  <c r="F291" i="321"/>
  <c r="C339" i="321"/>
  <c r="H339" i="321" s="1"/>
  <c r="H366" i="321"/>
  <c r="D387" i="321" s="1"/>
  <c r="I387" i="321" s="1"/>
  <c r="D362" i="321"/>
  <c r="H362" i="321" s="1"/>
  <c r="C237" i="321"/>
  <c r="E237" i="321" s="1"/>
  <c r="E228" i="321"/>
  <c r="E163" i="321"/>
  <c r="C22" i="321"/>
  <c r="I14" i="321"/>
  <c r="C323" i="321"/>
  <c r="E33" i="321"/>
  <c r="I33" i="321" s="1"/>
  <c r="E32" i="321"/>
  <c r="I32" i="321" s="1"/>
  <c r="C343" i="321"/>
  <c r="H343" i="321" s="1"/>
  <c r="H338" i="321"/>
  <c r="E283" i="321"/>
  <c r="E57" i="321"/>
  <c r="I57" i="321" s="1"/>
  <c r="E58" i="321"/>
  <c r="I58" i="321" s="1"/>
  <c r="C126" i="321"/>
  <c r="I12" i="321"/>
  <c r="C163" i="321"/>
  <c r="I181" i="321"/>
  <c r="E184" i="321" s="1"/>
  <c r="C184" i="321"/>
  <c r="I18" i="321"/>
  <c r="I265" i="321"/>
  <c r="C270" i="321"/>
  <c r="E270" i="321" s="1"/>
  <c r="F150" i="321"/>
  <c r="H215" i="321" a="1"/>
  <c r="H215" i="321" s="1"/>
  <c r="I215" i="321" s="1"/>
  <c r="E220" i="321" s="1"/>
  <c r="I211" i="321"/>
  <c r="C311" i="321"/>
  <c r="H311" i="321" s="1"/>
  <c r="H6" i="321"/>
  <c r="E126" i="321"/>
  <c r="F145" i="321"/>
  <c r="I145" i="321" s="1"/>
  <c r="C268" i="321"/>
  <c r="E268" i="321" s="1"/>
  <c r="E227" i="321"/>
  <c r="C236" i="321"/>
  <c r="E236" i="321" s="1"/>
  <c r="B250" i="321"/>
  <c r="B247" i="321"/>
  <c r="B248" i="321" s="1"/>
  <c r="B249" i="321" s="1"/>
  <c r="B251" i="321" s="1"/>
  <c r="B252" i="321" s="1"/>
  <c r="B253" i="321" s="1"/>
  <c r="B254" i="321" s="1"/>
  <c r="B255" i="321" s="1"/>
  <c r="B256" i="321" s="1"/>
  <c r="B257" i="321" s="1"/>
  <c r="B259" i="321" s="1"/>
  <c r="B260" i="321" s="1"/>
  <c r="B261" i="321" s="1"/>
  <c r="B262" i="321" s="1"/>
  <c r="B263" i="321" s="1"/>
  <c r="B264" i="321" s="1"/>
  <c r="E24" i="320"/>
  <c r="I24" i="320" s="1"/>
  <c r="C12" i="320"/>
  <c r="E31" i="320"/>
  <c r="C38" i="320"/>
  <c r="I35" i="320"/>
  <c r="E38" i="320" s="1"/>
  <c r="C339" i="320"/>
  <c r="H339" i="320" s="1"/>
  <c r="F291" i="320"/>
  <c r="E262" i="320"/>
  <c r="E56" i="320"/>
  <c r="C88" i="320"/>
  <c r="I116" i="320"/>
  <c r="E119" i="320" s="1"/>
  <c r="C119" i="320"/>
  <c r="C327" i="320"/>
  <c r="E127" i="320"/>
  <c r="I127" i="320" s="1"/>
  <c r="E128" i="320"/>
  <c r="I128" i="320" s="1"/>
  <c r="I250" i="320"/>
  <c r="E192" i="320"/>
  <c r="I192" i="320" s="1"/>
  <c r="E193" i="320"/>
  <c r="I193" i="320" s="1"/>
  <c r="C112" i="320"/>
  <c r="I108" i="320"/>
  <c r="E112" i="320" s="1"/>
  <c r="I74" i="320"/>
  <c r="H334" i="320"/>
  <c r="C231" i="320"/>
  <c r="F102" i="320"/>
  <c r="I102" i="320" s="1"/>
  <c r="C226" i="320"/>
  <c r="F93" i="320"/>
  <c r="I93" i="320" s="1"/>
  <c r="I18" i="320"/>
  <c r="H19" i="320"/>
  <c r="C241" i="320"/>
  <c r="E241" i="320" s="1"/>
  <c r="E232" i="320"/>
  <c r="E261" i="320"/>
  <c r="C270" i="320"/>
  <c r="E270" i="320" s="1"/>
  <c r="F150" i="320"/>
  <c r="C237" i="320"/>
  <c r="E237" i="320" s="1"/>
  <c r="E228" i="320"/>
  <c r="I12" i="320"/>
  <c r="H12" i="320"/>
  <c r="I73" i="320"/>
  <c r="E88" i="320" s="1"/>
  <c r="C266" i="320"/>
  <c r="E266" i="320" s="1"/>
  <c r="D230" i="320"/>
  <c r="F101" i="320"/>
  <c r="C31" i="320"/>
  <c r="C268" i="320"/>
  <c r="E268" i="320" s="1"/>
  <c r="F145" i="320"/>
  <c r="I145" i="320" s="1"/>
  <c r="I258" i="320"/>
  <c r="E50" i="320"/>
  <c r="I50" i="320" s="1"/>
  <c r="E49" i="320"/>
  <c r="I49" i="320" s="1"/>
  <c r="I157" i="320"/>
  <c r="E163" i="320" s="1"/>
  <c r="C163" i="320"/>
  <c r="H215" i="320" a="1"/>
  <c r="H215" i="320" s="1"/>
  <c r="I215" i="320" s="1"/>
  <c r="E220" i="320" s="1"/>
  <c r="I211" i="320"/>
  <c r="C311" i="320"/>
  <c r="H311" i="320" s="1"/>
  <c r="H6" i="320"/>
  <c r="I285" i="320"/>
  <c r="B247" i="320"/>
  <c r="B248" i="320" s="1"/>
  <c r="B249" i="320" s="1"/>
  <c r="B251" i="320" s="1"/>
  <c r="B252" i="320" s="1"/>
  <c r="B253" i="320" s="1"/>
  <c r="B254" i="320" s="1"/>
  <c r="B255" i="320" s="1"/>
  <c r="B256" i="320" s="1"/>
  <c r="B257" i="320" s="1"/>
  <c r="B259" i="320" s="1"/>
  <c r="B260" i="320" s="1"/>
  <c r="B261" i="320" s="1"/>
  <c r="B262" i="320" s="1"/>
  <c r="B263" i="320" s="1"/>
  <c r="B264" i="320" s="1"/>
  <c r="B250" i="320"/>
  <c r="C236" i="320"/>
  <c r="E236" i="320" s="1"/>
  <c r="E227" i="320"/>
  <c r="H366" i="320"/>
  <c r="D387" i="320" s="1"/>
  <c r="I387" i="320" s="1"/>
  <c r="D362" i="320"/>
  <c r="H362" i="320" s="1"/>
  <c r="E48" i="320"/>
  <c r="I280" i="320"/>
  <c r="D225" i="320"/>
  <c r="F92" i="320"/>
  <c r="C139" i="320"/>
  <c r="I137" i="320"/>
  <c r="E139" i="320" s="1"/>
  <c r="I250" i="319"/>
  <c r="C323" i="319"/>
  <c r="E32" i="319"/>
  <c r="I32" i="319" s="1"/>
  <c r="E33" i="319"/>
  <c r="I33" i="319" s="1"/>
  <c r="I157" i="319"/>
  <c r="E163" i="319" s="1"/>
  <c r="C163" i="319"/>
  <c r="E262" i="319"/>
  <c r="D137" i="319"/>
  <c r="E143" i="319"/>
  <c r="D266" i="319" s="1"/>
  <c r="E185" i="319"/>
  <c r="I185" i="319" s="1"/>
  <c r="E186" i="319"/>
  <c r="I186" i="319" s="1"/>
  <c r="C343" i="319"/>
  <c r="H343" i="319" s="1"/>
  <c r="H338" i="319"/>
  <c r="H12" i="319"/>
  <c r="C153" i="319"/>
  <c r="I150" i="319"/>
  <c r="E153" i="319" s="1"/>
  <c r="I77" i="319"/>
  <c r="C325" i="319"/>
  <c r="E39" i="319"/>
  <c r="I39" i="319" s="1"/>
  <c r="E40" i="319"/>
  <c r="I40" i="319" s="1"/>
  <c r="C240" i="319"/>
  <c r="E240" i="319" s="1"/>
  <c r="E231" i="319"/>
  <c r="I280" i="319"/>
  <c r="I72" i="319"/>
  <c r="I83" i="319"/>
  <c r="H366" i="319"/>
  <c r="D387" i="319" s="1"/>
  <c r="I387" i="319" s="1"/>
  <c r="D362" i="319"/>
  <c r="H362" i="319" s="1"/>
  <c r="U384" i="319"/>
  <c r="I12" i="319"/>
  <c r="I273" i="319"/>
  <c r="E48" i="319"/>
  <c r="B247" i="319"/>
  <c r="B248" i="319" s="1"/>
  <c r="B249" i="319" s="1"/>
  <c r="B251" i="319" s="1"/>
  <c r="B252" i="319" s="1"/>
  <c r="B253" i="319" s="1"/>
  <c r="B254" i="319" s="1"/>
  <c r="B255" i="319" s="1"/>
  <c r="B256" i="319" s="1"/>
  <c r="B257" i="319" s="1"/>
  <c r="B259" i="319" s="1"/>
  <c r="B260" i="319" s="1"/>
  <c r="B261" i="319" s="1"/>
  <c r="B262" i="319" s="1"/>
  <c r="B263" i="319" s="1"/>
  <c r="B264" i="319" s="1"/>
  <c r="B250" i="319"/>
  <c r="H334" i="319"/>
  <c r="C230" i="319"/>
  <c r="F101" i="319"/>
  <c r="C311" i="319"/>
  <c r="H311" i="319" s="1"/>
  <c r="H6" i="319"/>
  <c r="J116" i="319"/>
  <c r="D116" i="319" s="1"/>
  <c r="F108" i="319"/>
  <c r="E49" i="319"/>
  <c r="I49" i="319" s="1"/>
  <c r="E50" i="319"/>
  <c r="I50" i="319" s="1"/>
  <c r="H19" i="319"/>
  <c r="I18" i="319"/>
  <c r="C225" i="319"/>
  <c r="F92" i="319"/>
  <c r="E134" i="319"/>
  <c r="I134" i="319" s="1"/>
  <c r="E135" i="319"/>
  <c r="I135" i="319" s="1"/>
  <c r="I79" i="319"/>
  <c r="I75" i="319"/>
  <c r="I258" i="319"/>
  <c r="I86" i="319"/>
  <c r="I78" i="319"/>
  <c r="E229" i="319"/>
  <c r="C238" i="319"/>
  <c r="E238" i="319" s="1"/>
  <c r="I110" i="319"/>
  <c r="C241" i="319"/>
  <c r="E241" i="319" s="1"/>
  <c r="E232" i="319"/>
  <c r="E58" i="319"/>
  <c r="I58" i="319" s="1"/>
  <c r="E57" i="319"/>
  <c r="I57" i="319" s="1"/>
  <c r="I73" i="319"/>
  <c r="I14" i="319"/>
  <c r="C22" i="319"/>
  <c r="C339" i="319"/>
  <c r="H339" i="319" s="1"/>
  <c r="F291" i="319"/>
  <c r="E227" i="319"/>
  <c r="C235" i="319"/>
  <c r="E235" i="319" s="1"/>
  <c r="E226" i="319"/>
  <c r="I85" i="319"/>
  <c r="C12" i="319"/>
  <c r="I285" i="319"/>
  <c r="H215" i="319" a="1"/>
  <c r="H215" i="319" s="1"/>
  <c r="I215" i="319" s="1"/>
  <c r="E220" i="319" s="1"/>
  <c r="I211" i="319"/>
  <c r="C126" i="319"/>
  <c r="E236" i="319"/>
  <c r="F68" i="319"/>
  <c r="F93" i="319"/>
  <c r="I93" i="319" s="1"/>
  <c r="E113" i="318"/>
  <c r="D340" i="318" s="1"/>
  <c r="H340" i="318" s="1"/>
  <c r="C339" i="318"/>
  <c r="H339" i="318" s="1"/>
  <c r="F291" i="318"/>
  <c r="F102" i="318"/>
  <c r="I102" i="318" s="1"/>
  <c r="C231" i="318"/>
  <c r="I211" i="318"/>
  <c r="H215" i="318" a="1"/>
  <c r="H215" i="318" s="1"/>
  <c r="I215" i="318" s="1"/>
  <c r="E220" i="318" s="1"/>
  <c r="E50" i="318"/>
  <c r="I50" i="318" s="1"/>
  <c r="E49" i="318"/>
  <c r="I49" i="318" s="1"/>
  <c r="E186" i="318"/>
  <c r="I186" i="318" s="1"/>
  <c r="E185" i="318"/>
  <c r="I185" i="318" s="1"/>
  <c r="C88" i="318"/>
  <c r="I68" i="318"/>
  <c r="E88" i="318" s="1"/>
  <c r="C343" i="318"/>
  <c r="H343" i="318" s="1"/>
  <c r="H338" i="318"/>
  <c r="C270" i="318"/>
  <c r="E270" i="318" s="1"/>
  <c r="F150" i="318"/>
  <c r="I125" i="318"/>
  <c r="E126" i="318" s="1"/>
  <c r="C126" i="318"/>
  <c r="E12" i="318"/>
  <c r="C12" i="318"/>
  <c r="C229" i="318"/>
  <c r="F96" i="318"/>
  <c r="I96" i="318" s="1"/>
  <c r="C119" i="318"/>
  <c r="I116" i="318"/>
  <c r="E119" i="318" s="1"/>
  <c r="E227" i="318"/>
  <c r="C236" i="318"/>
  <c r="E236" i="318" s="1"/>
  <c r="C225" i="318"/>
  <c r="F92" i="318"/>
  <c r="D362" i="318"/>
  <c r="H362" i="318" s="1"/>
  <c r="H366" i="318"/>
  <c r="D387" i="318" s="1"/>
  <c r="I387" i="318" s="1"/>
  <c r="E284" i="318"/>
  <c r="B250" i="318"/>
  <c r="B247" i="318"/>
  <c r="B248" i="318" s="1"/>
  <c r="B249" i="318" s="1"/>
  <c r="B251" i="318" s="1"/>
  <c r="B252" i="318" s="1"/>
  <c r="B253" i="318" s="1"/>
  <c r="B254" i="318" s="1"/>
  <c r="B255" i="318" s="1"/>
  <c r="B256" i="318" s="1"/>
  <c r="B257" i="318" s="1"/>
  <c r="B259" i="318" s="1"/>
  <c r="B260" i="318" s="1"/>
  <c r="B261" i="318" s="1"/>
  <c r="B262" i="318" s="1"/>
  <c r="B263" i="318" s="1"/>
  <c r="B264" i="318" s="1"/>
  <c r="E135" i="318"/>
  <c r="I135" i="318" s="1"/>
  <c r="E134" i="318"/>
  <c r="I134" i="318" s="1"/>
  <c r="E48" i="318"/>
  <c r="I250" i="318"/>
  <c r="C266" i="318"/>
  <c r="E266" i="318" s="1"/>
  <c r="F143" i="318"/>
  <c r="I258" i="318"/>
  <c r="E261" i="318"/>
  <c r="I280" i="318"/>
  <c r="C31" i="318"/>
  <c r="I35" i="318"/>
  <c r="E38" i="318" s="1"/>
  <c r="C38" i="318"/>
  <c r="H334" i="318"/>
  <c r="E31" i="318"/>
  <c r="C311" i="318"/>
  <c r="H311" i="318" s="1"/>
  <c r="H6" i="318"/>
  <c r="E164" i="318"/>
  <c r="I164" i="318" s="1"/>
  <c r="E165" i="318"/>
  <c r="E193" i="318"/>
  <c r="I193" i="318" s="1"/>
  <c r="E192" i="318"/>
  <c r="I192" i="318" s="1"/>
  <c r="E58" i="318"/>
  <c r="I58" i="318" s="1"/>
  <c r="E57" i="318"/>
  <c r="I57" i="318" s="1"/>
  <c r="I265" i="318"/>
  <c r="D382" i="318"/>
  <c r="I382" i="318" s="1"/>
  <c r="C230" i="318"/>
  <c r="F101" i="318"/>
  <c r="E228" i="318"/>
  <c r="C235" i="318"/>
  <c r="E235" i="318" s="1"/>
  <c r="E226" i="318"/>
  <c r="I12" i="318"/>
  <c r="I190" i="317"/>
  <c r="E191" i="317" s="1"/>
  <c r="C191" i="317"/>
  <c r="E113" i="317"/>
  <c r="E114" i="317"/>
  <c r="I114" i="317" s="1"/>
  <c r="B250" i="317"/>
  <c r="B247" i="317"/>
  <c r="B248" i="317" s="1"/>
  <c r="B249" i="317" s="1"/>
  <c r="B251" i="317" s="1"/>
  <c r="B252" i="317" s="1"/>
  <c r="B253" i="317" s="1"/>
  <c r="B254" i="317" s="1"/>
  <c r="B255" i="317" s="1"/>
  <c r="B256" i="317" s="1"/>
  <c r="B257" i="317" s="1"/>
  <c r="B259" i="317" s="1"/>
  <c r="B260" i="317" s="1"/>
  <c r="B261" i="317" s="1"/>
  <c r="B262" i="317" s="1"/>
  <c r="B263" i="317" s="1"/>
  <c r="B264" i="317" s="1"/>
  <c r="E165" i="317"/>
  <c r="E164" i="317"/>
  <c r="I164" i="317" s="1"/>
  <c r="C311" i="317"/>
  <c r="H311" i="317" s="1"/>
  <c r="H6" i="317"/>
  <c r="D68" i="317"/>
  <c r="F14" i="317"/>
  <c r="C343" i="317"/>
  <c r="H343" i="317" s="1"/>
  <c r="H338" i="317"/>
  <c r="C229" i="317"/>
  <c r="F96" i="317"/>
  <c r="I96" i="317" s="1"/>
  <c r="E163" i="317"/>
  <c r="C281" i="317"/>
  <c r="E281" i="317" s="1"/>
  <c r="E252" i="317"/>
  <c r="E227" i="317"/>
  <c r="C236" i="317"/>
  <c r="E236" i="317" s="1"/>
  <c r="I265" i="317"/>
  <c r="C126" i="317"/>
  <c r="F144" i="317"/>
  <c r="I144" i="317" s="1"/>
  <c r="C267" i="317"/>
  <c r="E267" i="317" s="1"/>
  <c r="E141" i="317"/>
  <c r="I141" i="317" s="1"/>
  <c r="E140" i="317"/>
  <c r="I140" i="317" s="1"/>
  <c r="C266" i="317"/>
  <c r="E266" i="317" s="1"/>
  <c r="F143" i="317"/>
  <c r="C119" i="317"/>
  <c r="I116" i="317"/>
  <c r="E119" i="317" s="1"/>
  <c r="C225" i="317"/>
  <c r="F92" i="317"/>
  <c r="U384" i="317"/>
  <c r="C228" i="317"/>
  <c r="F95" i="317"/>
  <c r="I95" i="317" s="1"/>
  <c r="I181" i="317"/>
  <c r="E184" i="317" s="1"/>
  <c r="C184" i="317"/>
  <c r="E253" i="317"/>
  <c r="C282" i="317"/>
  <c r="E282" i="317" s="1"/>
  <c r="E31" i="317"/>
  <c r="I280" i="317"/>
  <c r="I150" i="317"/>
  <c r="E153" i="317" s="1"/>
  <c r="C153" i="317"/>
  <c r="C240" i="317"/>
  <c r="E240" i="317" s="1"/>
  <c r="E231" i="317"/>
  <c r="I273" i="317"/>
  <c r="C31" i="317"/>
  <c r="E69" i="317"/>
  <c r="D244" i="317" s="1"/>
  <c r="N80" i="316"/>
  <c r="P80" i="316" s="1"/>
  <c r="N79" i="316"/>
  <c r="P79" i="316" s="1"/>
  <c r="N82" i="316"/>
  <c r="P82" i="316" s="1"/>
  <c r="P81" i="316" s="1"/>
  <c r="H24" i="316"/>
  <c r="H27" i="316" s="1"/>
  <c r="D27" i="316"/>
  <c r="H9" i="316"/>
  <c r="H12" i="316" s="1"/>
  <c r="D12" i="316"/>
  <c r="D22" i="316"/>
  <c r="H19" i="316"/>
  <c r="H22" i="316" s="1"/>
  <c r="B7" i="315"/>
  <c r="D27" i="315"/>
  <c r="H24" i="315"/>
  <c r="H27" i="315" s="1"/>
  <c r="H29" i="315"/>
  <c r="H32" i="315" s="1"/>
  <c r="D32" i="315"/>
  <c r="K32" i="315" s="1"/>
  <c r="D12" i="315"/>
  <c r="H9" i="315"/>
  <c r="H12" i="315" s="1"/>
  <c r="N80" i="315"/>
  <c r="P80" i="315" s="1"/>
  <c r="N79" i="315"/>
  <c r="P79" i="315" s="1"/>
  <c r="N82" i="315"/>
  <c r="P82" i="315" s="1"/>
  <c r="P81" i="315" s="1"/>
  <c r="E12" i="314"/>
  <c r="E65" i="314"/>
  <c r="I65" i="314" s="1"/>
  <c r="I269" i="314"/>
  <c r="F292" i="314"/>
  <c r="I258" i="314"/>
  <c r="I76" i="314"/>
  <c r="H77" i="314"/>
  <c r="H78" i="314" s="1"/>
  <c r="F291" i="314"/>
  <c r="C339" i="314"/>
  <c r="H339" i="314" s="1"/>
  <c r="C229" i="314"/>
  <c r="F96" i="314"/>
  <c r="I96" i="314" s="1"/>
  <c r="I265" i="314"/>
  <c r="E186" i="314"/>
  <c r="I186" i="314" s="1"/>
  <c r="E185" i="314"/>
  <c r="I185" i="314" s="1"/>
  <c r="C31" i="314"/>
  <c r="I77" i="314"/>
  <c r="C126" i="314"/>
  <c r="B250" i="314"/>
  <c r="B247" i="314"/>
  <c r="B248" i="314" s="1"/>
  <c r="B249" i="314" s="1"/>
  <c r="B251" i="314" s="1"/>
  <c r="B252" i="314" s="1"/>
  <c r="B253" i="314" s="1"/>
  <c r="B254" i="314" s="1"/>
  <c r="B255" i="314" s="1"/>
  <c r="B256" i="314" s="1"/>
  <c r="B257" i="314" s="1"/>
  <c r="B259" i="314" s="1"/>
  <c r="B260" i="314" s="1"/>
  <c r="B261" i="314" s="1"/>
  <c r="B262" i="314" s="1"/>
  <c r="B263" i="314" s="1"/>
  <c r="B264" i="314" s="1"/>
  <c r="I17" i="314"/>
  <c r="H18" i="314"/>
  <c r="C311" i="314"/>
  <c r="H311" i="314" s="1"/>
  <c r="H6" i="314"/>
  <c r="I280" i="314"/>
  <c r="I285" i="314"/>
  <c r="D15" i="314"/>
  <c r="D68" i="314"/>
  <c r="F14" i="314"/>
  <c r="D358" i="314" s="1"/>
  <c r="C225" i="314"/>
  <c r="F92" i="314"/>
  <c r="C119" i="314"/>
  <c r="I46" i="314"/>
  <c r="E193" i="314"/>
  <c r="I193" i="314" s="1"/>
  <c r="E192" i="314"/>
  <c r="I192" i="314" s="1"/>
  <c r="C153" i="314"/>
  <c r="I150" i="314"/>
  <c r="E153" i="314" s="1"/>
  <c r="I74" i="314"/>
  <c r="H75" i="314"/>
  <c r="I75" i="314" s="1"/>
  <c r="C237" i="314"/>
  <c r="E237" i="314" s="1"/>
  <c r="E228" i="314"/>
  <c r="I157" i="314"/>
  <c r="E163" i="314" s="1"/>
  <c r="C163" i="314"/>
  <c r="I273" i="314"/>
  <c r="C240" i="314"/>
  <c r="E240" i="314" s="1"/>
  <c r="E231" i="314"/>
  <c r="I143" i="314"/>
  <c r="E146" i="314" s="1"/>
  <c r="C146" i="314"/>
  <c r="E227" i="314"/>
  <c r="C236" i="314"/>
  <c r="E236" i="314" s="1"/>
  <c r="H12" i="314"/>
  <c r="I12" i="314"/>
  <c r="E112" i="313"/>
  <c r="F292" i="313"/>
  <c r="I285" i="313"/>
  <c r="E262" i="313"/>
  <c r="F145" i="313"/>
  <c r="I145" i="313" s="1"/>
  <c r="I86" i="313"/>
  <c r="C163" i="313"/>
  <c r="I157" i="313"/>
  <c r="E163" i="313" s="1"/>
  <c r="I71" i="313"/>
  <c r="F291" i="313"/>
  <c r="C339" i="313"/>
  <c r="H339" i="313" s="1"/>
  <c r="C228" i="313"/>
  <c r="F95" i="313"/>
  <c r="I95" i="313" s="1"/>
  <c r="I181" i="313"/>
  <c r="E184" i="313" s="1"/>
  <c r="C184" i="313"/>
  <c r="E227" i="313"/>
  <c r="C236" i="313"/>
  <c r="E236" i="313" s="1"/>
  <c r="E226" i="313"/>
  <c r="C235" i="313"/>
  <c r="E235" i="313" s="1"/>
  <c r="I72" i="313"/>
  <c r="I78" i="313"/>
  <c r="H290" i="313"/>
  <c r="I143" i="313"/>
  <c r="E146" i="313" s="1"/>
  <c r="C146" i="313"/>
  <c r="D15" i="313"/>
  <c r="J35" i="313" s="1"/>
  <c r="D68" i="313"/>
  <c r="F14" i="313"/>
  <c r="D358" i="313" s="1"/>
  <c r="I280" i="313"/>
  <c r="I80" i="313"/>
  <c r="I83" i="313"/>
  <c r="F150" i="313"/>
  <c r="H21" i="313"/>
  <c r="I21" i="313" s="1"/>
  <c r="I20" i="313"/>
  <c r="H11" i="313"/>
  <c r="I11" i="313" s="1"/>
  <c r="I10" i="313"/>
  <c r="I81" i="313"/>
  <c r="C311" i="313"/>
  <c r="H311" i="313" s="1"/>
  <c r="H6" i="313"/>
  <c r="I92" i="313"/>
  <c r="E193" i="313"/>
  <c r="I193" i="313" s="1"/>
  <c r="E192" i="313"/>
  <c r="I192" i="313" s="1"/>
  <c r="I85" i="313"/>
  <c r="I76" i="313"/>
  <c r="E270" i="313"/>
  <c r="I84" i="313"/>
  <c r="E127" i="313"/>
  <c r="I127" i="313" s="1"/>
  <c r="E128" i="313"/>
  <c r="I128" i="313" s="1"/>
  <c r="C327" i="313"/>
  <c r="C343" i="313"/>
  <c r="H343" i="313" s="1"/>
  <c r="H338" i="313"/>
  <c r="I258" i="313"/>
  <c r="I265" i="313"/>
  <c r="E283" i="313"/>
  <c r="C272" i="313"/>
  <c r="E272" i="313" s="1"/>
  <c r="F152" i="313"/>
  <c r="I152" i="313" s="1"/>
  <c r="I26" i="313"/>
  <c r="E31" i="313" s="1"/>
  <c r="C240" i="313"/>
  <c r="E240" i="313" s="1"/>
  <c r="E231" i="313"/>
  <c r="C323" i="313"/>
  <c r="E33" i="313"/>
  <c r="I33" i="313" s="1"/>
  <c r="E32" i="313"/>
  <c r="I32" i="313" s="1"/>
  <c r="I87" i="313"/>
  <c r="I77" i="313"/>
  <c r="E134" i="313"/>
  <c r="I134" i="313" s="1"/>
  <c r="E135" i="313"/>
  <c r="I135" i="313" s="1"/>
  <c r="B250" i="313"/>
  <c r="B247" i="313"/>
  <c r="B248" i="313" s="1"/>
  <c r="B249" i="313" s="1"/>
  <c r="B251" i="313" s="1"/>
  <c r="B252" i="313" s="1"/>
  <c r="B253" i="313" s="1"/>
  <c r="B254" i="313" s="1"/>
  <c r="B255" i="313" s="1"/>
  <c r="B256" i="313" s="1"/>
  <c r="B257" i="313" s="1"/>
  <c r="B259" i="313" s="1"/>
  <c r="B260" i="313" s="1"/>
  <c r="B261" i="313" s="1"/>
  <c r="B262" i="313" s="1"/>
  <c r="B263" i="313" s="1"/>
  <c r="B264" i="313" s="1"/>
  <c r="E113" i="313"/>
  <c r="E114" i="313"/>
  <c r="I114" i="313" s="1"/>
  <c r="I79" i="313"/>
  <c r="C229" i="313"/>
  <c r="F96" i="313"/>
  <c r="I96" i="313" s="1"/>
  <c r="I269" i="313"/>
  <c r="C329" i="313"/>
  <c r="E120" i="313"/>
  <c r="I120" i="313" s="1"/>
  <c r="E121" i="313"/>
  <c r="I121" i="313" s="1"/>
  <c r="E126" i="313"/>
  <c r="C241" i="313"/>
  <c r="E241" i="313" s="1"/>
  <c r="E232" i="313"/>
  <c r="C226" i="312"/>
  <c r="F93" i="312"/>
  <c r="I93" i="312" s="1"/>
  <c r="G217" i="312"/>
  <c r="D349" i="312"/>
  <c r="H349" i="312" s="1"/>
  <c r="H215" i="312" a="1"/>
  <c r="H215" i="312" s="1"/>
  <c r="I215" i="312" s="1"/>
  <c r="E220" i="312" s="1"/>
  <c r="I211" i="312"/>
  <c r="K116" i="312"/>
  <c r="E116" i="312" s="1"/>
  <c r="F108" i="312"/>
  <c r="B250" i="312"/>
  <c r="B247" i="312"/>
  <c r="B248" i="312" s="1"/>
  <c r="B249" i="312" s="1"/>
  <c r="B251" i="312" s="1"/>
  <c r="B252" i="312" s="1"/>
  <c r="B253" i="312" s="1"/>
  <c r="B254" i="312" s="1"/>
  <c r="B255" i="312" s="1"/>
  <c r="B256" i="312" s="1"/>
  <c r="B257" i="312" s="1"/>
  <c r="B259" i="312" s="1"/>
  <c r="B260" i="312" s="1"/>
  <c r="B261" i="312" s="1"/>
  <c r="B262" i="312" s="1"/>
  <c r="B263" i="312" s="1"/>
  <c r="B264" i="312" s="1"/>
  <c r="C126" i="312"/>
  <c r="C229" i="312"/>
  <c r="F96" i="312"/>
  <c r="I96" i="312" s="1"/>
  <c r="C343" i="312"/>
  <c r="H343" i="312" s="1"/>
  <c r="H338" i="312"/>
  <c r="C38" i="312"/>
  <c r="I35" i="312"/>
  <c r="E38" i="312" s="1"/>
  <c r="F291" i="312"/>
  <c r="C339" i="312"/>
  <c r="H339" i="312" s="1"/>
  <c r="I280" i="312"/>
  <c r="I161" i="312"/>
  <c r="E163" i="312" s="1"/>
  <c r="I258" i="312"/>
  <c r="E126" i="312"/>
  <c r="E284" i="312"/>
  <c r="E42" i="312"/>
  <c r="F42" i="312" s="1"/>
  <c r="F15" i="312"/>
  <c r="I15" i="312" s="1"/>
  <c r="I181" i="312"/>
  <c r="E184" i="312" s="1"/>
  <c r="E69" i="312"/>
  <c r="E57" i="312"/>
  <c r="I57" i="312" s="1"/>
  <c r="E58" i="312"/>
  <c r="I58" i="312" s="1"/>
  <c r="C231" i="312"/>
  <c r="F102" i="312"/>
  <c r="I102" i="312" s="1"/>
  <c r="C311" i="312"/>
  <c r="H311" i="312" s="1"/>
  <c r="H6" i="312"/>
  <c r="F14" i="312"/>
  <c r="D68" i="312"/>
  <c r="C230" i="312"/>
  <c r="F101" i="312"/>
  <c r="C31" i="312"/>
  <c r="I26" i="312"/>
  <c r="E31" i="312" s="1"/>
  <c r="E262" i="312"/>
  <c r="C270" i="312"/>
  <c r="E270" i="312" s="1"/>
  <c r="F150" i="312"/>
  <c r="C266" i="312"/>
  <c r="C236" i="312"/>
  <c r="E236" i="312" s="1"/>
  <c r="E227" i="312"/>
  <c r="C163" i="312"/>
  <c r="H21" i="312"/>
  <c r="I21" i="312" s="1"/>
  <c r="I20" i="312"/>
  <c r="C232" i="312"/>
  <c r="F103" i="312"/>
  <c r="I103" i="312" s="1"/>
  <c r="E283" i="312"/>
  <c r="C225" i="312"/>
  <c r="F92" i="312"/>
  <c r="H366" i="312"/>
  <c r="D387" i="312" s="1"/>
  <c r="I387" i="312" s="1"/>
  <c r="D362" i="312"/>
  <c r="H362" i="312" s="1"/>
  <c r="C268" i="312"/>
  <c r="E268" i="312" s="1"/>
  <c r="F145" i="312"/>
  <c r="I145" i="312" s="1"/>
  <c r="E58" i="311"/>
  <c r="I58" i="311" s="1"/>
  <c r="E48" i="311"/>
  <c r="E31" i="311"/>
  <c r="E50" i="311"/>
  <c r="I50" i="311" s="1"/>
  <c r="E49" i="311"/>
  <c r="I49" i="311" s="1"/>
  <c r="I35" i="311"/>
  <c r="E38" i="311" s="1"/>
  <c r="C38" i="311"/>
  <c r="H74" i="311"/>
  <c r="I73" i="311"/>
  <c r="C229" i="311"/>
  <c r="F96" i="311"/>
  <c r="I96" i="311" s="1"/>
  <c r="E164" i="311"/>
  <c r="I164" i="311" s="1"/>
  <c r="E165" i="311"/>
  <c r="D68" i="311"/>
  <c r="F14" i="311"/>
  <c r="C241" i="311"/>
  <c r="E241" i="311" s="1"/>
  <c r="E232" i="311"/>
  <c r="H161" i="311"/>
  <c r="I161" i="311" s="1"/>
  <c r="H162" i="311"/>
  <c r="H366" i="311"/>
  <c r="D387" i="311" s="1"/>
  <c r="I387" i="311" s="1"/>
  <c r="D362" i="311"/>
  <c r="H362" i="311" s="1"/>
  <c r="H215" i="311" a="1"/>
  <c r="H215" i="311" s="1"/>
  <c r="I215" i="311" s="1"/>
  <c r="E220" i="311" s="1"/>
  <c r="I211" i="311"/>
  <c r="C227" i="311"/>
  <c r="F94" i="311"/>
  <c r="I94" i="311" s="1"/>
  <c r="D137" i="311"/>
  <c r="E143" i="311"/>
  <c r="D266" i="311" s="1"/>
  <c r="I181" i="311"/>
  <c r="E184" i="311" s="1"/>
  <c r="C184" i="311"/>
  <c r="C230" i="311"/>
  <c r="F101" i="311"/>
  <c r="I78" i="311"/>
  <c r="I265" i="311"/>
  <c r="I76" i="311"/>
  <c r="I77" i="311"/>
  <c r="C268" i="311"/>
  <c r="E268" i="311" s="1"/>
  <c r="F145" i="311"/>
  <c r="I145" i="311" s="1"/>
  <c r="I190" i="311"/>
  <c r="E191" i="311" s="1"/>
  <c r="C191" i="311"/>
  <c r="E135" i="311"/>
  <c r="I135" i="311" s="1"/>
  <c r="E134" i="311"/>
  <c r="I134" i="311" s="1"/>
  <c r="C228" i="311"/>
  <c r="F95" i="311"/>
  <c r="I95" i="311" s="1"/>
  <c r="H82" i="311"/>
  <c r="I81" i="311"/>
  <c r="C225" i="311"/>
  <c r="F92" i="311"/>
  <c r="I79" i="311"/>
  <c r="I80" i="311"/>
  <c r="E253" i="311"/>
  <c r="I258" i="311" s="1"/>
  <c r="C282" i="311"/>
  <c r="E282" i="311" s="1"/>
  <c r="I160" i="311"/>
  <c r="C126" i="311"/>
  <c r="I123" i="311"/>
  <c r="E126" i="311" s="1"/>
  <c r="I280" i="311"/>
  <c r="B250" i="311"/>
  <c r="B247" i="311"/>
  <c r="B248" i="311" s="1"/>
  <c r="B249" i="311" s="1"/>
  <c r="B251" i="311" s="1"/>
  <c r="B252" i="311" s="1"/>
  <c r="B253" i="311" s="1"/>
  <c r="B254" i="311" s="1"/>
  <c r="B255" i="311" s="1"/>
  <c r="B256" i="311" s="1"/>
  <c r="B257" i="311" s="1"/>
  <c r="B259" i="311" s="1"/>
  <c r="B260" i="311" s="1"/>
  <c r="B261" i="311" s="1"/>
  <c r="B262" i="311" s="1"/>
  <c r="B263" i="311" s="1"/>
  <c r="B264" i="311" s="1"/>
  <c r="H18" i="311"/>
  <c r="I17" i="311"/>
  <c r="C31" i="311"/>
  <c r="I162" i="311"/>
  <c r="F291" i="311"/>
  <c r="C339" i="311"/>
  <c r="H339" i="311" s="1"/>
  <c r="F108" i="311"/>
  <c r="D116" i="311"/>
  <c r="I71" i="311"/>
  <c r="I72" i="311"/>
  <c r="I159" i="311"/>
  <c r="E284" i="311"/>
  <c r="C270" i="311"/>
  <c r="E270" i="311" s="1"/>
  <c r="F150" i="311"/>
  <c r="E204" i="310"/>
  <c r="F5" i="310"/>
  <c r="H5" i="310" s="1"/>
  <c r="I8" i="310"/>
  <c r="H309" i="310"/>
  <c r="I35" i="310"/>
  <c r="F37" i="310"/>
  <c r="I37" i="310" s="1"/>
  <c r="E103" i="310"/>
  <c r="D232" i="310" s="1"/>
  <c r="D241" i="310" s="1"/>
  <c r="H73" i="310"/>
  <c r="H74" i="310" s="1"/>
  <c r="H75" i="310" s="1"/>
  <c r="H71" i="310"/>
  <c r="H72" i="310" s="1"/>
  <c r="H76" i="310" s="1"/>
  <c r="H77" i="310" s="1"/>
  <c r="H78" i="310" s="1"/>
  <c r="H79" i="310" s="1"/>
  <c r="H80" i="310" s="1"/>
  <c r="H81" i="310" s="1"/>
  <c r="H82" i="310" s="1"/>
  <c r="H83" i="310" s="1"/>
  <c r="H84" i="310" s="1"/>
  <c r="H85" i="310" s="1"/>
  <c r="H86" i="310" s="1"/>
  <c r="H87" i="310" s="1"/>
  <c r="D271" i="310"/>
  <c r="F151" i="310"/>
  <c r="I151" i="310" s="1"/>
  <c r="C229" i="310"/>
  <c r="F96" i="310"/>
  <c r="I96" i="310" s="1"/>
  <c r="I47" i="310"/>
  <c r="E143" i="310"/>
  <c r="D266" i="310" s="1"/>
  <c r="D137" i="310"/>
  <c r="E133" i="310"/>
  <c r="C231" i="310"/>
  <c r="F102" i="310"/>
  <c r="I102" i="310" s="1"/>
  <c r="I45" i="310"/>
  <c r="G217" i="310"/>
  <c r="D349" i="310"/>
  <c r="H349" i="310" s="1"/>
  <c r="I10" i="310"/>
  <c r="E135" i="310"/>
  <c r="I135" i="310" s="1"/>
  <c r="E134" i="310"/>
  <c r="I134" i="310" s="1"/>
  <c r="I111" i="310"/>
  <c r="I123" i="310"/>
  <c r="H162" i="310"/>
  <c r="I162" i="310" s="1"/>
  <c r="H161" i="310"/>
  <c r="I42" i="310"/>
  <c r="C48" i="310"/>
  <c r="C232" i="310"/>
  <c r="I46" i="310"/>
  <c r="I52" i="310"/>
  <c r="C56" i="310"/>
  <c r="F27" i="310"/>
  <c r="I27" i="310" s="1"/>
  <c r="E93" i="310"/>
  <c r="D226" i="310" s="1"/>
  <c r="D235" i="310" s="1"/>
  <c r="B243" i="310"/>
  <c r="B244" i="310" s="1"/>
  <c r="B245" i="310" s="1"/>
  <c r="B246" i="310" s="1"/>
  <c r="B241" i="310"/>
  <c r="E228" i="310"/>
  <c r="E270" i="310"/>
  <c r="F161" i="310"/>
  <c r="F6" i="310"/>
  <c r="C332" i="310" a="1"/>
  <c r="C332" i="310" s="1"/>
  <c r="H332" i="310" s="1"/>
  <c r="C294" i="310"/>
  <c r="E245" i="310"/>
  <c r="F76" i="310"/>
  <c r="I76" i="310" s="1"/>
  <c r="E254" i="310"/>
  <c r="E263" i="310"/>
  <c r="D108" i="310"/>
  <c r="F124" i="310"/>
  <c r="I124" i="310" s="1"/>
  <c r="I190" i="310"/>
  <c r="E191" i="310" s="1"/>
  <c r="C237" i="310"/>
  <c r="E237" i="310" s="1"/>
  <c r="F71" i="310"/>
  <c r="G213" i="310"/>
  <c r="I213" i="310" s="1"/>
  <c r="F36" i="310"/>
  <c r="I36" i="310" s="1"/>
  <c r="H55" i="310"/>
  <c r="I55" i="310" s="1"/>
  <c r="F73" i="310"/>
  <c r="I73" i="310" s="1"/>
  <c r="F81" i="310"/>
  <c r="I81" i="310" s="1"/>
  <c r="C235" i="310"/>
  <c r="F94" i="310"/>
  <c r="I94" i="310" s="1"/>
  <c r="F150" i="310"/>
  <c r="C215" i="310" a="1"/>
  <c r="C215" i="310" s="1"/>
  <c r="C220" i="310"/>
  <c r="C221" i="310" s="1"/>
  <c r="F242" i="310"/>
  <c r="H290" i="310"/>
  <c r="K68" i="310"/>
  <c r="E68" i="310" s="1"/>
  <c r="D243" i="310" s="1"/>
  <c r="I9" i="310"/>
  <c r="I17" i="310"/>
  <c r="F26" i="310"/>
  <c r="I29" i="310"/>
  <c r="F70" i="310"/>
  <c r="I70" i="310" s="1"/>
  <c r="F78" i="310"/>
  <c r="F86" i="310"/>
  <c r="F160" i="310"/>
  <c r="I160" i="310" s="1"/>
  <c r="C277" i="310"/>
  <c r="E277" i="310" s="1"/>
  <c r="E179" i="310"/>
  <c r="I179" i="310" s="1"/>
  <c r="G211" i="310"/>
  <c r="D346" i="310"/>
  <c r="H345" i="310"/>
  <c r="D366" i="310"/>
  <c r="F366" i="310" s="1"/>
  <c r="F79" i="310"/>
  <c r="E236" i="310"/>
  <c r="C338" i="310"/>
  <c r="D381" i="310"/>
  <c r="I381" i="310" s="1"/>
  <c r="I26" i="310"/>
  <c r="F75" i="310"/>
  <c r="I75" i="310" s="1"/>
  <c r="E253" i="310"/>
  <c r="C282" i="310"/>
  <c r="E282" i="310" s="1"/>
  <c r="F83" i="310"/>
  <c r="I83" i="310" s="1"/>
  <c r="F93" i="310"/>
  <c r="I93" i="310" s="1"/>
  <c r="F152" i="310"/>
  <c r="I152" i="310" s="1"/>
  <c r="C272" i="310"/>
  <c r="E272" i="310" s="1"/>
  <c r="D144" i="310"/>
  <c r="F145" i="310"/>
  <c r="I145" i="310" s="1"/>
  <c r="E177" i="310"/>
  <c r="E193" i="310"/>
  <c r="I193" i="310" s="1"/>
  <c r="G212" i="310"/>
  <c r="I212" i="310" s="1"/>
  <c r="D261" i="310"/>
  <c r="D283" i="310"/>
  <c r="F87" i="310"/>
  <c r="F95" i="310"/>
  <c r="I95" i="310" s="1"/>
  <c r="G214" i="310"/>
  <c r="I214" i="310" s="1"/>
  <c r="F72" i="310"/>
  <c r="I72" i="310" s="1"/>
  <c r="F80" i="310"/>
  <c r="D262" i="310"/>
  <c r="E262" i="310" s="1"/>
  <c r="D284" i="310"/>
  <c r="E284" i="310" s="1"/>
  <c r="D92" i="310"/>
  <c r="D101" i="310"/>
  <c r="F158" i="310"/>
  <c r="I158" i="310" s="1"/>
  <c r="D181" i="310"/>
  <c r="F265" i="310"/>
  <c r="F74" i="310"/>
  <c r="I74" i="310" s="1"/>
  <c r="C281" i="310"/>
  <c r="E281" i="310" s="1"/>
  <c r="E252" i="310"/>
  <c r="F82" i="310"/>
  <c r="C261" i="310"/>
  <c r="C283" i="310"/>
  <c r="E283" i="310" s="1"/>
  <c r="E271" i="310"/>
  <c r="E227" i="310"/>
  <c r="F233" i="310"/>
  <c r="S385" i="310"/>
  <c r="U385" i="310" s="1"/>
  <c r="U384" i="310" s="1"/>
  <c r="C317" i="310"/>
  <c r="S388" i="310"/>
  <c r="U388" i="310" s="1"/>
  <c r="U387" i="310" s="1"/>
  <c r="C274" i="310"/>
  <c r="E274" i="310" s="1"/>
  <c r="C315" i="310"/>
  <c r="H315" i="310" s="1"/>
  <c r="H4" i="309"/>
  <c r="C338" i="309"/>
  <c r="C343" i="309" s="1"/>
  <c r="H343" i="309" s="1"/>
  <c r="D347" i="309"/>
  <c r="H347" i="309" s="1"/>
  <c r="H346" i="309"/>
  <c r="H345" i="309"/>
  <c r="C191" i="309"/>
  <c r="E192" i="309" s="1"/>
  <c r="I192" i="309" s="1"/>
  <c r="C310" i="309"/>
  <c r="H310" i="309" s="1"/>
  <c r="C317" i="309"/>
  <c r="E12" i="309"/>
  <c r="C12" i="309"/>
  <c r="F103" i="309"/>
  <c r="I103" i="309" s="1"/>
  <c r="C232" i="309"/>
  <c r="C268" i="309"/>
  <c r="H162" i="309"/>
  <c r="I162" i="309" s="1"/>
  <c r="H161" i="309"/>
  <c r="I45" i="309"/>
  <c r="I55" i="309"/>
  <c r="C266" i="309"/>
  <c r="E266" i="309" s="1"/>
  <c r="F143" i="309"/>
  <c r="I118" i="309"/>
  <c r="I132" i="309"/>
  <c r="B243" i="309"/>
  <c r="B244" i="309" s="1"/>
  <c r="B245" i="309" s="1"/>
  <c r="B246" i="309" s="1"/>
  <c r="B241" i="309"/>
  <c r="I18" i="309"/>
  <c r="H19" i="309"/>
  <c r="H20" i="309" s="1"/>
  <c r="H21" i="309" s="1"/>
  <c r="I21" i="309" s="1"/>
  <c r="E133" i="309"/>
  <c r="C126" i="309"/>
  <c r="I123" i="309"/>
  <c r="C228" i="309"/>
  <c r="F95" i="309"/>
  <c r="I95" i="309" s="1"/>
  <c r="I111" i="309"/>
  <c r="C272" i="309"/>
  <c r="E272" i="309" s="1"/>
  <c r="F152" i="309"/>
  <c r="I152" i="309" s="1"/>
  <c r="E135" i="309"/>
  <c r="I135" i="309" s="1"/>
  <c r="E134" i="309"/>
  <c r="I134" i="309" s="1"/>
  <c r="I12" i="309"/>
  <c r="H12" i="309"/>
  <c r="C226" i="309"/>
  <c r="F93" i="309"/>
  <c r="I93" i="309" s="1"/>
  <c r="C229" i="309"/>
  <c r="F96" i="309"/>
  <c r="I96" i="309" s="1"/>
  <c r="C231" i="309"/>
  <c r="F102" i="309"/>
  <c r="I102" i="309" s="1"/>
  <c r="I46" i="309"/>
  <c r="H366" i="309"/>
  <c r="D387" i="309" s="1"/>
  <c r="I387" i="309" s="1"/>
  <c r="D362" i="309"/>
  <c r="H362" i="309" s="1"/>
  <c r="H73" i="309"/>
  <c r="H74" i="309" s="1"/>
  <c r="H75" i="309" s="1"/>
  <c r="H71" i="309"/>
  <c r="H72" i="309" s="1"/>
  <c r="E114" i="309"/>
  <c r="I114" i="309" s="1"/>
  <c r="E113" i="309"/>
  <c r="C270" i="309"/>
  <c r="F150" i="309"/>
  <c r="E141" i="309"/>
  <c r="I141" i="309" s="1"/>
  <c r="E140" i="309"/>
  <c r="I140" i="309" s="1"/>
  <c r="E193" i="309"/>
  <c r="I193" i="309" s="1"/>
  <c r="F291" i="309"/>
  <c r="E264" i="309"/>
  <c r="E14" i="309"/>
  <c r="I30" i="309"/>
  <c r="F37" i="309"/>
  <c r="I37" i="309" s="1"/>
  <c r="F71" i="309"/>
  <c r="F79" i="309"/>
  <c r="E257" i="309"/>
  <c r="D261" i="309"/>
  <c r="E261" i="309" s="1"/>
  <c r="D283" i="309"/>
  <c r="D94" i="309"/>
  <c r="I137" i="309"/>
  <c r="E139" i="309" s="1"/>
  <c r="F269" i="309"/>
  <c r="F151" i="309"/>
  <c r="I151" i="309" s="1"/>
  <c r="F161" i="309"/>
  <c r="I161" i="309" s="1"/>
  <c r="H287" i="309"/>
  <c r="E308" i="309"/>
  <c r="C281" i="309"/>
  <c r="E281" i="309" s="1"/>
  <c r="E252" i="309"/>
  <c r="C332" i="309" a="1"/>
  <c r="C332" i="309" s="1"/>
  <c r="H332" i="309" s="1"/>
  <c r="C294" i="309"/>
  <c r="F29" i="309"/>
  <c r="F76" i="309"/>
  <c r="F84" i="309"/>
  <c r="F116" i="309"/>
  <c r="E145" i="309"/>
  <c r="D268" i="309" s="1"/>
  <c r="E150" i="309"/>
  <c r="D270" i="309" s="1"/>
  <c r="G212" i="309"/>
  <c r="I212" i="309" s="1"/>
  <c r="C283" i="309"/>
  <c r="J48" i="309"/>
  <c r="F73" i="309"/>
  <c r="I73" i="309" s="1"/>
  <c r="F81" i="309"/>
  <c r="I108" i="309"/>
  <c r="E112" i="309" s="1"/>
  <c r="F160" i="309"/>
  <c r="I160" i="309" s="1"/>
  <c r="C277" i="309"/>
  <c r="E277" i="309" s="1"/>
  <c r="E177" i="309"/>
  <c r="F26" i="309"/>
  <c r="C31" i="309" s="1"/>
  <c r="I29" i="309"/>
  <c r="F36" i="309"/>
  <c r="I36" i="309" s="1"/>
  <c r="F70" i="309"/>
  <c r="I70" i="309" s="1"/>
  <c r="F78" i="309"/>
  <c r="F86" i="309"/>
  <c r="F125" i="309"/>
  <c r="I125" i="309" s="1"/>
  <c r="F273" i="309"/>
  <c r="F158" i="309"/>
  <c r="I171" i="309"/>
  <c r="D181" i="309"/>
  <c r="D284" i="309"/>
  <c r="H318" i="309"/>
  <c r="F6" i="309"/>
  <c r="G213" i="309"/>
  <c r="I213" i="309" s="1"/>
  <c r="F5" i="309"/>
  <c r="H5" i="309" s="1"/>
  <c r="D381" i="309"/>
  <c r="I381" i="309" s="1"/>
  <c r="F75" i="309"/>
  <c r="I75" i="309" s="1"/>
  <c r="E253" i="309"/>
  <c r="C282" i="309"/>
  <c r="E282" i="309" s="1"/>
  <c r="F83" i="309"/>
  <c r="C262" i="309"/>
  <c r="E262" i="309" s="1"/>
  <c r="C284" i="309"/>
  <c r="F144" i="309"/>
  <c r="I144" i="309" s="1"/>
  <c r="C274" i="309"/>
  <c r="E274" i="309" s="1"/>
  <c r="E191" i="309"/>
  <c r="E199" i="309"/>
  <c r="D344" i="309"/>
  <c r="H344" i="309" s="1"/>
  <c r="C315" i="309"/>
  <c r="H315" i="309" s="1"/>
  <c r="C215" i="309" a="1"/>
  <c r="C215" i="309" s="1"/>
  <c r="G217" i="309"/>
  <c r="H289" i="309"/>
  <c r="D14" i="309"/>
  <c r="J35" i="309" s="1"/>
  <c r="E249" i="309"/>
  <c r="E259" i="309"/>
  <c r="D92" i="309"/>
  <c r="E246" i="309"/>
  <c r="E255" i="309"/>
  <c r="E92" i="309"/>
  <c r="D225" i="309" s="1"/>
  <c r="D234" i="309" s="1"/>
  <c r="E271" i="309"/>
  <c r="C276" i="309"/>
  <c r="E276" i="309" s="1"/>
  <c r="F159" i="309"/>
  <c r="I159" i="309" s="1"/>
  <c r="E278" i="309"/>
  <c r="E178" i="309"/>
  <c r="I178" i="309" s="1"/>
  <c r="E179" i="309"/>
  <c r="I179" i="309" s="1"/>
  <c r="H305" i="309"/>
  <c r="H308" i="309" s="1"/>
  <c r="S385" i="309"/>
  <c r="U385" i="309" s="1"/>
  <c r="U384" i="309" s="1"/>
  <c r="S388" i="309"/>
  <c r="U388" i="309" s="1"/>
  <c r="U387" i="309" s="1"/>
  <c r="F234" i="309"/>
  <c r="F242" i="309" s="1"/>
  <c r="H358" i="309"/>
  <c r="E143" i="308"/>
  <c r="D266" i="308" s="1"/>
  <c r="E204" i="308"/>
  <c r="C215" i="308" s="1" a="1"/>
  <c r="C215" i="308" s="1"/>
  <c r="H309" i="308"/>
  <c r="I42" i="308"/>
  <c r="C48" i="308"/>
  <c r="H12" i="308"/>
  <c r="I12" i="308"/>
  <c r="I45" i="308"/>
  <c r="I76" i="308"/>
  <c r="I35" i="308"/>
  <c r="C191" i="308"/>
  <c r="I190" i="308"/>
  <c r="C332" i="308" a="1"/>
  <c r="C332" i="308" s="1"/>
  <c r="H332" i="308" s="1"/>
  <c r="C294" i="308"/>
  <c r="G212" i="308"/>
  <c r="I212" i="308" s="1"/>
  <c r="D92" i="308"/>
  <c r="F26" i="308"/>
  <c r="I26" i="308" s="1"/>
  <c r="C254" i="308"/>
  <c r="E254" i="308" s="1"/>
  <c r="F78" i="308"/>
  <c r="I78" i="308" s="1"/>
  <c r="C232" i="308"/>
  <c r="F103" i="308"/>
  <c r="I103" i="308" s="1"/>
  <c r="F117" i="308"/>
  <c r="I117" i="308" s="1"/>
  <c r="D144" i="308"/>
  <c r="I160" i="308"/>
  <c r="H162" i="308"/>
  <c r="C246" i="308"/>
  <c r="E246" i="308" s="1"/>
  <c r="F71" i="308"/>
  <c r="I71" i="308" s="1"/>
  <c r="C281" i="308"/>
  <c r="E281" i="308" s="1"/>
  <c r="E252" i="308"/>
  <c r="C263" i="308"/>
  <c r="E263" i="308" s="1"/>
  <c r="F86" i="308"/>
  <c r="I86" i="308" s="1"/>
  <c r="F96" i="308"/>
  <c r="I96" i="308" s="1"/>
  <c r="C275" i="308"/>
  <c r="E275" i="308" s="1"/>
  <c r="F158" i="308"/>
  <c r="I158" i="308" s="1"/>
  <c r="C226" i="308"/>
  <c r="F93" i="308"/>
  <c r="I93" i="308" s="1"/>
  <c r="F37" i="308"/>
  <c r="I37" i="308" s="1"/>
  <c r="C255" i="308"/>
  <c r="E255" i="308" s="1"/>
  <c r="F79" i="308"/>
  <c r="I79" i="308" s="1"/>
  <c r="C261" i="308"/>
  <c r="C283" i="308"/>
  <c r="E236" i="308"/>
  <c r="I84" i="308"/>
  <c r="D272" i="308"/>
  <c r="F152" i="308"/>
  <c r="I152" i="308" s="1"/>
  <c r="H161" i="308"/>
  <c r="I168" i="308"/>
  <c r="H169" i="308"/>
  <c r="I169" i="308" s="1"/>
  <c r="C264" i="308"/>
  <c r="E264" i="308" s="1"/>
  <c r="F87" i="308"/>
  <c r="I87" i="308" s="1"/>
  <c r="D181" i="308"/>
  <c r="F217" i="308"/>
  <c r="F27" i="308"/>
  <c r="F74" i="308"/>
  <c r="I74" i="308" s="1"/>
  <c r="C238" i="308"/>
  <c r="E238" i="308" s="1"/>
  <c r="E229" i="308"/>
  <c r="D102" i="308"/>
  <c r="F36" i="308"/>
  <c r="I36" i="308" s="1"/>
  <c r="I54" i="308"/>
  <c r="F82" i="308"/>
  <c r="I82" i="308" s="1"/>
  <c r="F151" i="308"/>
  <c r="I151" i="308" s="1"/>
  <c r="B243" i="308"/>
  <c r="B244" i="308" s="1"/>
  <c r="B245" i="308" s="1"/>
  <c r="B246" i="308" s="1"/>
  <c r="B241" i="308"/>
  <c r="F29" i="308"/>
  <c r="I29" i="308" s="1"/>
  <c r="F6" i="308"/>
  <c r="I27" i="308"/>
  <c r="I52" i="308"/>
  <c r="I55" i="308"/>
  <c r="I77" i="308"/>
  <c r="C228" i="308"/>
  <c r="F95" i="308"/>
  <c r="I95" i="308" s="1"/>
  <c r="C139" i="308"/>
  <c r="I137" i="308"/>
  <c r="E139" i="308" s="1"/>
  <c r="I123" i="308"/>
  <c r="E126" i="308" s="1"/>
  <c r="I159" i="308"/>
  <c r="E12" i="308"/>
  <c r="I17" i="308"/>
  <c r="H21" i="308"/>
  <c r="I21" i="308" s="1"/>
  <c r="I53" i="308"/>
  <c r="E64" i="308"/>
  <c r="C245" i="308"/>
  <c r="E245" i="308" s="1"/>
  <c r="F70" i="308"/>
  <c r="I70" i="308" s="1"/>
  <c r="I85" i="308"/>
  <c r="E271" i="308"/>
  <c r="E133" i="308"/>
  <c r="C133" i="308"/>
  <c r="I131" i="308"/>
  <c r="H183" i="308"/>
  <c r="I183" i="308" s="1"/>
  <c r="I182" i="308"/>
  <c r="I19" i="308"/>
  <c r="E68" i="308"/>
  <c r="D243" i="308" s="1"/>
  <c r="I46" i="308"/>
  <c r="G213" i="308"/>
  <c r="I213" i="308" s="1"/>
  <c r="I44" i="308"/>
  <c r="E249" i="308"/>
  <c r="F73" i="308"/>
  <c r="I73" i="308" s="1"/>
  <c r="E251" i="308"/>
  <c r="F81" i="308"/>
  <c r="I81" i="308" s="1"/>
  <c r="E260" i="308"/>
  <c r="D150" i="308"/>
  <c r="E277" i="308"/>
  <c r="E279" i="308"/>
  <c r="E191" i="308"/>
  <c r="E227" i="308"/>
  <c r="F269" i="308"/>
  <c r="D145" i="308"/>
  <c r="F233" i="308"/>
  <c r="C12" i="308"/>
  <c r="E66" i="308"/>
  <c r="I66" i="308" s="1"/>
  <c r="F75" i="308"/>
  <c r="I75" i="308" s="1"/>
  <c r="E253" i="308"/>
  <c r="C282" i="308"/>
  <c r="E282" i="308" s="1"/>
  <c r="F83" i="308"/>
  <c r="I83" i="308" s="1"/>
  <c r="E272" i="308"/>
  <c r="F162" i="308"/>
  <c r="I162" i="308" s="1"/>
  <c r="C284" i="308"/>
  <c r="F366" i="308"/>
  <c r="F5" i="308"/>
  <c r="H5" i="308" s="1"/>
  <c r="D381" i="308"/>
  <c r="I381" i="308" s="1"/>
  <c r="G214" i="308"/>
  <c r="I214" i="308" s="1"/>
  <c r="F72" i="308"/>
  <c r="I72" i="308" s="1"/>
  <c r="F80" i="308"/>
  <c r="I80" i="308" s="1"/>
  <c r="D262" i="308"/>
  <c r="E262" i="308" s="1"/>
  <c r="D284" i="308"/>
  <c r="D101" i="308"/>
  <c r="F273" i="308"/>
  <c r="E276" i="308"/>
  <c r="G211" i="308"/>
  <c r="F234" i="308"/>
  <c r="F242" i="308" s="1"/>
  <c r="E177" i="308"/>
  <c r="C278" i="308"/>
  <c r="E278" i="308" s="1"/>
  <c r="F161" i="308"/>
  <c r="D346" i="308"/>
  <c r="H345" i="308"/>
  <c r="E248" i="308"/>
  <c r="E257" i="308"/>
  <c r="D261" i="308"/>
  <c r="D283" i="308"/>
  <c r="I157" i="308"/>
  <c r="I175" i="308"/>
  <c r="C220" i="308"/>
  <c r="C221" i="308" s="1"/>
  <c r="F250" i="308"/>
  <c r="C338" i="308" s="1"/>
  <c r="G287" i="308"/>
  <c r="H287" i="308" s="1"/>
  <c r="G289" i="308"/>
  <c r="H289" i="308" s="1"/>
  <c r="S385" i="308"/>
  <c r="U385" i="308" s="1"/>
  <c r="U384" i="308" s="1"/>
  <c r="C317" i="308"/>
  <c r="S388" i="308"/>
  <c r="U388" i="308" s="1"/>
  <c r="U387" i="308" s="1"/>
  <c r="C274" i="308"/>
  <c r="E274" i="308" s="1"/>
  <c r="C315" i="308"/>
  <c r="H315" i="308" s="1"/>
  <c r="J23" i="291"/>
  <c r="E123" i="307"/>
  <c r="G121" i="307"/>
  <c r="E120" i="307"/>
  <c r="H120" i="307" s="1"/>
  <c r="H124" i="307" s="1"/>
  <c r="D119" i="307"/>
  <c r="E118" i="307"/>
  <c r="H118" i="307" s="1"/>
  <c r="H117" i="307"/>
  <c r="H116" i="307"/>
  <c r="H115" i="307"/>
  <c r="F115" i="307"/>
  <c r="F114" i="307"/>
  <c r="F113" i="307"/>
  <c r="E112" i="307"/>
  <c r="E73" i="307" s="1"/>
  <c r="E108" i="307"/>
  <c r="G107" i="307"/>
  <c r="E107" i="307"/>
  <c r="E106" i="307"/>
  <c r="H106" i="307" s="1"/>
  <c r="O105" i="307"/>
  <c r="M103" i="307"/>
  <c r="N103" i="307" s="1"/>
  <c r="H100" i="307"/>
  <c r="H99" i="307"/>
  <c r="C99" i="307"/>
  <c r="G98" i="307"/>
  <c r="H96" i="307"/>
  <c r="M92" i="307"/>
  <c r="N92" i="307" s="1"/>
  <c r="E92" i="307"/>
  <c r="H92" i="307" s="1"/>
  <c r="H91" i="307"/>
  <c r="E105" i="307"/>
  <c r="H105" i="307" s="1"/>
  <c r="H89" i="307"/>
  <c r="E88" i="307"/>
  <c r="M87" i="307"/>
  <c r="N87" i="307" s="1"/>
  <c r="G87" i="307"/>
  <c r="G86" i="307"/>
  <c r="G88" i="307" s="1"/>
  <c r="E86" i="307"/>
  <c r="E102" i="307" s="1"/>
  <c r="H102" i="307" s="1"/>
  <c r="N85" i="307"/>
  <c r="M85" i="307"/>
  <c r="E85" i="307"/>
  <c r="H85" i="307" s="1"/>
  <c r="E83" i="307"/>
  <c r="N76" i="307"/>
  <c r="M76" i="307"/>
  <c r="E75" i="307"/>
  <c r="E74" i="307"/>
  <c r="A73" i="307"/>
  <c r="D70" i="307"/>
  <c r="D68" i="307"/>
  <c r="D69" i="307" s="1"/>
  <c r="G65" i="307"/>
  <c r="E65" i="307"/>
  <c r="A65" i="307"/>
  <c r="J64" i="307"/>
  <c r="F63" i="307"/>
  <c r="C62" i="307"/>
  <c r="C61" i="307"/>
  <c r="G60" i="307"/>
  <c r="G61" i="307" s="1"/>
  <c r="F60" i="307"/>
  <c r="E60" i="307"/>
  <c r="D60" i="307"/>
  <c r="C60" i="307"/>
  <c r="F58" i="307"/>
  <c r="G57" i="307"/>
  <c r="E57" i="307"/>
  <c r="E62" i="307" s="1"/>
  <c r="G56" i="307"/>
  <c r="E56" i="307"/>
  <c r="H55" i="307"/>
  <c r="F53" i="307"/>
  <c r="G52" i="307"/>
  <c r="E52" i="307"/>
  <c r="G51" i="307"/>
  <c r="E51" i="307"/>
  <c r="C50" i="307"/>
  <c r="H50" i="307" s="1"/>
  <c r="F48" i="307"/>
  <c r="G47" i="307"/>
  <c r="E47" i="307"/>
  <c r="G46" i="307"/>
  <c r="H46" i="307" s="1"/>
  <c r="E46" i="307"/>
  <c r="E48" i="307" s="1"/>
  <c r="H45" i="307"/>
  <c r="F43" i="307"/>
  <c r="E43" i="307"/>
  <c r="G42" i="307"/>
  <c r="H42" i="307" s="1"/>
  <c r="G41" i="307"/>
  <c r="H41" i="307" s="1"/>
  <c r="H40" i="307"/>
  <c r="B38" i="307"/>
  <c r="G36" i="307"/>
  <c r="F36" i="307"/>
  <c r="E36" i="307"/>
  <c r="D36" i="307"/>
  <c r="C36" i="307"/>
  <c r="G35" i="307"/>
  <c r="F35" i="307"/>
  <c r="E35" i="307"/>
  <c r="D35" i="307"/>
  <c r="F34" i="307"/>
  <c r="E34" i="307"/>
  <c r="D34" i="307"/>
  <c r="C34" i="307"/>
  <c r="G31" i="307"/>
  <c r="F31" i="307"/>
  <c r="E31" i="307"/>
  <c r="D31" i="307"/>
  <c r="C31" i="307"/>
  <c r="G30" i="307"/>
  <c r="F30" i="307"/>
  <c r="E30" i="307"/>
  <c r="D30" i="307"/>
  <c r="F29" i="307"/>
  <c r="E29" i="307"/>
  <c r="D29" i="307"/>
  <c r="C29" i="307"/>
  <c r="B27" i="307"/>
  <c r="F25" i="307"/>
  <c r="D25" i="307"/>
  <c r="C25" i="307"/>
  <c r="G24" i="307"/>
  <c r="G25" i="307" s="1"/>
  <c r="F24" i="307"/>
  <c r="D24" i="307"/>
  <c r="F23" i="307"/>
  <c r="D23" i="307"/>
  <c r="C23" i="307"/>
  <c r="H23" i="307" s="1"/>
  <c r="F20" i="307"/>
  <c r="D20" i="307"/>
  <c r="F19" i="307"/>
  <c r="D19" i="307"/>
  <c r="C19" i="307"/>
  <c r="G18" i="307"/>
  <c r="G19" i="307" s="1"/>
  <c r="D18" i="307"/>
  <c r="C18" i="307"/>
  <c r="H18" i="307" s="1"/>
  <c r="B16" i="307"/>
  <c r="F15" i="307"/>
  <c r="E15" i="307"/>
  <c r="G14" i="307"/>
  <c r="H14" i="307" s="1"/>
  <c r="G13" i="307"/>
  <c r="H13" i="307" s="1"/>
  <c r="H12" i="307"/>
  <c r="B10" i="307"/>
  <c r="F9" i="307"/>
  <c r="G8" i="307"/>
  <c r="H8" i="307" s="1"/>
  <c r="G7" i="307"/>
  <c r="C7" i="307"/>
  <c r="E81" i="307" s="1"/>
  <c r="H6" i="307"/>
  <c r="R3" i="307"/>
  <c r="H3" i="307"/>
  <c r="E104" i="307"/>
  <c r="H104" i="307" s="1"/>
  <c r="B3" i="307" a="1"/>
  <c r="B3" i="307" s="1"/>
  <c r="AE128" i="307" s="1"/>
  <c r="D54" i="306"/>
  <c r="P76" i="306"/>
  <c r="P75" i="306"/>
  <c r="P74" i="306"/>
  <c r="N73" i="306"/>
  <c r="P73" i="306" s="1"/>
  <c r="P71" i="306"/>
  <c r="O70" i="306"/>
  <c r="P70" i="306" s="1"/>
  <c r="E55" i="306"/>
  <c r="B48" i="306"/>
  <c r="D4" i="306"/>
  <c r="D24" i="306" s="1"/>
  <c r="C4" i="306"/>
  <c r="C9" i="306" s="1"/>
  <c r="C19" i="306" s="1"/>
  <c r="B3" i="306"/>
  <c r="M64" i="306" s="1"/>
  <c r="E3" i="306"/>
  <c r="G3" i="306" s="1"/>
  <c r="D62" i="306" s="1"/>
  <c r="L3" i="306"/>
  <c r="L4" i="306"/>
  <c r="F6" i="306" s="1"/>
  <c r="L5" i="306"/>
  <c r="B6" i="306"/>
  <c r="D6" i="306"/>
  <c r="L6" i="306"/>
  <c r="E10" i="306"/>
  <c r="H10" i="306" s="1"/>
  <c r="G10" i="306"/>
  <c r="E11" i="306"/>
  <c r="H11" i="306" s="1"/>
  <c r="G11" i="306"/>
  <c r="F12" i="306"/>
  <c r="B14" i="306"/>
  <c r="E14" i="306"/>
  <c r="G14" i="306"/>
  <c r="G15" i="306" s="1"/>
  <c r="E15" i="306"/>
  <c r="C16" i="306"/>
  <c r="F17" i="306"/>
  <c r="J17" i="306"/>
  <c r="F20" i="306"/>
  <c r="G20" i="306"/>
  <c r="F21" i="306"/>
  <c r="G21" i="306"/>
  <c r="G25" i="306"/>
  <c r="H25" i="306" s="1"/>
  <c r="G26" i="306"/>
  <c r="H26" i="306" s="1"/>
  <c r="G30" i="306"/>
  <c r="H30" i="306" s="1"/>
  <c r="G31" i="306"/>
  <c r="H31" i="306" s="1"/>
  <c r="H34" i="306"/>
  <c r="G35" i="306"/>
  <c r="H35" i="306" s="1"/>
  <c r="G36" i="306"/>
  <c r="H36" i="306" s="1"/>
  <c r="D37" i="306"/>
  <c r="K37" i="306" s="1"/>
  <c r="F41" i="306"/>
  <c r="H41" i="306" s="1"/>
  <c r="C42" i="306"/>
  <c r="F42" i="306"/>
  <c r="H42" i="306" s="1"/>
  <c r="H43" i="306"/>
  <c r="H44" i="306"/>
  <c r="H45" i="306"/>
  <c r="H46" i="306"/>
  <c r="H47" i="306"/>
  <c r="G50" i="306"/>
  <c r="C51" i="306"/>
  <c r="G51" i="306" s="1"/>
  <c r="G53" i="306"/>
  <c r="B54" i="306"/>
  <c r="B55" i="306"/>
  <c r="I62" i="306"/>
  <c r="H52" i="307" l="1"/>
  <c r="H47" i="307"/>
  <c r="H48" i="307"/>
  <c r="H56" i="307"/>
  <c r="D64" i="331"/>
  <c r="D64" i="327"/>
  <c r="F37" i="307"/>
  <c r="H51" i="307"/>
  <c r="F32" i="307"/>
  <c r="I218" i="334"/>
  <c r="G218" i="334" s="1"/>
  <c r="I219" i="334"/>
  <c r="G253" i="334"/>
  <c r="H252" i="334"/>
  <c r="E20" i="306"/>
  <c r="H20" i="306" s="1"/>
  <c r="Q66" i="306"/>
  <c r="N80" i="306" s="1"/>
  <c r="P80" i="306" s="1"/>
  <c r="H15" i="306"/>
  <c r="C24" i="306"/>
  <c r="D17" i="316"/>
  <c r="H14" i="316"/>
  <c r="H17" i="316" s="1"/>
  <c r="D38" i="316" s="1"/>
  <c r="N69" i="316" s="1"/>
  <c r="H14" i="306"/>
  <c r="P78" i="315"/>
  <c r="D9" i="306"/>
  <c r="I161" i="308"/>
  <c r="E163" i="311"/>
  <c r="I77" i="325"/>
  <c r="C339" i="309"/>
  <c r="H339" i="309" s="1"/>
  <c r="I20" i="309"/>
  <c r="I19" i="309"/>
  <c r="F292" i="310"/>
  <c r="I161" i="310"/>
  <c r="C126" i="310"/>
  <c r="C146" i="325"/>
  <c r="I78" i="328"/>
  <c r="I76" i="328"/>
  <c r="I77" i="328"/>
  <c r="E163" i="322"/>
  <c r="C343" i="325"/>
  <c r="H343" i="325" s="1"/>
  <c r="H338" i="325"/>
  <c r="C126" i="308"/>
  <c r="E284" i="309"/>
  <c r="E261" i="310"/>
  <c r="F103" i="310"/>
  <c r="I103" i="310" s="1"/>
  <c r="E261" i="308"/>
  <c r="I258" i="309"/>
  <c r="K52" i="309"/>
  <c r="F52" i="309" s="1"/>
  <c r="K35" i="309"/>
  <c r="E35" i="309" s="1"/>
  <c r="E270" i="309"/>
  <c r="F145" i="309"/>
  <c r="I145" i="309" s="1"/>
  <c r="C31" i="310"/>
  <c r="I113" i="318"/>
  <c r="E58" i="308"/>
  <c r="I58" i="308" s="1"/>
  <c r="E57" i="308"/>
  <c r="I57" i="308" s="1"/>
  <c r="E170" i="308"/>
  <c r="E268" i="309"/>
  <c r="C153" i="322"/>
  <c r="E226" i="310"/>
  <c r="E235" i="310"/>
  <c r="H12" i="313"/>
  <c r="I85" i="321"/>
  <c r="E68" i="323"/>
  <c r="D243" i="323" s="1"/>
  <c r="E65" i="321"/>
  <c r="I65" i="321" s="1"/>
  <c r="E66" i="321"/>
  <c r="I66" i="321" s="1"/>
  <c r="J69" i="314"/>
  <c r="J52" i="314"/>
  <c r="C12" i="312"/>
  <c r="I12" i="313"/>
  <c r="I12" i="312"/>
  <c r="E12" i="312"/>
  <c r="H98" i="307"/>
  <c r="H101" i="307" s="1"/>
  <c r="H34" i="307"/>
  <c r="H57" i="307"/>
  <c r="H58" i="307" s="1"/>
  <c r="H29" i="307"/>
  <c r="H60" i="307"/>
  <c r="H88" i="307"/>
  <c r="H53" i="307"/>
  <c r="H25" i="307"/>
  <c r="E53" i="307"/>
  <c r="H84" i="331"/>
  <c r="G84" i="331" s="1"/>
  <c r="H110" i="331"/>
  <c r="H64" i="331"/>
  <c r="H66" i="331"/>
  <c r="H290" i="309"/>
  <c r="H290" i="308"/>
  <c r="E155" i="329"/>
  <c r="I155" i="329" s="1"/>
  <c r="E154" i="329"/>
  <c r="I154" i="329" s="1"/>
  <c r="H19" i="329"/>
  <c r="I18" i="329"/>
  <c r="C330" i="329"/>
  <c r="H330" i="329" s="1"/>
  <c r="H329" i="329"/>
  <c r="E163" i="329"/>
  <c r="C238" i="329"/>
  <c r="E238" i="329" s="1"/>
  <c r="E229" i="329"/>
  <c r="I143" i="329"/>
  <c r="E146" i="329" s="1"/>
  <c r="C146" i="329"/>
  <c r="E164" i="329"/>
  <c r="I164" i="329" s="1"/>
  <c r="E165" i="329"/>
  <c r="I265" i="329"/>
  <c r="I92" i="329"/>
  <c r="E97" i="329" s="1"/>
  <c r="C97" i="329"/>
  <c r="C327" i="329"/>
  <c r="E128" i="329"/>
  <c r="I128" i="329" s="1"/>
  <c r="E127" i="329"/>
  <c r="I127" i="329" s="1"/>
  <c r="I14" i="329"/>
  <c r="C22" i="329"/>
  <c r="C323" i="329"/>
  <c r="E33" i="329"/>
  <c r="I33" i="329" s="1"/>
  <c r="E32" i="329"/>
  <c r="I32" i="329" s="1"/>
  <c r="C234" i="329"/>
  <c r="E234" i="329" s="1"/>
  <c r="E225" i="329"/>
  <c r="C104" i="329"/>
  <c r="I101" i="329"/>
  <c r="E104" i="329" s="1"/>
  <c r="I269" i="329"/>
  <c r="D342" i="329"/>
  <c r="H342" i="329" s="1"/>
  <c r="D348" i="329"/>
  <c r="H348" i="329" s="1"/>
  <c r="D357" i="329"/>
  <c r="I62" i="329"/>
  <c r="E64" i="329" s="1"/>
  <c r="C64" i="329"/>
  <c r="I285" i="329"/>
  <c r="C239" i="329"/>
  <c r="E239" i="329" s="1"/>
  <c r="E230" i="329"/>
  <c r="C325" i="329"/>
  <c r="E40" i="329"/>
  <c r="I40" i="329" s="1"/>
  <c r="E39" i="329"/>
  <c r="I39" i="329" s="1"/>
  <c r="B266" i="329"/>
  <c r="B267" i="329"/>
  <c r="B268" i="329" s="1"/>
  <c r="B270" i="329" s="1"/>
  <c r="B271" i="329" s="1"/>
  <c r="B272" i="329" s="1"/>
  <c r="B274" i="329" s="1"/>
  <c r="B275" i="329" s="1"/>
  <c r="B276" i="329" s="1"/>
  <c r="B277" i="329" s="1"/>
  <c r="B278" i="329" s="1"/>
  <c r="B279" i="329" s="1"/>
  <c r="I181" i="329"/>
  <c r="E184" i="329" s="1"/>
  <c r="C184" i="329"/>
  <c r="C243" i="329"/>
  <c r="E243" i="329" s="1"/>
  <c r="F68" i="329"/>
  <c r="I68" i="329" s="1"/>
  <c r="C334" i="329" a="1"/>
  <c r="C334" i="329" s="1"/>
  <c r="E165" i="328"/>
  <c r="E164" i="328"/>
  <c r="I164" i="328" s="1"/>
  <c r="I273" i="328"/>
  <c r="D355" i="328"/>
  <c r="H355" i="328" s="1"/>
  <c r="E89" i="328"/>
  <c r="I89" i="328" s="1"/>
  <c r="E90" i="328"/>
  <c r="I90" i="328" s="1"/>
  <c r="I18" i="328"/>
  <c r="H19" i="328"/>
  <c r="C328" i="328"/>
  <c r="H328" i="328" s="1"/>
  <c r="H327" i="328"/>
  <c r="H80" i="328"/>
  <c r="I79" i="328"/>
  <c r="C104" i="328"/>
  <c r="I101" i="328"/>
  <c r="E104" i="328" s="1"/>
  <c r="B266" i="328"/>
  <c r="B267" i="328"/>
  <c r="B268" i="328" s="1"/>
  <c r="B270" i="328" s="1"/>
  <c r="B271" i="328" s="1"/>
  <c r="B272" i="328" s="1"/>
  <c r="B274" i="328" s="1"/>
  <c r="B275" i="328" s="1"/>
  <c r="B276" i="328" s="1"/>
  <c r="B277" i="328" s="1"/>
  <c r="B278" i="328" s="1"/>
  <c r="B279" i="328" s="1"/>
  <c r="C323" i="328"/>
  <c r="E32" i="328"/>
  <c r="I32" i="328" s="1"/>
  <c r="E33" i="328"/>
  <c r="I33" i="328" s="1"/>
  <c r="C234" i="328"/>
  <c r="E234" i="328" s="1"/>
  <c r="E225" i="328"/>
  <c r="C239" i="328"/>
  <c r="E239" i="328" s="1"/>
  <c r="E230" i="328"/>
  <c r="C112" i="328"/>
  <c r="D384" i="328" s="1"/>
  <c r="I384" i="328" s="1"/>
  <c r="I108" i="328"/>
  <c r="E112" i="328" s="1"/>
  <c r="I92" i="328"/>
  <c r="E97" i="328" s="1"/>
  <c r="C97" i="328"/>
  <c r="E141" i="328"/>
  <c r="I141" i="328" s="1"/>
  <c r="E140" i="328"/>
  <c r="I140" i="328" s="1"/>
  <c r="D143" i="328"/>
  <c r="F116" i="328"/>
  <c r="C325" i="328"/>
  <c r="E39" i="328"/>
  <c r="I39" i="328" s="1"/>
  <c r="E40" i="328"/>
  <c r="I40" i="328" s="1"/>
  <c r="C240" i="328"/>
  <c r="E240" i="328" s="1"/>
  <c r="E231" i="328"/>
  <c r="D348" i="328"/>
  <c r="H348" i="328" s="1"/>
  <c r="D357" i="328"/>
  <c r="D342" i="328"/>
  <c r="H342" i="328" s="1"/>
  <c r="I150" i="328"/>
  <c r="E153" i="328" s="1"/>
  <c r="C153" i="328"/>
  <c r="I265" i="328"/>
  <c r="H82" i="327"/>
  <c r="H84" i="327" s="1"/>
  <c r="E84" i="327"/>
  <c r="H66" i="326"/>
  <c r="H114" i="326"/>
  <c r="E119" i="326"/>
  <c r="E80" i="326" s="1"/>
  <c r="H82" i="326"/>
  <c r="D76" i="326"/>
  <c r="H79" i="326"/>
  <c r="D64" i="326"/>
  <c r="G214" i="325"/>
  <c r="I214" i="325" s="1"/>
  <c r="E101" i="325"/>
  <c r="D230" i="325" s="1"/>
  <c r="D239" i="325" s="1"/>
  <c r="I285" i="325"/>
  <c r="E165" i="325"/>
  <c r="E164" i="325"/>
  <c r="I164" i="325" s="1"/>
  <c r="H79" i="325"/>
  <c r="I78" i="325"/>
  <c r="I52" i="325"/>
  <c r="E56" i="325" s="1"/>
  <c r="C56" i="325"/>
  <c r="B266" i="325"/>
  <c r="B267" i="325"/>
  <c r="B268" i="325" s="1"/>
  <c r="B270" i="325" s="1"/>
  <c r="B271" i="325" s="1"/>
  <c r="B272" i="325" s="1"/>
  <c r="B274" i="325" s="1"/>
  <c r="B275" i="325" s="1"/>
  <c r="B276" i="325" s="1"/>
  <c r="B277" i="325" s="1"/>
  <c r="B278" i="325" s="1"/>
  <c r="B279" i="325" s="1"/>
  <c r="I181" i="325"/>
  <c r="E184" i="325" s="1"/>
  <c r="C184" i="325"/>
  <c r="C330" i="325"/>
  <c r="H330" i="325" s="1"/>
  <c r="H329" i="325"/>
  <c r="E147" i="325"/>
  <c r="I147" i="325" s="1"/>
  <c r="E148" i="325"/>
  <c r="I148" i="325" s="1"/>
  <c r="E155" i="325"/>
  <c r="I155" i="325" s="1"/>
  <c r="E154" i="325"/>
  <c r="I154" i="325" s="1"/>
  <c r="C64" i="325"/>
  <c r="I62" i="325"/>
  <c r="E64" i="325" s="1"/>
  <c r="E146" i="325"/>
  <c r="D355" i="325"/>
  <c r="H355" i="325" s="1"/>
  <c r="E90" i="325"/>
  <c r="I90" i="325" s="1"/>
  <c r="E89" i="325"/>
  <c r="I89" i="325" s="1"/>
  <c r="C300" i="325"/>
  <c r="G211" i="325"/>
  <c r="D101" i="325"/>
  <c r="F35" i="325"/>
  <c r="D340" i="325"/>
  <c r="H340" i="325" s="1"/>
  <c r="I113" i="325"/>
  <c r="C324" i="325"/>
  <c r="H323" i="325"/>
  <c r="I273" i="325"/>
  <c r="C237" i="325"/>
  <c r="E237" i="325" s="1"/>
  <c r="E228" i="325"/>
  <c r="I14" i="325"/>
  <c r="E22" i="325" s="1"/>
  <c r="C22" i="325"/>
  <c r="E97" i="325"/>
  <c r="D342" i="325"/>
  <c r="H342" i="325" s="1"/>
  <c r="D348" i="325"/>
  <c r="H348" i="325" s="1"/>
  <c r="D357" i="325"/>
  <c r="I269" i="325"/>
  <c r="C327" i="325"/>
  <c r="E128" i="325"/>
  <c r="I128" i="325" s="1"/>
  <c r="E127" i="325"/>
  <c r="I127" i="325" s="1"/>
  <c r="C97" i="325"/>
  <c r="H21" i="324"/>
  <c r="I21" i="324" s="1"/>
  <c r="E22" i="324" s="1"/>
  <c r="I20" i="324"/>
  <c r="C327" i="324"/>
  <c r="E128" i="324"/>
  <c r="I128" i="324" s="1"/>
  <c r="E127" i="324"/>
  <c r="I127" i="324" s="1"/>
  <c r="I12" i="324"/>
  <c r="C12" i="324"/>
  <c r="H12" i="324"/>
  <c r="E12" i="324"/>
  <c r="F108" i="324"/>
  <c r="E116" i="324"/>
  <c r="I181" i="324"/>
  <c r="E184" i="324" s="1"/>
  <c r="C184" i="324"/>
  <c r="D42" i="324"/>
  <c r="F42" i="324" s="1"/>
  <c r="D52" i="324"/>
  <c r="D35" i="324"/>
  <c r="B266" i="324"/>
  <c r="B267" i="324"/>
  <c r="B268" i="324" s="1"/>
  <c r="B270" i="324" s="1"/>
  <c r="B271" i="324" s="1"/>
  <c r="B272" i="324" s="1"/>
  <c r="B274" i="324" s="1"/>
  <c r="B275" i="324" s="1"/>
  <c r="B276" i="324" s="1"/>
  <c r="B277" i="324" s="1"/>
  <c r="B278" i="324" s="1"/>
  <c r="B279" i="324" s="1"/>
  <c r="D357" i="324"/>
  <c r="D342" i="324"/>
  <c r="H342" i="324" s="1"/>
  <c r="D348" i="324"/>
  <c r="H348" i="324" s="1"/>
  <c r="D69" i="324"/>
  <c r="D68" i="324"/>
  <c r="E165" i="324"/>
  <c r="E164" i="324"/>
  <c r="I164" i="324" s="1"/>
  <c r="C324" i="324"/>
  <c r="H324" i="324" s="1"/>
  <c r="H323" i="324"/>
  <c r="E155" i="324"/>
  <c r="I155" i="324" s="1"/>
  <c r="E154" i="324"/>
  <c r="I154" i="324" s="1"/>
  <c r="C22" i="324"/>
  <c r="I285" i="324"/>
  <c r="E99" i="324"/>
  <c r="I99" i="324" s="1"/>
  <c r="E98" i="324"/>
  <c r="I98" i="324" s="1"/>
  <c r="C240" i="324"/>
  <c r="E240" i="324" s="1"/>
  <c r="E231" i="324"/>
  <c r="C64" i="324"/>
  <c r="I62" i="324"/>
  <c r="E64" i="324" s="1"/>
  <c r="E69" i="323"/>
  <c r="D244" i="323" s="1"/>
  <c r="C146" i="323"/>
  <c r="C97" i="323"/>
  <c r="D237" i="323"/>
  <c r="E237" i="323" s="1"/>
  <c r="E228" i="323"/>
  <c r="E146" i="323"/>
  <c r="C64" i="323"/>
  <c r="I60" i="323"/>
  <c r="E64" i="323" s="1"/>
  <c r="B266" i="323"/>
  <c r="B267" i="323"/>
  <c r="B268" i="323" s="1"/>
  <c r="B270" i="323" s="1"/>
  <c r="B271" i="323" s="1"/>
  <c r="B272" i="323" s="1"/>
  <c r="B274" i="323" s="1"/>
  <c r="B275" i="323" s="1"/>
  <c r="B276" i="323" s="1"/>
  <c r="B277" i="323" s="1"/>
  <c r="B278" i="323" s="1"/>
  <c r="B279" i="323" s="1"/>
  <c r="C153" i="323"/>
  <c r="I150" i="323"/>
  <c r="E153" i="323" s="1"/>
  <c r="C327" i="323"/>
  <c r="E128" i="323"/>
  <c r="I128" i="323" s="1"/>
  <c r="E127" i="323"/>
  <c r="I127" i="323" s="1"/>
  <c r="C330" i="323"/>
  <c r="H330" i="323" s="1"/>
  <c r="H329" i="323"/>
  <c r="E164" i="323"/>
  <c r="I164" i="323" s="1"/>
  <c r="E165" i="323"/>
  <c r="I273" i="323"/>
  <c r="I52" i="323"/>
  <c r="E56" i="323" s="1"/>
  <c r="C56" i="323"/>
  <c r="E33" i="323"/>
  <c r="I33" i="323" s="1"/>
  <c r="E32" i="323"/>
  <c r="I32" i="323" s="1"/>
  <c r="C323" i="323"/>
  <c r="D35" i="323"/>
  <c r="J42" i="323"/>
  <c r="D42" i="323" s="1"/>
  <c r="F42" i="323" s="1"/>
  <c r="C238" i="323"/>
  <c r="E238" i="323" s="1"/>
  <c r="E229" i="323"/>
  <c r="D69" i="323"/>
  <c r="D68" i="323"/>
  <c r="D348" i="323"/>
  <c r="H348" i="323" s="1"/>
  <c r="D357" i="323"/>
  <c r="D342" i="323"/>
  <c r="H342" i="323" s="1"/>
  <c r="H350" i="323" s="1"/>
  <c r="C22" i="323"/>
  <c r="E141" i="323"/>
  <c r="I141" i="323" s="1"/>
  <c r="E140" i="323"/>
  <c r="I140" i="323" s="1"/>
  <c r="E97" i="323"/>
  <c r="H21" i="323"/>
  <c r="I21" i="323" s="1"/>
  <c r="E22" i="323" s="1"/>
  <c r="I20" i="323"/>
  <c r="I273" i="322"/>
  <c r="E153" i="322"/>
  <c r="E154" i="322"/>
  <c r="I154" i="322" s="1"/>
  <c r="E155" i="322"/>
  <c r="I155" i="322" s="1"/>
  <c r="D52" i="322"/>
  <c r="D35" i="322"/>
  <c r="D42" i="322"/>
  <c r="F42" i="322" s="1"/>
  <c r="C64" i="322"/>
  <c r="I62" i="322"/>
  <c r="E64" i="322" s="1"/>
  <c r="E164" i="322"/>
  <c r="I164" i="322" s="1"/>
  <c r="E165" i="322"/>
  <c r="E231" i="322"/>
  <c r="C240" i="322"/>
  <c r="E240" i="322" s="1"/>
  <c r="D68" i="322"/>
  <c r="D69" i="322"/>
  <c r="I14" i="322"/>
  <c r="C22" i="322"/>
  <c r="C97" i="322"/>
  <c r="I92" i="322"/>
  <c r="E97" i="322" s="1"/>
  <c r="F108" i="322"/>
  <c r="K116" i="322"/>
  <c r="E116" i="322" s="1"/>
  <c r="C236" i="322"/>
  <c r="E236" i="322" s="1"/>
  <c r="E227" i="322"/>
  <c r="C234" i="322"/>
  <c r="E234" i="322" s="1"/>
  <c r="E225" i="322"/>
  <c r="I181" i="322"/>
  <c r="E184" i="322" s="1"/>
  <c r="C184" i="322"/>
  <c r="B266" i="322"/>
  <c r="B267" i="322"/>
  <c r="B268" i="322" s="1"/>
  <c r="B270" i="322" s="1"/>
  <c r="B271" i="322" s="1"/>
  <c r="B272" i="322" s="1"/>
  <c r="B274" i="322" s="1"/>
  <c r="B275" i="322" s="1"/>
  <c r="B276" i="322" s="1"/>
  <c r="B277" i="322" s="1"/>
  <c r="B278" i="322" s="1"/>
  <c r="B279" i="322" s="1"/>
  <c r="C327" i="322"/>
  <c r="E128" i="322"/>
  <c r="I128" i="322" s="1"/>
  <c r="E127" i="322"/>
  <c r="I127" i="322" s="1"/>
  <c r="H21" i="322"/>
  <c r="I21" i="322" s="1"/>
  <c r="I20" i="322"/>
  <c r="C323" i="322"/>
  <c r="E33" i="322"/>
  <c r="I33" i="322" s="1"/>
  <c r="E32" i="322"/>
  <c r="I32" i="322" s="1"/>
  <c r="I265" i="322"/>
  <c r="D357" i="322"/>
  <c r="D342" i="322"/>
  <c r="H342" i="322" s="1"/>
  <c r="D348" i="322"/>
  <c r="H348" i="322" s="1"/>
  <c r="C88" i="321"/>
  <c r="D355" i="321" s="1"/>
  <c r="H355" i="321" s="1"/>
  <c r="E50" i="321"/>
  <c r="I50" i="321" s="1"/>
  <c r="I273" i="321"/>
  <c r="I92" i="321"/>
  <c r="E97" i="321" s="1"/>
  <c r="C97" i="321"/>
  <c r="C327" i="321"/>
  <c r="E127" i="321"/>
  <c r="I127" i="321" s="1"/>
  <c r="E128" i="321"/>
  <c r="I128" i="321" s="1"/>
  <c r="C112" i="321"/>
  <c r="I108" i="321"/>
  <c r="E112" i="321" s="1"/>
  <c r="C234" i="321"/>
  <c r="E234" i="321" s="1"/>
  <c r="E225" i="321"/>
  <c r="C238" i="321"/>
  <c r="E238" i="321" s="1"/>
  <c r="E229" i="321"/>
  <c r="D137" i="321"/>
  <c r="E143" i="321"/>
  <c r="F116" i="321"/>
  <c r="C325" i="321"/>
  <c r="E39" i="321"/>
  <c r="I39" i="321" s="1"/>
  <c r="E40" i="321"/>
  <c r="I40" i="321" s="1"/>
  <c r="E230" i="321"/>
  <c r="C239" i="321"/>
  <c r="E239" i="321" s="1"/>
  <c r="H323" i="321"/>
  <c r="C324" i="321"/>
  <c r="C104" i="321"/>
  <c r="I101" i="321"/>
  <c r="E104" i="321" s="1"/>
  <c r="B266" i="321"/>
  <c r="B267" i="321"/>
  <c r="B268" i="321" s="1"/>
  <c r="B270" i="321" s="1"/>
  <c r="B271" i="321" s="1"/>
  <c r="B272" i="321" s="1"/>
  <c r="B274" i="321" s="1"/>
  <c r="B275" i="321" s="1"/>
  <c r="B276" i="321" s="1"/>
  <c r="B277" i="321" s="1"/>
  <c r="B278" i="321" s="1"/>
  <c r="B279" i="321" s="1"/>
  <c r="E185" i="321"/>
  <c r="I185" i="321" s="1"/>
  <c r="E186" i="321"/>
  <c r="I186" i="321" s="1"/>
  <c r="D357" i="321"/>
  <c r="D342" i="321"/>
  <c r="H342" i="321" s="1"/>
  <c r="D348" i="321"/>
  <c r="H348" i="321" s="1"/>
  <c r="I285" i="321"/>
  <c r="H87" i="321"/>
  <c r="I87" i="321" s="1"/>
  <c r="I86" i="321"/>
  <c r="E88" i="321" s="1"/>
  <c r="E192" i="321"/>
  <c r="I192" i="321" s="1"/>
  <c r="E193" i="321"/>
  <c r="I193" i="321" s="1"/>
  <c r="E24" i="321"/>
  <c r="I24" i="321" s="1"/>
  <c r="E23" i="321"/>
  <c r="I23" i="321" s="1"/>
  <c r="I150" i="321"/>
  <c r="E153" i="321" s="1"/>
  <c r="C153" i="321"/>
  <c r="E165" i="321"/>
  <c r="E164" i="321"/>
  <c r="I164" i="321" s="1"/>
  <c r="H21" i="321"/>
  <c r="I21" i="321" s="1"/>
  <c r="I20" i="321"/>
  <c r="E22" i="321" s="1"/>
  <c r="C235" i="321"/>
  <c r="E235" i="321" s="1"/>
  <c r="E226" i="321"/>
  <c r="B266" i="320"/>
  <c r="B267" i="320"/>
  <c r="B268" i="320" s="1"/>
  <c r="B270" i="320" s="1"/>
  <c r="B271" i="320" s="1"/>
  <c r="B272" i="320" s="1"/>
  <c r="B274" i="320" s="1"/>
  <c r="B275" i="320" s="1"/>
  <c r="B276" i="320" s="1"/>
  <c r="B277" i="320" s="1"/>
  <c r="B278" i="320" s="1"/>
  <c r="B279" i="320" s="1"/>
  <c r="C104" i="320"/>
  <c r="I101" i="320"/>
  <c r="E104" i="320" s="1"/>
  <c r="D357" i="320"/>
  <c r="D342" i="320"/>
  <c r="H342" i="320" s="1"/>
  <c r="D348" i="320"/>
  <c r="H348" i="320" s="1"/>
  <c r="C323" i="320"/>
  <c r="E32" i="320"/>
  <c r="I32" i="320" s="1"/>
  <c r="E33" i="320"/>
  <c r="I33" i="320" s="1"/>
  <c r="D354" i="320"/>
  <c r="H354" i="320" s="1"/>
  <c r="D383" i="320"/>
  <c r="I383" i="320" s="1"/>
  <c r="D380" i="320"/>
  <c r="D239" i="320"/>
  <c r="E239" i="320" s="1"/>
  <c r="E230" i="320"/>
  <c r="H20" i="320"/>
  <c r="I19" i="320"/>
  <c r="C328" i="320"/>
  <c r="H328" i="320" s="1"/>
  <c r="H327" i="320"/>
  <c r="I143" i="320"/>
  <c r="E146" i="320" s="1"/>
  <c r="C146" i="320"/>
  <c r="C153" i="320"/>
  <c r="I150" i="320"/>
  <c r="E153" i="320" s="1"/>
  <c r="E120" i="320"/>
  <c r="I120" i="320" s="1"/>
  <c r="C329" i="320"/>
  <c r="E121" i="320"/>
  <c r="I121" i="320" s="1"/>
  <c r="E141" i="320"/>
  <c r="I141" i="320" s="1"/>
  <c r="E140" i="320"/>
  <c r="I140" i="320" s="1"/>
  <c r="I269" i="320"/>
  <c r="I273" i="320"/>
  <c r="C325" i="320"/>
  <c r="E40" i="320"/>
  <c r="I40" i="320" s="1"/>
  <c r="E39" i="320"/>
  <c r="I39" i="320" s="1"/>
  <c r="C97" i="320"/>
  <c r="I92" i="320"/>
  <c r="E97" i="320" s="1"/>
  <c r="C235" i="320"/>
  <c r="E235" i="320" s="1"/>
  <c r="E226" i="320"/>
  <c r="D355" i="320"/>
  <c r="H355" i="320" s="1"/>
  <c r="E89" i="320"/>
  <c r="I89" i="320" s="1"/>
  <c r="E90" i="320"/>
  <c r="I90" i="320" s="1"/>
  <c r="D384" i="320"/>
  <c r="I384" i="320" s="1"/>
  <c r="D234" i="320"/>
  <c r="E234" i="320" s="1"/>
  <c r="E225" i="320"/>
  <c r="I265" i="320"/>
  <c r="E164" i="320"/>
  <c r="I164" i="320" s="1"/>
  <c r="E165" i="320"/>
  <c r="C240" i="320"/>
  <c r="E240" i="320" s="1"/>
  <c r="E231" i="320"/>
  <c r="E114" i="320"/>
  <c r="I114" i="320" s="1"/>
  <c r="E113" i="320"/>
  <c r="D382" i="320"/>
  <c r="I382" i="320" s="1"/>
  <c r="C327" i="319"/>
  <c r="E127" i="319"/>
  <c r="I127" i="319" s="1"/>
  <c r="E128" i="319"/>
  <c r="I128" i="319" s="1"/>
  <c r="C234" i="319"/>
  <c r="E234" i="319" s="1"/>
  <c r="E225" i="319"/>
  <c r="C326" i="319"/>
  <c r="H326" i="319" s="1"/>
  <c r="H325" i="319"/>
  <c r="E164" i="319"/>
  <c r="I164" i="319" s="1"/>
  <c r="E165" i="319"/>
  <c r="E24" i="319"/>
  <c r="I24" i="319" s="1"/>
  <c r="E23" i="319"/>
  <c r="I23" i="319" s="1"/>
  <c r="C104" i="319"/>
  <c r="I101" i="319"/>
  <c r="E104" i="319" s="1"/>
  <c r="H20" i="319"/>
  <c r="I19" i="319"/>
  <c r="E230" i="319"/>
  <c r="C239" i="319"/>
  <c r="E239" i="319" s="1"/>
  <c r="I265" i="319"/>
  <c r="E155" i="319"/>
  <c r="I155" i="319" s="1"/>
  <c r="E154" i="319"/>
  <c r="I154" i="319" s="1"/>
  <c r="C139" i="319"/>
  <c r="I137" i="319"/>
  <c r="E139" i="319" s="1"/>
  <c r="C324" i="319"/>
  <c r="H323" i="319"/>
  <c r="C112" i="319"/>
  <c r="I108" i="319"/>
  <c r="E112" i="319" s="1"/>
  <c r="C88" i="319"/>
  <c r="I68" i="319"/>
  <c r="E88" i="319" s="1"/>
  <c r="D357" i="319"/>
  <c r="D342" i="319"/>
  <c r="H342" i="319" s="1"/>
  <c r="D348" i="319"/>
  <c r="H348" i="319" s="1"/>
  <c r="C97" i="319"/>
  <c r="I92" i="319"/>
  <c r="E97" i="319" s="1"/>
  <c r="F116" i="319"/>
  <c r="D143" i="319"/>
  <c r="B266" i="319"/>
  <c r="B267" i="319"/>
  <c r="B268" i="319" s="1"/>
  <c r="B270" i="319" s="1"/>
  <c r="B271" i="319" s="1"/>
  <c r="B272" i="319" s="1"/>
  <c r="B274" i="319" s="1"/>
  <c r="B275" i="319" s="1"/>
  <c r="B276" i="319" s="1"/>
  <c r="B277" i="319" s="1"/>
  <c r="B278" i="319" s="1"/>
  <c r="B279" i="319" s="1"/>
  <c r="I273" i="318"/>
  <c r="E231" i="318"/>
  <c r="C240" i="318"/>
  <c r="E240" i="318" s="1"/>
  <c r="I92" i="318"/>
  <c r="E97" i="318" s="1"/>
  <c r="C97" i="318"/>
  <c r="C238" i="318"/>
  <c r="E238" i="318" s="1"/>
  <c r="E229" i="318"/>
  <c r="C234" i="318"/>
  <c r="E234" i="318" s="1"/>
  <c r="E225" i="318"/>
  <c r="D348" i="318"/>
  <c r="H348" i="318" s="1"/>
  <c r="D342" i="318"/>
  <c r="H342" i="318" s="1"/>
  <c r="H350" i="318" s="1"/>
  <c r="D357" i="318"/>
  <c r="C104" i="318"/>
  <c r="I101" i="318"/>
  <c r="E104" i="318" s="1"/>
  <c r="C323" i="318"/>
  <c r="E32" i="318"/>
  <c r="I32" i="318" s="1"/>
  <c r="E33" i="318"/>
  <c r="I33" i="318" s="1"/>
  <c r="D354" i="318"/>
  <c r="H354" i="318" s="1"/>
  <c r="D383" i="318"/>
  <c r="I383" i="318" s="1"/>
  <c r="D380" i="318"/>
  <c r="B267" i="318"/>
  <c r="B268" i="318" s="1"/>
  <c r="B270" i="318" s="1"/>
  <c r="B271" i="318" s="1"/>
  <c r="B272" i="318" s="1"/>
  <c r="B274" i="318" s="1"/>
  <c r="B275" i="318" s="1"/>
  <c r="B276" i="318" s="1"/>
  <c r="B277" i="318" s="1"/>
  <c r="B278" i="318" s="1"/>
  <c r="B279" i="318" s="1"/>
  <c r="B266" i="318"/>
  <c r="C327" i="318"/>
  <c r="E127" i="318"/>
  <c r="I127" i="318" s="1"/>
  <c r="E128" i="318"/>
  <c r="I128" i="318" s="1"/>
  <c r="C239" i="318"/>
  <c r="E239" i="318" s="1"/>
  <c r="E230" i="318"/>
  <c r="I285" i="318"/>
  <c r="E218" i="318"/>
  <c r="K165" i="318"/>
  <c r="I165" i="318"/>
  <c r="C325" i="318"/>
  <c r="E40" i="318"/>
  <c r="I40" i="318" s="1"/>
  <c r="E39" i="318"/>
  <c r="I39" i="318" s="1"/>
  <c r="I143" i="318"/>
  <c r="E146" i="318" s="1"/>
  <c r="C146" i="318"/>
  <c r="C329" i="318"/>
  <c r="E121" i="318"/>
  <c r="I121" i="318" s="1"/>
  <c r="E120" i="318"/>
  <c r="I120" i="318" s="1"/>
  <c r="I269" i="318"/>
  <c r="I150" i="318"/>
  <c r="E153" i="318" s="1"/>
  <c r="C153" i="318"/>
  <c r="D355" i="318"/>
  <c r="H355" i="318" s="1"/>
  <c r="E89" i="318"/>
  <c r="I89" i="318" s="1"/>
  <c r="E90" i="318"/>
  <c r="I90" i="318" s="1"/>
  <c r="D384" i="318"/>
  <c r="I384" i="318" s="1"/>
  <c r="B267" i="317"/>
  <c r="B268" i="317" s="1"/>
  <c r="B270" i="317" s="1"/>
  <c r="B271" i="317" s="1"/>
  <c r="B272" i="317" s="1"/>
  <c r="B274" i="317" s="1"/>
  <c r="B275" i="317" s="1"/>
  <c r="B276" i="317" s="1"/>
  <c r="B277" i="317" s="1"/>
  <c r="B278" i="317" s="1"/>
  <c r="B279" i="317" s="1"/>
  <c r="B266" i="317"/>
  <c r="C323" i="317"/>
  <c r="E33" i="317"/>
  <c r="I33" i="317" s="1"/>
  <c r="E32" i="317"/>
  <c r="I32" i="317" s="1"/>
  <c r="I285" i="317"/>
  <c r="E186" i="317"/>
  <c r="I186" i="317" s="1"/>
  <c r="E185" i="317"/>
  <c r="I185" i="317" s="1"/>
  <c r="C243" i="317"/>
  <c r="E243" i="317" s="1"/>
  <c r="F68" i="317"/>
  <c r="E155" i="317"/>
  <c r="I155" i="317" s="1"/>
  <c r="E154" i="317"/>
  <c r="I154" i="317" s="1"/>
  <c r="I92" i="317"/>
  <c r="E97" i="317" s="1"/>
  <c r="C97" i="317"/>
  <c r="I143" i="317"/>
  <c r="E146" i="317" s="1"/>
  <c r="C146" i="317"/>
  <c r="E128" i="317"/>
  <c r="I128" i="317" s="1"/>
  <c r="C327" i="317"/>
  <c r="E127" i="317"/>
  <c r="I127" i="317" s="1"/>
  <c r="F15" i="317"/>
  <c r="I15" i="317" s="1"/>
  <c r="D340" i="317"/>
  <c r="H340" i="317" s="1"/>
  <c r="H350" i="317" s="1"/>
  <c r="I113" i="317"/>
  <c r="C234" i="317"/>
  <c r="E234" i="317" s="1"/>
  <c r="E225" i="317"/>
  <c r="I269" i="317"/>
  <c r="E229" i="317"/>
  <c r="C238" i="317"/>
  <c r="E238" i="317" s="1"/>
  <c r="E193" i="317"/>
  <c r="I193" i="317" s="1"/>
  <c r="E192" i="317"/>
  <c r="I192" i="317" s="1"/>
  <c r="D358" i="317"/>
  <c r="I14" i="317"/>
  <c r="I258" i="317"/>
  <c r="C237" i="317"/>
  <c r="E237" i="317" s="1"/>
  <c r="E228" i="317"/>
  <c r="C329" i="317"/>
  <c r="E121" i="317"/>
  <c r="I121" i="317" s="1"/>
  <c r="E120" i="317"/>
  <c r="I120" i="317" s="1"/>
  <c r="C64" i="317"/>
  <c r="I60" i="317"/>
  <c r="E64" i="317" s="1"/>
  <c r="K165" i="317"/>
  <c r="I165" i="317"/>
  <c r="P78" i="316"/>
  <c r="D38" i="315"/>
  <c r="C329" i="314"/>
  <c r="E120" i="314"/>
  <c r="I120" i="314" s="1"/>
  <c r="E121" i="314"/>
  <c r="I121" i="314" s="1"/>
  <c r="C238" i="314"/>
  <c r="E238" i="314" s="1"/>
  <c r="E229" i="314"/>
  <c r="E164" i="314"/>
  <c r="I164" i="314" s="1"/>
  <c r="E165" i="314"/>
  <c r="C234" i="314"/>
  <c r="E234" i="314" s="1"/>
  <c r="E225" i="314"/>
  <c r="D348" i="314"/>
  <c r="H348" i="314" s="1"/>
  <c r="D357" i="314"/>
  <c r="D342" i="314"/>
  <c r="H342" i="314" s="1"/>
  <c r="E154" i="314"/>
  <c r="I154" i="314" s="1"/>
  <c r="E155" i="314"/>
  <c r="I155" i="314" s="1"/>
  <c r="E127" i="314"/>
  <c r="I127" i="314" s="1"/>
  <c r="C327" i="314"/>
  <c r="E128" i="314"/>
  <c r="I128" i="314" s="1"/>
  <c r="C323" i="314"/>
  <c r="E33" i="314"/>
  <c r="I33" i="314" s="1"/>
  <c r="E32" i="314"/>
  <c r="I32" i="314" s="1"/>
  <c r="B267" i="314"/>
  <c r="B268" i="314" s="1"/>
  <c r="B270" i="314" s="1"/>
  <c r="B271" i="314" s="1"/>
  <c r="B272" i="314" s="1"/>
  <c r="B274" i="314" s="1"/>
  <c r="B275" i="314" s="1"/>
  <c r="B276" i="314" s="1"/>
  <c r="B277" i="314" s="1"/>
  <c r="B278" i="314" s="1"/>
  <c r="B279" i="314" s="1"/>
  <c r="B266" i="314"/>
  <c r="E147" i="314"/>
  <c r="I147" i="314" s="1"/>
  <c r="E148" i="314"/>
  <c r="I148" i="314" s="1"/>
  <c r="I14" i="314"/>
  <c r="H79" i="314"/>
  <c r="I78" i="314"/>
  <c r="C243" i="314"/>
  <c r="E243" i="314" s="1"/>
  <c r="F68" i="314"/>
  <c r="H19" i="314"/>
  <c r="I18" i="314"/>
  <c r="C97" i="314"/>
  <c r="I92" i="314"/>
  <c r="E97" i="314" s="1"/>
  <c r="F15" i="314"/>
  <c r="I15" i="314" s="1"/>
  <c r="D340" i="313"/>
  <c r="H340" i="313" s="1"/>
  <c r="I113" i="313"/>
  <c r="E165" i="313"/>
  <c r="E164" i="313"/>
  <c r="I164" i="313" s="1"/>
  <c r="C324" i="313"/>
  <c r="H324" i="313" s="1"/>
  <c r="H323" i="313"/>
  <c r="E147" i="313"/>
  <c r="I147" i="313" s="1"/>
  <c r="E148" i="313"/>
  <c r="I148" i="313" s="1"/>
  <c r="E12" i="313"/>
  <c r="C12" i="313"/>
  <c r="I14" i="313"/>
  <c r="H329" i="313"/>
  <c r="C330" i="313"/>
  <c r="H330" i="313" s="1"/>
  <c r="E186" i="313"/>
  <c r="I186" i="313" s="1"/>
  <c r="E185" i="313"/>
  <c r="I185" i="313" s="1"/>
  <c r="C243" i="313"/>
  <c r="E243" i="313" s="1"/>
  <c r="F68" i="313"/>
  <c r="I68" i="313" s="1"/>
  <c r="C237" i="313"/>
  <c r="E237" i="313" s="1"/>
  <c r="E228" i="313"/>
  <c r="C238" i="313"/>
  <c r="E238" i="313" s="1"/>
  <c r="E229" i="313"/>
  <c r="I273" i="313"/>
  <c r="E97" i="313"/>
  <c r="F15" i="313"/>
  <c r="I15" i="313" s="1"/>
  <c r="B267" i="313"/>
  <c r="B268" i="313" s="1"/>
  <c r="B270" i="313" s="1"/>
  <c r="B271" i="313" s="1"/>
  <c r="B272" i="313" s="1"/>
  <c r="B274" i="313" s="1"/>
  <c r="B275" i="313" s="1"/>
  <c r="B276" i="313" s="1"/>
  <c r="B277" i="313" s="1"/>
  <c r="B278" i="313" s="1"/>
  <c r="B279" i="313" s="1"/>
  <c r="B266" i="313"/>
  <c r="C97" i="313"/>
  <c r="C153" i="313"/>
  <c r="I150" i="313"/>
  <c r="E153" i="313" s="1"/>
  <c r="D348" i="313"/>
  <c r="H348" i="313" s="1"/>
  <c r="D357" i="313"/>
  <c r="D342" i="313"/>
  <c r="H342" i="313" s="1"/>
  <c r="H350" i="313" s="1"/>
  <c r="C328" i="313"/>
  <c r="H328" i="313" s="1"/>
  <c r="H327" i="313"/>
  <c r="C241" i="312"/>
  <c r="E241" i="312" s="1"/>
  <c r="E232" i="312"/>
  <c r="E164" i="312"/>
  <c r="I164" i="312" s="1"/>
  <c r="E165" i="312"/>
  <c r="S376" i="312"/>
  <c r="U376" i="312" s="1"/>
  <c r="H358" i="312"/>
  <c r="E229" i="312"/>
  <c r="C238" i="312"/>
  <c r="E238" i="312" s="1"/>
  <c r="D348" i="312"/>
  <c r="H348" i="312" s="1"/>
  <c r="D357" i="312"/>
  <c r="D342" i="312"/>
  <c r="H342" i="312" s="1"/>
  <c r="C327" i="312"/>
  <c r="E127" i="312"/>
  <c r="I127" i="312" s="1"/>
  <c r="E128" i="312"/>
  <c r="I128" i="312" s="1"/>
  <c r="C235" i="312"/>
  <c r="E235" i="312" s="1"/>
  <c r="E226" i="312"/>
  <c r="C323" i="312"/>
  <c r="E33" i="312"/>
  <c r="I33" i="312" s="1"/>
  <c r="E32" i="312"/>
  <c r="I32" i="312" s="1"/>
  <c r="D244" i="312"/>
  <c r="E244" i="312" s="1"/>
  <c r="F69" i="312"/>
  <c r="I69" i="312" s="1"/>
  <c r="B266" i="312"/>
  <c r="B267" i="312"/>
  <c r="B268" i="312" s="1"/>
  <c r="B270" i="312" s="1"/>
  <c r="B271" i="312" s="1"/>
  <c r="B272" i="312" s="1"/>
  <c r="B274" i="312" s="1"/>
  <c r="B275" i="312" s="1"/>
  <c r="B276" i="312" s="1"/>
  <c r="B277" i="312" s="1"/>
  <c r="B278" i="312" s="1"/>
  <c r="B279" i="312" s="1"/>
  <c r="I265" i="312"/>
  <c r="C325" i="312"/>
  <c r="E40" i="312"/>
  <c r="I40" i="312" s="1"/>
  <c r="E39" i="312"/>
  <c r="I39" i="312" s="1"/>
  <c r="C97" i="312"/>
  <c r="I92" i="312"/>
  <c r="E97" i="312" s="1"/>
  <c r="C104" i="312"/>
  <c r="I101" i="312"/>
  <c r="E104" i="312" s="1"/>
  <c r="C240" i="312"/>
  <c r="E240" i="312" s="1"/>
  <c r="E231" i="312"/>
  <c r="C184" i="312"/>
  <c r="I285" i="312"/>
  <c r="C234" i="312"/>
  <c r="E234" i="312" s="1"/>
  <c r="E225" i="312"/>
  <c r="C239" i="312"/>
  <c r="E239" i="312" s="1"/>
  <c r="E230" i="312"/>
  <c r="C48" i="312"/>
  <c r="I42" i="312"/>
  <c r="E48" i="312" s="1"/>
  <c r="C153" i="312"/>
  <c r="I150" i="312"/>
  <c r="E153" i="312" s="1"/>
  <c r="C243" i="312"/>
  <c r="E243" i="312" s="1"/>
  <c r="F68" i="312"/>
  <c r="C334" i="312" a="1"/>
  <c r="C334" i="312" s="1"/>
  <c r="C112" i="312"/>
  <c r="I108" i="312"/>
  <c r="E112" i="312" s="1"/>
  <c r="I273" i="312"/>
  <c r="I14" i="312"/>
  <c r="E22" i="312" s="1"/>
  <c r="C22" i="312"/>
  <c r="D137" i="312"/>
  <c r="E143" i="312"/>
  <c r="F116" i="312"/>
  <c r="B266" i="311"/>
  <c r="B267" i="311"/>
  <c r="B268" i="311" s="1"/>
  <c r="B270" i="311" s="1"/>
  <c r="B271" i="311" s="1"/>
  <c r="B272" i="311" s="1"/>
  <c r="B274" i="311" s="1"/>
  <c r="B275" i="311" s="1"/>
  <c r="B276" i="311" s="1"/>
  <c r="B277" i="311" s="1"/>
  <c r="B278" i="311" s="1"/>
  <c r="B279" i="311" s="1"/>
  <c r="E193" i="311"/>
  <c r="I193" i="311" s="1"/>
  <c r="E192" i="311"/>
  <c r="I192" i="311" s="1"/>
  <c r="D348" i="311"/>
  <c r="H348" i="311" s="1"/>
  <c r="D357" i="311"/>
  <c r="D342" i="311"/>
  <c r="H342" i="311" s="1"/>
  <c r="C237" i="311"/>
  <c r="E237" i="311" s="1"/>
  <c r="E228" i="311"/>
  <c r="E186" i="311"/>
  <c r="I186" i="311" s="1"/>
  <c r="E185" i="311"/>
  <c r="I185" i="311" s="1"/>
  <c r="I285" i="311"/>
  <c r="C323" i="311"/>
  <c r="E32" i="311"/>
  <c r="I32" i="311" s="1"/>
  <c r="E33" i="311"/>
  <c r="I33" i="311" s="1"/>
  <c r="C97" i="311"/>
  <c r="I92" i="311"/>
  <c r="E97" i="311" s="1"/>
  <c r="E229" i="311"/>
  <c r="C238" i="311"/>
  <c r="E238" i="311" s="1"/>
  <c r="C234" i="311"/>
  <c r="E234" i="311" s="1"/>
  <c r="E225" i="311"/>
  <c r="I101" i="311"/>
  <c r="E104" i="311" s="1"/>
  <c r="C104" i="311"/>
  <c r="C139" i="311"/>
  <c r="I137" i="311"/>
  <c r="E139" i="311" s="1"/>
  <c r="C22" i="311"/>
  <c r="I14" i="311"/>
  <c r="I74" i="311"/>
  <c r="H75" i="311"/>
  <c r="I75" i="311" s="1"/>
  <c r="C327" i="311"/>
  <c r="E128" i="311"/>
  <c r="I128" i="311" s="1"/>
  <c r="E127" i="311"/>
  <c r="I127" i="311" s="1"/>
  <c r="I150" i="311"/>
  <c r="E153" i="311" s="1"/>
  <c r="C153" i="311"/>
  <c r="C239" i="311"/>
  <c r="E239" i="311" s="1"/>
  <c r="E230" i="311"/>
  <c r="C243" i="311"/>
  <c r="E243" i="311" s="1"/>
  <c r="F68" i="311"/>
  <c r="C334" i="311" a="1"/>
  <c r="C334" i="311" s="1"/>
  <c r="C325" i="311"/>
  <c r="E40" i="311"/>
  <c r="I40" i="311" s="1"/>
  <c r="E39" i="311"/>
  <c r="I39" i="311" s="1"/>
  <c r="I273" i="311"/>
  <c r="F116" i="311"/>
  <c r="D143" i="311"/>
  <c r="H19" i="311"/>
  <c r="I18" i="311"/>
  <c r="E227" i="311"/>
  <c r="C236" i="311"/>
  <c r="E236" i="311" s="1"/>
  <c r="S376" i="311"/>
  <c r="U376" i="311" s="1"/>
  <c r="H358" i="311"/>
  <c r="C112" i="311"/>
  <c r="I108" i="311"/>
  <c r="E112" i="311" s="1"/>
  <c r="I82" i="311"/>
  <c r="H83" i="311"/>
  <c r="K165" i="311"/>
  <c r="I165" i="311"/>
  <c r="H366" i="310"/>
  <c r="D387" i="310" s="1"/>
  <c r="I387" i="310" s="1"/>
  <c r="D362" i="310"/>
  <c r="H362" i="310" s="1"/>
  <c r="E31" i="310"/>
  <c r="C327" i="310"/>
  <c r="E127" i="310"/>
  <c r="I127" i="310" s="1"/>
  <c r="E128" i="310"/>
  <c r="I128" i="310" s="1"/>
  <c r="C240" i="310"/>
  <c r="E240" i="310" s="1"/>
  <c r="E231" i="310"/>
  <c r="I150" i="310"/>
  <c r="E153" i="310" s="1"/>
  <c r="C153" i="310"/>
  <c r="I258" i="310"/>
  <c r="B250" i="310"/>
  <c r="B247" i="310"/>
  <c r="B248" i="310" s="1"/>
  <c r="B249" i="310" s="1"/>
  <c r="B251" i="310" s="1"/>
  <c r="B252" i="310" s="1"/>
  <c r="B253" i="310" s="1"/>
  <c r="B254" i="310" s="1"/>
  <c r="B255" i="310" s="1"/>
  <c r="B256" i="310" s="1"/>
  <c r="B257" i="310" s="1"/>
  <c r="B259" i="310" s="1"/>
  <c r="B260" i="310" s="1"/>
  <c r="B261" i="310" s="1"/>
  <c r="B262" i="310" s="1"/>
  <c r="B263" i="310" s="1"/>
  <c r="B264" i="310" s="1"/>
  <c r="C163" i="310"/>
  <c r="E126" i="310"/>
  <c r="E229" i="310"/>
  <c r="C238" i="310"/>
  <c r="E238" i="310" s="1"/>
  <c r="E163" i="310"/>
  <c r="D358" i="310"/>
  <c r="D68" i="310"/>
  <c r="F14" i="310"/>
  <c r="C230" i="310"/>
  <c r="F101" i="310"/>
  <c r="C343" i="310"/>
  <c r="H343" i="310" s="1"/>
  <c r="H338" i="310"/>
  <c r="C323" i="310"/>
  <c r="E33" i="310"/>
  <c r="I33" i="310" s="1"/>
  <c r="E32" i="310"/>
  <c r="I32" i="310" s="1"/>
  <c r="I84" i="310"/>
  <c r="C139" i="310"/>
  <c r="I137" i="310"/>
  <c r="E139" i="310" s="1"/>
  <c r="D347" i="310"/>
  <c r="H347" i="310" s="1"/>
  <c r="H346" i="310"/>
  <c r="I181" i="310"/>
  <c r="E184" i="310" s="1"/>
  <c r="C184" i="310"/>
  <c r="H215" i="310" a="1"/>
  <c r="H215" i="310" s="1"/>
  <c r="I215" i="310" s="1"/>
  <c r="E220" i="310" s="1"/>
  <c r="I211" i="310"/>
  <c r="C241" i="310"/>
  <c r="E241" i="310" s="1"/>
  <c r="E232" i="310"/>
  <c r="F291" i="310"/>
  <c r="C339" i="310"/>
  <c r="H339" i="310" s="1"/>
  <c r="F92" i="310"/>
  <c r="C225" i="310"/>
  <c r="I87" i="310"/>
  <c r="C311" i="310"/>
  <c r="H311" i="310" s="1"/>
  <c r="H6" i="310"/>
  <c r="I77" i="310"/>
  <c r="I280" i="310"/>
  <c r="C267" i="310"/>
  <c r="E267" i="310" s="1"/>
  <c r="F144" i="310"/>
  <c r="I144" i="310" s="1"/>
  <c r="I79" i="310"/>
  <c r="E12" i="310"/>
  <c r="C12" i="310"/>
  <c r="I12" i="310"/>
  <c r="J116" i="310"/>
  <c r="D116" i="310" s="1"/>
  <c r="F108" i="310"/>
  <c r="E58" i="310"/>
  <c r="I58" i="310" s="1"/>
  <c r="E57" i="310"/>
  <c r="I57" i="310" s="1"/>
  <c r="E49" i="310"/>
  <c r="I49" i="310" s="1"/>
  <c r="E50" i="310"/>
  <c r="I50" i="310" s="1"/>
  <c r="I85" i="310"/>
  <c r="H12" i="310"/>
  <c r="I285" i="310"/>
  <c r="I86" i="310"/>
  <c r="I273" i="310"/>
  <c r="E56" i="310"/>
  <c r="E48" i="310"/>
  <c r="I265" i="310"/>
  <c r="C38" i="310"/>
  <c r="I82" i="310"/>
  <c r="I80" i="310"/>
  <c r="I78" i="310"/>
  <c r="I71" i="310"/>
  <c r="E38" i="310"/>
  <c r="H338" i="309"/>
  <c r="C225" i="309"/>
  <c r="F92" i="309"/>
  <c r="C311" i="309"/>
  <c r="H311" i="309" s="1"/>
  <c r="H6" i="309"/>
  <c r="I158" i="309"/>
  <c r="E163" i="309" s="1"/>
  <c r="C163" i="309"/>
  <c r="E283" i="309"/>
  <c r="C238" i="309"/>
  <c r="E238" i="309" s="1"/>
  <c r="E229" i="309"/>
  <c r="E126" i="309"/>
  <c r="C327" i="309"/>
  <c r="E128" i="309"/>
  <c r="I128" i="309" s="1"/>
  <c r="E127" i="309"/>
  <c r="I127" i="309" s="1"/>
  <c r="C323" i="309"/>
  <c r="E32" i="309"/>
  <c r="I32" i="309" s="1"/>
  <c r="E33" i="309"/>
  <c r="I33" i="309" s="1"/>
  <c r="C146" i="309"/>
  <c r="I143" i="309"/>
  <c r="E146" i="309" s="1"/>
  <c r="D52" i="309"/>
  <c r="F14" i="309"/>
  <c r="I14" i="309" s="1"/>
  <c r="I280" i="309"/>
  <c r="I71" i="309"/>
  <c r="D340" i="309"/>
  <c r="H340" i="309" s="1"/>
  <c r="I113" i="309"/>
  <c r="C235" i="309"/>
  <c r="E235" i="309" s="1"/>
  <c r="E226" i="309"/>
  <c r="I74" i="309"/>
  <c r="I269" i="309"/>
  <c r="C241" i="309"/>
  <c r="E241" i="309" s="1"/>
  <c r="E232" i="309"/>
  <c r="F292" i="309"/>
  <c r="D348" i="309" s="1"/>
  <c r="H348" i="309" s="1"/>
  <c r="I26" i="309"/>
  <c r="E31" i="309" s="1"/>
  <c r="I181" i="309"/>
  <c r="E184" i="309" s="1"/>
  <c r="C184" i="309"/>
  <c r="C119" i="309"/>
  <c r="I116" i="309"/>
  <c r="E119" i="309" s="1"/>
  <c r="I265" i="309"/>
  <c r="C227" i="309"/>
  <c r="F94" i="309"/>
  <c r="I94" i="309" s="1"/>
  <c r="D60" i="309"/>
  <c r="H76" i="309"/>
  <c r="H77" i="309" s="1"/>
  <c r="I72" i="309"/>
  <c r="C240" i="309"/>
  <c r="E240" i="309" s="1"/>
  <c r="E231" i="309"/>
  <c r="I150" i="309"/>
  <c r="E153" i="309" s="1"/>
  <c r="C153" i="309"/>
  <c r="I273" i="309"/>
  <c r="E228" i="309"/>
  <c r="C237" i="309"/>
  <c r="E237" i="309" s="1"/>
  <c r="B250" i="309"/>
  <c r="B247" i="309"/>
  <c r="B248" i="309" s="1"/>
  <c r="B249" i="309" s="1"/>
  <c r="B251" i="309" s="1"/>
  <c r="B252" i="309" s="1"/>
  <c r="B253" i="309" s="1"/>
  <c r="B254" i="309" s="1"/>
  <c r="B255" i="309" s="1"/>
  <c r="B256" i="309" s="1"/>
  <c r="B257" i="309" s="1"/>
  <c r="B259" i="309" s="1"/>
  <c r="B260" i="309" s="1"/>
  <c r="B261" i="309" s="1"/>
  <c r="B262" i="309" s="1"/>
  <c r="B263" i="309" s="1"/>
  <c r="B264" i="309" s="1"/>
  <c r="E31" i="308"/>
  <c r="E135" i="308"/>
  <c r="I135" i="308" s="1"/>
  <c r="E134" i="308"/>
  <c r="I134" i="308" s="1"/>
  <c r="C241" i="308"/>
  <c r="E241" i="308" s="1"/>
  <c r="E232" i="308"/>
  <c r="I265" i="308"/>
  <c r="H366" i="308"/>
  <c r="D387" i="308" s="1"/>
  <c r="I387" i="308" s="1"/>
  <c r="D362" i="308"/>
  <c r="H362" i="308" s="1"/>
  <c r="E163" i="308"/>
  <c r="F292" i="308"/>
  <c r="E284" i="308"/>
  <c r="I258" i="308"/>
  <c r="E141" i="308"/>
  <c r="I141" i="308" s="1"/>
  <c r="E140" i="308"/>
  <c r="I140" i="308" s="1"/>
  <c r="C231" i="308"/>
  <c r="F102" i="308"/>
  <c r="I102" i="308" s="1"/>
  <c r="E283" i="308"/>
  <c r="I285" i="308" s="1"/>
  <c r="H215" i="308" a="1"/>
  <c r="H215" i="308" s="1"/>
  <c r="I215" i="308" s="1"/>
  <c r="E220" i="308" s="1"/>
  <c r="I211" i="308"/>
  <c r="E228" i="308"/>
  <c r="C237" i="308"/>
  <c r="E237" i="308" s="1"/>
  <c r="D358" i="308"/>
  <c r="D68" i="308"/>
  <c r="F14" i="308"/>
  <c r="B250" i="308"/>
  <c r="B247" i="308"/>
  <c r="B248" i="308" s="1"/>
  <c r="B249" i="308" s="1"/>
  <c r="B251" i="308" s="1"/>
  <c r="B252" i="308" s="1"/>
  <c r="B253" i="308" s="1"/>
  <c r="B254" i="308" s="1"/>
  <c r="B255" i="308" s="1"/>
  <c r="B256" i="308" s="1"/>
  <c r="B257" i="308" s="1"/>
  <c r="B259" i="308" s="1"/>
  <c r="B260" i="308" s="1"/>
  <c r="B261" i="308" s="1"/>
  <c r="B262" i="308" s="1"/>
  <c r="B263" i="308" s="1"/>
  <c r="B264" i="308" s="1"/>
  <c r="E193" i="308"/>
  <c r="I193" i="308" s="1"/>
  <c r="E192" i="308"/>
  <c r="I192" i="308" s="1"/>
  <c r="C343" i="308"/>
  <c r="H343" i="308" s="1"/>
  <c r="H338" i="308"/>
  <c r="C230" i="308"/>
  <c r="F101" i="308"/>
  <c r="F291" i="308"/>
  <c r="C339" i="308"/>
  <c r="H339" i="308" s="1"/>
  <c r="C270" i="308"/>
  <c r="E270" i="308" s="1"/>
  <c r="F150" i="308"/>
  <c r="E38" i="308"/>
  <c r="I280" i="308"/>
  <c r="E56" i="308"/>
  <c r="G217" i="308"/>
  <c r="D349" i="308"/>
  <c r="H349" i="308" s="1"/>
  <c r="C31" i="308"/>
  <c r="I181" i="308"/>
  <c r="E184" i="308" s="1"/>
  <c r="C184" i="308"/>
  <c r="C267" i="308"/>
  <c r="E267" i="308" s="1"/>
  <c r="F144" i="308"/>
  <c r="I144" i="308" s="1"/>
  <c r="C225" i="308"/>
  <c r="F92" i="308"/>
  <c r="E50" i="308"/>
  <c r="I50" i="308" s="1"/>
  <c r="E49" i="308"/>
  <c r="I49" i="308" s="1"/>
  <c r="D347" i="308"/>
  <c r="H347" i="308" s="1"/>
  <c r="H346" i="308"/>
  <c r="C268" i="308"/>
  <c r="E268" i="308" s="1"/>
  <c r="F145" i="308"/>
  <c r="I145" i="308" s="1"/>
  <c r="C163" i="308"/>
  <c r="D116" i="308"/>
  <c r="F108" i="308"/>
  <c r="C311" i="308"/>
  <c r="H311" i="308" s="1"/>
  <c r="H6" i="308"/>
  <c r="C235" i="308"/>
  <c r="E235" i="308" s="1"/>
  <c r="E226" i="308"/>
  <c r="C38" i="308"/>
  <c r="E48" i="308"/>
  <c r="F119" i="307"/>
  <c r="E119" i="307"/>
  <c r="E80" i="307" s="1"/>
  <c r="H80" i="307" s="1"/>
  <c r="H43" i="307"/>
  <c r="F21" i="307"/>
  <c r="F26" i="307"/>
  <c r="H19" i="307"/>
  <c r="E21" i="307"/>
  <c r="H36" i="307"/>
  <c r="H15" i="307"/>
  <c r="H81" i="307"/>
  <c r="G20" i="307"/>
  <c r="H20" i="307" s="1"/>
  <c r="E58" i="307"/>
  <c r="E82" i="307"/>
  <c r="G62" i="307"/>
  <c r="H62" i="307" s="1"/>
  <c r="H7" i="307"/>
  <c r="H9" i="307" s="1"/>
  <c r="C24" i="307"/>
  <c r="H24" i="307" s="1"/>
  <c r="H26" i="307" s="1"/>
  <c r="H31" i="307"/>
  <c r="A75" i="307"/>
  <c r="C35" i="307"/>
  <c r="H35" i="307" s="1"/>
  <c r="E61" i="307"/>
  <c r="E95" i="307"/>
  <c r="H95" i="307" s="1"/>
  <c r="G3" i="307"/>
  <c r="D16" i="307"/>
  <c r="H16" i="307" s="1"/>
  <c r="E26" i="307"/>
  <c r="D27" i="307" s="1"/>
  <c r="H27" i="307" s="1"/>
  <c r="H83" i="307"/>
  <c r="E9" i="307"/>
  <c r="H68" i="307"/>
  <c r="H69" i="307" s="1"/>
  <c r="A74" i="307"/>
  <c r="H86" i="307"/>
  <c r="C30" i="307"/>
  <c r="H30" i="307" s="1"/>
  <c r="E87" i="307"/>
  <c r="E93" i="307"/>
  <c r="N82" i="306"/>
  <c r="P82" i="306" s="1"/>
  <c r="P81" i="306" s="1"/>
  <c r="N79" i="306"/>
  <c r="P79" i="306" s="1"/>
  <c r="P78" i="306" s="1"/>
  <c r="G16" i="306"/>
  <c r="H16" i="306" s="1"/>
  <c r="H17" i="306" s="1"/>
  <c r="H37" i="306"/>
  <c r="E16" i="306"/>
  <c r="D17" i="306" s="1"/>
  <c r="F55" i="306"/>
  <c r="G55" i="306" s="1"/>
  <c r="I55" i="306" s="1"/>
  <c r="E4" i="306"/>
  <c r="G4" i="306" s="1"/>
  <c r="H6" i="306"/>
  <c r="E9" i="306"/>
  <c r="E19" i="306"/>
  <c r="H19" i="306" s="1"/>
  <c r="B57" i="306"/>
  <c r="G57" i="306" s="1"/>
  <c r="D48" i="306"/>
  <c r="E29" i="306"/>
  <c r="B56" i="306"/>
  <c r="G56" i="306" s="1"/>
  <c r="E21" i="306"/>
  <c r="H21" i="306" s="1"/>
  <c r="C59" i="306"/>
  <c r="G59" i="306" s="1"/>
  <c r="C58" i="306"/>
  <c r="G58" i="306" s="1"/>
  <c r="H21" i="307" l="1"/>
  <c r="H37" i="307"/>
  <c r="I223" i="334"/>
  <c r="T375" i="334" s="1"/>
  <c r="U375" i="334" s="1"/>
  <c r="G219" i="334"/>
  <c r="G254" i="334"/>
  <c r="H253" i="334"/>
  <c r="E101" i="309"/>
  <c r="D230" i="309" s="1"/>
  <c r="D239" i="309" s="1"/>
  <c r="G214" i="309"/>
  <c r="I214" i="309" s="1"/>
  <c r="H350" i="329"/>
  <c r="C327" i="308"/>
  <c r="E128" i="308"/>
  <c r="I128" i="308" s="1"/>
  <c r="E127" i="308"/>
  <c r="I127" i="308" s="1"/>
  <c r="H119" i="326"/>
  <c r="Q66" i="331"/>
  <c r="R66" i="331" s="1"/>
  <c r="D383" i="329"/>
  <c r="I383" i="329" s="1"/>
  <c r="D380" i="329"/>
  <c r="D382" i="329"/>
  <c r="I382" i="329" s="1"/>
  <c r="D354" i="329"/>
  <c r="H354" i="329" s="1"/>
  <c r="E24" i="329"/>
  <c r="I24" i="329" s="1"/>
  <c r="E23" i="329"/>
  <c r="I23" i="329" s="1"/>
  <c r="K165" i="329"/>
  <c r="I165" i="329"/>
  <c r="E65" i="329"/>
  <c r="I65" i="329" s="1"/>
  <c r="E66" i="329"/>
  <c r="I66" i="329" s="1"/>
  <c r="E106" i="329"/>
  <c r="I106" i="329" s="1"/>
  <c r="E105" i="329"/>
  <c r="I105" i="329" s="1"/>
  <c r="C321" i="329"/>
  <c r="H334" i="329"/>
  <c r="D291" i="329" a="1"/>
  <c r="D291" i="329" s="1"/>
  <c r="I233" i="329"/>
  <c r="E148" i="329"/>
  <c r="I148" i="329" s="1"/>
  <c r="E147" i="329"/>
  <c r="I147" i="329" s="1"/>
  <c r="H20" i="329"/>
  <c r="I19" i="329"/>
  <c r="E88" i="329"/>
  <c r="C88" i="329"/>
  <c r="D384" i="329" s="1"/>
  <c r="I384" i="329" s="1"/>
  <c r="I242" i="329"/>
  <c r="J250" i="329" s="1"/>
  <c r="D292" i="329"/>
  <c r="I250" i="329"/>
  <c r="C328" i="329"/>
  <c r="H328" i="329" s="1"/>
  <c r="H327" i="329"/>
  <c r="C326" i="329"/>
  <c r="H326" i="329" s="1"/>
  <c r="H325" i="329"/>
  <c r="D385" i="329"/>
  <c r="I385" i="329" s="1"/>
  <c r="D356" i="329"/>
  <c r="H356" i="329" s="1"/>
  <c r="E99" i="329"/>
  <c r="I99" i="329" s="1"/>
  <c r="E98" i="329"/>
  <c r="I98" i="329" s="1"/>
  <c r="E186" i="329"/>
  <c r="I186" i="329" s="1"/>
  <c r="E185" i="329"/>
  <c r="I185" i="329" s="1"/>
  <c r="C324" i="329"/>
  <c r="H324" i="329" s="1"/>
  <c r="H323" i="329"/>
  <c r="H350" i="325"/>
  <c r="C324" i="328"/>
  <c r="H323" i="328"/>
  <c r="E155" i="328"/>
  <c r="I155" i="328" s="1"/>
  <c r="E154" i="328"/>
  <c r="I154" i="328" s="1"/>
  <c r="E99" i="328"/>
  <c r="I99" i="328" s="1"/>
  <c r="E98" i="328"/>
  <c r="I98" i="328" s="1"/>
  <c r="D291" i="328" a="1"/>
  <c r="D291" i="328" s="1"/>
  <c r="I233" i="328"/>
  <c r="H20" i="328"/>
  <c r="I19" i="328"/>
  <c r="I242" i="328"/>
  <c r="J250" i="328" s="1"/>
  <c r="C326" i="328"/>
  <c r="H326" i="328" s="1"/>
  <c r="H325" i="328"/>
  <c r="E114" i="328"/>
  <c r="I114" i="328" s="1"/>
  <c r="E113" i="328"/>
  <c r="D382" i="328"/>
  <c r="I382" i="328" s="1"/>
  <c r="E106" i="328"/>
  <c r="I106" i="328" s="1"/>
  <c r="E105" i="328"/>
  <c r="I105" i="328" s="1"/>
  <c r="I165" i="328"/>
  <c r="K165" i="328"/>
  <c r="C119" i="328"/>
  <c r="D383" i="328" s="1"/>
  <c r="I383" i="328" s="1"/>
  <c r="I116" i="328"/>
  <c r="E119" i="328" s="1"/>
  <c r="C266" i="328"/>
  <c r="E266" i="328" s="1"/>
  <c r="D292" i="328" s="1"/>
  <c r="F143" i="328"/>
  <c r="H81" i="328"/>
  <c r="I80" i="328"/>
  <c r="G84" i="327"/>
  <c r="H80" i="326"/>
  <c r="H84" i="326" s="1"/>
  <c r="E84" i="326"/>
  <c r="C38" i="325"/>
  <c r="D354" i="325" s="1"/>
  <c r="H354" i="325" s="1"/>
  <c r="I35" i="325"/>
  <c r="E38" i="325" s="1"/>
  <c r="F101" i="325"/>
  <c r="C230" i="325"/>
  <c r="E57" i="325"/>
  <c r="I57" i="325" s="1"/>
  <c r="E58" i="325"/>
  <c r="I58" i="325" s="1"/>
  <c r="E99" i="325"/>
  <c r="I99" i="325" s="1"/>
  <c r="E98" i="325"/>
  <c r="I98" i="325" s="1"/>
  <c r="C328" i="325"/>
  <c r="H328" i="325" s="1"/>
  <c r="H327" i="325"/>
  <c r="I211" i="325"/>
  <c r="H215" i="325" a="1"/>
  <c r="H215" i="325" s="1"/>
  <c r="I215" i="325" s="1"/>
  <c r="E220" i="325" s="1"/>
  <c r="K165" i="325"/>
  <c r="I165" i="325"/>
  <c r="E65" i="325"/>
  <c r="I65" i="325" s="1"/>
  <c r="E66" i="325"/>
  <c r="I66" i="325" s="1"/>
  <c r="E186" i="325"/>
  <c r="I186" i="325" s="1"/>
  <c r="E185" i="325"/>
  <c r="I185" i="325" s="1"/>
  <c r="H80" i="325"/>
  <c r="I79" i="325"/>
  <c r="D384" i="325"/>
  <c r="I384" i="325" s="1"/>
  <c r="D382" i="325"/>
  <c r="I382" i="325" s="1"/>
  <c r="E24" i="325"/>
  <c r="I24" i="325" s="1"/>
  <c r="E23" i="325"/>
  <c r="I23" i="325" s="1"/>
  <c r="H324" i="325"/>
  <c r="C321" i="325"/>
  <c r="I42" i="324"/>
  <c r="E48" i="324" s="1"/>
  <c r="C48" i="324"/>
  <c r="C328" i="324"/>
  <c r="H328" i="324" s="1"/>
  <c r="H327" i="324"/>
  <c r="E186" i="324"/>
  <c r="I186" i="324" s="1"/>
  <c r="E185" i="324"/>
  <c r="I185" i="324" s="1"/>
  <c r="I52" i="324"/>
  <c r="E56" i="324" s="1"/>
  <c r="C56" i="324"/>
  <c r="E66" i="324"/>
  <c r="I66" i="324" s="1"/>
  <c r="E65" i="324"/>
  <c r="I65" i="324" s="1"/>
  <c r="I165" i="324"/>
  <c r="K165" i="324"/>
  <c r="D137" i="324"/>
  <c r="E143" i="324"/>
  <c r="F116" i="324"/>
  <c r="C244" i="324"/>
  <c r="E244" i="324" s="1"/>
  <c r="F69" i="324"/>
  <c r="I69" i="324" s="1"/>
  <c r="I108" i="324"/>
  <c r="E112" i="324" s="1"/>
  <c r="C112" i="324"/>
  <c r="E24" i="324"/>
  <c r="I24" i="324" s="1"/>
  <c r="E23" i="324"/>
  <c r="I23" i="324" s="1"/>
  <c r="C243" i="324"/>
  <c r="E243" i="324" s="1"/>
  <c r="F68" i="324"/>
  <c r="C334" i="324" a="1"/>
  <c r="C334" i="324" s="1"/>
  <c r="C300" i="324"/>
  <c r="G211" i="324"/>
  <c r="F35" i="324"/>
  <c r="D101" i="324"/>
  <c r="C243" i="323"/>
  <c r="E243" i="323" s="1"/>
  <c r="F68" i="323"/>
  <c r="C334" i="323" a="1"/>
  <c r="C334" i="323" s="1"/>
  <c r="C300" i="323"/>
  <c r="F35" i="323"/>
  <c r="G211" i="323"/>
  <c r="D101" i="323"/>
  <c r="C244" i="323"/>
  <c r="E244" i="323" s="1"/>
  <c r="F69" i="323"/>
  <c r="I69" i="323" s="1"/>
  <c r="D382" i="323"/>
  <c r="I382" i="323" s="1"/>
  <c r="E24" i="323"/>
  <c r="I24" i="323" s="1"/>
  <c r="E23" i="323"/>
  <c r="I23" i="323" s="1"/>
  <c r="C324" i="323"/>
  <c r="H324" i="323" s="1"/>
  <c r="H323" i="323"/>
  <c r="E58" i="323"/>
  <c r="I58" i="323" s="1"/>
  <c r="E57" i="323"/>
  <c r="I57" i="323" s="1"/>
  <c r="E66" i="323"/>
  <c r="I66" i="323" s="1"/>
  <c r="E65" i="323"/>
  <c r="I65" i="323" s="1"/>
  <c r="C328" i="323"/>
  <c r="H328" i="323" s="1"/>
  <c r="H327" i="323"/>
  <c r="K165" i="323"/>
  <c r="I165" i="323"/>
  <c r="E155" i="323"/>
  <c r="I155" i="323" s="1"/>
  <c r="E154" i="323"/>
  <c r="I154" i="323" s="1"/>
  <c r="E99" i="323"/>
  <c r="I99" i="323" s="1"/>
  <c r="E98" i="323"/>
  <c r="I98" i="323" s="1"/>
  <c r="I42" i="323"/>
  <c r="E48" i="323" s="1"/>
  <c r="C48" i="323"/>
  <c r="E147" i="323"/>
  <c r="I147" i="323" s="1"/>
  <c r="E148" i="323"/>
  <c r="I148" i="323" s="1"/>
  <c r="E186" i="322"/>
  <c r="I186" i="322" s="1"/>
  <c r="E185" i="322"/>
  <c r="I185" i="322" s="1"/>
  <c r="E99" i="322"/>
  <c r="I99" i="322" s="1"/>
  <c r="E98" i="322"/>
  <c r="I98" i="322" s="1"/>
  <c r="K165" i="322"/>
  <c r="I165" i="322"/>
  <c r="E23" i="322"/>
  <c r="I23" i="322" s="1"/>
  <c r="E24" i="322"/>
  <c r="I24" i="322" s="1"/>
  <c r="E22" i="322"/>
  <c r="C328" i="322"/>
  <c r="H328" i="322" s="1"/>
  <c r="H327" i="322"/>
  <c r="E66" i="322"/>
  <c r="I66" i="322" s="1"/>
  <c r="E65" i="322"/>
  <c r="I65" i="322" s="1"/>
  <c r="F69" i="322"/>
  <c r="I69" i="322" s="1"/>
  <c r="C244" i="322"/>
  <c r="E244" i="322" s="1"/>
  <c r="I42" i="322"/>
  <c r="E48" i="322" s="1"/>
  <c r="C48" i="322"/>
  <c r="C324" i="322"/>
  <c r="H324" i="322" s="1"/>
  <c r="H323" i="322"/>
  <c r="E143" i="322"/>
  <c r="D137" i="322"/>
  <c r="F116" i="322"/>
  <c r="C243" i="322"/>
  <c r="E243" i="322" s="1"/>
  <c r="F68" i="322"/>
  <c r="C334" i="322" a="1"/>
  <c r="C334" i="322" s="1"/>
  <c r="C300" i="322"/>
  <c r="G211" i="322"/>
  <c r="D101" i="322"/>
  <c r="F35" i="322"/>
  <c r="C112" i="322"/>
  <c r="I108" i="322"/>
  <c r="E112" i="322" s="1"/>
  <c r="I52" i="322"/>
  <c r="E56" i="322" s="1"/>
  <c r="C56" i="322"/>
  <c r="E90" i="321"/>
  <c r="I90" i="321" s="1"/>
  <c r="E89" i="321"/>
  <c r="I89" i="321" s="1"/>
  <c r="D384" i="321"/>
  <c r="I384" i="321" s="1"/>
  <c r="C328" i="321"/>
  <c r="H328" i="321" s="1"/>
  <c r="H327" i="321"/>
  <c r="D291" i="321" a="1"/>
  <c r="D291" i="321" s="1"/>
  <c r="I233" i="321"/>
  <c r="I242" i="321"/>
  <c r="J250" i="321" s="1"/>
  <c r="E99" i="321"/>
  <c r="I99" i="321" s="1"/>
  <c r="E98" i="321"/>
  <c r="I98" i="321" s="1"/>
  <c r="E106" i="321"/>
  <c r="I106" i="321" s="1"/>
  <c r="E105" i="321"/>
  <c r="I105" i="321" s="1"/>
  <c r="C326" i="321"/>
  <c r="H326" i="321" s="1"/>
  <c r="H325" i="321"/>
  <c r="K165" i="321"/>
  <c r="I165" i="321"/>
  <c r="E155" i="321"/>
  <c r="I155" i="321" s="1"/>
  <c r="E154" i="321"/>
  <c r="I154" i="321" s="1"/>
  <c r="C119" i="321"/>
  <c r="I116" i="321"/>
  <c r="E119" i="321" s="1"/>
  <c r="E114" i="321"/>
  <c r="I114" i="321" s="1"/>
  <c r="E113" i="321"/>
  <c r="H324" i="321"/>
  <c r="C321" i="321"/>
  <c r="D266" i="321"/>
  <c r="E266" i="321" s="1"/>
  <c r="F143" i="321"/>
  <c r="C139" i="321"/>
  <c r="I137" i="321"/>
  <c r="E139" i="321" s="1"/>
  <c r="K165" i="320"/>
  <c r="I165" i="320"/>
  <c r="D385" i="320"/>
  <c r="I385" i="320" s="1"/>
  <c r="D356" i="320"/>
  <c r="H356" i="320" s="1"/>
  <c r="H363" i="320" s="1"/>
  <c r="C319" i="320"/>
  <c r="E98" i="320"/>
  <c r="I98" i="320" s="1"/>
  <c r="E99" i="320"/>
  <c r="I99" i="320" s="1"/>
  <c r="E147" i="320"/>
  <c r="I147" i="320" s="1"/>
  <c r="E148" i="320"/>
  <c r="I148" i="320" s="1"/>
  <c r="E219" i="320"/>
  <c r="I388" i="320"/>
  <c r="C333" i="320"/>
  <c r="H333" i="320" s="1"/>
  <c r="C326" i="320"/>
  <c r="H326" i="320" s="1"/>
  <c r="H325" i="320"/>
  <c r="C330" i="320"/>
  <c r="H330" i="320" s="1"/>
  <c r="H329" i="320"/>
  <c r="E106" i="320"/>
  <c r="I106" i="320" s="1"/>
  <c r="E105" i="320"/>
  <c r="I105" i="320" s="1"/>
  <c r="D340" i="320"/>
  <c r="H340" i="320" s="1"/>
  <c r="H350" i="320" s="1"/>
  <c r="I113" i="320"/>
  <c r="D291" i="320" a="1"/>
  <c r="D291" i="320" s="1"/>
  <c r="I233" i="320"/>
  <c r="I242" i="320"/>
  <c r="J250" i="320" s="1"/>
  <c r="D292" i="320"/>
  <c r="E155" i="320"/>
  <c r="I155" i="320" s="1"/>
  <c r="E154" i="320"/>
  <c r="I154" i="320" s="1"/>
  <c r="H21" i="320"/>
  <c r="I21" i="320" s="1"/>
  <c r="I20" i="320"/>
  <c r="C324" i="320"/>
  <c r="H323" i="320"/>
  <c r="C266" i="319"/>
  <c r="E266" i="319" s="1"/>
  <c r="D292" i="319" s="1"/>
  <c r="F143" i="319"/>
  <c r="D355" i="319"/>
  <c r="H355" i="319" s="1"/>
  <c r="E89" i="319"/>
  <c r="I89" i="319" s="1"/>
  <c r="E90" i="319"/>
  <c r="I90" i="319" s="1"/>
  <c r="H21" i="319"/>
  <c r="I21" i="319" s="1"/>
  <c r="E22" i="319" s="1"/>
  <c r="I20" i="319"/>
  <c r="I116" i="319"/>
  <c r="E119" i="319" s="1"/>
  <c r="C119" i="319"/>
  <c r="D383" i="319" s="1"/>
  <c r="I383" i="319" s="1"/>
  <c r="E141" i="319"/>
  <c r="I141" i="319" s="1"/>
  <c r="E140" i="319"/>
  <c r="I140" i="319" s="1"/>
  <c r="D382" i="319"/>
  <c r="I382" i="319" s="1"/>
  <c r="D291" i="319" a="1"/>
  <c r="D291" i="319" s="1"/>
  <c r="I233" i="319"/>
  <c r="E106" i="319"/>
  <c r="I106" i="319" s="1"/>
  <c r="E105" i="319"/>
  <c r="I105" i="319" s="1"/>
  <c r="D384" i="319"/>
  <c r="I384" i="319" s="1"/>
  <c r="I242" i="319"/>
  <c r="J250" i="319" s="1"/>
  <c r="E98" i="319"/>
  <c r="I98" i="319" s="1"/>
  <c r="E99" i="319"/>
  <c r="I99" i="319" s="1"/>
  <c r="E114" i="319"/>
  <c r="I114" i="319" s="1"/>
  <c r="E113" i="319"/>
  <c r="I165" i="319"/>
  <c r="K165" i="319"/>
  <c r="C328" i="319"/>
  <c r="H328" i="319" s="1"/>
  <c r="H327" i="319"/>
  <c r="H324" i="319"/>
  <c r="C321" i="319"/>
  <c r="C333" i="318"/>
  <c r="H333" i="318" s="1"/>
  <c r="D291" i="318" a="1"/>
  <c r="D291" i="318" s="1"/>
  <c r="I233" i="318"/>
  <c r="C326" i="318"/>
  <c r="H326" i="318" s="1"/>
  <c r="H325" i="318"/>
  <c r="I242" i="318"/>
  <c r="J250" i="318" s="1"/>
  <c r="D292" i="318"/>
  <c r="C328" i="318"/>
  <c r="H328" i="318" s="1"/>
  <c r="H327" i="318"/>
  <c r="C324" i="318"/>
  <c r="H323" i="318"/>
  <c r="H329" i="318"/>
  <c r="C330" i="318"/>
  <c r="H330" i="318" s="1"/>
  <c r="E106" i="318"/>
  <c r="I106" i="318" s="1"/>
  <c r="E105" i="318"/>
  <c r="I105" i="318" s="1"/>
  <c r="E154" i="318"/>
  <c r="I154" i="318" s="1"/>
  <c r="E155" i="318"/>
  <c r="I155" i="318" s="1"/>
  <c r="E148" i="318"/>
  <c r="I148" i="318" s="1"/>
  <c r="E147" i="318"/>
  <c r="I147" i="318" s="1"/>
  <c r="D385" i="318"/>
  <c r="I385" i="318" s="1"/>
  <c r="I388" i="318" s="1"/>
  <c r="D356" i="318"/>
  <c r="H356" i="318" s="1"/>
  <c r="H363" i="318" s="1"/>
  <c r="C319" i="318"/>
  <c r="E98" i="318"/>
  <c r="I98" i="318" s="1"/>
  <c r="E99" i="318"/>
  <c r="I99" i="318" s="1"/>
  <c r="E219" i="318"/>
  <c r="E223" i="318" s="1"/>
  <c r="S375" i="318" s="1"/>
  <c r="D52" i="317"/>
  <c r="D35" i="317"/>
  <c r="J42" i="317"/>
  <c r="D42" i="317" s="1"/>
  <c r="F42" i="317" s="1"/>
  <c r="D69" i="317"/>
  <c r="E66" i="317"/>
  <c r="I66" i="317" s="1"/>
  <c r="E65" i="317"/>
  <c r="I65" i="317" s="1"/>
  <c r="C22" i="317"/>
  <c r="S376" i="317"/>
  <c r="U376" i="317" s="1"/>
  <c r="H358" i="317"/>
  <c r="C328" i="317"/>
  <c r="H328" i="317" s="1"/>
  <c r="H327" i="317"/>
  <c r="H329" i="317"/>
  <c r="C330" i="317"/>
  <c r="H330" i="317" s="1"/>
  <c r="E148" i="317"/>
  <c r="I148" i="317" s="1"/>
  <c r="E147" i="317"/>
  <c r="I147" i="317" s="1"/>
  <c r="I68" i="317"/>
  <c r="E99" i="317"/>
  <c r="I99" i="317" s="1"/>
  <c r="E98" i="317"/>
  <c r="I98" i="317" s="1"/>
  <c r="C324" i="317"/>
  <c r="H324" i="317" s="1"/>
  <c r="H323" i="317"/>
  <c r="E22" i="317"/>
  <c r="N69" i="315"/>
  <c r="H350" i="314"/>
  <c r="H20" i="314"/>
  <c r="I19" i="314"/>
  <c r="C22" i="314"/>
  <c r="C324" i="314"/>
  <c r="H324" i="314" s="1"/>
  <c r="H323" i="314"/>
  <c r="K165" i="314"/>
  <c r="I165" i="314"/>
  <c r="H80" i="314"/>
  <c r="I79" i="314"/>
  <c r="H329" i="314"/>
  <c r="C330" i="314"/>
  <c r="H330" i="314" s="1"/>
  <c r="S376" i="314"/>
  <c r="U376" i="314" s="1"/>
  <c r="H358" i="314"/>
  <c r="I68" i="314"/>
  <c r="C328" i="314"/>
  <c r="H328" i="314" s="1"/>
  <c r="H327" i="314"/>
  <c r="J42" i="314"/>
  <c r="D42" i="314" s="1"/>
  <c r="F42" i="314" s="1"/>
  <c r="D69" i="314"/>
  <c r="D52" i="314"/>
  <c r="D35" i="314"/>
  <c r="E99" i="314"/>
  <c r="I99" i="314" s="1"/>
  <c r="E98" i="314"/>
  <c r="I98" i="314" s="1"/>
  <c r="J42" i="313"/>
  <c r="D42" i="313" s="1"/>
  <c r="F42" i="313" s="1"/>
  <c r="J69" i="313"/>
  <c r="D69" i="313" s="1"/>
  <c r="J52" i="313"/>
  <c r="D52" i="313" s="1"/>
  <c r="D35" i="313"/>
  <c r="E22" i="313"/>
  <c r="I165" i="313"/>
  <c r="K165" i="313"/>
  <c r="E155" i="313"/>
  <c r="I155" i="313" s="1"/>
  <c r="E154" i="313"/>
  <c r="I154" i="313" s="1"/>
  <c r="C22" i="313"/>
  <c r="E99" i="313"/>
  <c r="I99" i="313" s="1"/>
  <c r="E98" i="313"/>
  <c r="I98" i="313" s="1"/>
  <c r="S376" i="313"/>
  <c r="U376" i="313" s="1"/>
  <c r="H358" i="313"/>
  <c r="H334" i="312"/>
  <c r="I68" i="312"/>
  <c r="E88" i="312" s="1"/>
  <c r="C88" i="312"/>
  <c r="D384" i="312" s="1"/>
  <c r="I384" i="312" s="1"/>
  <c r="E50" i="312"/>
  <c r="I50" i="312" s="1"/>
  <c r="E49" i="312"/>
  <c r="I49" i="312" s="1"/>
  <c r="E186" i="312"/>
  <c r="I186" i="312" s="1"/>
  <c r="E185" i="312"/>
  <c r="I185" i="312" s="1"/>
  <c r="E98" i="312"/>
  <c r="I98" i="312" s="1"/>
  <c r="E99" i="312"/>
  <c r="I99" i="312" s="1"/>
  <c r="I250" i="312"/>
  <c r="I165" i="312"/>
  <c r="K165" i="312"/>
  <c r="I116" i="312"/>
  <c r="E119" i="312" s="1"/>
  <c r="C119" i="312"/>
  <c r="C328" i="312"/>
  <c r="H328" i="312" s="1"/>
  <c r="H327" i="312"/>
  <c r="E155" i="312"/>
  <c r="I155" i="312" s="1"/>
  <c r="E154" i="312"/>
  <c r="I154" i="312" s="1"/>
  <c r="D266" i="312"/>
  <c r="E266" i="312" s="1"/>
  <c r="D292" i="312" s="1"/>
  <c r="F143" i="312"/>
  <c r="E106" i="312"/>
  <c r="I106" i="312" s="1"/>
  <c r="E105" i="312"/>
  <c r="I105" i="312" s="1"/>
  <c r="C326" i="312"/>
  <c r="H326" i="312" s="1"/>
  <c r="H325" i="312"/>
  <c r="C324" i="312"/>
  <c r="H324" i="312" s="1"/>
  <c r="H323" i="312"/>
  <c r="E23" i="312"/>
  <c r="I23" i="312" s="1"/>
  <c r="E24" i="312"/>
  <c r="I24" i="312" s="1"/>
  <c r="C139" i="312"/>
  <c r="D382" i="312" s="1"/>
  <c r="I382" i="312" s="1"/>
  <c r="I137" i="312"/>
  <c r="E139" i="312" s="1"/>
  <c r="D291" i="312" a="1"/>
  <c r="D291" i="312" s="1"/>
  <c r="I233" i="312"/>
  <c r="E114" i="312"/>
  <c r="I114" i="312" s="1"/>
  <c r="E113" i="312"/>
  <c r="I242" i="312"/>
  <c r="J250" i="312" s="1"/>
  <c r="C328" i="311"/>
  <c r="H328" i="311" s="1"/>
  <c r="H327" i="311"/>
  <c r="E154" i="311"/>
  <c r="I154" i="311" s="1"/>
  <c r="E155" i="311"/>
  <c r="I155" i="311" s="1"/>
  <c r="D291" i="311" a="1"/>
  <c r="D291" i="311" s="1"/>
  <c r="I233" i="311"/>
  <c r="H84" i="311"/>
  <c r="I83" i="311"/>
  <c r="I242" i="311"/>
  <c r="J250" i="311" s="1"/>
  <c r="C324" i="311"/>
  <c r="H324" i="311" s="1"/>
  <c r="H323" i="311"/>
  <c r="H334" i="311"/>
  <c r="E113" i="311"/>
  <c r="E114" i="311"/>
  <c r="I114" i="311" s="1"/>
  <c r="C88" i="311"/>
  <c r="I68" i="311"/>
  <c r="C119" i="311"/>
  <c r="D354" i="311" s="1"/>
  <c r="H354" i="311" s="1"/>
  <c r="I116" i="311"/>
  <c r="E119" i="311" s="1"/>
  <c r="I250" i="311"/>
  <c r="E140" i="311"/>
  <c r="I140" i="311" s="1"/>
  <c r="E141" i="311"/>
  <c r="I141" i="311" s="1"/>
  <c r="H20" i="311"/>
  <c r="I19" i="311"/>
  <c r="D382" i="311"/>
  <c r="I382" i="311" s="1"/>
  <c r="E23" i="311"/>
  <c r="I23" i="311" s="1"/>
  <c r="E24" i="311"/>
  <c r="I24" i="311" s="1"/>
  <c r="C266" i="311"/>
  <c r="E266" i="311" s="1"/>
  <c r="F143" i="311"/>
  <c r="E105" i="311"/>
  <c r="I105" i="311" s="1"/>
  <c r="E106" i="311"/>
  <c r="I106" i="311" s="1"/>
  <c r="E99" i="311"/>
  <c r="I99" i="311" s="1"/>
  <c r="E98" i="311"/>
  <c r="I98" i="311" s="1"/>
  <c r="C326" i="311"/>
  <c r="H326" i="311" s="1"/>
  <c r="H325" i="311"/>
  <c r="B266" i="310"/>
  <c r="B267" i="310"/>
  <c r="B268" i="310" s="1"/>
  <c r="B270" i="310" s="1"/>
  <c r="B271" i="310" s="1"/>
  <c r="B272" i="310" s="1"/>
  <c r="B274" i="310" s="1"/>
  <c r="B275" i="310" s="1"/>
  <c r="B276" i="310" s="1"/>
  <c r="B277" i="310" s="1"/>
  <c r="B278" i="310" s="1"/>
  <c r="B279" i="310" s="1"/>
  <c r="D348" i="310"/>
  <c r="H348" i="310" s="1"/>
  <c r="D357" i="310"/>
  <c r="D342" i="310"/>
  <c r="H342" i="310" s="1"/>
  <c r="C324" i="310"/>
  <c r="H324" i="310" s="1"/>
  <c r="H323" i="310"/>
  <c r="H358" i="310"/>
  <c r="S376" i="310"/>
  <c r="U376" i="310" s="1"/>
  <c r="E141" i="310"/>
  <c r="I141" i="310" s="1"/>
  <c r="E140" i="310"/>
  <c r="I140" i="310" s="1"/>
  <c r="I14" i="310"/>
  <c r="E22" i="310" s="1"/>
  <c r="C22" i="310"/>
  <c r="E154" i="310"/>
  <c r="I154" i="310" s="1"/>
  <c r="E155" i="310"/>
  <c r="I155" i="310" s="1"/>
  <c r="C112" i="310"/>
  <c r="I108" i="310"/>
  <c r="E112" i="310" s="1"/>
  <c r="C234" i="310"/>
  <c r="E234" i="310" s="1"/>
  <c r="E225" i="310"/>
  <c r="C328" i="310"/>
  <c r="H328" i="310" s="1"/>
  <c r="H327" i="310"/>
  <c r="E164" i="310"/>
  <c r="I164" i="310" s="1"/>
  <c r="E165" i="310"/>
  <c r="C325" i="310"/>
  <c r="E39" i="310"/>
  <c r="I39" i="310" s="1"/>
  <c r="E40" i="310"/>
  <c r="I40" i="310" s="1"/>
  <c r="C243" i="310"/>
  <c r="E243" i="310" s="1"/>
  <c r="F68" i="310"/>
  <c r="I68" i="310" s="1"/>
  <c r="C334" i="310" a="1"/>
  <c r="C334" i="310" s="1"/>
  <c r="D143" i="310"/>
  <c r="F116" i="310"/>
  <c r="C97" i="310"/>
  <c r="I92" i="310"/>
  <c r="E97" i="310" s="1"/>
  <c r="C104" i="310"/>
  <c r="I101" i="310"/>
  <c r="E104" i="310" s="1"/>
  <c r="E185" i="310"/>
  <c r="I185" i="310" s="1"/>
  <c r="E186" i="310"/>
  <c r="I186" i="310" s="1"/>
  <c r="C239" i="310"/>
  <c r="E239" i="310" s="1"/>
  <c r="E230" i="310"/>
  <c r="E68" i="309"/>
  <c r="D243" i="309" s="1"/>
  <c r="E69" i="309"/>
  <c r="D244" i="309" s="1"/>
  <c r="H78" i="309"/>
  <c r="I77" i="309"/>
  <c r="B266" i="309"/>
  <c r="B267" i="309"/>
  <c r="B268" i="309" s="1"/>
  <c r="B270" i="309" s="1"/>
  <c r="B271" i="309" s="1"/>
  <c r="B272" i="309" s="1"/>
  <c r="B274" i="309" s="1"/>
  <c r="B275" i="309" s="1"/>
  <c r="B276" i="309" s="1"/>
  <c r="B277" i="309" s="1"/>
  <c r="B278" i="309" s="1"/>
  <c r="B279" i="309" s="1"/>
  <c r="D69" i="309"/>
  <c r="D68" i="309"/>
  <c r="C324" i="309"/>
  <c r="H324" i="309" s="1"/>
  <c r="H323" i="309"/>
  <c r="C97" i="309"/>
  <c r="I92" i="309"/>
  <c r="E97" i="309" s="1"/>
  <c r="E185" i="309"/>
  <c r="I185" i="309" s="1"/>
  <c r="E186" i="309"/>
  <c r="I186" i="309" s="1"/>
  <c r="E22" i="309"/>
  <c r="C22" i="309"/>
  <c r="D342" i="309"/>
  <c r="H342" i="309" s="1"/>
  <c r="H350" i="309" s="1"/>
  <c r="I52" i="309"/>
  <c r="E56" i="309" s="1"/>
  <c r="C56" i="309"/>
  <c r="E227" i="309"/>
  <c r="C236" i="309"/>
  <c r="E236" i="309" s="1"/>
  <c r="D357" i="309"/>
  <c r="C328" i="309"/>
  <c r="H328" i="309" s="1"/>
  <c r="H327" i="309"/>
  <c r="E164" i="309"/>
  <c r="I164" i="309" s="1"/>
  <c r="E165" i="309"/>
  <c r="I60" i="309"/>
  <c r="E64" i="309" s="1"/>
  <c r="C64" i="309"/>
  <c r="C234" i="309"/>
  <c r="E234" i="309" s="1"/>
  <c r="E225" i="309"/>
  <c r="E148" i="309"/>
  <c r="I148" i="309" s="1"/>
  <c r="E147" i="309"/>
  <c r="I147" i="309" s="1"/>
  <c r="D35" i="309"/>
  <c r="D42" i="309"/>
  <c r="F42" i="309" s="1"/>
  <c r="E154" i="309"/>
  <c r="I154" i="309" s="1"/>
  <c r="E155" i="309"/>
  <c r="I155" i="309" s="1"/>
  <c r="I285" i="309"/>
  <c r="I76" i="309"/>
  <c r="C329" i="309"/>
  <c r="E121" i="309"/>
  <c r="I121" i="309" s="1"/>
  <c r="E120" i="309"/>
  <c r="I120" i="309" s="1"/>
  <c r="C240" i="308"/>
  <c r="E240" i="308" s="1"/>
  <c r="E231" i="308"/>
  <c r="C97" i="308"/>
  <c r="I92" i="308"/>
  <c r="E97" i="308" s="1"/>
  <c r="C323" i="308"/>
  <c r="E33" i="308"/>
  <c r="I33" i="308" s="1"/>
  <c r="E32" i="308"/>
  <c r="I32" i="308" s="1"/>
  <c r="I150" i="308"/>
  <c r="E153" i="308" s="1"/>
  <c r="C153" i="308"/>
  <c r="I14" i="308"/>
  <c r="E22" i="308" s="1"/>
  <c r="C22" i="308"/>
  <c r="E225" i="308"/>
  <c r="C234" i="308"/>
  <c r="E234" i="308" s="1"/>
  <c r="I273" i="308"/>
  <c r="C243" i="308"/>
  <c r="E243" i="308" s="1"/>
  <c r="F68" i="308"/>
  <c r="C334" i="308" a="1"/>
  <c r="C334" i="308" s="1"/>
  <c r="H358" i="308"/>
  <c r="S376" i="308"/>
  <c r="U376" i="308" s="1"/>
  <c r="C325" i="308"/>
  <c r="E40" i="308"/>
  <c r="I40" i="308" s="1"/>
  <c r="E39" i="308"/>
  <c r="I39" i="308" s="1"/>
  <c r="D348" i="308"/>
  <c r="H348" i="308" s="1"/>
  <c r="D357" i="308"/>
  <c r="D342" i="308"/>
  <c r="H342" i="308" s="1"/>
  <c r="C112" i="308"/>
  <c r="I108" i="308"/>
  <c r="E112" i="308" s="1"/>
  <c r="E186" i="308"/>
  <c r="I186" i="308" s="1"/>
  <c r="E185" i="308"/>
  <c r="I185" i="308" s="1"/>
  <c r="I101" i="308"/>
  <c r="E104" i="308" s="1"/>
  <c r="C104" i="308"/>
  <c r="D143" i="308"/>
  <c r="F116" i="308"/>
  <c r="E230" i="308"/>
  <c r="C239" i="308"/>
  <c r="E239" i="308" s="1"/>
  <c r="E165" i="308"/>
  <c r="E164" i="308"/>
  <c r="I164" i="308" s="1"/>
  <c r="B266" i="308"/>
  <c r="B267" i="308"/>
  <c r="B268" i="308" s="1"/>
  <c r="B270" i="308" s="1"/>
  <c r="B271" i="308" s="1"/>
  <c r="B272" i="308" s="1"/>
  <c r="B274" i="308" s="1"/>
  <c r="B275" i="308" s="1"/>
  <c r="B276" i="308" s="1"/>
  <c r="B277" i="308" s="1"/>
  <c r="B278" i="308" s="1"/>
  <c r="B279" i="308" s="1"/>
  <c r="H32" i="307"/>
  <c r="D64" i="307" s="1"/>
  <c r="H93" i="307"/>
  <c r="E94" i="307"/>
  <c r="H94" i="307" s="1"/>
  <c r="E37" i="307"/>
  <c r="D38" i="307" s="1"/>
  <c r="H38" i="307" s="1"/>
  <c r="H66" i="307" s="1"/>
  <c r="H82" i="307"/>
  <c r="H61" i="307"/>
  <c r="H63" i="307" s="1"/>
  <c r="D65" i="307" s="1"/>
  <c r="H65" i="307" s="1"/>
  <c r="E63" i="307"/>
  <c r="H87" i="307"/>
  <c r="H90" i="307" s="1"/>
  <c r="E109" i="307"/>
  <c r="H109" i="307" s="1"/>
  <c r="H70" i="307"/>
  <c r="C121" i="307"/>
  <c r="E79" i="307"/>
  <c r="E103" i="307"/>
  <c r="H103" i="307" s="1"/>
  <c r="D10" i="307"/>
  <c r="H10" i="307" s="1"/>
  <c r="D76" i="307"/>
  <c r="E32" i="307"/>
  <c r="H22" i="306"/>
  <c r="D22" i="306"/>
  <c r="D12" i="306"/>
  <c r="H9" i="306"/>
  <c r="H12" i="306" s="1"/>
  <c r="C52" i="306"/>
  <c r="G52" i="306" s="1"/>
  <c r="D27" i="306"/>
  <c r="H24" i="306"/>
  <c r="H27" i="306" s="1"/>
  <c r="D7" i="306"/>
  <c r="B7" i="306"/>
  <c r="D32" i="306"/>
  <c r="K32" i="306" s="1"/>
  <c r="H29" i="306"/>
  <c r="H32" i="306" s="1"/>
  <c r="G255" i="334" l="1"/>
  <c r="H254" i="334"/>
  <c r="H327" i="308"/>
  <c r="C328" i="308"/>
  <c r="H328" i="308" s="1"/>
  <c r="H21" i="329"/>
  <c r="I21" i="329" s="1"/>
  <c r="I20" i="329"/>
  <c r="E22" i="329" s="1"/>
  <c r="C319" i="329"/>
  <c r="E219" i="329"/>
  <c r="I388" i="329"/>
  <c r="D355" i="329"/>
  <c r="H355" i="329" s="1"/>
  <c r="H363" i="329" s="1"/>
  <c r="C333" i="329"/>
  <c r="H333" i="329" s="1"/>
  <c r="E89" i="329"/>
  <c r="I89" i="329" s="1"/>
  <c r="E90" i="329"/>
  <c r="I90" i="329" s="1"/>
  <c r="S377" i="329"/>
  <c r="C313" i="329"/>
  <c r="H313" i="329" s="1"/>
  <c r="H314" i="329" s="1"/>
  <c r="E218" i="325"/>
  <c r="D354" i="328"/>
  <c r="H354" i="328" s="1"/>
  <c r="C329" i="328"/>
  <c r="E121" i="328"/>
  <c r="I121" i="328" s="1"/>
  <c r="E120" i="328"/>
  <c r="I120" i="328" s="1"/>
  <c r="H21" i="328"/>
  <c r="I21" i="328" s="1"/>
  <c r="I20" i="328"/>
  <c r="D385" i="328"/>
  <c r="I385" i="328" s="1"/>
  <c r="I388" i="328" s="1"/>
  <c r="H82" i="328"/>
  <c r="I81" i="328"/>
  <c r="S377" i="328"/>
  <c r="C313" i="328"/>
  <c r="H313" i="328" s="1"/>
  <c r="H314" i="328" s="1"/>
  <c r="I143" i="328"/>
  <c r="E146" i="328" s="1"/>
  <c r="C146" i="328"/>
  <c r="I269" i="328"/>
  <c r="D380" i="328"/>
  <c r="H324" i="328"/>
  <c r="C321" i="328"/>
  <c r="D340" i="328"/>
  <c r="H340" i="328" s="1"/>
  <c r="H350" i="328" s="1"/>
  <c r="I113" i="328"/>
  <c r="G84" i="326"/>
  <c r="H125" i="326"/>
  <c r="C239" i="325"/>
  <c r="E239" i="325" s="1"/>
  <c r="E230" i="325"/>
  <c r="I101" i="325"/>
  <c r="E104" i="325" s="1"/>
  <c r="C104" i="325"/>
  <c r="H81" i="325"/>
  <c r="I80" i="325"/>
  <c r="C325" i="325"/>
  <c r="E40" i="325"/>
  <c r="I40" i="325" s="1"/>
  <c r="E39" i="325"/>
  <c r="I39" i="325" s="1"/>
  <c r="D380" i="325"/>
  <c r="D383" i="325"/>
  <c r="I383" i="325" s="1"/>
  <c r="H334" i="324"/>
  <c r="C321" i="324"/>
  <c r="C88" i="324"/>
  <c r="I68" i="324"/>
  <c r="E88" i="324" s="1"/>
  <c r="D266" i="324"/>
  <c r="E266" i="324" s="1"/>
  <c r="F143" i="324"/>
  <c r="I250" i="324"/>
  <c r="I137" i="324"/>
  <c r="E139" i="324" s="1"/>
  <c r="C139" i="324"/>
  <c r="D382" i="324" s="1"/>
  <c r="I382" i="324" s="1"/>
  <c r="E113" i="324"/>
  <c r="E114" i="324"/>
  <c r="I114" i="324" s="1"/>
  <c r="I116" i="324"/>
  <c r="E119" i="324" s="1"/>
  <c r="C119" i="324"/>
  <c r="C38" i="324"/>
  <c r="I35" i="324"/>
  <c r="E38" i="324" s="1"/>
  <c r="E58" i="324"/>
  <c r="I58" i="324" s="1"/>
  <c r="E57" i="324"/>
  <c r="I57" i="324" s="1"/>
  <c r="H215" i="324" a="1"/>
  <c r="H215" i="324" s="1"/>
  <c r="I215" i="324" s="1"/>
  <c r="E220" i="324" s="1"/>
  <c r="I211" i="324"/>
  <c r="E49" i="324"/>
  <c r="I49" i="324" s="1"/>
  <c r="E50" i="324"/>
  <c r="I50" i="324" s="1"/>
  <c r="C230" i="324"/>
  <c r="F101" i="324"/>
  <c r="E50" i="323"/>
  <c r="I50" i="323" s="1"/>
  <c r="E49" i="323"/>
  <c r="I49" i="323" s="1"/>
  <c r="I250" i="323"/>
  <c r="C230" i="323"/>
  <c r="F101" i="323"/>
  <c r="H215" i="323" a="1"/>
  <c r="H215" i="323" s="1"/>
  <c r="I215" i="323" s="1"/>
  <c r="E220" i="323" s="1"/>
  <c r="I211" i="323"/>
  <c r="I35" i="323"/>
  <c r="E38" i="323" s="1"/>
  <c r="C38" i="323"/>
  <c r="H334" i="323"/>
  <c r="C321" i="323"/>
  <c r="I68" i="323"/>
  <c r="E88" i="323" s="1"/>
  <c r="C88" i="323"/>
  <c r="H334" i="322"/>
  <c r="C321" i="322"/>
  <c r="E58" i="322"/>
  <c r="I58" i="322" s="1"/>
  <c r="E57" i="322"/>
  <c r="I57" i="322" s="1"/>
  <c r="E49" i="322"/>
  <c r="I49" i="322" s="1"/>
  <c r="E50" i="322"/>
  <c r="I50" i="322" s="1"/>
  <c r="C88" i="322"/>
  <c r="I68" i="322"/>
  <c r="E88" i="322" s="1"/>
  <c r="I250" i="322"/>
  <c r="E113" i="322"/>
  <c r="E114" i="322"/>
  <c r="I114" i="322" s="1"/>
  <c r="I116" i="322"/>
  <c r="E119" i="322" s="1"/>
  <c r="C119" i="322"/>
  <c r="C38" i="322"/>
  <c r="I35" i="322"/>
  <c r="E38" i="322" s="1"/>
  <c r="I137" i="322"/>
  <c r="E139" i="322" s="1"/>
  <c r="C139" i="322"/>
  <c r="D382" i="322" s="1"/>
  <c r="I382" i="322" s="1"/>
  <c r="C230" i="322"/>
  <c r="F101" i="322"/>
  <c r="D266" i="322"/>
  <c r="E266" i="322" s="1"/>
  <c r="F143" i="322"/>
  <c r="I211" i="322"/>
  <c r="H215" i="322" a="1"/>
  <c r="H215" i="322" s="1"/>
  <c r="I215" i="322" s="1"/>
  <c r="E220" i="322" s="1"/>
  <c r="C329" i="321"/>
  <c r="E121" i="321"/>
  <c r="I121" i="321" s="1"/>
  <c r="E120" i="321"/>
  <c r="I120" i="321" s="1"/>
  <c r="D383" i="321"/>
  <c r="I383" i="321" s="1"/>
  <c r="D380" i="321"/>
  <c r="D354" i="321"/>
  <c r="H354" i="321" s="1"/>
  <c r="I143" i="321"/>
  <c r="E146" i="321" s="1"/>
  <c r="C146" i="321"/>
  <c r="I269" i="321"/>
  <c r="E218" i="321"/>
  <c r="D340" i="321"/>
  <c r="H340" i="321" s="1"/>
  <c r="H350" i="321" s="1"/>
  <c r="I113" i="321"/>
  <c r="D385" i="321"/>
  <c r="I385" i="321" s="1"/>
  <c r="E141" i="321"/>
  <c r="I141" i="321" s="1"/>
  <c r="E140" i="321"/>
  <c r="I140" i="321" s="1"/>
  <c r="D382" i="321"/>
  <c r="I382" i="321" s="1"/>
  <c r="D292" i="321"/>
  <c r="S377" i="321" s="1"/>
  <c r="H324" i="320"/>
  <c r="C321" i="320"/>
  <c r="E22" i="320"/>
  <c r="S377" i="320"/>
  <c r="C313" i="320"/>
  <c r="H313" i="320" s="1"/>
  <c r="H314" i="320" s="1"/>
  <c r="T383" i="320" s="1"/>
  <c r="U383" i="320" s="1"/>
  <c r="C331" i="320"/>
  <c r="H331" i="320" s="1"/>
  <c r="C335" i="320"/>
  <c r="C320" i="320"/>
  <c r="D385" i="319"/>
  <c r="I385" i="319" s="1"/>
  <c r="I388" i="319" s="1"/>
  <c r="D354" i="319"/>
  <c r="H354" i="319" s="1"/>
  <c r="E120" i="319"/>
  <c r="I120" i="319" s="1"/>
  <c r="C329" i="319"/>
  <c r="E121" i="319"/>
  <c r="I121" i="319" s="1"/>
  <c r="I143" i="319"/>
  <c r="E146" i="319" s="1"/>
  <c r="C146" i="319"/>
  <c r="S377" i="319"/>
  <c r="C313" i="319"/>
  <c r="H313" i="319" s="1"/>
  <c r="H314" i="319" s="1"/>
  <c r="I269" i="319"/>
  <c r="D380" i="319"/>
  <c r="D340" i="319"/>
  <c r="H340" i="319" s="1"/>
  <c r="H350" i="319" s="1"/>
  <c r="I113" i="319"/>
  <c r="E218" i="319"/>
  <c r="H324" i="318"/>
  <c r="C321" i="318"/>
  <c r="S377" i="318"/>
  <c r="C313" i="318"/>
  <c r="H313" i="318" s="1"/>
  <c r="H314" i="318" s="1"/>
  <c r="T383" i="318" s="1"/>
  <c r="U383" i="318" s="1"/>
  <c r="C331" i="318"/>
  <c r="H331" i="318" s="1"/>
  <c r="C335" i="318"/>
  <c r="C320" i="318"/>
  <c r="E23" i="317"/>
  <c r="I23" i="317" s="1"/>
  <c r="E24" i="317"/>
  <c r="I24" i="317" s="1"/>
  <c r="C244" i="317"/>
  <c r="E244" i="317" s="1"/>
  <c r="F69" i="317"/>
  <c r="C334" i="317" a="1"/>
  <c r="C334" i="317" s="1"/>
  <c r="C48" i="317"/>
  <c r="I42" i="317"/>
  <c r="E48" i="317" s="1"/>
  <c r="G211" i="317"/>
  <c r="C300" i="317"/>
  <c r="F35" i="317"/>
  <c r="D101" i="317"/>
  <c r="C56" i="317"/>
  <c r="I52" i="317"/>
  <c r="E56" i="317" s="1"/>
  <c r="G211" i="314"/>
  <c r="C300" i="314"/>
  <c r="F35" i="314"/>
  <c r="D101" i="314"/>
  <c r="H81" i="314"/>
  <c r="I80" i="314"/>
  <c r="I52" i="314"/>
  <c r="E56" i="314" s="1"/>
  <c r="C56" i="314"/>
  <c r="C244" i="314"/>
  <c r="E244" i="314" s="1"/>
  <c r="F69" i="314"/>
  <c r="C334" i="314" a="1"/>
  <c r="C334" i="314" s="1"/>
  <c r="E24" i="314"/>
  <c r="I24" i="314" s="1"/>
  <c r="E23" i="314"/>
  <c r="I23" i="314" s="1"/>
  <c r="I42" i="314"/>
  <c r="E48" i="314" s="1"/>
  <c r="C48" i="314"/>
  <c r="I20" i="314"/>
  <c r="H21" i="314"/>
  <c r="I21" i="314" s="1"/>
  <c r="G211" i="313"/>
  <c r="C300" i="313"/>
  <c r="D101" i="313"/>
  <c r="F35" i="313"/>
  <c r="I42" i="313"/>
  <c r="E48" i="313" s="1"/>
  <c r="C48" i="313"/>
  <c r="I52" i="313"/>
  <c r="E56" i="313" s="1"/>
  <c r="C56" i="313"/>
  <c r="D382" i="313" s="1"/>
  <c r="I382" i="313" s="1"/>
  <c r="C244" i="313"/>
  <c r="E244" i="313" s="1"/>
  <c r="F69" i="313"/>
  <c r="C334" i="313" a="1"/>
  <c r="C334" i="313" s="1"/>
  <c r="E23" i="313"/>
  <c r="I23" i="313" s="1"/>
  <c r="E24" i="313"/>
  <c r="I24" i="313" s="1"/>
  <c r="D380" i="312"/>
  <c r="D354" i="312"/>
  <c r="H354" i="312" s="1"/>
  <c r="D340" i="312"/>
  <c r="H340" i="312" s="1"/>
  <c r="H350" i="312" s="1"/>
  <c r="I113" i="312"/>
  <c r="C321" i="312"/>
  <c r="C329" i="312"/>
  <c r="E120" i="312"/>
  <c r="I120" i="312" s="1"/>
  <c r="E121" i="312"/>
  <c r="I121" i="312" s="1"/>
  <c r="S377" i="312"/>
  <c r="C313" i="312"/>
  <c r="H313" i="312" s="1"/>
  <c r="H314" i="312" s="1"/>
  <c r="D355" i="312"/>
  <c r="H355" i="312" s="1"/>
  <c r="E89" i="312"/>
  <c r="I89" i="312" s="1"/>
  <c r="E90" i="312"/>
  <c r="I90" i="312" s="1"/>
  <c r="I143" i="312"/>
  <c r="E146" i="312" s="1"/>
  <c r="C146" i="312"/>
  <c r="C333" i="312" s="1"/>
  <c r="H333" i="312" s="1"/>
  <c r="E218" i="312"/>
  <c r="D383" i="312"/>
  <c r="I383" i="312" s="1"/>
  <c r="I269" i="312"/>
  <c r="E141" i="312"/>
  <c r="I141" i="312" s="1"/>
  <c r="E140" i="312"/>
  <c r="I140" i="312" s="1"/>
  <c r="D385" i="312"/>
  <c r="I385" i="312" s="1"/>
  <c r="D385" i="311"/>
  <c r="I385" i="311" s="1"/>
  <c r="I269" i="311"/>
  <c r="E121" i="311"/>
  <c r="I121" i="311" s="1"/>
  <c r="E120" i="311"/>
  <c r="I120" i="311" s="1"/>
  <c r="C329" i="311"/>
  <c r="H21" i="311"/>
  <c r="I21" i="311" s="1"/>
  <c r="I20" i="311"/>
  <c r="C321" i="311"/>
  <c r="H85" i="311"/>
  <c r="I84" i="311"/>
  <c r="D355" i="311"/>
  <c r="H355" i="311" s="1"/>
  <c r="E90" i="311"/>
  <c r="I90" i="311" s="1"/>
  <c r="E89" i="311"/>
  <c r="I89" i="311" s="1"/>
  <c r="D384" i="311"/>
  <c r="I384" i="311" s="1"/>
  <c r="D292" i="311"/>
  <c r="S377" i="311" s="1"/>
  <c r="D380" i="311"/>
  <c r="D340" i="311"/>
  <c r="H340" i="311" s="1"/>
  <c r="H350" i="311" s="1"/>
  <c r="I113" i="311"/>
  <c r="C146" i="311"/>
  <c r="I143" i="311"/>
  <c r="E146" i="311" s="1"/>
  <c r="D383" i="311"/>
  <c r="I383" i="311" s="1"/>
  <c r="E114" i="310"/>
  <c r="I114" i="310" s="1"/>
  <c r="E113" i="310"/>
  <c r="I116" i="310"/>
  <c r="E119" i="310" s="1"/>
  <c r="C119" i="310"/>
  <c r="D380" i="310" s="1"/>
  <c r="K165" i="310"/>
  <c r="I165" i="310"/>
  <c r="C266" i="310"/>
  <c r="E266" i="310" s="1"/>
  <c r="D292" i="310" s="1"/>
  <c r="F143" i="310"/>
  <c r="H325" i="310"/>
  <c r="C326" i="310"/>
  <c r="H326" i="310" s="1"/>
  <c r="E105" i="310"/>
  <c r="I105" i="310" s="1"/>
  <c r="E106" i="310"/>
  <c r="I106" i="310" s="1"/>
  <c r="C88" i="310"/>
  <c r="E88" i="310"/>
  <c r="D382" i="310"/>
  <c r="I382" i="310" s="1"/>
  <c r="E24" i="310"/>
  <c r="I24" i="310" s="1"/>
  <c r="E23" i="310"/>
  <c r="I23" i="310" s="1"/>
  <c r="E98" i="310"/>
  <c r="I98" i="310" s="1"/>
  <c r="E99" i="310"/>
  <c r="I99" i="310" s="1"/>
  <c r="I242" i="310"/>
  <c r="J250" i="310" s="1"/>
  <c r="H334" i="310"/>
  <c r="C321" i="310"/>
  <c r="I250" i="310"/>
  <c r="D291" i="310" a="1"/>
  <c r="D291" i="310" s="1"/>
  <c r="I233" i="310"/>
  <c r="C243" i="309"/>
  <c r="E243" i="309" s="1"/>
  <c r="F68" i="309"/>
  <c r="I68" i="309" s="1"/>
  <c r="C334" i="309" a="1"/>
  <c r="C334" i="309" s="1"/>
  <c r="E65" i="309"/>
  <c r="I65" i="309" s="1"/>
  <c r="E66" i="309"/>
  <c r="I66" i="309" s="1"/>
  <c r="C330" i="309"/>
  <c r="H330" i="309" s="1"/>
  <c r="H329" i="309"/>
  <c r="K165" i="309"/>
  <c r="I165" i="309"/>
  <c r="E57" i="309"/>
  <c r="I57" i="309" s="1"/>
  <c r="E58" i="309"/>
  <c r="I58" i="309" s="1"/>
  <c r="E98" i="309"/>
  <c r="I98" i="309" s="1"/>
  <c r="E99" i="309"/>
  <c r="I99" i="309" s="1"/>
  <c r="H79" i="309"/>
  <c r="I78" i="309"/>
  <c r="D382" i="309"/>
  <c r="I382" i="309" s="1"/>
  <c r="E23" i="309"/>
  <c r="I23" i="309" s="1"/>
  <c r="E24" i="309"/>
  <c r="I24" i="309" s="1"/>
  <c r="C48" i="309"/>
  <c r="I42" i="309"/>
  <c r="E48" i="309" s="1"/>
  <c r="G211" i="309"/>
  <c r="F35" i="309"/>
  <c r="D101" i="309"/>
  <c r="C300" i="309"/>
  <c r="C244" i="309"/>
  <c r="E244" i="309" s="1"/>
  <c r="F69" i="309"/>
  <c r="I69" i="309" s="1"/>
  <c r="C266" i="308"/>
  <c r="E266" i="308" s="1"/>
  <c r="D292" i="308" s="1"/>
  <c r="F143" i="308"/>
  <c r="H325" i="308"/>
  <c r="C326" i="308"/>
  <c r="H326" i="308" s="1"/>
  <c r="I242" i="308"/>
  <c r="J250" i="308" s="1"/>
  <c r="D291" i="308" a="1"/>
  <c r="D291" i="308" s="1"/>
  <c r="I233" i="308"/>
  <c r="C119" i="308"/>
  <c r="D380" i="308" s="1"/>
  <c r="I116" i="308"/>
  <c r="E119" i="308" s="1"/>
  <c r="E114" i="308"/>
  <c r="I114" i="308" s="1"/>
  <c r="E113" i="308"/>
  <c r="C324" i="308"/>
  <c r="H324" i="308" s="1"/>
  <c r="H323" i="308"/>
  <c r="H334" i="308"/>
  <c r="E105" i="308"/>
  <c r="I105" i="308" s="1"/>
  <c r="E106" i="308"/>
  <c r="I106" i="308" s="1"/>
  <c r="C88" i="308"/>
  <c r="I68" i="308"/>
  <c r="E88" i="308" s="1"/>
  <c r="D382" i="308"/>
  <c r="I382" i="308" s="1"/>
  <c r="D354" i="308"/>
  <c r="H354" i="308" s="1"/>
  <c r="E23" i="308"/>
  <c r="I23" i="308" s="1"/>
  <c r="E24" i="308"/>
  <c r="I24" i="308" s="1"/>
  <c r="D385" i="308"/>
  <c r="I385" i="308" s="1"/>
  <c r="E99" i="308"/>
  <c r="I99" i="308" s="1"/>
  <c r="E98" i="308"/>
  <c r="I98" i="308" s="1"/>
  <c r="I250" i="308"/>
  <c r="E154" i="308"/>
  <c r="I154" i="308" s="1"/>
  <c r="E155" i="308"/>
  <c r="I155" i="308" s="1"/>
  <c r="K165" i="308"/>
  <c r="I165" i="308"/>
  <c r="H97" i="307"/>
  <c r="G97" i="307" s="1"/>
  <c r="H110" i="307"/>
  <c r="E84" i="307"/>
  <c r="H79" i="307"/>
  <c r="H84" i="307" s="1"/>
  <c r="D38" i="306"/>
  <c r="N69" i="306" s="1"/>
  <c r="G256" i="334" l="1"/>
  <c r="H255" i="334"/>
  <c r="E22" i="311"/>
  <c r="E218" i="311" s="1"/>
  <c r="E22" i="314"/>
  <c r="H337" i="320"/>
  <c r="S379" i="320" s="1"/>
  <c r="U379" i="320" s="1"/>
  <c r="E218" i="329"/>
  <c r="E223" i="329" s="1"/>
  <c r="S375" i="329" s="1"/>
  <c r="T383" i="329"/>
  <c r="U383" i="329" s="1"/>
  <c r="C331" i="329"/>
  <c r="H331" i="329" s="1"/>
  <c r="H337" i="329" s="1"/>
  <c r="S379" i="329" s="1"/>
  <c r="U379" i="329" s="1"/>
  <c r="C335" i="329"/>
  <c r="C320" i="329"/>
  <c r="H83" i="328"/>
  <c r="I82" i="328"/>
  <c r="E148" i="328"/>
  <c r="I148" i="328" s="1"/>
  <c r="E147" i="328"/>
  <c r="I147" i="328" s="1"/>
  <c r="C319" i="328"/>
  <c r="C333" i="328"/>
  <c r="H333" i="328" s="1"/>
  <c r="D356" i="328"/>
  <c r="H356" i="328" s="1"/>
  <c r="H363" i="328" s="1"/>
  <c r="E22" i="328"/>
  <c r="C330" i="328"/>
  <c r="H330" i="328" s="1"/>
  <c r="H329" i="328"/>
  <c r="H82" i="325"/>
  <c r="I81" i="325"/>
  <c r="E106" i="325"/>
  <c r="I106" i="325" s="1"/>
  <c r="E105" i="325"/>
  <c r="I105" i="325" s="1"/>
  <c r="C333" i="325"/>
  <c r="H333" i="325" s="1"/>
  <c r="D385" i="325"/>
  <c r="I385" i="325" s="1"/>
  <c r="I388" i="325" s="1"/>
  <c r="D356" i="325"/>
  <c r="H356" i="325" s="1"/>
  <c r="H363" i="325" s="1"/>
  <c r="C319" i="325"/>
  <c r="C326" i="325"/>
  <c r="H326" i="325" s="1"/>
  <c r="H325" i="325"/>
  <c r="D291" i="325" a="1"/>
  <c r="D291" i="325" s="1"/>
  <c r="I233" i="325"/>
  <c r="D292" i="325"/>
  <c r="I242" i="325"/>
  <c r="J250" i="325" s="1"/>
  <c r="C325" i="324"/>
  <c r="E40" i="324"/>
  <c r="I40" i="324" s="1"/>
  <c r="E39" i="324"/>
  <c r="I39" i="324" s="1"/>
  <c r="D354" i="324"/>
  <c r="H354" i="324" s="1"/>
  <c r="D383" i="324"/>
  <c r="I383" i="324" s="1"/>
  <c r="D380" i="324"/>
  <c r="E230" i="324"/>
  <c r="C239" i="324"/>
  <c r="E239" i="324" s="1"/>
  <c r="I143" i="324"/>
  <c r="E146" i="324" s="1"/>
  <c r="C146" i="324"/>
  <c r="I269" i="324"/>
  <c r="C329" i="324"/>
  <c r="E121" i="324"/>
  <c r="I121" i="324" s="1"/>
  <c r="E120" i="324"/>
  <c r="I120" i="324" s="1"/>
  <c r="D340" i="324"/>
  <c r="H340" i="324" s="1"/>
  <c r="H350" i="324" s="1"/>
  <c r="I113" i="324"/>
  <c r="D355" i="324"/>
  <c r="H355" i="324" s="1"/>
  <c r="E90" i="324"/>
  <c r="I90" i="324" s="1"/>
  <c r="E89" i="324"/>
  <c r="I89" i="324" s="1"/>
  <c r="D384" i="324"/>
  <c r="I384" i="324" s="1"/>
  <c r="E140" i="324"/>
  <c r="I140" i="324" s="1"/>
  <c r="E141" i="324"/>
  <c r="I141" i="324" s="1"/>
  <c r="I101" i="324"/>
  <c r="E104" i="324" s="1"/>
  <c r="C104" i="324"/>
  <c r="E218" i="324"/>
  <c r="E90" i="323"/>
  <c r="I90" i="323" s="1"/>
  <c r="D355" i="323"/>
  <c r="H355" i="323" s="1"/>
  <c r="E89" i="323"/>
  <c r="I89" i="323" s="1"/>
  <c r="D384" i="323"/>
  <c r="I384" i="323" s="1"/>
  <c r="I101" i="323"/>
  <c r="E104" i="323" s="1"/>
  <c r="C104" i="323"/>
  <c r="C239" i="323"/>
  <c r="E239" i="323" s="1"/>
  <c r="E230" i="323"/>
  <c r="C325" i="323"/>
  <c r="E39" i="323"/>
  <c r="I39" i="323" s="1"/>
  <c r="E40" i="323"/>
  <c r="I40" i="323" s="1"/>
  <c r="D383" i="323"/>
  <c r="I383" i="323" s="1"/>
  <c r="D354" i="323"/>
  <c r="H354" i="323" s="1"/>
  <c r="D380" i="323"/>
  <c r="E218" i="323"/>
  <c r="E120" i="322"/>
  <c r="I120" i="322" s="1"/>
  <c r="C329" i="322"/>
  <c r="E121" i="322"/>
  <c r="I121" i="322" s="1"/>
  <c r="C104" i="322"/>
  <c r="I101" i="322"/>
  <c r="E104" i="322" s="1"/>
  <c r="D355" i="322"/>
  <c r="H355" i="322" s="1"/>
  <c r="C333" i="322"/>
  <c r="H333" i="322" s="1"/>
  <c r="E90" i="322"/>
  <c r="I90" i="322" s="1"/>
  <c r="E89" i="322"/>
  <c r="I89" i="322" s="1"/>
  <c r="D384" i="322"/>
  <c r="I384" i="322" s="1"/>
  <c r="C239" i="322"/>
  <c r="E239" i="322" s="1"/>
  <c r="E230" i="322"/>
  <c r="E141" i="322"/>
  <c r="I141" i="322" s="1"/>
  <c r="E140" i="322"/>
  <c r="I140" i="322" s="1"/>
  <c r="D340" i="322"/>
  <c r="H340" i="322" s="1"/>
  <c r="H350" i="322" s="1"/>
  <c r="I113" i="322"/>
  <c r="E218" i="322"/>
  <c r="C325" i="322"/>
  <c r="E40" i="322"/>
  <c r="I40" i="322" s="1"/>
  <c r="E39" i="322"/>
  <c r="I39" i="322" s="1"/>
  <c r="D354" i="322"/>
  <c r="H354" i="322" s="1"/>
  <c r="D383" i="322"/>
  <c r="I383" i="322" s="1"/>
  <c r="D380" i="322"/>
  <c r="C146" i="322"/>
  <c r="I143" i="322"/>
  <c r="E146" i="322" s="1"/>
  <c r="I269" i="322"/>
  <c r="I388" i="321"/>
  <c r="E148" i="321"/>
  <c r="I148" i="321" s="1"/>
  <c r="E147" i="321"/>
  <c r="I147" i="321" s="1"/>
  <c r="D356" i="321"/>
  <c r="H356" i="321" s="1"/>
  <c r="H363" i="321" s="1"/>
  <c r="C319" i="321"/>
  <c r="C333" i="321"/>
  <c r="H333" i="321" s="1"/>
  <c r="E219" i="321"/>
  <c r="E223" i="321" s="1"/>
  <c r="S375" i="321" s="1"/>
  <c r="C313" i="321"/>
  <c r="H313" i="321" s="1"/>
  <c r="H314" i="321" s="1"/>
  <c r="C330" i="321"/>
  <c r="H330" i="321" s="1"/>
  <c r="H329" i="321"/>
  <c r="E218" i="320"/>
  <c r="E223" i="320" s="1"/>
  <c r="S375" i="320" s="1"/>
  <c r="C336" i="320"/>
  <c r="E147" i="319"/>
  <c r="I147" i="319" s="1"/>
  <c r="E148" i="319"/>
  <c r="I148" i="319" s="1"/>
  <c r="D356" i="319"/>
  <c r="H356" i="319" s="1"/>
  <c r="H363" i="319" s="1"/>
  <c r="C319" i="319"/>
  <c r="C333" i="319"/>
  <c r="H333" i="319" s="1"/>
  <c r="E219" i="319"/>
  <c r="E223" i="319" s="1"/>
  <c r="S375" i="319" s="1"/>
  <c r="C330" i="319"/>
  <c r="H330" i="319" s="1"/>
  <c r="H329" i="319"/>
  <c r="H337" i="318"/>
  <c r="S379" i="318" s="1"/>
  <c r="U379" i="318" s="1"/>
  <c r="C336" i="318"/>
  <c r="H215" i="317" a="1"/>
  <c r="H215" i="317" s="1"/>
  <c r="I215" i="317" s="1"/>
  <c r="E220" i="317" s="1"/>
  <c r="I211" i="317"/>
  <c r="E58" i="317"/>
  <c r="I58" i="317" s="1"/>
  <c r="E57" i="317"/>
  <c r="I57" i="317" s="1"/>
  <c r="D382" i="317"/>
  <c r="I382" i="317" s="1"/>
  <c r="E50" i="317"/>
  <c r="I50" i="317" s="1"/>
  <c r="E49" i="317"/>
  <c r="I49" i="317" s="1"/>
  <c r="H334" i="317"/>
  <c r="C321" i="317"/>
  <c r="C230" i="317"/>
  <c r="F101" i="317"/>
  <c r="I69" i="317"/>
  <c r="E88" i="317" s="1"/>
  <c r="C88" i="317"/>
  <c r="I35" i="317"/>
  <c r="E38" i="317" s="1"/>
  <c r="C38" i="317"/>
  <c r="I250" i="317"/>
  <c r="E49" i="314"/>
  <c r="I49" i="314" s="1"/>
  <c r="E50" i="314"/>
  <c r="I50" i="314" s="1"/>
  <c r="I69" i="314"/>
  <c r="C88" i="314"/>
  <c r="C38" i="314"/>
  <c r="I35" i="314"/>
  <c r="E38" i="314" s="1"/>
  <c r="I250" i="314"/>
  <c r="H215" i="314" a="1"/>
  <c r="H215" i="314" s="1"/>
  <c r="I215" i="314" s="1"/>
  <c r="E220" i="314" s="1"/>
  <c r="I211" i="314"/>
  <c r="E58" i="314"/>
  <c r="I58" i="314" s="1"/>
  <c r="E57" i="314"/>
  <c r="I57" i="314" s="1"/>
  <c r="D382" i="314"/>
  <c r="I382" i="314" s="1"/>
  <c r="H82" i="314"/>
  <c r="I81" i="314"/>
  <c r="H334" i="314"/>
  <c r="C321" i="314"/>
  <c r="C230" i="314"/>
  <c r="F101" i="314"/>
  <c r="H215" i="313" a="1"/>
  <c r="H215" i="313" s="1"/>
  <c r="I215" i="313" s="1"/>
  <c r="E220" i="313" s="1"/>
  <c r="I211" i="313"/>
  <c r="C38" i="313"/>
  <c r="I35" i="313"/>
  <c r="E38" i="313" s="1"/>
  <c r="H334" i="313"/>
  <c r="C321" i="313"/>
  <c r="C230" i="313"/>
  <c r="F101" i="313"/>
  <c r="E49" i="313"/>
  <c r="I49" i="313" s="1"/>
  <c r="E50" i="313"/>
  <c r="I50" i="313" s="1"/>
  <c r="I69" i="313"/>
  <c r="E88" i="313" s="1"/>
  <c r="C88" i="313"/>
  <c r="I250" i="313"/>
  <c r="E58" i="313"/>
  <c r="I58" i="313" s="1"/>
  <c r="E57" i="313"/>
  <c r="I57" i="313" s="1"/>
  <c r="I388" i="312"/>
  <c r="C319" i="312"/>
  <c r="C335" i="312" s="1"/>
  <c r="E147" i="312"/>
  <c r="I147" i="312" s="1"/>
  <c r="E148" i="312"/>
  <c r="I148" i="312" s="1"/>
  <c r="D356" i="312"/>
  <c r="H356" i="312" s="1"/>
  <c r="H363" i="312" s="1"/>
  <c r="C330" i="312"/>
  <c r="H330" i="312" s="1"/>
  <c r="H329" i="312"/>
  <c r="E219" i="312"/>
  <c r="E223" i="312" s="1"/>
  <c r="S375" i="312" s="1"/>
  <c r="I388" i="311"/>
  <c r="C330" i="311"/>
  <c r="H330" i="311" s="1"/>
  <c r="H329" i="311"/>
  <c r="E148" i="311"/>
  <c r="I148" i="311" s="1"/>
  <c r="E147" i="311"/>
  <c r="I147" i="311" s="1"/>
  <c r="D356" i="311"/>
  <c r="H356" i="311" s="1"/>
  <c r="H363" i="311" s="1"/>
  <c r="H86" i="311"/>
  <c r="I85" i="311"/>
  <c r="C313" i="311"/>
  <c r="H313" i="311" s="1"/>
  <c r="H314" i="311" s="1"/>
  <c r="C333" i="311"/>
  <c r="H333" i="311" s="1"/>
  <c r="C319" i="311"/>
  <c r="D383" i="310"/>
  <c r="I383" i="310" s="1"/>
  <c r="D385" i="310"/>
  <c r="I385" i="310" s="1"/>
  <c r="D355" i="310"/>
  <c r="H355" i="310" s="1"/>
  <c r="E89" i="310"/>
  <c r="I89" i="310" s="1"/>
  <c r="E90" i="310"/>
  <c r="I90" i="310" s="1"/>
  <c r="S377" i="310"/>
  <c r="C313" i="310"/>
  <c r="H313" i="310" s="1"/>
  <c r="H314" i="310" s="1"/>
  <c r="C329" i="310"/>
  <c r="E120" i="310"/>
  <c r="I120" i="310" s="1"/>
  <c r="E121" i="310"/>
  <c r="I121" i="310" s="1"/>
  <c r="D354" i="310"/>
  <c r="H354" i="310" s="1"/>
  <c r="E218" i="310"/>
  <c r="I269" i="310"/>
  <c r="D384" i="310"/>
  <c r="I384" i="310" s="1"/>
  <c r="D340" i="310"/>
  <c r="H340" i="310" s="1"/>
  <c r="H350" i="310" s="1"/>
  <c r="I113" i="310"/>
  <c r="C146" i="310"/>
  <c r="C333" i="310" s="1"/>
  <c r="H333" i="310" s="1"/>
  <c r="I143" i="310"/>
  <c r="E146" i="310" s="1"/>
  <c r="H215" i="309" a="1"/>
  <c r="H215" i="309" s="1"/>
  <c r="I215" i="309" s="1"/>
  <c r="E220" i="309" s="1"/>
  <c r="I211" i="309"/>
  <c r="I35" i="309"/>
  <c r="E38" i="309" s="1"/>
  <c r="C38" i="309"/>
  <c r="E50" i="309"/>
  <c r="I50" i="309" s="1"/>
  <c r="E49" i="309"/>
  <c r="I49" i="309" s="1"/>
  <c r="H334" i="309"/>
  <c r="C321" i="309"/>
  <c r="H80" i="309"/>
  <c r="I79" i="309"/>
  <c r="C230" i="309"/>
  <c r="F101" i="309"/>
  <c r="C88" i="309"/>
  <c r="I250" i="309"/>
  <c r="D383" i="308"/>
  <c r="I383" i="308" s="1"/>
  <c r="D340" i="308"/>
  <c r="H340" i="308" s="1"/>
  <c r="H350" i="308" s="1"/>
  <c r="I113" i="308"/>
  <c r="C321" i="308"/>
  <c r="I143" i="308"/>
  <c r="E146" i="308" s="1"/>
  <c r="C146" i="308"/>
  <c r="C333" i="308" s="1"/>
  <c r="H333" i="308" s="1"/>
  <c r="D384" i="308"/>
  <c r="I384" i="308" s="1"/>
  <c r="I388" i="308" s="1"/>
  <c r="S377" i="308"/>
  <c r="C313" i="308"/>
  <c r="H313" i="308" s="1"/>
  <c r="H314" i="308" s="1"/>
  <c r="I269" i="308"/>
  <c r="D355" i="308"/>
  <c r="H355" i="308" s="1"/>
  <c r="E90" i="308"/>
  <c r="I90" i="308" s="1"/>
  <c r="E89" i="308"/>
  <c r="I89" i="308" s="1"/>
  <c r="E218" i="308"/>
  <c r="C329" i="308"/>
  <c r="E121" i="308"/>
  <c r="I121" i="308" s="1"/>
  <c r="E120" i="308"/>
  <c r="I120" i="308" s="1"/>
  <c r="G84" i="307"/>
  <c r="S380" i="304"/>
  <c r="D359" i="304"/>
  <c r="H359" i="304" s="1"/>
  <c r="G243" i="304"/>
  <c r="J69" i="304"/>
  <c r="K68" i="304"/>
  <c r="J52" i="304"/>
  <c r="D52" i="304" s="1"/>
  <c r="I52" i="304" s="1"/>
  <c r="G42" i="304"/>
  <c r="E209" i="304" s="1"/>
  <c r="E210" i="304" s="1"/>
  <c r="K42" i="304"/>
  <c r="J42" i="304"/>
  <c r="D42" i="304" s="1"/>
  <c r="J35" i="304"/>
  <c r="K116" i="304"/>
  <c r="D108" i="304"/>
  <c r="J116" i="304" s="1"/>
  <c r="E15" i="304"/>
  <c r="K69" i="304" s="1"/>
  <c r="E69" i="304" s="1"/>
  <c r="D244" i="304" s="1"/>
  <c r="D14" i="304"/>
  <c r="J68" i="304" s="1"/>
  <c r="I386" i="304"/>
  <c r="D386" i="304"/>
  <c r="T382" i="304"/>
  <c r="S382" i="304"/>
  <c r="T381" i="304"/>
  <c r="U381" i="304" s="1"/>
  <c r="T376" i="304"/>
  <c r="V372" i="304"/>
  <c r="S386" i="304" s="1"/>
  <c r="U386" i="304" s="1"/>
  <c r="C368" i="304"/>
  <c r="G366" i="304"/>
  <c r="D352" i="304"/>
  <c r="H352" i="304" s="1"/>
  <c r="D351" i="304"/>
  <c r="H351" i="304" s="1"/>
  <c r="D345" i="304"/>
  <c r="D346" i="304" s="1"/>
  <c r="D347" i="304" s="1"/>
  <c r="H347" i="304" s="1"/>
  <c r="H341" i="304"/>
  <c r="C341" i="304"/>
  <c r="C340" i="304"/>
  <c r="G329" i="304"/>
  <c r="G328" i="304"/>
  <c r="G325" i="304"/>
  <c r="G323" i="304"/>
  <c r="E321" i="304"/>
  <c r="E319" i="304"/>
  <c r="F318" i="304"/>
  <c r="G318" i="304" s="1"/>
  <c r="C316" i="304"/>
  <c r="C318" i="304" s="1"/>
  <c r="G313" i="304"/>
  <c r="H312" i="304"/>
  <c r="D310" i="304"/>
  <c r="C309" i="304"/>
  <c r="H307" i="304"/>
  <c r="G305" i="304"/>
  <c r="E305" i="304"/>
  <c r="E308" i="304" s="1"/>
  <c r="E304" i="304"/>
  <c r="D371" i="304" s="1"/>
  <c r="G303" i="304"/>
  <c r="H303" i="304" s="1"/>
  <c r="G302" i="304"/>
  <c r="H302" i="304" s="1"/>
  <c r="H301" i="304"/>
  <c r="H299" i="304"/>
  <c r="H297" i="304"/>
  <c r="F296" i="304"/>
  <c r="F298" i="304" s="1"/>
  <c r="F300" i="304" s="1"/>
  <c r="F302" i="304" s="1"/>
  <c r="F303" i="304" s="1"/>
  <c r="H295" i="304"/>
  <c r="F290" i="304"/>
  <c r="E289" i="304"/>
  <c r="G288" i="304"/>
  <c r="G289" i="304" s="1"/>
  <c r="E288" i="304"/>
  <c r="B288" i="304"/>
  <c r="B289" i="304" s="1"/>
  <c r="E287" i="304"/>
  <c r="G286" i="304"/>
  <c r="G287" i="304" s="1"/>
  <c r="E286" i="304"/>
  <c r="B286" i="304"/>
  <c r="B287" i="304" s="1"/>
  <c r="F284" i="304"/>
  <c r="F283" i="304"/>
  <c r="F285" i="304" s="1"/>
  <c r="B281" i="304"/>
  <c r="B282" i="304" s="1"/>
  <c r="B283" i="304" s="1"/>
  <c r="B284" i="304" s="1"/>
  <c r="F279" i="304"/>
  <c r="F278" i="304"/>
  <c r="F277" i="304"/>
  <c r="F276" i="304"/>
  <c r="I275" i="304"/>
  <c r="I276" i="304" s="1"/>
  <c r="I277" i="304" s="1"/>
  <c r="I278" i="304" s="1"/>
  <c r="I279" i="304" s="1"/>
  <c r="F275" i="304"/>
  <c r="F274" i="304"/>
  <c r="F280" i="304" s="1"/>
  <c r="F264" i="304"/>
  <c r="F263" i="304"/>
  <c r="F262" i="304"/>
  <c r="F261" i="304"/>
  <c r="F260" i="304"/>
  <c r="F259" i="304"/>
  <c r="F265" i="304" s="1"/>
  <c r="F257" i="304"/>
  <c r="F256" i="304"/>
  <c r="F255" i="304"/>
  <c r="F254" i="304"/>
  <c r="F253" i="304"/>
  <c r="I252" i="304"/>
  <c r="I253" i="304" s="1"/>
  <c r="I254" i="304" s="1"/>
  <c r="I255" i="304" s="1"/>
  <c r="I256" i="304" s="1"/>
  <c r="I257" i="304" s="1"/>
  <c r="F252" i="304"/>
  <c r="F251" i="304"/>
  <c r="F258" i="304" s="1"/>
  <c r="F249" i="304"/>
  <c r="F248" i="304"/>
  <c r="F247" i="304"/>
  <c r="F246" i="304"/>
  <c r="F245" i="304"/>
  <c r="F244" i="304"/>
  <c r="F243" i="304"/>
  <c r="F237" i="304"/>
  <c r="F229" i="304"/>
  <c r="F238" i="304" s="1"/>
  <c r="F228" i="304"/>
  <c r="F227" i="304"/>
  <c r="F236" i="304" s="1"/>
  <c r="F226" i="304"/>
  <c r="F235" i="304" s="1"/>
  <c r="F225" i="304"/>
  <c r="F234" i="304" s="1"/>
  <c r="B225" i="304"/>
  <c r="B226" i="304" s="1"/>
  <c r="B227" i="304" s="1"/>
  <c r="B228" i="304" s="1"/>
  <c r="B229" i="304" s="1"/>
  <c r="B230" i="304" s="1"/>
  <c r="B231" i="304" s="1"/>
  <c r="B232" i="304" s="1"/>
  <c r="B234" i="304" s="1"/>
  <c r="B235" i="304" s="1"/>
  <c r="B236" i="304" s="1"/>
  <c r="B237" i="304" s="1"/>
  <c r="B238" i="304" s="1"/>
  <c r="B239" i="304" s="1"/>
  <c r="B240" i="304" s="1"/>
  <c r="C223" i="304"/>
  <c r="I222" i="304"/>
  <c r="C222" i="304"/>
  <c r="I221" i="304"/>
  <c r="C219" i="304"/>
  <c r="C220" i="304" s="1"/>
  <c r="C221" i="304" s="1"/>
  <c r="E213" i="304"/>
  <c r="E214" i="304" s="1"/>
  <c r="E211" i="304"/>
  <c r="E212" i="304" s="1"/>
  <c r="I207" i="304"/>
  <c r="I208" i="304" s="1"/>
  <c r="E207" i="304"/>
  <c r="E208" i="304" s="1"/>
  <c r="I205" i="304"/>
  <c r="I206" i="304" s="1"/>
  <c r="E205" i="304"/>
  <c r="E206" i="304" s="1"/>
  <c r="I203" i="304"/>
  <c r="I204" i="304" s="1"/>
  <c r="E203" i="304"/>
  <c r="G201" i="304"/>
  <c r="G200" i="304"/>
  <c r="E200" i="304"/>
  <c r="C199" i="304"/>
  <c r="E201" i="304" s="1"/>
  <c r="I201" i="304" s="1"/>
  <c r="H198" i="304"/>
  <c r="H196" i="304"/>
  <c r="I196" i="304" s="1"/>
  <c r="I195" i="304"/>
  <c r="G193" i="304"/>
  <c r="G192" i="304"/>
  <c r="H190" i="304"/>
  <c r="I189" i="304"/>
  <c r="H189" i="304"/>
  <c r="I188" i="304"/>
  <c r="G186" i="304"/>
  <c r="G185" i="304"/>
  <c r="I182" i="304"/>
  <c r="H182" i="304"/>
  <c r="H183" i="304" s="1"/>
  <c r="I183" i="304" s="1"/>
  <c r="G179" i="304"/>
  <c r="G178" i="304"/>
  <c r="E178" i="304"/>
  <c r="I178" i="304" s="1"/>
  <c r="C177" i="304"/>
  <c r="E179" i="304" s="1"/>
  <c r="I179" i="304" s="1"/>
  <c r="H175" i="304"/>
  <c r="I175" i="304" s="1"/>
  <c r="I174" i="304"/>
  <c r="G172" i="304"/>
  <c r="G171" i="304"/>
  <c r="C170" i="304"/>
  <c r="E172" i="304" s="1"/>
  <c r="I172" i="304" s="1"/>
  <c r="H168" i="304"/>
  <c r="H169" i="304" s="1"/>
  <c r="I169" i="304" s="1"/>
  <c r="I167" i="304"/>
  <c r="G165" i="304"/>
  <c r="G164" i="304"/>
  <c r="E162" i="304"/>
  <c r="D279" i="304" s="1"/>
  <c r="D162" i="304"/>
  <c r="C279" i="304" s="1"/>
  <c r="E161" i="304"/>
  <c r="D278" i="304" s="1"/>
  <c r="D161" i="304"/>
  <c r="C278" i="304" s="1"/>
  <c r="E278" i="304" s="1"/>
  <c r="E160" i="304"/>
  <c r="D277" i="304" s="1"/>
  <c r="D160" i="304"/>
  <c r="C277" i="304" s="1"/>
  <c r="F159" i="304"/>
  <c r="E159" i="304"/>
  <c r="D276" i="304" s="1"/>
  <c r="D159" i="304"/>
  <c r="C276" i="304" s="1"/>
  <c r="E158" i="304"/>
  <c r="D275" i="304" s="1"/>
  <c r="D158" i="304"/>
  <c r="C275" i="304" s="1"/>
  <c r="E275" i="304" s="1"/>
  <c r="H157" i="304"/>
  <c r="H158" i="304" s="1"/>
  <c r="H159" i="304" s="1"/>
  <c r="H160" i="304" s="1"/>
  <c r="E157" i="304"/>
  <c r="D274" i="304" s="1"/>
  <c r="D157" i="304"/>
  <c r="F157" i="304" s="1"/>
  <c r="G155" i="304"/>
  <c r="G154" i="304"/>
  <c r="G152" i="304"/>
  <c r="F272" i="304" s="1"/>
  <c r="E152" i="304"/>
  <c r="D272" i="304" s="1"/>
  <c r="D152" i="304"/>
  <c r="C272" i="304" s="1"/>
  <c r="E272" i="304" s="1"/>
  <c r="G151" i="304"/>
  <c r="F271" i="304" s="1"/>
  <c r="G150" i="304"/>
  <c r="F270" i="304" s="1"/>
  <c r="G148" i="304"/>
  <c r="G147" i="304"/>
  <c r="G145" i="304"/>
  <c r="F268" i="304" s="1"/>
  <c r="H144" i="304"/>
  <c r="H145" i="304" s="1"/>
  <c r="H150" i="304" s="1"/>
  <c r="H151" i="304" s="1"/>
  <c r="H152" i="304" s="1"/>
  <c r="G144" i="304"/>
  <c r="F267" i="304" s="1"/>
  <c r="D144" i="304"/>
  <c r="C267" i="304" s="1"/>
  <c r="G143" i="304"/>
  <c r="F266" i="304" s="1"/>
  <c r="F269" i="304" s="1"/>
  <c r="G141" i="304"/>
  <c r="G140" i="304"/>
  <c r="H138" i="304"/>
  <c r="I138" i="304" s="1"/>
  <c r="G135" i="304"/>
  <c r="G134" i="304"/>
  <c r="J133" i="304"/>
  <c r="F132" i="304"/>
  <c r="D132" i="304"/>
  <c r="H131" i="304"/>
  <c r="H132" i="304" s="1"/>
  <c r="F131" i="304"/>
  <c r="D131" i="304"/>
  <c r="I131" i="304" s="1"/>
  <c r="F130" i="304"/>
  <c r="D130" i="304"/>
  <c r="G128" i="304"/>
  <c r="G127" i="304"/>
  <c r="J126" i="304"/>
  <c r="E125" i="304"/>
  <c r="D125" i="304"/>
  <c r="F125" i="304" s="1"/>
  <c r="H124" i="304"/>
  <c r="H125" i="304" s="1"/>
  <c r="E124" i="304"/>
  <c r="E151" i="304" s="1"/>
  <c r="D271" i="304" s="1"/>
  <c r="D124" i="304"/>
  <c r="D151" i="304" s="1"/>
  <c r="E123" i="304"/>
  <c r="E150" i="304" s="1"/>
  <c r="D270" i="304" s="1"/>
  <c r="D123" i="304"/>
  <c r="G121" i="304"/>
  <c r="G120" i="304"/>
  <c r="J119" i="304"/>
  <c r="E118" i="304"/>
  <c r="E145" i="304" s="1"/>
  <c r="D268" i="304" s="1"/>
  <c r="D118" i="304"/>
  <c r="H117" i="304"/>
  <c r="H118" i="304" s="1"/>
  <c r="E117" i="304"/>
  <c r="F117" i="304" s="1"/>
  <c r="I117" i="304" s="1"/>
  <c r="D117" i="304"/>
  <c r="E116" i="304"/>
  <c r="G114" i="304"/>
  <c r="G113" i="304"/>
  <c r="J112" i="304"/>
  <c r="F111" i="304"/>
  <c r="I111" i="304" s="1"/>
  <c r="H110" i="304"/>
  <c r="H111" i="304" s="1"/>
  <c r="F110" i="304"/>
  <c r="H109" i="304"/>
  <c r="F109" i="304"/>
  <c r="I109" i="304" s="1"/>
  <c r="G106" i="304"/>
  <c r="G105" i="304"/>
  <c r="G103" i="304"/>
  <c r="F232" i="304" s="1"/>
  <c r="F241" i="304" s="1"/>
  <c r="G102" i="304"/>
  <c r="F231" i="304" s="1"/>
  <c r="F240" i="304" s="1"/>
  <c r="G101" i="304"/>
  <c r="F230" i="304" s="1"/>
  <c r="F239" i="304" s="1"/>
  <c r="C101" i="304"/>
  <c r="G99" i="304"/>
  <c r="G98" i="304"/>
  <c r="G96" i="304"/>
  <c r="G95" i="304"/>
  <c r="G94" i="304"/>
  <c r="H93" i="304"/>
  <c r="H94" i="304" s="1"/>
  <c r="H95" i="304" s="1"/>
  <c r="H96" i="304" s="1"/>
  <c r="H101" i="304" s="1"/>
  <c r="H102" i="304" s="1"/>
  <c r="H103" i="304" s="1"/>
  <c r="G93" i="304"/>
  <c r="E93" i="304"/>
  <c r="D226" i="304" s="1"/>
  <c r="D235" i="304" s="1"/>
  <c r="G92" i="304"/>
  <c r="D92" i="304"/>
  <c r="C225" i="304" s="1"/>
  <c r="G90" i="304"/>
  <c r="G89" i="304"/>
  <c r="E87" i="304"/>
  <c r="D264" i="304" s="1"/>
  <c r="D87" i="304"/>
  <c r="C264" i="304" s="1"/>
  <c r="F86" i="304"/>
  <c r="E86" i="304"/>
  <c r="D263" i="304" s="1"/>
  <c r="D86" i="304"/>
  <c r="C263" i="304" s="1"/>
  <c r="E85" i="304"/>
  <c r="D85" i="304"/>
  <c r="E84" i="304"/>
  <c r="D84" i="304"/>
  <c r="F84" i="304" s="1"/>
  <c r="E83" i="304"/>
  <c r="D260" i="304" s="1"/>
  <c r="E260" i="304" s="1"/>
  <c r="D83" i="304"/>
  <c r="C260" i="304" s="1"/>
  <c r="E82" i="304"/>
  <c r="D259" i="304" s="1"/>
  <c r="D82" i="304"/>
  <c r="C259" i="304" s="1"/>
  <c r="E81" i="304"/>
  <c r="D257" i="304" s="1"/>
  <c r="D81" i="304"/>
  <c r="C257" i="304" s="1"/>
  <c r="E257" i="304" s="1"/>
  <c r="E80" i="304"/>
  <c r="D256" i="304" s="1"/>
  <c r="D80" i="304"/>
  <c r="C256" i="304" s="1"/>
  <c r="E256" i="304" s="1"/>
  <c r="E79" i="304"/>
  <c r="D255" i="304" s="1"/>
  <c r="D79" i="304"/>
  <c r="C255" i="304" s="1"/>
  <c r="F78" i="304"/>
  <c r="E78" i="304"/>
  <c r="D254" i="304" s="1"/>
  <c r="D78" i="304"/>
  <c r="C254" i="304" s="1"/>
  <c r="E77" i="304"/>
  <c r="D253" i="304" s="1"/>
  <c r="D282" i="304" s="1"/>
  <c r="D77" i="304"/>
  <c r="C253" i="304" s="1"/>
  <c r="E76" i="304"/>
  <c r="D252" i="304" s="1"/>
  <c r="D281" i="304" s="1"/>
  <c r="D76" i="304"/>
  <c r="C252" i="304" s="1"/>
  <c r="E75" i="304"/>
  <c r="D251" i="304" s="1"/>
  <c r="D75" i="304"/>
  <c r="C251" i="304" s="1"/>
  <c r="E74" i="304"/>
  <c r="D249" i="304" s="1"/>
  <c r="D74" i="304"/>
  <c r="C249" i="304" s="1"/>
  <c r="E249" i="304" s="1"/>
  <c r="E73" i="304"/>
  <c r="D248" i="304" s="1"/>
  <c r="D73" i="304"/>
  <c r="C248" i="304" s="1"/>
  <c r="E248" i="304" s="1"/>
  <c r="E72" i="304"/>
  <c r="D247" i="304" s="1"/>
  <c r="D72" i="304"/>
  <c r="C247" i="304" s="1"/>
  <c r="E71" i="304"/>
  <c r="D246" i="304" s="1"/>
  <c r="D71" i="304"/>
  <c r="C246" i="304" s="1"/>
  <c r="E70" i="304"/>
  <c r="D245" i="304" s="1"/>
  <c r="D70" i="304"/>
  <c r="C245" i="304" s="1"/>
  <c r="H69" i="304"/>
  <c r="H70" i="304" s="1"/>
  <c r="D69" i="304"/>
  <c r="C244" i="304" s="1"/>
  <c r="G66" i="304"/>
  <c r="G65" i="304"/>
  <c r="J64" i="304"/>
  <c r="C64" i="304"/>
  <c r="E66" i="304" s="1"/>
  <c r="I66" i="304" s="1"/>
  <c r="I63" i="304"/>
  <c r="I62" i="304"/>
  <c r="I61" i="304"/>
  <c r="I60" i="304"/>
  <c r="G58" i="304"/>
  <c r="G57" i="304"/>
  <c r="J56" i="304"/>
  <c r="F55" i="304"/>
  <c r="D55" i="304"/>
  <c r="F54" i="304"/>
  <c r="D54" i="304"/>
  <c r="H53" i="304"/>
  <c r="H54" i="304" s="1"/>
  <c r="F53" i="304"/>
  <c r="I53" i="304" s="1"/>
  <c r="D53" i="304"/>
  <c r="F52" i="304"/>
  <c r="G50" i="304"/>
  <c r="G49" i="304"/>
  <c r="J48" i="304"/>
  <c r="E47" i="304"/>
  <c r="D47" i="304"/>
  <c r="F47" i="304" s="1"/>
  <c r="I47" i="304" s="1"/>
  <c r="E46" i="304"/>
  <c r="D46" i="304"/>
  <c r="F46" i="304" s="1"/>
  <c r="E45" i="304"/>
  <c r="D45" i="304"/>
  <c r="F45" i="304" s="1"/>
  <c r="I45" i="304" s="1"/>
  <c r="E44" i="304"/>
  <c r="F44" i="304" s="1"/>
  <c r="D44" i="304"/>
  <c r="H43" i="304"/>
  <c r="H44" i="304" s="1"/>
  <c r="H45" i="304" s="1"/>
  <c r="H46" i="304" s="1"/>
  <c r="H47" i="304" s="1"/>
  <c r="E43" i="304"/>
  <c r="D43" i="304"/>
  <c r="F43" i="304" s="1"/>
  <c r="I43" i="304" s="1"/>
  <c r="E42" i="304"/>
  <c r="G40" i="304"/>
  <c r="G39" i="304"/>
  <c r="J38" i="304"/>
  <c r="F37" i="304"/>
  <c r="E37" i="304"/>
  <c r="E103" i="304" s="1"/>
  <c r="D232" i="304" s="1"/>
  <c r="D241" i="304" s="1"/>
  <c r="D37" i="304"/>
  <c r="D103" i="304" s="1"/>
  <c r="H36" i="304"/>
  <c r="H37" i="304" s="1"/>
  <c r="E36" i="304"/>
  <c r="E102" i="304" s="1"/>
  <c r="D231" i="304" s="1"/>
  <c r="D240" i="304" s="1"/>
  <c r="D36" i="304"/>
  <c r="D102" i="304" s="1"/>
  <c r="E35" i="304"/>
  <c r="G214" i="304" s="1"/>
  <c r="I214" i="304" s="1"/>
  <c r="D35" i="304"/>
  <c r="G33" i="304"/>
  <c r="G32" i="304"/>
  <c r="J31" i="304"/>
  <c r="E30" i="304"/>
  <c r="E96" i="304" s="1"/>
  <c r="D229" i="304" s="1"/>
  <c r="D238" i="304" s="1"/>
  <c r="D30" i="304"/>
  <c r="D96" i="304" s="1"/>
  <c r="E29" i="304"/>
  <c r="E95" i="304" s="1"/>
  <c r="D228" i="304" s="1"/>
  <c r="D237" i="304" s="1"/>
  <c r="D29" i="304"/>
  <c r="E28" i="304"/>
  <c r="D28" i="304"/>
  <c r="D94" i="304" s="1"/>
  <c r="C227" i="304" s="1"/>
  <c r="H27" i="304"/>
  <c r="H28" i="304" s="1"/>
  <c r="H29" i="304" s="1"/>
  <c r="H30" i="304" s="1"/>
  <c r="E27" i="304"/>
  <c r="D27" i="304"/>
  <c r="D93" i="304" s="1"/>
  <c r="E26" i="304"/>
  <c r="E92" i="304" s="1"/>
  <c r="D26" i="304"/>
  <c r="F26" i="304" s="1"/>
  <c r="J22" i="304"/>
  <c r="F21" i="304"/>
  <c r="F20" i="304"/>
  <c r="F19" i="304"/>
  <c r="F18" i="304"/>
  <c r="F17" i="304"/>
  <c r="H16" i="304"/>
  <c r="F16" i="304"/>
  <c r="H15" i="304"/>
  <c r="M11" i="304"/>
  <c r="M10" i="304"/>
  <c r="M9" i="304"/>
  <c r="H9" i="304"/>
  <c r="H10" i="304" s="1"/>
  <c r="I10" i="304" s="1"/>
  <c r="M8" i="304"/>
  <c r="E8" i="304"/>
  <c r="C8" i="304"/>
  <c r="M7" i="304"/>
  <c r="M6" i="304"/>
  <c r="E68" i="304"/>
  <c r="D243" i="304" s="1"/>
  <c r="M5" i="304"/>
  <c r="E5" i="304"/>
  <c r="E366" i="304" s="1"/>
  <c r="D5" i="304"/>
  <c r="D366" i="304" s="1"/>
  <c r="M4" i="304"/>
  <c r="H4" i="304"/>
  <c r="B4" i="304"/>
  <c r="R370" i="304" s="1"/>
  <c r="D359" i="303"/>
  <c r="G243" i="303"/>
  <c r="K70" i="303"/>
  <c r="E70" i="303" s="1"/>
  <c r="D245" i="303" s="1"/>
  <c r="K68" i="303"/>
  <c r="E15" i="303"/>
  <c r="K69" i="303" s="1"/>
  <c r="D386" i="303"/>
  <c r="I386" i="303" s="1"/>
  <c r="T382" i="303"/>
  <c r="U382" i="303" s="1"/>
  <c r="S382" i="303"/>
  <c r="T381" i="303"/>
  <c r="U381" i="303" s="1"/>
  <c r="S380" i="303"/>
  <c r="T376" i="303"/>
  <c r="V372" i="303"/>
  <c r="S386" i="303" s="1"/>
  <c r="U386" i="303" s="1"/>
  <c r="C368" i="303"/>
  <c r="G366" i="303"/>
  <c r="H359" i="303"/>
  <c r="D352" i="303"/>
  <c r="H352" i="303" s="1"/>
  <c r="D351" i="303"/>
  <c r="H351" i="303" s="1"/>
  <c r="D345" i="303"/>
  <c r="H345" i="303" s="1"/>
  <c r="C341" i="303"/>
  <c r="H341" i="303" s="1"/>
  <c r="C340" i="303"/>
  <c r="G329" i="303"/>
  <c r="G328" i="303"/>
  <c r="G325" i="303"/>
  <c r="G323" i="303"/>
  <c r="E321" i="303"/>
  <c r="E319" i="303"/>
  <c r="F318" i="303"/>
  <c r="G318" i="303" s="1"/>
  <c r="C316" i="303"/>
  <c r="G313" i="303"/>
  <c r="H312" i="303"/>
  <c r="D310" i="303"/>
  <c r="C309" i="303"/>
  <c r="H309" i="303" s="1"/>
  <c r="E308" i="303"/>
  <c r="H307" i="303"/>
  <c r="G305" i="303"/>
  <c r="E305" i="303"/>
  <c r="E304" i="303"/>
  <c r="D371" i="303" s="1"/>
  <c r="G303" i="303"/>
  <c r="H303" i="303" s="1"/>
  <c r="G302" i="303"/>
  <c r="H302" i="303" s="1"/>
  <c r="H301" i="303"/>
  <c r="H299" i="303"/>
  <c r="H297" i="303"/>
  <c r="F296" i="303"/>
  <c r="F298" i="303" s="1"/>
  <c r="F300" i="303" s="1"/>
  <c r="F302" i="303" s="1"/>
  <c r="F303" i="303" s="1"/>
  <c r="H295" i="303"/>
  <c r="F290" i="303"/>
  <c r="E289" i="303"/>
  <c r="G288" i="303"/>
  <c r="G289" i="303" s="1"/>
  <c r="E288" i="303"/>
  <c r="H288" i="303" s="1"/>
  <c r="B288" i="303"/>
  <c r="B289" i="303" s="1"/>
  <c r="E287" i="303"/>
  <c r="G286" i="303"/>
  <c r="G287" i="303" s="1"/>
  <c r="E286" i="303"/>
  <c r="B286" i="303"/>
  <c r="B287" i="303" s="1"/>
  <c r="F284" i="303"/>
  <c r="F285" i="303" s="1"/>
  <c r="F283" i="303"/>
  <c r="B281" i="303"/>
  <c r="B282" i="303" s="1"/>
  <c r="B283" i="303" s="1"/>
  <c r="B284" i="303" s="1"/>
  <c r="F279" i="303"/>
  <c r="F278" i="303"/>
  <c r="F277" i="303"/>
  <c r="C277" i="303"/>
  <c r="F276" i="303"/>
  <c r="I275" i="303"/>
  <c r="I276" i="303" s="1"/>
  <c r="I277" i="303" s="1"/>
  <c r="I278" i="303" s="1"/>
  <c r="I279" i="303" s="1"/>
  <c r="F275" i="303"/>
  <c r="F274" i="303"/>
  <c r="F264" i="303"/>
  <c r="F263" i="303"/>
  <c r="F262" i="303"/>
  <c r="F261" i="303"/>
  <c r="F260" i="303"/>
  <c r="F259" i="303"/>
  <c r="F257" i="303"/>
  <c r="F256" i="303"/>
  <c r="F255" i="303"/>
  <c r="F254" i="303"/>
  <c r="F253" i="303"/>
  <c r="I252" i="303"/>
  <c r="I253" i="303" s="1"/>
  <c r="I254" i="303" s="1"/>
  <c r="I255" i="303" s="1"/>
  <c r="I256" i="303" s="1"/>
  <c r="I257" i="303" s="1"/>
  <c r="F252" i="303"/>
  <c r="F251" i="303"/>
  <c r="F258" i="303" s="1"/>
  <c r="F249" i="303"/>
  <c r="F248" i="303"/>
  <c r="F247" i="303"/>
  <c r="F246" i="303"/>
  <c r="F245" i="303"/>
  <c r="F244" i="303"/>
  <c r="F243" i="303"/>
  <c r="F237" i="303"/>
  <c r="F229" i="303"/>
  <c r="F238" i="303" s="1"/>
  <c r="F228" i="303"/>
  <c r="F227" i="303"/>
  <c r="F236" i="303" s="1"/>
  <c r="F226" i="303"/>
  <c r="F235" i="303" s="1"/>
  <c r="F225" i="303"/>
  <c r="B225" i="303"/>
  <c r="B226" i="303" s="1"/>
  <c r="B227" i="303" s="1"/>
  <c r="B228" i="303" s="1"/>
  <c r="B229" i="303" s="1"/>
  <c r="B230" i="303" s="1"/>
  <c r="B231" i="303" s="1"/>
  <c r="B232" i="303" s="1"/>
  <c r="B234" i="303" s="1"/>
  <c r="B235" i="303" s="1"/>
  <c r="B236" i="303" s="1"/>
  <c r="B237" i="303" s="1"/>
  <c r="B238" i="303" s="1"/>
  <c r="B239" i="303" s="1"/>
  <c r="B240" i="303" s="1"/>
  <c r="C223" i="303"/>
  <c r="I222" i="303"/>
  <c r="C222" i="303"/>
  <c r="I221" i="303"/>
  <c r="C219" i="303"/>
  <c r="C220" i="303" s="1"/>
  <c r="C221" i="303" s="1"/>
  <c r="E213" i="303"/>
  <c r="E214" i="303" s="1"/>
  <c r="E211" i="303"/>
  <c r="E212" i="303" s="1"/>
  <c r="I207" i="303"/>
  <c r="I208" i="303" s="1"/>
  <c r="E207" i="303"/>
  <c r="E208" i="303" s="1"/>
  <c r="I206" i="303"/>
  <c r="I205" i="303"/>
  <c r="E205" i="303"/>
  <c r="E206" i="303" s="1"/>
  <c r="I203" i="303"/>
  <c r="I204" i="303" s="1"/>
  <c r="E203" i="303"/>
  <c r="E204" i="303" s="1"/>
  <c r="G201" i="303"/>
  <c r="G200" i="303"/>
  <c r="C199" i="303"/>
  <c r="E201" i="303" s="1"/>
  <c r="H198" i="303"/>
  <c r="I196" i="303"/>
  <c r="H196" i="303"/>
  <c r="I195" i="303"/>
  <c r="E199" i="303" s="1"/>
  <c r="G193" i="303"/>
  <c r="G192" i="303"/>
  <c r="H189" i="303"/>
  <c r="H190" i="303" s="1"/>
  <c r="I188" i="303"/>
  <c r="G186" i="303"/>
  <c r="G185" i="303"/>
  <c r="H182" i="303"/>
  <c r="I182" i="303" s="1"/>
  <c r="G179" i="303"/>
  <c r="G178" i="303"/>
  <c r="C177" i="303"/>
  <c r="E179" i="303" s="1"/>
  <c r="I179" i="303" s="1"/>
  <c r="H176" i="303"/>
  <c r="I176" i="303" s="1"/>
  <c r="H175" i="303"/>
  <c r="I175" i="303" s="1"/>
  <c r="I174" i="303"/>
  <c r="G172" i="303"/>
  <c r="G171" i="303"/>
  <c r="C170" i="303"/>
  <c r="E171" i="303" s="1"/>
  <c r="H169" i="303"/>
  <c r="I169" i="303" s="1"/>
  <c r="I168" i="303"/>
  <c r="H168" i="303"/>
  <c r="I167" i="303"/>
  <c r="G165" i="303"/>
  <c r="G164" i="303"/>
  <c r="E162" i="303"/>
  <c r="D279" i="303" s="1"/>
  <c r="D162" i="303"/>
  <c r="C279" i="303" s="1"/>
  <c r="E161" i="303"/>
  <c r="D278" i="303" s="1"/>
  <c r="D161" i="303"/>
  <c r="C278" i="303" s="1"/>
  <c r="E160" i="303"/>
  <c r="D277" i="303" s="1"/>
  <c r="D160" i="303"/>
  <c r="E159" i="303"/>
  <c r="D276" i="303" s="1"/>
  <c r="D159" i="303"/>
  <c r="C276" i="303" s="1"/>
  <c r="E158" i="303"/>
  <c r="D275" i="303" s="1"/>
  <c r="D158" i="303"/>
  <c r="C275" i="303" s="1"/>
  <c r="E275" i="303" s="1"/>
  <c r="H157" i="303"/>
  <c r="H158" i="303" s="1"/>
  <c r="H159" i="303" s="1"/>
  <c r="H160" i="303" s="1"/>
  <c r="E157" i="303"/>
  <c r="D274" i="303" s="1"/>
  <c r="D157" i="303"/>
  <c r="G155" i="303"/>
  <c r="G154" i="303"/>
  <c r="G152" i="303"/>
  <c r="F272" i="303" s="1"/>
  <c r="G151" i="303"/>
  <c r="F271" i="303" s="1"/>
  <c r="D151" i="303"/>
  <c r="C271" i="303" s="1"/>
  <c r="G150" i="303"/>
  <c r="F270" i="303" s="1"/>
  <c r="G148" i="303"/>
  <c r="G147" i="303"/>
  <c r="G145" i="303"/>
  <c r="F268" i="303" s="1"/>
  <c r="H144" i="303"/>
  <c r="H145" i="303" s="1"/>
  <c r="H150" i="303" s="1"/>
  <c r="H151" i="303" s="1"/>
  <c r="H152" i="303" s="1"/>
  <c r="G144" i="303"/>
  <c r="F267" i="303" s="1"/>
  <c r="E144" i="303"/>
  <c r="D267" i="303" s="1"/>
  <c r="G143" i="303"/>
  <c r="F266" i="303" s="1"/>
  <c r="G141" i="303"/>
  <c r="G140" i="303"/>
  <c r="H138" i="303"/>
  <c r="I138" i="303" s="1"/>
  <c r="G135" i="303"/>
  <c r="G134" i="303"/>
  <c r="J133" i="303"/>
  <c r="F132" i="303"/>
  <c r="D132" i="303"/>
  <c r="H131" i="303"/>
  <c r="F131" i="303"/>
  <c r="D131" i="303"/>
  <c r="F130" i="303"/>
  <c r="D130" i="303"/>
  <c r="C133" i="303" s="1"/>
  <c r="G128" i="303"/>
  <c r="G127" i="303"/>
  <c r="J126" i="303"/>
  <c r="E125" i="303"/>
  <c r="E152" i="303" s="1"/>
  <c r="D272" i="303" s="1"/>
  <c r="D125" i="303"/>
  <c r="D152" i="303" s="1"/>
  <c r="H124" i="303"/>
  <c r="H125" i="303" s="1"/>
  <c r="E124" i="303"/>
  <c r="E151" i="303" s="1"/>
  <c r="D271" i="303" s="1"/>
  <c r="D124" i="303"/>
  <c r="E123" i="303"/>
  <c r="E150" i="303" s="1"/>
  <c r="D270" i="303" s="1"/>
  <c r="D123" i="303"/>
  <c r="D150" i="303" s="1"/>
  <c r="G121" i="303"/>
  <c r="G120" i="303"/>
  <c r="J119" i="303"/>
  <c r="E118" i="303"/>
  <c r="E145" i="303" s="1"/>
  <c r="D268" i="303" s="1"/>
  <c r="D118" i="303"/>
  <c r="D145" i="303" s="1"/>
  <c r="H117" i="303"/>
  <c r="H118" i="303" s="1"/>
  <c r="E117" i="303"/>
  <c r="D117" i="303"/>
  <c r="E116" i="303"/>
  <c r="D137" i="303" s="1"/>
  <c r="C139" i="303" s="1"/>
  <c r="D116" i="303"/>
  <c r="D143" i="303" s="1"/>
  <c r="G114" i="303"/>
  <c r="G113" i="303"/>
  <c r="J112" i="303"/>
  <c r="F111" i="303"/>
  <c r="F110" i="303"/>
  <c r="H109" i="303"/>
  <c r="H110" i="303" s="1"/>
  <c r="H111" i="303" s="1"/>
  <c r="F109" i="303"/>
  <c r="F108" i="303"/>
  <c r="C112" i="303" s="1"/>
  <c r="G106" i="303"/>
  <c r="G105" i="303"/>
  <c r="G103" i="303"/>
  <c r="F232" i="303" s="1"/>
  <c r="F241" i="303" s="1"/>
  <c r="G102" i="303"/>
  <c r="F231" i="303" s="1"/>
  <c r="F240" i="303" s="1"/>
  <c r="G101" i="303"/>
  <c r="F230" i="303" s="1"/>
  <c r="F239" i="303" s="1"/>
  <c r="C101" i="303"/>
  <c r="G99" i="303"/>
  <c r="G98" i="303"/>
  <c r="G96" i="303"/>
  <c r="G95" i="303"/>
  <c r="E95" i="303"/>
  <c r="D228" i="303" s="1"/>
  <c r="D237" i="303" s="1"/>
  <c r="G94" i="303"/>
  <c r="H93" i="303"/>
  <c r="H94" i="303" s="1"/>
  <c r="H95" i="303" s="1"/>
  <c r="H96" i="303" s="1"/>
  <c r="H101" i="303" s="1"/>
  <c r="H102" i="303" s="1"/>
  <c r="H103" i="303" s="1"/>
  <c r="G93" i="303"/>
  <c r="G92" i="303"/>
  <c r="G90" i="303"/>
  <c r="G89" i="303"/>
  <c r="E87" i="303"/>
  <c r="D264" i="303" s="1"/>
  <c r="D87" i="303"/>
  <c r="C264" i="303" s="1"/>
  <c r="E86" i="303"/>
  <c r="D263" i="303" s="1"/>
  <c r="D86" i="303"/>
  <c r="C263" i="303" s="1"/>
  <c r="E85" i="303"/>
  <c r="D85" i="303"/>
  <c r="F85" i="303" s="1"/>
  <c r="F84" i="303"/>
  <c r="E84" i="303"/>
  <c r="D261" i="303" s="1"/>
  <c r="D84" i="303"/>
  <c r="E83" i="303"/>
  <c r="D260" i="303" s="1"/>
  <c r="D83" i="303"/>
  <c r="C260" i="303" s="1"/>
  <c r="E82" i="303"/>
  <c r="D259" i="303" s="1"/>
  <c r="D82" i="303"/>
  <c r="C259" i="303" s="1"/>
  <c r="E81" i="303"/>
  <c r="D257" i="303" s="1"/>
  <c r="D81" i="303"/>
  <c r="C257" i="303" s="1"/>
  <c r="E80" i="303"/>
  <c r="D256" i="303" s="1"/>
  <c r="D80" i="303"/>
  <c r="C256" i="303" s="1"/>
  <c r="E79" i="303"/>
  <c r="D255" i="303" s="1"/>
  <c r="D79" i="303"/>
  <c r="C255" i="303" s="1"/>
  <c r="E78" i="303"/>
  <c r="D254" i="303" s="1"/>
  <c r="D78" i="303"/>
  <c r="C254" i="303" s="1"/>
  <c r="E77" i="303"/>
  <c r="D253" i="303" s="1"/>
  <c r="D282" i="303" s="1"/>
  <c r="D77" i="303"/>
  <c r="C253" i="303" s="1"/>
  <c r="E76" i="303"/>
  <c r="D252" i="303" s="1"/>
  <c r="D281" i="303" s="1"/>
  <c r="D76" i="303"/>
  <c r="C252" i="303" s="1"/>
  <c r="E75" i="303"/>
  <c r="D251" i="303" s="1"/>
  <c r="D75" i="303"/>
  <c r="C251" i="303" s="1"/>
  <c r="E74" i="303"/>
  <c r="D249" i="303" s="1"/>
  <c r="D74" i="303"/>
  <c r="C249" i="303" s="1"/>
  <c r="E249" i="303" s="1"/>
  <c r="E73" i="303"/>
  <c r="D248" i="303" s="1"/>
  <c r="D73" i="303"/>
  <c r="C248" i="303" s="1"/>
  <c r="E72" i="303"/>
  <c r="D247" i="303" s="1"/>
  <c r="D72" i="303"/>
  <c r="F72" i="303" s="1"/>
  <c r="E71" i="303"/>
  <c r="D246" i="303" s="1"/>
  <c r="D71" i="303"/>
  <c r="C246" i="303" s="1"/>
  <c r="E246" i="303" s="1"/>
  <c r="H70" i="303"/>
  <c r="H73" i="303" s="1"/>
  <c r="H74" i="303" s="1"/>
  <c r="H75" i="303" s="1"/>
  <c r="H69" i="303"/>
  <c r="E68" i="303"/>
  <c r="D243" i="303" s="1"/>
  <c r="G66" i="303"/>
  <c r="G65" i="303"/>
  <c r="J64" i="303"/>
  <c r="I63" i="303"/>
  <c r="I62" i="303"/>
  <c r="I61" i="303"/>
  <c r="G58" i="303"/>
  <c r="G57" i="303"/>
  <c r="J56" i="303"/>
  <c r="F55" i="303"/>
  <c r="D55" i="303"/>
  <c r="H54" i="303"/>
  <c r="H55" i="303" s="1"/>
  <c r="F54" i="303"/>
  <c r="D54" i="303"/>
  <c r="I54" i="303" s="1"/>
  <c r="H53" i="303"/>
  <c r="F53" i="303"/>
  <c r="D53" i="303"/>
  <c r="I53" i="303" s="1"/>
  <c r="G50" i="303"/>
  <c r="G49" i="303"/>
  <c r="E47" i="303"/>
  <c r="D47" i="303"/>
  <c r="F47" i="303" s="1"/>
  <c r="E46" i="303"/>
  <c r="D46" i="303"/>
  <c r="F46" i="303" s="1"/>
  <c r="F45" i="303"/>
  <c r="E45" i="303"/>
  <c r="D45" i="303"/>
  <c r="H44" i="303"/>
  <c r="H45" i="303" s="1"/>
  <c r="H46" i="303" s="1"/>
  <c r="H47" i="303" s="1"/>
  <c r="E44" i="303"/>
  <c r="D44" i="303"/>
  <c r="F44" i="303" s="1"/>
  <c r="H43" i="303"/>
  <c r="E43" i="303"/>
  <c r="D43" i="303"/>
  <c r="K42" i="303"/>
  <c r="E42" i="303" s="1"/>
  <c r="G42" i="303"/>
  <c r="E209" i="303" s="1"/>
  <c r="E210" i="303" s="1"/>
  <c r="G40" i="303"/>
  <c r="G39" i="303"/>
  <c r="J38" i="303"/>
  <c r="E37" i="303"/>
  <c r="E103" i="303" s="1"/>
  <c r="D232" i="303" s="1"/>
  <c r="D241" i="303" s="1"/>
  <c r="D37" i="303"/>
  <c r="F37" i="303" s="1"/>
  <c r="H36" i="303"/>
  <c r="H37" i="303" s="1"/>
  <c r="E36" i="303"/>
  <c r="E102" i="303" s="1"/>
  <c r="D231" i="303" s="1"/>
  <c r="D240" i="303" s="1"/>
  <c r="D36" i="303"/>
  <c r="D102" i="303" s="1"/>
  <c r="E35" i="303"/>
  <c r="E101" i="303" s="1"/>
  <c r="D230" i="303" s="1"/>
  <c r="D239" i="303" s="1"/>
  <c r="G33" i="303"/>
  <c r="G32" i="303"/>
  <c r="J31" i="303"/>
  <c r="F30" i="303"/>
  <c r="E30" i="303"/>
  <c r="E96" i="303" s="1"/>
  <c r="D229" i="303" s="1"/>
  <c r="D238" i="303" s="1"/>
  <c r="D30" i="303"/>
  <c r="D96" i="303" s="1"/>
  <c r="H29" i="303"/>
  <c r="H30" i="303" s="1"/>
  <c r="E29" i="303"/>
  <c r="D29" i="303"/>
  <c r="D95" i="303" s="1"/>
  <c r="H28" i="303"/>
  <c r="E28" i="303"/>
  <c r="E94" i="303" s="1"/>
  <c r="D227" i="303" s="1"/>
  <c r="D236" i="303" s="1"/>
  <c r="D28" i="303"/>
  <c r="H27" i="303"/>
  <c r="E27" i="303"/>
  <c r="F27" i="303" s="1"/>
  <c r="I27" i="303" s="1"/>
  <c r="D27" i="303"/>
  <c r="D93" i="303" s="1"/>
  <c r="C226" i="303" s="1"/>
  <c r="E26" i="303"/>
  <c r="D26" i="303"/>
  <c r="J22" i="303"/>
  <c r="F21" i="303"/>
  <c r="F20" i="303"/>
  <c r="F19" i="303"/>
  <c r="F18" i="303"/>
  <c r="F17" i="303"/>
  <c r="F16" i="303"/>
  <c r="H15" i="303"/>
  <c r="H16" i="303" s="1"/>
  <c r="H17" i="303" s="1"/>
  <c r="H18" i="303" s="1"/>
  <c r="M11" i="303"/>
  <c r="M10" i="303"/>
  <c r="M9" i="303"/>
  <c r="H9" i="303"/>
  <c r="H10" i="303" s="1"/>
  <c r="M8" i="303"/>
  <c r="E8" i="303"/>
  <c r="C8" i="303"/>
  <c r="M7" i="303"/>
  <c r="M6" i="303"/>
  <c r="F190" i="303"/>
  <c r="F217" i="303"/>
  <c r="M5" i="303"/>
  <c r="E5" i="303"/>
  <c r="E366" i="303" s="1"/>
  <c r="D5" i="303"/>
  <c r="D366" i="303" s="1"/>
  <c r="M4" i="303"/>
  <c r="H4" i="303"/>
  <c r="B4" i="303"/>
  <c r="R370" i="303" s="1"/>
  <c r="S380" i="302"/>
  <c r="D359" i="302"/>
  <c r="H359" i="302" s="1"/>
  <c r="K68" i="302"/>
  <c r="G42" i="302"/>
  <c r="E209" i="302" s="1"/>
  <c r="E210" i="302" s="1"/>
  <c r="K42" i="302"/>
  <c r="E15" i="302"/>
  <c r="K52" i="302" s="1"/>
  <c r="I386" i="302"/>
  <c r="D386" i="302"/>
  <c r="T382" i="302"/>
  <c r="U382" i="302" s="1"/>
  <c r="S382" i="302"/>
  <c r="T381" i="302"/>
  <c r="U381" i="302" s="1"/>
  <c r="T376" i="302"/>
  <c r="V372" i="302"/>
  <c r="S386" i="302" s="1"/>
  <c r="U386" i="302" s="1"/>
  <c r="C368" i="302"/>
  <c r="G366" i="302"/>
  <c r="D352" i="302"/>
  <c r="H352" i="302" s="1"/>
  <c r="D351" i="302"/>
  <c r="H351" i="302" s="1"/>
  <c r="D345" i="302"/>
  <c r="H345" i="302" s="1"/>
  <c r="C341" i="302"/>
  <c r="H341" i="302" s="1"/>
  <c r="C340" i="302"/>
  <c r="G329" i="302"/>
  <c r="G328" i="302"/>
  <c r="G325" i="302"/>
  <c r="G323" i="302"/>
  <c r="E321" i="302"/>
  <c r="E319" i="302"/>
  <c r="F318" i="302"/>
  <c r="G318" i="302" s="1"/>
  <c r="C316" i="302"/>
  <c r="C318" i="302" s="1"/>
  <c r="G313" i="302"/>
  <c r="H312" i="302"/>
  <c r="D310" i="302"/>
  <c r="C309" i="302"/>
  <c r="C310" i="302" s="1"/>
  <c r="H310" i="302" s="1"/>
  <c r="H307" i="302"/>
  <c r="G305" i="302"/>
  <c r="H305" i="302" s="1"/>
  <c r="E305" i="302"/>
  <c r="E304" i="302"/>
  <c r="D371" i="302" s="1"/>
  <c r="G303" i="302"/>
  <c r="H303" i="302" s="1"/>
  <c r="G302" i="302"/>
  <c r="H302" i="302" s="1"/>
  <c r="H301" i="302"/>
  <c r="F300" i="302"/>
  <c r="F302" i="302" s="1"/>
  <c r="F303" i="302" s="1"/>
  <c r="H299" i="302"/>
  <c r="H297" i="302"/>
  <c r="F296" i="302"/>
  <c r="F298" i="302" s="1"/>
  <c r="H295" i="302"/>
  <c r="F290" i="302"/>
  <c r="E289" i="302"/>
  <c r="G288" i="302"/>
  <c r="G289" i="302" s="1"/>
  <c r="H289" i="302" s="1"/>
  <c r="E288" i="302"/>
  <c r="B288" i="302"/>
  <c r="B289" i="302" s="1"/>
  <c r="E287" i="302"/>
  <c r="G286" i="302"/>
  <c r="G287" i="302" s="1"/>
  <c r="H287" i="302" s="1"/>
  <c r="E286" i="302"/>
  <c r="B286" i="302"/>
  <c r="B287" i="302" s="1"/>
  <c r="F284" i="302"/>
  <c r="F283" i="302"/>
  <c r="B281" i="302"/>
  <c r="B282" i="302" s="1"/>
  <c r="B283" i="302" s="1"/>
  <c r="B284" i="302" s="1"/>
  <c r="F279" i="302"/>
  <c r="F278" i="302"/>
  <c r="F277" i="302"/>
  <c r="F276" i="302"/>
  <c r="I275" i="302"/>
  <c r="I276" i="302" s="1"/>
  <c r="I277" i="302" s="1"/>
  <c r="I278" i="302" s="1"/>
  <c r="I279" i="302" s="1"/>
  <c r="F275" i="302"/>
  <c r="C275" i="302"/>
  <c r="E275" i="302" s="1"/>
  <c r="F274" i="302"/>
  <c r="F280" i="302" s="1"/>
  <c r="F264" i="302"/>
  <c r="F263" i="302"/>
  <c r="F262" i="302"/>
  <c r="F261" i="302"/>
  <c r="F260" i="302"/>
  <c r="F259" i="302"/>
  <c r="F265" i="302" s="1"/>
  <c r="F257" i="302"/>
  <c r="F256" i="302"/>
  <c r="F255" i="302"/>
  <c r="F254" i="302"/>
  <c r="F253" i="302"/>
  <c r="I252" i="302"/>
  <c r="I253" i="302" s="1"/>
  <c r="I254" i="302" s="1"/>
  <c r="I255" i="302" s="1"/>
  <c r="I256" i="302" s="1"/>
  <c r="I257" i="302" s="1"/>
  <c r="F252" i="302"/>
  <c r="F251" i="302"/>
  <c r="F249" i="302"/>
  <c r="F248" i="302"/>
  <c r="F247" i="302"/>
  <c r="F246" i="302"/>
  <c r="F245" i="302"/>
  <c r="F244" i="302"/>
  <c r="F243" i="302"/>
  <c r="F238" i="302"/>
  <c r="F229" i="302"/>
  <c r="F228" i="302"/>
  <c r="F237" i="302" s="1"/>
  <c r="F227" i="302"/>
  <c r="F236" i="302" s="1"/>
  <c r="F226" i="302"/>
  <c r="F235" i="302" s="1"/>
  <c r="F225" i="302"/>
  <c r="F234" i="302" s="1"/>
  <c r="B225" i="302"/>
  <c r="B226" i="302" s="1"/>
  <c r="B227" i="302" s="1"/>
  <c r="B228" i="302" s="1"/>
  <c r="B229" i="302" s="1"/>
  <c r="B230" i="302" s="1"/>
  <c r="B231" i="302" s="1"/>
  <c r="B232" i="302" s="1"/>
  <c r="B234" i="302" s="1"/>
  <c r="B235" i="302" s="1"/>
  <c r="B236" i="302" s="1"/>
  <c r="B237" i="302" s="1"/>
  <c r="B238" i="302" s="1"/>
  <c r="B239" i="302" s="1"/>
  <c r="B240" i="302" s="1"/>
  <c r="C223" i="302"/>
  <c r="I222" i="302"/>
  <c r="C222" i="302"/>
  <c r="I221" i="302"/>
  <c r="C219" i="302"/>
  <c r="E213" i="302"/>
  <c r="E214" i="302" s="1"/>
  <c r="E211" i="302"/>
  <c r="E212" i="302" s="1"/>
  <c r="I207" i="302"/>
  <c r="I208" i="302" s="1"/>
  <c r="E207" i="302"/>
  <c r="E208" i="302" s="1"/>
  <c r="E206" i="302"/>
  <c r="I205" i="302"/>
  <c r="I206" i="302" s="1"/>
  <c r="E205" i="302"/>
  <c r="I203" i="302"/>
  <c r="I204" i="302" s="1"/>
  <c r="E203" i="302"/>
  <c r="G201" i="302"/>
  <c r="G200" i="302"/>
  <c r="C199" i="302"/>
  <c r="H198" i="302"/>
  <c r="H196" i="302"/>
  <c r="I196" i="302" s="1"/>
  <c r="I195" i="302"/>
  <c r="G193" i="302"/>
  <c r="G192" i="302"/>
  <c r="I189" i="302"/>
  <c r="H189" i="302"/>
  <c r="H190" i="302" s="1"/>
  <c r="I188" i="302"/>
  <c r="G186" i="302"/>
  <c r="G185" i="302"/>
  <c r="H182" i="302"/>
  <c r="I182" i="302" s="1"/>
  <c r="G179" i="302"/>
  <c r="G178" i="302"/>
  <c r="C177" i="302"/>
  <c r="E178" i="302" s="1"/>
  <c r="H175" i="302"/>
  <c r="I174" i="302"/>
  <c r="G172" i="302"/>
  <c r="G171" i="302"/>
  <c r="C170" i="302"/>
  <c r="E171" i="302" s="1"/>
  <c r="I171" i="302" s="1"/>
  <c r="H169" i="302"/>
  <c r="I169" i="302" s="1"/>
  <c r="I168" i="302"/>
  <c r="H168" i="302"/>
  <c r="I167" i="302"/>
  <c r="G165" i="302"/>
  <c r="G164" i="302"/>
  <c r="E162" i="302"/>
  <c r="D279" i="302" s="1"/>
  <c r="D162" i="302"/>
  <c r="C279" i="302" s="1"/>
  <c r="E161" i="302"/>
  <c r="D278" i="302" s="1"/>
  <c r="D161" i="302"/>
  <c r="C278" i="302" s="1"/>
  <c r="E160" i="302"/>
  <c r="D277" i="302" s="1"/>
  <c r="D160" i="302"/>
  <c r="E159" i="302"/>
  <c r="D276" i="302" s="1"/>
  <c r="D159" i="302"/>
  <c r="C276" i="302" s="1"/>
  <c r="H158" i="302"/>
  <c r="H159" i="302" s="1"/>
  <c r="H160" i="302" s="1"/>
  <c r="H162" i="302" s="1"/>
  <c r="E158" i="302"/>
  <c r="D275" i="302" s="1"/>
  <c r="D158" i="302"/>
  <c r="F158" i="302" s="1"/>
  <c r="I158" i="302" s="1"/>
  <c r="H157" i="302"/>
  <c r="E157" i="302"/>
  <c r="D274" i="302" s="1"/>
  <c r="D157" i="302"/>
  <c r="G155" i="302"/>
  <c r="G154" i="302"/>
  <c r="G152" i="302"/>
  <c r="F272" i="302" s="1"/>
  <c r="D152" i="302"/>
  <c r="C272" i="302" s="1"/>
  <c r="G151" i="302"/>
  <c r="F271" i="302" s="1"/>
  <c r="E151" i="302"/>
  <c r="D271" i="302" s="1"/>
  <c r="G150" i="302"/>
  <c r="F270" i="302" s="1"/>
  <c r="F273" i="302" s="1"/>
  <c r="G148" i="302"/>
  <c r="G147" i="302"/>
  <c r="G145" i="302"/>
  <c r="F268" i="302" s="1"/>
  <c r="H144" i="302"/>
  <c r="H145" i="302" s="1"/>
  <c r="H150" i="302" s="1"/>
  <c r="H151" i="302" s="1"/>
  <c r="H152" i="302" s="1"/>
  <c r="G144" i="302"/>
  <c r="F267" i="302" s="1"/>
  <c r="G143" i="302"/>
  <c r="F266" i="302" s="1"/>
  <c r="E143" i="302"/>
  <c r="D266" i="302" s="1"/>
  <c r="G141" i="302"/>
  <c r="G140" i="302"/>
  <c r="H138" i="302"/>
  <c r="I138" i="302" s="1"/>
  <c r="D137" i="302"/>
  <c r="I137" i="302" s="1"/>
  <c r="G135" i="302"/>
  <c r="G134" i="302"/>
  <c r="J133" i="302"/>
  <c r="I132" i="302"/>
  <c r="F132" i="302"/>
  <c r="D132" i="302"/>
  <c r="H131" i="302"/>
  <c r="H132" i="302" s="1"/>
  <c r="F131" i="302"/>
  <c r="D131" i="302"/>
  <c r="I131" i="302" s="1"/>
  <c r="F130" i="302"/>
  <c r="D130" i="302"/>
  <c r="I130" i="302" s="1"/>
  <c r="E133" i="302" s="1"/>
  <c r="G128" i="302"/>
  <c r="G127" i="302"/>
  <c r="J126" i="302"/>
  <c r="F125" i="302"/>
  <c r="E125" i="302"/>
  <c r="E152" i="302" s="1"/>
  <c r="D272" i="302" s="1"/>
  <c r="D125" i="302"/>
  <c r="H124" i="302"/>
  <c r="H125" i="302" s="1"/>
  <c r="E124" i="302"/>
  <c r="D124" i="302"/>
  <c r="E123" i="302"/>
  <c r="D123" i="302"/>
  <c r="D150" i="302" s="1"/>
  <c r="G121" i="302"/>
  <c r="G120" i="302"/>
  <c r="J119" i="302"/>
  <c r="H118" i="302"/>
  <c r="E118" i="302"/>
  <c r="E145" i="302" s="1"/>
  <c r="D268" i="302" s="1"/>
  <c r="D118" i="302"/>
  <c r="H117" i="302"/>
  <c r="E117" i="302"/>
  <c r="E144" i="302" s="1"/>
  <c r="D267" i="302" s="1"/>
  <c r="D117" i="302"/>
  <c r="E116" i="302"/>
  <c r="D116" i="302"/>
  <c r="F116" i="302" s="1"/>
  <c r="G114" i="302"/>
  <c r="G113" i="302"/>
  <c r="J112" i="302"/>
  <c r="F111" i="302"/>
  <c r="F110" i="302"/>
  <c r="H109" i="302"/>
  <c r="H110" i="302" s="1"/>
  <c r="H111" i="302" s="1"/>
  <c r="I111" i="302" s="1"/>
  <c r="F109" i="302"/>
  <c r="F108" i="302"/>
  <c r="I108" i="302" s="1"/>
  <c r="G106" i="302"/>
  <c r="G105" i="302"/>
  <c r="G103" i="302"/>
  <c r="F232" i="302" s="1"/>
  <c r="F241" i="302" s="1"/>
  <c r="G102" i="302"/>
  <c r="F231" i="302" s="1"/>
  <c r="F240" i="302" s="1"/>
  <c r="D102" i="302"/>
  <c r="G101" i="302"/>
  <c r="F230" i="302" s="1"/>
  <c r="F239" i="302" s="1"/>
  <c r="C101" i="302"/>
  <c r="G99" i="302"/>
  <c r="G98" i="302"/>
  <c r="G96" i="302"/>
  <c r="G95" i="302"/>
  <c r="H94" i="302"/>
  <c r="H95" i="302" s="1"/>
  <c r="H96" i="302" s="1"/>
  <c r="H101" i="302" s="1"/>
  <c r="H102" i="302" s="1"/>
  <c r="H103" i="302" s="1"/>
  <c r="G94" i="302"/>
  <c r="H93" i="302"/>
  <c r="G93" i="302"/>
  <c r="G92" i="302"/>
  <c r="G90" i="302"/>
  <c r="G89" i="302"/>
  <c r="E87" i="302"/>
  <c r="D264" i="302" s="1"/>
  <c r="D87" i="302"/>
  <c r="C264" i="302" s="1"/>
  <c r="F86" i="302"/>
  <c r="E86" i="302"/>
  <c r="D263" i="302" s="1"/>
  <c r="D86" i="302"/>
  <c r="C263" i="302" s="1"/>
  <c r="E263" i="302" s="1"/>
  <c r="E85" i="302"/>
  <c r="D85" i="302"/>
  <c r="E84" i="302"/>
  <c r="D261" i="302" s="1"/>
  <c r="D84" i="302"/>
  <c r="E83" i="302"/>
  <c r="D260" i="302" s="1"/>
  <c r="D83" i="302"/>
  <c r="C260" i="302" s="1"/>
  <c r="E82" i="302"/>
  <c r="F82" i="302" s="1"/>
  <c r="D82" i="302"/>
  <c r="C259" i="302" s="1"/>
  <c r="E81" i="302"/>
  <c r="D257" i="302" s="1"/>
  <c r="D81" i="302"/>
  <c r="C257" i="302" s="1"/>
  <c r="E80" i="302"/>
  <c r="D256" i="302" s="1"/>
  <c r="D80" i="302"/>
  <c r="E79" i="302"/>
  <c r="D255" i="302" s="1"/>
  <c r="D79" i="302"/>
  <c r="C255" i="302" s="1"/>
  <c r="E78" i="302"/>
  <c r="D254" i="302" s="1"/>
  <c r="D78" i="302"/>
  <c r="C254" i="302" s="1"/>
  <c r="E254" i="302" s="1"/>
  <c r="E77" i="302"/>
  <c r="D253" i="302" s="1"/>
  <c r="D282" i="302" s="1"/>
  <c r="D77" i="302"/>
  <c r="E76" i="302"/>
  <c r="D252" i="302" s="1"/>
  <c r="D281" i="302" s="1"/>
  <c r="D76" i="302"/>
  <c r="C252" i="302" s="1"/>
  <c r="E75" i="302"/>
  <c r="D251" i="302" s="1"/>
  <c r="D75" i="302"/>
  <c r="C251" i="302" s="1"/>
  <c r="E74" i="302"/>
  <c r="D249" i="302" s="1"/>
  <c r="D74" i="302"/>
  <c r="C249" i="302" s="1"/>
  <c r="E249" i="302" s="1"/>
  <c r="E73" i="302"/>
  <c r="F73" i="302" s="1"/>
  <c r="D73" i="302"/>
  <c r="C248" i="302" s="1"/>
  <c r="E72" i="302"/>
  <c r="D247" i="302" s="1"/>
  <c r="D72" i="302"/>
  <c r="E71" i="302"/>
  <c r="D246" i="302" s="1"/>
  <c r="D71" i="302"/>
  <c r="C246" i="302" s="1"/>
  <c r="F70" i="302"/>
  <c r="E70" i="302"/>
  <c r="D245" i="302" s="1"/>
  <c r="D70" i="302"/>
  <c r="C245" i="302" s="1"/>
  <c r="H69" i="302"/>
  <c r="H70" i="302" s="1"/>
  <c r="H71" i="302" s="1"/>
  <c r="H72" i="302" s="1"/>
  <c r="H76" i="302" s="1"/>
  <c r="H77" i="302" s="1"/>
  <c r="H78" i="302" s="1"/>
  <c r="H79" i="302" s="1"/>
  <c r="H80" i="302" s="1"/>
  <c r="H81" i="302" s="1"/>
  <c r="H82" i="302" s="1"/>
  <c r="H83" i="302" s="1"/>
  <c r="H84" i="302" s="1"/>
  <c r="H85" i="302" s="1"/>
  <c r="H86" i="302" s="1"/>
  <c r="H87" i="302" s="1"/>
  <c r="G66" i="302"/>
  <c r="G65" i="302"/>
  <c r="J64" i="302"/>
  <c r="C64" i="302"/>
  <c r="E65" i="302" s="1"/>
  <c r="I65" i="302" s="1"/>
  <c r="I63" i="302"/>
  <c r="I62" i="302"/>
  <c r="I61" i="302"/>
  <c r="I60" i="302"/>
  <c r="E64" i="302" s="1"/>
  <c r="G58" i="302"/>
  <c r="G57" i="302"/>
  <c r="J56" i="302"/>
  <c r="F55" i="302"/>
  <c r="D55" i="302"/>
  <c r="F54" i="302"/>
  <c r="D54" i="302"/>
  <c r="H53" i="302"/>
  <c r="H54" i="302" s="1"/>
  <c r="H55" i="302" s="1"/>
  <c r="I55" i="302" s="1"/>
  <c r="F53" i="302"/>
  <c r="D53" i="302"/>
  <c r="I53" i="302" s="1"/>
  <c r="G50" i="302"/>
  <c r="G49" i="302"/>
  <c r="J48" i="302"/>
  <c r="E47" i="302"/>
  <c r="D47" i="302"/>
  <c r="F47" i="302" s="1"/>
  <c r="I47" i="302" s="1"/>
  <c r="E46" i="302"/>
  <c r="D46" i="302"/>
  <c r="F46" i="302" s="1"/>
  <c r="I46" i="302" s="1"/>
  <c r="E45" i="302"/>
  <c r="D45" i="302"/>
  <c r="F45" i="302" s="1"/>
  <c r="I45" i="302" s="1"/>
  <c r="E44" i="302"/>
  <c r="D44" i="302"/>
  <c r="H43" i="302"/>
  <c r="H44" i="302" s="1"/>
  <c r="H45" i="302" s="1"/>
  <c r="H46" i="302" s="1"/>
  <c r="H47" i="302" s="1"/>
  <c r="E43" i="302"/>
  <c r="D43" i="302"/>
  <c r="E42" i="302"/>
  <c r="G40" i="302"/>
  <c r="G39" i="302"/>
  <c r="J38" i="302"/>
  <c r="H37" i="302"/>
  <c r="E37" i="302"/>
  <c r="E103" i="302" s="1"/>
  <c r="D232" i="302" s="1"/>
  <c r="D241" i="302" s="1"/>
  <c r="D37" i="302"/>
  <c r="H36" i="302"/>
  <c r="E36" i="302"/>
  <c r="E102" i="302" s="1"/>
  <c r="D231" i="302" s="1"/>
  <c r="D240" i="302" s="1"/>
  <c r="D36" i="302"/>
  <c r="E35" i="302"/>
  <c r="G33" i="302"/>
  <c r="G32" i="302"/>
  <c r="J31" i="302"/>
  <c r="E30" i="302"/>
  <c r="E96" i="302" s="1"/>
  <c r="D229" i="302" s="1"/>
  <c r="D238" i="302" s="1"/>
  <c r="D30" i="302"/>
  <c r="E29" i="302"/>
  <c r="E95" i="302" s="1"/>
  <c r="D228" i="302" s="1"/>
  <c r="D237" i="302" s="1"/>
  <c r="D29" i="302"/>
  <c r="E28" i="302"/>
  <c r="E94" i="302" s="1"/>
  <c r="D227" i="302" s="1"/>
  <c r="D236" i="302" s="1"/>
  <c r="D28" i="302"/>
  <c r="D94" i="302" s="1"/>
  <c r="H27" i="302"/>
  <c r="H28" i="302" s="1"/>
  <c r="H29" i="302" s="1"/>
  <c r="H30" i="302" s="1"/>
  <c r="E27" i="302"/>
  <c r="E93" i="302" s="1"/>
  <c r="D226" i="302" s="1"/>
  <c r="D235" i="302" s="1"/>
  <c r="D27" i="302"/>
  <c r="E26" i="302"/>
  <c r="E92" i="302" s="1"/>
  <c r="D225" i="302" s="1"/>
  <c r="D234" i="302" s="1"/>
  <c r="D26" i="302"/>
  <c r="D92" i="302" s="1"/>
  <c r="J22" i="302"/>
  <c r="F21" i="302"/>
  <c r="F20" i="302"/>
  <c r="F19" i="302"/>
  <c r="F18" i="302"/>
  <c r="F17" i="302"/>
  <c r="F16" i="302"/>
  <c r="H15" i="302"/>
  <c r="H16" i="302" s="1"/>
  <c r="M11" i="302"/>
  <c r="M10" i="302"/>
  <c r="M9" i="302"/>
  <c r="H9" i="302"/>
  <c r="I9" i="302" s="1"/>
  <c r="M8" i="302"/>
  <c r="E8" i="302"/>
  <c r="C8" i="302"/>
  <c r="M7" i="302"/>
  <c r="M6" i="302"/>
  <c r="F190" i="302"/>
  <c r="C191" i="302" s="1"/>
  <c r="D181" i="302"/>
  <c r="I181" i="302" s="1"/>
  <c r="M5" i="302"/>
  <c r="E5" i="302"/>
  <c r="E366" i="302" s="1"/>
  <c r="D5" i="302"/>
  <c r="M4" i="302"/>
  <c r="H4" i="302"/>
  <c r="B4" i="302"/>
  <c r="R370" i="302" s="1"/>
  <c r="D359" i="301"/>
  <c r="H359" i="301" s="1"/>
  <c r="E14" i="301"/>
  <c r="D14" i="301"/>
  <c r="S388" i="301"/>
  <c r="U388" i="301" s="1"/>
  <c r="U387" i="301" s="1"/>
  <c r="D386" i="301"/>
  <c r="I386" i="301" s="1"/>
  <c r="T382" i="301"/>
  <c r="U382" i="301" s="1"/>
  <c r="S382" i="301"/>
  <c r="T381" i="301"/>
  <c r="U381" i="301" s="1"/>
  <c r="U380" i="301"/>
  <c r="T376" i="301"/>
  <c r="V372" i="301"/>
  <c r="S386" i="301" s="1"/>
  <c r="U386" i="301" s="1"/>
  <c r="C368" i="301"/>
  <c r="G366" i="301"/>
  <c r="D352" i="301"/>
  <c r="H352" i="301" s="1"/>
  <c r="D351" i="301"/>
  <c r="H351" i="301" s="1"/>
  <c r="D345" i="301"/>
  <c r="C341" i="301"/>
  <c r="H341" i="301" s="1"/>
  <c r="C340" i="301"/>
  <c r="G329" i="301"/>
  <c r="G328" i="301"/>
  <c r="G325" i="301"/>
  <c r="G323" i="301"/>
  <c r="E321" i="301"/>
  <c r="E319" i="301"/>
  <c r="F318" i="301"/>
  <c r="G318" i="301" s="1"/>
  <c r="C316" i="301"/>
  <c r="C318" i="301" s="1"/>
  <c r="G313" i="301"/>
  <c r="H312" i="301"/>
  <c r="D310" i="301"/>
  <c r="C309" i="301"/>
  <c r="C310" i="301" s="1"/>
  <c r="H310" i="301" s="1"/>
  <c r="E308" i="301"/>
  <c r="H307" i="301"/>
  <c r="G305" i="301"/>
  <c r="E305" i="301"/>
  <c r="E304" i="301"/>
  <c r="D371" i="301" s="1"/>
  <c r="G303" i="301"/>
  <c r="H303" i="301" s="1"/>
  <c r="G302" i="301"/>
  <c r="H302" i="301" s="1"/>
  <c r="H301" i="301"/>
  <c r="H299" i="301"/>
  <c r="F298" i="301"/>
  <c r="F300" i="301" s="1"/>
  <c r="F302" i="301" s="1"/>
  <c r="F303" i="301" s="1"/>
  <c r="H297" i="301"/>
  <c r="F296" i="301"/>
  <c r="H295" i="301"/>
  <c r="F290" i="301"/>
  <c r="E289" i="301"/>
  <c r="G288" i="301"/>
  <c r="G289" i="301" s="1"/>
  <c r="E288" i="301"/>
  <c r="B288" i="301"/>
  <c r="B289" i="301" s="1"/>
  <c r="E287" i="301"/>
  <c r="G286" i="301"/>
  <c r="G287" i="301" s="1"/>
  <c r="H287" i="301" s="1"/>
  <c r="E286" i="301"/>
  <c r="B286" i="301"/>
  <c r="B287" i="301" s="1"/>
  <c r="F284" i="301"/>
  <c r="F285" i="301" s="1"/>
  <c r="F283" i="301"/>
  <c r="B281" i="301"/>
  <c r="B282" i="301" s="1"/>
  <c r="B283" i="301" s="1"/>
  <c r="B284" i="301" s="1"/>
  <c r="F280" i="301"/>
  <c r="F279" i="301"/>
  <c r="F278" i="301"/>
  <c r="F277" i="301"/>
  <c r="F276" i="301"/>
  <c r="I275" i="301"/>
  <c r="I276" i="301" s="1"/>
  <c r="I277" i="301" s="1"/>
  <c r="I278" i="301" s="1"/>
  <c r="I279" i="301" s="1"/>
  <c r="F275" i="301"/>
  <c r="F274" i="301"/>
  <c r="F264" i="301"/>
  <c r="F263" i="301"/>
  <c r="F262" i="301"/>
  <c r="F261" i="301"/>
  <c r="F260" i="301"/>
  <c r="F259" i="301"/>
  <c r="F265" i="301" s="1"/>
  <c r="F257" i="301"/>
  <c r="F256" i="301"/>
  <c r="F255" i="301"/>
  <c r="F254" i="301"/>
  <c r="F253" i="301"/>
  <c r="I252" i="301"/>
  <c r="I253" i="301" s="1"/>
  <c r="I254" i="301" s="1"/>
  <c r="I255" i="301" s="1"/>
  <c r="I256" i="301" s="1"/>
  <c r="I257" i="301" s="1"/>
  <c r="F252" i="301"/>
  <c r="F251" i="301"/>
  <c r="F249" i="301"/>
  <c r="F248" i="301"/>
  <c r="F247" i="301"/>
  <c r="F246" i="301"/>
  <c r="F245" i="301"/>
  <c r="F244" i="301"/>
  <c r="F243" i="301"/>
  <c r="F238" i="301"/>
  <c r="F229" i="301"/>
  <c r="F228" i="301"/>
  <c r="F237" i="301" s="1"/>
  <c r="F227" i="301"/>
  <c r="F236" i="301" s="1"/>
  <c r="F226" i="301"/>
  <c r="F235" i="301" s="1"/>
  <c r="F225" i="301"/>
  <c r="F234" i="301" s="1"/>
  <c r="B225" i="301"/>
  <c r="B226" i="301" s="1"/>
  <c r="B227" i="301" s="1"/>
  <c r="B228" i="301" s="1"/>
  <c r="B229" i="301" s="1"/>
  <c r="B230" i="301" s="1"/>
  <c r="B231" i="301" s="1"/>
  <c r="B232" i="301" s="1"/>
  <c r="B234" i="301" s="1"/>
  <c r="B235" i="301" s="1"/>
  <c r="B236" i="301" s="1"/>
  <c r="B237" i="301" s="1"/>
  <c r="B238" i="301" s="1"/>
  <c r="B239" i="301" s="1"/>
  <c r="B240" i="301" s="1"/>
  <c r="C223" i="301"/>
  <c r="I222" i="301"/>
  <c r="C222" i="301"/>
  <c r="I221" i="301"/>
  <c r="C219" i="301"/>
  <c r="C220" i="301" s="1"/>
  <c r="C221" i="301" s="1"/>
  <c r="E213" i="301"/>
  <c r="E214" i="301" s="1"/>
  <c r="E211" i="301"/>
  <c r="E212" i="301" s="1"/>
  <c r="E209" i="301"/>
  <c r="E210" i="301" s="1"/>
  <c r="I207" i="301"/>
  <c r="I208" i="301" s="1"/>
  <c r="E207" i="301"/>
  <c r="E208" i="301" s="1"/>
  <c r="I206" i="301"/>
  <c r="I205" i="301"/>
  <c r="E205" i="301"/>
  <c r="E206" i="301" s="1"/>
  <c r="I203" i="301"/>
  <c r="I204" i="301" s="1"/>
  <c r="E203" i="301"/>
  <c r="G201" i="301"/>
  <c r="G200" i="301"/>
  <c r="C199" i="301"/>
  <c r="E201" i="301" s="1"/>
  <c r="I201" i="301" s="1"/>
  <c r="H198" i="301"/>
  <c r="H196" i="301"/>
  <c r="I196" i="301" s="1"/>
  <c r="I195" i="301"/>
  <c r="G193" i="301"/>
  <c r="G192" i="301"/>
  <c r="H190" i="301"/>
  <c r="I189" i="301"/>
  <c r="H189" i="301"/>
  <c r="I188" i="301"/>
  <c r="G186" i="301"/>
  <c r="G185" i="301"/>
  <c r="H182" i="301"/>
  <c r="G179" i="301"/>
  <c r="G178" i="301"/>
  <c r="C177" i="301"/>
  <c r="E178" i="301" s="1"/>
  <c r="H175" i="301"/>
  <c r="I174" i="301"/>
  <c r="G172" i="301"/>
  <c r="E172" i="301"/>
  <c r="I172" i="301" s="1"/>
  <c r="G171" i="301"/>
  <c r="C170" i="301"/>
  <c r="E171" i="301" s="1"/>
  <c r="I171" i="301" s="1"/>
  <c r="H168" i="301"/>
  <c r="H169" i="301" s="1"/>
  <c r="I169" i="301" s="1"/>
  <c r="I167" i="301"/>
  <c r="G165" i="301"/>
  <c r="G164" i="301"/>
  <c r="E162" i="301"/>
  <c r="D279" i="301" s="1"/>
  <c r="D162" i="301"/>
  <c r="C279" i="301" s="1"/>
  <c r="E279" i="301" s="1"/>
  <c r="E161" i="301"/>
  <c r="D278" i="301" s="1"/>
  <c r="D161" i="301"/>
  <c r="C278" i="301" s="1"/>
  <c r="E278" i="301" s="1"/>
  <c r="E160" i="301"/>
  <c r="D277" i="301" s="1"/>
  <c r="D160" i="301"/>
  <c r="C277" i="301" s="1"/>
  <c r="F159" i="301"/>
  <c r="E159" i="301"/>
  <c r="D276" i="301" s="1"/>
  <c r="D159" i="301"/>
  <c r="C276" i="301" s="1"/>
  <c r="E158" i="301"/>
  <c r="D275" i="301" s="1"/>
  <c r="D158" i="301"/>
  <c r="C275" i="301" s="1"/>
  <c r="H157" i="301"/>
  <c r="H158" i="301" s="1"/>
  <c r="H159" i="301" s="1"/>
  <c r="H160" i="301" s="1"/>
  <c r="E157" i="301"/>
  <c r="D274" i="301" s="1"/>
  <c r="D157" i="301"/>
  <c r="F157" i="301" s="1"/>
  <c r="G155" i="301"/>
  <c r="G154" i="301"/>
  <c r="G152" i="301"/>
  <c r="F272" i="301" s="1"/>
  <c r="G151" i="301"/>
  <c r="F271" i="301" s="1"/>
  <c r="G150" i="301"/>
  <c r="F270" i="301" s="1"/>
  <c r="E150" i="301"/>
  <c r="D270" i="301" s="1"/>
  <c r="G148" i="301"/>
  <c r="G147" i="301"/>
  <c r="G145" i="301"/>
  <c r="F268" i="301" s="1"/>
  <c r="H144" i="301"/>
  <c r="H145" i="301" s="1"/>
  <c r="H150" i="301" s="1"/>
  <c r="H151" i="301" s="1"/>
  <c r="H152" i="301" s="1"/>
  <c r="G144" i="301"/>
  <c r="F267" i="301" s="1"/>
  <c r="G143" i="301"/>
  <c r="F266" i="301" s="1"/>
  <c r="G141" i="301"/>
  <c r="G140" i="301"/>
  <c r="H138" i="301"/>
  <c r="I138" i="301" s="1"/>
  <c r="G135" i="301"/>
  <c r="G134" i="301"/>
  <c r="J133" i="301"/>
  <c r="C133" i="301"/>
  <c r="E134" i="301" s="1"/>
  <c r="I134" i="301" s="1"/>
  <c r="F132" i="301"/>
  <c r="D132" i="301"/>
  <c r="I132" i="301" s="1"/>
  <c r="H131" i="301"/>
  <c r="H132" i="301" s="1"/>
  <c r="F131" i="301"/>
  <c r="D131" i="301"/>
  <c r="I130" i="301"/>
  <c r="F130" i="301"/>
  <c r="D130" i="301"/>
  <c r="G128" i="301"/>
  <c r="G127" i="301"/>
  <c r="J126" i="301"/>
  <c r="H125" i="301"/>
  <c r="E125" i="301"/>
  <c r="E152" i="301" s="1"/>
  <c r="D125" i="301"/>
  <c r="D152" i="301" s="1"/>
  <c r="C272" i="301" s="1"/>
  <c r="H124" i="301"/>
  <c r="E124" i="301"/>
  <c r="E151" i="301" s="1"/>
  <c r="D271" i="301" s="1"/>
  <c r="D124" i="301"/>
  <c r="F124" i="301" s="1"/>
  <c r="I124" i="301" s="1"/>
  <c r="E123" i="301"/>
  <c r="D123" i="301"/>
  <c r="F123" i="301" s="1"/>
  <c r="G121" i="301"/>
  <c r="G120" i="301"/>
  <c r="J119" i="301"/>
  <c r="H118" i="301"/>
  <c r="E118" i="301"/>
  <c r="E145" i="301" s="1"/>
  <c r="D268" i="301" s="1"/>
  <c r="D118" i="301"/>
  <c r="D145" i="301" s="1"/>
  <c r="H117" i="301"/>
  <c r="E117" i="301"/>
  <c r="E144" i="301" s="1"/>
  <c r="D267" i="301" s="1"/>
  <c r="D117" i="301"/>
  <c r="D144" i="301" s="1"/>
  <c r="E116" i="301"/>
  <c r="E143" i="301" s="1"/>
  <c r="D266" i="301" s="1"/>
  <c r="D116" i="301"/>
  <c r="F116" i="301" s="1"/>
  <c r="G114" i="301"/>
  <c r="G113" i="301"/>
  <c r="J112" i="301"/>
  <c r="F111" i="301"/>
  <c r="F110" i="301"/>
  <c r="H109" i="301"/>
  <c r="H110" i="301" s="1"/>
  <c r="H111" i="301" s="1"/>
  <c r="I111" i="301" s="1"/>
  <c r="F109" i="301"/>
  <c r="I109" i="301" s="1"/>
  <c r="I108" i="301"/>
  <c r="F108" i="301"/>
  <c r="G106" i="301"/>
  <c r="G105" i="301"/>
  <c r="G103" i="301"/>
  <c r="F232" i="301" s="1"/>
  <c r="F241" i="301" s="1"/>
  <c r="G102" i="301"/>
  <c r="F231" i="301" s="1"/>
  <c r="F240" i="301" s="1"/>
  <c r="G101" i="301"/>
  <c r="F230" i="301" s="1"/>
  <c r="F239" i="301" s="1"/>
  <c r="C101" i="301"/>
  <c r="G99" i="301"/>
  <c r="G98" i="301"/>
  <c r="G96" i="301"/>
  <c r="G95" i="301"/>
  <c r="G94" i="301"/>
  <c r="H93" i="301"/>
  <c r="H94" i="301" s="1"/>
  <c r="H95" i="301" s="1"/>
  <c r="H96" i="301" s="1"/>
  <c r="H101" i="301" s="1"/>
  <c r="H102" i="301" s="1"/>
  <c r="H103" i="301" s="1"/>
  <c r="G93" i="301"/>
  <c r="G92" i="301"/>
  <c r="G90" i="301"/>
  <c r="G89" i="301"/>
  <c r="E87" i="301"/>
  <c r="D264" i="301" s="1"/>
  <c r="D87" i="301"/>
  <c r="C264" i="301" s="1"/>
  <c r="E86" i="301"/>
  <c r="D263" i="301" s="1"/>
  <c r="D86" i="301"/>
  <c r="C263" i="301" s="1"/>
  <c r="E85" i="301"/>
  <c r="D85" i="301"/>
  <c r="C262" i="301" s="1"/>
  <c r="E84" i="301"/>
  <c r="D84" i="301"/>
  <c r="F83" i="301"/>
  <c r="E83" i="301"/>
  <c r="D260" i="301" s="1"/>
  <c r="D83" i="301"/>
  <c r="C260" i="301" s="1"/>
  <c r="E82" i="301"/>
  <c r="D259" i="301" s="1"/>
  <c r="D82" i="301"/>
  <c r="C259" i="301" s="1"/>
  <c r="E81" i="301"/>
  <c r="D257" i="301" s="1"/>
  <c r="D81" i="301"/>
  <c r="C257" i="301" s="1"/>
  <c r="E257" i="301" s="1"/>
  <c r="E80" i="301"/>
  <c r="D256" i="301" s="1"/>
  <c r="D80" i="301"/>
  <c r="C256" i="301" s="1"/>
  <c r="E79" i="301"/>
  <c r="D255" i="301" s="1"/>
  <c r="D79" i="301"/>
  <c r="C255" i="301" s="1"/>
  <c r="F78" i="301"/>
  <c r="E78" i="301"/>
  <c r="D254" i="301" s="1"/>
  <c r="D78" i="301"/>
  <c r="C254" i="301" s="1"/>
  <c r="E77" i="301"/>
  <c r="D253" i="301" s="1"/>
  <c r="D282" i="301" s="1"/>
  <c r="D77" i="301"/>
  <c r="C253" i="301" s="1"/>
  <c r="E76" i="301"/>
  <c r="D252" i="301" s="1"/>
  <c r="D281" i="301" s="1"/>
  <c r="D76" i="301"/>
  <c r="C252" i="301" s="1"/>
  <c r="E75" i="301"/>
  <c r="D251" i="301" s="1"/>
  <c r="D75" i="301"/>
  <c r="C251" i="301" s="1"/>
  <c r="E74" i="301"/>
  <c r="D249" i="301" s="1"/>
  <c r="D74" i="301"/>
  <c r="C249" i="301" s="1"/>
  <c r="E73" i="301"/>
  <c r="D248" i="301" s="1"/>
  <c r="D73" i="301"/>
  <c r="C248" i="301" s="1"/>
  <c r="E248" i="301" s="1"/>
  <c r="E72" i="301"/>
  <c r="D247" i="301" s="1"/>
  <c r="D72" i="301"/>
  <c r="C247" i="301" s="1"/>
  <c r="E71" i="301"/>
  <c r="D246" i="301" s="1"/>
  <c r="D71" i="301"/>
  <c r="C246" i="301" s="1"/>
  <c r="E70" i="301"/>
  <c r="D245" i="301" s="1"/>
  <c r="D70" i="301"/>
  <c r="C245" i="301" s="1"/>
  <c r="H69" i="301"/>
  <c r="H70" i="301" s="1"/>
  <c r="H73" i="301" s="1"/>
  <c r="E69" i="301"/>
  <c r="D244" i="301" s="1"/>
  <c r="D69" i="301"/>
  <c r="C244" i="301" s="1"/>
  <c r="G66" i="301"/>
  <c r="G65" i="301"/>
  <c r="J64" i="301"/>
  <c r="C64" i="301"/>
  <c r="E66" i="301" s="1"/>
  <c r="I63" i="301"/>
  <c r="I62" i="301"/>
  <c r="I61" i="301"/>
  <c r="I60" i="301"/>
  <c r="E64" i="301" s="1"/>
  <c r="G58" i="301"/>
  <c r="G57" i="301"/>
  <c r="J56" i="301"/>
  <c r="F55" i="301"/>
  <c r="D55" i="301"/>
  <c r="F54" i="301"/>
  <c r="D54" i="301"/>
  <c r="I53" i="301"/>
  <c r="H53" i="301"/>
  <c r="H54" i="301" s="1"/>
  <c r="H55" i="301" s="1"/>
  <c r="F53" i="301"/>
  <c r="D53" i="301"/>
  <c r="D52" i="301"/>
  <c r="G50" i="301"/>
  <c r="G49" i="301"/>
  <c r="J48" i="301"/>
  <c r="E47" i="301"/>
  <c r="D47" i="301"/>
  <c r="E46" i="301"/>
  <c r="D46" i="301"/>
  <c r="F46" i="301" s="1"/>
  <c r="E45" i="301"/>
  <c r="D45" i="301"/>
  <c r="F45" i="301" s="1"/>
  <c r="E44" i="301"/>
  <c r="D44" i="301"/>
  <c r="F44" i="301" s="1"/>
  <c r="I44" i="301" s="1"/>
  <c r="H43" i="301"/>
  <c r="H44" i="301" s="1"/>
  <c r="H45" i="301" s="1"/>
  <c r="H46" i="301" s="1"/>
  <c r="H47" i="301" s="1"/>
  <c r="E43" i="301"/>
  <c r="D43" i="301"/>
  <c r="F43" i="301" s="1"/>
  <c r="I43" i="301" s="1"/>
  <c r="E42" i="301"/>
  <c r="D42" i="301"/>
  <c r="F42" i="301" s="1"/>
  <c r="G40" i="301"/>
  <c r="G39" i="301"/>
  <c r="J38" i="301"/>
  <c r="H37" i="301"/>
  <c r="E37" i="301"/>
  <c r="E103" i="301" s="1"/>
  <c r="D232" i="301" s="1"/>
  <c r="D241" i="301" s="1"/>
  <c r="D37" i="301"/>
  <c r="D103" i="301" s="1"/>
  <c r="H36" i="301"/>
  <c r="E36" i="301"/>
  <c r="E102" i="301" s="1"/>
  <c r="D231" i="301" s="1"/>
  <c r="D240" i="301" s="1"/>
  <c r="D36" i="301"/>
  <c r="D102" i="301" s="1"/>
  <c r="E35" i="301"/>
  <c r="D35" i="301"/>
  <c r="C300" i="301" s="1"/>
  <c r="G33" i="301"/>
  <c r="G32" i="301"/>
  <c r="J31" i="301"/>
  <c r="E30" i="301"/>
  <c r="E96" i="301" s="1"/>
  <c r="D229" i="301" s="1"/>
  <c r="D238" i="301" s="1"/>
  <c r="D30" i="301"/>
  <c r="D96" i="301" s="1"/>
  <c r="C229" i="301" s="1"/>
  <c r="E29" i="301"/>
  <c r="D29" i="301"/>
  <c r="H28" i="301"/>
  <c r="H29" i="301" s="1"/>
  <c r="H30" i="301" s="1"/>
  <c r="E28" i="301"/>
  <c r="E94" i="301" s="1"/>
  <c r="D28" i="301"/>
  <c r="D94" i="301" s="1"/>
  <c r="C227" i="301" s="1"/>
  <c r="C236" i="301" s="1"/>
  <c r="H27" i="301"/>
  <c r="E27" i="301"/>
  <c r="E93" i="301" s="1"/>
  <c r="D226" i="301" s="1"/>
  <c r="D235" i="301" s="1"/>
  <c r="D27" i="301"/>
  <c r="D93" i="301" s="1"/>
  <c r="E26" i="301"/>
  <c r="E92" i="301" s="1"/>
  <c r="D225" i="301" s="1"/>
  <c r="D234" i="301" s="1"/>
  <c r="D26" i="301"/>
  <c r="D92" i="301" s="1"/>
  <c r="J22" i="301"/>
  <c r="F21" i="301"/>
  <c r="F20" i="301"/>
  <c r="F19" i="301"/>
  <c r="F18" i="301"/>
  <c r="F17" i="301"/>
  <c r="F16" i="301"/>
  <c r="I15" i="301"/>
  <c r="H15" i="301"/>
  <c r="H16" i="301" s="1"/>
  <c r="F15" i="301"/>
  <c r="M11" i="301"/>
  <c r="M10" i="301"/>
  <c r="M9" i="301"/>
  <c r="H9" i="301"/>
  <c r="H10" i="301" s="1"/>
  <c r="H11" i="301" s="1"/>
  <c r="I11" i="301" s="1"/>
  <c r="M8" i="301"/>
  <c r="E8" i="301"/>
  <c r="C8" i="301"/>
  <c r="M7" i="301"/>
  <c r="M6" i="301"/>
  <c r="F190" i="301"/>
  <c r="C191" i="301" s="1"/>
  <c r="F217" i="301"/>
  <c r="M5" i="301"/>
  <c r="E5" i="301"/>
  <c r="E366" i="301" s="1"/>
  <c r="D5" i="301"/>
  <c r="D366" i="301" s="1"/>
  <c r="M4" i="301"/>
  <c r="H4" i="301"/>
  <c r="B4" i="301"/>
  <c r="R370" i="301" s="1"/>
  <c r="V372" i="300"/>
  <c r="D358" i="300"/>
  <c r="D14" i="300"/>
  <c r="D386" i="300"/>
  <c r="I386" i="300" s="1"/>
  <c r="T382" i="300"/>
  <c r="U382" i="300" s="1"/>
  <c r="S382" i="300"/>
  <c r="T381" i="300"/>
  <c r="U381" i="300" s="1"/>
  <c r="S380" i="300"/>
  <c r="T376" i="300"/>
  <c r="S386" i="300"/>
  <c r="U386" i="300" s="1"/>
  <c r="D371" i="300"/>
  <c r="C368" i="300"/>
  <c r="G366" i="300"/>
  <c r="H359" i="300"/>
  <c r="S376" i="300"/>
  <c r="U376" i="300" s="1"/>
  <c r="D352" i="300"/>
  <c r="H352" i="300" s="1"/>
  <c r="D351" i="300"/>
  <c r="H351" i="300" s="1"/>
  <c r="D345" i="300"/>
  <c r="H345" i="300" s="1"/>
  <c r="C341" i="300"/>
  <c r="H341" i="300" s="1"/>
  <c r="C340" i="300"/>
  <c r="G329" i="300"/>
  <c r="G328" i="300"/>
  <c r="G325" i="300"/>
  <c r="G323" i="300"/>
  <c r="E321" i="300"/>
  <c r="E319" i="300"/>
  <c r="F318" i="300"/>
  <c r="G318" i="300" s="1"/>
  <c r="C316" i="300"/>
  <c r="G313" i="300"/>
  <c r="H312" i="300"/>
  <c r="D310" i="300"/>
  <c r="C309" i="300"/>
  <c r="H309" i="300" s="1"/>
  <c r="H307" i="300"/>
  <c r="G305" i="300"/>
  <c r="E305" i="300"/>
  <c r="E304" i="300"/>
  <c r="G303" i="300"/>
  <c r="H303" i="300" s="1"/>
  <c r="G302" i="300"/>
  <c r="H302" i="300" s="1"/>
  <c r="H301" i="300"/>
  <c r="H299" i="300"/>
  <c r="F298" i="300"/>
  <c r="F300" i="300" s="1"/>
  <c r="F302" i="300" s="1"/>
  <c r="F303" i="300" s="1"/>
  <c r="H297" i="300"/>
  <c r="F296" i="300"/>
  <c r="H295" i="300"/>
  <c r="F290" i="300"/>
  <c r="E289" i="300"/>
  <c r="G288" i="300"/>
  <c r="G289" i="300" s="1"/>
  <c r="E288" i="300"/>
  <c r="H288" i="300" s="1"/>
  <c r="B288" i="300"/>
  <c r="B289" i="300" s="1"/>
  <c r="E287" i="300"/>
  <c r="G286" i="300"/>
  <c r="G287" i="300" s="1"/>
  <c r="E286" i="300"/>
  <c r="B286" i="300"/>
  <c r="B287" i="300" s="1"/>
  <c r="F284" i="300"/>
  <c r="F285" i="300" s="1"/>
  <c r="F283" i="300"/>
  <c r="B281" i="300"/>
  <c r="B282" i="300" s="1"/>
  <c r="B283" i="300" s="1"/>
  <c r="B284" i="300" s="1"/>
  <c r="F279" i="300"/>
  <c r="F278" i="300"/>
  <c r="F277" i="300"/>
  <c r="F276" i="300"/>
  <c r="I275" i="300"/>
  <c r="I276" i="300" s="1"/>
  <c r="I277" i="300" s="1"/>
  <c r="I278" i="300" s="1"/>
  <c r="I279" i="300" s="1"/>
  <c r="F275" i="300"/>
  <c r="F274" i="300"/>
  <c r="F280" i="300" s="1"/>
  <c r="F264" i="300"/>
  <c r="F263" i="300"/>
  <c r="F262" i="300"/>
  <c r="F261" i="300"/>
  <c r="F260" i="300"/>
  <c r="F259" i="300"/>
  <c r="F257" i="300"/>
  <c r="F256" i="300"/>
  <c r="F255" i="300"/>
  <c r="F254" i="300"/>
  <c r="F253" i="300"/>
  <c r="I252" i="300"/>
  <c r="I253" i="300" s="1"/>
  <c r="I254" i="300" s="1"/>
  <c r="I255" i="300" s="1"/>
  <c r="I256" i="300" s="1"/>
  <c r="I257" i="300" s="1"/>
  <c r="F252" i="300"/>
  <c r="F251" i="300"/>
  <c r="F258" i="300" s="1"/>
  <c r="F249" i="300"/>
  <c r="F248" i="300"/>
  <c r="F247" i="300"/>
  <c r="F246" i="300"/>
  <c r="F245" i="300"/>
  <c r="F244" i="300"/>
  <c r="F243" i="300"/>
  <c r="F237" i="300"/>
  <c r="F229" i="300"/>
  <c r="F238" i="300" s="1"/>
  <c r="F228" i="300"/>
  <c r="F227" i="300"/>
  <c r="F236" i="300" s="1"/>
  <c r="F226" i="300"/>
  <c r="F235" i="300" s="1"/>
  <c r="F225" i="300"/>
  <c r="B225" i="300"/>
  <c r="B226" i="300" s="1"/>
  <c r="B227" i="300" s="1"/>
  <c r="B228" i="300" s="1"/>
  <c r="B229" i="300" s="1"/>
  <c r="B230" i="300" s="1"/>
  <c r="B231" i="300" s="1"/>
  <c r="B232" i="300" s="1"/>
  <c r="B234" i="300" s="1"/>
  <c r="B235" i="300" s="1"/>
  <c r="B236" i="300" s="1"/>
  <c r="B237" i="300" s="1"/>
  <c r="B238" i="300" s="1"/>
  <c r="B239" i="300" s="1"/>
  <c r="B240" i="300" s="1"/>
  <c r="C223" i="300"/>
  <c r="I222" i="300"/>
  <c r="C222" i="300"/>
  <c r="I221" i="300"/>
  <c r="C219" i="300"/>
  <c r="C220" i="300" s="1"/>
  <c r="C221" i="300" s="1"/>
  <c r="E213" i="300"/>
  <c r="E214" i="300" s="1"/>
  <c r="E211" i="300"/>
  <c r="E212" i="300" s="1"/>
  <c r="I207" i="300"/>
  <c r="I208" i="300" s="1"/>
  <c r="E207" i="300"/>
  <c r="E208" i="300" s="1"/>
  <c r="I205" i="300"/>
  <c r="I206" i="300" s="1"/>
  <c r="E205" i="300"/>
  <c r="E206" i="300" s="1"/>
  <c r="I203" i="300"/>
  <c r="I204" i="300" s="1"/>
  <c r="E203" i="300"/>
  <c r="G201" i="300"/>
  <c r="G200" i="300"/>
  <c r="C199" i="300"/>
  <c r="E201" i="300" s="1"/>
  <c r="H198" i="300"/>
  <c r="H196" i="300"/>
  <c r="I196" i="300" s="1"/>
  <c r="I195" i="300"/>
  <c r="G193" i="300"/>
  <c r="G192" i="300"/>
  <c r="I189" i="300"/>
  <c r="H189" i="300"/>
  <c r="H190" i="300" s="1"/>
  <c r="I188" i="300"/>
  <c r="G186" i="300"/>
  <c r="G185" i="300"/>
  <c r="H183" i="300"/>
  <c r="I183" i="300" s="1"/>
  <c r="H182" i="300"/>
  <c r="I182" i="300" s="1"/>
  <c r="G179" i="300"/>
  <c r="G178" i="300"/>
  <c r="E178" i="300"/>
  <c r="C177" i="300"/>
  <c r="E179" i="300" s="1"/>
  <c r="I179" i="300" s="1"/>
  <c r="H175" i="300"/>
  <c r="I175" i="300" s="1"/>
  <c r="I174" i="300"/>
  <c r="G172" i="300"/>
  <c r="G171" i="300"/>
  <c r="C170" i="300"/>
  <c r="E171" i="300" s="1"/>
  <c r="H168" i="300"/>
  <c r="H169" i="300" s="1"/>
  <c r="I169" i="300" s="1"/>
  <c r="I167" i="300"/>
  <c r="G165" i="300"/>
  <c r="G164" i="300"/>
  <c r="E162" i="300"/>
  <c r="D279" i="300" s="1"/>
  <c r="D162" i="300"/>
  <c r="C279" i="300" s="1"/>
  <c r="E161" i="300"/>
  <c r="D278" i="300" s="1"/>
  <c r="D161" i="300"/>
  <c r="E160" i="300"/>
  <c r="D277" i="300" s="1"/>
  <c r="D160" i="300"/>
  <c r="C277" i="300" s="1"/>
  <c r="E277" i="300" s="1"/>
  <c r="E159" i="300"/>
  <c r="D276" i="300" s="1"/>
  <c r="D159" i="300"/>
  <c r="C276" i="300" s="1"/>
  <c r="E276" i="300" s="1"/>
  <c r="E158" i="300"/>
  <c r="D275" i="300" s="1"/>
  <c r="D158" i="300"/>
  <c r="C275" i="300" s="1"/>
  <c r="E275" i="300" s="1"/>
  <c r="H157" i="300"/>
  <c r="H158" i="300" s="1"/>
  <c r="H159" i="300" s="1"/>
  <c r="H160" i="300" s="1"/>
  <c r="E157" i="300"/>
  <c r="D274" i="300" s="1"/>
  <c r="D157" i="300"/>
  <c r="F157" i="300" s="1"/>
  <c r="G155" i="300"/>
  <c r="G154" i="300"/>
  <c r="G152" i="300"/>
  <c r="F272" i="300" s="1"/>
  <c r="G151" i="300"/>
  <c r="F271" i="300" s="1"/>
  <c r="G150" i="300"/>
  <c r="F270" i="300" s="1"/>
  <c r="G148" i="300"/>
  <c r="G147" i="300"/>
  <c r="G145" i="300"/>
  <c r="F268" i="300" s="1"/>
  <c r="H144" i="300"/>
  <c r="H145" i="300" s="1"/>
  <c r="H150" i="300" s="1"/>
  <c r="H151" i="300" s="1"/>
  <c r="H152" i="300" s="1"/>
  <c r="G144" i="300"/>
  <c r="F267" i="300" s="1"/>
  <c r="G143" i="300"/>
  <c r="F266" i="300" s="1"/>
  <c r="G141" i="300"/>
  <c r="G140" i="300"/>
  <c r="H138" i="300"/>
  <c r="I138" i="300" s="1"/>
  <c r="G135" i="300"/>
  <c r="G134" i="300"/>
  <c r="J133" i="300"/>
  <c r="F132" i="300"/>
  <c r="D132" i="300"/>
  <c r="H131" i="300"/>
  <c r="H132" i="300" s="1"/>
  <c r="F131" i="300"/>
  <c r="D131" i="300"/>
  <c r="F130" i="300"/>
  <c r="D130" i="300"/>
  <c r="I130" i="300" s="1"/>
  <c r="G128" i="300"/>
  <c r="G127" i="300"/>
  <c r="J126" i="300"/>
  <c r="H125" i="300"/>
  <c r="E125" i="300"/>
  <c r="E152" i="300" s="1"/>
  <c r="D125" i="300"/>
  <c r="F125" i="300" s="1"/>
  <c r="I125" i="300" s="1"/>
  <c r="H124" i="300"/>
  <c r="E124" i="300"/>
  <c r="E151" i="300" s="1"/>
  <c r="D271" i="300" s="1"/>
  <c r="D124" i="300"/>
  <c r="F124" i="300" s="1"/>
  <c r="I124" i="300" s="1"/>
  <c r="E123" i="300"/>
  <c r="E150" i="300" s="1"/>
  <c r="D270" i="300" s="1"/>
  <c r="D123" i="300"/>
  <c r="G121" i="300"/>
  <c r="G120" i="300"/>
  <c r="J119" i="300"/>
  <c r="E118" i="300"/>
  <c r="E145" i="300" s="1"/>
  <c r="D268" i="300" s="1"/>
  <c r="D118" i="300"/>
  <c r="H117" i="300"/>
  <c r="H118" i="300" s="1"/>
  <c r="E117" i="300"/>
  <c r="E144" i="300" s="1"/>
  <c r="D267" i="300" s="1"/>
  <c r="D117" i="300"/>
  <c r="D144" i="300" s="1"/>
  <c r="E116" i="300"/>
  <c r="D137" i="300" s="1"/>
  <c r="D116" i="300"/>
  <c r="F116" i="300" s="1"/>
  <c r="G114" i="300"/>
  <c r="G113" i="300"/>
  <c r="J112" i="300"/>
  <c r="F111" i="300"/>
  <c r="F110" i="300"/>
  <c r="C112" i="300" s="1"/>
  <c r="H109" i="300"/>
  <c r="H110" i="300" s="1"/>
  <c r="H111" i="300" s="1"/>
  <c r="I111" i="300" s="1"/>
  <c r="F109" i="300"/>
  <c r="F108" i="300"/>
  <c r="I108" i="300" s="1"/>
  <c r="G106" i="300"/>
  <c r="G105" i="300"/>
  <c r="G103" i="300"/>
  <c r="F232" i="300" s="1"/>
  <c r="F241" i="300" s="1"/>
  <c r="G102" i="300"/>
  <c r="F231" i="300" s="1"/>
  <c r="F240" i="300" s="1"/>
  <c r="G101" i="300"/>
  <c r="F230" i="300" s="1"/>
  <c r="F239" i="300" s="1"/>
  <c r="C101" i="300"/>
  <c r="G99" i="300"/>
  <c r="G98" i="300"/>
  <c r="G96" i="300"/>
  <c r="G95" i="300"/>
  <c r="G94" i="300"/>
  <c r="H93" i="300"/>
  <c r="H94" i="300" s="1"/>
  <c r="H95" i="300" s="1"/>
  <c r="H96" i="300" s="1"/>
  <c r="H101" i="300" s="1"/>
  <c r="H102" i="300" s="1"/>
  <c r="H103" i="300" s="1"/>
  <c r="G93" i="300"/>
  <c r="G92" i="300"/>
  <c r="G90" i="300"/>
  <c r="G89" i="300"/>
  <c r="E87" i="300"/>
  <c r="D264" i="300" s="1"/>
  <c r="D87" i="300"/>
  <c r="C264" i="300" s="1"/>
  <c r="E86" i="300"/>
  <c r="D263" i="300" s="1"/>
  <c r="D86" i="300"/>
  <c r="C263" i="300" s="1"/>
  <c r="E263" i="300" s="1"/>
  <c r="F85" i="300"/>
  <c r="E85" i="300"/>
  <c r="D85" i="300"/>
  <c r="E84" i="300"/>
  <c r="D261" i="300" s="1"/>
  <c r="D84" i="300"/>
  <c r="E83" i="300"/>
  <c r="D260" i="300" s="1"/>
  <c r="D83" i="300"/>
  <c r="C260" i="300" s="1"/>
  <c r="E82" i="300"/>
  <c r="D259" i="300" s="1"/>
  <c r="D82" i="300"/>
  <c r="C259" i="300" s="1"/>
  <c r="E81" i="300"/>
  <c r="D257" i="300" s="1"/>
  <c r="D81" i="300"/>
  <c r="C257" i="300" s="1"/>
  <c r="E257" i="300" s="1"/>
  <c r="E80" i="300"/>
  <c r="D256" i="300" s="1"/>
  <c r="D80" i="300"/>
  <c r="C256" i="300" s="1"/>
  <c r="E79" i="300"/>
  <c r="D255" i="300" s="1"/>
  <c r="D79" i="300"/>
  <c r="C255" i="300" s="1"/>
  <c r="E255" i="300" s="1"/>
  <c r="F78" i="300"/>
  <c r="E78" i="300"/>
  <c r="D254" i="300" s="1"/>
  <c r="D78" i="300"/>
  <c r="C254" i="300" s="1"/>
  <c r="E254" i="300" s="1"/>
  <c r="E77" i="300"/>
  <c r="D253" i="300" s="1"/>
  <c r="D282" i="300" s="1"/>
  <c r="D77" i="300"/>
  <c r="C253" i="300" s="1"/>
  <c r="E76" i="300"/>
  <c r="D252" i="300" s="1"/>
  <c r="D281" i="300" s="1"/>
  <c r="D76" i="300"/>
  <c r="C252" i="300" s="1"/>
  <c r="F75" i="300"/>
  <c r="E75" i="300"/>
  <c r="D251" i="300" s="1"/>
  <c r="D75" i="300"/>
  <c r="C251" i="300" s="1"/>
  <c r="E74" i="300"/>
  <c r="D249" i="300" s="1"/>
  <c r="D74" i="300"/>
  <c r="C249" i="300" s="1"/>
  <c r="E249" i="300" s="1"/>
  <c r="E73" i="300"/>
  <c r="D248" i="300" s="1"/>
  <c r="D73" i="300"/>
  <c r="C248" i="300" s="1"/>
  <c r="E72" i="300"/>
  <c r="D247" i="300" s="1"/>
  <c r="D72" i="300"/>
  <c r="C247" i="300" s="1"/>
  <c r="E71" i="300"/>
  <c r="D246" i="300" s="1"/>
  <c r="D71" i="300"/>
  <c r="C246" i="300" s="1"/>
  <c r="E246" i="300" s="1"/>
  <c r="F70" i="300"/>
  <c r="E70" i="300"/>
  <c r="D245" i="300" s="1"/>
  <c r="D70" i="300"/>
  <c r="C245" i="300" s="1"/>
  <c r="H69" i="300"/>
  <c r="H70" i="300" s="1"/>
  <c r="H73" i="300" s="1"/>
  <c r="H74" i="300" s="1"/>
  <c r="H75" i="300" s="1"/>
  <c r="I75" i="300" s="1"/>
  <c r="G66" i="300"/>
  <c r="G65" i="300"/>
  <c r="J64" i="300"/>
  <c r="I63" i="300"/>
  <c r="I62" i="300"/>
  <c r="I61" i="300"/>
  <c r="G58" i="300"/>
  <c r="G57" i="300"/>
  <c r="J56" i="300"/>
  <c r="F55" i="300"/>
  <c r="D55" i="300"/>
  <c r="F54" i="300"/>
  <c r="D54" i="300"/>
  <c r="H53" i="300"/>
  <c r="H54" i="300" s="1"/>
  <c r="H55" i="300" s="1"/>
  <c r="I55" i="300" s="1"/>
  <c r="F53" i="300"/>
  <c r="D53" i="300"/>
  <c r="I53" i="300" s="1"/>
  <c r="F52" i="300"/>
  <c r="G50" i="300"/>
  <c r="G49" i="300"/>
  <c r="J48" i="300"/>
  <c r="E47" i="300"/>
  <c r="D47" i="300"/>
  <c r="F47" i="300" s="1"/>
  <c r="E46" i="300"/>
  <c r="D46" i="300"/>
  <c r="E45" i="300"/>
  <c r="D45" i="300"/>
  <c r="F45" i="300" s="1"/>
  <c r="I45" i="300" s="1"/>
  <c r="F44" i="300"/>
  <c r="E44" i="300"/>
  <c r="D44" i="300"/>
  <c r="H43" i="300"/>
  <c r="H44" i="300" s="1"/>
  <c r="H45" i="300" s="1"/>
  <c r="H46" i="300" s="1"/>
  <c r="H47" i="300" s="1"/>
  <c r="E43" i="300"/>
  <c r="D43" i="300"/>
  <c r="F43" i="300" s="1"/>
  <c r="I43" i="300" s="1"/>
  <c r="K42" i="300"/>
  <c r="E42" i="300" s="1"/>
  <c r="G42" i="300"/>
  <c r="E209" i="300" s="1"/>
  <c r="E210" i="300" s="1"/>
  <c r="G40" i="300"/>
  <c r="G39" i="300"/>
  <c r="J38" i="300"/>
  <c r="E37" i="300"/>
  <c r="E103" i="300" s="1"/>
  <c r="D232" i="300" s="1"/>
  <c r="D241" i="300" s="1"/>
  <c r="D37" i="300"/>
  <c r="F37" i="300" s="1"/>
  <c r="H36" i="300"/>
  <c r="H37" i="300" s="1"/>
  <c r="E36" i="300"/>
  <c r="E102" i="300" s="1"/>
  <c r="D231" i="300" s="1"/>
  <c r="D240" i="300" s="1"/>
  <c r="D36" i="300"/>
  <c r="D102" i="300" s="1"/>
  <c r="E35" i="300"/>
  <c r="E101" i="300" s="1"/>
  <c r="D230" i="300" s="1"/>
  <c r="D239" i="300" s="1"/>
  <c r="G33" i="300"/>
  <c r="G32" i="300"/>
  <c r="J31" i="300"/>
  <c r="E30" i="300"/>
  <c r="E96" i="300" s="1"/>
  <c r="D229" i="300" s="1"/>
  <c r="D238" i="300" s="1"/>
  <c r="D30" i="300"/>
  <c r="D96" i="300" s="1"/>
  <c r="E29" i="300"/>
  <c r="E95" i="300" s="1"/>
  <c r="D228" i="300" s="1"/>
  <c r="D237" i="300" s="1"/>
  <c r="D29" i="300"/>
  <c r="D95" i="300" s="1"/>
  <c r="C228" i="300" s="1"/>
  <c r="E28" i="300"/>
  <c r="E94" i="300" s="1"/>
  <c r="D227" i="300" s="1"/>
  <c r="D236" i="300" s="1"/>
  <c r="D28" i="300"/>
  <c r="D94" i="300" s="1"/>
  <c r="H27" i="300"/>
  <c r="H28" i="300" s="1"/>
  <c r="H29" i="300" s="1"/>
  <c r="H30" i="300" s="1"/>
  <c r="E27" i="300"/>
  <c r="E93" i="300" s="1"/>
  <c r="D226" i="300" s="1"/>
  <c r="D235" i="300" s="1"/>
  <c r="D27" i="300"/>
  <c r="E26" i="300"/>
  <c r="D26" i="300"/>
  <c r="D92" i="300" s="1"/>
  <c r="J22" i="300"/>
  <c r="F21" i="300"/>
  <c r="F20" i="300"/>
  <c r="F19" i="300"/>
  <c r="F18" i="300"/>
  <c r="F17" i="300"/>
  <c r="F16" i="300"/>
  <c r="H15" i="300"/>
  <c r="H16" i="300" s="1"/>
  <c r="H17" i="300" s="1"/>
  <c r="H18" i="300" s="1"/>
  <c r="H19" i="300" s="1"/>
  <c r="M11" i="300"/>
  <c r="M10" i="300"/>
  <c r="M9" i="300"/>
  <c r="H9" i="300"/>
  <c r="H10" i="300" s="1"/>
  <c r="M8" i="300"/>
  <c r="E8" i="300"/>
  <c r="C8" i="300"/>
  <c r="M7" i="300"/>
  <c r="M6" i="300"/>
  <c r="C311" i="300"/>
  <c r="H311" i="300" s="1"/>
  <c r="F190" i="300"/>
  <c r="F217" i="300"/>
  <c r="M5" i="300"/>
  <c r="F5" i="300"/>
  <c r="H5" i="300" s="1"/>
  <c r="E5" i="300"/>
  <c r="E366" i="300" s="1"/>
  <c r="D5" i="300"/>
  <c r="D366" i="300" s="1"/>
  <c r="M4" i="300"/>
  <c r="H4" i="300"/>
  <c r="B4" i="300"/>
  <c r="R370" i="300" s="1"/>
  <c r="S376" i="299"/>
  <c r="S380" i="299"/>
  <c r="K52" i="299"/>
  <c r="J48" i="299"/>
  <c r="E42" i="299"/>
  <c r="D14" i="299"/>
  <c r="D386" i="299"/>
  <c r="I386" i="299" s="1"/>
  <c r="T382" i="299"/>
  <c r="S382" i="299"/>
  <c r="T381" i="299"/>
  <c r="U381" i="299" s="1"/>
  <c r="T376" i="299"/>
  <c r="V372" i="299"/>
  <c r="S386" i="299" s="1"/>
  <c r="U386" i="299" s="1"/>
  <c r="C368" i="299"/>
  <c r="G366" i="299"/>
  <c r="H359" i="299"/>
  <c r="D352" i="299"/>
  <c r="H352" i="299" s="1"/>
  <c r="D351" i="299"/>
  <c r="H351" i="299" s="1"/>
  <c r="D345" i="299"/>
  <c r="D346" i="299" s="1"/>
  <c r="C341" i="299"/>
  <c r="H341" i="299" s="1"/>
  <c r="C340" i="299"/>
  <c r="G329" i="299"/>
  <c r="G328" i="299"/>
  <c r="G325" i="299"/>
  <c r="G323" i="299"/>
  <c r="E321" i="299"/>
  <c r="E319" i="299"/>
  <c r="F318" i="299"/>
  <c r="G318" i="299" s="1"/>
  <c r="C316" i="299"/>
  <c r="C318" i="299" s="1"/>
  <c r="G313" i="299"/>
  <c r="H312" i="299"/>
  <c r="D310" i="299"/>
  <c r="C309" i="299"/>
  <c r="H307" i="299"/>
  <c r="G305" i="299"/>
  <c r="E305" i="299"/>
  <c r="E304" i="299"/>
  <c r="D371" i="299" s="1"/>
  <c r="G303" i="299"/>
  <c r="H303" i="299" s="1"/>
  <c r="G302" i="299"/>
  <c r="H302" i="299" s="1"/>
  <c r="H301" i="299"/>
  <c r="H299" i="299"/>
  <c r="H297" i="299"/>
  <c r="F296" i="299"/>
  <c r="F298" i="299" s="1"/>
  <c r="F300" i="299" s="1"/>
  <c r="F302" i="299" s="1"/>
  <c r="F303" i="299" s="1"/>
  <c r="H295" i="299"/>
  <c r="F290" i="299"/>
  <c r="E289" i="299"/>
  <c r="G288" i="299"/>
  <c r="G289" i="299" s="1"/>
  <c r="E288" i="299"/>
  <c r="H288" i="299" s="1"/>
  <c r="B288" i="299"/>
  <c r="B289" i="299" s="1"/>
  <c r="E287" i="299"/>
  <c r="G286" i="299"/>
  <c r="G287" i="299" s="1"/>
  <c r="E286" i="299"/>
  <c r="I290" i="299" s="1"/>
  <c r="B286" i="299"/>
  <c r="B287" i="299" s="1"/>
  <c r="F284" i="299"/>
  <c r="F285" i="299" s="1"/>
  <c r="F283" i="299"/>
  <c r="B281" i="299"/>
  <c r="B282" i="299" s="1"/>
  <c r="B283" i="299" s="1"/>
  <c r="B284" i="299" s="1"/>
  <c r="F280" i="299"/>
  <c r="F279" i="299"/>
  <c r="F278" i="299"/>
  <c r="F277" i="299"/>
  <c r="F276" i="299"/>
  <c r="I275" i="299"/>
  <c r="I276" i="299" s="1"/>
  <c r="I277" i="299" s="1"/>
  <c r="I278" i="299" s="1"/>
  <c r="I279" i="299" s="1"/>
  <c r="F275" i="299"/>
  <c r="F274" i="299"/>
  <c r="F265" i="299"/>
  <c r="F264" i="299"/>
  <c r="F263" i="299"/>
  <c r="F262" i="299"/>
  <c r="F261" i="299"/>
  <c r="F260" i="299"/>
  <c r="F259" i="299"/>
  <c r="F257" i="299"/>
  <c r="F256" i="299"/>
  <c r="F255" i="299"/>
  <c r="F254" i="299"/>
  <c r="F253" i="299"/>
  <c r="I252" i="299"/>
  <c r="I253" i="299" s="1"/>
  <c r="I254" i="299" s="1"/>
  <c r="I255" i="299" s="1"/>
  <c r="I256" i="299" s="1"/>
  <c r="I257" i="299" s="1"/>
  <c r="F252" i="299"/>
  <c r="F251" i="299"/>
  <c r="F249" i="299"/>
  <c r="F248" i="299"/>
  <c r="F247" i="299"/>
  <c r="F246" i="299"/>
  <c r="F245" i="299"/>
  <c r="F244" i="299"/>
  <c r="F243" i="299"/>
  <c r="F229" i="299"/>
  <c r="F238" i="299" s="1"/>
  <c r="F228" i="299"/>
  <c r="F237" i="299" s="1"/>
  <c r="F227" i="299"/>
  <c r="F236" i="299" s="1"/>
  <c r="F226" i="299"/>
  <c r="F235" i="299" s="1"/>
  <c r="F225" i="299"/>
  <c r="F234" i="299" s="1"/>
  <c r="B225" i="299"/>
  <c r="B226" i="299" s="1"/>
  <c r="B227" i="299" s="1"/>
  <c r="B228" i="299" s="1"/>
  <c r="B229" i="299" s="1"/>
  <c r="B230" i="299" s="1"/>
  <c r="B231" i="299" s="1"/>
  <c r="B232" i="299" s="1"/>
  <c r="B234" i="299" s="1"/>
  <c r="B235" i="299" s="1"/>
  <c r="B236" i="299" s="1"/>
  <c r="B237" i="299" s="1"/>
  <c r="B238" i="299" s="1"/>
  <c r="B239" i="299" s="1"/>
  <c r="B240" i="299" s="1"/>
  <c r="C223" i="299"/>
  <c r="I222" i="299"/>
  <c r="C222" i="299"/>
  <c r="I221" i="299"/>
  <c r="C219" i="299"/>
  <c r="C220" i="299" s="1"/>
  <c r="C221" i="299" s="1"/>
  <c r="E213" i="299"/>
  <c r="E214" i="299" s="1"/>
  <c r="E211" i="299"/>
  <c r="E212" i="299" s="1"/>
  <c r="E209" i="299"/>
  <c r="E210" i="299" s="1"/>
  <c r="I207" i="299"/>
  <c r="I208" i="299" s="1"/>
  <c r="E207" i="299"/>
  <c r="E208" i="299" s="1"/>
  <c r="I205" i="299"/>
  <c r="I206" i="299" s="1"/>
  <c r="E205" i="299"/>
  <c r="E206" i="299" s="1"/>
  <c r="I203" i="299"/>
  <c r="I204" i="299" s="1"/>
  <c r="E203" i="299"/>
  <c r="G201" i="299"/>
  <c r="G200" i="299"/>
  <c r="C199" i="299"/>
  <c r="E201" i="299" s="1"/>
  <c r="H198" i="299"/>
  <c r="I196" i="299"/>
  <c r="H196" i="299"/>
  <c r="I195" i="299"/>
  <c r="G193" i="299"/>
  <c r="G192" i="299"/>
  <c r="H190" i="299"/>
  <c r="I189" i="299"/>
  <c r="H189" i="299"/>
  <c r="I188" i="299"/>
  <c r="G186" i="299"/>
  <c r="G185" i="299"/>
  <c r="H183" i="299"/>
  <c r="I183" i="299" s="1"/>
  <c r="I182" i="299"/>
  <c r="H182" i="299"/>
  <c r="G179" i="299"/>
  <c r="G178" i="299"/>
  <c r="C177" i="299"/>
  <c r="E179" i="299" s="1"/>
  <c r="I179" i="299" s="1"/>
  <c r="H175" i="299"/>
  <c r="H176" i="299" s="1"/>
  <c r="I176" i="299" s="1"/>
  <c r="I174" i="299"/>
  <c r="G172" i="299"/>
  <c r="G171" i="299"/>
  <c r="C170" i="299"/>
  <c r="E172" i="299" s="1"/>
  <c r="H168" i="299"/>
  <c r="H169" i="299" s="1"/>
  <c r="I169" i="299" s="1"/>
  <c r="I167" i="299"/>
  <c r="G165" i="299"/>
  <c r="G164" i="299"/>
  <c r="E162" i="299"/>
  <c r="D279" i="299" s="1"/>
  <c r="D162" i="299"/>
  <c r="C279" i="299" s="1"/>
  <c r="E279" i="299" s="1"/>
  <c r="F161" i="299"/>
  <c r="E161" i="299"/>
  <c r="D278" i="299" s="1"/>
  <c r="D161" i="299"/>
  <c r="C278" i="299" s="1"/>
  <c r="E160" i="299"/>
  <c r="D277" i="299" s="1"/>
  <c r="D160" i="299"/>
  <c r="C277" i="299" s="1"/>
  <c r="E159" i="299"/>
  <c r="D276" i="299" s="1"/>
  <c r="D159" i="299"/>
  <c r="C276" i="299" s="1"/>
  <c r="E158" i="299"/>
  <c r="D275" i="299" s="1"/>
  <c r="D158" i="299"/>
  <c r="C275" i="299" s="1"/>
  <c r="H157" i="299"/>
  <c r="H158" i="299" s="1"/>
  <c r="H159" i="299" s="1"/>
  <c r="E157" i="299"/>
  <c r="D274" i="299" s="1"/>
  <c r="D157" i="299"/>
  <c r="G155" i="299"/>
  <c r="G154" i="299"/>
  <c r="G152" i="299"/>
  <c r="F272" i="299" s="1"/>
  <c r="G151" i="299"/>
  <c r="F271" i="299" s="1"/>
  <c r="G150" i="299"/>
  <c r="F270" i="299" s="1"/>
  <c r="G148" i="299"/>
  <c r="G147" i="299"/>
  <c r="G145" i="299"/>
  <c r="F268" i="299" s="1"/>
  <c r="H144" i="299"/>
  <c r="H145" i="299" s="1"/>
  <c r="H150" i="299" s="1"/>
  <c r="H151" i="299" s="1"/>
  <c r="H152" i="299" s="1"/>
  <c r="G144" i="299"/>
  <c r="F267" i="299" s="1"/>
  <c r="G143" i="299"/>
  <c r="F266" i="299" s="1"/>
  <c r="G141" i="299"/>
  <c r="G140" i="299"/>
  <c r="I138" i="299"/>
  <c r="H138" i="299"/>
  <c r="G135" i="299"/>
  <c r="G134" i="299"/>
  <c r="J133" i="299"/>
  <c r="F132" i="299"/>
  <c r="D132" i="299"/>
  <c r="H131" i="299"/>
  <c r="H132" i="299" s="1"/>
  <c r="F131" i="299"/>
  <c r="D131" i="299"/>
  <c r="F130" i="299"/>
  <c r="I130" i="299" s="1"/>
  <c r="D130" i="299"/>
  <c r="G128" i="299"/>
  <c r="G127" i="299"/>
  <c r="J126" i="299"/>
  <c r="E125" i="299"/>
  <c r="E152" i="299" s="1"/>
  <c r="D272" i="299" s="1"/>
  <c r="D125" i="299"/>
  <c r="D152" i="299" s="1"/>
  <c r="H124" i="299"/>
  <c r="H125" i="299" s="1"/>
  <c r="E124" i="299"/>
  <c r="E151" i="299" s="1"/>
  <c r="D271" i="299" s="1"/>
  <c r="D124" i="299"/>
  <c r="D151" i="299" s="1"/>
  <c r="E123" i="299"/>
  <c r="E150" i="299" s="1"/>
  <c r="D270" i="299" s="1"/>
  <c r="D123" i="299"/>
  <c r="D150" i="299" s="1"/>
  <c r="G121" i="299"/>
  <c r="G120" i="299"/>
  <c r="J119" i="299"/>
  <c r="F118" i="299"/>
  <c r="E118" i="299"/>
  <c r="E145" i="299" s="1"/>
  <c r="D268" i="299" s="1"/>
  <c r="D118" i="299"/>
  <c r="D145" i="299" s="1"/>
  <c r="H117" i="299"/>
  <c r="H118" i="299" s="1"/>
  <c r="E117" i="299"/>
  <c r="E144" i="299" s="1"/>
  <c r="D267" i="299" s="1"/>
  <c r="D117" i="299"/>
  <c r="F117" i="299" s="1"/>
  <c r="I117" i="299" s="1"/>
  <c r="E116" i="299"/>
  <c r="D137" i="299" s="1"/>
  <c r="D116" i="299"/>
  <c r="D143" i="299" s="1"/>
  <c r="C266" i="299" s="1"/>
  <c r="G114" i="299"/>
  <c r="G113" i="299"/>
  <c r="J112" i="299"/>
  <c r="H111" i="299"/>
  <c r="F111" i="299"/>
  <c r="I110" i="299"/>
  <c r="H110" i="299"/>
  <c r="F110" i="299"/>
  <c r="H109" i="299"/>
  <c r="F109" i="299"/>
  <c r="I109" i="299" s="1"/>
  <c r="I108" i="299"/>
  <c r="F108" i="299"/>
  <c r="G106" i="299"/>
  <c r="G105" i="299"/>
  <c r="G103" i="299"/>
  <c r="F232" i="299" s="1"/>
  <c r="F241" i="299" s="1"/>
  <c r="G102" i="299"/>
  <c r="F231" i="299" s="1"/>
  <c r="F240" i="299" s="1"/>
  <c r="G101" i="299"/>
  <c r="F230" i="299" s="1"/>
  <c r="F239" i="299" s="1"/>
  <c r="C101" i="299"/>
  <c r="G99" i="299"/>
  <c r="G98" i="299"/>
  <c r="G96" i="299"/>
  <c r="G95" i="299"/>
  <c r="G94" i="299"/>
  <c r="H93" i="299"/>
  <c r="H94" i="299" s="1"/>
  <c r="H95" i="299" s="1"/>
  <c r="H96" i="299" s="1"/>
  <c r="H101" i="299" s="1"/>
  <c r="H102" i="299" s="1"/>
  <c r="H103" i="299" s="1"/>
  <c r="G93" i="299"/>
  <c r="G92" i="299"/>
  <c r="G90" i="299"/>
  <c r="G89" i="299"/>
  <c r="E87" i="299"/>
  <c r="D264" i="299" s="1"/>
  <c r="D87" i="299"/>
  <c r="C264" i="299" s="1"/>
  <c r="E86" i="299"/>
  <c r="D263" i="299" s="1"/>
  <c r="D86" i="299"/>
  <c r="C263" i="299" s="1"/>
  <c r="E85" i="299"/>
  <c r="D85" i="299"/>
  <c r="E84" i="299"/>
  <c r="F84" i="299" s="1"/>
  <c r="D84" i="299"/>
  <c r="E83" i="299"/>
  <c r="D260" i="299" s="1"/>
  <c r="D83" i="299"/>
  <c r="C260" i="299" s="1"/>
  <c r="E82" i="299"/>
  <c r="D259" i="299" s="1"/>
  <c r="D82" i="299"/>
  <c r="C259" i="299" s="1"/>
  <c r="E81" i="299"/>
  <c r="D257" i="299" s="1"/>
  <c r="D81" i="299"/>
  <c r="C257" i="299" s="1"/>
  <c r="E80" i="299"/>
  <c r="D256" i="299" s="1"/>
  <c r="D80" i="299"/>
  <c r="C256" i="299" s="1"/>
  <c r="E79" i="299"/>
  <c r="D255" i="299" s="1"/>
  <c r="D79" i="299"/>
  <c r="C255" i="299" s="1"/>
  <c r="E78" i="299"/>
  <c r="D254" i="299" s="1"/>
  <c r="D78" i="299"/>
  <c r="C254" i="299" s="1"/>
  <c r="E77" i="299"/>
  <c r="D253" i="299" s="1"/>
  <c r="D282" i="299" s="1"/>
  <c r="D77" i="299"/>
  <c r="C253" i="299" s="1"/>
  <c r="E76" i="299"/>
  <c r="D252" i="299" s="1"/>
  <c r="D281" i="299" s="1"/>
  <c r="D76" i="299"/>
  <c r="C252" i="299" s="1"/>
  <c r="E75" i="299"/>
  <c r="D251" i="299" s="1"/>
  <c r="D75" i="299"/>
  <c r="C251" i="299" s="1"/>
  <c r="E74" i="299"/>
  <c r="D249" i="299" s="1"/>
  <c r="D74" i="299"/>
  <c r="C249" i="299" s="1"/>
  <c r="E73" i="299"/>
  <c r="D248" i="299" s="1"/>
  <c r="D73" i="299"/>
  <c r="C248" i="299" s="1"/>
  <c r="E72" i="299"/>
  <c r="D247" i="299" s="1"/>
  <c r="D72" i="299"/>
  <c r="C247" i="299" s="1"/>
  <c r="F71" i="299"/>
  <c r="E71" i="299"/>
  <c r="D246" i="299" s="1"/>
  <c r="D71" i="299"/>
  <c r="C246" i="299" s="1"/>
  <c r="E70" i="299"/>
  <c r="D245" i="299" s="1"/>
  <c r="D70" i="299"/>
  <c r="C245" i="299" s="1"/>
  <c r="H69" i="299"/>
  <c r="H70" i="299" s="1"/>
  <c r="E69" i="299"/>
  <c r="D244" i="299" s="1"/>
  <c r="D69" i="299"/>
  <c r="C244" i="299" s="1"/>
  <c r="G66" i="299"/>
  <c r="G65" i="299"/>
  <c r="E65" i="299"/>
  <c r="I65" i="299" s="1"/>
  <c r="J64" i="299"/>
  <c r="C64" i="299"/>
  <c r="E66" i="299" s="1"/>
  <c r="I63" i="299"/>
  <c r="I62" i="299"/>
  <c r="I61" i="299"/>
  <c r="I60" i="299"/>
  <c r="G58" i="299"/>
  <c r="G57" i="299"/>
  <c r="J56" i="299"/>
  <c r="F55" i="299"/>
  <c r="D55" i="299"/>
  <c r="F54" i="299"/>
  <c r="D54" i="299"/>
  <c r="I54" i="299" s="1"/>
  <c r="H53" i="299"/>
  <c r="H54" i="299" s="1"/>
  <c r="H55" i="299" s="1"/>
  <c r="F53" i="299"/>
  <c r="D53" i="299"/>
  <c r="I53" i="299" s="1"/>
  <c r="G50" i="299"/>
  <c r="G49" i="299"/>
  <c r="E47" i="299"/>
  <c r="D47" i="299"/>
  <c r="E46" i="299"/>
  <c r="F46" i="299" s="1"/>
  <c r="D46" i="299"/>
  <c r="H45" i="299"/>
  <c r="H46" i="299" s="1"/>
  <c r="H47" i="299" s="1"/>
  <c r="E45" i="299"/>
  <c r="D45" i="299"/>
  <c r="H44" i="299"/>
  <c r="E44" i="299"/>
  <c r="D44" i="299"/>
  <c r="F44" i="299" s="1"/>
  <c r="H43" i="299"/>
  <c r="E43" i="299"/>
  <c r="D43" i="299"/>
  <c r="F43" i="299" s="1"/>
  <c r="I43" i="299" s="1"/>
  <c r="G40" i="299"/>
  <c r="G39" i="299"/>
  <c r="J38" i="299"/>
  <c r="E37" i="299"/>
  <c r="E103" i="299" s="1"/>
  <c r="D232" i="299" s="1"/>
  <c r="D241" i="299" s="1"/>
  <c r="D37" i="299"/>
  <c r="H36" i="299"/>
  <c r="H37" i="299" s="1"/>
  <c r="E36" i="299"/>
  <c r="E102" i="299" s="1"/>
  <c r="D231" i="299" s="1"/>
  <c r="D240" i="299" s="1"/>
  <c r="D36" i="299"/>
  <c r="D102" i="299" s="1"/>
  <c r="E35" i="299"/>
  <c r="E101" i="299" s="1"/>
  <c r="D230" i="299" s="1"/>
  <c r="D239" i="299" s="1"/>
  <c r="G33" i="299"/>
  <c r="G32" i="299"/>
  <c r="J31" i="299"/>
  <c r="E30" i="299"/>
  <c r="F30" i="299" s="1"/>
  <c r="D30" i="299"/>
  <c r="F29" i="299"/>
  <c r="E29" i="299"/>
  <c r="E95" i="299" s="1"/>
  <c r="D228" i="299" s="1"/>
  <c r="D237" i="299" s="1"/>
  <c r="D29" i="299"/>
  <c r="D95" i="299" s="1"/>
  <c r="E28" i="299"/>
  <c r="D28" i="299"/>
  <c r="D94" i="299" s="1"/>
  <c r="H27" i="299"/>
  <c r="H28" i="299" s="1"/>
  <c r="H29" i="299" s="1"/>
  <c r="H30" i="299" s="1"/>
  <c r="E27" i="299"/>
  <c r="D27" i="299"/>
  <c r="F26" i="299"/>
  <c r="E26" i="299"/>
  <c r="D26" i="299"/>
  <c r="D92" i="299" s="1"/>
  <c r="C225" i="299" s="1"/>
  <c r="J22" i="299"/>
  <c r="F21" i="299"/>
  <c r="F20" i="299"/>
  <c r="F19" i="299"/>
  <c r="F18" i="299"/>
  <c r="F17" i="299"/>
  <c r="F16" i="299"/>
  <c r="I16" i="299" s="1"/>
  <c r="H15" i="299"/>
  <c r="H16" i="299" s="1"/>
  <c r="H17" i="299" s="1"/>
  <c r="M11" i="299"/>
  <c r="M10" i="299"/>
  <c r="M9" i="299"/>
  <c r="H9" i="299"/>
  <c r="H10" i="299" s="1"/>
  <c r="M8" i="299"/>
  <c r="E8" i="299"/>
  <c r="C8" i="299"/>
  <c r="M7" i="299"/>
  <c r="M6" i="299"/>
  <c r="F6" i="299"/>
  <c r="C311" i="299" s="1"/>
  <c r="H311" i="299" s="1"/>
  <c r="F190" i="299"/>
  <c r="I190" i="299" s="1"/>
  <c r="F217" i="299"/>
  <c r="D349" i="299" s="1"/>
  <c r="H349" i="299" s="1"/>
  <c r="M5" i="299"/>
  <c r="E5" i="299"/>
  <c r="E366" i="299" s="1"/>
  <c r="D5" i="299"/>
  <c r="D366" i="299" s="1"/>
  <c r="M4" i="299"/>
  <c r="H4" i="299"/>
  <c r="B4" i="299"/>
  <c r="R370" i="299" s="1"/>
  <c r="D359" i="298"/>
  <c r="D14" i="298"/>
  <c r="J68" i="298" s="1"/>
  <c r="E14" i="298"/>
  <c r="K52" i="298" s="1"/>
  <c r="F52" i="298" s="1"/>
  <c r="H21" i="290"/>
  <c r="D386" i="298"/>
  <c r="I386" i="298" s="1"/>
  <c r="T382" i="298"/>
  <c r="S382" i="298"/>
  <c r="U381" i="298"/>
  <c r="T381" i="298"/>
  <c r="U380" i="298"/>
  <c r="T376" i="298"/>
  <c r="C368" i="298"/>
  <c r="G366" i="298"/>
  <c r="H359" i="298"/>
  <c r="D352" i="298"/>
  <c r="H352" i="298" s="1"/>
  <c r="D351" i="298"/>
  <c r="H351" i="298" s="1"/>
  <c r="D345" i="298"/>
  <c r="C341" i="298"/>
  <c r="H341" i="298" s="1"/>
  <c r="C340" i="298"/>
  <c r="G329" i="298"/>
  <c r="G328" i="298"/>
  <c r="G325" i="298"/>
  <c r="G323" i="298"/>
  <c r="E321" i="298"/>
  <c r="E319" i="298"/>
  <c r="F318" i="298"/>
  <c r="G318" i="298" s="1"/>
  <c r="C316" i="298"/>
  <c r="C318" i="298" s="1"/>
  <c r="G313" i="298"/>
  <c r="H312" i="298"/>
  <c r="D310" i="298"/>
  <c r="C310" i="298"/>
  <c r="H310" i="298" s="1"/>
  <c r="C309" i="298"/>
  <c r="H309" i="298" s="1"/>
  <c r="H307" i="298"/>
  <c r="G305" i="298"/>
  <c r="H305" i="298" s="1"/>
  <c r="E305" i="298"/>
  <c r="E308" i="298" s="1"/>
  <c r="E304" i="298"/>
  <c r="D371" i="298" s="1"/>
  <c r="G303" i="298"/>
  <c r="H303" i="298" s="1"/>
  <c r="G302" i="298"/>
  <c r="H302" i="298" s="1"/>
  <c r="H301" i="298"/>
  <c r="H299" i="298"/>
  <c r="H297" i="298"/>
  <c r="F296" i="298"/>
  <c r="F298" i="298" s="1"/>
  <c r="F300" i="298" s="1"/>
  <c r="F302" i="298" s="1"/>
  <c r="F303" i="298" s="1"/>
  <c r="H295" i="298"/>
  <c r="F290" i="298"/>
  <c r="E289" i="298"/>
  <c r="G288" i="298"/>
  <c r="G289" i="298" s="1"/>
  <c r="H289" i="298" s="1"/>
  <c r="E288" i="298"/>
  <c r="B288" i="298"/>
  <c r="B289" i="298" s="1"/>
  <c r="E287" i="298"/>
  <c r="G286" i="298"/>
  <c r="G287" i="298" s="1"/>
  <c r="E286" i="298"/>
  <c r="B286" i="298"/>
  <c r="B287" i="298" s="1"/>
  <c r="F284" i="298"/>
  <c r="F283" i="298"/>
  <c r="F285" i="298" s="1"/>
  <c r="B281" i="298"/>
  <c r="B282" i="298" s="1"/>
  <c r="B283" i="298" s="1"/>
  <c r="B284" i="298" s="1"/>
  <c r="F280" i="298"/>
  <c r="F279" i="298"/>
  <c r="F278" i="298"/>
  <c r="F277" i="298"/>
  <c r="F276" i="298"/>
  <c r="I275" i="298"/>
  <c r="I276" i="298" s="1"/>
  <c r="I277" i="298" s="1"/>
  <c r="I278" i="298" s="1"/>
  <c r="I279" i="298" s="1"/>
  <c r="F275" i="298"/>
  <c r="F274" i="298"/>
  <c r="F264" i="298"/>
  <c r="F263" i="298"/>
  <c r="F262" i="298"/>
  <c r="F261" i="298"/>
  <c r="F260" i="298"/>
  <c r="F259" i="298"/>
  <c r="F257" i="298"/>
  <c r="F256" i="298"/>
  <c r="F255" i="298"/>
  <c r="F254" i="298"/>
  <c r="F253" i="298"/>
  <c r="I252" i="298"/>
  <c r="I253" i="298" s="1"/>
  <c r="I254" i="298" s="1"/>
  <c r="I255" i="298" s="1"/>
  <c r="I256" i="298" s="1"/>
  <c r="I257" i="298" s="1"/>
  <c r="F252" i="298"/>
  <c r="F258" i="298" s="1"/>
  <c r="F251" i="298"/>
  <c r="F249" i="298"/>
  <c r="F248" i="298"/>
  <c r="F247" i="298"/>
  <c r="F246" i="298"/>
  <c r="F245" i="298"/>
  <c r="F244" i="298"/>
  <c r="F243" i="298"/>
  <c r="F238" i="298"/>
  <c r="F235" i="298"/>
  <c r="F229" i="298"/>
  <c r="F228" i="298"/>
  <c r="F237" i="298" s="1"/>
  <c r="F227" i="298"/>
  <c r="F236" i="298" s="1"/>
  <c r="F226" i="298"/>
  <c r="F225" i="298"/>
  <c r="F234" i="298" s="1"/>
  <c r="B225" i="298"/>
  <c r="B226" i="298" s="1"/>
  <c r="B227" i="298" s="1"/>
  <c r="B228" i="298" s="1"/>
  <c r="B229" i="298" s="1"/>
  <c r="B230" i="298" s="1"/>
  <c r="B231" i="298" s="1"/>
  <c r="B232" i="298" s="1"/>
  <c r="B234" i="298" s="1"/>
  <c r="B235" i="298" s="1"/>
  <c r="B236" i="298" s="1"/>
  <c r="B237" i="298" s="1"/>
  <c r="B238" i="298" s="1"/>
  <c r="B239" i="298" s="1"/>
  <c r="B240" i="298" s="1"/>
  <c r="C223" i="298"/>
  <c r="I222" i="298"/>
  <c r="C222" i="298"/>
  <c r="I221" i="298"/>
  <c r="C219" i="298"/>
  <c r="C220" i="298" s="1"/>
  <c r="C221" i="298" s="1"/>
  <c r="F217" i="298"/>
  <c r="D349" i="298" s="1"/>
  <c r="H349" i="298" s="1"/>
  <c r="E213" i="298"/>
  <c r="E214" i="298" s="1"/>
  <c r="E211" i="298"/>
  <c r="E212" i="298" s="1"/>
  <c r="E209" i="298"/>
  <c r="E210" i="298" s="1"/>
  <c r="I207" i="298"/>
  <c r="I208" i="298" s="1"/>
  <c r="E207" i="298"/>
  <c r="E208" i="298" s="1"/>
  <c r="I205" i="298"/>
  <c r="I206" i="298" s="1"/>
  <c r="E205" i="298"/>
  <c r="E206" i="298" s="1"/>
  <c r="I203" i="298"/>
  <c r="I204" i="298" s="1"/>
  <c r="E203" i="298"/>
  <c r="G201" i="298"/>
  <c r="I201" i="298" s="1"/>
  <c r="E201" i="298"/>
  <c r="G200" i="298"/>
  <c r="E200" i="298"/>
  <c r="I200" i="298" s="1"/>
  <c r="C199" i="298"/>
  <c r="H198" i="298"/>
  <c r="H196" i="298"/>
  <c r="I196" i="298" s="1"/>
  <c r="I195" i="298"/>
  <c r="G193" i="298"/>
  <c r="G192" i="298"/>
  <c r="H189" i="298"/>
  <c r="H190" i="298" s="1"/>
  <c r="I188" i="298"/>
  <c r="G186" i="298"/>
  <c r="G185" i="298"/>
  <c r="H182" i="298"/>
  <c r="H183" i="298" s="1"/>
  <c r="I183" i="298" s="1"/>
  <c r="G179" i="298"/>
  <c r="G178" i="298"/>
  <c r="C177" i="298"/>
  <c r="E179" i="298" s="1"/>
  <c r="I175" i="298"/>
  <c r="E177" i="298" s="1"/>
  <c r="H175" i="298"/>
  <c r="H176" i="298" s="1"/>
  <c r="I176" i="298" s="1"/>
  <c r="I174" i="298"/>
  <c r="G172" i="298"/>
  <c r="G171" i="298"/>
  <c r="E171" i="298"/>
  <c r="C170" i="298"/>
  <c r="E172" i="298" s="1"/>
  <c r="I172" i="298" s="1"/>
  <c r="H169" i="298"/>
  <c r="I169" i="298" s="1"/>
  <c r="H168" i="298"/>
  <c r="I168" i="298" s="1"/>
  <c r="I167" i="298"/>
  <c r="G165" i="298"/>
  <c r="G164" i="298"/>
  <c r="E162" i="298"/>
  <c r="D279" i="298" s="1"/>
  <c r="D162" i="298"/>
  <c r="C279" i="298" s="1"/>
  <c r="F161" i="298"/>
  <c r="E161" i="298"/>
  <c r="D278" i="298" s="1"/>
  <c r="D161" i="298"/>
  <c r="C278" i="298" s="1"/>
  <c r="E278" i="298" s="1"/>
  <c r="E160" i="298"/>
  <c r="D277" i="298" s="1"/>
  <c r="D160" i="298"/>
  <c r="C277" i="298" s="1"/>
  <c r="E159" i="298"/>
  <c r="D276" i="298" s="1"/>
  <c r="D159" i="298"/>
  <c r="C276" i="298" s="1"/>
  <c r="E276" i="298" s="1"/>
  <c r="E158" i="298"/>
  <c r="D275" i="298" s="1"/>
  <c r="D158" i="298"/>
  <c r="C275" i="298" s="1"/>
  <c r="H157" i="298"/>
  <c r="H158" i="298" s="1"/>
  <c r="H159" i="298" s="1"/>
  <c r="H160" i="298" s="1"/>
  <c r="E157" i="298"/>
  <c r="D274" i="298" s="1"/>
  <c r="D157" i="298"/>
  <c r="G155" i="298"/>
  <c r="G154" i="298"/>
  <c r="G152" i="298"/>
  <c r="F272" i="298" s="1"/>
  <c r="G151" i="298"/>
  <c r="F271" i="298" s="1"/>
  <c r="D151" i="298"/>
  <c r="C271" i="298" s="1"/>
  <c r="G150" i="298"/>
  <c r="F270" i="298" s="1"/>
  <c r="G148" i="298"/>
  <c r="G147" i="298"/>
  <c r="G145" i="298"/>
  <c r="F268" i="298" s="1"/>
  <c r="D145" i="298"/>
  <c r="H144" i="298"/>
  <c r="H145" i="298" s="1"/>
  <c r="H150" i="298" s="1"/>
  <c r="H151" i="298" s="1"/>
  <c r="H152" i="298" s="1"/>
  <c r="G144" i="298"/>
  <c r="F267" i="298" s="1"/>
  <c r="E144" i="298"/>
  <c r="D267" i="298" s="1"/>
  <c r="G143" i="298"/>
  <c r="F266" i="298" s="1"/>
  <c r="G141" i="298"/>
  <c r="G140" i="298"/>
  <c r="I138" i="298"/>
  <c r="H138" i="298"/>
  <c r="G135" i="298"/>
  <c r="G134" i="298"/>
  <c r="J133" i="298"/>
  <c r="F132" i="298"/>
  <c r="D132" i="298"/>
  <c r="H131" i="298"/>
  <c r="F131" i="298"/>
  <c r="D131" i="298"/>
  <c r="F130" i="298"/>
  <c r="D130" i="298"/>
  <c r="G128" i="298"/>
  <c r="G127" i="298"/>
  <c r="J126" i="298"/>
  <c r="E125" i="298"/>
  <c r="D125" i="298"/>
  <c r="D152" i="298" s="1"/>
  <c r="C272" i="298" s="1"/>
  <c r="H124" i="298"/>
  <c r="H125" i="298" s="1"/>
  <c r="E124" i="298"/>
  <c r="E151" i="298" s="1"/>
  <c r="D271" i="298" s="1"/>
  <c r="D124" i="298"/>
  <c r="F124" i="298" s="1"/>
  <c r="I124" i="298" s="1"/>
  <c r="E123" i="298"/>
  <c r="E150" i="298" s="1"/>
  <c r="D270" i="298" s="1"/>
  <c r="D123" i="298"/>
  <c r="D150" i="298" s="1"/>
  <c r="G121" i="298"/>
  <c r="G120" i="298"/>
  <c r="J119" i="298"/>
  <c r="F118" i="298"/>
  <c r="E118" i="298"/>
  <c r="E145" i="298" s="1"/>
  <c r="D268" i="298" s="1"/>
  <c r="D118" i="298"/>
  <c r="H117" i="298"/>
  <c r="H118" i="298" s="1"/>
  <c r="E117" i="298"/>
  <c r="D117" i="298"/>
  <c r="F117" i="298" s="1"/>
  <c r="E116" i="298"/>
  <c r="G114" i="298"/>
  <c r="G113" i="298"/>
  <c r="J112" i="298"/>
  <c r="F111" i="298"/>
  <c r="F110" i="298"/>
  <c r="H109" i="298"/>
  <c r="F109" i="298"/>
  <c r="G106" i="298"/>
  <c r="G105" i="298"/>
  <c r="G103" i="298"/>
  <c r="F232" i="298" s="1"/>
  <c r="F241" i="298" s="1"/>
  <c r="G102" i="298"/>
  <c r="F231" i="298" s="1"/>
  <c r="F240" i="298" s="1"/>
  <c r="G101" i="298"/>
  <c r="F230" i="298" s="1"/>
  <c r="F239" i="298" s="1"/>
  <c r="D101" i="298"/>
  <c r="C101" i="298"/>
  <c r="G99" i="298"/>
  <c r="G98" i="298"/>
  <c r="G96" i="298"/>
  <c r="G95" i="298"/>
  <c r="G94" i="298"/>
  <c r="H93" i="298"/>
  <c r="H94" i="298" s="1"/>
  <c r="H95" i="298" s="1"/>
  <c r="H96" i="298" s="1"/>
  <c r="H101" i="298" s="1"/>
  <c r="H102" i="298" s="1"/>
  <c r="H103" i="298" s="1"/>
  <c r="G93" i="298"/>
  <c r="G92" i="298"/>
  <c r="G90" i="298"/>
  <c r="G89" i="298"/>
  <c r="E87" i="298"/>
  <c r="D264" i="298" s="1"/>
  <c r="D87" i="298"/>
  <c r="C264" i="298" s="1"/>
  <c r="E264" i="298" s="1"/>
  <c r="E86" i="298"/>
  <c r="D263" i="298" s="1"/>
  <c r="D86" i="298"/>
  <c r="C263" i="298" s="1"/>
  <c r="E85" i="298"/>
  <c r="D85" i="298"/>
  <c r="C262" i="298" s="1"/>
  <c r="E84" i="298"/>
  <c r="D84" i="298"/>
  <c r="F84" i="298" s="1"/>
  <c r="E83" i="298"/>
  <c r="D260" i="298" s="1"/>
  <c r="D83" i="298"/>
  <c r="C260" i="298" s="1"/>
  <c r="E82" i="298"/>
  <c r="D259" i="298" s="1"/>
  <c r="D82" i="298"/>
  <c r="E81" i="298"/>
  <c r="D81" i="298"/>
  <c r="C257" i="298" s="1"/>
  <c r="E80" i="298"/>
  <c r="D256" i="298" s="1"/>
  <c r="D80" i="298"/>
  <c r="C256" i="298" s="1"/>
  <c r="E256" i="298" s="1"/>
  <c r="E79" i="298"/>
  <c r="D255" i="298" s="1"/>
  <c r="D79" i="298"/>
  <c r="C255" i="298" s="1"/>
  <c r="E255" i="298" s="1"/>
  <c r="E78" i="298"/>
  <c r="D254" i="298" s="1"/>
  <c r="D78" i="298"/>
  <c r="C254" i="298" s="1"/>
  <c r="E254" i="298" s="1"/>
  <c r="E77" i="298"/>
  <c r="D77" i="298"/>
  <c r="C253" i="298" s="1"/>
  <c r="E76" i="298"/>
  <c r="D252" i="298" s="1"/>
  <c r="D281" i="298" s="1"/>
  <c r="D76" i="298"/>
  <c r="C252" i="298" s="1"/>
  <c r="E75" i="298"/>
  <c r="D251" i="298" s="1"/>
  <c r="D75" i="298"/>
  <c r="C251" i="298" s="1"/>
  <c r="E74" i="298"/>
  <c r="D249" i="298" s="1"/>
  <c r="D74" i="298"/>
  <c r="E73" i="298"/>
  <c r="D73" i="298"/>
  <c r="C248" i="298" s="1"/>
  <c r="F72" i="298"/>
  <c r="E72" i="298"/>
  <c r="D247" i="298" s="1"/>
  <c r="D72" i="298"/>
  <c r="C247" i="298" s="1"/>
  <c r="H71" i="298"/>
  <c r="H72" i="298" s="1"/>
  <c r="H76" i="298" s="1"/>
  <c r="H77" i="298" s="1"/>
  <c r="H78" i="298" s="1"/>
  <c r="E71" i="298"/>
  <c r="D246" i="298" s="1"/>
  <c r="D71" i="298"/>
  <c r="C246" i="298" s="1"/>
  <c r="E70" i="298"/>
  <c r="D245" i="298" s="1"/>
  <c r="D70" i="298"/>
  <c r="C245" i="298" s="1"/>
  <c r="H69" i="298"/>
  <c r="H70" i="298" s="1"/>
  <c r="H73" i="298" s="1"/>
  <c r="H74" i="298" s="1"/>
  <c r="H75" i="298" s="1"/>
  <c r="E69" i="298"/>
  <c r="D69" i="298"/>
  <c r="C244" i="298" s="1"/>
  <c r="G66" i="298"/>
  <c r="G65" i="298"/>
  <c r="J64" i="298"/>
  <c r="C64" i="298"/>
  <c r="E65" i="298" s="1"/>
  <c r="I65" i="298" s="1"/>
  <c r="I63" i="298"/>
  <c r="I62" i="298"/>
  <c r="I61" i="298"/>
  <c r="I60" i="298"/>
  <c r="G58" i="298"/>
  <c r="G57" i="298"/>
  <c r="J56" i="298"/>
  <c r="F55" i="298"/>
  <c r="D55" i="298"/>
  <c r="I55" i="298" s="1"/>
  <c r="F54" i="298"/>
  <c r="D54" i="298"/>
  <c r="I53" i="298"/>
  <c r="H53" i="298"/>
  <c r="H54" i="298" s="1"/>
  <c r="H55" i="298" s="1"/>
  <c r="F53" i="298"/>
  <c r="D53" i="298"/>
  <c r="D52" i="298"/>
  <c r="G50" i="298"/>
  <c r="G49" i="298"/>
  <c r="J48" i="298"/>
  <c r="E47" i="298"/>
  <c r="D47" i="298"/>
  <c r="E46" i="298"/>
  <c r="D46" i="298"/>
  <c r="E45" i="298"/>
  <c r="D45" i="298"/>
  <c r="F45" i="298" s="1"/>
  <c r="E44" i="298"/>
  <c r="D44" i="298"/>
  <c r="F44" i="298" s="1"/>
  <c r="H43" i="298"/>
  <c r="H44" i="298" s="1"/>
  <c r="H45" i="298" s="1"/>
  <c r="H46" i="298" s="1"/>
  <c r="H47" i="298" s="1"/>
  <c r="E43" i="298"/>
  <c r="D43" i="298"/>
  <c r="F43" i="298" s="1"/>
  <c r="I43" i="298" s="1"/>
  <c r="E42" i="298"/>
  <c r="D42" i="298"/>
  <c r="F42" i="298" s="1"/>
  <c r="G40" i="298"/>
  <c r="G39" i="298"/>
  <c r="J38" i="298"/>
  <c r="E37" i="298"/>
  <c r="E103" i="298" s="1"/>
  <c r="D232" i="298" s="1"/>
  <c r="D241" i="298" s="1"/>
  <c r="D37" i="298"/>
  <c r="D103" i="298" s="1"/>
  <c r="H36" i="298"/>
  <c r="H37" i="298" s="1"/>
  <c r="E36" i="298"/>
  <c r="E102" i="298" s="1"/>
  <c r="D231" i="298" s="1"/>
  <c r="D240" i="298" s="1"/>
  <c r="D36" i="298"/>
  <c r="D102" i="298" s="1"/>
  <c r="C231" i="298" s="1"/>
  <c r="E35" i="298"/>
  <c r="D35" i="298"/>
  <c r="C300" i="298" s="1"/>
  <c r="G33" i="298"/>
  <c r="G32" i="298"/>
  <c r="J31" i="298"/>
  <c r="E30" i="298"/>
  <c r="F30" i="298" s="1"/>
  <c r="D30" i="298"/>
  <c r="E29" i="298"/>
  <c r="E95" i="298" s="1"/>
  <c r="D228" i="298" s="1"/>
  <c r="D237" i="298" s="1"/>
  <c r="D29" i="298"/>
  <c r="D95" i="298" s="1"/>
  <c r="C228" i="298" s="1"/>
  <c r="E28" i="298"/>
  <c r="E94" i="298" s="1"/>
  <c r="D227" i="298" s="1"/>
  <c r="D236" i="298" s="1"/>
  <c r="D28" i="298"/>
  <c r="H27" i="298"/>
  <c r="H28" i="298" s="1"/>
  <c r="H29" i="298" s="1"/>
  <c r="H30" i="298" s="1"/>
  <c r="E27" i="298"/>
  <c r="E93" i="298" s="1"/>
  <c r="D226" i="298" s="1"/>
  <c r="D235" i="298" s="1"/>
  <c r="D27" i="298"/>
  <c r="E26" i="298"/>
  <c r="D26" i="298"/>
  <c r="D92" i="298" s="1"/>
  <c r="J22" i="298"/>
  <c r="F21" i="298"/>
  <c r="F20" i="298"/>
  <c r="F19" i="298"/>
  <c r="F18" i="298"/>
  <c r="F17" i="298"/>
  <c r="H16" i="298"/>
  <c r="H17" i="298" s="1"/>
  <c r="H18" i="298" s="1"/>
  <c r="F16" i="298"/>
  <c r="H15" i="298"/>
  <c r="F15" i="298"/>
  <c r="I15" i="298" s="1"/>
  <c r="M11" i="298"/>
  <c r="M10" i="298"/>
  <c r="M9" i="298"/>
  <c r="H9" i="298"/>
  <c r="H10" i="298" s="1"/>
  <c r="M8" i="298"/>
  <c r="E8" i="298"/>
  <c r="C8" i="298"/>
  <c r="M7" i="298"/>
  <c r="M6" i="298"/>
  <c r="M5" i="298"/>
  <c r="E5" i="298"/>
  <c r="E366" i="298" s="1"/>
  <c r="D5" i="298"/>
  <c r="M4" i="298"/>
  <c r="V372" i="298"/>
  <c r="B4" i="298"/>
  <c r="R370" i="298" s="1"/>
  <c r="D359" i="217"/>
  <c r="H359" i="217" s="1"/>
  <c r="B4" i="217"/>
  <c r="H10" i="302" l="1"/>
  <c r="H288" i="302"/>
  <c r="G257" i="334"/>
  <c r="H256" i="334"/>
  <c r="I123" i="301"/>
  <c r="E199" i="302"/>
  <c r="I17" i="298"/>
  <c r="E64" i="298"/>
  <c r="E247" i="298"/>
  <c r="F27" i="299"/>
  <c r="E246" i="299"/>
  <c r="F73" i="299"/>
  <c r="F80" i="299"/>
  <c r="F87" i="299"/>
  <c r="F160" i="299"/>
  <c r="I37" i="300"/>
  <c r="F77" i="300"/>
  <c r="E199" i="300"/>
  <c r="D344" i="300"/>
  <c r="H344" i="300" s="1"/>
  <c r="J52" i="300"/>
  <c r="J35" i="300"/>
  <c r="D15" i="300"/>
  <c r="J68" i="300"/>
  <c r="F28" i="301"/>
  <c r="I66" i="301"/>
  <c r="F75" i="301"/>
  <c r="E259" i="301"/>
  <c r="D137" i="301"/>
  <c r="C139" i="301" s="1"/>
  <c r="I168" i="301"/>
  <c r="E170" i="301" s="1"/>
  <c r="E199" i="301"/>
  <c r="D344" i="301"/>
  <c r="H344" i="301" s="1"/>
  <c r="F250" i="301"/>
  <c r="F258" i="301"/>
  <c r="F123" i="302"/>
  <c r="I123" i="302" s="1"/>
  <c r="I16" i="303"/>
  <c r="F43" i="303"/>
  <c r="I43" i="303" s="1"/>
  <c r="F77" i="303"/>
  <c r="F116" i="303"/>
  <c r="I131" i="303"/>
  <c r="I189" i="303"/>
  <c r="F83" i="304"/>
  <c r="I125" i="304"/>
  <c r="E171" i="304"/>
  <c r="I171" i="304" s="1"/>
  <c r="F29" i="298"/>
  <c r="I54" i="298"/>
  <c r="F78" i="298"/>
  <c r="I78" i="298" s="1"/>
  <c r="E263" i="298"/>
  <c r="F151" i="298"/>
  <c r="I151" i="298" s="1"/>
  <c r="E275" i="298"/>
  <c r="F160" i="298"/>
  <c r="I160" i="298" s="1"/>
  <c r="E170" i="298"/>
  <c r="E199" i="298"/>
  <c r="F37" i="299"/>
  <c r="I46" i="299"/>
  <c r="E64" i="299"/>
  <c r="E257" i="299"/>
  <c r="F123" i="299"/>
  <c r="F273" i="299"/>
  <c r="E278" i="299"/>
  <c r="I201" i="299"/>
  <c r="F258" i="299"/>
  <c r="D381" i="300"/>
  <c r="I381" i="300" s="1"/>
  <c r="F28" i="300"/>
  <c r="F118" i="300"/>
  <c r="I132" i="300"/>
  <c r="E143" i="300"/>
  <c r="D266" i="300" s="1"/>
  <c r="D151" i="300"/>
  <c r="F151" i="300" s="1"/>
  <c r="I151" i="300" s="1"/>
  <c r="F160" i="300"/>
  <c r="I160" i="300" s="1"/>
  <c r="H176" i="300"/>
  <c r="I176" i="300" s="1"/>
  <c r="E177" i="300" s="1"/>
  <c r="I9" i="301"/>
  <c r="F26" i="301"/>
  <c r="F82" i="301"/>
  <c r="F28" i="302"/>
  <c r="E246" i="302"/>
  <c r="F78" i="302"/>
  <c r="F118" i="302"/>
  <c r="I118" i="302" s="1"/>
  <c r="E278" i="302"/>
  <c r="I178" i="302"/>
  <c r="F285" i="302"/>
  <c r="H71" i="303"/>
  <c r="H72" i="303" s="1"/>
  <c r="H76" i="303" s="1"/>
  <c r="H77" i="303" s="1"/>
  <c r="H78" i="303" s="1"/>
  <c r="H79" i="303" s="1"/>
  <c r="H80" i="303" s="1"/>
  <c r="H81" i="303" s="1"/>
  <c r="H82" i="303" s="1"/>
  <c r="H83" i="303" s="1"/>
  <c r="H84" i="303" s="1"/>
  <c r="H85" i="303" s="1"/>
  <c r="H86" i="303" s="1"/>
  <c r="H87" i="303" s="1"/>
  <c r="E251" i="303"/>
  <c r="E254" i="303"/>
  <c r="I111" i="303"/>
  <c r="F117" i="303"/>
  <c r="I117" i="303" s="1"/>
  <c r="E276" i="303"/>
  <c r="F162" i="303"/>
  <c r="I171" i="303"/>
  <c r="E200" i="303"/>
  <c r="I200" i="303" s="1"/>
  <c r="F27" i="304"/>
  <c r="E279" i="304"/>
  <c r="U382" i="304"/>
  <c r="I29" i="298"/>
  <c r="I45" i="298"/>
  <c r="I44" i="299"/>
  <c r="I118" i="299"/>
  <c r="C133" i="299"/>
  <c r="F269" i="299"/>
  <c r="I172" i="299"/>
  <c r="F250" i="299"/>
  <c r="C338" i="299" s="1"/>
  <c r="F366" i="300"/>
  <c r="F46" i="300"/>
  <c r="I46" i="300" s="1"/>
  <c r="F269" i="300"/>
  <c r="I26" i="301"/>
  <c r="F29" i="301"/>
  <c r="G214" i="301"/>
  <c r="I214" i="301" s="1"/>
  <c r="F70" i="301"/>
  <c r="I70" i="301" s="1"/>
  <c r="F73" i="301"/>
  <c r="D248" i="302"/>
  <c r="I17" i="303"/>
  <c r="G213" i="303"/>
  <c r="I213" i="303" s="1"/>
  <c r="I44" i="303"/>
  <c r="I72" i="303"/>
  <c r="F280" i="303"/>
  <c r="I46" i="304"/>
  <c r="F70" i="304"/>
  <c r="I110" i="304"/>
  <c r="S385" i="304"/>
  <c r="U385" i="304" s="1"/>
  <c r="U384" i="304" s="1"/>
  <c r="E245" i="298"/>
  <c r="F86" i="298"/>
  <c r="I131" i="298"/>
  <c r="F158" i="298"/>
  <c r="I158" i="298" s="1"/>
  <c r="H287" i="298"/>
  <c r="F47" i="299"/>
  <c r="E244" i="299"/>
  <c r="E247" i="299"/>
  <c r="E251" i="299"/>
  <c r="F81" i="299"/>
  <c r="D144" i="299"/>
  <c r="C267" i="299" s="1"/>
  <c r="G213" i="300"/>
  <c r="I213" i="300" s="1"/>
  <c r="E247" i="300"/>
  <c r="E92" i="300"/>
  <c r="D225" i="300" s="1"/>
  <c r="D234" i="300" s="1"/>
  <c r="F161" i="300"/>
  <c r="I171" i="300"/>
  <c r="I178" i="300"/>
  <c r="F47" i="301"/>
  <c r="I55" i="301"/>
  <c r="E249" i="301"/>
  <c r="F86" i="301"/>
  <c r="C112" i="301"/>
  <c r="E113" i="301" s="1"/>
  <c r="F162" i="301"/>
  <c r="I178" i="301"/>
  <c r="I290" i="301"/>
  <c r="H305" i="301"/>
  <c r="H308" i="301" s="1"/>
  <c r="F5" i="302"/>
  <c r="H5" i="302" s="1"/>
  <c r="F36" i="302"/>
  <c r="I36" i="302" s="1"/>
  <c r="F44" i="302"/>
  <c r="I54" i="302"/>
  <c r="E255" i="302"/>
  <c r="C139" i="302"/>
  <c r="E279" i="302"/>
  <c r="E179" i="302"/>
  <c r="I179" i="302" s="1"/>
  <c r="K69" i="302"/>
  <c r="E69" i="302" s="1"/>
  <c r="D244" i="302" s="1"/>
  <c r="F29" i="303"/>
  <c r="E255" i="303"/>
  <c r="E260" i="303"/>
  <c r="E263" i="303"/>
  <c r="H132" i="303"/>
  <c r="I132" i="303" s="1"/>
  <c r="E143" i="303"/>
  <c r="D266" i="303" s="1"/>
  <c r="F160" i="303"/>
  <c r="F74" i="304"/>
  <c r="F85" i="304"/>
  <c r="F123" i="304"/>
  <c r="I132" i="304"/>
  <c r="I200" i="304"/>
  <c r="F76" i="298"/>
  <c r="I76" i="298" s="1"/>
  <c r="I44" i="300"/>
  <c r="D152" i="300"/>
  <c r="C272" i="300" s="1"/>
  <c r="I201" i="300"/>
  <c r="E170" i="303"/>
  <c r="D283" i="303"/>
  <c r="G213" i="304"/>
  <c r="I213" i="304" s="1"/>
  <c r="F46" i="298"/>
  <c r="E246" i="298"/>
  <c r="F123" i="298"/>
  <c r="I123" i="298" s="1"/>
  <c r="F269" i="298"/>
  <c r="E279" i="298"/>
  <c r="I179" i="298"/>
  <c r="I189" i="298"/>
  <c r="F250" i="298"/>
  <c r="F45" i="299"/>
  <c r="I45" i="299" s="1"/>
  <c r="I66" i="299"/>
  <c r="F72" i="299"/>
  <c r="F79" i="299"/>
  <c r="C112" i="299"/>
  <c r="I111" i="299"/>
  <c r="I131" i="299"/>
  <c r="E133" i="299" s="1"/>
  <c r="F159" i="299"/>
  <c r="U382" i="299"/>
  <c r="F29" i="300"/>
  <c r="I29" i="300" s="1"/>
  <c r="E245" i="300"/>
  <c r="I109" i="300"/>
  <c r="E279" i="300"/>
  <c r="E172" i="300"/>
  <c r="I172" i="300" s="1"/>
  <c r="E200" i="300"/>
  <c r="I200" i="300" s="1"/>
  <c r="E244" i="301"/>
  <c r="F74" i="301"/>
  <c r="F125" i="301"/>
  <c r="I125" i="301" s="1"/>
  <c r="I131" i="301"/>
  <c r="D150" i="301"/>
  <c r="C270" i="301" s="1"/>
  <c r="E270" i="301" s="1"/>
  <c r="E277" i="301"/>
  <c r="E179" i="301"/>
  <c r="E200" i="301"/>
  <c r="I200" i="301" s="1"/>
  <c r="E245" i="302"/>
  <c r="F83" i="302"/>
  <c r="C133" i="302"/>
  <c r="E276" i="302"/>
  <c r="F258" i="302"/>
  <c r="D259" i="302"/>
  <c r="E259" i="302" s="1"/>
  <c r="E308" i="302"/>
  <c r="F76" i="303"/>
  <c r="I76" i="303" s="1"/>
  <c r="E256" i="303"/>
  <c r="I109" i="303"/>
  <c r="F124" i="303"/>
  <c r="I124" i="303" s="1"/>
  <c r="D144" i="303"/>
  <c r="F144" i="303" s="1"/>
  <c r="I144" i="303" s="1"/>
  <c r="E271" i="303"/>
  <c r="F157" i="303"/>
  <c r="I157" i="303" s="1"/>
  <c r="E278" i="303"/>
  <c r="F28" i="304"/>
  <c r="I28" i="304" s="1"/>
  <c r="E247" i="304"/>
  <c r="F82" i="304"/>
  <c r="F273" i="304"/>
  <c r="H176" i="304"/>
  <c r="I176" i="304" s="1"/>
  <c r="E177" i="304" s="1"/>
  <c r="H345" i="304"/>
  <c r="S388" i="304"/>
  <c r="U388" i="304" s="1"/>
  <c r="U387" i="304" s="1"/>
  <c r="I16" i="298"/>
  <c r="F47" i="298"/>
  <c r="D144" i="298"/>
  <c r="C267" i="298" s="1"/>
  <c r="E267" i="298" s="1"/>
  <c r="F159" i="298"/>
  <c r="I159" i="298" s="1"/>
  <c r="I171" i="298"/>
  <c r="E248" i="299"/>
  <c r="E256" i="299"/>
  <c r="E260" i="299"/>
  <c r="E112" i="299"/>
  <c r="E277" i="299"/>
  <c r="H305" i="299"/>
  <c r="I54" i="300"/>
  <c r="F83" i="300"/>
  <c r="F86" i="300"/>
  <c r="F123" i="300"/>
  <c r="C133" i="300"/>
  <c r="F158" i="300"/>
  <c r="F250" i="300"/>
  <c r="F265" i="300"/>
  <c r="I28" i="301"/>
  <c r="F81" i="301"/>
  <c r="F118" i="301"/>
  <c r="I118" i="301" s="1"/>
  <c r="H289" i="301"/>
  <c r="F43" i="302"/>
  <c r="I43" i="302" s="1"/>
  <c r="F157" i="302"/>
  <c r="I55" i="303"/>
  <c r="E177" i="303"/>
  <c r="F250" i="303"/>
  <c r="F265" i="303"/>
  <c r="E277" i="303"/>
  <c r="I26" i="304"/>
  <c r="I44" i="304"/>
  <c r="E64" i="304"/>
  <c r="F118" i="304"/>
  <c r="I130" i="304"/>
  <c r="E133" i="304" s="1"/>
  <c r="C133" i="304"/>
  <c r="E134" i="304" s="1"/>
  <c r="I134" i="304" s="1"/>
  <c r="E199" i="304"/>
  <c r="E271" i="298"/>
  <c r="I132" i="299"/>
  <c r="J68" i="299"/>
  <c r="J35" i="299"/>
  <c r="D15" i="299"/>
  <c r="F15" i="299" s="1"/>
  <c r="I15" i="299" s="1"/>
  <c r="I70" i="300"/>
  <c r="I125" i="302"/>
  <c r="F250" i="302"/>
  <c r="I37" i="303"/>
  <c r="I45" i="303"/>
  <c r="I84" i="303"/>
  <c r="D103" i="303"/>
  <c r="C232" i="303" s="1"/>
  <c r="C241" i="303" s="1"/>
  <c r="I110" i="303"/>
  <c r="E204" i="300"/>
  <c r="K68" i="298"/>
  <c r="F15" i="304"/>
  <c r="I15" i="304" s="1"/>
  <c r="E69" i="300"/>
  <c r="D60" i="303"/>
  <c r="I60" i="303" s="1"/>
  <c r="E64" i="303" s="1"/>
  <c r="D35" i="299"/>
  <c r="D101" i="299" s="1"/>
  <c r="D42" i="299"/>
  <c r="F42" i="299" s="1"/>
  <c r="D52" i="299"/>
  <c r="D358" i="304"/>
  <c r="I388" i="310"/>
  <c r="I9" i="304"/>
  <c r="I9" i="299"/>
  <c r="H11" i="304"/>
  <c r="I11" i="304" s="1"/>
  <c r="U382" i="298"/>
  <c r="H289" i="299"/>
  <c r="H308" i="298"/>
  <c r="H286" i="299"/>
  <c r="H288" i="301"/>
  <c r="H289" i="303"/>
  <c r="H305" i="300"/>
  <c r="H308" i="300" s="1"/>
  <c r="H305" i="303"/>
  <c r="H288" i="304"/>
  <c r="C336" i="329"/>
  <c r="T383" i="328"/>
  <c r="U383" i="328" s="1"/>
  <c r="C335" i="328"/>
  <c r="C320" i="328"/>
  <c r="C331" i="328"/>
  <c r="H331" i="328" s="1"/>
  <c r="H337" i="328" s="1"/>
  <c r="E218" i="328"/>
  <c r="H84" i="328"/>
  <c r="I83" i="328"/>
  <c r="S377" i="325"/>
  <c r="C313" i="325"/>
  <c r="H313" i="325" s="1"/>
  <c r="H314" i="325" s="1"/>
  <c r="T383" i="325" s="1"/>
  <c r="U383" i="325" s="1"/>
  <c r="H83" i="325"/>
  <c r="I82" i="325"/>
  <c r="C331" i="325"/>
  <c r="H331" i="325" s="1"/>
  <c r="H337" i="325" s="1"/>
  <c r="C335" i="325"/>
  <c r="C320" i="325"/>
  <c r="C333" i="324"/>
  <c r="H333" i="324" s="1"/>
  <c r="D291" i="324" a="1"/>
  <c r="D291" i="324" s="1"/>
  <c r="I233" i="324"/>
  <c r="E105" i="324"/>
  <c r="I105" i="324" s="1"/>
  <c r="E106" i="324"/>
  <c r="I106" i="324" s="1"/>
  <c r="D385" i="324"/>
  <c r="I385" i="324" s="1"/>
  <c r="I388" i="324" s="1"/>
  <c r="D356" i="324"/>
  <c r="H356" i="324" s="1"/>
  <c r="H363" i="324" s="1"/>
  <c r="C319" i="324"/>
  <c r="E148" i="324"/>
  <c r="I148" i="324" s="1"/>
  <c r="E147" i="324"/>
  <c r="I147" i="324" s="1"/>
  <c r="E219" i="324"/>
  <c r="E223" i="324" s="1"/>
  <c r="S375" i="324" s="1"/>
  <c r="C330" i="324"/>
  <c r="H330" i="324" s="1"/>
  <c r="H329" i="324"/>
  <c r="C326" i="324"/>
  <c r="H326" i="324" s="1"/>
  <c r="H325" i="324"/>
  <c r="I242" i="324"/>
  <c r="J250" i="324" s="1"/>
  <c r="D292" i="324"/>
  <c r="E106" i="323"/>
  <c r="I106" i="323" s="1"/>
  <c r="E105" i="323"/>
  <c r="I105" i="323" s="1"/>
  <c r="D385" i="323"/>
  <c r="I385" i="323" s="1"/>
  <c r="I388" i="323" s="1"/>
  <c r="D356" i="323"/>
  <c r="H356" i="323" s="1"/>
  <c r="H363" i="323" s="1"/>
  <c r="C319" i="323"/>
  <c r="E219" i="323"/>
  <c r="E223" i="323" s="1"/>
  <c r="S375" i="323" s="1"/>
  <c r="C333" i="323"/>
  <c r="H333" i="323" s="1"/>
  <c r="H325" i="323"/>
  <c r="C326" i="323"/>
  <c r="H326" i="323" s="1"/>
  <c r="D291" i="323" a="1"/>
  <c r="D291" i="323" s="1"/>
  <c r="I233" i="323"/>
  <c r="D292" i="323"/>
  <c r="I242" i="323"/>
  <c r="J250" i="323" s="1"/>
  <c r="D291" i="322" a="1"/>
  <c r="D291" i="322" s="1"/>
  <c r="I233" i="322"/>
  <c r="E106" i="322"/>
  <c r="I106" i="322" s="1"/>
  <c r="E105" i="322"/>
  <c r="I105" i="322" s="1"/>
  <c r="D385" i="322"/>
  <c r="I385" i="322" s="1"/>
  <c r="I388" i="322" s="1"/>
  <c r="D356" i="322"/>
  <c r="H356" i="322" s="1"/>
  <c r="H363" i="322" s="1"/>
  <c r="C319" i="322"/>
  <c r="C326" i="322"/>
  <c r="H326" i="322" s="1"/>
  <c r="H325" i="322"/>
  <c r="I242" i="322"/>
  <c r="J250" i="322" s="1"/>
  <c r="D292" i="322"/>
  <c r="E219" i="322"/>
  <c r="E223" i="322" s="1"/>
  <c r="S375" i="322" s="1"/>
  <c r="E147" i="322"/>
  <c r="I147" i="322" s="1"/>
  <c r="E148" i="322"/>
  <c r="I148" i="322" s="1"/>
  <c r="C330" i="322"/>
  <c r="H330" i="322" s="1"/>
  <c r="H329" i="322"/>
  <c r="T383" i="321"/>
  <c r="U383" i="321" s="1"/>
  <c r="C331" i="321"/>
  <c r="H331" i="321" s="1"/>
  <c r="H337" i="321" s="1"/>
  <c r="C335" i="321"/>
  <c r="C320" i="321"/>
  <c r="C331" i="319"/>
  <c r="H331" i="319" s="1"/>
  <c r="H337" i="319" s="1"/>
  <c r="C335" i="319"/>
  <c r="C320" i="319"/>
  <c r="T383" i="319"/>
  <c r="U383" i="319" s="1"/>
  <c r="E218" i="317"/>
  <c r="D355" i="317"/>
  <c r="H355" i="317" s="1"/>
  <c r="E90" i="317"/>
  <c r="I90" i="317" s="1"/>
  <c r="E89" i="317"/>
  <c r="I89" i="317" s="1"/>
  <c r="D384" i="317"/>
  <c r="I384" i="317" s="1"/>
  <c r="I101" i="317"/>
  <c r="E104" i="317" s="1"/>
  <c r="C104" i="317"/>
  <c r="C333" i="317" s="1"/>
  <c r="H333" i="317" s="1"/>
  <c r="C239" i="317"/>
  <c r="E239" i="317" s="1"/>
  <c r="E230" i="317"/>
  <c r="C325" i="317"/>
  <c r="E39" i="317"/>
  <c r="I39" i="317" s="1"/>
  <c r="E40" i="317"/>
  <c r="I40" i="317" s="1"/>
  <c r="D383" i="317"/>
  <c r="I383" i="317" s="1"/>
  <c r="D354" i="317"/>
  <c r="H354" i="317" s="1"/>
  <c r="D380" i="317"/>
  <c r="E218" i="314"/>
  <c r="I101" i="314"/>
  <c r="E104" i="314" s="1"/>
  <c r="C104" i="314"/>
  <c r="C333" i="314" s="1"/>
  <c r="H333" i="314" s="1"/>
  <c r="C325" i="314"/>
  <c r="E40" i="314"/>
  <c r="I40" i="314" s="1"/>
  <c r="E39" i="314"/>
  <c r="I39" i="314" s="1"/>
  <c r="D380" i="314"/>
  <c r="D354" i="314"/>
  <c r="H354" i="314" s="1"/>
  <c r="D383" i="314"/>
  <c r="I383" i="314" s="1"/>
  <c r="C239" i="314"/>
  <c r="E239" i="314" s="1"/>
  <c r="E230" i="314"/>
  <c r="D355" i="314"/>
  <c r="H355" i="314" s="1"/>
  <c r="E90" i="314"/>
  <c r="I90" i="314" s="1"/>
  <c r="E89" i="314"/>
  <c r="I89" i="314" s="1"/>
  <c r="D384" i="314"/>
  <c r="I384" i="314" s="1"/>
  <c r="I82" i="314"/>
  <c r="H83" i="314"/>
  <c r="D355" i="313"/>
  <c r="H355" i="313" s="1"/>
  <c r="E90" i="313"/>
  <c r="I90" i="313" s="1"/>
  <c r="E89" i="313"/>
  <c r="I89" i="313" s="1"/>
  <c r="D384" i="313"/>
  <c r="I384" i="313" s="1"/>
  <c r="C325" i="313"/>
  <c r="E40" i="313"/>
  <c r="I40" i="313" s="1"/>
  <c r="E39" i="313"/>
  <c r="I39" i="313" s="1"/>
  <c r="D380" i="313"/>
  <c r="D383" i="313"/>
  <c r="I383" i="313" s="1"/>
  <c r="D354" i="313"/>
  <c r="H354" i="313" s="1"/>
  <c r="E218" i="313"/>
  <c r="I101" i="313"/>
  <c r="E104" i="313" s="1"/>
  <c r="C104" i="313"/>
  <c r="C333" i="313" s="1"/>
  <c r="H333" i="313" s="1"/>
  <c r="C239" i="313"/>
  <c r="E239" i="313" s="1"/>
  <c r="E230" i="313"/>
  <c r="C320" i="312"/>
  <c r="C331" i="312"/>
  <c r="H331" i="312" s="1"/>
  <c r="H337" i="312" s="1"/>
  <c r="S379" i="312" s="1"/>
  <c r="U379" i="312" s="1"/>
  <c r="T383" i="312"/>
  <c r="U383" i="312" s="1"/>
  <c r="T383" i="311"/>
  <c r="U383" i="311" s="1"/>
  <c r="C335" i="311"/>
  <c r="C320" i="311"/>
  <c r="C331" i="311"/>
  <c r="H331" i="311" s="1"/>
  <c r="H337" i="311" s="1"/>
  <c r="S379" i="311" s="1"/>
  <c r="U379" i="311" s="1"/>
  <c r="H87" i="311"/>
  <c r="I87" i="311" s="1"/>
  <c r="I86" i="311"/>
  <c r="C319" i="310"/>
  <c r="C335" i="310" s="1"/>
  <c r="E219" i="310"/>
  <c r="E223" i="310" s="1"/>
  <c r="S375" i="310" s="1"/>
  <c r="E148" i="310"/>
  <c r="I148" i="310" s="1"/>
  <c r="E147" i="310"/>
  <c r="I147" i="310" s="1"/>
  <c r="D356" i="310"/>
  <c r="H356" i="310" s="1"/>
  <c r="H363" i="310" s="1"/>
  <c r="C330" i="310"/>
  <c r="H330" i="310" s="1"/>
  <c r="H329" i="310"/>
  <c r="C239" i="309"/>
  <c r="E239" i="309" s="1"/>
  <c r="E230" i="309"/>
  <c r="C104" i="309"/>
  <c r="C333" i="309" s="1"/>
  <c r="H333" i="309" s="1"/>
  <c r="I101" i="309"/>
  <c r="E104" i="309" s="1"/>
  <c r="H81" i="309"/>
  <c r="I80" i="309"/>
  <c r="C325" i="309"/>
  <c r="E40" i="309"/>
  <c r="I40" i="309" s="1"/>
  <c r="E39" i="309"/>
  <c r="I39" i="309" s="1"/>
  <c r="D383" i="309"/>
  <c r="I383" i="309" s="1"/>
  <c r="D380" i="309"/>
  <c r="D354" i="309"/>
  <c r="H354" i="309" s="1"/>
  <c r="E218" i="309"/>
  <c r="D355" i="309"/>
  <c r="H355" i="309" s="1"/>
  <c r="E89" i="309"/>
  <c r="I89" i="309" s="1"/>
  <c r="E90" i="309"/>
  <c r="I90" i="309" s="1"/>
  <c r="D384" i="309"/>
  <c r="I384" i="309" s="1"/>
  <c r="C330" i="308"/>
  <c r="H330" i="308" s="1"/>
  <c r="H329" i="308"/>
  <c r="E219" i="308"/>
  <c r="E223" i="308" s="1"/>
  <c r="S375" i="308" s="1"/>
  <c r="E148" i="308"/>
  <c r="I148" i="308" s="1"/>
  <c r="E147" i="308"/>
  <c r="I147" i="308" s="1"/>
  <c r="D356" i="308"/>
  <c r="H356" i="308" s="1"/>
  <c r="H363" i="308" s="1"/>
  <c r="C319" i="308"/>
  <c r="H288" i="298"/>
  <c r="H287" i="299"/>
  <c r="H318" i="302"/>
  <c r="H289" i="304"/>
  <c r="H318" i="299"/>
  <c r="H286" i="301"/>
  <c r="H286" i="304"/>
  <c r="H308" i="299"/>
  <c r="H287" i="300"/>
  <c r="H318" i="304"/>
  <c r="H286" i="298"/>
  <c r="H318" i="301"/>
  <c r="H287" i="303"/>
  <c r="F250" i="304"/>
  <c r="C338" i="304" s="1"/>
  <c r="C343" i="304" s="1"/>
  <c r="H343" i="304" s="1"/>
  <c r="E244" i="304"/>
  <c r="C56" i="304"/>
  <c r="E57" i="304" s="1"/>
  <c r="I57" i="304" s="1"/>
  <c r="F42" i="304"/>
  <c r="I42" i="304" s="1"/>
  <c r="E48" i="304" s="1"/>
  <c r="D381" i="304"/>
  <c r="I381" i="304" s="1"/>
  <c r="F35" i="304"/>
  <c r="I35" i="304" s="1"/>
  <c r="F190" i="304"/>
  <c r="I190" i="304" s="1"/>
  <c r="F5" i="304"/>
  <c r="H5" i="304" s="1"/>
  <c r="I8" i="304"/>
  <c r="E191" i="304"/>
  <c r="F366" i="304"/>
  <c r="D68" i="304"/>
  <c r="C334" i="304" s="1" a="1"/>
  <c r="C334" i="304" s="1"/>
  <c r="F14" i="304"/>
  <c r="C232" i="304"/>
  <c r="F103" i="304"/>
  <c r="I103" i="304" s="1"/>
  <c r="I123" i="304"/>
  <c r="F217" i="304"/>
  <c r="F6" i="304"/>
  <c r="D181" i="304"/>
  <c r="F29" i="304"/>
  <c r="D95" i="304"/>
  <c r="F93" i="304"/>
  <c r="I93" i="304" s="1"/>
  <c r="C226" i="304"/>
  <c r="I37" i="304"/>
  <c r="C48" i="304"/>
  <c r="H55" i="304"/>
  <c r="I55" i="304" s="1"/>
  <c r="I54" i="304"/>
  <c r="I70" i="304"/>
  <c r="I118" i="304"/>
  <c r="C271" i="304"/>
  <c r="E271" i="304" s="1"/>
  <c r="F151" i="304"/>
  <c r="I151" i="304" s="1"/>
  <c r="C229" i="304"/>
  <c r="F96" i="304"/>
  <c r="I96" i="304" s="1"/>
  <c r="I74" i="304"/>
  <c r="H162" i="304"/>
  <c r="H161" i="304"/>
  <c r="B243" i="304"/>
  <c r="B244" i="304" s="1"/>
  <c r="B245" i="304" s="1"/>
  <c r="B246" i="304" s="1"/>
  <c r="B241" i="304"/>
  <c r="H17" i="304"/>
  <c r="I16" i="304"/>
  <c r="E58" i="304"/>
  <c r="I58" i="304" s="1"/>
  <c r="C231" i="304"/>
  <c r="F102" i="304"/>
  <c r="I102" i="304" s="1"/>
  <c r="C281" i="304"/>
  <c r="E281" i="304" s="1"/>
  <c r="E252" i="304"/>
  <c r="D137" i="304"/>
  <c r="E143" i="304"/>
  <c r="D266" i="304" s="1"/>
  <c r="I157" i="304"/>
  <c r="I159" i="304"/>
  <c r="D225" i="304"/>
  <c r="D234" i="304" s="1"/>
  <c r="F92" i="304"/>
  <c r="H73" i="304"/>
  <c r="H74" i="304" s="1"/>
  <c r="H75" i="304" s="1"/>
  <c r="H71" i="304"/>
  <c r="H72" i="304" s="1"/>
  <c r="H76" i="304" s="1"/>
  <c r="H77" i="304" s="1"/>
  <c r="H78" i="304" s="1"/>
  <c r="H79" i="304" s="1"/>
  <c r="H80" i="304" s="1"/>
  <c r="H81" i="304" s="1"/>
  <c r="H82" i="304" s="1"/>
  <c r="H83" i="304" s="1"/>
  <c r="H84" i="304" s="1"/>
  <c r="H85" i="304" s="1"/>
  <c r="H86" i="304" s="1"/>
  <c r="H87" i="304" s="1"/>
  <c r="F30" i="304"/>
  <c r="I30" i="304" s="1"/>
  <c r="F69" i="304"/>
  <c r="I69" i="304" s="1"/>
  <c r="E246" i="304"/>
  <c r="F77" i="304"/>
  <c r="E255" i="304"/>
  <c r="E264" i="304"/>
  <c r="E101" i="304"/>
  <c r="D230" i="304" s="1"/>
  <c r="D239" i="304" s="1"/>
  <c r="E144" i="304"/>
  <c r="F158" i="304"/>
  <c r="I158" i="304" s="1"/>
  <c r="E277" i="304"/>
  <c r="E204" i="304"/>
  <c r="C215" i="304" s="1" a="1"/>
  <c r="C215" i="304" s="1"/>
  <c r="F233" i="304"/>
  <c r="H287" i="304"/>
  <c r="E65" i="304"/>
  <c r="I65" i="304" s="1"/>
  <c r="F71" i="304"/>
  <c r="I71" i="304" s="1"/>
  <c r="F79" i="304"/>
  <c r="D261" i="304"/>
  <c r="D283" i="304"/>
  <c r="F87" i="304"/>
  <c r="C236" i="304"/>
  <c r="E227" i="304"/>
  <c r="F160" i="304"/>
  <c r="I160" i="304" s="1"/>
  <c r="C332" i="304" a="1"/>
  <c r="C332" i="304" s="1"/>
  <c r="H332" i="304" s="1"/>
  <c r="C294" i="304"/>
  <c r="I27" i="304"/>
  <c r="E245" i="304"/>
  <c r="F76" i="304"/>
  <c r="E254" i="304"/>
  <c r="E263" i="304"/>
  <c r="E94" i="304"/>
  <c r="D227" i="304" s="1"/>
  <c r="D236" i="304" s="1"/>
  <c r="F124" i="304"/>
  <c r="I124" i="304" s="1"/>
  <c r="F152" i="304"/>
  <c r="I152" i="304" s="1"/>
  <c r="E276" i="304"/>
  <c r="I168" i="304"/>
  <c r="E170" i="304" s="1"/>
  <c r="C191" i="304"/>
  <c r="F242" i="304"/>
  <c r="F292" i="304" s="1"/>
  <c r="F36" i="304"/>
  <c r="I36" i="304" s="1"/>
  <c r="F73" i="304"/>
  <c r="I73" i="304" s="1"/>
  <c r="E251" i="304"/>
  <c r="F81" i="304"/>
  <c r="F162" i="304"/>
  <c r="G212" i="304"/>
  <c r="I212" i="304" s="1"/>
  <c r="C310" i="304"/>
  <c r="H310" i="304" s="1"/>
  <c r="H309" i="304"/>
  <c r="E135" i="304"/>
  <c r="I135" i="304" s="1"/>
  <c r="H366" i="304"/>
  <c r="D387" i="304" s="1"/>
  <c r="I387" i="304" s="1"/>
  <c r="D362" i="304"/>
  <c r="H362" i="304" s="1"/>
  <c r="D145" i="304"/>
  <c r="D150" i="304"/>
  <c r="C261" i="304"/>
  <c r="C283" i="304"/>
  <c r="E283" i="304" s="1"/>
  <c r="C274" i="304"/>
  <c r="E274" i="304" s="1"/>
  <c r="C300" i="304"/>
  <c r="G211" i="304"/>
  <c r="F75" i="304"/>
  <c r="I75" i="304" s="1"/>
  <c r="E253" i="304"/>
  <c r="C282" i="304"/>
  <c r="E282" i="304" s="1"/>
  <c r="C262" i="304"/>
  <c r="C284" i="304"/>
  <c r="D344" i="304"/>
  <c r="H344" i="304" s="1"/>
  <c r="C315" i="304"/>
  <c r="H315" i="304" s="1"/>
  <c r="F72" i="304"/>
  <c r="I72" i="304" s="1"/>
  <c r="F80" i="304"/>
  <c r="E259" i="304"/>
  <c r="D262" i="304"/>
  <c r="D284" i="304"/>
  <c r="C234" i="304"/>
  <c r="E234" i="304" s="1"/>
  <c r="E225" i="304"/>
  <c r="D101" i="304"/>
  <c r="F161" i="304"/>
  <c r="I161" i="304" s="1"/>
  <c r="H305" i="304"/>
  <c r="C317" i="304"/>
  <c r="I290" i="304"/>
  <c r="H346" i="304"/>
  <c r="C64" i="303"/>
  <c r="E65" i="303" s="1"/>
  <c r="I65" i="303" s="1"/>
  <c r="D346" i="303"/>
  <c r="D344" i="303"/>
  <c r="H344" i="303" s="1"/>
  <c r="F52" i="303"/>
  <c r="F366" i="303"/>
  <c r="H366" i="303" s="1"/>
  <c r="D387" i="303" s="1"/>
  <c r="I387" i="303" s="1"/>
  <c r="I8" i="303"/>
  <c r="C229" i="303"/>
  <c r="F96" i="303"/>
  <c r="I96" i="303" s="1"/>
  <c r="F102" i="303"/>
  <c r="I102" i="303" s="1"/>
  <c r="C231" i="303"/>
  <c r="E140" i="303"/>
  <c r="I140" i="303" s="1"/>
  <c r="E141" i="303"/>
  <c r="I141" i="303" s="1"/>
  <c r="H162" i="303"/>
  <c r="I162" i="303" s="1"/>
  <c r="H161" i="303"/>
  <c r="I46" i="303"/>
  <c r="C270" i="303"/>
  <c r="E270" i="303" s="1"/>
  <c r="F150" i="303"/>
  <c r="I47" i="303"/>
  <c r="E114" i="303"/>
  <c r="I114" i="303" s="1"/>
  <c r="E113" i="303"/>
  <c r="C268" i="303"/>
  <c r="E268" i="303" s="1"/>
  <c r="F145" i="303"/>
  <c r="I145" i="303" s="1"/>
  <c r="H11" i="303"/>
  <c r="I11" i="303" s="1"/>
  <c r="I10" i="303"/>
  <c r="C228" i="303"/>
  <c r="F95" i="303"/>
  <c r="I95" i="303" s="1"/>
  <c r="E135" i="303"/>
  <c r="I135" i="303" s="1"/>
  <c r="E134" i="303"/>
  <c r="I134" i="303" s="1"/>
  <c r="I18" i="303"/>
  <c r="H19" i="303"/>
  <c r="C266" i="303"/>
  <c r="E266" i="303" s="1"/>
  <c r="F143" i="303"/>
  <c r="I160" i="303"/>
  <c r="C272" i="303"/>
  <c r="E272" i="303" s="1"/>
  <c r="F152" i="303"/>
  <c r="I152" i="303" s="1"/>
  <c r="B243" i="303"/>
  <c r="B244" i="303" s="1"/>
  <c r="B245" i="303" s="1"/>
  <c r="B246" i="303" s="1"/>
  <c r="B241" i="303"/>
  <c r="F6" i="303"/>
  <c r="I30" i="303"/>
  <c r="E69" i="303"/>
  <c r="D244" i="303" s="1"/>
  <c r="F71" i="303"/>
  <c r="I71" i="303" s="1"/>
  <c r="E248" i="303"/>
  <c r="F79" i="303"/>
  <c r="I79" i="303" s="1"/>
  <c r="E257" i="303"/>
  <c r="F87" i="303"/>
  <c r="I87" i="303" s="1"/>
  <c r="D94" i="303"/>
  <c r="I137" i="303"/>
  <c r="E139" i="303" s="1"/>
  <c r="F269" i="303"/>
  <c r="F151" i="303"/>
  <c r="I151" i="303" s="1"/>
  <c r="F159" i="303"/>
  <c r="I159" i="303" s="1"/>
  <c r="C247" i="303"/>
  <c r="E247" i="303" s="1"/>
  <c r="I9" i="303"/>
  <c r="J48" i="303"/>
  <c r="D381" i="303" s="1"/>
  <c r="I381" i="303" s="1"/>
  <c r="F73" i="303"/>
  <c r="I73" i="303" s="1"/>
  <c r="F81" i="303"/>
  <c r="I81" i="303" s="1"/>
  <c r="I108" i="303"/>
  <c r="E112" i="303" s="1"/>
  <c r="I116" i="303"/>
  <c r="F118" i="303"/>
  <c r="I118" i="303" s="1"/>
  <c r="F123" i="303"/>
  <c r="F161" i="303"/>
  <c r="I161" i="303" s="1"/>
  <c r="D181" i="303"/>
  <c r="C215" i="303" a="1"/>
  <c r="C215" i="303" s="1"/>
  <c r="C267" i="303"/>
  <c r="E267" i="303" s="1"/>
  <c r="E279" i="303"/>
  <c r="F5" i="303"/>
  <c r="H5" i="303" s="1"/>
  <c r="F26" i="303"/>
  <c r="I29" i="303"/>
  <c r="F36" i="303"/>
  <c r="I36" i="303" s="1"/>
  <c r="F78" i="303"/>
  <c r="I78" i="303" s="1"/>
  <c r="F86" i="303"/>
  <c r="I86" i="303" s="1"/>
  <c r="E93" i="303"/>
  <c r="D226" i="303" s="1"/>
  <c r="D235" i="303" s="1"/>
  <c r="F103" i="303"/>
  <c r="I103" i="303" s="1"/>
  <c r="F125" i="303"/>
  <c r="I125" i="303" s="1"/>
  <c r="I130" i="303"/>
  <c r="F273" i="303"/>
  <c r="F158" i="303"/>
  <c r="F233" i="303"/>
  <c r="F234" i="303"/>
  <c r="F242" i="303" s="1"/>
  <c r="E232" i="303"/>
  <c r="H308" i="303"/>
  <c r="E241" i="303"/>
  <c r="F28" i="303"/>
  <c r="I28" i="303" s="1"/>
  <c r="F75" i="303"/>
  <c r="I75" i="303" s="1"/>
  <c r="E253" i="303"/>
  <c r="C282" i="303"/>
  <c r="E282" i="303" s="1"/>
  <c r="F83" i="303"/>
  <c r="I83" i="303" s="1"/>
  <c r="C284" i="303"/>
  <c r="C262" i="303"/>
  <c r="C274" i="303"/>
  <c r="E274" i="303" s="1"/>
  <c r="E172" i="303"/>
  <c r="I172" i="303" s="1"/>
  <c r="H183" i="303"/>
  <c r="I183" i="303" s="1"/>
  <c r="I201" i="303"/>
  <c r="D347" i="303"/>
  <c r="H347" i="303" s="1"/>
  <c r="H346" i="303"/>
  <c r="C332" i="303" a="1"/>
  <c r="C332" i="303" s="1"/>
  <c r="H332" i="303" s="1"/>
  <c r="C294" i="303"/>
  <c r="G214" i="303"/>
  <c r="I214" i="303" s="1"/>
  <c r="F80" i="303"/>
  <c r="I80" i="303" s="1"/>
  <c r="E259" i="303"/>
  <c r="D262" i="303"/>
  <c r="D284" i="303"/>
  <c r="D92" i="303"/>
  <c r="E178" i="303"/>
  <c r="I178" i="303" s="1"/>
  <c r="C338" i="303"/>
  <c r="D349" i="303"/>
  <c r="H349" i="303" s="1"/>
  <c r="G217" i="303"/>
  <c r="D14" i="303"/>
  <c r="J68" i="303" s="1"/>
  <c r="E264" i="303"/>
  <c r="E92" i="303"/>
  <c r="D225" i="303" s="1"/>
  <c r="D234" i="303" s="1"/>
  <c r="G212" i="303"/>
  <c r="I212" i="303" s="1"/>
  <c r="C235" i="303"/>
  <c r="I190" i="303"/>
  <c r="E191" i="303" s="1"/>
  <c r="C191" i="303"/>
  <c r="F74" i="303"/>
  <c r="I74" i="303" s="1"/>
  <c r="C281" i="303"/>
  <c r="E281" i="303" s="1"/>
  <c r="E252" i="303"/>
  <c r="F82" i="303"/>
  <c r="I82" i="303" s="1"/>
  <c r="C261" i="303"/>
  <c r="E261" i="303" s="1"/>
  <c r="C283" i="303"/>
  <c r="E283" i="303" s="1"/>
  <c r="H286" i="303"/>
  <c r="H290" i="303" s="1"/>
  <c r="I290" i="303"/>
  <c r="C310" i="303"/>
  <c r="H310" i="303" s="1"/>
  <c r="C317" i="303"/>
  <c r="S385" i="303"/>
  <c r="U385" i="303" s="1"/>
  <c r="U384" i="303" s="1"/>
  <c r="C315" i="303"/>
  <c r="H315" i="303" s="1"/>
  <c r="S388" i="303"/>
  <c r="U388" i="303" s="1"/>
  <c r="U387" i="303" s="1"/>
  <c r="C318" i="303"/>
  <c r="H318" i="303" s="1"/>
  <c r="H308" i="302"/>
  <c r="D346" i="302"/>
  <c r="D347" i="302" s="1"/>
  <c r="H347" i="302" s="1"/>
  <c r="D381" i="302"/>
  <c r="I381" i="302" s="1"/>
  <c r="D14" i="302"/>
  <c r="D366" i="302"/>
  <c r="F366" i="302" s="1"/>
  <c r="I8" i="302"/>
  <c r="C317" i="302"/>
  <c r="S385" i="302"/>
  <c r="U385" i="302" s="1"/>
  <c r="U384" i="302" s="1"/>
  <c r="S388" i="302"/>
  <c r="U388" i="302" s="1"/>
  <c r="U387" i="302" s="1"/>
  <c r="I86" i="302"/>
  <c r="H17" i="302"/>
  <c r="H18" i="302" s="1"/>
  <c r="H19" i="302" s="1"/>
  <c r="H20" i="302" s="1"/>
  <c r="I16" i="302"/>
  <c r="D93" i="302"/>
  <c r="I27" i="302"/>
  <c r="F27" i="302"/>
  <c r="G214" i="302"/>
  <c r="I214" i="302" s="1"/>
  <c r="E101" i="302"/>
  <c r="D230" i="302" s="1"/>
  <c r="D239" i="302" s="1"/>
  <c r="I82" i="302"/>
  <c r="C231" i="302"/>
  <c r="F102" i="302"/>
  <c r="I102" i="302" s="1"/>
  <c r="D144" i="302"/>
  <c r="F117" i="302"/>
  <c r="I117" i="302" s="1"/>
  <c r="I175" i="302"/>
  <c r="H176" i="302"/>
  <c r="I176" i="302" s="1"/>
  <c r="F242" i="302"/>
  <c r="E192" i="302"/>
  <c r="I192" i="302" s="1"/>
  <c r="E193" i="302"/>
  <c r="I193" i="302" s="1"/>
  <c r="F30" i="302"/>
  <c r="I30" i="302" s="1"/>
  <c r="C253" i="302"/>
  <c r="F77" i="302"/>
  <c r="I77" i="302" s="1"/>
  <c r="C256" i="302"/>
  <c r="E256" i="302" s="1"/>
  <c r="F80" i="302"/>
  <c r="I80" i="302" s="1"/>
  <c r="E260" i="302"/>
  <c r="E139" i="302"/>
  <c r="H286" i="302"/>
  <c r="H290" i="302" s="1"/>
  <c r="I290" i="302"/>
  <c r="H11" i="302"/>
  <c r="I11" i="302" s="1"/>
  <c r="I10" i="302"/>
  <c r="I109" i="302"/>
  <c r="F269" i="302"/>
  <c r="H161" i="302"/>
  <c r="C247" i="302"/>
  <c r="E247" i="302" s="1"/>
  <c r="F72" i="302"/>
  <c r="I72" i="302" s="1"/>
  <c r="I83" i="302"/>
  <c r="E141" i="302"/>
  <c r="I141" i="302" s="1"/>
  <c r="E140" i="302"/>
  <c r="I140" i="302" s="1"/>
  <c r="I110" i="302"/>
  <c r="C270" i="302"/>
  <c r="C227" i="302"/>
  <c r="F94" i="302"/>
  <c r="I94" i="302" s="1"/>
  <c r="E134" i="302"/>
  <c r="I134" i="302" s="1"/>
  <c r="E135" i="302"/>
  <c r="I135" i="302" s="1"/>
  <c r="F92" i="302"/>
  <c r="C225" i="302"/>
  <c r="D103" i="302"/>
  <c r="F37" i="302"/>
  <c r="I37" i="302" s="1"/>
  <c r="I44" i="302"/>
  <c r="F75" i="302"/>
  <c r="I78" i="302"/>
  <c r="I157" i="302"/>
  <c r="C338" i="302"/>
  <c r="H366" i="302"/>
  <c r="D387" i="302" s="1"/>
  <c r="I387" i="302" s="1"/>
  <c r="D362" i="302"/>
  <c r="H362" i="302" s="1"/>
  <c r="I116" i="302"/>
  <c r="C277" i="302"/>
  <c r="E277" i="302" s="1"/>
  <c r="F160" i="302"/>
  <c r="I160" i="302" s="1"/>
  <c r="B243" i="302"/>
  <c r="B244" i="302" s="1"/>
  <c r="B245" i="302" s="1"/>
  <c r="B246" i="302" s="1"/>
  <c r="B241" i="302"/>
  <c r="I29" i="302"/>
  <c r="E66" i="302"/>
  <c r="I66" i="302" s="1"/>
  <c r="I70" i="302"/>
  <c r="H73" i="302"/>
  <c r="H74" i="302" s="1"/>
  <c r="H75" i="302" s="1"/>
  <c r="C262" i="302"/>
  <c r="F85" i="302"/>
  <c r="I85" i="302" s="1"/>
  <c r="C284" i="302"/>
  <c r="E284" i="302" s="1"/>
  <c r="D96" i="302"/>
  <c r="C112" i="302"/>
  <c r="D151" i="302"/>
  <c r="F124" i="302"/>
  <c r="I124" i="302" s="1"/>
  <c r="E126" i="302" s="1"/>
  <c r="I28" i="302"/>
  <c r="D262" i="302"/>
  <c r="D284" i="302"/>
  <c r="D143" i="302"/>
  <c r="I190" i="302"/>
  <c r="E191" i="302" s="1"/>
  <c r="C220" i="302"/>
  <c r="C221" i="302" s="1"/>
  <c r="F233" i="302"/>
  <c r="E264" i="302"/>
  <c r="D95" i="302"/>
  <c r="F152" i="302"/>
  <c r="I152" i="302" s="1"/>
  <c r="F162" i="302"/>
  <c r="I162" i="302" s="1"/>
  <c r="H346" i="302"/>
  <c r="E272" i="302"/>
  <c r="F74" i="302"/>
  <c r="C281" i="302"/>
  <c r="E281" i="302" s="1"/>
  <c r="E252" i="302"/>
  <c r="C261" i="302"/>
  <c r="E261" i="302" s="1"/>
  <c r="C283" i="302"/>
  <c r="E170" i="302"/>
  <c r="H183" i="302"/>
  <c r="I183" i="302" s="1"/>
  <c r="E184" i="302" s="1"/>
  <c r="F6" i="302"/>
  <c r="C332" i="302" a="1"/>
  <c r="C332" i="302" s="1"/>
  <c r="H332" i="302" s="1"/>
  <c r="C294" i="302"/>
  <c r="G212" i="302"/>
  <c r="I212" i="302" s="1"/>
  <c r="F29" i="302"/>
  <c r="F71" i="302"/>
  <c r="I71" i="302" s="1"/>
  <c r="E248" i="302"/>
  <c r="F79" i="302"/>
  <c r="I79" i="302" s="1"/>
  <c r="E257" i="302"/>
  <c r="F87" i="302"/>
  <c r="I87" i="302" s="1"/>
  <c r="D145" i="302"/>
  <c r="F159" i="302"/>
  <c r="I159" i="302" s="1"/>
  <c r="E172" i="302"/>
  <c r="I172" i="302" s="1"/>
  <c r="D344" i="302"/>
  <c r="H344" i="302" s="1"/>
  <c r="C274" i="302"/>
  <c r="E274" i="302" s="1"/>
  <c r="G213" i="302"/>
  <c r="I213" i="302" s="1"/>
  <c r="F76" i="302"/>
  <c r="I76" i="302" s="1"/>
  <c r="F84" i="302"/>
  <c r="I84" i="302" s="1"/>
  <c r="E150" i="302"/>
  <c r="D270" i="302" s="1"/>
  <c r="C184" i="302"/>
  <c r="E201" i="302"/>
  <c r="I201" i="302" s="1"/>
  <c r="E200" i="302"/>
  <c r="I200" i="302" s="1"/>
  <c r="F217" i="302"/>
  <c r="F26" i="302"/>
  <c r="E251" i="302"/>
  <c r="F81" i="302"/>
  <c r="I81" i="302" s="1"/>
  <c r="F161" i="302"/>
  <c r="I161" i="302" s="1"/>
  <c r="D283" i="302"/>
  <c r="H309" i="302"/>
  <c r="E204" i="302"/>
  <c r="C215" i="302" s="1" a="1"/>
  <c r="C215" i="302" s="1"/>
  <c r="C315" i="302"/>
  <c r="H315" i="302" s="1"/>
  <c r="I8" i="301"/>
  <c r="F5" i="301"/>
  <c r="H5" i="301" s="1"/>
  <c r="H309" i="301"/>
  <c r="G217" i="301"/>
  <c r="D349" i="301"/>
  <c r="H349" i="301" s="1"/>
  <c r="C232" i="301"/>
  <c r="F103" i="301"/>
  <c r="I103" i="301" s="1"/>
  <c r="H74" i="301"/>
  <c r="H75" i="301" s="1"/>
  <c r="I75" i="301" s="1"/>
  <c r="I73" i="301"/>
  <c r="E192" i="301"/>
  <c r="I192" i="301" s="1"/>
  <c r="E193" i="301"/>
  <c r="I193" i="301" s="1"/>
  <c r="C225" i="301"/>
  <c r="F92" i="301"/>
  <c r="D227" i="301"/>
  <c r="D236" i="301" s="1"/>
  <c r="E236" i="301" s="1"/>
  <c r="F94" i="301"/>
  <c r="I94" i="301" s="1"/>
  <c r="I54" i="301"/>
  <c r="I110" i="301"/>
  <c r="E112" i="301" s="1"/>
  <c r="E126" i="301"/>
  <c r="I159" i="301"/>
  <c r="C267" i="301"/>
  <c r="E267" i="301" s="1"/>
  <c r="F144" i="301"/>
  <c r="I144" i="301" s="1"/>
  <c r="I45" i="301"/>
  <c r="D340" i="301"/>
  <c r="H340" i="301" s="1"/>
  <c r="I113" i="301"/>
  <c r="E141" i="301"/>
  <c r="I141" i="301" s="1"/>
  <c r="E140" i="301"/>
  <c r="I140" i="301" s="1"/>
  <c r="C48" i="301"/>
  <c r="I42" i="301"/>
  <c r="I46" i="301"/>
  <c r="H162" i="301"/>
  <c r="I162" i="301" s="1"/>
  <c r="H161" i="301"/>
  <c r="C226" i="301"/>
  <c r="F93" i="301"/>
  <c r="I93" i="301" s="1"/>
  <c r="I29" i="301"/>
  <c r="C231" i="301"/>
  <c r="F102" i="301"/>
  <c r="I102" i="301" s="1"/>
  <c r="C268" i="301"/>
  <c r="E268" i="301" s="1"/>
  <c r="F145" i="301"/>
  <c r="I145" i="301" s="1"/>
  <c r="B243" i="301"/>
  <c r="B244" i="301" s="1"/>
  <c r="B245" i="301" s="1"/>
  <c r="B246" i="301" s="1"/>
  <c r="B241" i="301"/>
  <c r="I47" i="301"/>
  <c r="D272" i="301"/>
  <c r="E272" i="301" s="1"/>
  <c r="F152" i="301"/>
  <c r="I152" i="301" s="1"/>
  <c r="E133" i="301"/>
  <c r="H17" i="301"/>
  <c r="I16" i="301"/>
  <c r="I116" i="301"/>
  <c r="G211" i="301"/>
  <c r="I10" i="301"/>
  <c r="F30" i="301"/>
  <c r="I30" i="301" s="1"/>
  <c r="F35" i="301"/>
  <c r="F72" i="301"/>
  <c r="F80" i="301"/>
  <c r="D262" i="301"/>
  <c r="D284" i="301"/>
  <c r="D101" i="301"/>
  <c r="F117" i="301"/>
  <c r="I117" i="301" s="1"/>
  <c r="D143" i="301"/>
  <c r="I157" i="301"/>
  <c r="I175" i="301"/>
  <c r="E177" i="301" s="1"/>
  <c r="H176" i="301"/>
  <c r="I176" i="301" s="1"/>
  <c r="D181" i="301"/>
  <c r="E229" i="301"/>
  <c r="C238" i="301"/>
  <c r="E238" i="301" s="1"/>
  <c r="E135" i="301"/>
  <c r="I135" i="301" s="1"/>
  <c r="D151" i="301"/>
  <c r="F27" i="301"/>
  <c r="I27" i="301" s="1"/>
  <c r="F37" i="301"/>
  <c r="I37" i="301" s="1"/>
  <c r="F69" i="301"/>
  <c r="I69" i="301" s="1"/>
  <c r="E246" i="301"/>
  <c r="F77" i="301"/>
  <c r="E255" i="301"/>
  <c r="F85" i="301"/>
  <c r="E264" i="301"/>
  <c r="D95" i="301"/>
  <c r="F96" i="301"/>
  <c r="I96" i="301" s="1"/>
  <c r="E101" i="301"/>
  <c r="D230" i="301" s="1"/>
  <c r="D239" i="301" s="1"/>
  <c r="E275" i="301"/>
  <c r="F161" i="301"/>
  <c r="I182" i="301"/>
  <c r="H183" i="301"/>
  <c r="I183" i="301" s="1"/>
  <c r="C281" i="301"/>
  <c r="E281" i="301" s="1"/>
  <c r="E252" i="301"/>
  <c r="C261" i="301"/>
  <c r="C283" i="301"/>
  <c r="E95" i="301"/>
  <c r="D228" i="301" s="1"/>
  <c r="D237" i="301" s="1"/>
  <c r="F6" i="301"/>
  <c r="C332" i="301" a="1"/>
  <c r="C332" i="301" s="1"/>
  <c r="H332" i="301" s="1"/>
  <c r="C294" i="301"/>
  <c r="G212" i="301"/>
  <c r="I212" i="301" s="1"/>
  <c r="E65" i="301"/>
  <c r="I65" i="301" s="1"/>
  <c r="F71" i="301"/>
  <c r="F79" i="301"/>
  <c r="D261" i="301"/>
  <c r="D283" i="301"/>
  <c r="F87" i="301"/>
  <c r="I137" i="301"/>
  <c r="E139" i="301" s="1"/>
  <c r="F269" i="301"/>
  <c r="F158" i="301"/>
  <c r="I158" i="301" s="1"/>
  <c r="D346" i="301"/>
  <c r="H345" i="301"/>
  <c r="E253" i="301"/>
  <c r="C282" i="301"/>
  <c r="E282" i="301" s="1"/>
  <c r="E114" i="301"/>
  <c r="I114" i="301" s="1"/>
  <c r="G213" i="301"/>
  <c r="I213" i="301" s="1"/>
  <c r="F36" i="301"/>
  <c r="I36" i="301" s="1"/>
  <c r="E245" i="301"/>
  <c r="H71" i="301"/>
  <c r="H72" i="301" s="1"/>
  <c r="H76" i="301" s="1"/>
  <c r="H77" i="301" s="1"/>
  <c r="H78" i="301" s="1"/>
  <c r="H79" i="301" s="1"/>
  <c r="H80" i="301" s="1"/>
  <c r="H81" i="301" s="1"/>
  <c r="F76" i="301"/>
  <c r="E254" i="301"/>
  <c r="F84" i="301"/>
  <c r="E263" i="301"/>
  <c r="F150" i="301"/>
  <c r="F160" i="301"/>
  <c r="I160" i="301" s="1"/>
  <c r="E227" i="301"/>
  <c r="F366" i="301"/>
  <c r="E251" i="301"/>
  <c r="E260" i="301"/>
  <c r="F273" i="301"/>
  <c r="E276" i="301"/>
  <c r="I190" i="301"/>
  <c r="E191" i="301" s="1"/>
  <c r="C284" i="301"/>
  <c r="E284" i="301" s="1"/>
  <c r="E262" i="301"/>
  <c r="D381" i="301"/>
  <c r="I381" i="301" s="1"/>
  <c r="E247" i="301"/>
  <c r="E256" i="301"/>
  <c r="I179" i="301"/>
  <c r="F242" i="301"/>
  <c r="F233" i="301"/>
  <c r="S385" i="301"/>
  <c r="U385" i="301" s="1"/>
  <c r="U384" i="301" s="1"/>
  <c r="C317" i="301"/>
  <c r="E204" i="301"/>
  <c r="C215" i="301" s="1" a="1"/>
  <c r="C215" i="301" s="1"/>
  <c r="C274" i="301"/>
  <c r="E274" i="301" s="1"/>
  <c r="C315" i="301"/>
  <c r="H315" i="301" s="1"/>
  <c r="D346" i="300"/>
  <c r="H346" i="300" s="1"/>
  <c r="C215" i="300" a="1"/>
  <c r="C215" i="300" s="1"/>
  <c r="H6" i="300"/>
  <c r="I8" i="300"/>
  <c r="C231" i="300"/>
  <c r="F102" i="300"/>
  <c r="I102" i="300" s="1"/>
  <c r="I47" i="300"/>
  <c r="C139" i="300"/>
  <c r="I137" i="300"/>
  <c r="E139" i="300" s="1"/>
  <c r="E114" i="300"/>
  <c r="I114" i="300" s="1"/>
  <c r="E113" i="300"/>
  <c r="F144" i="300"/>
  <c r="I144" i="300" s="1"/>
  <c r="C267" i="300"/>
  <c r="E267" i="300" s="1"/>
  <c r="H366" i="300"/>
  <c r="D387" i="300" s="1"/>
  <c r="I387" i="300" s="1"/>
  <c r="D362" i="300"/>
  <c r="H362" i="300" s="1"/>
  <c r="I123" i="300"/>
  <c r="E126" i="300" s="1"/>
  <c r="C126" i="300"/>
  <c r="E133" i="300"/>
  <c r="B243" i="300"/>
  <c r="B244" i="300" s="1"/>
  <c r="B245" i="300" s="1"/>
  <c r="B246" i="300" s="1"/>
  <c r="B241" i="300"/>
  <c r="C229" i="300"/>
  <c r="F96" i="300"/>
  <c r="I96" i="300" s="1"/>
  <c r="D272" i="300"/>
  <c r="E272" i="300" s="1"/>
  <c r="F152" i="300"/>
  <c r="I152" i="300" s="1"/>
  <c r="I19" i="300"/>
  <c r="H20" i="300"/>
  <c r="I16" i="300"/>
  <c r="C225" i="300"/>
  <c r="F92" i="300"/>
  <c r="I118" i="300"/>
  <c r="H161" i="300"/>
  <c r="I161" i="300" s="1"/>
  <c r="H162" i="300"/>
  <c r="E135" i="300"/>
  <c r="I135" i="300" s="1"/>
  <c r="E134" i="300"/>
  <c r="I134" i="300" s="1"/>
  <c r="I17" i="300"/>
  <c r="H11" i="300"/>
  <c r="I11" i="300" s="1"/>
  <c r="I10" i="300"/>
  <c r="I18" i="300"/>
  <c r="C227" i="300"/>
  <c r="F94" i="300"/>
  <c r="I94" i="300" s="1"/>
  <c r="I116" i="300"/>
  <c r="C119" i="300"/>
  <c r="I158" i="300"/>
  <c r="I9" i="300"/>
  <c r="F26" i="300"/>
  <c r="F36" i="300"/>
  <c r="I36" i="300" s="1"/>
  <c r="F72" i="300"/>
  <c r="F80" i="300"/>
  <c r="E259" i="300"/>
  <c r="D262" i="300"/>
  <c r="D284" i="300"/>
  <c r="F117" i="300"/>
  <c r="I117" i="300" s="1"/>
  <c r="D143" i="300"/>
  <c r="C271" i="300"/>
  <c r="E271" i="300" s="1"/>
  <c r="E264" i="300"/>
  <c r="G214" i="300"/>
  <c r="I214" i="300" s="1"/>
  <c r="F74" i="300"/>
  <c r="I74" i="300" s="1"/>
  <c r="C281" i="300"/>
  <c r="E281" i="300" s="1"/>
  <c r="E252" i="300"/>
  <c r="F82" i="300"/>
  <c r="C261" i="300"/>
  <c r="E261" i="300" s="1"/>
  <c r="C283" i="300"/>
  <c r="E283" i="300" s="1"/>
  <c r="I131" i="300"/>
  <c r="F162" i="300"/>
  <c r="I162" i="300" s="1"/>
  <c r="I168" i="300"/>
  <c r="E170" i="300" s="1"/>
  <c r="I28" i="300"/>
  <c r="F30" i="300"/>
  <c r="F71" i="300"/>
  <c r="E248" i="300"/>
  <c r="F79" i="300"/>
  <c r="I79" i="300" s="1"/>
  <c r="F87" i="300"/>
  <c r="F95" i="300"/>
  <c r="I95" i="300" s="1"/>
  <c r="I110" i="300"/>
  <c r="E112" i="300" s="1"/>
  <c r="D145" i="300"/>
  <c r="D150" i="300"/>
  <c r="I157" i="300"/>
  <c r="F159" i="300"/>
  <c r="I159" i="300" s="1"/>
  <c r="C278" i="300"/>
  <c r="E278" i="300" s="1"/>
  <c r="C237" i="300"/>
  <c r="E237" i="300" s="1"/>
  <c r="E228" i="300"/>
  <c r="D349" i="300"/>
  <c r="H349" i="300" s="1"/>
  <c r="G217" i="300"/>
  <c r="F27" i="300"/>
  <c r="I27" i="300" s="1"/>
  <c r="H71" i="300"/>
  <c r="H72" i="300" s="1"/>
  <c r="H76" i="300" s="1"/>
  <c r="H77" i="300" s="1"/>
  <c r="H78" i="300" s="1"/>
  <c r="H79" i="300" s="1"/>
  <c r="H80" i="300" s="1"/>
  <c r="H81" i="300" s="1"/>
  <c r="H82" i="300" s="1"/>
  <c r="H83" i="300" s="1"/>
  <c r="F76" i="300"/>
  <c r="F84" i="300"/>
  <c r="D103" i="300"/>
  <c r="C338" i="300"/>
  <c r="D283" i="300"/>
  <c r="I190" i="300"/>
  <c r="E191" i="300" s="1"/>
  <c r="C191" i="300"/>
  <c r="E68" i="300"/>
  <c r="D243" i="300" s="1"/>
  <c r="I30" i="300"/>
  <c r="F73" i="300"/>
  <c r="I73" i="300" s="1"/>
  <c r="E251" i="300"/>
  <c r="F81" i="300"/>
  <c r="I81" i="300" s="1"/>
  <c r="E260" i="300"/>
  <c r="D93" i="300"/>
  <c r="G212" i="300"/>
  <c r="I212" i="300" s="1"/>
  <c r="H286" i="300"/>
  <c r="I290" i="300"/>
  <c r="C332" i="300" a="1"/>
  <c r="C332" i="300" s="1"/>
  <c r="H332" i="300" s="1"/>
  <c r="C294" i="300"/>
  <c r="E256" i="300"/>
  <c r="F273" i="300"/>
  <c r="D347" i="300"/>
  <c r="H347" i="300" s="1"/>
  <c r="E253" i="300"/>
  <c r="C282" i="300"/>
  <c r="E282" i="300" s="1"/>
  <c r="C284" i="300"/>
  <c r="C262" i="300"/>
  <c r="C274" i="300"/>
  <c r="E274" i="300" s="1"/>
  <c r="D181" i="300"/>
  <c r="F233" i="300"/>
  <c r="H289" i="300"/>
  <c r="C310" i="300"/>
  <c r="H310" i="300" s="1"/>
  <c r="C317" i="300"/>
  <c r="S385" i="300"/>
  <c r="U385" i="300" s="1"/>
  <c r="U384" i="300" s="1"/>
  <c r="C315" i="300"/>
  <c r="H315" i="300" s="1"/>
  <c r="S388" i="300"/>
  <c r="U388" i="300" s="1"/>
  <c r="U387" i="300" s="1"/>
  <c r="E308" i="300"/>
  <c r="C318" i="300"/>
  <c r="H318" i="300" s="1"/>
  <c r="F234" i="300"/>
  <c r="F242" i="300" s="1"/>
  <c r="H358" i="300"/>
  <c r="E308" i="299"/>
  <c r="D347" i="299"/>
  <c r="H347" i="299" s="1"/>
  <c r="H346" i="299"/>
  <c r="H345" i="299"/>
  <c r="F35" i="299"/>
  <c r="I35" i="299" s="1"/>
  <c r="I30" i="299"/>
  <c r="E96" i="299"/>
  <c r="D229" i="299" s="1"/>
  <c r="D238" i="299" s="1"/>
  <c r="I26" i="299"/>
  <c r="D93" i="299"/>
  <c r="C226" i="299" s="1"/>
  <c r="I27" i="299"/>
  <c r="I29" i="299"/>
  <c r="S385" i="299"/>
  <c r="U385" i="299" s="1"/>
  <c r="U384" i="299" s="1"/>
  <c r="S388" i="299"/>
  <c r="U388" i="299" s="1"/>
  <c r="U387" i="299" s="1"/>
  <c r="F366" i="299"/>
  <c r="C227" i="299"/>
  <c r="H73" i="299"/>
  <c r="H74" i="299" s="1"/>
  <c r="H75" i="299" s="1"/>
  <c r="H71" i="299"/>
  <c r="C272" i="299"/>
  <c r="E272" i="299" s="1"/>
  <c r="F152" i="299"/>
  <c r="I152" i="299" s="1"/>
  <c r="H160" i="299"/>
  <c r="I159" i="299"/>
  <c r="I160" i="299"/>
  <c r="I8" i="299"/>
  <c r="H18" i="299"/>
  <c r="I17" i="299"/>
  <c r="C231" i="299"/>
  <c r="F102" i="299"/>
  <c r="I102" i="299" s="1"/>
  <c r="I47" i="299"/>
  <c r="C235" i="299"/>
  <c r="C268" i="299"/>
  <c r="E268" i="299" s="1"/>
  <c r="F145" i="299"/>
  <c r="I145" i="299" s="1"/>
  <c r="C270" i="299"/>
  <c r="E270" i="299" s="1"/>
  <c r="F150" i="299"/>
  <c r="H11" i="299"/>
  <c r="I11" i="299" s="1"/>
  <c r="I10" i="299"/>
  <c r="F95" i="299"/>
  <c r="I95" i="299" s="1"/>
  <c r="C228" i="299"/>
  <c r="I73" i="299"/>
  <c r="I37" i="299"/>
  <c r="B243" i="299"/>
  <c r="B244" i="299" s="1"/>
  <c r="B245" i="299" s="1"/>
  <c r="B246" i="299" s="1"/>
  <c r="B241" i="299"/>
  <c r="I55" i="299"/>
  <c r="I137" i="299"/>
  <c r="E139" i="299" s="1"/>
  <c r="C139" i="299"/>
  <c r="C271" i="299"/>
  <c r="E271" i="299" s="1"/>
  <c r="F151" i="299"/>
  <c r="I151" i="299" s="1"/>
  <c r="F101" i="299"/>
  <c r="E114" i="299"/>
  <c r="I114" i="299" s="1"/>
  <c r="E113" i="299"/>
  <c r="E135" i="299"/>
  <c r="I135" i="299" s="1"/>
  <c r="E134" i="299"/>
  <c r="I134" i="299" s="1"/>
  <c r="C343" i="299"/>
  <c r="H343" i="299" s="1"/>
  <c r="H338" i="299"/>
  <c r="H6" i="299"/>
  <c r="G213" i="299"/>
  <c r="I213" i="299" s="1"/>
  <c r="F36" i="299"/>
  <c r="I36" i="299" s="1"/>
  <c r="E245" i="299"/>
  <c r="F76" i="299"/>
  <c r="E254" i="299"/>
  <c r="E263" i="299"/>
  <c r="E94" i="299"/>
  <c r="D227" i="299" s="1"/>
  <c r="D236" i="299" s="1"/>
  <c r="D103" i="299"/>
  <c r="F116" i="299"/>
  <c r="E275" i="299"/>
  <c r="E191" i="299"/>
  <c r="E200" i="299"/>
  <c r="I200" i="299" s="1"/>
  <c r="G212" i="299"/>
  <c r="I212" i="299" s="1"/>
  <c r="F5" i="299"/>
  <c r="H5" i="299" s="1"/>
  <c r="D381" i="299"/>
  <c r="I381" i="299" s="1"/>
  <c r="F28" i="299"/>
  <c r="I28" i="299" s="1"/>
  <c r="E31" i="299" s="1"/>
  <c r="C300" i="299"/>
  <c r="G211" i="299"/>
  <c r="F70" i="299"/>
  <c r="I70" i="299" s="1"/>
  <c r="F78" i="299"/>
  <c r="F86" i="299"/>
  <c r="E93" i="299"/>
  <c r="D226" i="299" s="1"/>
  <c r="D235" i="299" s="1"/>
  <c r="I123" i="299"/>
  <c r="F125" i="299"/>
  <c r="I125" i="299" s="1"/>
  <c r="F158" i="299"/>
  <c r="I158" i="299" s="1"/>
  <c r="I175" i="299"/>
  <c r="E177" i="299" s="1"/>
  <c r="E199" i="299"/>
  <c r="F233" i="299"/>
  <c r="E267" i="299"/>
  <c r="F242" i="299"/>
  <c r="F292" i="299" s="1"/>
  <c r="F75" i="299"/>
  <c r="E253" i="299"/>
  <c r="C282" i="299"/>
  <c r="E282" i="299" s="1"/>
  <c r="F83" i="299"/>
  <c r="C262" i="299"/>
  <c r="C284" i="299"/>
  <c r="E284" i="299" s="1"/>
  <c r="D96" i="299"/>
  <c r="F144" i="299"/>
  <c r="I144" i="299" s="1"/>
  <c r="C274" i="299"/>
  <c r="E274" i="299" s="1"/>
  <c r="E171" i="299"/>
  <c r="I171" i="299" s="1"/>
  <c r="G214" i="299"/>
  <c r="I214" i="299" s="1"/>
  <c r="C230" i="299"/>
  <c r="E249" i="299"/>
  <c r="E259" i="299"/>
  <c r="D262" i="299"/>
  <c r="D284" i="299"/>
  <c r="D181" i="299"/>
  <c r="C191" i="299"/>
  <c r="D344" i="299"/>
  <c r="H344" i="299" s="1"/>
  <c r="C315" i="299"/>
  <c r="H315" i="299" s="1"/>
  <c r="C234" i="299"/>
  <c r="F69" i="299"/>
  <c r="I69" i="299" s="1"/>
  <c r="F77" i="299"/>
  <c r="E255" i="299"/>
  <c r="F85" i="299"/>
  <c r="E264" i="299"/>
  <c r="E92" i="299"/>
  <c r="D225" i="299" s="1"/>
  <c r="D234" i="299" s="1"/>
  <c r="F124" i="299"/>
  <c r="I124" i="299" s="1"/>
  <c r="E143" i="299"/>
  <c r="D266" i="299" s="1"/>
  <c r="E266" i="299" s="1"/>
  <c r="F157" i="299"/>
  <c r="E276" i="299"/>
  <c r="I168" i="299"/>
  <c r="E170" i="299" s="1"/>
  <c r="F74" i="299"/>
  <c r="I74" i="299" s="1"/>
  <c r="C281" i="299"/>
  <c r="E281" i="299" s="1"/>
  <c r="E252" i="299"/>
  <c r="I258" i="299" s="1"/>
  <c r="F82" i="299"/>
  <c r="C261" i="299"/>
  <c r="C283" i="299"/>
  <c r="F92" i="299"/>
  <c r="F143" i="299"/>
  <c r="F162" i="299"/>
  <c r="E204" i="299"/>
  <c r="C215" i="299" s="1" a="1"/>
  <c r="C215" i="299" s="1"/>
  <c r="C332" i="299" a="1"/>
  <c r="C332" i="299" s="1"/>
  <c r="H332" i="299" s="1"/>
  <c r="C294" i="299"/>
  <c r="D261" i="299"/>
  <c r="D283" i="299"/>
  <c r="E178" i="299"/>
  <c r="I178" i="299" s="1"/>
  <c r="G217" i="299"/>
  <c r="C310" i="299"/>
  <c r="H310" i="299" s="1"/>
  <c r="H309" i="299"/>
  <c r="C317" i="299"/>
  <c r="I52" i="298"/>
  <c r="E56" i="298" s="1"/>
  <c r="E68" i="298"/>
  <c r="D243" i="298" s="1"/>
  <c r="F6" i="298"/>
  <c r="D181" i="298"/>
  <c r="H318" i="298"/>
  <c r="D116" i="298"/>
  <c r="C270" i="298"/>
  <c r="E270" i="298" s="1"/>
  <c r="F150" i="298"/>
  <c r="H11" i="298"/>
  <c r="I11" i="298" s="1"/>
  <c r="I10" i="298"/>
  <c r="C232" i="298"/>
  <c r="F103" i="298"/>
  <c r="I103" i="298" s="1"/>
  <c r="C225" i="298"/>
  <c r="I47" i="298"/>
  <c r="H19" i="298"/>
  <c r="I18" i="298"/>
  <c r="D137" i="298"/>
  <c r="E143" i="298"/>
  <c r="D266" i="298" s="1"/>
  <c r="D68" i="298"/>
  <c r="C48" i="298"/>
  <c r="I42" i="298"/>
  <c r="C249" i="298"/>
  <c r="E249" i="298" s="1"/>
  <c r="F74" i="298"/>
  <c r="I74" i="298" s="1"/>
  <c r="C230" i="298"/>
  <c r="C259" i="298"/>
  <c r="E259" i="298" s="1"/>
  <c r="F82" i="298"/>
  <c r="I9" i="298"/>
  <c r="F14" i="298"/>
  <c r="F26" i="298"/>
  <c r="F35" i="298"/>
  <c r="E101" i="298"/>
  <c r="D230" i="298" s="1"/>
  <c r="D239" i="298" s="1"/>
  <c r="G214" i="298"/>
  <c r="I214" i="298" s="1"/>
  <c r="C56" i="298"/>
  <c r="H79" i="298"/>
  <c r="H80" i="298" s="1"/>
  <c r="H81" i="298" s="1"/>
  <c r="H82" i="298" s="1"/>
  <c r="H83" i="298" s="1"/>
  <c r="H84" i="298" s="1"/>
  <c r="H85" i="298" s="1"/>
  <c r="H86" i="298" s="1"/>
  <c r="E228" i="298"/>
  <c r="C237" i="298"/>
  <c r="E237" i="298" s="1"/>
  <c r="H110" i="298"/>
  <c r="I109" i="298"/>
  <c r="H162" i="298"/>
  <c r="H161" i="298"/>
  <c r="D244" i="298"/>
  <c r="E244" i="298" s="1"/>
  <c r="F69" i="298"/>
  <c r="I69" i="298" s="1"/>
  <c r="B243" i="298"/>
  <c r="B244" i="298" s="1"/>
  <c r="B245" i="298" s="1"/>
  <c r="B246" i="298" s="1"/>
  <c r="B241" i="298"/>
  <c r="D262" i="298"/>
  <c r="D284" i="298"/>
  <c r="F85" i="298"/>
  <c r="F102" i="298"/>
  <c r="I102" i="298" s="1"/>
  <c r="I118" i="298"/>
  <c r="H132" i="298"/>
  <c r="I132" i="298" s="1"/>
  <c r="C332" i="298" a="1"/>
  <c r="C332" i="298" s="1"/>
  <c r="H332" i="298" s="1"/>
  <c r="C294" i="298"/>
  <c r="G212" i="298"/>
  <c r="I212" i="298" s="1"/>
  <c r="I26" i="298"/>
  <c r="D93" i="298"/>
  <c r="F27" i="298"/>
  <c r="I27" i="298" s="1"/>
  <c r="E66" i="298"/>
  <c r="I66" i="298" s="1"/>
  <c r="D253" i="298"/>
  <c r="D282" i="298" s="1"/>
  <c r="F77" i="298"/>
  <c r="I77" i="298" s="1"/>
  <c r="C240" i="298"/>
  <c r="E240" i="298" s="1"/>
  <c r="E231" i="298"/>
  <c r="D366" i="298"/>
  <c r="F366" i="298" s="1"/>
  <c r="F5" i="298"/>
  <c r="H5" i="298" s="1"/>
  <c r="I72" i="298"/>
  <c r="F36" i="298"/>
  <c r="I36" i="298" s="1"/>
  <c r="F70" i="298"/>
  <c r="I70" i="298" s="1"/>
  <c r="F80" i="298"/>
  <c r="E96" i="298"/>
  <c r="D229" i="298" s="1"/>
  <c r="D238" i="298" s="1"/>
  <c r="E152" i="298"/>
  <c r="D272" i="298" s="1"/>
  <c r="E272" i="298" s="1"/>
  <c r="F125" i="298"/>
  <c r="I125" i="298" s="1"/>
  <c r="E126" i="298" s="1"/>
  <c r="I8" i="298"/>
  <c r="I46" i="298"/>
  <c r="D248" i="298"/>
  <c r="F73" i="298"/>
  <c r="I73" i="298" s="1"/>
  <c r="C126" i="298"/>
  <c r="C133" i="298"/>
  <c r="I130" i="298"/>
  <c r="C268" i="298"/>
  <c r="E268" i="298" s="1"/>
  <c r="F145" i="298"/>
  <c r="I145" i="298" s="1"/>
  <c r="G213" i="298"/>
  <c r="I213" i="298" s="1"/>
  <c r="E92" i="298"/>
  <c r="D225" i="298" s="1"/>
  <c r="D234" i="298" s="1"/>
  <c r="D94" i="298"/>
  <c r="I28" i="298"/>
  <c r="F28" i="298"/>
  <c r="I30" i="298"/>
  <c r="F37" i="298"/>
  <c r="I37" i="298" s="1"/>
  <c r="G211" i="298"/>
  <c r="I44" i="298"/>
  <c r="D257" i="298"/>
  <c r="E257" i="298" s="1"/>
  <c r="F81" i="298"/>
  <c r="F108" i="298"/>
  <c r="I117" i="298"/>
  <c r="I161" i="298"/>
  <c r="D381" i="298"/>
  <c r="I381" i="298" s="1"/>
  <c r="F75" i="298"/>
  <c r="I75" i="298" s="1"/>
  <c r="C282" i="298"/>
  <c r="F83" i="298"/>
  <c r="I83" i="298" s="1"/>
  <c r="E262" i="298"/>
  <c r="D96" i="298"/>
  <c r="E277" i="298"/>
  <c r="F190" i="298"/>
  <c r="D344" i="298"/>
  <c r="H344" i="298" s="1"/>
  <c r="C315" i="298"/>
  <c r="H315" i="298" s="1"/>
  <c r="E204" i="298"/>
  <c r="C215" i="298" s="1" a="1"/>
  <c r="C215" i="298" s="1"/>
  <c r="C284" i="298"/>
  <c r="G217" i="298"/>
  <c r="F233" i="298"/>
  <c r="E248" i="298"/>
  <c r="C334" i="298" a="1"/>
  <c r="C334" i="298" s="1"/>
  <c r="C281" i="298"/>
  <c r="E281" i="298" s="1"/>
  <c r="E252" i="298"/>
  <c r="C261" i="298"/>
  <c r="C283" i="298"/>
  <c r="F144" i="298"/>
  <c r="I144" i="298" s="1"/>
  <c r="F162" i="298"/>
  <c r="I162" i="298" s="1"/>
  <c r="I182" i="298"/>
  <c r="F273" i="298"/>
  <c r="S386" i="298"/>
  <c r="U386" i="298" s="1"/>
  <c r="S388" i="298"/>
  <c r="U388" i="298" s="1"/>
  <c r="U387" i="298" s="1"/>
  <c r="S385" i="298"/>
  <c r="U385" i="298" s="1"/>
  <c r="H4" i="298"/>
  <c r="F71" i="298"/>
  <c r="I71" i="298" s="1"/>
  <c r="F79" i="298"/>
  <c r="D261" i="298"/>
  <c r="D283" i="298"/>
  <c r="F87" i="298"/>
  <c r="F95" i="298"/>
  <c r="I95" i="298" s="1"/>
  <c r="F152" i="298"/>
  <c r="I152" i="298" s="1"/>
  <c r="F157" i="298"/>
  <c r="E178" i="298"/>
  <c r="I178" i="298" s="1"/>
  <c r="D346" i="298"/>
  <c r="H345" i="298"/>
  <c r="F242" i="298"/>
  <c r="H290" i="298"/>
  <c r="E251" i="298"/>
  <c r="E260" i="298"/>
  <c r="F265" i="298"/>
  <c r="C338" i="298" s="1"/>
  <c r="C317" i="298"/>
  <c r="C274" i="298"/>
  <c r="E274" i="298" s="1"/>
  <c r="I290" i="298"/>
  <c r="T382" i="217"/>
  <c r="S382" i="217"/>
  <c r="T381" i="217"/>
  <c r="U381" i="217" s="1"/>
  <c r="T376" i="217"/>
  <c r="U380" i="217"/>
  <c r="B10" i="218"/>
  <c r="B225" i="217"/>
  <c r="K116" i="217"/>
  <c r="E14" i="217"/>
  <c r="K68" i="217" s="1"/>
  <c r="D181" i="217"/>
  <c r="E5" i="217"/>
  <c r="D5" i="217"/>
  <c r="H3" i="290"/>
  <c r="F24" i="291"/>
  <c r="C4" i="289" s="1"/>
  <c r="F36" i="292"/>
  <c r="C5" i="289" s="1"/>
  <c r="F40" i="294"/>
  <c r="C7" i="289" s="1"/>
  <c r="C3" i="289"/>
  <c r="C8" i="289" s="1"/>
  <c r="G39" i="294"/>
  <c r="H39" i="294" s="1"/>
  <c r="G37" i="294"/>
  <c r="H37" i="294" s="1"/>
  <c r="G36" i="294"/>
  <c r="H36" i="294" s="1"/>
  <c r="H35" i="294"/>
  <c r="H34" i="294"/>
  <c r="H33" i="294"/>
  <c r="H32" i="294"/>
  <c r="G31" i="294"/>
  <c r="H31" i="294" s="1"/>
  <c r="G30" i="294"/>
  <c r="H30" i="294" s="1"/>
  <c r="H29" i="294"/>
  <c r="H28" i="294"/>
  <c r="H27" i="294"/>
  <c r="H26" i="294"/>
  <c r="G25" i="294"/>
  <c r="H25" i="294" s="1"/>
  <c r="H24" i="294"/>
  <c r="H23" i="294"/>
  <c r="H22" i="294"/>
  <c r="H21" i="294"/>
  <c r="H20" i="294"/>
  <c r="H19" i="294"/>
  <c r="H18" i="294"/>
  <c r="H17" i="294"/>
  <c r="H16" i="294"/>
  <c r="H15" i="294"/>
  <c r="H14" i="294"/>
  <c r="G13" i="294"/>
  <c r="H13" i="294" s="1"/>
  <c r="G12" i="294"/>
  <c r="H12" i="294" s="1"/>
  <c r="G11" i="294"/>
  <c r="H11" i="294" s="1"/>
  <c r="H10" i="294"/>
  <c r="G9" i="294"/>
  <c r="H9" i="294" s="1"/>
  <c r="H8" i="294"/>
  <c r="H7" i="294"/>
  <c r="H6" i="294"/>
  <c r="G5" i="294"/>
  <c r="H5" i="294" s="1"/>
  <c r="H4" i="294"/>
  <c r="H3" i="294"/>
  <c r="H32" i="293"/>
  <c r="B32" i="293"/>
  <c r="G31" i="293"/>
  <c r="H31" i="293" s="1"/>
  <c r="G30" i="293"/>
  <c r="F30" i="293"/>
  <c r="H29" i="293"/>
  <c r="H28" i="293"/>
  <c r="G27" i="293"/>
  <c r="H27" i="293" s="1"/>
  <c r="G26" i="293"/>
  <c r="H26" i="293" s="1"/>
  <c r="G25" i="293"/>
  <c r="H25" i="293" s="1"/>
  <c r="G24" i="293"/>
  <c r="H24" i="293" s="1"/>
  <c r="G23" i="293"/>
  <c r="F23" i="293"/>
  <c r="G22" i="293"/>
  <c r="H22" i="293" s="1"/>
  <c r="H21" i="293"/>
  <c r="G20" i="293"/>
  <c r="H20" i="293" s="1"/>
  <c r="G19" i="293"/>
  <c r="H19" i="293" s="1"/>
  <c r="G18" i="293"/>
  <c r="H18" i="293" s="1"/>
  <c r="H17" i="293"/>
  <c r="H16" i="293"/>
  <c r="G15" i="293"/>
  <c r="H15" i="293" s="1"/>
  <c r="G14" i="293"/>
  <c r="H14" i="293" s="1"/>
  <c r="H13" i="293"/>
  <c r="H12" i="293"/>
  <c r="G11" i="293"/>
  <c r="H11" i="293" s="1"/>
  <c r="G10" i="293"/>
  <c r="H10" i="293" s="1"/>
  <c r="G9" i="293"/>
  <c r="H9" i="293" s="1"/>
  <c r="G8" i="293"/>
  <c r="H8" i="293" s="1"/>
  <c r="G7" i="293"/>
  <c r="H7" i="293" s="1"/>
  <c r="G6" i="293"/>
  <c r="H6" i="293" s="1"/>
  <c r="G5" i="293"/>
  <c r="H5" i="293" s="1"/>
  <c r="G4" i="293"/>
  <c r="H4" i="293" s="1"/>
  <c r="G3" i="293"/>
  <c r="H3" i="293" s="1"/>
  <c r="H35" i="292"/>
  <c r="B35" i="292"/>
  <c r="G34" i="292"/>
  <c r="H34" i="292" s="1"/>
  <c r="G33" i="292"/>
  <c r="F33" i="292"/>
  <c r="H32" i="292"/>
  <c r="G31" i="292"/>
  <c r="H31" i="292" s="1"/>
  <c r="G30" i="292"/>
  <c r="H30" i="292" s="1"/>
  <c r="G29" i="292"/>
  <c r="H29" i="292" s="1"/>
  <c r="G28" i="292"/>
  <c r="H28" i="292" s="1"/>
  <c r="H27" i="292"/>
  <c r="G26" i="292"/>
  <c r="H26" i="292" s="1"/>
  <c r="G25" i="292"/>
  <c r="H25" i="292" s="1"/>
  <c r="G24" i="292"/>
  <c r="H24" i="292" s="1"/>
  <c r="H23" i="292"/>
  <c r="H22" i="292"/>
  <c r="G21" i="292"/>
  <c r="H21" i="292" s="1"/>
  <c r="G20" i="292"/>
  <c r="H20" i="292" s="1"/>
  <c r="H19" i="292"/>
  <c r="H18" i="292"/>
  <c r="G17" i="292"/>
  <c r="H17" i="292" s="1"/>
  <c r="G16" i="292"/>
  <c r="H16" i="292" s="1"/>
  <c r="G15" i="292"/>
  <c r="H15" i="292" s="1"/>
  <c r="G14" i="292"/>
  <c r="H14" i="292" s="1"/>
  <c r="G13" i="292"/>
  <c r="H13" i="292" s="1"/>
  <c r="G12" i="292"/>
  <c r="H12" i="292" s="1"/>
  <c r="H11" i="292"/>
  <c r="G10" i="292"/>
  <c r="H10" i="292" s="1"/>
  <c r="G9" i="292"/>
  <c r="H9" i="292" s="1"/>
  <c r="G8" i="292"/>
  <c r="H8" i="292" s="1"/>
  <c r="G7" i="292"/>
  <c r="H7" i="292" s="1"/>
  <c r="G6" i="292"/>
  <c r="H6" i="292" s="1"/>
  <c r="G5" i="292"/>
  <c r="H5" i="292" s="1"/>
  <c r="G4" i="292"/>
  <c r="H4" i="292" s="1"/>
  <c r="G3" i="292"/>
  <c r="H3" i="292" s="1"/>
  <c r="G22" i="291"/>
  <c r="H22" i="291" s="1"/>
  <c r="G21" i="291"/>
  <c r="H21" i="291" s="1"/>
  <c r="G20" i="291"/>
  <c r="H20" i="291" s="1"/>
  <c r="G19" i="291"/>
  <c r="H19" i="291" s="1"/>
  <c r="G18" i="291"/>
  <c r="H18" i="291" s="1"/>
  <c r="G17" i="291"/>
  <c r="H17" i="291" s="1"/>
  <c r="G16" i="291"/>
  <c r="H16" i="291" s="1"/>
  <c r="H15" i="291"/>
  <c r="H14" i="291"/>
  <c r="H13" i="291"/>
  <c r="H12" i="291"/>
  <c r="H11" i="291"/>
  <c r="H10" i="291"/>
  <c r="H9" i="291"/>
  <c r="H8" i="291"/>
  <c r="H7" i="291"/>
  <c r="H6" i="291"/>
  <c r="H5" i="291"/>
  <c r="H4" i="291"/>
  <c r="H3" i="291"/>
  <c r="G69" i="290"/>
  <c r="H69" i="290" s="1"/>
  <c r="P11" i="290" s="1"/>
  <c r="M9" i="218" s="1"/>
  <c r="G9" i="218" s="1"/>
  <c r="G67" i="290"/>
  <c r="H67" i="290" s="1"/>
  <c r="G66" i="290"/>
  <c r="H66" i="290" s="1"/>
  <c r="G65" i="290"/>
  <c r="H65" i="290" s="1"/>
  <c r="G64" i="290"/>
  <c r="H64" i="290" s="1"/>
  <c r="H63" i="290"/>
  <c r="G62" i="290"/>
  <c r="H62" i="290" s="1"/>
  <c r="G61" i="290"/>
  <c r="H61" i="290" s="1"/>
  <c r="G60" i="290"/>
  <c r="H60" i="290" s="1"/>
  <c r="G59" i="290"/>
  <c r="H59" i="290" s="1"/>
  <c r="H58" i="290"/>
  <c r="G57" i="290"/>
  <c r="H57" i="290" s="1"/>
  <c r="G56" i="290"/>
  <c r="H56" i="290" s="1"/>
  <c r="G55" i="290"/>
  <c r="H55" i="290" s="1"/>
  <c r="G54" i="290"/>
  <c r="H54" i="290" s="1"/>
  <c r="G53" i="290"/>
  <c r="H53" i="290" s="1"/>
  <c r="H52" i="290"/>
  <c r="H51" i="290"/>
  <c r="H50" i="290"/>
  <c r="H49" i="290"/>
  <c r="H48" i="290"/>
  <c r="H47" i="290"/>
  <c r="H46" i="290"/>
  <c r="H45" i="290"/>
  <c r="H44" i="290"/>
  <c r="G43" i="290"/>
  <c r="H43" i="290" s="1"/>
  <c r="H42" i="290"/>
  <c r="H41" i="290"/>
  <c r="H40" i="290"/>
  <c r="H39" i="290"/>
  <c r="H38" i="290"/>
  <c r="H37" i="290"/>
  <c r="H36" i="290"/>
  <c r="H35" i="290"/>
  <c r="H34" i="290"/>
  <c r="H33" i="290"/>
  <c r="H32" i="290"/>
  <c r="H31" i="290"/>
  <c r="H30" i="290"/>
  <c r="H29" i="290"/>
  <c r="H28" i="290"/>
  <c r="H27" i="290"/>
  <c r="H26" i="290"/>
  <c r="H25" i="290"/>
  <c r="H24" i="290"/>
  <c r="H23" i="290"/>
  <c r="H22" i="290"/>
  <c r="H68" i="290" s="1"/>
  <c r="P10" i="290" s="1"/>
  <c r="M8" i="218" s="1"/>
  <c r="G8" i="218" s="1"/>
  <c r="G20" i="290"/>
  <c r="H20" i="290" s="1"/>
  <c r="H19" i="290"/>
  <c r="H18" i="290"/>
  <c r="H17" i="290"/>
  <c r="H16" i="290"/>
  <c r="G15" i="290"/>
  <c r="H15" i="290" s="1"/>
  <c r="G14" i="290"/>
  <c r="H14" i="290" s="1"/>
  <c r="H13" i="290"/>
  <c r="H12" i="290"/>
  <c r="H11" i="290"/>
  <c r="H10" i="290"/>
  <c r="H9" i="290"/>
  <c r="G8" i="290"/>
  <c r="H8" i="290" s="1"/>
  <c r="H7" i="290"/>
  <c r="H6" i="290"/>
  <c r="H5" i="290"/>
  <c r="H4" i="290"/>
  <c r="P8" i="290" l="1"/>
  <c r="M6" i="218" s="1"/>
  <c r="G6" i="218" s="1"/>
  <c r="P7" i="290"/>
  <c r="P6" i="290"/>
  <c r="M4" i="218" s="1"/>
  <c r="G4" i="218" s="1"/>
  <c r="E12" i="304"/>
  <c r="H290" i="301"/>
  <c r="T377" i="334"/>
  <c r="U377" i="334" s="1"/>
  <c r="G281" i="334"/>
  <c r="F73" i="331"/>
  <c r="H290" i="299"/>
  <c r="H290" i="304"/>
  <c r="G259" i="334"/>
  <c r="H257" i="334"/>
  <c r="H258" i="334" s="1"/>
  <c r="I79" i="298"/>
  <c r="F292" i="300"/>
  <c r="I74" i="301"/>
  <c r="E133" i="303"/>
  <c r="I80" i="304"/>
  <c r="I81" i="304"/>
  <c r="I79" i="304"/>
  <c r="I86" i="304"/>
  <c r="H366" i="299"/>
  <c r="D387" i="299" s="1"/>
  <c r="I387" i="299" s="1"/>
  <c r="D362" i="299"/>
  <c r="I83" i="304"/>
  <c r="J69" i="300"/>
  <c r="D69" i="300" s="1"/>
  <c r="C244" i="300" s="1"/>
  <c r="F15" i="300"/>
  <c r="I15" i="300" s="1"/>
  <c r="E283" i="298"/>
  <c r="E284" i="298"/>
  <c r="I285" i="298" s="1"/>
  <c r="I75" i="299"/>
  <c r="C119" i="302"/>
  <c r="F292" i="302"/>
  <c r="E88" i="311"/>
  <c r="I77" i="303"/>
  <c r="I82" i="298"/>
  <c r="E261" i="301"/>
  <c r="I265" i="301" s="1"/>
  <c r="C31" i="304"/>
  <c r="E33" i="304" s="1"/>
  <c r="I33" i="304" s="1"/>
  <c r="E282" i="298"/>
  <c r="F93" i="299"/>
  <c r="I93" i="299" s="1"/>
  <c r="I80" i="300"/>
  <c r="E112" i="302"/>
  <c r="F292" i="303"/>
  <c r="I77" i="304"/>
  <c r="I85" i="304"/>
  <c r="E56" i="304"/>
  <c r="I29" i="304"/>
  <c r="E284" i="300"/>
  <c r="I72" i="300"/>
  <c r="I76" i="304"/>
  <c r="I87" i="304"/>
  <c r="U382" i="217"/>
  <c r="I76" i="300"/>
  <c r="I78" i="300"/>
  <c r="E261" i="304"/>
  <c r="C126" i="301"/>
  <c r="I71" i="300"/>
  <c r="I82" i="300"/>
  <c r="E31" i="304"/>
  <c r="C338" i="301"/>
  <c r="I85" i="303"/>
  <c r="I42" i="299"/>
  <c r="E48" i="299" s="1"/>
  <c r="C48" i="299"/>
  <c r="E49" i="299" s="1"/>
  <c r="I49" i="299" s="1"/>
  <c r="D244" i="300"/>
  <c r="F69" i="300"/>
  <c r="I69" i="300" s="1"/>
  <c r="C64" i="300"/>
  <c r="I60" i="300"/>
  <c r="E64" i="300" s="1"/>
  <c r="E244" i="300"/>
  <c r="D15" i="302"/>
  <c r="J68" i="302"/>
  <c r="D68" i="302" s="1"/>
  <c r="I14" i="298"/>
  <c r="D358" i="298"/>
  <c r="C12" i="304"/>
  <c r="I12" i="304"/>
  <c r="H12" i="301"/>
  <c r="H12" i="304"/>
  <c r="E12" i="301"/>
  <c r="G225" i="217"/>
  <c r="G281" i="328"/>
  <c r="T377" i="325"/>
  <c r="U377" i="325" s="1"/>
  <c r="G225" i="325"/>
  <c r="G281" i="320"/>
  <c r="G281" i="318"/>
  <c r="T377" i="329"/>
  <c r="U377" i="329" s="1"/>
  <c r="G281" i="329"/>
  <c r="G225" i="322"/>
  <c r="T377" i="320"/>
  <c r="U377" i="320" s="1"/>
  <c r="G225" i="320"/>
  <c r="T377" i="317"/>
  <c r="F73" i="327"/>
  <c r="G225" i="321"/>
  <c r="T377" i="319"/>
  <c r="U377" i="319" s="1"/>
  <c r="G281" i="325"/>
  <c r="G281" i="324"/>
  <c r="G281" i="321"/>
  <c r="T377" i="318"/>
  <c r="U377" i="318" s="1"/>
  <c r="T377" i="328"/>
  <c r="U377" i="328" s="1"/>
  <c r="G225" i="319"/>
  <c r="T377" i="324"/>
  <c r="G225" i="324"/>
  <c r="G281" i="323"/>
  <c r="G281" i="322"/>
  <c r="G225" i="318"/>
  <c r="G225" i="329"/>
  <c r="T377" i="323"/>
  <c r="T377" i="322"/>
  <c r="T377" i="321"/>
  <c r="U377" i="321" s="1"/>
  <c r="G281" i="319"/>
  <c r="G225" i="317"/>
  <c r="G281" i="317"/>
  <c r="T377" i="311"/>
  <c r="U377" i="311" s="1"/>
  <c r="G225" i="311"/>
  <c r="T377" i="314"/>
  <c r="T377" i="313"/>
  <c r="F73" i="326"/>
  <c r="G225" i="314"/>
  <c r="T377" i="312"/>
  <c r="U377" i="312" s="1"/>
  <c r="G225" i="312"/>
  <c r="G281" i="311"/>
  <c r="G225" i="323"/>
  <c r="G225" i="313"/>
  <c r="G281" i="312"/>
  <c r="G225" i="328"/>
  <c r="G281" i="314"/>
  <c r="G281" i="313"/>
  <c r="G281" i="309"/>
  <c r="G281" i="310"/>
  <c r="G225" i="309"/>
  <c r="G281" i="308"/>
  <c r="F73" i="307"/>
  <c r="T377" i="310"/>
  <c r="U377" i="310" s="1"/>
  <c r="T377" i="308"/>
  <c r="U377" i="308" s="1"/>
  <c r="G225" i="308"/>
  <c r="T377" i="309"/>
  <c r="G225" i="310"/>
  <c r="O6" i="294"/>
  <c r="O8" i="294"/>
  <c r="S379" i="328"/>
  <c r="U379" i="328" s="1"/>
  <c r="C336" i="328"/>
  <c r="H85" i="328"/>
  <c r="I84" i="328"/>
  <c r="H36" i="292"/>
  <c r="D5" i="289" s="1"/>
  <c r="S379" i="325"/>
  <c r="U379" i="325" s="1"/>
  <c r="H84" i="325"/>
  <c r="I83" i="325"/>
  <c r="C336" i="325"/>
  <c r="S377" i="324"/>
  <c r="U377" i="324" s="1"/>
  <c r="C313" i="324"/>
  <c r="H313" i="324" s="1"/>
  <c r="H314" i="324" s="1"/>
  <c r="T383" i="324" s="1"/>
  <c r="U383" i="324" s="1"/>
  <c r="C331" i="324"/>
  <c r="H331" i="324" s="1"/>
  <c r="H337" i="324" s="1"/>
  <c r="C335" i="324"/>
  <c r="C320" i="324"/>
  <c r="C313" i="323"/>
  <c r="H313" i="323" s="1"/>
  <c r="H314" i="323" s="1"/>
  <c r="T383" i="323" s="1"/>
  <c r="U383" i="323" s="1"/>
  <c r="S377" i="323"/>
  <c r="U377" i="323" s="1"/>
  <c r="C335" i="323"/>
  <c r="C320" i="323"/>
  <c r="C331" i="323"/>
  <c r="H331" i="323" s="1"/>
  <c r="H337" i="323" s="1"/>
  <c r="S379" i="323" s="1"/>
  <c r="U379" i="323" s="1"/>
  <c r="S377" i="322"/>
  <c r="C313" i="322"/>
  <c r="H313" i="322" s="1"/>
  <c r="H314" i="322" s="1"/>
  <c r="T383" i="322" s="1"/>
  <c r="U383" i="322" s="1"/>
  <c r="C331" i="322"/>
  <c r="H331" i="322" s="1"/>
  <c r="H337" i="322" s="1"/>
  <c r="C335" i="322"/>
  <c r="C320" i="322"/>
  <c r="S379" i="321"/>
  <c r="U379" i="321" s="1"/>
  <c r="C336" i="321"/>
  <c r="S379" i="319"/>
  <c r="U379" i="319" s="1"/>
  <c r="C336" i="319"/>
  <c r="C326" i="317"/>
  <c r="H326" i="317" s="1"/>
  <c r="H325" i="317"/>
  <c r="D291" i="317" a="1"/>
  <c r="D291" i="317" s="1"/>
  <c r="I233" i="317"/>
  <c r="D292" i="317"/>
  <c r="I242" i="317"/>
  <c r="J250" i="317" s="1"/>
  <c r="E106" i="317"/>
  <c r="I106" i="317" s="1"/>
  <c r="E105" i="317"/>
  <c r="I105" i="317" s="1"/>
  <c r="D385" i="317"/>
  <c r="I385" i="317" s="1"/>
  <c r="I388" i="317" s="1"/>
  <c r="C319" i="317"/>
  <c r="D356" i="317"/>
  <c r="H356" i="317" s="1"/>
  <c r="H363" i="317" s="1"/>
  <c r="E219" i="317"/>
  <c r="E223" i="317" s="1"/>
  <c r="S375" i="317" s="1"/>
  <c r="H84" i="314"/>
  <c r="I83" i="314"/>
  <c r="C326" i="314"/>
  <c r="H326" i="314" s="1"/>
  <c r="H325" i="314"/>
  <c r="D291" i="314" a="1"/>
  <c r="D291" i="314" s="1"/>
  <c r="I233" i="314"/>
  <c r="E105" i="314"/>
  <c r="I105" i="314" s="1"/>
  <c r="E106" i="314"/>
  <c r="I106" i="314" s="1"/>
  <c r="D356" i="314"/>
  <c r="H356" i="314" s="1"/>
  <c r="H363" i="314" s="1"/>
  <c r="C319" i="314"/>
  <c r="D385" i="314"/>
  <c r="I385" i="314" s="1"/>
  <c r="I388" i="314" s="1"/>
  <c r="D292" i="314"/>
  <c r="I242" i="314"/>
  <c r="J250" i="314" s="1"/>
  <c r="E219" i="313"/>
  <c r="E223" i="313" s="1"/>
  <c r="S375" i="313" s="1"/>
  <c r="D291" i="313" a="1"/>
  <c r="D291" i="313" s="1"/>
  <c r="I233" i="313"/>
  <c r="I242" i="313"/>
  <c r="J250" i="313" s="1"/>
  <c r="D292" i="313"/>
  <c r="E105" i="313"/>
  <c r="I105" i="313" s="1"/>
  <c r="E106" i="313"/>
  <c r="I106" i="313" s="1"/>
  <c r="D385" i="313"/>
  <c r="I385" i="313" s="1"/>
  <c r="I388" i="313" s="1"/>
  <c r="D356" i="313"/>
  <c r="H356" i="313" s="1"/>
  <c r="H363" i="313" s="1"/>
  <c r="C319" i="313"/>
  <c r="C326" i="313"/>
  <c r="H326" i="313" s="1"/>
  <c r="H325" i="313"/>
  <c r="C336" i="312"/>
  <c r="E219" i="311"/>
  <c r="E223" i="311" s="1"/>
  <c r="S375" i="311" s="1"/>
  <c r="C336" i="311"/>
  <c r="C331" i="310"/>
  <c r="H331" i="310" s="1"/>
  <c r="H337" i="310" s="1"/>
  <c r="S379" i="310" s="1"/>
  <c r="U379" i="310" s="1"/>
  <c r="C320" i="310"/>
  <c r="C336" i="310" s="1"/>
  <c r="T383" i="310"/>
  <c r="U383" i="310" s="1"/>
  <c r="H325" i="309"/>
  <c r="C326" i="309"/>
  <c r="H326" i="309" s="1"/>
  <c r="H82" i="309"/>
  <c r="I81" i="309"/>
  <c r="E106" i="309"/>
  <c r="I106" i="309" s="1"/>
  <c r="E105" i="309"/>
  <c r="I105" i="309" s="1"/>
  <c r="C319" i="309"/>
  <c r="D385" i="309"/>
  <c r="I385" i="309" s="1"/>
  <c r="I388" i="309" s="1"/>
  <c r="D356" i="309"/>
  <c r="H356" i="309" s="1"/>
  <c r="H363" i="309" s="1"/>
  <c r="D291" i="309" a="1"/>
  <c r="D291" i="309" s="1"/>
  <c r="I233" i="309"/>
  <c r="D292" i="309"/>
  <c r="I242" i="309"/>
  <c r="J250" i="309" s="1"/>
  <c r="C335" i="308"/>
  <c r="C320" i="308"/>
  <c r="C331" i="308"/>
  <c r="H331" i="308" s="1"/>
  <c r="H337" i="308" s="1"/>
  <c r="T383" i="308"/>
  <c r="U383" i="308" s="1"/>
  <c r="G225" i="299"/>
  <c r="G226" i="299" s="1"/>
  <c r="G227" i="299" s="1"/>
  <c r="G228" i="299" s="1"/>
  <c r="G229" i="299" s="1"/>
  <c r="G230" i="299" s="1"/>
  <c r="G231" i="299" s="1"/>
  <c r="G232" i="299" s="1"/>
  <c r="G234" i="299" s="1"/>
  <c r="G281" i="298"/>
  <c r="G282" i="298" s="1"/>
  <c r="G283" i="298" s="1"/>
  <c r="G284" i="298" s="1"/>
  <c r="T377" i="299"/>
  <c r="G225" i="302"/>
  <c r="G226" i="302" s="1"/>
  <c r="G227" i="302" s="1"/>
  <c r="G228" i="302" s="1"/>
  <c r="G229" i="302" s="1"/>
  <c r="G230" i="302" s="1"/>
  <c r="G231" i="302" s="1"/>
  <c r="G232" i="302" s="1"/>
  <c r="G234" i="302" s="1"/>
  <c r="G281" i="299"/>
  <c r="G282" i="299" s="1"/>
  <c r="G283" i="299" s="1"/>
  <c r="G284" i="299" s="1"/>
  <c r="H284" i="299" s="1"/>
  <c r="T377" i="303"/>
  <c r="G281" i="302"/>
  <c r="G282" i="302" s="1"/>
  <c r="G283" i="302" s="1"/>
  <c r="G284" i="302" s="1"/>
  <c r="H284" i="302" s="1"/>
  <c r="T377" i="304"/>
  <c r="G281" i="301"/>
  <c r="G282" i="301" s="1"/>
  <c r="G283" i="301" s="1"/>
  <c r="G284" i="301" s="1"/>
  <c r="H284" i="301" s="1"/>
  <c r="G225" i="298"/>
  <c r="G226" i="298" s="1"/>
  <c r="G227" i="298" s="1"/>
  <c r="G228" i="298" s="1"/>
  <c r="G229" i="298" s="1"/>
  <c r="G230" i="298" s="1"/>
  <c r="G231" i="298" s="1"/>
  <c r="G232" i="298" s="1"/>
  <c r="G234" i="298" s="1"/>
  <c r="G225" i="301"/>
  <c r="G226" i="301" s="1"/>
  <c r="G227" i="301" s="1"/>
  <c r="G228" i="301" s="1"/>
  <c r="G229" i="301" s="1"/>
  <c r="G230" i="301" s="1"/>
  <c r="G231" i="301" s="1"/>
  <c r="G232" i="301" s="1"/>
  <c r="G234" i="301" s="1"/>
  <c r="G281" i="300"/>
  <c r="G282" i="300" s="1"/>
  <c r="G283" i="300" s="1"/>
  <c r="G284" i="300" s="1"/>
  <c r="H284" i="300" s="1"/>
  <c r="G225" i="300"/>
  <c r="G226" i="300" s="1"/>
  <c r="G227" i="300" s="1"/>
  <c r="G228" i="300" s="1"/>
  <c r="G229" i="300" s="1"/>
  <c r="G230" i="300" s="1"/>
  <c r="G231" i="300" s="1"/>
  <c r="G232" i="300" s="1"/>
  <c r="G234" i="300" s="1"/>
  <c r="G281" i="304"/>
  <c r="G282" i="304" s="1"/>
  <c r="G283" i="304" s="1"/>
  <c r="G284" i="304" s="1"/>
  <c r="G281" i="303"/>
  <c r="G282" i="303" s="1"/>
  <c r="G283" i="303" s="1"/>
  <c r="G284" i="303" s="1"/>
  <c r="G225" i="303"/>
  <c r="G226" i="303" s="1"/>
  <c r="G227" i="303" s="1"/>
  <c r="G228" i="303" s="1"/>
  <c r="G229" i="303" s="1"/>
  <c r="G230" i="303" s="1"/>
  <c r="G231" i="303" s="1"/>
  <c r="G232" i="303" s="1"/>
  <c r="G234" i="303" s="1"/>
  <c r="T377" i="300"/>
  <c r="G225" i="304"/>
  <c r="G226" i="304" s="1"/>
  <c r="G227" i="304" s="1"/>
  <c r="G228" i="304" s="1"/>
  <c r="G229" i="304" s="1"/>
  <c r="G230" i="304" s="1"/>
  <c r="G231" i="304" s="1"/>
  <c r="G232" i="304" s="1"/>
  <c r="G234" i="304" s="1"/>
  <c r="H234" i="304" s="1"/>
  <c r="T377" i="301"/>
  <c r="T377" i="298"/>
  <c r="T377" i="302"/>
  <c r="H283" i="298"/>
  <c r="H282" i="304"/>
  <c r="T377" i="217"/>
  <c r="H308" i="304"/>
  <c r="H338" i="304"/>
  <c r="E38" i="304"/>
  <c r="H334" i="304"/>
  <c r="H215" i="304" a="1"/>
  <c r="H215" i="304" s="1"/>
  <c r="I215" i="304" s="1"/>
  <c r="E220" i="304" s="1"/>
  <c r="I211" i="304"/>
  <c r="C270" i="304"/>
  <c r="E270" i="304" s="1"/>
  <c r="F150" i="304"/>
  <c r="I82" i="304"/>
  <c r="I181" i="304"/>
  <c r="E184" i="304" s="1"/>
  <c r="C184" i="304"/>
  <c r="C268" i="304"/>
  <c r="E268" i="304" s="1"/>
  <c r="F145" i="304"/>
  <c r="I145" i="304" s="1"/>
  <c r="I162" i="304"/>
  <c r="E163" i="304" s="1"/>
  <c r="H18" i="304"/>
  <c r="I17" i="304"/>
  <c r="E229" i="304"/>
  <c r="H229" i="304" s="1"/>
  <c r="C238" i="304"/>
  <c r="E238" i="304" s="1"/>
  <c r="E49" i="304"/>
  <c r="I49" i="304" s="1"/>
  <c r="E50" i="304"/>
  <c r="I50" i="304" s="1"/>
  <c r="C311" i="304"/>
  <c r="H311" i="304" s="1"/>
  <c r="H6" i="304"/>
  <c r="C241" i="304"/>
  <c r="E241" i="304" s="1"/>
  <c r="E232" i="304"/>
  <c r="F94" i="304"/>
  <c r="I94" i="304" s="1"/>
  <c r="E193" i="304"/>
  <c r="I193" i="304" s="1"/>
  <c r="E192" i="304"/>
  <c r="I192" i="304" s="1"/>
  <c r="F291" i="304"/>
  <c r="C339" i="304"/>
  <c r="H339" i="304" s="1"/>
  <c r="C163" i="304"/>
  <c r="D116" i="304"/>
  <c r="F108" i="304"/>
  <c r="E284" i="304"/>
  <c r="H284" i="304" s="1"/>
  <c r="I280" i="304"/>
  <c r="I92" i="304"/>
  <c r="C240" i="304"/>
  <c r="E240" i="304" s="1"/>
  <c r="E231" i="304"/>
  <c r="H231" i="304" s="1"/>
  <c r="B250" i="304"/>
  <c r="B247" i="304"/>
  <c r="B248" i="304" s="1"/>
  <c r="B249" i="304" s="1"/>
  <c r="B251" i="304" s="1"/>
  <c r="B252" i="304" s="1"/>
  <c r="B253" i="304" s="1"/>
  <c r="B254" i="304" s="1"/>
  <c r="B255" i="304" s="1"/>
  <c r="B256" i="304" s="1"/>
  <c r="B257" i="304" s="1"/>
  <c r="B259" i="304" s="1"/>
  <c r="B260" i="304" s="1"/>
  <c r="B261" i="304" s="1"/>
  <c r="B262" i="304" s="1"/>
  <c r="B263" i="304" s="1"/>
  <c r="B264" i="304" s="1"/>
  <c r="C38" i="304"/>
  <c r="I84" i="304"/>
  <c r="G217" i="304"/>
  <c r="D349" i="304"/>
  <c r="H349" i="304" s="1"/>
  <c r="C230" i="304"/>
  <c r="F101" i="304"/>
  <c r="E236" i="304"/>
  <c r="I265" i="304"/>
  <c r="E262" i="304"/>
  <c r="I258" i="304"/>
  <c r="I137" i="304"/>
  <c r="E139" i="304" s="1"/>
  <c r="C139" i="304"/>
  <c r="I78" i="304"/>
  <c r="C235" i="304"/>
  <c r="E235" i="304" s="1"/>
  <c r="E226" i="304"/>
  <c r="C228" i="304"/>
  <c r="F95" i="304"/>
  <c r="I95" i="304" s="1"/>
  <c r="I14" i="304"/>
  <c r="C22" i="304"/>
  <c r="E126" i="304"/>
  <c r="C243" i="304"/>
  <c r="E243" i="304" s="1"/>
  <c r="F68" i="304"/>
  <c r="I68" i="304" s="1"/>
  <c r="D267" i="304"/>
  <c r="E267" i="304" s="1"/>
  <c r="F144" i="304"/>
  <c r="I144" i="304" s="1"/>
  <c r="H281" i="304"/>
  <c r="C126" i="304"/>
  <c r="S376" i="304"/>
  <c r="U376" i="304" s="1"/>
  <c r="H358" i="304"/>
  <c r="E66" i="303"/>
  <c r="I66" i="303" s="1"/>
  <c r="H12" i="303"/>
  <c r="D362" i="303"/>
  <c r="H362" i="303" s="1"/>
  <c r="C225" i="303"/>
  <c r="F92" i="303"/>
  <c r="I280" i="303"/>
  <c r="C31" i="303"/>
  <c r="I258" i="303"/>
  <c r="I269" i="303"/>
  <c r="F14" i="303"/>
  <c r="D15" i="303"/>
  <c r="D68" i="303"/>
  <c r="E119" i="303"/>
  <c r="E12" i="303"/>
  <c r="C12" i="303"/>
  <c r="I273" i="303"/>
  <c r="C240" i="303"/>
  <c r="E240" i="303" s="1"/>
  <c r="E231" i="303"/>
  <c r="H231" i="303" s="1"/>
  <c r="E235" i="303"/>
  <c r="F93" i="303"/>
  <c r="I93" i="303" s="1"/>
  <c r="C163" i="303"/>
  <c r="I158" i="303"/>
  <c r="E163" i="303" s="1"/>
  <c r="C119" i="303"/>
  <c r="F291" i="303"/>
  <c r="C339" i="303"/>
  <c r="H339" i="303" s="1"/>
  <c r="H281" i="303"/>
  <c r="E262" i="303"/>
  <c r="E226" i="303"/>
  <c r="C227" i="303"/>
  <c r="F94" i="303"/>
  <c r="I94" i="303" s="1"/>
  <c r="C311" i="303"/>
  <c r="H311" i="303" s="1"/>
  <c r="H6" i="303"/>
  <c r="I12" i="303"/>
  <c r="I19" i="303"/>
  <c r="H20" i="303"/>
  <c r="C343" i="303"/>
  <c r="H343" i="303" s="1"/>
  <c r="H338" i="303"/>
  <c r="E284" i="303"/>
  <c r="H284" i="303" s="1"/>
  <c r="C237" i="303"/>
  <c r="E237" i="303" s="1"/>
  <c r="E228" i="303"/>
  <c r="C238" i="303"/>
  <c r="E238" i="303" s="1"/>
  <c r="E229" i="303"/>
  <c r="H229" i="303" s="1"/>
  <c r="C126" i="303"/>
  <c r="I123" i="303"/>
  <c r="E126" i="303" s="1"/>
  <c r="D340" i="303"/>
  <c r="H340" i="303" s="1"/>
  <c r="I113" i="303"/>
  <c r="I150" i="303"/>
  <c r="E153" i="303" s="1"/>
  <c r="C153" i="303"/>
  <c r="E193" i="303"/>
  <c r="I193" i="303" s="1"/>
  <c r="E192" i="303"/>
  <c r="I192" i="303" s="1"/>
  <c r="I181" i="303"/>
  <c r="E184" i="303" s="1"/>
  <c r="C184" i="303"/>
  <c r="B250" i="303"/>
  <c r="B247" i="303"/>
  <c r="B248" i="303" s="1"/>
  <c r="B249" i="303" s="1"/>
  <c r="B251" i="303" s="1"/>
  <c r="B252" i="303" s="1"/>
  <c r="B253" i="303" s="1"/>
  <c r="B254" i="303" s="1"/>
  <c r="B255" i="303" s="1"/>
  <c r="B256" i="303" s="1"/>
  <c r="B257" i="303" s="1"/>
  <c r="B259" i="303" s="1"/>
  <c r="B260" i="303" s="1"/>
  <c r="B261" i="303" s="1"/>
  <c r="B262" i="303" s="1"/>
  <c r="B263" i="303" s="1"/>
  <c r="B264" i="303" s="1"/>
  <c r="C146" i="303"/>
  <c r="I143" i="303"/>
  <c r="E146" i="303" s="1"/>
  <c r="I26" i="303"/>
  <c r="E31" i="303" s="1"/>
  <c r="H12" i="302"/>
  <c r="E120" i="302"/>
  <c r="I120" i="302" s="1"/>
  <c r="C329" i="302"/>
  <c r="E121" i="302"/>
  <c r="I121" i="302" s="1"/>
  <c r="C232" i="302"/>
  <c r="F103" i="302"/>
  <c r="I103" i="302" s="1"/>
  <c r="I280" i="302"/>
  <c r="C343" i="302"/>
  <c r="H343" i="302" s="1"/>
  <c r="H338" i="302"/>
  <c r="C236" i="302"/>
  <c r="E236" i="302" s="1"/>
  <c r="E227" i="302"/>
  <c r="F14" i="302"/>
  <c r="F151" i="302"/>
  <c r="I151" i="302" s="1"/>
  <c r="C271" i="302"/>
  <c r="E271" i="302" s="1"/>
  <c r="E119" i="302"/>
  <c r="E163" i="302"/>
  <c r="C234" i="302"/>
  <c r="E234" i="302" s="1"/>
  <c r="E225" i="302"/>
  <c r="I17" i="302"/>
  <c r="I18" i="302"/>
  <c r="F144" i="302"/>
  <c r="I144" i="302" s="1"/>
  <c r="C267" i="302"/>
  <c r="E267" i="302" s="1"/>
  <c r="C226" i="302"/>
  <c r="F93" i="302"/>
  <c r="I93" i="302" s="1"/>
  <c r="E186" i="302"/>
  <c r="I186" i="302" s="1"/>
  <c r="E185" i="302"/>
  <c r="I185" i="302" s="1"/>
  <c r="E283" i="302"/>
  <c r="E113" i="302"/>
  <c r="E114" i="302"/>
  <c r="I114" i="302" s="1"/>
  <c r="B250" i="302"/>
  <c r="B247" i="302"/>
  <c r="B248" i="302" s="1"/>
  <c r="B249" i="302" s="1"/>
  <c r="B251" i="302" s="1"/>
  <c r="B252" i="302" s="1"/>
  <c r="B253" i="302" s="1"/>
  <c r="B254" i="302" s="1"/>
  <c r="B255" i="302" s="1"/>
  <c r="B256" i="302" s="1"/>
  <c r="B257" i="302" s="1"/>
  <c r="B259" i="302" s="1"/>
  <c r="B260" i="302" s="1"/>
  <c r="B261" i="302" s="1"/>
  <c r="B262" i="302" s="1"/>
  <c r="B263" i="302" s="1"/>
  <c r="B264" i="302" s="1"/>
  <c r="C163" i="302"/>
  <c r="I92" i="302"/>
  <c r="C266" i="302"/>
  <c r="E266" i="302" s="1"/>
  <c r="F143" i="302"/>
  <c r="C268" i="302"/>
  <c r="E268" i="302" s="1"/>
  <c r="F145" i="302"/>
  <c r="I145" i="302" s="1"/>
  <c r="I75" i="302"/>
  <c r="F150" i="302"/>
  <c r="C229" i="302"/>
  <c r="F96" i="302"/>
  <c r="I96" i="302" s="1"/>
  <c r="E253" i="302"/>
  <c r="C282" i="302"/>
  <c r="E282" i="302" s="1"/>
  <c r="C240" i="302"/>
  <c r="E240" i="302" s="1"/>
  <c r="E231" i="302"/>
  <c r="I19" i="302"/>
  <c r="C12" i="302"/>
  <c r="C31" i="302"/>
  <c r="I26" i="302"/>
  <c r="E31" i="302" s="1"/>
  <c r="I74" i="302"/>
  <c r="F291" i="302"/>
  <c r="C339" i="302"/>
  <c r="H339" i="302" s="1"/>
  <c r="E262" i="302"/>
  <c r="E270" i="302"/>
  <c r="E177" i="302"/>
  <c r="C126" i="302"/>
  <c r="E12" i="302"/>
  <c r="H21" i="302"/>
  <c r="I21" i="302" s="1"/>
  <c r="I20" i="302"/>
  <c r="I12" i="302"/>
  <c r="G217" i="302"/>
  <c r="D349" i="302"/>
  <c r="H349" i="302" s="1"/>
  <c r="C311" i="302"/>
  <c r="H311" i="302" s="1"/>
  <c r="H6" i="302"/>
  <c r="F52" i="302"/>
  <c r="E68" i="302"/>
  <c r="D243" i="302" s="1"/>
  <c r="C228" i="302"/>
  <c r="F95" i="302"/>
  <c r="I95" i="302" s="1"/>
  <c r="I73" i="302"/>
  <c r="E31" i="301"/>
  <c r="I76" i="301"/>
  <c r="I161" i="301"/>
  <c r="E163" i="301" s="1"/>
  <c r="I77" i="301"/>
  <c r="C38" i="301"/>
  <c r="I35" i="301"/>
  <c r="E38" i="301" s="1"/>
  <c r="E119" i="301"/>
  <c r="C235" i="301"/>
  <c r="E235" i="301" s="1"/>
  <c r="E226" i="301"/>
  <c r="I12" i="301"/>
  <c r="I92" i="301"/>
  <c r="C234" i="301"/>
  <c r="E234" i="301" s="1"/>
  <c r="E225" i="301"/>
  <c r="K68" i="301"/>
  <c r="E68" i="301" s="1"/>
  <c r="D243" i="301" s="1"/>
  <c r="K52" i="301"/>
  <c r="F52" i="301" s="1"/>
  <c r="C230" i="301"/>
  <c r="F101" i="301"/>
  <c r="E48" i="301"/>
  <c r="C31" i="301"/>
  <c r="C12" i="301"/>
  <c r="D347" i="301"/>
  <c r="H347" i="301" s="1"/>
  <c r="H346" i="301"/>
  <c r="I258" i="301"/>
  <c r="I150" i="301"/>
  <c r="I181" i="301"/>
  <c r="E184" i="301" s="1"/>
  <c r="C184" i="301"/>
  <c r="H18" i="301"/>
  <c r="I17" i="301"/>
  <c r="I78" i="301"/>
  <c r="E50" i="301"/>
  <c r="I50" i="301" s="1"/>
  <c r="E49" i="301"/>
  <c r="I49" i="301" s="1"/>
  <c r="H366" i="301"/>
  <c r="D387" i="301" s="1"/>
  <c r="I387" i="301" s="1"/>
  <c r="D362" i="301"/>
  <c r="H362" i="301" s="1"/>
  <c r="I79" i="301"/>
  <c r="C311" i="301"/>
  <c r="H311" i="301" s="1"/>
  <c r="H6" i="301"/>
  <c r="C228" i="301"/>
  <c r="F95" i="301"/>
  <c r="I95" i="301" s="1"/>
  <c r="C163" i="301"/>
  <c r="H82" i="301"/>
  <c r="I81" i="301"/>
  <c r="F291" i="301"/>
  <c r="C339" i="301"/>
  <c r="H339" i="301" s="1"/>
  <c r="J68" i="301"/>
  <c r="D68" i="301" s="1"/>
  <c r="F14" i="301"/>
  <c r="I80" i="301"/>
  <c r="H215" i="301" a="1"/>
  <c r="H215" i="301" s="1"/>
  <c r="I215" i="301" s="1"/>
  <c r="E220" i="301" s="1"/>
  <c r="I211" i="301"/>
  <c r="C240" i="301"/>
  <c r="E240" i="301" s="1"/>
  <c r="E231" i="301"/>
  <c r="C241" i="301"/>
  <c r="E241" i="301" s="1"/>
  <c r="E232" i="301"/>
  <c r="I71" i="301"/>
  <c r="E283" i="301"/>
  <c r="C271" i="301"/>
  <c r="E271" i="301" s="1"/>
  <c r="F151" i="301"/>
  <c r="I151" i="301" s="1"/>
  <c r="I72" i="301"/>
  <c r="B250" i="301"/>
  <c r="B247" i="301"/>
  <c r="B248" i="301" s="1"/>
  <c r="B249" i="301" s="1"/>
  <c r="B251" i="301" s="1"/>
  <c r="B252" i="301" s="1"/>
  <c r="B253" i="301" s="1"/>
  <c r="B254" i="301" s="1"/>
  <c r="B255" i="301" s="1"/>
  <c r="B256" i="301" s="1"/>
  <c r="B257" i="301" s="1"/>
  <c r="B259" i="301" s="1"/>
  <c r="B260" i="301" s="1"/>
  <c r="B261" i="301" s="1"/>
  <c r="B262" i="301" s="1"/>
  <c r="B263" i="301" s="1"/>
  <c r="B264" i="301" s="1"/>
  <c r="I280" i="301"/>
  <c r="F292" i="301"/>
  <c r="C266" i="301"/>
  <c r="E266" i="301" s="1"/>
  <c r="F143" i="301"/>
  <c r="C119" i="301"/>
  <c r="C329" i="300"/>
  <c r="E120" i="300"/>
  <c r="I120" i="300" s="1"/>
  <c r="E121" i="300"/>
  <c r="I121" i="300" s="1"/>
  <c r="I181" i="300"/>
  <c r="E184" i="300" s="1"/>
  <c r="C184" i="300"/>
  <c r="I258" i="300"/>
  <c r="I83" i="300"/>
  <c r="H84" i="300"/>
  <c r="H85" i="300" s="1"/>
  <c r="C31" i="300"/>
  <c r="I26" i="300"/>
  <c r="E31" i="300" s="1"/>
  <c r="I77" i="300"/>
  <c r="C234" i="300"/>
  <c r="E234" i="300" s="1"/>
  <c r="E225" i="300"/>
  <c r="C238" i="300"/>
  <c r="E238" i="300" s="1"/>
  <c r="E229" i="300"/>
  <c r="H229" i="300" s="1"/>
  <c r="I280" i="300"/>
  <c r="C343" i="300"/>
  <c r="H343" i="300" s="1"/>
  <c r="H338" i="300"/>
  <c r="I285" i="300"/>
  <c r="E12" i="300"/>
  <c r="C12" i="300"/>
  <c r="H12" i="300"/>
  <c r="E141" i="300"/>
  <c r="I141" i="300" s="1"/>
  <c r="E140" i="300"/>
  <c r="I140" i="300" s="1"/>
  <c r="I12" i="300"/>
  <c r="B250" i="300"/>
  <c r="B247" i="300"/>
  <c r="B248" i="300" s="1"/>
  <c r="B249" i="300" s="1"/>
  <c r="B251" i="300" s="1"/>
  <c r="B252" i="300" s="1"/>
  <c r="B253" i="300" s="1"/>
  <c r="B254" i="300" s="1"/>
  <c r="B255" i="300" s="1"/>
  <c r="B256" i="300" s="1"/>
  <c r="B257" i="300" s="1"/>
  <c r="B259" i="300" s="1"/>
  <c r="B260" i="300" s="1"/>
  <c r="B261" i="300" s="1"/>
  <c r="B262" i="300" s="1"/>
  <c r="B263" i="300" s="1"/>
  <c r="B264" i="300" s="1"/>
  <c r="C270" i="300"/>
  <c r="E270" i="300" s="1"/>
  <c r="F150" i="300"/>
  <c r="F14" i="300"/>
  <c r="D68" i="300"/>
  <c r="D52" i="300"/>
  <c r="H21" i="300"/>
  <c r="I21" i="300" s="1"/>
  <c r="I20" i="300"/>
  <c r="E262" i="300"/>
  <c r="E193" i="300"/>
  <c r="I193" i="300" s="1"/>
  <c r="E192" i="300"/>
  <c r="I192" i="300" s="1"/>
  <c r="C232" i="300"/>
  <c r="F103" i="300"/>
  <c r="I103" i="300" s="1"/>
  <c r="I265" i="300"/>
  <c r="E227" i="300"/>
  <c r="H227" i="300" s="1"/>
  <c r="C236" i="300"/>
  <c r="E236" i="300" s="1"/>
  <c r="C163" i="300"/>
  <c r="E127" i="300"/>
  <c r="I127" i="300" s="1"/>
  <c r="C327" i="300"/>
  <c r="E128" i="300"/>
  <c r="I128" i="300" s="1"/>
  <c r="C226" i="300"/>
  <c r="F93" i="300"/>
  <c r="I93" i="300" s="1"/>
  <c r="E163" i="300"/>
  <c r="D340" i="300"/>
  <c r="H340" i="300" s="1"/>
  <c r="I113" i="300"/>
  <c r="C240" i="300"/>
  <c r="E240" i="300" s="1"/>
  <c r="E231" i="300"/>
  <c r="H231" i="300" s="1"/>
  <c r="F291" i="300"/>
  <c r="C339" i="300"/>
  <c r="H339" i="300" s="1"/>
  <c r="H290" i="300"/>
  <c r="C268" i="300"/>
  <c r="E268" i="300" s="1"/>
  <c r="F145" i="300"/>
  <c r="I145" i="300" s="1"/>
  <c r="C266" i="300"/>
  <c r="E266" i="300" s="1"/>
  <c r="F143" i="300"/>
  <c r="E119" i="300"/>
  <c r="C97" i="300"/>
  <c r="I92" i="300"/>
  <c r="E38" i="299"/>
  <c r="H362" i="299"/>
  <c r="I269" i="299"/>
  <c r="C146" i="299"/>
  <c r="I143" i="299"/>
  <c r="E146" i="299" s="1"/>
  <c r="F52" i="299"/>
  <c r="E68" i="299"/>
  <c r="D243" i="299" s="1"/>
  <c r="E193" i="299"/>
  <c r="I193" i="299" s="1"/>
  <c r="E192" i="299"/>
  <c r="I192" i="299" s="1"/>
  <c r="I211" i="299"/>
  <c r="H215" i="299" a="1"/>
  <c r="H215" i="299" s="1"/>
  <c r="I215" i="299" s="1"/>
  <c r="E220" i="299" s="1"/>
  <c r="C38" i="299"/>
  <c r="B250" i="299"/>
  <c r="B247" i="299"/>
  <c r="B248" i="299" s="1"/>
  <c r="B249" i="299" s="1"/>
  <c r="B251" i="299" s="1"/>
  <c r="B252" i="299" s="1"/>
  <c r="B253" i="299" s="1"/>
  <c r="B254" i="299" s="1"/>
  <c r="B255" i="299" s="1"/>
  <c r="B256" i="299" s="1"/>
  <c r="B257" i="299" s="1"/>
  <c r="B259" i="299" s="1"/>
  <c r="B260" i="299" s="1"/>
  <c r="B261" i="299" s="1"/>
  <c r="B262" i="299" s="1"/>
  <c r="B263" i="299" s="1"/>
  <c r="B264" i="299" s="1"/>
  <c r="I273" i="299"/>
  <c r="E235" i="299"/>
  <c r="H19" i="299"/>
  <c r="I18" i="299"/>
  <c r="I157" i="299"/>
  <c r="C163" i="299"/>
  <c r="E283" i="299"/>
  <c r="H283" i="299" s="1"/>
  <c r="U376" i="299"/>
  <c r="F14" i="299"/>
  <c r="I14" i="299" s="1"/>
  <c r="D68" i="299"/>
  <c r="E262" i="299"/>
  <c r="E126" i="299"/>
  <c r="F103" i="299"/>
  <c r="I103" i="299" s="1"/>
  <c r="C232" i="299"/>
  <c r="D340" i="299"/>
  <c r="H340" i="299" s="1"/>
  <c r="I113" i="299"/>
  <c r="C126" i="299"/>
  <c r="C239" i="299"/>
  <c r="E239" i="299" s="1"/>
  <c r="E230" i="299"/>
  <c r="E261" i="299"/>
  <c r="E225" i="299"/>
  <c r="E140" i="299"/>
  <c r="I140" i="299" s="1"/>
  <c r="E141" i="299"/>
  <c r="I141" i="299" s="1"/>
  <c r="C237" i="299"/>
  <c r="E237" i="299" s="1"/>
  <c r="E228" i="299"/>
  <c r="H72" i="299"/>
  <c r="I71" i="299"/>
  <c r="I181" i="299"/>
  <c r="E184" i="299" s="1"/>
  <c r="C184" i="299"/>
  <c r="H12" i="299"/>
  <c r="I12" i="299"/>
  <c r="E234" i="299"/>
  <c r="I280" i="299"/>
  <c r="C12" i="299"/>
  <c r="I101" i="299"/>
  <c r="F291" i="299"/>
  <c r="C339" i="299"/>
  <c r="H339" i="299" s="1"/>
  <c r="E12" i="299"/>
  <c r="C240" i="299"/>
  <c r="E240" i="299" s="1"/>
  <c r="E231" i="299"/>
  <c r="H231" i="299" s="1"/>
  <c r="I116" i="299"/>
  <c r="E119" i="299" s="1"/>
  <c r="C119" i="299"/>
  <c r="H281" i="299"/>
  <c r="C31" i="299"/>
  <c r="F94" i="299"/>
  <c r="I94" i="299" s="1"/>
  <c r="I92" i="299"/>
  <c r="C229" i="299"/>
  <c r="F96" i="299"/>
  <c r="I96" i="299" s="1"/>
  <c r="I150" i="299"/>
  <c r="E153" i="299" s="1"/>
  <c r="C153" i="299"/>
  <c r="E226" i="299"/>
  <c r="H226" i="299" s="1"/>
  <c r="H162" i="299"/>
  <c r="I162" i="299" s="1"/>
  <c r="H161" i="299"/>
  <c r="I161" i="299" s="1"/>
  <c r="E227" i="299"/>
  <c r="C236" i="299"/>
  <c r="E236" i="299" s="1"/>
  <c r="U384" i="298"/>
  <c r="C311" i="298"/>
  <c r="H311" i="298" s="1"/>
  <c r="H6" i="298"/>
  <c r="I181" i="298"/>
  <c r="E184" i="298" s="1"/>
  <c r="C184" i="298"/>
  <c r="C343" i="298"/>
  <c r="H343" i="298" s="1"/>
  <c r="H338" i="298"/>
  <c r="E58" i="298"/>
  <c r="I58" i="298" s="1"/>
  <c r="E57" i="298"/>
  <c r="I57" i="298" s="1"/>
  <c r="I150" i="298"/>
  <c r="E153" i="298" s="1"/>
  <c r="C153" i="298"/>
  <c r="E261" i="298"/>
  <c r="C226" i="298"/>
  <c r="F93" i="298"/>
  <c r="I93" i="298" s="1"/>
  <c r="F101" i="298"/>
  <c r="C243" i="298"/>
  <c r="E243" i="298" s="1"/>
  <c r="F68" i="298"/>
  <c r="I68" i="298" s="1"/>
  <c r="C234" i="298"/>
  <c r="E234" i="298" s="1"/>
  <c r="E225" i="298"/>
  <c r="I280" i="298"/>
  <c r="H281" i="298"/>
  <c r="F116" i="298"/>
  <c r="D143" i="298"/>
  <c r="I85" i="298"/>
  <c r="H111" i="298"/>
  <c r="I111" i="298" s="1"/>
  <c r="I110" i="298"/>
  <c r="C38" i="298"/>
  <c r="I35" i="298"/>
  <c r="E38" i="298" s="1"/>
  <c r="C239" i="298"/>
  <c r="E239" i="298" s="1"/>
  <c r="E230" i="298"/>
  <c r="H230" i="298" s="1"/>
  <c r="F92" i="298"/>
  <c r="D347" i="298"/>
  <c r="H347" i="298" s="1"/>
  <c r="H346" i="298"/>
  <c r="H334" i="298"/>
  <c r="C112" i="298"/>
  <c r="I108" i="298"/>
  <c r="E112" i="298" s="1"/>
  <c r="I80" i="298"/>
  <c r="E31" i="298"/>
  <c r="C31" i="298"/>
  <c r="C229" i="298"/>
  <c r="F96" i="298"/>
  <c r="I96" i="298" s="1"/>
  <c r="I81" i="298"/>
  <c r="C139" i="298"/>
  <c r="I137" i="298"/>
  <c r="E139" i="298" s="1"/>
  <c r="C241" i="298"/>
  <c r="E241" i="298" s="1"/>
  <c r="E232" i="298"/>
  <c r="H232" i="298" s="1"/>
  <c r="C163" i="298"/>
  <c r="I157" i="298"/>
  <c r="E163" i="298" s="1"/>
  <c r="C227" i="298"/>
  <c r="F94" i="298"/>
  <c r="I94" i="298" s="1"/>
  <c r="E133" i="298"/>
  <c r="I12" i="298"/>
  <c r="H12" i="298"/>
  <c r="H87" i="298"/>
  <c r="I87" i="298" s="1"/>
  <c r="I86" i="298"/>
  <c r="C22" i="298"/>
  <c r="E48" i="298"/>
  <c r="I84" i="298"/>
  <c r="F291" i="298"/>
  <c r="C339" i="298"/>
  <c r="H339" i="298" s="1"/>
  <c r="E135" i="298"/>
  <c r="I135" i="298" s="1"/>
  <c r="E134" i="298"/>
  <c r="I134" i="298" s="1"/>
  <c r="H366" i="298"/>
  <c r="D387" i="298" s="1"/>
  <c r="I387" i="298" s="1"/>
  <c r="D362" i="298"/>
  <c r="H362" i="298" s="1"/>
  <c r="E12" i="298"/>
  <c r="C12" i="298"/>
  <c r="E50" i="298"/>
  <c r="I50" i="298" s="1"/>
  <c r="E49" i="298"/>
  <c r="I49" i="298" s="1"/>
  <c r="C327" i="298"/>
  <c r="E127" i="298"/>
  <c r="I127" i="298" s="1"/>
  <c r="E128" i="298"/>
  <c r="I128" i="298" s="1"/>
  <c r="I19" i="298"/>
  <c r="H20" i="298"/>
  <c r="F292" i="298"/>
  <c r="C191" i="298"/>
  <c r="I190" i="298"/>
  <c r="E191" i="298" s="1"/>
  <c r="E253" i="298"/>
  <c r="I211" i="298"/>
  <c r="H215" i="298" a="1"/>
  <c r="H215" i="298" s="1"/>
  <c r="I215" i="298" s="1"/>
  <c r="E220" i="298" s="1"/>
  <c r="B250" i="298"/>
  <c r="B247" i="298"/>
  <c r="B248" i="298" s="1"/>
  <c r="B249" i="298" s="1"/>
  <c r="B251" i="298" s="1"/>
  <c r="B252" i="298" s="1"/>
  <c r="B253" i="298" s="1"/>
  <c r="B254" i="298" s="1"/>
  <c r="B255" i="298" s="1"/>
  <c r="B256" i="298" s="1"/>
  <c r="B257" i="298" s="1"/>
  <c r="B259" i="298" s="1"/>
  <c r="B260" i="298" s="1"/>
  <c r="B261" i="298" s="1"/>
  <c r="B262" i="298" s="1"/>
  <c r="B263" i="298" s="1"/>
  <c r="B264" i="298" s="1"/>
  <c r="I265" i="298"/>
  <c r="I273" i="298"/>
  <c r="D108" i="217"/>
  <c r="J116" i="217" s="1"/>
  <c r="D7" i="289"/>
  <c r="H38" i="294"/>
  <c r="H70" i="290"/>
  <c r="D3" i="289" s="1"/>
  <c r="H33" i="292"/>
  <c r="H30" i="293"/>
  <c r="H23" i="293"/>
  <c r="F33" i="293"/>
  <c r="C6" i="289" s="1"/>
  <c r="H24" i="291"/>
  <c r="D4" i="289" s="1"/>
  <c r="P5" i="290" l="1"/>
  <c r="M5" i="218"/>
  <c r="G5" i="218" s="1"/>
  <c r="D8" i="289"/>
  <c r="D10" i="289" s="1"/>
  <c r="H281" i="302"/>
  <c r="H282" i="302"/>
  <c r="H283" i="303"/>
  <c r="H283" i="302"/>
  <c r="F74" i="331"/>
  <c r="G74" i="331" s="1"/>
  <c r="G73" i="331"/>
  <c r="F75" i="331"/>
  <c r="G75" i="331" s="1"/>
  <c r="H232" i="301"/>
  <c r="G282" i="334"/>
  <c r="H281" i="334"/>
  <c r="G260" i="334"/>
  <c r="H259" i="334"/>
  <c r="H228" i="300"/>
  <c r="E97" i="300"/>
  <c r="E153" i="301"/>
  <c r="C97" i="301"/>
  <c r="H226" i="304"/>
  <c r="C323" i="304"/>
  <c r="H231" i="302"/>
  <c r="H284" i="298"/>
  <c r="H338" i="301"/>
  <c r="C343" i="301"/>
  <c r="H343" i="301" s="1"/>
  <c r="H281" i="300"/>
  <c r="H225" i="304"/>
  <c r="H227" i="304"/>
  <c r="I285" i="299"/>
  <c r="H232" i="304"/>
  <c r="E32" i="304"/>
  <c r="I32" i="304" s="1"/>
  <c r="E104" i="299"/>
  <c r="E97" i="301"/>
  <c r="H227" i="302"/>
  <c r="H282" i="298"/>
  <c r="H228" i="298"/>
  <c r="C327" i="301"/>
  <c r="E127" i="301"/>
  <c r="I127" i="301" s="1"/>
  <c r="E128" i="301"/>
  <c r="I128" i="301" s="1"/>
  <c r="E50" i="299"/>
  <c r="I50" i="299" s="1"/>
  <c r="E66" i="300"/>
  <c r="I66" i="300" s="1"/>
  <c r="E65" i="300"/>
  <c r="I65" i="300" s="1"/>
  <c r="D358" i="303"/>
  <c r="I14" i="303"/>
  <c r="S376" i="298"/>
  <c r="U376" i="298" s="1"/>
  <c r="H358" i="298"/>
  <c r="I14" i="302"/>
  <c r="D358" i="302"/>
  <c r="S376" i="302" s="1"/>
  <c r="D358" i="301"/>
  <c r="I14" i="301"/>
  <c r="F15" i="302"/>
  <c r="I15" i="302" s="1"/>
  <c r="J35" i="302"/>
  <c r="H231" i="301"/>
  <c r="H226" i="303"/>
  <c r="H226" i="301"/>
  <c r="H227" i="301"/>
  <c r="H228" i="303"/>
  <c r="H232" i="303"/>
  <c r="U377" i="322"/>
  <c r="H229" i="301"/>
  <c r="G282" i="314"/>
  <c r="H281" i="314"/>
  <c r="G226" i="314"/>
  <c r="H225" i="314"/>
  <c r="G282" i="319"/>
  <c r="H281" i="319"/>
  <c r="G226" i="324"/>
  <c r="H225" i="324"/>
  <c r="G226" i="328"/>
  <c r="H225" i="328"/>
  <c r="F75" i="326"/>
  <c r="G75" i="326" s="1"/>
  <c r="F74" i="326"/>
  <c r="G74" i="326" s="1"/>
  <c r="G73" i="326"/>
  <c r="G226" i="321"/>
  <c r="H225" i="321"/>
  <c r="G282" i="318"/>
  <c r="H281" i="318"/>
  <c r="H230" i="299"/>
  <c r="F74" i="307"/>
  <c r="G74" i="307" s="1"/>
  <c r="F75" i="307"/>
  <c r="G75" i="307" s="1"/>
  <c r="G73" i="307"/>
  <c r="G282" i="312"/>
  <c r="H281" i="312"/>
  <c r="G226" i="319"/>
  <c r="H225" i="319"/>
  <c r="G73" i="327"/>
  <c r="F75" i="327"/>
  <c r="G75" i="327" s="1"/>
  <c r="F74" i="327"/>
  <c r="G74" i="327" s="1"/>
  <c r="G282" i="320"/>
  <c r="H281" i="320"/>
  <c r="G282" i="308"/>
  <c r="H281" i="308"/>
  <c r="G226" i="313"/>
  <c r="H225" i="313"/>
  <c r="G226" i="325"/>
  <c r="H225" i="325"/>
  <c r="C218" i="329"/>
  <c r="C218" i="328"/>
  <c r="B64" i="326"/>
  <c r="C218" i="325"/>
  <c r="C218" i="320"/>
  <c r="C218" i="322"/>
  <c r="C218" i="321"/>
  <c r="B64" i="327"/>
  <c r="C218" i="319"/>
  <c r="C218" i="318"/>
  <c r="C218" i="317"/>
  <c r="C218" i="311"/>
  <c r="B38" i="316"/>
  <c r="B38" i="315"/>
  <c r="C218" i="323"/>
  <c r="C218" i="314"/>
  <c r="C218" i="312"/>
  <c r="C218" i="313"/>
  <c r="C218" i="324"/>
  <c r="C218" i="309"/>
  <c r="C218" i="308"/>
  <c r="B64" i="307"/>
  <c r="C218" i="310"/>
  <c r="H227" i="299"/>
  <c r="H228" i="299"/>
  <c r="G226" i="309"/>
  <c r="H225" i="309"/>
  <c r="G226" i="323"/>
  <c r="H225" i="323"/>
  <c r="G226" i="311"/>
  <c r="H225" i="311"/>
  <c r="G226" i="329"/>
  <c r="H225" i="329"/>
  <c r="G226" i="320"/>
  <c r="H225" i="320"/>
  <c r="H283" i="301"/>
  <c r="H281" i="301"/>
  <c r="G226" i="310"/>
  <c r="H225" i="310"/>
  <c r="G282" i="310"/>
  <c r="H281" i="310"/>
  <c r="G282" i="311"/>
  <c r="H281" i="311"/>
  <c r="G226" i="318"/>
  <c r="H225" i="318"/>
  <c r="G282" i="321"/>
  <c r="H281" i="321"/>
  <c r="G282" i="328"/>
  <c r="H281" i="328"/>
  <c r="H283" i="304"/>
  <c r="G282" i="309"/>
  <c r="H281" i="309"/>
  <c r="G226" i="312"/>
  <c r="H225" i="312"/>
  <c r="G282" i="317"/>
  <c r="H281" i="317"/>
  <c r="G282" i="322"/>
  <c r="H281" i="322"/>
  <c r="G282" i="324"/>
  <c r="H281" i="324"/>
  <c r="G226" i="322"/>
  <c r="H225" i="322"/>
  <c r="G226" i="308"/>
  <c r="H225" i="308"/>
  <c r="G282" i="313"/>
  <c r="H281" i="313"/>
  <c r="G226" i="317"/>
  <c r="H225" i="317"/>
  <c r="G282" i="323"/>
  <c r="H281" i="323"/>
  <c r="G282" i="325"/>
  <c r="H281" i="325"/>
  <c r="G282" i="329"/>
  <c r="H281" i="329"/>
  <c r="D6" i="289"/>
  <c r="H86" i="328"/>
  <c r="I85" i="328"/>
  <c r="H85" i="325"/>
  <c r="I84" i="325"/>
  <c r="S379" i="324"/>
  <c r="U379" i="324" s="1"/>
  <c r="C336" i="324"/>
  <c r="C336" i="323"/>
  <c r="S379" i="322"/>
  <c r="U379" i="322" s="1"/>
  <c r="C336" i="322"/>
  <c r="C335" i="317"/>
  <c r="C320" i="317"/>
  <c r="C331" i="317"/>
  <c r="H331" i="317" s="1"/>
  <c r="H337" i="317" s="1"/>
  <c r="C313" i="317"/>
  <c r="H313" i="317" s="1"/>
  <c r="H314" i="317" s="1"/>
  <c r="T383" i="317" s="1"/>
  <c r="U383" i="317" s="1"/>
  <c r="S377" i="317"/>
  <c r="U377" i="317" s="1"/>
  <c r="C313" i="314"/>
  <c r="H313" i="314" s="1"/>
  <c r="H314" i="314" s="1"/>
  <c r="T383" i="314" s="1"/>
  <c r="U383" i="314" s="1"/>
  <c r="S377" i="314"/>
  <c r="U377" i="314" s="1"/>
  <c r="C335" i="314"/>
  <c r="C320" i="314"/>
  <c r="C331" i="314"/>
  <c r="H331" i="314" s="1"/>
  <c r="H337" i="314" s="1"/>
  <c r="I84" i="314"/>
  <c r="H85" i="314"/>
  <c r="C313" i="313"/>
  <c r="H313" i="313" s="1"/>
  <c r="H314" i="313" s="1"/>
  <c r="T383" i="313" s="1"/>
  <c r="U383" i="313" s="1"/>
  <c r="S377" i="313"/>
  <c r="U377" i="313" s="1"/>
  <c r="C335" i="313"/>
  <c r="C320" i="313"/>
  <c r="C331" i="313"/>
  <c r="H331" i="313" s="1"/>
  <c r="H337" i="313" s="1"/>
  <c r="C335" i="309"/>
  <c r="C320" i="309"/>
  <c r="C331" i="309"/>
  <c r="H331" i="309" s="1"/>
  <c r="H83" i="309"/>
  <c r="I82" i="309"/>
  <c r="H337" i="309"/>
  <c r="S379" i="309" s="1"/>
  <c r="U379" i="309" s="1"/>
  <c r="C313" i="309"/>
  <c r="H313" i="309" s="1"/>
  <c r="H314" i="309" s="1"/>
  <c r="T383" i="309" s="1"/>
  <c r="U383" i="309" s="1"/>
  <c r="S377" i="309"/>
  <c r="U377" i="309" s="1"/>
  <c r="S379" i="308"/>
  <c r="U379" i="308" s="1"/>
  <c r="C336" i="308"/>
  <c r="G235" i="302"/>
  <c r="G237" i="302" s="1"/>
  <c r="G239" i="302" s="1"/>
  <c r="G241" i="302" s="1"/>
  <c r="G243" i="302" s="1"/>
  <c r="G244" i="302" s="1"/>
  <c r="G236" i="302"/>
  <c r="G238" i="302" s="1"/>
  <c r="G240" i="302" s="1"/>
  <c r="H240" i="302" s="1"/>
  <c r="B38" i="306"/>
  <c r="C218" i="299"/>
  <c r="C218" i="302"/>
  <c r="C218" i="298"/>
  <c r="I220" i="298" s="1"/>
  <c r="G220" i="298" s="1"/>
  <c r="C218" i="301"/>
  <c r="I220" i="301" s="1"/>
  <c r="G220" i="301" s="1"/>
  <c r="C218" i="300"/>
  <c r="C218" i="304"/>
  <c r="I220" i="304" s="1"/>
  <c r="G220" i="304" s="1"/>
  <c r="C218" i="303"/>
  <c r="H282" i="300"/>
  <c r="G236" i="301"/>
  <c r="G235" i="301"/>
  <c r="G237" i="301" s="1"/>
  <c r="G239" i="301" s="1"/>
  <c r="G241" i="301" s="1"/>
  <c r="G243" i="301" s="1"/>
  <c r="G244" i="301" s="1"/>
  <c r="H282" i="299"/>
  <c r="H285" i="299" s="1"/>
  <c r="G235" i="304"/>
  <c r="G237" i="304" s="1"/>
  <c r="G239" i="304" s="1"/>
  <c r="G241" i="304" s="1"/>
  <c r="G236" i="304"/>
  <c r="G238" i="304" s="1"/>
  <c r="G240" i="304" s="1"/>
  <c r="H240" i="304" s="1"/>
  <c r="G236" i="298"/>
  <c r="G238" i="298" s="1"/>
  <c r="G240" i="298" s="1"/>
  <c r="H240" i="298" s="1"/>
  <c r="G235" i="298"/>
  <c r="G237" i="298" s="1"/>
  <c r="G235" i="299"/>
  <c r="G237" i="299" s="1"/>
  <c r="G239" i="299" s="1"/>
  <c r="G241" i="299" s="1"/>
  <c r="G243" i="299" s="1"/>
  <c r="G244" i="299" s="1"/>
  <c r="G236" i="299"/>
  <c r="G238" i="299" s="1"/>
  <c r="G240" i="299" s="1"/>
  <c r="H240" i="299" s="1"/>
  <c r="G236" i="303"/>
  <c r="G238" i="303" s="1"/>
  <c r="G240" i="303" s="1"/>
  <c r="H240" i="303" s="1"/>
  <c r="G235" i="303"/>
  <c r="G237" i="303" s="1"/>
  <c r="G239" i="303" s="1"/>
  <c r="G241" i="303" s="1"/>
  <c r="H283" i="300"/>
  <c r="H235" i="301"/>
  <c r="G235" i="300"/>
  <c r="G237" i="300" s="1"/>
  <c r="G236" i="300"/>
  <c r="G238" i="300" s="1"/>
  <c r="G240" i="300" s="1"/>
  <c r="H240" i="300" s="1"/>
  <c r="H231" i="298"/>
  <c r="H282" i="301"/>
  <c r="H282" i="303"/>
  <c r="H285" i="303" s="1"/>
  <c r="H285" i="304"/>
  <c r="E23" i="304"/>
  <c r="I23" i="304" s="1"/>
  <c r="E24" i="304"/>
  <c r="I24" i="304" s="1"/>
  <c r="C325" i="304"/>
  <c r="E40" i="304"/>
  <c r="I40" i="304" s="1"/>
  <c r="E39" i="304"/>
  <c r="I39" i="304" s="1"/>
  <c r="H19" i="304"/>
  <c r="I18" i="304"/>
  <c r="D348" i="304"/>
  <c r="H348" i="304" s="1"/>
  <c r="D357" i="304"/>
  <c r="D342" i="304"/>
  <c r="H342" i="304" s="1"/>
  <c r="C239" i="304"/>
  <c r="E239" i="304" s="1"/>
  <c r="E230" i="304"/>
  <c r="H230" i="304" s="1"/>
  <c r="B266" i="304"/>
  <c r="B267" i="304"/>
  <c r="B268" i="304" s="1"/>
  <c r="B270" i="304" s="1"/>
  <c r="B271" i="304" s="1"/>
  <c r="B272" i="304" s="1"/>
  <c r="B274" i="304" s="1"/>
  <c r="B275" i="304" s="1"/>
  <c r="B276" i="304" s="1"/>
  <c r="B277" i="304" s="1"/>
  <c r="B278" i="304" s="1"/>
  <c r="B279" i="304" s="1"/>
  <c r="C237" i="304"/>
  <c r="E237" i="304" s="1"/>
  <c r="E228" i="304"/>
  <c r="C88" i="304"/>
  <c r="E88" i="304"/>
  <c r="E186" i="304"/>
  <c r="I186" i="304" s="1"/>
  <c r="E185" i="304"/>
  <c r="I185" i="304" s="1"/>
  <c r="I273" i="304"/>
  <c r="C104" i="304"/>
  <c r="I101" i="304"/>
  <c r="E104" i="304" s="1"/>
  <c r="C153" i="304"/>
  <c r="I150" i="304"/>
  <c r="E153" i="304" s="1"/>
  <c r="H243" i="304"/>
  <c r="I250" i="304"/>
  <c r="C112" i="304"/>
  <c r="D382" i="304" s="1"/>
  <c r="I382" i="304" s="1"/>
  <c r="I108" i="304"/>
  <c r="E112" i="304" s="1"/>
  <c r="E97" i="304"/>
  <c r="F116" i="304"/>
  <c r="D143" i="304"/>
  <c r="C327" i="304"/>
  <c r="E128" i="304"/>
  <c r="I128" i="304" s="1"/>
  <c r="E127" i="304"/>
  <c r="I127" i="304" s="1"/>
  <c r="I285" i="304"/>
  <c r="E141" i="304"/>
  <c r="I141" i="304" s="1"/>
  <c r="E140" i="304"/>
  <c r="I140" i="304" s="1"/>
  <c r="C97" i="304"/>
  <c r="E165" i="304"/>
  <c r="E164" i="304"/>
  <c r="I164" i="304" s="1"/>
  <c r="C324" i="304"/>
  <c r="H323" i="304"/>
  <c r="E186" i="303"/>
  <c r="I186" i="303" s="1"/>
  <c r="E185" i="303"/>
  <c r="I185" i="303" s="1"/>
  <c r="I285" i="303"/>
  <c r="E227" i="303"/>
  <c r="H227" i="303" s="1"/>
  <c r="C236" i="303"/>
  <c r="E236" i="303" s="1"/>
  <c r="H236" i="303" s="1"/>
  <c r="E164" i="303"/>
  <c r="I164" i="303" s="1"/>
  <c r="E165" i="303"/>
  <c r="C323" i="303"/>
  <c r="E32" i="303"/>
  <c r="I32" i="303" s="1"/>
  <c r="E33" i="303"/>
  <c r="I33" i="303" s="1"/>
  <c r="E128" i="303"/>
  <c r="I128" i="303" s="1"/>
  <c r="E127" i="303"/>
  <c r="I127" i="303" s="1"/>
  <c r="C327" i="303"/>
  <c r="C243" i="303"/>
  <c r="E243" i="303" s="1"/>
  <c r="F68" i="303"/>
  <c r="I68" i="303" s="1"/>
  <c r="H21" i="303"/>
  <c r="I21" i="303" s="1"/>
  <c r="I20" i="303"/>
  <c r="D348" i="303"/>
  <c r="H348" i="303" s="1"/>
  <c r="D357" i="303"/>
  <c r="D342" i="303"/>
  <c r="H342" i="303" s="1"/>
  <c r="F15" i="303"/>
  <c r="I15" i="303" s="1"/>
  <c r="E148" i="303"/>
  <c r="I148" i="303" s="1"/>
  <c r="E147" i="303"/>
  <c r="I147" i="303" s="1"/>
  <c r="C329" i="303"/>
  <c r="E121" i="303"/>
  <c r="I121" i="303" s="1"/>
  <c r="E120" i="303"/>
  <c r="I120" i="303" s="1"/>
  <c r="I92" i="303"/>
  <c r="E97" i="303" s="1"/>
  <c r="C97" i="303"/>
  <c r="E154" i="303"/>
  <c r="I154" i="303" s="1"/>
  <c r="E155" i="303"/>
  <c r="I155" i="303" s="1"/>
  <c r="B267" i="303"/>
  <c r="B268" i="303" s="1"/>
  <c r="B270" i="303" s="1"/>
  <c r="B271" i="303" s="1"/>
  <c r="B272" i="303" s="1"/>
  <c r="B274" i="303" s="1"/>
  <c r="B275" i="303" s="1"/>
  <c r="B276" i="303" s="1"/>
  <c r="B277" i="303" s="1"/>
  <c r="B278" i="303" s="1"/>
  <c r="B279" i="303" s="1"/>
  <c r="B266" i="303"/>
  <c r="C234" i="303"/>
  <c r="E234" i="303" s="1"/>
  <c r="E225" i="303"/>
  <c r="I265" i="303"/>
  <c r="E164" i="302"/>
  <c r="I164" i="302" s="1"/>
  <c r="E165" i="302"/>
  <c r="I273" i="302"/>
  <c r="I258" i="302"/>
  <c r="B267" i="302"/>
  <c r="B268" i="302" s="1"/>
  <c r="B270" i="302" s="1"/>
  <c r="B271" i="302" s="1"/>
  <c r="B272" i="302" s="1"/>
  <c r="B274" i="302" s="1"/>
  <c r="B275" i="302" s="1"/>
  <c r="B276" i="302" s="1"/>
  <c r="B277" i="302" s="1"/>
  <c r="B278" i="302" s="1"/>
  <c r="B279" i="302" s="1"/>
  <c r="B266" i="302"/>
  <c r="E22" i="302"/>
  <c r="C22" i="302"/>
  <c r="I143" i="302"/>
  <c r="E146" i="302" s="1"/>
  <c r="C146" i="302"/>
  <c r="C243" i="302"/>
  <c r="E243" i="302" s="1"/>
  <c r="F68" i="302"/>
  <c r="I68" i="302" s="1"/>
  <c r="C241" i="302"/>
  <c r="E241" i="302" s="1"/>
  <c r="E232" i="302"/>
  <c r="H232" i="302" s="1"/>
  <c r="I269" i="302"/>
  <c r="D340" i="302"/>
  <c r="H340" i="302" s="1"/>
  <c r="I113" i="302"/>
  <c r="H329" i="302"/>
  <c r="C330" i="302"/>
  <c r="H330" i="302" s="1"/>
  <c r="E33" i="302"/>
  <c r="I33" i="302" s="1"/>
  <c r="C323" i="302"/>
  <c r="E32" i="302"/>
  <c r="I32" i="302" s="1"/>
  <c r="E128" i="302"/>
  <c r="I128" i="302" s="1"/>
  <c r="C327" i="302"/>
  <c r="E127" i="302"/>
  <c r="I127" i="302" s="1"/>
  <c r="E229" i="302"/>
  <c r="H229" i="302" s="1"/>
  <c r="C238" i="302"/>
  <c r="E238" i="302" s="1"/>
  <c r="H238" i="302" s="1"/>
  <c r="H285" i="302"/>
  <c r="I265" i="302"/>
  <c r="E226" i="302"/>
  <c r="H226" i="302" s="1"/>
  <c r="C235" i="302"/>
  <c r="E235" i="302" s="1"/>
  <c r="H235" i="302" s="1"/>
  <c r="E97" i="302"/>
  <c r="C153" i="302"/>
  <c r="I150" i="302"/>
  <c r="E153" i="302" s="1"/>
  <c r="H225" i="302"/>
  <c r="I285" i="302"/>
  <c r="H234" i="302"/>
  <c r="E228" i="302"/>
  <c r="H228" i="302" s="1"/>
  <c r="C237" i="302"/>
  <c r="E237" i="302" s="1"/>
  <c r="H237" i="302" s="1"/>
  <c r="D348" i="302"/>
  <c r="H348" i="302" s="1"/>
  <c r="D357" i="302"/>
  <c r="D342" i="302"/>
  <c r="H342" i="302" s="1"/>
  <c r="C97" i="302"/>
  <c r="D348" i="301"/>
  <c r="H348" i="301" s="1"/>
  <c r="D357" i="301"/>
  <c r="D342" i="301"/>
  <c r="H342" i="301" s="1"/>
  <c r="E99" i="301"/>
  <c r="I99" i="301" s="1"/>
  <c r="E98" i="301"/>
  <c r="I98" i="301" s="1"/>
  <c r="C22" i="301"/>
  <c r="C153" i="301"/>
  <c r="C243" i="301"/>
  <c r="E243" i="301" s="1"/>
  <c r="F68" i="301"/>
  <c r="C334" i="301" a="1"/>
  <c r="C334" i="301" s="1"/>
  <c r="E164" i="301"/>
  <c r="I164" i="301" s="1"/>
  <c r="E165" i="301"/>
  <c r="H19" i="301"/>
  <c r="I18" i="301"/>
  <c r="B266" i="301"/>
  <c r="B267" i="301"/>
  <c r="B268" i="301" s="1"/>
  <c r="B270" i="301" s="1"/>
  <c r="B271" i="301" s="1"/>
  <c r="B272" i="301" s="1"/>
  <c r="B274" i="301" s="1"/>
  <c r="B275" i="301" s="1"/>
  <c r="B276" i="301" s="1"/>
  <c r="B277" i="301" s="1"/>
  <c r="B278" i="301" s="1"/>
  <c r="B279" i="301" s="1"/>
  <c r="H83" i="301"/>
  <c r="I82" i="301"/>
  <c r="E33" i="301"/>
  <c r="I33" i="301" s="1"/>
  <c r="C323" i="301"/>
  <c r="E32" i="301"/>
  <c r="I32" i="301" s="1"/>
  <c r="C329" i="301"/>
  <c r="E120" i="301"/>
  <c r="I120" i="301" s="1"/>
  <c r="E121" i="301"/>
  <c r="I121" i="301" s="1"/>
  <c r="E228" i="301"/>
  <c r="H228" i="301" s="1"/>
  <c r="C237" i="301"/>
  <c r="E237" i="301" s="1"/>
  <c r="H237" i="301" s="1"/>
  <c r="E185" i="301"/>
  <c r="I185" i="301" s="1"/>
  <c r="E186" i="301"/>
  <c r="I186" i="301" s="1"/>
  <c r="I285" i="301"/>
  <c r="I101" i="301"/>
  <c r="E104" i="301" s="1"/>
  <c r="C104" i="301"/>
  <c r="D385" i="301" s="1"/>
  <c r="I385" i="301" s="1"/>
  <c r="H225" i="301"/>
  <c r="H234" i="301"/>
  <c r="I143" i="301"/>
  <c r="E146" i="301" s="1"/>
  <c r="C146" i="301"/>
  <c r="C239" i="301"/>
  <c r="E239" i="301" s="1"/>
  <c r="H239" i="301" s="1"/>
  <c r="E230" i="301"/>
  <c r="H230" i="301" s="1"/>
  <c r="I269" i="301"/>
  <c r="I273" i="301"/>
  <c r="C56" i="301"/>
  <c r="I52" i="301"/>
  <c r="E56" i="301" s="1"/>
  <c r="C325" i="301"/>
  <c r="E40" i="301"/>
  <c r="I40" i="301" s="1"/>
  <c r="E39" i="301"/>
  <c r="I39" i="301" s="1"/>
  <c r="C153" i="300"/>
  <c r="I150" i="300"/>
  <c r="E153" i="300" s="1"/>
  <c r="H329" i="300"/>
  <c r="C330" i="300"/>
  <c r="H330" i="300" s="1"/>
  <c r="E98" i="300"/>
  <c r="I98" i="300" s="1"/>
  <c r="E99" i="300"/>
  <c r="I99" i="300" s="1"/>
  <c r="C56" i="300"/>
  <c r="I52" i="300"/>
  <c r="E56" i="300" s="1"/>
  <c r="H225" i="300"/>
  <c r="I84" i="300"/>
  <c r="D35" i="300"/>
  <c r="J42" i="300"/>
  <c r="D42" i="300" s="1"/>
  <c r="F42" i="300" s="1"/>
  <c r="B267" i="300"/>
  <c r="B268" i="300" s="1"/>
  <c r="B270" i="300" s="1"/>
  <c r="B271" i="300" s="1"/>
  <c r="B272" i="300" s="1"/>
  <c r="B274" i="300" s="1"/>
  <c r="B275" i="300" s="1"/>
  <c r="B276" i="300" s="1"/>
  <c r="B277" i="300" s="1"/>
  <c r="B278" i="300" s="1"/>
  <c r="B279" i="300" s="1"/>
  <c r="B266" i="300"/>
  <c r="H234" i="300"/>
  <c r="E164" i="300"/>
  <c r="I164" i="300" s="1"/>
  <c r="E165" i="300"/>
  <c r="C243" i="300"/>
  <c r="E243" i="300" s="1"/>
  <c r="F68" i="300"/>
  <c r="I68" i="300" s="1"/>
  <c r="C334" i="300" a="1"/>
  <c r="C334" i="300" s="1"/>
  <c r="E186" i="300"/>
  <c r="I186" i="300" s="1"/>
  <c r="E185" i="300"/>
  <c r="I185" i="300" s="1"/>
  <c r="I143" i="300"/>
  <c r="E146" i="300" s="1"/>
  <c r="C146" i="300"/>
  <c r="D348" i="300"/>
  <c r="H348" i="300" s="1"/>
  <c r="D357" i="300"/>
  <c r="D342" i="300"/>
  <c r="H342" i="300" s="1"/>
  <c r="H350" i="300" s="1"/>
  <c r="E226" i="300"/>
  <c r="H226" i="300" s="1"/>
  <c r="C235" i="300"/>
  <c r="E235" i="300" s="1"/>
  <c r="H235" i="300" s="1"/>
  <c r="I14" i="300"/>
  <c r="E22" i="300" s="1"/>
  <c r="C22" i="300"/>
  <c r="H86" i="300"/>
  <c r="I85" i="300"/>
  <c r="I273" i="300"/>
  <c r="I269" i="300"/>
  <c r="C323" i="300"/>
  <c r="E33" i="300"/>
  <c r="I33" i="300" s="1"/>
  <c r="E32" i="300"/>
  <c r="I32" i="300" s="1"/>
  <c r="C328" i="300"/>
  <c r="H328" i="300" s="1"/>
  <c r="H327" i="300"/>
  <c r="C241" i="300"/>
  <c r="E241" i="300" s="1"/>
  <c r="E232" i="300"/>
  <c r="H232" i="300" s="1"/>
  <c r="E97" i="299"/>
  <c r="E154" i="299"/>
  <c r="I154" i="299" s="1"/>
  <c r="E155" i="299"/>
  <c r="I155" i="299" s="1"/>
  <c r="C241" i="299"/>
  <c r="E241" i="299" s="1"/>
  <c r="E232" i="299"/>
  <c r="H232" i="299" s="1"/>
  <c r="B266" i="299"/>
  <c r="B267" i="299"/>
  <c r="B268" i="299" s="1"/>
  <c r="B270" i="299" s="1"/>
  <c r="B271" i="299" s="1"/>
  <c r="B272" i="299" s="1"/>
  <c r="B274" i="299" s="1"/>
  <c r="B275" i="299" s="1"/>
  <c r="B276" i="299" s="1"/>
  <c r="B277" i="299" s="1"/>
  <c r="B278" i="299" s="1"/>
  <c r="B279" i="299" s="1"/>
  <c r="C97" i="299"/>
  <c r="E165" i="299"/>
  <c r="E164" i="299"/>
  <c r="I164" i="299" s="1"/>
  <c r="E163" i="299"/>
  <c r="C325" i="299"/>
  <c r="E39" i="299"/>
  <c r="I39" i="299" s="1"/>
  <c r="E40" i="299"/>
  <c r="I40" i="299" s="1"/>
  <c r="E229" i="299"/>
  <c r="H229" i="299" s="1"/>
  <c r="C238" i="299"/>
  <c r="E238" i="299" s="1"/>
  <c r="I242" i="299" s="1"/>
  <c r="J250" i="299" s="1"/>
  <c r="C323" i="299"/>
  <c r="E33" i="299"/>
  <c r="I33" i="299" s="1"/>
  <c r="E32" i="299"/>
  <c r="I32" i="299" s="1"/>
  <c r="E186" i="299"/>
  <c r="I186" i="299" s="1"/>
  <c r="E185" i="299"/>
  <c r="I185" i="299" s="1"/>
  <c r="C56" i="299"/>
  <c r="I52" i="299"/>
  <c r="E56" i="299" s="1"/>
  <c r="E121" i="299"/>
  <c r="I121" i="299" s="1"/>
  <c r="C329" i="299"/>
  <c r="E120" i="299"/>
  <c r="I120" i="299" s="1"/>
  <c r="D348" i="299"/>
  <c r="H348" i="299" s="1"/>
  <c r="D357" i="299"/>
  <c r="D342" i="299"/>
  <c r="H342" i="299" s="1"/>
  <c r="D292" i="299"/>
  <c r="H234" i="299"/>
  <c r="C327" i="299"/>
  <c r="E128" i="299"/>
  <c r="I128" i="299" s="1"/>
  <c r="E127" i="299"/>
  <c r="I127" i="299" s="1"/>
  <c r="C243" i="299"/>
  <c r="E243" i="299" s="1"/>
  <c r="F68" i="299"/>
  <c r="I68" i="299" s="1"/>
  <c r="C334" i="299" a="1"/>
  <c r="C334" i="299" s="1"/>
  <c r="I19" i="299"/>
  <c r="H20" i="299"/>
  <c r="H358" i="299"/>
  <c r="C22" i="299"/>
  <c r="E147" i="299"/>
  <c r="I147" i="299" s="1"/>
  <c r="E148" i="299"/>
  <c r="I148" i="299" s="1"/>
  <c r="I265" i="299"/>
  <c r="C104" i="299"/>
  <c r="H76" i="299"/>
  <c r="I72" i="299"/>
  <c r="H225" i="299"/>
  <c r="E186" i="298"/>
  <c r="I186" i="298" s="1"/>
  <c r="E185" i="298"/>
  <c r="I185" i="298" s="1"/>
  <c r="E227" i="298"/>
  <c r="H227" i="298" s="1"/>
  <c r="C236" i="298"/>
  <c r="E236" i="298" s="1"/>
  <c r="H236" i="298" s="1"/>
  <c r="E165" i="298"/>
  <c r="E164" i="298"/>
  <c r="I164" i="298" s="1"/>
  <c r="I101" i="298"/>
  <c r="E104" i="298" s="1"/>
  <c r="C104" i="298"/>
  <c r="D382" i="298"/>
  <c r="I382" i="298" s="1"/>
  <c r="E24" i="298"/>
  <c r="I24" i="298" s="1"/>
  <c r="E23" i="298"/>
  <c r="I23" i="298" s="1"/>
  <c r="E154" i="298"/>
  <c r="I154" i="298" s="1"/>
  <c r="E155" i="298"/>
  <c r="I155" i="298" s="1"/>
  <c r="C97" i="298"/>
  <c r="I92" i="298"/>
  <c r="E97" i="298" s="1"/>
  <c r="E192" i="298"/>
  <c r="I192" i="298" s="1"/>
  <c r="E193" i="298"/>
  <c r="I193" i="298" s="1"/>
  <c r="E229" i="298"/>
  <c r="H229" i="298" s="1"/>
  <c r="C238" i="298"/>
  <c r="E238" i="298" s="1"/>
  <c r="H238" i="298" s="1"/>
  <c r="C235" i="298"/>
  <c r="E235" i="298" s="1"/>
  <c r="H235" i="298" s="1"/>
  <c r="E226" i="298"/>
  <c r="H226" i="298" s="1"/>
  <c r="B266" i="298"/>
  <c r="B267" i="298"/>
  <c r="B268" i="298" s="1"/>
  <c r="B270" i="298" s="1"/>
  <c r="B271" i="298" s="1"/>
  <c r="B272" i="298" s="1"/>
  <c r="B274" i="298" s="1"/>
  <c r="B275" i="298" s="1"/>
  <c r="B276" i="298" s="1"/>
  <c r="B277" i="298" s="1"/>
  <c r="B278" i="298" s="1"/>
  <c r="B279" i="298" s="1"/>
  <c r="H225" i="298"/>
  <c r="C328" i="298"/>
  <c r="H328" i="298" s="1"/>
  <c r="H327" i="298"/>
  <c r="I258" i="298"/>
  <c r="H21" i="298"/>
  <c r="I21" i="298" s="1"/>
  <c r="I20" i="298"/>
  <c r="E113" i="298"/>
  <c r="E114" i="298"/>
  <c r="I114" i="298" s="1"/>
  <c r="C266" i="298"/>
  <c r="E266" i="298" s="1"/>
  <c r="F143" i="298"/>
  <c r="H234" i="298"/>
  <c r="D348" i="298"/>
  <c r="H348" i="298" s="1"/>
  <c r="D357" i="298"/>
  <c r="D342" i="298"/>
  <c r="H342" i="298" s="1"/>
  <c r="E140" i="298"/>
  <c r="I140" i="298" s="1"/>
  <c r="E141" i="298"/>
  <c r="I141" i="298" s="1"/>
  <c r="C325" i="298"/>
  <c r="E40" i="298"/>
  <c r="I40" i="298" s="1"/>
  <c r="E39" i="298"/>
  <c r="I39" i="298" s="1"/>
  <c r="C119" i="298"/>
  <c r="D380" i="298" s="1"/>
  <c r="I116" i="298"/>
  <c r="E119" i="298" s="1"/>
  <c r="E88" i="298"/>
  <c r="C88" i="298"/>
  <c r="E32" i="298"/>
  <c r="I32" i="298" s="1"/>
  <c r="C323" i="298"/>
  <c r="E33" i="298"/>
  <c r="I33" i="298" s="1"/>
  <c r="I250" i="298"/>
  <c r="D55" i="217"/>
  <c r="F55" i="217"/>
  <c r="H53" i="217"/>
  <c r="H54" i="217" s="1"/>
  <c r="D54" i="217"/>
  <c r="F54" i="217"/>
  <c r="D53" i="217"/>
  <c r="I53" i="217" s="1"/>
  <c r="F53" i="217"/>
  <c r="F52" i="217"/>
  <c r="H15" i="217"/>
  <c r="H16" i="217" s="1"/>
  <c r="H17" i="217" s="1"/>
  <c r="E211" i="217"/>
  <c r="E212" i="217" s="1"/>
  <c r="G313" i="217"/>
  <c r="J56" i="217"/>
  <c r="I386" i="217"/>
  <c r="D386" i="217"/>
  <c r="G329" i="217"/>
  <c r="G328" i="217"/>
  <c r="B24" i="218"/>
  <c r="D351" i="217"/>
  <c r="H351" i="217" s="1"/>
  <c r="D352" i="217"/>
  <c r="H352" i="217" s="1"/>
  <c r="G325" i="217"/>
  <c r="G323" i="217"/>
  <c r="E43" i="217"/>
  <c r="F43" i="217" s="1"/>
  <c r="E44" i="217"/>
  <c r="E45" i="217"/>
  <c r="E46" i="217"/>
  <c r="E47" i="217"/>
  <c r="E42" i="217"/>
  <c r="F42" i="217" s="1"/>
  <c r="I42" i="217" s="1"/>
  <c r="D43" i="217"/>
  <c r="D44" i="217"/>
  <c r="D45" i="217"/>
  <c r="D46" i="217"/>
  <c r="D47" i="217"/>
  <c r="D42" i="217"/>
  <c r="E27" i="217"/>
  <c r="E28" i="217"/>
  <c r="F28" i="217" s="1"/>
  <c r="I28" i="217" s="1"/>
  <c r="E29" i="217"/>
  <c r="E30" i="217"/>
  <c r="E26" i="217"/>
  <c r="E92" i="217" s="1"/>
  <c r="D225" i="217" s="1"/>
  <c r="D234" i="217" s="1"/>
  <c r="D27" i="217"/>
  <c r="D28" i="217"/>
  <c r="D29" i="217"/>
  <c r="D30" i="217"/>
  <c r="G288" i="217"/>
  <c r="G286" i="217"/>
  <c r="G281" i="217"/>
  <c r="B288" i="217"/>
  <c r="B289" i="217" s="1"/>
  <c r="B286" i="217"/>
  <c r="B287" i="217" s="1"/>
  <c r="B281" i="217"/>
  <c r="B282" i="217" s="1"/>
  <c r="B283" i="217" s="1"/>
  <c r="B284" i="217" s="1"/>
  <c r="B226" i="217"/>
  <c r="B227" i="217" s="1"/>
  <c r="B228" i="217" s="1"/>
  <c r="B229" i="217" s="1"/>
  <c r="B230" i="217" s="1"/>
  <c r="B231" i="217" s="1"/>
  <c r="B232" i="217" s="1"/>
  <c r="B234" i="217" s="1"/>
  <c r="B235" i="217" s="1"/>
  <c r="B236" i="217" s="1"/>
  <c r="B237" i="217" s="1"/>
  <c r="B238" i="217" s="1"/>
  <c r="B239" i="217" s="1"/>
  <c r="B240" i="217" s="1"/>
  <c r="F318" i="217"/>
  <c r="G318" i="217" s="1"/>
  <c r="E321" i="217"/>
  <c r="E319" i="217"/>
  <c r="G305" i="217"/>
  <c r="G303" i="217"/>
  <c r="H303" i="217" s="1"/>
  <c r="G302" i="217"/>
  <c r="H302" i="217" s="1"/>
  <c r="G298" i="217"/>
  <c r="H298" i="217" s="1"/>
  <c r="C219" i="217"/>
  <c r="C220" i="217" s="1"/>
  <c r="C221" i="217" s="1"/>
  <c r="B25" i="218"/>
  <c r="G226" i="217"/>
  <c r="G227" i="217" s="1"/>
  <c r="C223" i="217"/>
  <c r="C222" i="217"/>
  <c r="E8" i="217"/>
  <c r="C8" i="217"/>
  <c r="F190" i="217"/>
  <c r="D14" i="217"/>
  <c r="E366" i="217"/>
  <c r="M5" i="217"/>
  <c r="C368" i="217"/>
  <c r="G366" i="217"/>
  <c r="D345" i="217"/>
  <c r="H345" i="217" s="1"/>
  <c r="C341" i="217"/>
  <c r="H341" i="217" s="1"/>
  <c r="C340" i="217"/>
  <c r="C316" i="217"/>
  <c r="H312" i="217"/>
  <c r="D310" i="217"/>
  <c r="C309" i="217"/>
  <c r="C310" i="217" s="1"/>
  <c r="H310" i="217" s="1"/>
  <c r="H307" i="217"/>
  <c r="E305" i="217"/>
  <c r="E304" i="217"/>
  <c r="D371" i="217" s="1"/>
  <c r="H301" i="217"/>
  <c r="H299" i="217"/>
  <c r="H297" i="217"/>
  <c r="F296" i="217"/>
  <c r="F298" i="217" s="1"/>
  <c r="F300" i="217" s="1"/>
  <c r="F302" i="217" s="1"/>
  <c r="F303" i="217" s="1"/>
  <c r="H295" i="217"/>
  <c r="F290" i="217"/>
  <c r="E289" i="217"/>
  <c r="E288" i="217"/>
  <c r="E287" i="217"/>
  <c r="E286" i="217"/>
  <c r="I290" i="217" s="1"/>
  <c r="F284" i="217"/>
  <c r="F283" i="217"/>
  <c r="F279" i="217"/>
  <c r="F278" i="217"/>
  <c r="F277" i="217"/>
  <c r="F276" i="217"/>
  <c r="I275" i="217"/>
  <c r="I276" i="217" s="1"/>
  <c r="I277" i="217" s="1"/>
  <c r="I278" i="217" s="1"/>
  <c r="I279" i="217" s="1"/>
  <c r="F275" i="217"/>
  <c r="F274" i="217"/>
  <c r="F264" i="217"/>
  <c r="F263" i="217"/>
  <c r="F262" i="217"/>
  <c r="F261" i="217"/>
  <c r="F260" i="217"/>
  <c r="F259" i="217"/>
  <c r="F257" i="217"/>
  <c r="F256" i="217"/>
  <c r="F255" i="217"/>
  <c r="F254" i="217"/>
  <c r="F253" i="217"/>
  <c r="I252" i="217"/>
  <c r="I253" i="217" s="1"/>
  <c r="I254" i="217" s="1"/>
  <c r="I255" i="217" s="1"/>
  <c r="I256" i="217" s="1"/>
  <c r="I257" i="217" s="1"/>
  <c r="F252" i="217"/>
  <c r="F251" i="217"/>
  <c r="F249" i="217"/>
  <c r="F248" i="217"/>
  <c r="F247" i="217"/>
  <c r="F246" i="217"/>
  <c r="F245" i="217"/>
  <c r="F244" i="217"/>
  <c r="F243" i="217"/>
  <c r="F229" i="217"/>
  <c r="F238" i="217" s="1"/>
  <c r="F228" i="217"/>
  <c r="F237" i="217" s="1"/>
  <c r="F227" i="217"/>
  <c r="F236" i="217" s="1"/>
  <c r="F226" i="217"/>
  <c r="F235" i="217" s="1"/>
  <c r="F225" i="217"/>
  <c r="F234" i="217" s="1"/>
  <c r="I222" i="217"/>
  <c r="I221" i="217"/>
  <c r="E213" i="217"/>
  <c r="E214" i="217"/>
  <c r="E209" i="217"/>
  <c r="E210" i="217" s="1"/>
  <c r="I207" i="217"/>
  <c r="I208" i="217" s="1"/>
  <c r="E207" i="217"/>
  <c r="E208" i="217" s="1"/>
  <c r="I205" i="217"/>
  <c r="I206" i="217"/>
  <c r="E205" i="217"/>
  <c r="E206" i="217"/>
  <c r="I203" i="217"/>
  <c r="I204" i="217" s="1"/>
  <c r="E203" i="217"/>
  <c r="G201" i="217"/>
  <c r="G200" i="217"/>
  <c r="C199" i="217"/>
  <c r="E201" i="217" s="1"/>
  <c r="I201" i="217" s="1"/>
  <c r="H198" i="217"/>
  <c r="H196" i="217"/>
  <c r="I196" i="217" s="1"/>
  <c r="I195" i="217"/>
  <c r="G193" i="217"/>
  <c r="G192" i="217"/>
  <c r="H189" i="217"/>
  <c r="I189" i="217" s="1"/>
  <c r="I188" i="217"/>
  <c r="G186" i="217"/>
  <c r="G185" i="217"/>
  <c r="C184" i="217"/>
  <c r="E185" i="217" s="1"/>
  <c r="H182" i="217"/>
  <c r="I181" i="217"/>
  <c r="G179" i="217"/>
  <c r="G178" i="217"/>
  <c r="C177" i="217"/>
  <c r="E178" i="217" s="1"/>
  <c r="I178" i="217" s="1"/>
  <c r="H175" i="217"/>
  <c r="H176" i="217" s="1"/>
  <c r="I176" i="217" s="1"/>
  <c r="I174" i="217"/>
  <c r="G172" i="217"/>
  <c r="G171" i="217"/>
  <c r="C170" i="217"/>
  <c r="E172" i="217" s="1"/>
  <c r="H168" i="217"/>
  <c r="I167" i="217"/>
  <c r="G165" i="217"/>
  <c r="G164" i="217"/>
  <c r="E162" i="217"/>
  <c r="F162" i="217" s="1"/>
  <c r="D162" i="217"/>
  <c r="C279" i="217"/>
  <c r="E161" i="217"/>
  <c r="D278" i="217" s="1"/>
  <c r="D161" i="217"/>
  <c r="C278" i="217" s="1"/>
  <c r="E160" i="217"/>
  <c r="D160" i="217"/>
  <c r="C277" i="217" s="1"/>
  <c r="E159" i="217"/>
  <c r="D276" i="217" s="1"/>
  <c r="D159" i="217"/>
  <c r="E158" i="217"/>
  <c r="D275" i="217"/>
  <c r="D158" i="217"/>
  <c r="C275" i="217" s="1"/>
  <c r="H157" i="217"/>
  <c r="H158" i="217" s="1"/>
  <c r="E157" i="217"/>
  <c r="D274" i="217" s="1"/>
  <c r="D157" i="217"/>
  <c r="G155" i="217"/>
  <c r="G154" i="217"/>
  <c r="G152" i="217"/>
  <c r="F272" i="217" s="1"/>
  <c r="G151" i="217"/>
  <c r="F271" i="217"/>
  <c r="G150" i="217"/>
  <c r="F270" i="217" s="1"/>
  <c r="G148" i="217"/>
  <c r="G147" i="217"/>
  <c r="G145" i="217"/>
  <c r="F268" i="217" s="1"/>
  <c r="H144" i="217"/>
  <c r="H145" i="217" s="1"/>
  <c r="H150" i="217" s="1"/>
  <c r="H151" i="217" s="1"/>
  <c r="H152" i="217" s="1"/>
  <c r="G144" i="217"/>
  <c r="F267" i="217" s="1"/>
  <c r="G143" i="217"/>
  <c r="F266" i="217" s="1"/>
  <c r="G141" i="217"/>
  <c r="G140" i="217"/>
  <c r="H138" i="217"/>
  <c r="I138" i="217" s="1"/>
  <c r="G135" i="217"/>
  <c r="G134" i="217"/>
  <c r="J133" i="217"/>
  <c r="F132" i="217"/>
  <c r="D132" i="217"/>
  <c r="H131" i="217"/>
  <c r="H132" i="217" s="1"/>
  <c r="F131" i="217"/>
  <c r="D131" i="217"/>
  <c r="F130" i="217"/>
  <c r="D130" i="217"/>
  <c r="G128" i="217"/>
  <c r="G127" i="217"/>
  <c r="J126" i="217"/>
  <c r="E125" i="217"/>
  <c r="D125" i="217"/>
  <c r="D152" i="217" s="1"/>
  <c r="H124" i="217"/>
  <c r="H125" i="217" s="1"/>
  <c r="E124" i="217"/>
  <c r="D124" i="217"/>
  <c r="D151" i="217" s="1"/>
  <c r="E123" i="217"/>
  <c r="E150" i="217" s="1"/>
  <c r="D270" i="217" s="1"/>
  <c r="D123" i="217"/>
  <c r="G121" i="217"/>
  <c r="G120" i="217"/>
  <c r="J119" i="217"/>
  <c r="E118" i="217"/>
  <c r="E145" i="217" s="1"/>
  <c r="D268" i="217" s="1"/>
  <c r="D118" i="217"/>
  <c r="D145" i="217" s="1"/>
  <c r="H117" i="217"/>
  <c r="H118" i="217" s="1"/>
  <c r="E117" i="217"/>
  <c r="E144" i="217" s="1"/>
  <c r="D267" i="217" s="1"/>
  <c r="D117" i="217"/>
  <c r="D144" i="217" s="1"/>
  <c r="C267" i="217" s="1"/>
  <c r="E267" i="217" s="1"/>
  <c r="E116" i="217"/>
  <c r="D137" i="217" s="1"/>
  <c r="D116" i="217"/>
  <c r="D143" i="217" s="1"/>
  <c r="G114" i="217"/>
  <c r="G113" i="217"/>
  <c r="J112" i="217"/>
  <c r="F111" i="217"/>
  <c r="F110" i="217"/>
  <c r="C112" i="217" s="1"/>
  <c r="E113" i="217" s="1"/>
  <c r="H109" i="217"/>
  <c r="H110" i="217" s="1"/>
  <c r="F109" i="217"/>
  <c r="F108" i="217"/>
  <c r="I108" i="217" s="1"/>
  <c r="G106" i="217"/>
  <c r="G105" i="217"/>
  <c r="G103" i="217"/>
  <c r="F232" i="217" s="1"/>
  <c r="F241" i="217" s="1"/>
  <c r="G102" i="217"/>
  <c r="F231" i="217" s="1"/>
  <c r="F240" i="217" s="1"/>
  <c r="G101" i="217"/>
  <c r="F230" i="217" s="1"/>
  <c r="F239" i="217" s="1"/>
  <c r="C101" i="217"/>
  <c r="G99" i="217"/>
  <c r="G98" i="217"/>
  <c r="G96" i="217"/>
  <c r="G95" i="217"/>
  <c r="G94" i="217"/>
  <c r="H93" i="217"/>
  <c r="H94" i="217" s="1"/>
  <c r="H95" i="217" s="1"/>
  <c r="H96" i="217" s="1"/>
  <c r="G93" i="217"/>
  <c r="G92" i="217"/>
  <c r="G90" i="217"/>
  <c r="G89" i="217"/>
  <c r="E87" i="217"/>
  <c r="D264" i="217"/>
  <c r="D87" i="217"/>
  <c r="E86" i="217"/>
  <c r="D263" i="217"/>
  <c r="D86" i="217"/>
  <c r="C263" i="217" s="1"/>
  <c r="E85" i="217"/>
  <c r="D85" i="217"/>
  <c r="E84" i="217"/>
  <c r="D84" i="217"/>
  <c r="C261" i="217" s="1"/>
  <c r="E83" i="217"/>
  <c r="D260" i="217" s="1"/>
  <c r="D83" i="217"/>
  <c r="C260" i="217" s="1"/>
  <c r="E260" i="217" s="1"/>
  <c r="E82" i="217"/>
  <c r="D259" i="217" s="1"/>
  <c r="D82" i="217"/>
  <c r="C259" i="217" s="1"/>
  <c r="E81" i="217"/>
  <c r="D257" i="217" s="1"/>
  <c r="D81" i="217"/>
  <c r="C257" i="217" s="1"/>
  <c r="E80" i="217"/>
  <c r="D80" i="217"/>
  <c r="F80" i="217" s="1"/>
  <c r="E79" i="217"/>
  <c r="D255" i="217" s="1"/>
  <c r="D79" i="217"/>
  <c r="C255" i="217" s="1"/>
  <c r="E255" i="217" s="1"/>
  <c r="E78" i="217"/>
  <c r="D254" i="217" s="1"/>
  <c r="D78" i="217"/>
  <c r="C254" i="217" s="1"/>
  <c r="E77" i="217"/>
  <c r="D253" i="217" s="1"/>
  <c r="D282" i="217" s="1"/>
  <c r="D77" i="217"/>
  <c r="C253" i="217" s="1"/>
  <c r="E76" i="217"/>
  <c r="D76" i="217"/>
  <c r="E75" i="217"/>
  <c r="D251" i="217" s="1"/>
  <c r="D75" i="217"/>
  <c r="C251" i="217" s="1"/>
  <c r="E74" i="217"/>
  <c r="D249" i="217" s="1"/>
  <c r="D74" i="217"/>
  <c r="E73" i="217"/>
  <c r="D248" i="217" s="1"/>
  <c r="D73" i="217"/>
  <c r="C248" i="217" s="1"/>
  <c r="E72" i="217"/>
  <c r="D72" i="217"/>
  <c r="C247" i="217" s="1"/>
  <c r="E71" i="217"/>
  <c r="D246" i="217" s="1"/>
  <c r="D71" i="217"/>
  <c r="C246" i="217" s="1"/>
  <c r="E70" i="217"/>
  <c r="D245" i="217" s="1"/>
  <c r="D70" i="217"/>
  <c r="C245" i="217" s="1"/>
  <c r="H69" i="217"/>
  <c r="H70" i="217" s="1"/>
  <c r="E69" i="217"/>
  <c r="D244" i="217" s="1"/>
  <c r="D69" i="217"/>
  <c r="C244" i="217" s="1"/>
  <c r="G66" i="217"/>
  <c r="G65" i="217"/>
  <c r="J64" i="217"/>
  <c r="C64" i="217"/>
  <c r="E66" i="217" s="1"/>
  <c r="I63" i="217"/>
  <c r="I62" i="217"/>
  <c r="I61" i="217"/>
  <c r="I60" i="217"/>
  <c r="G58" i="217"/>
  <c r="G57" i="217"/>
  <c r="G50" i="217"/>
  <c r="G49" i="217"/>
  <c r="J48" i="217"/>
  <c r="F47" i="217"/>
  <c r="F44" i="217"/>
  <c r="H43" i="217"/>
  <c r="H44" i="217" s="1"/>
  <c r="G40" i="217"/>
  <c r="G39" i="217"/>
  <c r="J38" i="217"/>
  <c r="E37" i="217"/>
  <c r="E103" i="217" s="1"/>
  <c r="D37" i="217"/>
  <c r="D103" i="217" s="1"/>
  <c r="C232" i="217" s="1"/>
  <c r="C241" i="217" s="1"/>
  <c r="H36" i="217"/>
  <c r="E36" i="217"/>
  <c r="E102" i="217" s="1"/>
  <c r="D36" i="217"/>
  <c r="F36" i="217" s="1"/>
  <c r="D102" i="217"/>
  <c r="C231" i="217" s="1"/>
  <c r="C240" i="217" s="1"/>
  <c r="G33" i="217"/>
  <c r="G32" i="217"/>
  <c r="J31" i="217"/>
  <c r="D96" i="217"/>
  <c r="C229" i="217" s="1"/>
  <c r="E95" i="217"/>
  <c r="D228" i="217" s="1"/>
  <c r="D237" i="217" s="1"/>
  <c r="D95" i="217"/>
  <c r="C228" i="217" s="1"/>
  <c r="D94" i="217"/>
  <c r="H27" i="217"/>
  <c r="H28" i="217" s="1"/>
  <c r="H29" i="217" s="1"/>
  <c r="H30" i="217" s="1"/>
  <c r="E93" i="217"/>
  <c r="D226" i="217" s="1"/>
  <c r="D235" i="217" s="1"/>
  <c r="D93" i="217"/>
  <c r="J22" i="217"/>
  <c r="F21" i="217"/>
  <c r="F20" i="217"/>
  <c r="F19" i="217"/>
  <c r="F18" i="217"/>
  <c r="F17" i="217"/>
  <c r="F16" i="217"/>
  <c r="F15" i="217"/>
  <c r="I15" i="217" s="1"/>
  <c r="M11" i="217"/>
  <c r="M10" i="217"/>
  <c r="M9" i="217"/>
  <c r="M8" i="217"/>
  <c r="M7" i="217"/>
  <c r="M6" i="217"/>
  <c r="M4" i="217"/>
  <c r="R370" i="217"/>
  <c r="E204" i="217"/>
  <c r="F118" i="217"/>
  <c r="E64" i="217"/>
  <c r="F161" i="217"/>
  <c r="I175" i="217"/>
  <c r="E177" i="217" s="1"/>
  <c r="C264" i="217"/>
  <c r="F87" i="217"/>
  <c r="H183" i="217"/>
  <c r="I183" i="217" s="1"/>
  <c r="I182" i="217"/>
  <c r="D366" i="217"/>
  <c r="F71" i="217"/>
  <c r="F157" i="217"/>
  <c r="I157" i="217" s="1"/>
  <c r="C218" i="217"/>
  <c r="D346" i="217"/>
  <c r="C227" i="217"/>
  <c r="C236" i="217" s="1"/>
  <c r="F69" i="217"/>
  <c r="I69" i="217" s="1"/>
  <c r="F73" i="217"/>
  <c r="C133" i="217"/>
  <c r="E135" i="217" s="1"/>
  <c r="I135" i="217" s="1"/>
  <c r="F265" i="217"/>
  <c r="E308" i="217"/>
  <c r="E65" i="217"/>
  <c r="F285" i="217"/>
  <c r="F79" i="217"/>
  <c r="F70" i="217"/>
  <c r="F81" i="217"/>
  <c r="E68" i="217"/>
  <c r="D243" i="217" s="1"/>
  <c r="C226" i="217"/>
  <c r="C235" i="217" s="1"/>
  <c r="F93" i="217"/>
  <c r="D247" i="217"/>
  <c r="F72" i="217"/>
  <c r="C284" i="217"/>
  <c r="C262" i="217"/>
  <c r="E262" i="217" s="1"/>
  <c r="C276" i="217"/>
  <c r="E276" i="217" s="1"/>
  <c r="F159" i="217"/>
  <c r="E171" i="217"/>
  <c r="I171" i="217" s="1"/>
  <c r="D35" i="217"/>
  <c r="C300" i="217" s="1"/>
  <c r="D256" i="217"/>
  <c r="C191" i="217"/>
  <c r="E193" i="217" s="1"/>
  <c r="F27" i="217"/>
  <c r="I27" i="217" s="1"/>
  <c r="F29" i="217"/>
  <c r="I29" i="217" s="1"/>
  <c r="F37" i="217"/>
  <c r="F46" i="217"/>
  <c r="D252" i="217"/>
  <c r="D281" i="217" s="1"/>
  <c r="F77" i="217"/>
  <c r="F85" i="217"/>
  <c r="E96" i="217"/>
  <c r="D229" i="217" s="1"/>
  <c r="D238" i="217" s="1"/>
  <c r="F30" i="217"/>
  <c r="I30" i="217" s="1"/>
  <c r="H169" i="217"/>
  <c r="I169" i="217" s="1"/>
  <c r="I168" i="217"/>
  <c r="F86" i="217"/>
  <c r="I130" i="217"/>
  <c r="C274" i="217"/>
  <c r="E179" i="217"/>
  <c r="I179" i="217" s="1"/>
  <c r="D284" i="217"/>
  <c r="E284" i="217" s="1"/>
  <c r="D262" i="217"/>
  <c r="C283" i="217"/>
  <c r="C318" i="217"/>
  <c r="C317" i="217"/>
  <c r="H346" i="217"/>
  <c r="D347" i="217"/>
  <c r="H347" i="217" s="1"/>
  <c r="E134" i="217"/>
  <c r="I134" i="217" s="1"/>
  <c r="E35" i="217"/>
  <c r="E101" i="217" s="1"/>
  <c r="D101" i="217"/>
  <c r="C230" i="217"/>
  <c r="C239" i="217"/>
  <c r="P13" i="290" l="1"/>
  <c r="M11" i="218" s="1"/>
  <c r="M3" i="218"/>
  <c r="G3" i="218" s="1"/>
  <c r="G11" i="218" s="1"/>
  <c r="F316" i="334"/>
  <c r="T378" i="334"/>
  <c r="H241" i="299"/>
  <c r="F76" i="331"/>
  <c r="H285" i="298"/>
  <c r="G283" i="334"/>
  <c r="H282" i="334"/>
  <c r="H285" i="301"/>
  <c r="G261" i="334"/>
  <c r="H260" i="334"/>
  <c r="H73" i="217"/>
  <c r="H74" i="217" s="1"/>
  <c r="H75" i="217" s="1"/>
  <c r="H71" i="217"/>
  <c r="I71" i="217" s="1"/>
  <c r="E94" i="217"/>
  <c r="I233" i="299"/>
  <c r="D344" i="217"/>
  <c r="H344" i="217" s="1"/>
  <c r="I118" i="217"/>
  <c r="I70" i="217"/>
  <c r="I131" i="217"/>
  <c r="C328" i="301"/>
  <c r="H328" i="301" s="1"/>
  <c r="H327" i="301"/>
  <c r="F82" i="217"/>
  <c r="F96" i="217"/>
  <c r="E170" i="217"/>
  <c r="I93" i="217"/>
  <c r="E22" i="298"/>
  <c r="I193" i="217"/>
  <c r="F45" i="217"/>
  <c r="H350" i="299"/>
  <c r="D356" i="301"/>
  <c r="H356" i="301" s="1"/>
  <c r="G211" i="217"/>
  <c r="I211" i="217" s="1"/>
  <c r="F158" i="217"/>
  <c r="F83" i="217"/>
  <c r="C315" i="217"/>
  <c r="H315" i="217" s="1"/>
  <c r="I66" i="217"/>
  <c r="E274" i="217"/>
  <c r="I242" i="298"/>
  <c r="J250" i="298" s="1"/>
  <c r="D291" i="299" a="1"/>
  <c r="D291" i="299" s="1"/>
  <c r="H350" i="301"/>
  <c r="F75" i="217"/>
  <c r="F117" i="217"/>
  <c r="I117" i="217" s="1"/>
  <c r="E259" i="217"/>
  <c r="F125" i="217"/>
  <c r="C22" i="303"/>
  <c r="E186" i="217"/>
  <c r="I186" i="217" s="1"/>
  <c r="D35" i="302"/>
  <c r="J52" i="302"/>
  <c r="D52" i="302" s="1"/>
  <c r="J69" i="302"/>
  <c r="D69" i="302" s="1"/>
  <c r="C334" i="302" s="1" a="1"/>
  <c r="C334" i="302" s="1"/>
  <c r="H334" i="302" s="1"/>
  <c r="J42" i="302"/>
  <c r="D42" i="302" s="1"/>
  <c r="F42" i="302" s="1"/>
  <c r="F76" i="327"/>
  <c r="H76" i="327" s="1"/>
  <c r="F76" i="326"/>
  <c r="H76" i="326" s="1"/>
  <c r="G184" i="217"/>
  <c r="H238" i="299"/>
  <c r="H241" i="302"/>
  <c r="H285" i="300"/>
  <c r="G283" i="323"/>
  <c r="H282" i="323"/>
  <c r="G283" i="322"/>
  <c r="H282" i="322"/>
  <c r="G283" i="321"/>
  <c r="H282" i="321"/>
  <c r="G227" i="310"/>
  <c r="H226" i="310"/>
  <c r="G153" i="313"/>
  <c r="I153" i="313" s="1"/>
  <c r="G139" i="313"/>
  <c r="I139" i="313" s="1"/>
  <c r="G56" i="313"/>
  <c r="I56" i="313" s="1"/>
  <c r="G126" i="313"/>
  <c r="I126" i="313" s="1"/>
  <c r="G38" i="313"/>
  <c r="I38" i="313" s="1"/>
  <c r="G177" i="313"/>
  <c r="I177" i="313" s="1"/>
  <c r="G112" i="313"/>
  <c r="I112" i="313" s="1"/>
  <c r="G97" i="313"/>
  <c r="I97" i="313" s="1"/>
  <c r="G184" i="313"/>
  <c r="I184" i="313" s="1"/>
  <c r="G104" i="313"/>
  <c r="I104" i="313" s="1"/>
  <c r="G31" i="313"/>
  <c r="I31" i="313" s="1"/>
  <c r="G22" i="313"/>
  <c r="I22" i="313" s="1"/>
  <c r="G199" i="313"/>
  <c r="I199" i="313" s="1"/>
  <c r="G191" i="313"/>
  <c r="I191" i="313" s="1"/>
  <c r="G133" i="313"/>
  <c r="I133" i="313" s="1"/>
  <c r="G119" i="313"/>
  <c r="I119" i="313" s="1"/>
  <c r="G48" i="313"/>
  <c r="I48" i="313" s="1"/>
  <c r="H217" i="313"/>
  <c r="I217" i="313" s="1"/>
  <c r="G163" i="313"/>
  <c r="I163" i="313" s="1"/>
  <c r="G146" i="313"/>
  <c r="I146" i="313" s="1"/>
  <c r="G88" i="313"/>
  <c r="I88" i="313" s="1"/>
  <c r="G64" i="313"/>
  <c r="I64" i="313" s="1"/>
  <c r="G170" i="313"/>
  <c r="I170" i="313" s="1"/>
  <c r="I220" i="313"/>
  <c r="G220" i="313" s="1"/>
  <c r="G38" i="318"/>
  <c r="I38" i="318" s="1"/>
  <c r="G177" i="318"/>
  <c r="I177" i="318" s="1"/>
  <c r="G119" i="318"/>
  <c r="I119" i="318" s="1"/>
  <c r="G146" i="318"/>
  <c r="I146" i="318" s="1"/>
  <c r="G133" i="318"/>
  <c r="I133" i="318" s="1"/>
  <c r="G104" i="318"/>
  <c r="I104" i="318" s="1"/>
  <c r="G22" i="318"/>
  <c r="I22" i="318" s="1"/>
  <c r="G184" i="318"/>
  <c r="I184" i="318" s="1"/>
  <c r="G112" i="318"/>
  <c r="I112" i="318" s="1"/>
  <c r="G126" i="318"/>
  <c r="I126" i="318" s="1"/>
  <c r="G64" i="318"/>
  <c r="I64" i="318" s="1"/>
  <c r="G31" i="318"/>
  <c r="I31" i="318" s="1"/>
  <c r="G48" i="318"/>
  <c r="I48" i="318" s="1"/>
  <c r="G199" i="318"/>
  <c r="I199" i="318" s="1"/>
  <c r="G191" i="318"/>
  <c r="I191" i="318" s="1"/>
  <c r="G97" i="318"/>
  <c r="I97" i="318" s="1"/>
  <c r="G56" i="318"/>
  <c r="I56" i="318" s="1"/>
  <c r="H217" i="318"/>
  <c r="I217" i="318" s="1"/>
  <c r="G139" i="318"/>
  <c r="I139" i="318" s="1"/>
  <c r="G170" i="318"/>
  <c r="I170" i="318" s="1"/>
  <c r="G88" i="318"/>
  <c r="I88" i="318" s="1"/>
  <c r="G163" i="318"/>
  <c r="I163" i="318" s="1"/>
  <c r="G153" i="318"/>
  <c r="I153" i="318" s="1"/>
  <c r="I220" i="318"/>
  <c r="G220" i="318" s="1"/>
  <c r="G88" i="328"/>
  <c r="H217" i="328"/>
  <c r="I217" i="328" s="1"/>
  <c r="G199" i="328"/>
  <c r="I199" i="328" s="1"/>
  <c r="G170" i="328"/>
  <c r="I170" i="328" s="1"/>
  <c r="G133" i="328"/>
  <c r="I133" i="328" s="1"/>
  <c r="G163" i="328"/>
  <c r="I163" i="328" s="1"/>
  <c r="G38" i="328"/>
  <c r="I38" i="328" s="1"/>
  <c r="G119" i="328"/>
  <c r="I119" i="328" s="1"/>
  <c r="G139" i="328"/>
  <c r="I139" i="328" s="1"/>
  <c r="G112" i="328"/>
  <c r="I112" i="328" s="1"/>
  <c r="G104" i="328"/>
  <c r="I104" i="328" s="1"/>
  <c r="G97" i="328"/>
  <c r="I97" i="328" s="1"/>
  <c r="G153" i="328"/>
  <c r="I153" i="328" s="1"/>
  <c r="G146" i="328"/>
  <c r="I146" i="328" s="1"/>
  <c r="G126" i="328"/>
  <c r="I126" i="328" s="1"/>
  <c r="G48" i="328"/>
  <c r="I48" i="328" s="1"/>
  <c r="G56" i="328"/>
  <c r="I56" i="328" s="1"/>
  <c r="G31" i="328"/>
  <c r="I31" i="328" s="1"/>
  <c r="G22" i="328"/>
  <c r="I22" i="328" s="1"/>
  <c r="G64" i="328"/>
  <c r="I64" i="328" s="1"/>
  <c r="G191" i="328"/>
  <c r="I191" i="328" s="1"/>
  <c r="G184" i="328"/>
  <c r="I184" i="328" s="1"/>
  <c r="G177" i="328"/>
  <c r="I177" i="328" s="1"/>
  <c r="I220" i="328"/>
  <c r="G220" i="328" s="1"/>
  <c r="G227" i="324"/>
  <c r="H226" i="324"/>
  <c r="G227" i="311"/>
  <c r="H226" i="311"/>
  <c r="H217" i="312"/>
  <c r="I217" i="312" s="1"/>
  <c r="G177" i="312"/>
  <c r="I177" i="312" s="1"/>
  <c r="G163" i="312"/>
  <c r="I163" i="312" s="1"/>
  <c r="G133" i="312"/>
  <c r="I133" i="312" s="1"/>
  <c r="G48" i="312"/>
  <c r="I48" i="312" s="1"/>
  <c r="G184" i="312"/>
  <c r="I184" i="312" s="1"/>
  <c r="G119" i="312"/>
  <c r="I119" i="312" s="1"/>
  <c r="G38" i="312"/>
  <c r="I38" i="312" s="1"/>
  <c r="G199" i="312"/>
  <c r="I199" i="312" s="1"/>
  <c r="G191" i="312"/>
  <c r="I191" i="312" s="1"/>
  <c r="G170" i="312"/>
  <c r="I170" i="312" s="1"/>
  <c r="G64" i="312"/>
  <c r="I64" i="312" s="1"/>
  <c r="G153" i="312"/>
  <c r="I153" i="312" s="1"/>
  <c r="G146" i="312"/>
  <c r="I146" i="312" s="1"/>
  <c r="G139" i="312"/>
  <c r="I139" i="312" s="1"/>
  <c r="G56" i="312"/>
  <c r="I56" i="312" s="1"/>
  <c r="G126" i="312"/>
  <c r="I126" i="312" s="1"/>
  <c r="G88" i="312"/>
  <c r="I88" i="312" s="1"/>
  <c r="G22" i="312"/>
  <c r="I22" i="312" s="1"/>
  <c r="G112" i="312"/>
  <c r="I112" i="312" s="1"/>
  <c r="G31" i="312"/>
  <c r="I31" i="312" s="1"/>
  <c r="G104" i="312"/>
  <c r="I104" i="312" s="1"/>
  <c r="G97" i="312"/>
  <c r="I97" i="312" s="1"/>
  <c r="I220" i="312"/>
  <c r="G220" i="312" s="1"/>
  <c r="G163" i="319"/>
  <c r="I163" i="319" s="1"/>
  <c r="G88" i="319"/>
  <c r="I88" i="319" s="1"/>
  <c r="G31" i="319"/>
  <c r="I31" i="319" s="1"/>
  <c r="G133" i="319"/>
  <c r="I133" i="319" s="1"/>
  <c r="G48" i="319"/>
  <c r="I48" i="319" s="1"/>
  <c r="G153" i="319"/>
  <c r="I153" i="319" s="1"/>
  <c r="G146" i="319"/>
  <c r="I146" i="319" s="1"/>
  <c r="G119" i="319"/>
  <c r="I119" i="319" s="1"/>
  <c r="G64" i="319"/>
  <c r="I64" i="319" s="1"/>
  <c r="G139" i="319"/>
  <c r="I139" i="319" s="1"/>
  <c r="G56" i="319"/>
  <c r="I56" i="319" s="1"/>
  <c r="G38" i="319"/>
  <c r="I38" i="319" s="1"/>
  <c r="G104" i="319"/>
  <c r="I104" i="319" s="1"/>
  <c r="G97" i="319"/>
  <c r="I97" i="319" s="1"/>
  <c r="G126" i="319"/>
  <c r="I126" i="319" s="1"/>
  <c r="G112" i="319"/>
  <c r="I112" i="319" s="1"/>
  <c r="G170" i="319"/>
  <c r="I170" i="319" s="1"/>
  <c r="G22" i="319"/>
  <c r="I22" i="319" s="1"/>
  <c r="G184" i="319"/>
  <c r="I184" i="319" s="1"/>
  <c r="G177" i="319"/>
  <c r="I177" i="319" s="1"/>
  <c r="G199" i="319"/>
  <c r="I199" i="319" s="1"/>
  <c r="G191" i="319"/>
  <c r="I191" i="319" s="1"/>
  <c r="H217" i="319"/>
  <c r="I217" i="319" s="1"/>
  <c r="I220" i="319"/>
  <c r="G220" i="319" s="1"/>
  <c r="H217" i="329"/>
  <c r="I217" i="329" s="1"/>
  <c r="G184" i="329"/>
  <c r="I184" i="329" s="1"/>
  <c r="G88" i="329"/>
  <c r="I88" i="329" s="1"/>
  <c r="G22" i="329"/>
  <c r="I22" i="329" s="1"/>
  <c r="G199" i="329"/>
  <c r="I199" i="329" s="1"/>
  <c r="G191" i="329"/>
  <c r="I191" i="329" s="1"/>
  <c r="G56" i="329"/>
  <c r="I56" i="329" s="1"/>
  <c r="G64" i="329"/>
  <c r="I64" i="329" s="1"/>
  <c r="G38" i="329"/>
  <c r="I38" i="329" s="1"/>
  <c r="G133" i="329"/>
  <c r="I133" i="329" s="1"/>
  <c r="G112" i="329"/>
  <c r="I112" i="329" s="1"/>
  <c r="G163" i="329"/>
  <c r="I163" i="329" s="1"/>
  <c r="G119" i="329"/>
  <c r="I119" i="329" s="1"/>
  <c r="G104" i="329"/>
  <c r="I104" i="329" s="1"/>
  <c r="G97" i="329"/>
  <c r="I97" i="329" s="1"/>
  <c r="G177" i="329"/>
  <c r="I177" i="329" s="1"/>
  <c r="G170" i="329"/>
  <c r="I170" i="329" s="1"/>
  <c r="G146" i="329"/>
  <c r="I146" i="329" s="1"/>
  <c r="G139" i="329"/>
  <c r="I139" i="329" s="1"/>
  <c r="G153" i="329"/>
  <c r="I153" i="329" s="1"/>
  <c r="G126" i="329"/>
  <c r="I126" i="329" s="1"/>
  <c r="G48" i="329"/>
  <c r="I48" i="329" s="1"/>
  <c r="G31" i="329"/>
  <c r="I31" i="329" s="1"/>
  <c r="I220" i="329"/>
  <c r="G220" i="329" s="1"/>
  <c r="G283" i="320"/>
  <c r="H282" i="320"/>
  <c r="G283" i="312"/>
  <c r="H282" i="312"/>
  <c r="G227" i="317"/>
  <c r="H226" i="317"/>
  <c r="G283" i="317"/>
  <c r="H282" i="317"/>
  <c r="G227" i="318"/>
  <c r="H226" i="318"/>
  <c r="G199" i="314"/>
  <c r="I199" i="314" s="1"/>
  <c r="G177" i="314"/>
  <c r="I177" i="314" s="1"/>
  <c r="G139" i="314"/>
  <c r="I139" i="314" s="1"/>
  <c r="G133" i="314"/>
  <c r="I133" i="314" s="1"/>
  <c r="G56" i="314"/>
  <c r="I56" i="314" s="1"/>
  <c r="G184" i="314"/>
  <c r="I184" i="314" s="1"/>
  <c r="G153" i="314"/>
  <c r="I153" i="314" s="1"/>
  <c r="G64" i="314"/>
  <c r="I64" i="314" s="1"/>
  <c r="G22" i="314"/>
  <c r="I22" i="314" s="1"/>
  <c r="G191" i="314"/>
  <c r="I191" i="314" s="1"/>
  <c r="G38" i="314"/>
  <c r="I38" i="314" s="1"/>
  <c r="H217" i="314"/>
  <c r="I217" i="314" s="1"/>
  <c r="G119" i="314"/>
  <c r="I119" i="314" s="1"/>
  <c r="G112" i="314"/>
  <c r="I112" i="314" s="1"/>
  <c r="G48" i="314"/>
  <c r="I48" i="314" s="1"/>
  <c r="G31" i="314"/>
  <c r="I31" i="314" s="1"/>
  <c r="G104" i="314"/>
  <c r="I104" i="314" s="1"/>
  <c r="G97" i="314"/>
  <c r="I97" i="314" s="1"/>
  <c r="G126" i="314"/>
  <c r="I126" i="314" s="1"/>
  <c r="G146" i="314"/>
  <c r="I146" i="314" s="1"/>
  <c r="G88" i="314"/>
  <c r="G163" i="314"/>
  <c r="I163" i="314" s="1"/>
  <c r="G170" i="314"/>
  <c r="I170" i="314" s="1"/>
  <c r="I220" i="314"/>
  <c r="G220" i="314" s="1"/>
  <c r="B65" i="327"/>
  <c r="F64" i="327"/>
  <c r="H64" i="327" s="1"/>
  <c r="F76" i="307"/>
  <c r="G283" i="318"/>
  <c r="H282" i="318"/>
  <c r="G227" i="328"/>
  <c r="H226" i="328"/>
  <c r="G283" i="319"/>
  <c r="H282" i="319"/>
  <c r="G227" i="323"/>
  <c r="H226" i="323"/>
  <c r="H217" i="310"/>
  <c r="I217" i="310" s="1"/>
  <c r="G153" i="310"/>
  <c r="I153" i="310" s="1"/>
  <c r="G146" i="310"/>
  <c r="I146" i="310" s="1"/>
  <c r="G88" i="310"/>
  <c r="I88" i="310" s="1"/>
  <c r="G139" i="310"/>
  <c r="I139" i="310" s="1"/>
  <c r="G112" i="310"/>
  <c r="I112" i="310" s="1"/>
  <c r="G104" i="310"/>
  <c r="I104" i="310" s="1"/>
  <c r="G97" i="310"/>
  <c r="I97" i="310" s="1"/>
  <c r="G170" i="310"/>
  <c r="I170" i="310" s="1"/>
  <c r="G163" i="310"/>
  <c r="I163" i="310" s="1"/>
  <c r="G191" i="310"/>
  <c r="I191" i="310" s="1"/>
  <c r="G119" i="310"/>
  <c r="I119" i="310" s="1"/>
  <c r="G56" i="310"/>
  <c r="I56" i="310" s="1"/>
  <c r="G22" i="310"/>
  <c r="I22" i="310" s="1"/>
  <c r="G184" i="310"/>
  <c r="I184" i="310" s="1"/>
  <c r="G133" i="310"/>
  <c r="I133" i="310" s="1"/>
  <c r="G177" i="310"/>
  <c r="I177" i="310" s="1"/>
  <c r="G199" i="310"/>
  <c r="I199" i="310" s="1"/>
  <c r="G64" i="310"/>
  <c r="I64" i="310" s="1"/>
  <c r="G38" i="310"/>
  <c r="I38" i="310" s="1"/>
  <c r="G48" i="310"/>
  <c r="I48" i="310" s="1"/>
  <c r="G126" i="310"/>
  <c r="I126" i="310" s="1"/>
  <c r="G31" i="310"/>
  <c r="I31" i="310" s="1"/>
  <c r="I220" i="310"/>
  <c r="G220" i="310" s="1"/>
  <c r="G191" i="323"/>
  <c r="I191" i="323" s="1"/>
  <c r="G97" i="323"/>
  <c r="I97" i="323" s="1"/>
  <c r="G56" i="323"/>
  <c r="I56" i="323" s="1"/>
  <c r="G38" i="323"/>
  <c r="I38" i="323" s="1"/>
  <c r="G22" i="323"/>
  <c r="I22" i="323" s="1"/>
  <c r="G64" i="323"/>
  <c r="I64" i="323" s="1"/>
  <c r="G88" i="323"/>
  <c r="I88" i="323" s="1"/>
  <c r="G133" i="323"/>
  <c r="I133" i="323" s="1"/>
  <c r="G146" i="323"/>
  <c r="I146" i="323" s="1"/>
  <c r="G112" i="323"/>
  <c r="I112" i="323" s="1"/>
  <c r="H217" i="323"/>
  <c r="I217" i="323" s="1"/>
  <c r="G184" i="323"/>
  <c r="I184" i="323" s="1"/>
  <c r="G104" i="323"/>
  <c r="I104" i="323" s="1"/>
  <c r="G48" i="323"/>
  <c r="I48" i="323" s="1"/>
  <c r="G163" i="323"/>
  <c r="I163" i="323" s="1"/>
  <c r="G153" i="323"/>
  <c r="I153" i="323" s="1"/>
  <c r="G119" i="323"/>
  <c r="I119" i="323" s="1"/>
  <c r="G126" i="323"/>
  <c r="I126" i="323" s="1"/>
  <c r="G177" i="323"/>
  <c r="I177" i="323" s="1"/>
  <c r="G31" i="323"/>
  <c r="I31" i="323" s="1"/>
  <c r="G199" i="323"/>
  <c r="I199" i="323" s="1"/>
  <c r="G170" i="323"/>
  <c r="I170" i="323" s="1"/>
  <c r="G139" i="323"/>
  <c r="I139" i="323" s="1"/>
  <c r="I220" i="323"/>
  <c r="G220" i="323" s="1"/>
  <c r="G184" i="321"/>
  <c r="I184" i="321" s="1"/>
  <c r="G112" i="321"/>
  <c r="I112" i="321" s="1"/>
  <c r="G126" i="321"/>
  <c r="I126" i="321" s="1"/>
  <c r="G104" i="321"/>
  <c r="I104" i="321" s="1"/>
  <c r="G64" i="321"/>
  <c r="I64" i="321" s="1"/>
  <c r="G48" i="321"/>
  <c r="I48" i="321" s="1"/>
  <c r="G191" i="321"/>
  <c r="I191" i="321" s="1"/>
  <c r="G97" i="321"/>
  <c r="I97" i="321" s="1"/>
  <c r="G56" i="321"/>
  <c r="I56" i="321" s="1"/>
  <c r="G199" i="321"/>
  <c r="I199" i="321" s="1"/>
  <c r="G38" i="321"/>
  <c r="I38" i="321" s="1"/>
  <c r="H217" i="321"/>
  <c r="I217" i="321" s="1"/>
  <c r="G133" i="321"/>
  <c r="I133" i="321" s="1"/>
  <c r="G119" i="321"/>
  <c r="I119" i="321" s="1"/>
  <c r="G139" i="321"/>
  <c r="I139" i="321" s="1"/>
  <c r="G22" i="321"/>
  <c r="I22" i="321" s="1"/>
  <c r="G177" i="321"/>
  <c r="I177" i="321" s="1"/>
  <c r="G153" i="321"/>
  <c r="I153" i="321" s="1"/>
  <c r="G146" i="321"/>
  <c r="I146" i="321" s="1"/>
  <c r="G88" i="321"/>
  <c r="I88" i="321" s="1"/>
  <c r="G31" i="321"/>
  <c r="I31" i="321" s="1"/>
  <c r="G170" i="321"/>
  <c r="I170" i="321" s="1"/>
  <c r="G163" i="321"/>
  <c r="I163" i="321" s="1"/>
  <c r="I220" i="321"/>
  <c r="G220" i="321" s="1"/>
  <c r="G227" i="325"/>
  <c r="H226" i="325"/>
  <c r="G294" i="329"/>
  <c r="H294" i="329" s="1"/>
  <c r="G294" i="320"/>
  <c r="H294" i="320" s="1"/>
  <c r="G294" i="328"/>
  <c r="H294" i="328" s="1"/>
  <c r="G294" i="325"/>
  <c r="H294" i="325" s="1"/>
  <c r="G294" i="321"/>
  <c r="H294" i="321" s="1"/>
  <c r="G294" i="324"/>
  <c r="H294" i="324" s="1"/>
  <c r="G294" i="319"/>
  <c r="H294" i="319" s="1"/>
  <c r="G294" i="318"/>
  <c r="H294" i="318" s="1"/>
  <c r="G294" i="323"/>
  <c r="H294" i="323" s="1"/>
  <c r="G294" i="313"/>
  <c r="H294" i="313" s="1"/>
  <c r="G294" i="317"/>
  <c r="H294" i="317" s="1"/>
  <c r="G294" i="311"/>
  <c r="H294" i="311" s="1"/>
  <c r="G294" i="312"/>
  <c r="H294" i="312" s="1"/>
  <c r="G294" i="322"/>
  <c r="H294" i="322" s="1"/>
  <c r="G294" i="314"/>
  <c r="H294" i="314" s="1"/>
  <c r="G294" i="310"/>
  <c r="H294" i="310" s="1"/>
  <c r="G294" i="309"/>
  <c r="H294" i="309" s="1"/>
  <c r="G294" i="308"/>
  <c r="H294" i="308" s="1"/>
  <c r="H236" i="302"/>
  <c r="G283" i="329"/>
  <c r="H282" i="329"/>
  <c r="G283" i="313"/>
  <c r="H282" i="313"/>
  <c r="G227" i="322"/>
  <c r="H226" i="322"/>
  <c r="G227" i="312"/>
  <c r="H226" i="312"/>
  <c r="G283" i="311"/>
  <c r="H282" i="311"/>
  <c r="B65" i="307"/>
  <c r="F64" i="307"/>
  <c r="H64" i="307" s="1"/>
  <c r="F48" i="315"/>
  <c r="H48" i="315" s="1"/>
  <c r="G170" i="322"/>
  <c r="I170" i="322" s="1"/>
  <c r="G31" i="322"/>
  <c r="I31" i="322" s="1"/>
  <c r="G184" i="322"/>
  <c r="I184" i="322" s="1"/>
  <c r="G163" i="322"/>
  <c r="I163" i="322" s="1"/>
  <c r="G126" i="322"/>
  <c r="I126" i="322" s="1"/>
  <c r="G48" i="322"/>
  <c r="I48" i="322" s="1"/>
  <c r="G199" i="322"/>
  <c r="I199" i="322" s="1"/>
  <c r="G191" i="322"/>
  <c r="I191" i="322" s="1"/>
  <c r="G133" i="322"/>
  <c r="I133" i="322" s="1"/>
  <c r="G112" i="322"/>
  <c r="I112" i="322" s="1"/>
  <c r="G153" i="322"/>
  <c r="I153" i="322" s="1"/>
  <c r="G146" i="322"/>
  <c r="I146" i="322" s="1"/>
  <c r="G97" i="322"/>
  <c r="I97" i="322" s="1"/>
  <c r="H217" i="322"/>
  <c r="I217" i="322" s="1"/>
  <c r="G139" i="322"/>
  <c r="I139" i="322" s="1"/>
  <c r="G104" i="322"/>
  <c r="I104" i="322" s="1"/>
  <c r="G38" i="322"/>
  <c r="I38" i="322" s="1"/>
  <c r="G56" i="322"/>
  <c r="I56" i="322" s="1"/>
  <c r="G177" i="322"/>
  <c r="I177" i="322" s="1"/>
  <c r="G88" i="322"/>
  <c r="I88" i="322" s="1"/>
  <c r="G22" i="322"/>
  <c r="I22" i="322" s="1"/>
  <c r="G64" i="322"/>
  <c r="I64" i="322" s="1"/>
  <c r="G119" i="322"/>
  <c r="I119" i="322" s="1"/>
  <c r="I220" i="322"/>
  <c r="G220" i="322" s="1"/>
  <c r="G227" i="321"/>
  <c r="H226" i="321"/>
  <c r="G227" i="314"/>
  <c r="H226" i="314"/>
  <c r="G296" i="325"/>
  <c r="H296" i="325" s="1"/>
  <c r="G296" i="321"/>
  <c r="H296" i="321" s="1"/>
  <c r="G296" i="319"/>
  <c r="H296" i="319" s="1"/>
  <c r="G296" i="324"/>
  <c r="H296" i="324" s="1"/>
  <c r="G296" i="323"/>
  <c r="H296" i="323" s="1"/>
  <c r="G296" i="322"/>
  <c r="H296" i="322" s="1"/>
  <c r="G296" i="320"/>
  <c r="H296" i="320" s="1"/>
  <c r="G296" i="318"/>
  <c r="H296" i="318" s="1"/>
  <c r="G296" i="329"/>
  <c r="H296" i="329" s="1"/>
  <c r="G296" i="328"/>
  <c r="H296" i="328" s="1"/>
  <c r="G296" i="312"/>
  <c r="H296" i="312" s="1"/>
  <c r="G296" i="314"/>
  <c r="H296" i="314" s="1"/>
  <c r="G296" i="317"/>
  <c r="H296" i="317" s="1"/>
  <c r="G296" i="313"/>
  <c r="H296" i="313" s="1"/>
  <c r="G296" i="311"/>
  <c r="H296" i="311" s="1"/>
  <c r="G296" i="309"/>
  <c r="H296" i="309" s="1"/>
  <c r="G296" i="308"/>
  <c r="H296" i="308" s="1"/>
  <c r="G296" i="310"/>
  <c r="H296" i="310" s="1"/>
  <c r="G227" i="320"/>
  <c r="H226" i="320"/>
  <c r="G227" i="309"/>
  <c r="H226" i="309"/>
  <c r="H217" i="308"/>
  <c r="I217" i="308" s="1"/>
  <c r="G170" i="308"/>
  <c r="I170" i="308" s="1"/>
  <c r="G146" i="308"/>
  <c r="I146" i="308" s="1"/>
  <c r="G112" i="308"/>
  <c r="I112" i="308" s="1"/>
  <c r="G88" i="308"/>
  <c r="I88" i="308" s="1"/>
  <c r="G48" i="308"/>
  <c r="I48" i="308" s="1"/>
  <c r="G153" i="308"/>
  <c r="I153" i="308" s="1"/>
  <c r="G104" i="308"/>
  <c r="I104" i="308" s="1"/>
  <c r="G56" i="308"/>
  <c r="I56" i="308" s="1"/>
  <c r="G38" i="308"/>
  <c r="I38" i="308" s="1"/>
  <c r="G97" i="308"/>
  <c r="I97" i="308" s="1"/>
  <c r="G191" i="308"/>
  <c r="I191" i="308" s="1"/>
  <c r="G133" i="308"/>
  <c r="I133" i="308" s="1"/>
  <c r="G22" i="308"/>
  <c r="I22" i="308" s="1"/>
  <c r="G139" i="308"/>
  <c r="I139" i="308" s="1"/>
  <c r="G163" i="308"/>
  <c r="I163" i="308" s="1"/>
  <c r="G184" i="308"/>
  <c r="I184" i="308" s="1"/>
  <c r="G119" i="308"/>
  <c r="I119" i="308" s="1"/>
  <c r="G177" i="308"/>
  <c r="I177" i="308" s="1"/>
  <c r="G64" i="308"/>
  <c r="I64" i="308" s="1"/>
  <c r="G199" i="308"/>
  <c r="I199" i="308" s="1"/>
  <c r="G31" i="308"/>
  <c r="I31" i="308" s="1"/>
  <c r="G126" i="308"/>
  <c r="I126" i="308" s="1"/>
  <c r="I220" i="308"/>
  <c r="G220" i="308" s="1"/>
  <c r="F48" i="316"/>
  <c r="H48" i="316" s="1"/>
  <c r="H217" i="320"/>
  <c r="I217" i="320" s="1"/>
  <c r="G177" i="320"/>
  <c r="I177" i="320" s="1"/>
  <c r="G170" i="320"/>
  <c r="I170" i="320" s="1"/>
  <c r="G133" i="320"/>
  <c r="I133" i="320" s="1"/>
  <c r="G97" i="320"/>
  <c r="I97" i="320" s="1"/>
  <c r="G56" i="320"/>
  <c r="I56" i="320" s="1"/>
  <c r="G38" i="320"/>
  <c r="I38" i="320" s="1"/>
  <c r="G163" i="320"/>
  <c r="I163" i="320" s="1"/>
  <c r="G119" i="320"/>
  <c r="I119" i="320" s="1"/>
  <c r="G22" i="320"/>
  <c r="I22" i="320" s="1"/>
  <c r="G184" i="320"/>
  <c r="I184" i="320" s="1"/>
  <c r="G199" i="320"/>
  <c r="I199" i="320" s="1"/>
  <c r="G191" i="320"/>
  <c r="I191" i="320" s="1"/>
  <c r="G153" i="320"/>
  <c r="I153" i="320" s="1"/>
  <c r="G146" i="320"/>
  <c r="I146" i="320" s="1"/>
  <c r="G139" i="320"/>
  <c r="I139" i="320" s="1"/>
  <c r="G112" i="320"/>
  <c r="I112" i="320" s="1"/>
  <c r="G48" i="320"/>
  <c r="I48" i="320" s="1"/>
  <c r="G64" i="320"/>
  <c r="I64" i="320" s="1"/>
  <c r="G88" i="320"/>
  <c r="I88" i="320" s="1"/>
  <c r="G104" i="320"/>
  <c r="I104" i="320" s="1"/>
  <c r="G126" i="320"/>
  <c r="I126" i="320" s="1"/>
  <c r="G31" i="320"/>
  <c r="I31" i="320" s="1"/>
  <c r="I220" i="320"/>
  <c r="G220" i="320" s="1"/>
  <c r="G227" i="313"/>
  <c r="H226" i="313"/>
  <c r="G298" i="329"/>
  <c r="H298" i="329" s="1"/>
  <c r="G298" i="320"/>
  <c r="H298" i="320" s="1"/>
  <c r="G298" i="318"/>
  <c r="H298" i="318" s="1"/>
  <c r="G298" i="325"/>
  <c r="H298" i="325" s="1"/>
  <c r="T380" i="323"/>
  <c r="U380" i="323" s="1"/>
  <c r="G298" i="328"/>
  <c r="H298" i="328" s="1"/>
  <c r="G298" i="324"/>
  <c r="H298" i="324" s="1"/>
  <c r="G298" i="323"/>
  <c r="H298" i="323" s="1"/>
  <c r="G298" i="319"/>
  <c r="H298" i="319" s="1"/>
  <c r="T380" i="314"/>
  <c r="U380" i="314" s="1"/>
  <c r="G298" i="314"/>
  <c r="H298" i="314" s="1"/>
  <c r="T380" i="313"/>
  <c r="U380" i="313" s="1"/>
  <c r="G298" i="322"/>
  <c r="H298" i="322" s="1"/>
  <c r="G298" i="317"/>
  <c r="H298" i="317" s="1"/>
  <c r="G298" i="313"/>
  <c r="H298" i="313" s="1"/>
  <c r="G298" i="311"/>
  <c r="H298" i="311" s="1"/>
  <c r="G298" i="312"/>
  <c r="H298" i="312" s="1"/>
  <c r="G298" i="321"/>
  <c r="H298" i="321" s="1"/>
  <c r="T380" i="317"/>
  <c r="U380" i="317" s="1"/>
  <c r="T380" i="309"/>
  <c r="U380" i="309" s="1"/>
  <c r="G298" i="310"/>
  <c r="H298" i="310" s="1"/>
  <c r="G298" i="308"/>
  <c r="H298" i="308" s="1"/>
  <c r="G298" i="309"/>
  <c r="H298" i="309" s="1"/>
  <c r="G283" i="325"/>
  <c r="H282" i="325"/>
  <c r="G227" i="308"/>
  <c r="H226" i="308"/>
  <c r="G283" i="324"/>
  <c r="H282" i="324"/>
  <c r="G283" i="309"/>
  <c r="H282" i="309"/>
  <c r="G283" i="328"/>
  <c r="H282" i="328"/>
  <c r="G283" i="310"/>
  <c r="H282" i="310"/>
  <c r="H217" i="309"/>
  <c r="I217" i="309" s="1"/>
  <c r="G170" i="309"/>
  <c r="I170" i="309" s="1"/>
  <c r="G163" i="309"/>
  <c r="I163" i="309" s="1"/>
  <c r="G97" i="309"/>
  <c r="I97" i="309" s="1"/>
  <c r="G38" i="309"/>
  <c r="I38" i="309" s="1"/>
  <c r="G184" i="309"/>
  <c r="I184" i="309" s="1"/>
  <c r="G104" i="309"/>
  <c r="I104" i="309" s="1"/>
  <c r="G56" i="309"/>
  <c r="I56" i="309" s="1"/>
  <c r="G153" i="309"/>
  <c r="I153" i="309" s="1"/>
  <c r="G146" i="309"/>
  <c r="I146" i="309" s="1"/>
  <c r="G133" i="309"/>
  <c r="I133" i="309" s="1"/>
  <c r="G119" i="309"/>
  <c r="I119" i="309" s="1"/>
  <c r="G64" i="309"/>
  <c r="I64" i="309" s="1"/>
  <c r="G31" i="309"/>
  <c r="I31" i="309" s="1"/>
  <c r="G22" i="309"/>
  <c r="I22" i="309" s="1"/>
  <c r="G191" i="309"/>
  <c r="I191" i="309" s="1"/>
  <c r="G88" i="309"/>
  <c r="G199" i="309"/>
  <c r="I199" i="309" s="1"/>
  <c r="G139" i="309"/>
  <c r="I139" i="309" s="1"/>
  <c r="G48" i="309"/>
  <c r="I48" i="309" s="1"/>
  <c r="G126" i="309"/>
  <c r="I126" i="309" s="1"/>
  <c r="G177" i="309"/>
  <c r="I177" i="309" s="1"/>
  <c r="G112" i="309"/>
  <c r="I112" i="309" s="1"/>
  <c r="I220" i="309"/>
  <c r="G220" i="309" s="1"/>
  <c r="G184" i="311"/>
  <c r="I184" i="311" s="1"/>
  <c r="G133" i="311"/>
  <c r="I133" i="311" s="1"/>
  <c r="G199" i="311"/>
  <c r="I199" i="311" s="1"/>
  <c r="G191" i="311"/>
  <c r="I191" i="311" s="1"/>
  <c r="G153" i="311"/>
  <c r="I153" i="311" s="1"/>
  <c r="G97" i="311"/>
  <c r="I97" i="311" s="1"/>
  <c r="G48" i="311"/>
  <c r="I48" i="311" s="1"/>
  <c r="G22" i="311"/>
  <c r="I22" i="311" s="1"/>
  <c r="G119" i="311"/>
  <c r="I119" i="311" s="1"/>
  <c r="G146" i="311"/>
  <c r="I146" i="311" s="1"/>
  <c r="G139" i="311"/>
  <c r="I139" i="311" s="1"/>
  <c r="G38" i="311"/>
  <c r="I38" i="311" s="1"/>
  <c r="G64" i="311"/>
  <c r="I64" i="311" s="1"/>
  <c r="H217" i="311"/>
  <c r="I217" i="311" s="1"/>
  <c r="G163" i="311"/>
  <c r="I163" i="311" s="1"/>
  <c r="G126" i="311"/>
  <c r="I126" i="311" s="1"/>
  <c r="G112" i="311"/>
  <c r="I112" i="311" s="1"/>
  <c r="G170" i="311"/>
  <c r="I170" i="311" s="1"/>
  <c r="G56" i="311"/>
  <c r="I56" i="311" s="1"/>
  <c r="G177" i="311"/>
  <c r="I177" i="311" s="1"/>
  <c r="G104" i="311"/>
  <c r="I104" i="311" s="1"/>
  <c r="G88" i="311"/>
  <c r="I88" i="311" s="1"/>
  <c r="G31" i="311"/>
  <c r="I31" i="311" s="1"/>
  <c r="I220" i="311"/>
  <c r="G220" i="311" s="1"/>
  <c r="G199" i="325"/>
  <c r="I199" i="325" s="1"/>
  <c r="G191" i="325"/>
  <c r="I191" i="325" s="1"/>
  <c r="G88" i="325"/>
  <c r="G38" i="325"/>
  <c r="I38" i="325" s="1"/>
  <c r="G22" i="325"/>
  <c r="I22" i="325" s="1"/>
  <c r="H217" i="325"/>
  <c r="I217" i="325" s="1"/>
  <c r="G126" i="325"/>
  <c r="I126" i="325" s="1"/>
  <c r="G56" i="325"/>
  <c r="I56" i="325" s="1"/>
  <c r="G31" i="325"/>
  <c r="I31" i="325" s="1"/>
  <c r="G112" i="325"/>
  <c r="I112" i="325" s="1"/>
  <c r="G64" i="325"/>
  <c r="I64" i="325" s="1"/>
  <c r="G177" i="325"/>
  <c r="I177" i="325" s="1"/>
  <c r="G163" i="325"/>
  <c r="I163" i="325" s="1"/>
  <c r="G133" i="325"/>
  <c r="I133" i="325" s="1"/>
  <c r="G170" i="325"/>
  <c r="I170" i="325" s="1"/>
  <c r="G146" i="325"/>
  <c r="I146" i="325" s="1"/>
  <c r="G139" i="325"/>
  <c r="I139" i="325" s="1"/>
  <c r="G153" i="325"/>
  <c r="I153" i="325" s="1"/>
  <c r="G48" i="325"/>
  <c r="I48" i="325" s="1"/>
  <c r="G184" i="325"/>
  <c r="I184" i="325" s="1"/>
  <c r="G104" i="325"/>
  <c r="I104" i="325" s="1"/>
  <c r="G97" i="325"/>
  <c r="I97" i="325" s="1"/>
  <c r="G119" i="325"/>
  <c r="I119" i="325" s="1"/>
  <c r="I220" i="325"/>
  <c r="G220" i="325" s="1"/>
  <c r="G283" i="314"/>
  <c r="H282" i="314"/>
  <c r="T378" i="329"/>
  <c r="T378" i="320"/>
  <c r="F316" i="319"/>
  <c r="F316" i="318"/>
  <c r="T378" i="317"/>
  <c r="F316" i="328"/>
  <c r="F316" i="324"/>
  <c r="F316" i="323"/>
  <c r="F316" i="322"/>
  <c r="T378" i="319"/>
  <c r="T378" i="318"/>
  <c r="T378" i="328"/>
  <c r="F316" i="321"/>
  <c r="T378" i="324"/>
  <c r="F316" i="329"/>
  <c r="F316" i="320"/>
  <c r="T378" i="325"/>
  <c r="F316" i="325"/>
  <c r="F316" i="311"/>
  <c r="F316" i="313"/>
  <c r="T378" i="311"/>
  <c r="T378" i="322"/>
  <c r="T378" i="314"/>
  <c r="T378" i="313"/>
  <c r="F316" i="312"/>
  <c r="T378" i="323"/>
  <c r="F316" i="314"/>
  <c r="T378" i="312"/>
  <c r="T378" i="321"/>
  <c r="E54" i="315"/>
  <c r="E54" i="316"/>
  <c r="F316" i="317"/>
  <c r="T378" i="310"/>
  <c r="T378" i="308"/>
  <c r="F316" i="309"/>
  <c r="T378" i="309"/>
  <c r="F316" i="308"/>
  <c r="F316" i="310"/>
  <c r="E54" i="306"/>
  <c r="G300" i="325"/>
  <c r="H300" i="325" s="1"/>
  <c r="G300" i="328"/>
  <c r="H300" i="328" s="1"/>
  <c r="G300" i="322"/>
  <c r="H300" i="322" s="1"/>
  <c r="G300" i="319"/>
  <c r="H300" i="319" s="1"/>
  <c r="G300" i="323"/>
  <c r="H300" i="323" s="1"/>
  <c r="G300" i="321"/>
  <c r="H300" i="321" s="1"/>
  <c r="G300" i="324"/>
  <c r="H300" i="324" s="1"/>
  <c r="G300" i="329"/>
  <c r="H300" i="329" s="1"/>
  <c r="G300" i="318"/>
  <c r="H300" i="318" s="1"/>
  <c r="G300" i="313"/>
  <c r="H300" i="313" s="1"/>
  <c r="G300" i="311"/>
  <c r="H300" i="311" s="1"/>
  <c r="G300" i="320"/>
  <c r="H300" i="320" s="1"/>
  <c r="G300" i="312"/>
  <c r="H300" i="312" s="1"/>
  <c r="G300" i="314"/>
  <c r="H300" i="314" s="1"/>
  <c r="G300" i="317"/>
  <c r="H300" i="317" s="1"/>
  <c r="G300" i="310"/>
  <c r="H300" i="310" s="1"/>
  <c r="G300" i="308"/>
  <c r="H300" i="308" s="1"/>
  <c r="G300" i="309"/>
  <c r="H300" i="309" s="1"/>
  <c r="H238" i="303"/>
  <c r="G227" i="329"/>
  <c r="H226" i="329"/>
  <c r="G38" i="324"/>
  <c r="I38" i="324" s="1"/>
  <c r="G119" i="324"/>
  <c r="I119" i="324" s="1"/>
  <c r="G133" i="324"/>
  <c r="I133" i="324" s="1"/>
  <c r="G48" i="324"/>
  <c r="I48" i="324" s="1"/>
  <c r="G170" i="324"/>
  <c r="I170" i="324" s="1"/>
  <c r="G163" i="324"/>
  <c r="I163" i="324" s="1"/>
  <c r="G112" i="324"/>
  <c r="I112" i="324" s="1"/>
  <c r="G97" i="324"/>
  <c r="I97" i="324" s="1"/>
  <c r="G199" i="324"/>
  <c r="I199" i="324" s="1"/>
  <c r="G104" i="324"/>
  <c r="I104" i="324" s="1"/>
  <c r="G153" i="324"/>
  <c r="I153" i="324" s="1"/>
  <c r="G146" i="324"/>
  <c r="I146" i="324" s="1"/>
  <c r="G139" i="324"/>
  <c r="I139" i="324" s="1"/>
  <c r="G126" i="324"/>
  <c r="I126" i="324" s="1"/>
  <c r="G56" i="324"/>
  <c r="I56" i="324" s="1"/>
  <c r="G22" i="324"/>
  <c r="I22" i="324" s="1"/>
  <c r="G31" i="324"/>
  <c r="I31" i="324" s="1"/>
  <c r="G64" i="324"/>
  <c r="I64" i="324" s="1"/>
  <c r="G88" i="324"/>
  <c r="I88" i="324" s="1"/>
  <c r="G191" i="324"/>
  <c r="I191" i="324" s="1"/>
  <c r="G184" i="324"/>
  <c r="I184" i="324" s="1"/>
  <c r="G177" i="324"/>
  <c r="I177" i="324" s="1"/>
  <c r="H217" i="324"/>
  <c r="I217" i="324" s="1"/>
  <c r="I220" i="324"/>
  <c r="G220" i="324" s="1"/>
  <c r="G199" i="317"/>
  <c r="I199" i="317" s="1"/>
  <c r="G88" i="317"/>
  <c r="I88" i="317" s="1"/>
  <c r="G22" i="317"/>
  <c r="I22" i="317" s="1"/>
  <c r="G177" i="317"/>
  <c r="I177" i="317" s="1"/>
  <c r="G104" i="317"/>
  <c r="I104" i="317" s="1"/>
  <c r="G56" i="317"/>
  <c r="I56" i="317" s="1"/>
  <c r="G163" i="317"/>
  <c r="I163" i="317" s="1"/>
  <c r="G119" i="317"/>
  <c r="I119" i="317" s="1"/>
  <c r="G97" i="317"/>
  <c r="I97" i="317" s="1"/>
  <c r="G184" i="317"/>
  <c r="I184" i="317" s="1"/>
  <c r="G170" i="317"/>
  <c r="I170" i="317" s="1"/>
  <c r="G64" i="317"/>
  <c r="I64" i="317" s="1"/>
  <c r="G38" i="317"/>
  <c r="I38" i="317" s="1"/>
  <c r="G126" i="317"/>
  <c r="I126" i="317" s="1"/>
  <c r="G153" i="317"/>
  <c r="I153" i="317" s="1"/>
  <c r="G146" i="317"/>
  <c r="I146" i="317" s="1"/>
  <c r="G133" i="317"/>
  <c r="I133" i="317" s="1"/>
  <c r="G48" i="317"/>
  <c r="I48" i="317" s="1"/>
  <c r="G191" i="317"/>
  <c r="I191" i="317" s="1"/>
  <c r="G139" i="317"/>
  <c r="I139" i="317" s="1"/>
  <c r="G31" i="317"/>
  <c r="I31" i="317" s="1"/>
  <c r="G112" i="317"/>
  <c r="I112" i="317" s="1"/>
  <c r="H217" i="317"/>
  <c r="I217" i="317" s="1"/>
  <c r="I220" i="317"/>
  <c r="G220" i="317" s="1"/>
  <c r="B65" i="326"/>
  <c r="F64" i="326"/>
  <c r="H64" i="326" s="1"/>
  <c r="G283" i="308"/>
  <c r="H282" i="308"/>
  <c r="G227" i="319"/>
  <c r="H226" i="319"/>
  <c r="H87" i="328"/>
  <c r="I87" i="328" s="1"/>
  <c r="I86" i="328"/>
  <c r="H86" i="325"/>
  <c r="I85" i="325"/>
  <c r="S379" i="317"/>
  <c r="U379" i="317" s="1"/>
  <c r="C336" i="317"/>
  <c r="S379" i="314"/>
  <c r="U379" i="314" s="1"/>
  <c r="C336" i="314"/>
  <c r="H86" i="314"/>
  <c r="I85" i="314"/>
  <c r="S379" i="313"/>
  <c r="U379" i="313" s="1"/>
  <c r="C336" i="313"/>
  <c r="H84" i="309"/>
  <c r="I83" i="309"/>
  <c r="C336" i="309"/>
  <c r="F48" i="306"/>
  <c r="H48" i="306" s="1"/>
  <c r="H239" i="304"/>
  <c r="H238" i="300"/>
  <c r="G245" i="301"/>
  <c r="H244" i="301"/>
  <c r="H237" i="303"/>
  <c r="G199" i="302"/>
  <c r="I199" i="302" s="1"/>
  <c r="G153" i="302"/>
  <c r="G112" i="302"/>
  <c r="I112" i="302" s="1"/>
  <c r="G104" i="302"/>
  <c r="G56" i="302"/>
  <c r="G88" i="302"/>
  <c r="H217" i="302"/>
  <c r="I217" i="302" s="1"/>
  <c r="G146" i="302"/>
  <c r="I146" i="302" s="1"/>
  <c r="G133" i="302"/>
  <c r="I133" i="302" s="1"/>
  <c r="G97" i="302"/>
  <c r="G38" i="302"/>
  <c r="G139" i="302"/>
  <c r="I139" i="302" s="1"/>
  <c r="G119" i="302"/>
  <c r="I119" i="302" s="1"/>
  <c r="G22" i="302"/>
  <c r="I22" i="302" s="1"/>
  <c r="G48" i="302"/>
  <c r="G64" i="302"/>
  <c r="I64" i="302" s="1"/>
  <c r="G191" i="302"/>
  <c r="I191" i="302" s="1"/>
  <c r="G170" i="302"/>
  <c r="I170" i="302" s="1"/>
  <c r="G184" i="302"/>
  <c r="I184" i="302" s="1"/>
  <c r="G163" i="302"/>
  <c r="I163" i="302" s="1"/>
  <c r="G177" i="302"/>
  <c r="I177" i="302" s="1"/>
  <c r="G31" i="302"/>
  <c r="I31" i="302" s="1"/>
  <c r="G126" i="302"/>
  <c r="I126" i="302" s="1"/>
  <c r="G245" i="302"/>
  <c r="I97" i="302"/>
  <c r="G245" i="299"/>
  <c r="H244" i="299"/>
  <c r="G244" i="304"/>
  <c r="H244" i="304" s="1"/>
  <c r="G238" i="301"/>
  <c r="H236" i="301"/>
  <c r="G170" i="299"/>
  <c r="I170" i="299" s="1"/>
  <c r="G139" i="299"/>
  <c r="I139" i="299" s="1"/>
  <c r="G163" i="299"/>
  <c r="G133" i="299"/>
  <c r="I133" i="299" s="1"/>
  <c r="H217" i="299"/>
  <c r="I217" i="299" s="1"/>
  <c r="G153" i="299"/>
  <c r="I153" i="299" s="1"/>
  <c r="G104" i="299"/>
  <c r="I104" i="299" s="1"/>
  <c r="G97" i="299"/>
  <c r="I97" i="299" s="1"/>
  <c r="G64" i="299"/>
  <c r="I64" i="299" s="1"/>
  <c r="G22" i="299"/>
  <c r="G177" i="299"/>
  <c r="I177" i="299" s="1"/>
  <c r="G126" i="299"/>
  <c r="I126" i="299" s="1"/>
  <c r="G56" i="299"/>
  <c r="I56" i="299" s="1"/>
  <c r="G31" i="299"/>
  <c r="I31" i="299" s="1"/>
  <c r="G184" i="299"/>
  <c r="I184" i="299" s="1"/>
  <c r="G112" i="299"/>
  <c r="I112" i="299" s="1"/>
  <c r="G48" i="299"/>
  <c r="I48" i="299" s="1"/>
  <c r="G199" i="299"/>
  <c r="I199" i="299" s="1"/>
  <c r="G191" i="299"/>
  <c r="I191" i="299" s="1"/>
  <c r="G88" i="299"/>
  <c r="G119" i="299"/>
  <c r="I119" i="299" s="1"/>
  <c r="G146" i="299"/>
  <c r="I146" i="299" s="1"/>
  <c r="G38" i="299"/>
  <c r="I38" i="299" s="1"/>
  <c r="H236" i="304"/>
  <c r="H233" i="298"/>
  <c r="G239" i="300"/>
  <c r="G241" i="300" s="1"/>
  <c r="G243" i="300" s="1"/>
  <c r="G244" i="300" s="1"/>
  <c r="H237" i="300"/>
  <c r="G244" i="303"/>
  <c r="G245" i="303" s="1"/>
  <c r="H241" i="303"/>
  <c r="H237" i="299"/>
  <c r="G119" i="303"/>
  <c r="I119" i="303" s="1"/>
  <c r="G170" i="303"/>
  <c r="I170" i="303" s="1"/>
  <c r="G133" i="303"/>
  <c r="I133" i="303" s="1"/>
  <c r="G56" i="303"/>
  <c r="G177" i="303"/>
  <c r="I177" i="303" s="1"/>
  <c r="G64" i="303"/>
  <c r="I64" i="303" s="1"/>
  <c r="G38" i="303"/>
  <c r="G139" i="303"/>
  <c r="I139" i="303" s="1"/>
  <c r="G112" i="303"/>
  <c r="I112" i="303" s="1"/>
  <c r="G184" i="303"/>
  <c r="I184" i="303" s="1"/>
  <c r="G48" i="303"/>
  <c r="G31" i="303"/>
  <c r="I31" i="303" s="1"/>
  <c r="G199" i="303"/>
  <c r="I199" i="303" s="1"/>
  <c r="G191" i="303"/>
  <c r="I191" i="303" s="1"/>
  <c r="G104" i="303"/>
  <c r="G22" i="303"/>
  <c r="H217" i="303"/>
  <c r="I217" i="303" s="1"/>
  <c r="G146" i="303"/>
  <c r="I146" i="303" s="1"/>
  <c r="G97" i="303"/>
  <c r="I97" i="303" s="1"/>
  <c r="G153" i="303"/>
  <c r="I153" i="303" s="1"/>
  <c r="G126" i="303"/>
  <c r="I126" i="303" s="1"/>
  <c r="G88" i="303"/>
  <c r="G163" i="303"/>
  <c r="I163" i="303" s="1"/>
  <c r="G294" i="298"/>
  <c r="H294" i="298" s="1"/>
  <c r="G294" i="300"/>
  <c r="H294" i="300" s="1"/>
  <c r="G294" i="304"/>
  <c r="H294" i="304" s="1"/>
  <c r="G294" i="303"/>
  <c r="H294" i="303" s="1"/>
  <c r="G294" i="301"/>
  <c r="H294" i="301" s="1"/>
  <c r="G294" i="302"/>
  <c r="H294" i="302" s="1"/>
  <c r="G294" i="299"/>
  <c r="H294" i="299" s="1"/>
  <c r="H233" i="299"/>
  <c r="H238" i="304"/>
  <c r="H236" i="299"/>
  <c r="H241" i="304"/>
  <c r="G64" i="304"/>
  <c r="I64" i="304" s="1"/>
  <c r="G126" i="304"/>
  <c r="I126" i="304" s="1"/>
  <c r="G104" i="304"/>
  <c r="I104" i="304" s="1"/>
  <c r="G97" i="304"/>
  <c r="I97" i="304" s="1"/>
  <c r="G56" i="304"/>
  <c r="I56" i="304" s="1"/>
  <c r="G38" i="304"/>
  <c r="I38" i="304" s="1"/>
  <c r="G163" i="304"/>
  <c r="I163" i="304" s="1"/>
  <c r="G133" i="304"/>
  <c r="I133" i="304" s="1"/>
  <c r="G119" i="304"/>
  <c r="G31" i="304"/>
  <c r="I31" i="304" s="1"/>
  <c r="G184" i="304"/>
  <c r="I184" i="304" s="1"/>
  <c r="G177" i="304"/>
  <c r="I177" i="304" s="1"/>
  <c r="G170" i="304"/>
  <c r="I170" i="304" s="1"/>
  <c r="G153" i="304"/>
  <c r="I153" i="304" s="1"/>
  <c r="G146" i="304"/>
  <c r="G48" i="304"/>
  <c r="I48" i="304" s="1"/>
  <c r="G22" i="304"/>
  <c r="H217" i="304"/>
  <c r="I217" i="304" s="1"/>
  <c r="G199" i="304"/>
  <c r="I199" i="304" s="1"/>
  <c r="G191" i="304"/>
  <c r="I191" i="304" s="1"/>
  <c r="G139" i="304"/>
  <c r="I139" i="304" s="1"/>
  <c r="G112" i="304"/>
  <c r="I112" i="304" s="1"/>
  <c r="G88" i="304"/>
  <c r="I88" i="304" s="1"/>
  <c r="H235" i="299"/>
  <c r="G296" i="301"/>
  <c r="H296" i="301" s="1"/>
  <c r="G296" i="299"/>
  <c r="H296" i="299" s="1"/>
  <c r="G296" i="302"/>
  <c r="H296" i="302" s="1"/>
  <c r="G296" i="300"/>
  <c r="H296" i="300" s="1"/>
  <c r="G296" i="304"/>
  <c r="H296" i="304" s="1"/>
  <c r="G296" i="303"/>
  <c r="H296" i="303" s="1"/>
  <c r="G296" i="298"/>
  <c r="H296" i="298" s="1"/>
  <c r="H235" i="304"/>
  <c r="H236" i="300"/>
  <c r="G64" i="300"/>
  <c r="I64" i="300" s="1"/>
  <c r="G177" i="300"/>
  <c r="I177" i="300" s="1"/>
  <c r="G170" i="300"/>
  <c r="I170" i="300" s="1"/>
  <c r="G153" i="300"/>
  <c r="I153" i="300" s="1"/>
  <c r="G119" i="300"/>
  <c r="I119" i="300" s="1"/>
  <c r="G56" i="300"/>
  <c r="I56" i="300" s="1"/>
  <c r="G146" i="300"/>
  <c r="G139" i="300"/>
  <c r="I139" i="300" s="1"/>
  <c r="G184" i="300"/>
  <c r="I184" i="300" s="1"/>
  <c r="G126" i="300"/>
  <c r="I126" i="300" s="1"/>
  <c r="G97" i="300"/>
  <c r="I97" i="300" s="1"/>
  <c r="G199" i="300"/>
  <c r="I199" i="300" s="1"/>
  <c r="G191" i="300"/>
  <c r="I191" i="300" s="1"/>
  <c r="G112" i="300"/>
  <c r="I112" i="300" s="1"/>
  <c r="G104" i="300"/>
  <c r="G38" i="300"/>
  <c r="G31" i="300"/>
  <c r="I31" i="300" s="1"/>
  <c r="G163" i="300"/>
  <c r="I163" i="300" s="1"/>
  <c r="G133" i="300"/>
  <c r="I133" i="300" s="1"/>
  <c r="G48" i="300"/>
  <c r="G22" i="300"/>
  <c r="I22" i="300" s="1"/>
  <c r="H217" i="300"/>
  <c r="I217" i="300" s="1"/>
  <c r="G88" i="300"/>
  <c r="H239" i="299"/>
  <c r="T378" i="217"/>
  <c r="F316" i="303"/>
  <c r="F316" i="298"/>
  <c r="T378" i="303"/>
  <c r="F316" i="301"/>
  <c r="T378" i="304"/>
  <c r="F316" i="304"/>
  <c r="T378" i="300"/>
  <c r="F316" i="299"/>
  <c r="T378" i="301"/>
  <c r="T378" i="299"/>
  <c r="T378" i="298"/>
  <c r="F316" i="300"/>
  <c r="T378" i="302"/>
  <c r="F316" i="302"/>
  <c r="G298" i="300"/>
  <c r="H298" i="300" s="1"/>
  <c r="G298" i="302"/>
  <c r="H298" i="302" s="1"/>
  <c r="T380" i="300"/>
  <c r="U380" i="300" s="1"/>
  <c r="T380" i="299"/>
  <c r="U380" i="299" s="1"/>
  <c r="G298" i="303"/>
  <c r="H298" i="303" s="1"/>
  <c r="T380" i="304"/>
  <c r="U380" i="304" s="1"/>
  <c r="G298" i="304"/>
  <c r="H298" i="304" s="1"/>
  <c r="T380" i="302"/>
  <c r="U380" i="302" s="1"/>
  <c r="G298" i="298"/>
  <c r="H298" i="298" s="1"/>
  <c r="G298" i="301"/>
  <c r="H298" i="301" s="1"/>
  <c r="T380" i="303"/>
  <c r="U380" i="303" s="1"/>
  <c r="G298" i="299"/>
  <c r="H298" i="299" s="1"/>
  <c r="I220" i="299"/>
  <c r="G220" i="299" s="1"/>
  <c r="G239" i="298"/>
  <c r="H237" i="298"/>
  <c r="H241" i="301"/>
  <c r="G119" i="301"/>
  <c r="I119" i="301" s="1"/>
  <c r="G104" i="301"/>
  <c r="I104" i="301" s="1"/>
  <c r="G163" i="301"/>
  <c r="I163" i="301" s="1"/>
  <c r="G97" i="301"/>
  <c r="I97" i="301" s="1"/>
  <c r="G48" i="301"/>
  <c r="I48" i="301" s="1"/>
  <c r="G133" i="301"/>
  <c r="I133" i="301" s="1"/>
  <c r="G22" i="301"/>
  <c r="G153" i="301"/>
  <c r="I153" i="301" s="1"/>
  <c r="G146" i="301"/>
  <c r="I146" i="301" s="1"/>
  <c r="G191" i="301"/>
  <c r="I191" i="301" s="1"/>
  <c r="G56" i="301"/>
  <c r="I56" i="301" s="1"/>
  <c r="G112" i="301"/>
  <c r="I112" i="301" s="1"/>
  <c r="H217" i="301"/>
  <c r="I217" i="301" s="1"/>
  <c r="G170" i="301"/>
  <c r="I170" i="301" s="1"/>
  <c r="G88" i="301"/>
  <c r="G38" i="301"/>
  <c r="I38" i="301" s="1"/>
  <c r="G31" i="301"/>
  <c r="I31" i="301" s="1"/>
  <c r="G64" i="301"/>
  <c r="I64" i="301" s="1"/>
  <c r="G199" i="301"/>
  <c r="I199" i="301" s="1"/>
  <c r="G177" i="301"/>
  <c r="I177" i="301" s="1"/>
  <c r="G184" i="301"/>
  <c r="I184" i="301" s="1"/>
  <c r="G126" i="301"/>
  <c r="I126" i="301" s="1"/>
  <c r="G139" i="301"/>
  <c r="I139" i="301" s="1"/>
  <c r="G300" i="217"/>
  <c r="H300" i="217" s="1"/>
  <c r="G300" i="303"/>
  <c r="H300" i="303" s="1"/>
  <c r="G300" i="304"/>
  <c r="H300" i="304" s="1"/>
  <c r="G300" i="298"/>
  <c r="H300" i="298" s="1"/>
  <c r="G300" i="301"/>
  <c r="H300" i="301" s="1"/>
  <c r="G300" i="299"/>
  <c r="H300" i="299" s="1"/>
  <c r="G300" i="302"/>
  <c r="H300" i="302" s="1"/>
  <c r="G300" i="300"/>
  <c r="H300" i="300" s="1"/>
  <c r="I146" i="300"/>
  <c r="I153" i="302"/>
  <c r="H235" i="303"/>
  <c r="G88" i="298"/>
  <c r="I88" i="298" s="1"/>
  <c r="G64" i="298"/>
  <c r="I64" i="298" s="1"/>
  <c r="G191" i="298"/>
  <c r="I191" i="298" s="1"/>
  <c r="G126" i="298"/>
  <c r="I126" i="298" s="1"/>
  <c r="G153" i="298"/>
  <c r="I153" i="298" s="1"/>
  <c r="G133" i="298"/>
  <c r="I133" i="298" s="1"/>
  <c r="G119" i="298"/>
  <c r="I119" i="298" s="1"/>
  <c r="G56" i="298"/>
  <c r="I56" i="298" s="1"/>
  <c r="G146" i="298"/>
  <c r="G104" i="298"/>
  <c r="I104" i="298" s="1"/>
  <c r="H217" i="298"/>
  <c r="I217" i="298" s="1"/>
  <c r="G184" i="298"/>
  <c r="I184" i="298" s="1"/>
  <c r="G97" i="298"/>
  <c r="I97" i="298" s="1"/>
  <c r="G31" i="298"/>
  <c r="I31" i="298" s="1"/>
  <c r="G22" i="298"/>
  <c r="I22" i="298" s="1"/>
  <c r="G199" i="298"/>
  <c r="I199" i="298" s="1"/>
  <c r="G163" i="298"/>
  <c r="I163" i="298" s="1"/>
  <c r="G170" i="298"/>
  <c r="I170" i="298" s="1"/>
  <c r="G112" i="298"/>
  <c r="I112" i="298" s="1"/>
  <c r="G38" i="298"/>
  <c r="I38" i="298" s="1"/>
  <c r="G48" i="298"/>
  <c r="I48" i="298" s="1"/>
  <c r="G177" i="298"/>
  <c r="I177" i="298" s="1"/>
  <c r="G139" i="298"/>
  <c r="I139" i="298" s="1"/>
  <c r="I242" i="304"/>
  <c r="J250" i="304" s="1"/>
  <c r="D384" i="304"/>
  <c r="I384" i="304" s="1"/>
  <c r="H228" i="304"/>
  <c r="H233" i="304" s="1"/>
  <c r="I233" i="304"/>
  <c r="D291" i="304" a="1"/>
  <c r="D291" i="304" s="1"/>
  <c r="S377" i="304" s="1"/>
  <c r="U377" i="304" s="1"/>
  <c r="H324" i="304"/>
  <c r="C321" i="304"/>
  <c r="H20" i="304"/>
  <c r="I19" i="304"/>
  <c r="C328" i="304"/>
  <c r="H328" i="304" s="1"/>
  <c r="H327" i="304"/>
  <c r="I165" i="304"/>
  <c r="K165" i="304"/>
  <c r="C266" i="304"/>
  <c r="E266" i="304" s="1"/>
  <c r="D292" i="304" s="1"/>
  <c r="F143" i="304"/>
  <c r="C326" i="304"/>
  <c r="H326" i="304" s="1"/>
  <c r="H325" i="304"/>
  <c r="E99" i="304"/>
  <c r="I99" i="304" s="1"/>
  <c r="E98" i="304"/>
  <c r="I98" i="304" s="1"/>
  <c r="I116" i="304"/>
  <c r="E119" i="304" s="1"/>
  <c r="C119" i="304"/>
  <c r="D385" i="304" s="1"/>
  <c r="I385" i="304" s="1"/>
  <c r="E155" i="304"/>
  <c r="I155" i="304" s="1"/>
  <c r="E154" i="304"/>
  <c r="I154" i="304" s="1"/>
  <c r="D355" i="304"/>
  <c r="H355" i="304" s="1"/>
  <c r="E90" i="304"/>
  <c r="I90" i="304" s="1"/>
  <c r="E89" i="304"/>
  <c r="I89" i="304" s="1"/>
  <c r="E105" i="304"/>
  <c r="I105" i="304" s="1"/>
  <c r="E106" i="304"/>
  <c r="I106" i="304" s="1"/>
  <c r="E114" i="304"/>
  <c r="I114" i="304" s="1"/>
  <c r="E113" i="304"/>
  <c r="H237" i="304"/>
  <c r="H350" i="303"/>
  <c r="H329" i="303"/>
  <c r="C330" i="303"/>
  <c r="H330" i="303" s="1"/>
  <c r="E98" i="303"/>
  <c r="I98" i="303" s="1"/>
  <c r="E99" i="303"/>
  <c r="I99" i="303" s="1"/>
  <c r="C324" i="303"/>
  <c r="H324" i="303" s="1"/>
  <c r="H323" i="303"/>
  <c r="E22" i="303"/>
  <c r="H234" i="303"/>
  <c r="E24" i="303"/>
  <c r="I24" i="303" s="1"/>
  <c r="E23" i="303"/>
  <c r="I23" i="303" s="1"/>
  <c r="H243" i="303"/>
  <c r="S376" i="303"/>
  <c r="U376" i="303" s="1"/>
  <c r="H358" i="303"/>
  <c r="C328" i="303"/>
  <c r="H328" i="303" s="1"/>
  <c r="H327" i="303"/>
  <c r="H225" i="303"/>
  <c r="J69" i="303"/>
  <c r="J52" i="303"/>
  <c r="D52" i="303" s="1"/>
  <c r="D35" i="303"/>
  <c r="J42" i="303"/>
  <c r="D42" i="303" s="1"/>
  <c r="F42" i="303" s="1"/>
  <c r="K165" i="303"/>
  <c r="I165" i="303"/>
  <c r="H350" i="302"/>
  <c r="E24" i="302"/>
  <c r="I24" i="302" s="1"/>
  <c r="E23" i="302"/>
  <c r="I23" i="302" s="1"/>
  <c r="C328" i="302"/>
  <c r="H328" i="302" s="1"/>
  <c r="H327" i="302"/>
  <c r="H243" i="302"/>
  <c r="E147" i="302"/>
  <c r="I147" i="302" s="1"/>
  <c r="E148" i="302"/>
  <c r="I148" i="302" s="1"/>
  <c r="H358" i="302"/>
  <c r="U376" i="302"/>
  <c r="K165" i="302"/>
  <c r="I165" i="302"/>
  <c r="E155" i="302"/>
  <c r="I155" i="302" s="1"/>
  <c r="E154" i="302"/>
  <c r="I154" i="302" s="1"/>
  <c r="E99" i="302"/>
  <c r="I99" i="302" s="1"/>
  <c r="E98" i="302"/>
  <c r="I98" i="302" s="1"/>
  <c r="C324" i="302"/>
  <c r="H324" i="302" s="1"/>
  <c r="H323" i="302"/>
  <c r="D292" i="301"/>
  <c r="C324" i="301"/>
  <c r="H324" i="301" s="1"/>
  <c r="H323" i="301"/>
  <c r="H20" i="301"/>
  <c r="I19" i="301"/>
  <c r="E154" i="301"/>
  <c r="I154" i="301" s="1"/>
  <c r="E155" i="301"/>
  <c r="I155" i="301" s="1"/>
  <c r="I242" i="301"/>
  <c r="J250" i="301" s="1"/>
  <c r="K165" i="301"/>
  <c r="I165" i="301"/>
  <c r="D383" i="301"/>
  <c r="I383" i="301" s="1"/>
  <c r="D380" i="301"/>
  <c r="D382" i="301"/>
  <c r="I382" i="301" s="1"/>
  <c r="D354" i="301"/>
  <c r="H354" i="301" s="1"/>
  <c r="E23" i="301"/>
  <c r="I23" i="301" s="1"/>
  <c r="E24" i="301"/>
  <c r="I24" i="301" s="1"/>
  <c r="H325" i="301"/>
  <c r="C326" i="301"/>
  <c r="H326" i="301" s="1"/>
  <c r="I233" i="301"/>
  <c r="D291" i="301" a="1"/>
  <c r="D291" i="301" s="1"/>
  <c r="H84" i="301"/>
  <c r="I83" i="301"/>
  <c r="H358" i="301"/>
  <c r="S376" i="301"/>
  <c r="U376" i="301" s="1"/>
  <c r="E58" i="301"/>
  <c r="I58" i="301" s="1"/>
  <c r="E57" i="301"/>
  <c r="I57" i="301" s="1"/>
  <c r="H233" i="301"/>
  <c r="H334" i="301"/>
  <c r="C321" i="301"/>
  <c r="E147" i="301"/>
  <c r="I147" i="301" s="1"/>
  <c r="E148" i="301"/>
  <c r="I148" i="301" s="1"/>
  <c r="E105" i="301"/>
  <c r="I105" i="301" s="1"/>
  <c r="E106" i="301"/>
  <c r="I106" i="301" s="1"/>
  <c r="C88" i="301"/>
  <c r="I68" i="301"/>
  <c r="C330" i="301"/>
  <c r="H330" i="301" s="1"/>
  <c r="H329" i="301"/>
  <c r="H243" i="301"/>
  <c r="I250" i="301"/>
  <c r="H334" i="300"/>
  <c r="C88" i="300"/>
  <c r="D384" i="300" s="1"/>
  <c r="I384" i="300" s="1"/>
  <c r="C324" i="300"/>
  <c r="H324" i="300" s="1"/>
  <c r="H323" i="300"/>
  <c r="H87" i="300"/>
  <c r="I87" i="300" s="1"/>
  <c r="E88" i="300" s="1"/>
  <c r="I88" i="300" s="1"/>
  <c r="I86" i="300"/>
  <c r="I250" i="300"/>
  <c r="I42" i="300"/>
  <c r="E48" i="300" s="1"/>
  <c r="C48" i="300"/>
  <c r="E58" i="300"/>
  <c r="I58" i="300" s="1"/>
  <c r="E57" i="300"/>
  <c r="I57" i="300" s="1"/>
  <c r="D382" i="300"/>
  <c r="I382" i="300" s="1"/>
  <c r="E24" i="300"/>
  <c r="I24" i="300" s="1"/>
  <c r="E23" i="300"/>
  <c r="I23" i="300" s="1"/>
  <c r="E147" i="300"/>
  <c r="I147" i="300" s="1"/>
  <c r="E148" i="300"/>
  <c r="I148" i="300" s="1"/>
  <c r="K165" i="300"/>
  <c r="I165" i="300"/>
  <c r="G211" i="300"/>
  <c r="C300" i="300"/>
  <c r="F35" i="300"/>
  <c r="D101" i="300"/>
  <c r="E155" i="300"/>
  <c r="I155" i="300" s="1"/>
  <c r="E154" i="300"/>
  <c r="I154" i="300" s="1"/>
  <c r="S377" i="299"/>
  <c r="U377" i="299" s="1"/>
  <c r="C313" i="299"/>
  <c r="H313" i="299" s="1"/>
  <c r="H314" i="299" s="1"/>
  <c r="D383" i="299"/>
  <c r="I383" i="299" s="1"/>
  <c r="D380" i="299"/>
  <c r="D382" i="299"/>
  <c r="I382" i="299" s="1"/>
  <c r="E24" i="299"/>
  <c r="I24" i="299" s="1"/>
  <c r="E23" i="299"/>
  <c r="I23" i="299" s="1"/>
  <c r="D354" i="299"/>
  <c r="H354" i="299" s="1"/>
  <c r="C326" i="299"/>
  <c r="H326" i="299" s="1"/>
  <c r="H325" i="299"/>
  <c r="H77" i="299"/>
  <c r="I76" i="299"/>
  <c r="C328" i="299"/>
  <c r="H328" i="299" s="1"/>
  <c r="H327" i="299"/>
  <c r="C330" i="299"/>
  <c r="H330" i="299" s="1"/>
  <c r="H329" i="299"/>
  <c r="I163" i="299"/>
  <c r="H21" i="299"/>
  <c r="I21" i="299" s="1"/>
  <c r="I20" i="299"/>
  <c r="C324" i="299"/>
  <c r="H324" i="299" s="1"/>
  <c r="H323" i="299"/>
  <c r="H334" i="299"/>
  <c r="E58" i="299"/>
  <c r="I58" i="299" s="1"/>
  <c r="E57" i="299"/>
  <c r="I57" i="299" s="1"/>
  <c r="E106" i="299"/>
  <c r="I106" i="299" s="1"/>
  <c r="E105" i="299"/>
  <c r="I105" i="299" s="1"/>
  <c r="C88" i="299"/>
  <c r="D384" i="299" s="1"/>
  <c r="I384" i="299" s="1"/>
  <c r="I165" i="299"/>
  <c r="K165" i="299"/>
  <c r="H243" i="299"/>
  <c r="I250" i="299"/>
  <c r="D385" i="299"/>
  <c r="I385" i="299" s="1"/>
  <c r="D356" i="299"/>
  <c r="H356" i="299" s="1"/>
  <c r="E98" i="299"/>
  <c r="I98" i="299" s="1"/>
  <c r="E99" i="299"/>
  <c r="I99" i="299" s="1"/>
  <c r="D383" i="298"/>
  <c r="I383" i="298" s="1"/>
  <c r="D355" i="298"/>
  <c r="H355" i="298" s="1"/>
  <c r="E90" i="298"/>
  <c r="I90" i="298" s="1"/>
  <c r="E89" i="298"/>
  <c r="I89" i="298" s="1"/>
  <c r="I269" i="298"/>
  <c r="D385" i="298"/>
  <c r="I385" i="298" s="1"/>
  <c r="E98" i="298"/>
  <c r="I98" i="298" s="1"/>
  <c r="E99" i="298"/>
  <c r="I99" i="298" s="1"/>
  <c r="C324" i="298"/>
  <c r="H323" i="298"/>
  <c r="C329" i="298"/>
  <c r="E121" i="298"/>
  <c r="I121" i="298" s="1"/>
  <c r="E120" i="298"/>
  <c r="I120" i="298" s="1"/>
  <c r="D340" i="298"/>
  <c r="H340" i="298" s="1"/>
  <c r="H350" i="298" s="1"/>
  <c r="I113" i="298"/>
  <c r="E106" i="298"/>
  <c r="I106" i="298" s="1"/>
  <c r="E105" i="298"/>
  <c r="I105" i="298" s="1"/>
  <c r="E218" i="298"/>
  <c r="I233" i="298"/>
  <c r="H325" i="298"/>
  <c r="C326" i="298"/>
  <c r="H326" i="298" s="1"/>
  <c r="D292" i="298"/>
  <c r="D291" i="298" a="1"/>
  <c r="D291" i="298" s="1"/>
  <c r="D354" i="298"/>
  <c r="H354" i="298" s="1"/>
  <c r="K165" i="298"/>
  <c r="I165" i="298"/>
  <c r="I143" i="298"/>
  <c r="E146" i="298" s="1"/>
  <c r="C146" i="298"/>
  <c r="D384" i="298"/>
  <c r="I384" i="298" s="1"/>
  <c r="H309" i="217"/>
  <c r="H55" i="217"/>
  <c r="I54" i="217"/>
  <c r="I55" i="217"/>
  <c r="F145" i="217"/>
  <c r="I145" i="217" s="1"/>
  <c r="C268" i="217"/>
  <c r="E268" i="217" s="1"/>
  <c r="E248" i="217"/>
  <c r="E264" i="217"/>
  <c r="E275" i="217"/>
  <c r="I65" i="217"/>
  <c r="F76" i="217"/>
  <c r="F84" i="217"/>
  <c r="E278" i="217"/>
  <c r="E246" i="217"/>
  <c r="I125" i="217"/>
  <c r="I132" i="217"/>
  <c r="E133" i="217" s="1"/>
  <c r="F250" i="217"/>
  <c r="C338" i="217" s="1"/>
  <c r="H4" i="217"/>
  <c r="V372" i="217"/>
  <c r="I36" i="217"/>
  <c r="E244" i="217"/>
  <c r="F74" i="217"/>
  <c r="I74" i="217" s="1"/>
  <c r="F123" i="217"/>
  <c r="I123" i="217" s="1"/>
  <c r="E126" i="217" s="1"/>
  <c r="E263" i="217"/>
  <c r="F273" i="217"/>
  <c r="I172" i="217"/>
  <c r="E235" i="217"/>
  <c r="E247" i="217"/>
  <c r="F144" i="217"/>
  <c r="I144" i="217" s="1"/>
  <c r="E199" i="217"/>
  <c r="F258" i="217"/>
  <c r="F280" i="217"/>
  <c r="E251" i="217"/>
  <c r="E254" i="217"/>
  <c r="F124" i="217"/>
  <c r="I124" i="217" s="1"/>
  <c r="F160" i="217"/>
  <c r="G214" i="217"/>
  <c r="I214" i="217" s="1"/>
  <c r="D358" i="217"/>
  <c r="D232" i="217"/>
  <c r="F103" i="217"/>
  <c r="I96" i="217"/>
  <c r="H101" i="217"/>
  <c r="H102" i="217" s="1"/>
  <c r="H103" i="217" s="1"/>
  <c r="C163" i="217"/>
  <c r="E245" i="217"/>
  <c r="E257" i="217"/>
  <c r="C272" i="217"/>
  <c r="D230" i="217"/>
  <c r="F101" i="217"/>
  <c r="C237" i="217"/>
  <c r="E237" i="217" s="1"/>
  <c r="E228" i="217"/>
  <c r="D231" i="217"/>
  <c r="F102" i="217"/>
  <c r="H45" i="217"/>
  <c r="H46" i="217" s="1"/>
  <c r="H47" i="217" s="1"/>
  <c r="I47" i="217" s="1"/>
  <c r="I44" i="217"/>
  <c r="E253" i="217"/>
  <c r="C282" i="217"/>
  <c r="E282" i="217" s="1"/>
  <c r="I16" i="217"/>
  <c r="C238" i="217"/>
  <c r="E238" i="217" s="1"/>
  <c r="E229" i="217"/>
  <c r="H111" i="217"/>
  <c r="I111" i="217" s="1"/>
  <c r="I110" i="217"/>
  <c r="C271" i="217"/>
  <c r="I158" i="217"/>
  <c r="H159" i="217"/>
  <c r="H160" i="217" s="1"/>
  <c r="C48" i="217"/>
  <c r="I43" i="217"/>
  <c r="I17" i="217"/>
  <c r="H18" i="217"/>
  <c r="H19" i="217" s="1"/>
  <c r="H20" i="217" s="1"/>
  <c r="H21" i="217" s="1"/>
  <c r="I21" i="217" s="1"/>
  <c r="F233" i="217"/>
  <c r="F291" i="217" s="1"/>
  <c r="F78" i="217"/>
  <c r="E200" i="217"/>
  <c r="I200" i="217" s="1"/>
  <c r="D283" i="217"/>
  <c r="E283" i="217" s="1"/>
  <c r="H72" i="217"/>
  <c r="H76" i="217" s="1"/>
  <c r="H77" i="217" s="1"/>
  <c r="I109" i="217"/>
  <c r="H37" i="217"/>
  <c r="I37" i="217" s="1"/>
  <c r="C249" i="217"/>
  <c r="E249" i="217" s="1"/>
  <c r="C252" i="217"/>
  <c r="C256" i="217"/>
  <c r="E256" i="217" s="1"/>
  <c r="D150" i="217"/>
  <c r="E151" i="217"/>
  <c r="D271" i="217" s="1"/>
  <c r="E152" i="217"/>
  <c r="D272" i="217" s="1"/>
  <c r="D277" i="217"/>
  <c r="E277" i="217" s="1"/>
  <c r="D279" i="217"/>
  <c r="E279" i="217" s="1"/>
  <c r="H190" i="217"/>
  <c r="I190" i="217" s="1"/>
  <c r="E191" i="217" s="1"/>
  <c r="F35" i="217"/>
  <c r="E184" i="217"/>
  <c r="I184" i="217" s="1"/>
  <c r="H286" i="217"/>
  <c r="G191" i="217"/>
  <c r="F95" i="217"/>
  <c r="I95" i="217" s="1"/>
  <c r="F269" i="217"/>
  <c r="I185" i="217"/>
  <c r="J68" i="217"/>
  <c r="F14" i="217"/>
  <c r="I14" i="217" s="1"/>
  <c r="H288" i="217"/>
  <c r="E226" i="217"/>
  <c r="H226" i="217" s="1"/>
  <c r="F242" i="217"/>
  <c r="E114" i="217"/>
  <c r="I114" i="217" s="1"/>
  <c r="D261" i="217"/>
  <c r="E261" i="217" s="1"/>
  <c r="H305" i="217"/>
  <c r="H308" i="217" s="1"/>
  <c r="F116" i="217"/>
  <c r="C119" i="217" s="1"/>
  <c r="C329" i="217" s="1"/>
  <c r="H329" i="217" s="1"/>
  <c r="I137" i="217"/>
  <c r="E139" i="217" s="1"/>
  <c r="C139" i="217"/>
  <c r="E143" i="217"/>
  <c r="D266" i="217" s="1"/>
  <c r="C266" i="217"/>
  <c r="C215" i="217" a="1"/>
  <c r="C215" i="217" s="1"/>
  <c r="D381" i="217"/>
  <c r="I381" i="217" s="1"/>
  <c r="G213" i="217"/>
  <c r="I213" i="217" s="1"/>
  <c r="D340" i="217"/>
  <c r="H340" i="217" s="1"/>
  <c r="I113" i="217"/>
  <c r="E192" i="217"/>
  <c r="I192" i="217" s="1"/>
  <c r="F366" i="217"/>
  <c r="D362" i="217" s="1"/>
  <c r="H362" i="217" s="1"/>
  <c r="F5" i="217"/>
  <c r="H5" i="217" s="1"/>
  <c r="F6" i="217"/>
  <c r="F217" i="217"/>
  <c r="H318" i="217"/>
  <c r="G38" i="217"/>
  <c r="G139" i="217"/>
  <c r="G112" i="217"/>
  <c r="G56" i="217"/>
  <c r="G199" i="217"/>
  <c r="I199" i="217" s="1"/>
  <c r="G64" i="217"/>
  <c r="I64" i="217" s="1"/>
  <c r="G177" i="217"/>
  <c r="I177" i="217" s="1"/>
  <c r="G88" i="217"/>
  <c r="G119" i="217"/>
  <c r="G48" i="217"/>
  <c r="G97" i="217"/>
  <c r="G31" i="217"/>
  <c r="G22" i="217"/>
  <c r="G282" i="217"/>
  <c r="G287" i="217"/>
  <c r="H287" i="217" s="1"/>
  <c r="G170" i="217"/>
  <c r="I170" i="217" s="1"/>
  <c r="G104" i="217"/>
  <c r="G146" i="217"/>
  <c r="G153" i="217"/>
  <c r="G163" i="217"/>
  <c r="F316" i="217"/>
  <c r="G294" i="217"/>
  <c r="H294" i="217" s="1"/>
  <c r="G228" i="217"/>
  <c r="B241" i="217"/>
  <c r="B243" i="217"/>
  <c r="B244" i="217" s="1"/>
  <c r="B245" i="217" s="1"/>
  <c r="B246" i="217" s="1"/>
  <c r="G133" i="217"/>
  <c r="H217" i="217"/>
  <c r="G126" i="217"/>
  <c r="G289" i="217"/>
  <c r="H289" i="217" s="1"/>
  <c r="G296" i="217"/>
  <c r="H296" i="217" s="1"/>
  <c r="G284" i="334" l="1"/>
  <c r="H284" i="334" s="1"/>
  <c r="H283" i="334"/>
  <c r="H285" i="334" s="1"/>
  <c r="H76" i="331"/>
  <c r="G316" i="334"/>
  <c r="H316" i="334" s="1"/>
  <c r="F317" i="334"/>
  <c r="G262" i="334"/>
  <c r="H261" i="334"/>
  <c r="E22" i="299"/>
  <c r="I133" i="217"/>
  <c r="C126" i="217"/>
  <c r="D69" i="303"/>
  <c r="J70" i="303"/>
  <c r="D70" i="303" s="1"/>
  <c r="D227" i="217"/>
  <c r="F94" i="217"/>
  <c r="I94" i="217" s="1"/>
  <c r="I265" i="217"/>
  <c r="I102" i="217"/>
  <c r="I75" i="217"/>
  <c r="H282" i="217"/>
  <c r="I126" i="217"/>
  <c r="I160" i="217"/>
  <c r="I73" i="217"/>
  <c r="I116" i="217"/>
  <c r="E119" i="217" s="1"/>
  <c r="I42" i="302"/>
  <c r="E48" i="302" s="1"/>
  <c r="C48" i="302"/>
  <c r="F69" i="302"/>
  <c r="C244" i="302"/>
  <c r="E244" i="302" s="1"/>
  <c r="I52" i="302"/>
  <c r="E56" i="302" s="1"/>
  <c r="C56" i="302"/>
  <c r="G211" i="302"/>
  <c r="C300" i="302"/>
  <c r="D101" i="302"/>
  <c r="F35" i="302"/>
  <c r="H358" i="217"/>
  <c r="S376" i="217"/>
  <c r="U376" i="217" s="1"/>
  <c r="I48" i="302"/>
  <c r="I219" i="324"/>
  <c r="G219" i="324" s="1"/>
  <c r="H242" i="304"/>
  <c r="H243" i="300"/>
  <c r="H242" i="299"/>
  <c r="H304" i="329"/>
  <c r="I218" i="298"/>
  <c r="Q66" i="326"/>
  <c r="R66" i="326" s="1"/>
  <c r="C126" i="326"/>
  <c r="F317" i="325"/>
  <c r="G316" i="325"/>
  <c r="H316" i="325" s="1"/>
  <c r="I219" i="311"/>
  <c r="G219" i="311" s="1"/>
  <c r="G284" i="310"/>
  <c r="H284" i="310" s="1"/>
  <c r="H283" i="310"/>
  <c r="G228" i="308"/>
  <c r="H227" i="308"/>
  <c r="G228" i="320"/>
  <c r="H227" i="320"/>
  <c r="H304" i="314"/>
  <c r="H304" i="319"/>
  <c r="I218" i="314"/>
  <c r="G218" i="314" s="1"/>
  <c r="I219" i="312"/>
  <c r="G228" i="310"/>
  <c r="H227" i="310"/>
  <c r="F317" i="312"/>
  <c r="G316" i="312"/>
  <c r="H316" i="312" s="1"/>
  <c r="G316" i="322"/>
  <c r="H316" i="322" s="1"/>
  <c r="F317" i="322"/>
  <c r="I218" i="309"/>
  <c r="G218" i="309" s="1"/>
  <c r="I218" i="320"/>
  <c r="I219" i="322"/>
  <c r="G284" i="313"/>
  <c r="H284" i="313" s="1"/>
  <c r="H283" i="313"/>
  <c r="H304" i="322"/>
  <c r="H304" i="324"/>
  <c r="G228" i="325"/>
  <c r="H227" i="325"/>
  <c r="G284" i="319"/>
  <c r="H284" i="319" s="1"/>
  <c r="H283" i="319"/>
  <c r="G245" i="304"/>
  <c r="G316" i="317"/>
  <c r="H316" i="317" s="1"/>
  <c r="F317" i="317"/>
  <c r="F317" i="320"/>
  <c r="G316" i="320"/>
  <c r="H316" i="320" s="1"/>
  <c r="F317" i="323"/>
  <c r="G316" i="323"/>
  <c r="H316" i="323" s="1"/>
  <c r="I218" i="325"/>
  <c r="G218" i="325" s="1"/>
  <c r="G284" i="328"/>
  <c r="H284" i="328" s="1"/>
  <c r="H283" i="328"/>
  <c r="G284" i="325"/>
  <c r="H284" i="325" s="1"/>
  <c r="H283" i="325"/>
  <c r="G228" i="313"/>
  <c r="H227" i="313"/>
  <c r="I219" i="308"/>
  <c r="G219" i="308" s="1"/>
  <c r="G228" i="314"/>
  <c r="H227" i="314"/>
  <c r="H304" i="312"/>
  <c r="H304" i="321"/>
  <c r="G228" i="318"/>
  <c r="H227" i="318"/>
  <c r="I218" i="329"/>
  <c r="I218" i="313"/>
  <c r="G284" i="321"/>
  <c r="H284" i="321" s="1"/>
  <c r="H283" i="321"/>
  <c r="G228" i="329"/>
  <c r="H227" i="329"/>
  <c r="O72" i="306"/>
  <c r="F54" i="306"/>
  <c r="G54" i="306" s="1"/>
  <c r="G61" i="306" s="1"/>
  <c r="O72" i="316"/>
  <c r="F54" i="316"/>
  <c r="G54" i="316" s="1"/>
  <c r="G61" i="316" s="1"/>
  <c r="F317" i="329"/>
  <c r="G316" i="329"/>
  <c r="H316" i="329" s="1"/>
  <c r="F317" i="324"/>
  <c r="G316" i="324"/>
  <c r="H316" i="324" s="1"/>
  <c r="G284" i="314"/>
  <c r="H284" i="314" s="1"/>
  <c r="H283" i="314"/>
  <c r="I218" i="308"/>
  <c r="G284" i="311"/>
  <c r="H284" i="311" s="1"/>
  <c r="H283" i="311"/>
  <c r="G284" i="329"/>
  <c r="H284" i="329" s="1"/>
  <c r="H283" i="329"/>
  <c r="H304" i="311"/>
  <c r="H304" i="325"/>
  <c r="I218" i="321"/>
  <c r="G228" i="323"/>
  <c r="H227" i="323"/>
  <c r="G228" i="328"/>
  <c r="H227" i="328"/>
  <c r="G284" i="312"/>
  <c r="H284" i="312" s="1"/>
  <c r="H283" i="312"/>
  <c r="I219" i="329"/>
  <c r="G219" i="329" s="1"/>
  <c r="G228" i="324"/>
  <c r="H227" i="324"/>
  <c r="I218" i="328"/>
  <c r="G218" i="328" s="1"/>
  <c r="H304" i="304"/>
  <c r="F317" i="310"/>
  <c r="G316" i="310"/>
  <c r="H316" i="310" s="1"/>
  <c r="F54" i="315"/>
  <c r="G54" i="315" s="1"/>
  <c r="G61" i="315" s="1"/>
  <c r="O72" i="315"/>
  <c r="F317" i="328"/>
  <c r="G316" i="328"/>
  <c r="H316" i="328" s="1"/>
  <c r="G284" i="309"/>
  <c r="H284" i="309" s="1"/>
  <c r="H283" i="309"/>
  <c r="O69" i="316"/>
  <c r="P69" i="316" s="1"/>
  <c r="G228" i="321"/>
  <c r="H227" i="321"/>
  <c r="H304" i="317"/>
  <c r="H304" i="328"/>
  <c r="G284" i="317"/>
  <c r="H284" i="317" s="1"/>
  <c r="H283" i="317"/>
  <c r="I218" i="319"/>
  <c r="I219" i="313"/>
  <c r="G219" i="313" s="1"/>
  <c r="G284" i="322"/>
  <c r="H284" i="322" s="1"/>
  <c r="H283" i="322"/>
  <c r="O69" i="306"/>
  <c r="P69" i="306" s="1"/>
  <c r="G228" i="319"/>
  <c r="H227" i="319"/>
  <c r="I218" i="317"/>
  <c r="I219" i="317"/>
  <c r="G219" i="317" s="1"/>
  <c r="I218" i="324"/>
  <c r="F317" i="308"/>
  <c r="G316" i="308"/>
  <c r="H316" i="308" s="1"/>
  <c r="F317" i="321"/>
  <c r="G316" i="321"/>
  <c r="H316" i="321" s="1"/>
  <c r="O69" i="315"/>
  <c r="P69" i="315" s="1"/>
  <c r="G228" i="312"/>
  <c r="H227" i="312"/>
  <c r="H304" i="308"/>
  <c r="H304" i="313"/>
  <c r="H304" i="320"/>
  <c r="I219" i="323"/>
  <c r="G219" i="323" s="1"/>
  <c r="G284" i="318"/>
  <c r="H284" i="318" s="1"/>
  <c r="H283" i="318"/>
  <c r="G284" i="320"/>
  <c r="H284" i="320" s="1"/>
  <c r="H283" i="320"/>
  <c r="H304" i="298"/>
  <c r="G316" i="313"/>
  <c r="H316" i="313" s="1"/>
  <c r="F317" i="313"/>
  <c r="G316" i="318"/>
  <c r="H316" i="318" s="1"/>
  <c r="F317" i="318"/>
  <c r="I218" i="311"/>
  <c r="G284" i="324"/>
  <c r="H284" i="324" s="1"/>
  <c r="H283" i="324"/>
  <c r="G228" i="309"/>
  <c r="H227" i="309"/>
  <c r="I218" i="322"/>
  <c r="G218" i="322" s="1"/>
  <c r="H304" i="309"/>
  <c r="H304" i="323"/>
  <c r="I218" i="323"/>
  <c r="I218" i="310"/>
  <c r="H76" i="307"/>
  <c r="G228" i="317"/>
  <c r="H227" i="317"/>
  <c r="G284" i="323"/>
  <c r="H284" i="323" s="1"/>
  <c r="H283" i="323"/>
  <c r="G284" i="308"/>
  <c r="H284" i="308" s="1"/>
  <c r="H283" i="308"/>
  <c r="G316" i="309"/>
  <c r="H316" i="309" s="1"/>
  <c r="F317" i="309"/>
  <c r="F317" i="314"/>
  <c r="G316" i="314"/>
  <c r="H316" i="314" s="1"/>
  <c r="F317" i="311"/>
  <c r="G316" i="311"/>
  <c r="H316" i="311" s="1"/>
  <c r="F317" i="319"/>
  <c r="G316" i="319"/>
  <c r="H316" i="319" s="1"/>
  <c r="H304" i="318"/>
  <c r="I219" i="320"/>
  <c r="G219" i="320" s="1"/>
  <c r="Q66" i="307"/>
  <c r="R66" i="307" s="1"/>
  <c r="G228" i="322"/>
  <c r="H227" i="322"/>
  <c r="H304" i="310"/>
  <c r="I219" i="321"/>
  <c r="G219" i="321" s="1"/>
  <c r="I219" i="310"/>
  <c r="G219" i="310" s="1"/>
  <c r="Q66" i="327"/>
  <c r="R66" i="327" s="1"/>
  <c r="I219" i="319"/>
  <c r="G219" i="319" s="1"/>
  <c r="I218" i="312"/>
  <c r="G218" i="312" s="1"/>
  <c r="G228" i="311"/>
  <c r="H227" i="311"/>
  <c r="I219" i="318"/>
  <c r="G219" i="318" s="1"/>
  <c r="I218" i="318"/>
  <c r="E88" i="328"/>
  <c r="H87" i="325"/>
  <c r="I87" i="325" s="1"/>
  <c r="I86" i="325"/>
  <c r="H87" i="314"/>
  <c r="I87" i="314" s="1"/>
  <c r="E88" i="314" s="1"/>
  <c r="I86" i="314"/>
  <c r="H85" i="309"/>
  <c r="I84" i="309"/>
  <c r="G246" i="303"/>
  <c r="I22" i="303"/>
  <c r="F317" i="299"/>
  <c r="G316" i="299"/>
  <c r="H316" i="299" s="1"/>
  <c r="H304" i="299"/>
  <c r="G246" i="299"/>
  <c r="H245" i="299"/>
  <c r="G241" i="298"/>
  <c r="H239" i="298"/>
  <c r="H304" i="302"/>
  <c r="F317" i="302"/>
  <c r="G316" i="302"/>
  <c r="H316" i="302" s="1"/>
  <c r="F317" i="304"/>
  <c r="G316" i="304"/>
  <c r="H316" i="304" s="1"/>
  <c r="H304" i="301"/>
  <c r="H304" i="303"/>
  <c r="G245" i="300"/>
  <c r="H244" i="300"/>
  <c r="H241" i="300"/>
  <c r="G316" i="300"/>
  <c r="H316" i="300" s="1"/>
  <c r="F317" i="300"/>
  <c r="G240" i="301"/>
  <c r="H240" i="301" s="1"/>
  <c r="H238" i="301"/>
  <c r="F317" i="301"/>
  <c r="G316" i="301"/>
  <c r="H316" i="301" s="1"/>
  <c r="H304" i="300"/>
  <c r="G246" i="302"/>
  <c r="H245" i="302"/>
  <c r="G246" i="304"/>
  <c r="H245" i="304"/>
  <c r="F317" i="298"/>
  <c r="G316" i="298"/>
  <c r="H316" i="298" s="1"/>
  <c r="F317" i="303"/>
  <c r="G316" i="303"/>
  <c r="H316" i="303" s="1"/>
  <c r="G246" i="301"/>
  <c r="H245" i="301"/>
  <c r="D354" i="304"/>
  <c r="H354" i="304" s="1"/>
  <c r="D380" i="304"/>
  <c r="D340" i="304"/>
  <c r="H340" i="304" s="1"/>
  <c r="H350" i="304" s="1"/>
  <c r="I113" i="304"/>
  <c r="I20" i="304"/>
  <c r="E22" i="304" s="1"/>
  <c r="I22" i="304" s="1"/>
  <c r="H21" i="304"/>
  <c r="I21" i="304" s="1"/>
  <c r="I143" i="304"/>
  <c r="E146" i="304" s="1"/>
  <c r="C146" i="304"/>
  <c r="I269" i="304"/>
  <c r="C313" i="304"/>
  <c r="H313" i="304" s="1"/>
  <c r="H314" i="304" s="1"/>
  <c r="E120" i="304"/>
  <c r="I120" i="304" s="1"/>
  <c r="C329" i="304"/>
  <c r="E121" i="304"/>
  <c r="I121" i="304" s="1"/>
  <c r="I119" i="304"/>
  <c r="D383" i="304"/>
  <c r="I383" i="304" s="1"/>
  <c r="I388" i="304" s="1"/>
  <c r="C244" i="303"/>
  <c r="E244" i="303" s="1"/>
  <c r="F69" i="303"/>
  <c r="C334" i="303" a="1"/>
  <c r="C334" i="303" s="1"/>
  <c r="C48" i="303"/>
  <c r="I42" i="303"/>
  <c r="E48" i="303" s="1"/>
  <c r="I48" i="303" s="1"/>
  <c r="G211" i="303"/>
  <c r="C300" i="303"/>
  <c r="F35" i="303"/>
  <c r="D101" i="303"/>
  <c r="I52" i="303"/>
  <c r="E56" i="303" s="1"/>
  <c r="C56" i="303"/>
  <c r="C321" i="302"/>
  <c r="H85" i="301"/>
  <c r="I84" i="301"/>
  <c r="S377" i="301"/>
  <c r="U377" i="301" s="1"/>
  <c r="C313" i="301"/>
  <c r="H313" i="301" s="1"/>
  <c r="H314" i="301" s="1"/>
  <c r="I20" i="301"/>
  <c r="H21" i="301"/>
  <c r="I21" i="301" s="1"/>
  <c r="D355" i="301"/>
  <c r="H355" i="301" s="1"/>
  <c r="H363" i="301" s="1"/>
  <c r="C333" i="301"/>
  <c r="H333" i="301" s="1"/>
  <c r="E90" i="301"/>
  <c r="I90" i="301" s="1"/>
  <c r="E89" i="301"/>
  <c r="I89" i="301" s="1"/>
  <c r="C319" i="301"/>
  <c r="D384" i="301"/>
  <c r="I384" i="301" s="1"/>
  <c r="I388" i="301" s="1"/>
  <c r="H215" i="300" a="1"/>
  <c r="H215" i="300" s="1"/>
  <c r="I215" i="300" s="1"/>
  <c r="E220" i="300" s="1"/>
  <c r="I220" i="300" s="1"/>
  <c r="G220" i="300" s="1"/>
  <c r="I211" i="300"/>
  <c r="D355" i="300"/>
  <c r="H355" i="300" s="1"/>
  <c r="E90" i="300"/>
  <c r="I90" i="300" s="1"/>
  <c r="E89" i="300"/>
  <c r="I89" i="300" s="1"/>
  <c r="I48" i="300"/>
  <c r="C230" i="300"/>
  <c r="F101" i="300"/>
  <c r="C321" i="300"/>
  <c r="I35" i="300"/>
  <c r="E38" i="300" s="1"/>
  <c r="I38" i="300" s="1"/>
  <c r="C38" i="300"/>
  <c r="E50" i="300"/>
  <c r="I50" i="300" s="1"/>
  <c r="E49" i="300"/>
  <c r="I49" i="300" s="1"/>
  <c r="C319" i="299"/>
  <c r="C331" i="299" s="1"/>
  <c r="H331" i="299" s="1"/>
  <c r="I22" i="299"/>
  <c r="I218" i="299" s="1"/>
  <c r="E218" i="299"/>
  <c r="I388" i="299"/>
  <c r="C321" i="299"/>
  <c r="H78" i="299"/>
  <c r="I77" i="299"/>
  <c r="D355" i="299"/>
  <c r="H355" i="299" s="1"/>
  <c r="H363" i="299" s="1"/>
  <c r="T383" i="299" s="1"/>
  <c r="C333" i="299"/>
  <c r="H333" i="299" s="1"/>
  <c r="E89" i="299"/>
  <c r="I89" i="299" s="1"/>
  <c r="E90" i="299"/>
  <c r="I90" i="299" s="1"/>
  <c r="I388" i="298"/>
  <c r="C330" i="298"/>
  <c r="H330" i="298" s="1"/>
  <c r="H329" i="298"/>
  <c r="G218" i="298"/>
  <c r="H324" i="298"/>
  <c r="C321" i="298"/>
  <c r="S377" i="298"/>
  <c r="U377" i="298" s="1"/>
  <c r="C313" i="298"/>
  <c r="H313" i="298" s="1"/>
  <c r="H314" i="298" s="1"/>
  <c r="E148" i="298"/>
  <c r="I148" i="298" s="1"/>
  <c r="E147" i="298"/>
  <c r="I147" i="298" s="1"/>
  <c r="C319" i="298"/>
  <c r="C333" i="298"/>
  <c r="H333" i="298" s="1"/>
  <c r="I146" i="298"/>
  <c r="I219" i="298" s="1"/>
  <c r="E219" i="298"/>
  <c r="E223" i="298" s="1"/>
  <c r="S375" i="298" s="1"/>
  <c r="D356" i="298"/>
  <c r="H356" i="298" s="1"/>
  <c r="H363" i="298" s="1"/>
  <c r="F292" i="217"/>
  <c r="D342" i="217" s="1"/>
  <c r="H342" i="217" s="1"/>
  <c r="I159" i="217"/>
  <c r="I45" i="217"/>
  <c r="S386" i="217"/>
  <c r="U386" i="217" s="1"/>
  <c r="S388" i="217"/>
  <c r="U388" i="217" s="1"/>
  <c r="U387" i="217" s="1"/>
  <c r="S385" i="217"/>
  <c r="U385" i="217" s="1"/>
  <c r="E271" i="217"/>
  <c r="I280" i="217"/>
  <c r="E112" i="217"/>
  <c r="I112" i="217" s="1"/>
  <c r="H290" i="217"/>
  <c r="I191" i="217"/>
  <c r="D348" i="217"/>
  <c r="H348" i="217" s="1"/>
  <c r="C339" i="217"/>
  <c r="H339" i="217" s="1"/>
  <c r="D240" i="217"/>
  <c r="E240" i="217" s="1"/>
  <c r="E231" i="217"/>
  <c r="I20" i="217"/>
  <c r="E128" i="217"/>
  <c r="I128" i="217" s="1"/>
  <c r="C327" i="217"/>
  <c r="E127" i="217"/>
  <c r="I127" i="217" s="1"/>
  <c r="C104" i="217"/>
  <c r="I101" i="217"/>
  <c r="D239" i="217"/>
  <c r="E239" i="217" s="1"/>
  <c r="E230" i="217"/>
  <c r="I19" i="217"/>
  <c r="I103" i="217"/>
  <c r="E50" i="217"/>
  <c r="I50" i="217" s="1"/>
  <c r="E49" i="217"/>
  <c r="I49" i="217" s="1"/>
  <c r="C270" i="217"/>
  <c r="E270" i="217" s="1"/>
  <c r="F150" i="217"/>
  <c r="E164" i="217"/>
  <c r="I164" i="217" s="1"/>
  <c r="E165" i="217"/>
  <c r="E266" i="217"/>
  <c r="I269" i="217" s="1"/>
  <c r="H162" i="217"/>
  <c r="I162" i="217" s="1"/>
  <c r="H161" i="217"/>
  <c r="I161" i="217" s="1"/>
  <c r="E163" i="217" s="1"/>
  <c r="I163" i="217" s="1"/>
  <c r="E272" i="217"/>
  <c r="I46" i="217"/>
  <c r="E48" i="217" s="1"/>
  <c r="I48" i="217" s="1"/>
  <c r="D241" i="217"/>
  <c r="E241" i="217" s="1"/>
  <c r="E232" i="217"/>
  <c r="H78" i="217"/>
  <c r="H79" i="217" s="1"/>
  <c r="I77" i="217"/>
  <c r="C38" i="217"/>
  <c r="I35" i="217"/>
  <c r="E38" i="217" s="1"/>
  <c r="I38" i="217" s="1"/>
  <c r="E252" i="217"/>
  <c r="I258" i="217" s="1"/>
  <c r="C281" i="217"/>
  <c r="E281" i="217" s="1"/>
  <c r="F152" i="217"/>
  <c r="I152" i="217" s="1"/>
  <c r="I18" i="217"/>
  <c r="E22" i="217" s="1"/>
  <c r="I22" i="217" s="1"/>
  <c r="F151" i="217"/>
  <c r="I151" i="217" s="1"/>
  <c r="H338" i="217"/>
  <c r="C343" i="217"/>
  <c r="H343" i="217" s="1"/>
  <c r="I76" i="217"/>
  <c r="I72" i="217"/>
  <c r="H304" i="217"/>
  <c r="G283" i="217"/>
  <c r="G284" i="217" s="1"/>
  <c r="H284" i="217" s="1"/>
  <c r="I139" i="217"/>
  <c r="E120" i="217"/>
  <c r="I120" i="217" s="1"/>
  <c r="E121" i="217"/>
  <c r="I121" i="217" s="1"/>
  <c r="C330" i="217"/>
  <c r="H330" i="217" s="1"/>
  <c r="I119" i="217"/>
  <c r="F143" i="217"/>
  <c r="I143" i="217" s="1"/>
  <c r="E146" i="217" s="1"/>
  <c r="I146" i="217" s="1"/>
  <c r="E140" i="217"/>
  <c r="I140" i="217" s="1"/>
  <c r="E141" i="217"/>
  <c r="I141" i="217" s="1"/>
  <c r="H366" i="217"/>
  <c r="D387" i="217" s="1"/>
  <c r="I387" i="217" s="1"/>
  <c r="H6" i="217"/>
  <c r="C311" i="217"/>
  <c r="H311" i="217" s="1"/>
  <c r="C22" i="217"/>
  <c r="D26" i="217"/>
  <c r="G217" i="217"/>
  <c r="I217" i="217" s="1"/>
  <c r="D349" i="217"/>
  <c r="H349" i="217" s="1"/>
  <c r="F317" i="217"/>
  <c r="G316" i="217"/>
  <c r="I8" i="217"/>
  <c r="H9" i="217"/>
  <c r="B250" i="217"/>
  <c r="B247" i="217"/>
  <c r="B248" i="217" s="1"/>
  <c r="B249" i="217" s="1"/>
  <c r="B251" i="217" s="1"/>
  <c r="B252" i="217" s="1"/>
  <c r="B253" i="217" s="1"/>
  <c r="B254" i="217" s="1"/>
  <c r="B255" i="217" s="1"/>
  <c r="B256" i="217" s="1"/>
  <c r="B257" i="217" s="1"/>
  <c r="B259" i="217" s="1"/>
  <c r="B260" i="217" s="1"/>
  <c r="B261" i="217" s="1"/>
  <c r="B262" i="217" s="1"/>
  <c r="B263" i="217" s="1"/>
  <c r="B264" i="217" s="1"/>
  <c r="H228" i="217"/>
  <c r="G229" i="217"/>
  <c r="F319" i="334" l="1"/>
  <c r="G317" i="334"/>
  <c r="H317" i="334" s="1"/>
  <c r="F321" i="334"/>
  <c r="G321" i="334" s="1"/>
  <c r="H321" i="334" s="1"/>
  <c r="I218" i="300"/>
  <c r="H285" i="329"/>
  <c r="H285" i="328"/>
  <c r="G263" i="334"/>
  <c r="H262" i="334"/>
  <c r="E22" i="301"/>
  <c r="D236" i="217"/>
  <c r="E236" i="217" s="1"/>
  <c r="E227" i="217"/>
  <c r="H227" i="217" s="1"/>
  <c r="I78" i="217"/>
  <c r="D357" i="217"/>
  <c r="H285" i="317"/>
  <c r="H285" i="309"/>
  <c r="H285" i="311"/>
  <c r="H285" i="319"/>
  <c r="C245" i="303"/>
  <c r="E245" i="303" s="1"/>
  <c r="H245" i="303" s="1"/>
  <c r="F70" i="303"/>
  <c r="I70" i="303" s="1"/>
  <c r="U384" i="217"/>
  <c r="H285" i="324"/>
  <c r="H285" i="320"/>
  <c r="H285" i="314"/>
  <c r="H285" i="310"/>
  <c r="D382" i="302"/>
  <c r="I382" i="302" s="1"/>
  <c r="E58" i="302"/>
  <c r="I58" i="302" s="1"/>
  <c r="E57" i="302"/>
  <c r="I57" i="302" s="1"/>
  <c r="I56" i="302"/>
  <c r="H244" i="302"/>
  <c r="I250" i="302"/>
  <c r="C38" i="302"/>
  <c r="I35" i="302"/>
  <c r="E38" i="302" s="1"/>
  <c r="I38" i="302" s="1"/>
  <c r="I69" i="302"/>
  <c r="E88" i="302" s="1"/>
  <c r="I88" i="302" s="1"/>
  <c r="C88" i="302"/>
  <c r="C230" i="302"/>
  <c r="F101" i="302"/>
  <c r="E50" i="302"/>
  <c r="I50" i="302" s="1"/>
  <c r="E49" i="302"/>
  <c r="I49" i="302" s="1"/>
  <c r="I211" i="302"/>
  <c r="H215" i="302" a="1"/>
  <c r="H215" i="302" s="1"/>
  <c r="I215" i="302" s="1"/>
  <c r="E220" i="302" s="1"/>
  <c r="I220" i="302" s="1"/>
  <c r="G220" i="302" s="1"/>
  <c r="H285" i="308"/>
  <c r="H285" i="325"/>
  <c r="H285" i="323"/>
  <c r="H285" i="318"/>
  <c r="H285" i="312"/>
  <c r="G218" i="317"/>
  <c r="I223" i="317"/>
  <c r="T375" i="317" s="1"/>
  <c r="U375" i="317" s="1"/>
  <c r="G218" i="319"/>
  <c r="I223" i="319"/>
  <c r="T375" i="319" s="1"/>
  <c r="U375" i="319" s="1"/>
  <c r="G317" i="310"/>
  <c r="H317" i="310" s="1"/>
  <c r="F321" i="310"/>
  <c r="G321" i="310" s="1"/>
  <c r="H321" i="310" s="1"/>
  <c r="F319" i="310"/>
  <c r="H285" i="321"/>
  <c r="F321" i="325"/>
  <c r="G321" i="325" s="1"/>
  <c r="H321" i="325" s="1"/>
  <c r="F319" i="325"/>
  <c r="G317" i="325"/>
  <c r="H317" i="325" s="1"/>
  <c r="F321" i="314"/>
  <c r="G321" i="314" s="1"/>
  <c r="H321" i="314" s="1"/>
  <c r="F319" i="314"/>
  <c r="G317" i="314"/>
  <c r="H317" i="314" s="1"/>
  <c r="G229" i="317"/>
  <c r="H228" i="317"/>
  <c r="F319" i="313"/>
  <c r="G317" i="313"/>
  <c r="H317" i="313" s="1"/>
  <c r="F321" i="313"/>
  <c r="G321" i="313" s="1"/>
  <c r="H321" i="313" s="1"/>
  <c r="G229" i="328"/>
  <c r="H228" i="328"/>
  <c r="F321" i="329"/>
  <c r="G321" i="329" s="1"/>
  <c r="H321" i="329" s="1"/>
  <c r="F319" i="329"/>
  <c r="G317" i="329"/>
  <c r="H317" i="329" s="1"/>
  <c r="G229" i="314"/>
  <c r="H228" i="314"/>
  <c r="I223" i="322"/>
  <c r="T375" i="322" s="1"/>
  <c r="U375" i="322" s="1"/>
  <c r="G219" i="322"/>
  <c r="G229" i="310"/>
  <c r="H228" i="310"/>
  <c r="G126" i="326"/>
  <c r="F321" i="309"/>
  <c r="G321" i="309" s="1"/>
  <c r="H321" i="309" s="1"/>
  <c r="F319" i="309"/>
  <c r="G317" i="309"/>
  <c r="H317" i="309" s="1"/>
  <c r="G229" i="319"/>
  <c r="H228" i="319"/>
  <c r="N72" i="316"/>
  <c r="P72" i="316" s="1"/>
  <c r="I54" i="316"/>
  <c r="O77" i="316"/>
  <c r="P77" i="316" s="1"/>
  <c r="G218" i="313"/>
  <c r="I223" i="313"/>
  <c r="T375" i="313" s="1"/>
  <c r="U375" i="313" s="1"/>
  <c r="G218" i="320"/>
  <c r="I223" i="320"/>
  <c r="T375" i="320" s="1"/>
  <c r="U375" i="320" s="1"/>
  <c r="I223" i="312"/>
  <c r="T375" i="312" s="1"/>
  <c r="U375" i="312" s="1"/>
  <c r="G219" i="312"/>
  <c r="G218" i="318"/>
  <c r="I223" i="318"/>
  <c r="T375" i="318" s="1"/>
  <c r="U375" i="318" s="1"/>
  <c r="G229" i="309"/>
  <c r="H228" i="309"/>
  <c r="F321" i="321"/>
  <c r="G321" i="321" s="1"/>
  <c r="H321" i="321" s="1"/>
  <c r="F319" i="321"/>
  <c r="G317" i="321"/>
  <c r="H317" i="321" s="1"/>
  <c r="G229" i="323"/>
  <c r="H228" i="323"/>
  <c r="G218" i="308"/>
  <c r="I223" i="308"/>
  <c r="T375" i="308" s="1"/>
  <c r="U375" i="308" s="1"/>
  <c r="I223" i="329"/>
  <c r="T375" i="329" s="1"/>
  <c r="U375" i="329" s="1"/>
  <c r="G218" i="329"/>
  <c r="F321" i="323"/>
  <c r="G321" i="323" s="1"/>
  <c r="H321" i="323" s="1"/>
  <c r="F319" i="323"/>
  <c r="G317" i="323"/>
  <c r="H317" i="323" s="1"/>
  <c r="G229" i="308"/>
  <c r="H228" i="308"/>
  <c r="H126" i="326"/>
  <c r="F321" i="328"/>
  <c r="G321" i="328" s="1"/>
  <c r="H321" i="328" s="1"/>
  <c r="F319" i="328"/>
  <c r="G317" i="328"/>
  <c r="H317" i="328" s="1"/>
  <c r="G229" i="324"/>
  <c r="H228" i="324"/>
  <c r="G218" i="321"/>
  <c r="I223" i="321"/>
  <c r="T375" i="321" s="1"/>
  <c r="U375" i="321" s="1"/>
  <c r="N72" i="306"/>
  <c r="P72" i="306" s="1"/>
  <c r="I54" i="306"/>
  <c r="O77" i="306"/>
  <c r="P77" i="306" s="1"/>
  <c r="G229" i="313"/>
  <c r="H228" i="313"/>
  <c r="G229" i="325"/>
  <c r="H228" i="325"/>
  <c r="F319" i="322"/>
  <c r="F321" i="322"/>
  <c r="G321" i="322" s="1"/>
  <c r="H321" i="322" s="1"/>
  <c r="G317" i="322"/>
  <c r="H317" i="322" s="1"/>
  <c r="G317" i="319"/>
  <c r="H317" i="319" s="1"/>
  <c r="F321" i="319"/>
  <c r="G321" i="319" s="1"/>
  <c r="H321" i="319" s="1"/>
  <c r="F319" i="319"/>
  <c r="G218" i="310"/>
  <c r="I223" i="310"/>
  <c r="T375" i="310" s="1"/>
  <c r="U375" i="310" s="1"/>
  <c r="G229" i="312"/>
  <c r="H228" i="312"/>
  <c r="F321" i="308"/>
  <c r="G321" i="308" s="1"/>
  <c r="H321" i="308" s="1"/>
  <c r="G317" i="308"/>
  <c r="H317" i="308" s="1"/>
  <c r="F319" i="308"/>
  <c r="H285" i="322"/>
  <c r="G229" i="318"/>
  <c r="H228" i="318"/>
  <c r="F321" i="320"/>
  <c r="G321" i="320" s="1"/>
  <c r="H321" i="320" s="1"/>
  <c r="G317" i="320"/>
  <c r="H317" i="320" s="1"/>
  <c r="F319" i="320"/>
  <c r="G229" i="311"/>
  <c r="H228" i="311"/>
  <c r="G218" i="311"/>
  <c r="I223" i="311"/>
  <c r="T375" i="311" s="1"/>
  <c r="U375" i="311" s="1"/>
  <c r="J43" i="315"/>
  <c r="G218" i="324"/>
  <c r="I223" i="324"/>
  <c r="T375" i="324" s="1"/>
  <c r="U375" i="324" s="1"/>
  <c r="G229" i="321"/>
  <c r="H228" i="321"/>
  <c r="N72" i="315"/>
  <c r="P72" i="315" s="1"/>
  <c r="I54" i="315"/>
  <c r="O77" i="315"/>
  <c r="P77" i="315" s="1"/>
  <c r="F321" i="317"/>
  <c r="G321" i="317" s="1"/>
  <c r="H321" i="317" s="1"/>
  <c r="G317" i="317"/>
  <c r="H317" i="317" s="1"/>
  <c r="F319" i="317"/>
  <c r="G218" i="323"/>
  <c r="I223" i="323"/>
  <c r="T375" i="323" s="1"/>
  <c r="U375" i="323" s="1"/>
  <c r="G229" i="322"/>
  <c r="H228" i="322"/>
  <c r="G317" i="311"/>
  <c r="H317" i="311" s="1"/>
  <c r="F321" i="311"/>
  <c r="G321" i="311" s="1"/>
  <c r="H321" i="311" s="1"/>
  <c r="F319" i="311"/>
  <c r="F321" i="318"/>
  <c r="G321" i="318" s="1"/>
  <c r="H321" i="318" s="1"/>
  <c r="F319" i="318"/>
  <c r="G317" i="318"/>
  <c r="H317" i="318" s="1"/>
  <c r="B62" i="316"/>
  <c r="G62" i="316" s="1"/>
  <c r="J43" i="316"/>
  <c r="F321" i="324"/>
  <c r="G321" i="324" s="1"/>
  <c r="H321" i="324" s="1"/>
  <c r="F319" i="324"/>
  <c r="G317" i="324"/>
  <c r="H317" i="324" s="1"/>
  <c r="G229" i="329"/>
  <c r="H228" i="329"/>
  <c r="H285" i="313"/>
  <c r="F321" i="312"/>
  <c r="G321" i="312" s="1"/>
  <c r="H321" i="312" s="1"/>
  <c r="F319" i="312"/>
  <c r="G317" i="312"/>
  <c r="H317" i="312" s="1"/>
  <c r="G229" i="320"/>
  <c r="H228" i="320"/>
  <c r="I88" i="328"/>
  <c r="I219" i="328" s="1"/>
  <c r="E219" i="328"/>
  <c r="E223" i="328" s="1"/>
  <c r="S375" i="328" s="1"/>
  <c r="E88" i="325"/>
  <c r="I88" i="314"/>
  <c r="I219" i="314" s="1"/>
  <c r="E219" i="314"/>
  <c r="E223" i="314" s="1"/>
  <c r="S375" i="314" s="1"/>
  <c r="H86" i="309"/>
  <c r="I85" i="309"/>
  <c r="F319" i="299"/>
  <c r="G317" i="299"/>
  <c r="H317" i="299" s="1"/>
  <c r="F321" i="299"/>
  <c r="G321" i="299" s="1"/>
  <c r="H321" i="299" s="1"/>
  <c r="F321" i="298"/>
  <c r="G321" i="298" s="1"/>
  <c r="H321" i="298" s="1"/>
  <c r="F319" i="298"/>
  <c r="G317" i="298"/>
  <c r="H317" i="298" s="1"/>
  <c r="F321" i="304"/>
  <c r="G321" i="304" s="1"/>
  <c r="H321" i="304" s="1"/>
  <c r="F319" i="304"/>
  <c r="G317" i="304"/>
  <c r="H317" i="304" s="1"/>
  <c r="F319" i="301"/>
  <c r="G317" i="301"/>
  <c r="H317" i="301" s="1"/>
  <c r="F321" i="301"/>
  <c r="G321" i="301" s="1"/>
  <c r="H321" i="301" s="1"/>
  <c r="G246" i="300"/>
  <c r="H245" i="300"/>
  <c r="F319" i="303"/>
  <c r="G317" i="303"/>
  <c r="H317" i="303" s="1"/>
  <c r="F321" i="303"/>
  <c r="G321" i="303" s="1"/>
  <c r="G247" i="301"/>
  <c r="H246" i="301"/>
  <c r="G247" i="304"/>
  <c r="H246" i="304"/>
  <c r="H242" i="301"/>
  <c r="F319" i="302"/>
  <c r="G317" i="302"/>
  <c r="H317" i="302" s="1"/>
  <c r="F321" i="302"/>
  <c r="G321" i="302" s="1"/>
  <c r="H321" i="302" s="1"/>
  <c r="G243" i="298"/>
  <c r="H241" i="298"/>
  <c r="H242" i="298" s="1"/>
  <c r="G247" i="302"/>
  <c r="H246" i="302"/>
  <c r="F321" i="300"/>
  <c r="G321" i="300" s="1"/>
  <c r="H321" i="300" s="1"/>
  <c r="F319" i="300"/>
  <c r="G317" i="300"/>
  <c r="H317" i="300" s="1"/>
  <c r="G247" i="299"/>
  <c r="H246" i="299"/>
  <c r="J43" i="306"/>
  <c r="B62" i="306"/>
  <c r="G62" i="306" s="1"/>
  <c r="G247" i="303"/>
  <c r="H246" i="303"/>
  <c r="I218" i="304"/>
  <c r="E147" i="304"/>
  <c r="I147" i="304" s="1"/>
  <c r="E148" i="304"/>
  <c r="I148" i="304" s="1"/>
  <c r="C319" i="304"/>
  <c r="D356" i="304"/>
  <c r="H356" i="304" s="1"/>
  <c r="H363" i="304" s="1"/>
  <c r="T383" i="304" s="1"/>
  <c r="C333" i="304"/>
  <c r="H333" i="304" s="1"/>
  <c r="I146" i="304"/>
  <c r="I219" i="304" s="1"/>
  <c r="E219" i="304"/>
  <c r="E218" i="304"/>
  <c r="C330" i="304"/>
  <c r="H330" i="304" s="1"/>
  <c r="H329" i="304"/>
  <c r="H334" i="303"/>
  <c r="C321" i="303"/>
  <c r="I69" i="303"/>
  <c r="E88" i="303" s="1"/>
  <c r="I88" i="303" s="1"/>
  <c r="C88" i="303"/>
  <c r="I56" i="303"/>
  <c r="H244" i="303"/>
  <c r="I250" i="303"/>
  <c r="C230" i="303"/>
  <c r="F101" i="303"/>
  <c r="E50" i="303"/>
  <c r="I50" i="303" s="1"/>
  <c r="E49" i="303"/>
  <c r="I49" i="303" s="1"/>
  <c r="E57" i="303"/>
  <c r="I57" i="303" s="1"/>
  <c r="E58" i="303"/>
  <c r="I58" i="303" s="1"/>
  <c r="D382" i="303"/>
  <c r="I382" i="303" s="1"/>
  <c r="I35" i="303"/>
  <c r="E38" i="303" s="1"/>
  <c r="I38" i="303" s="1"/>
  <c r="C38" i="303"/>
  <c r="H215" i="303" a="1"/>
  <c r="H215" i="303" s="1"/>
  <c r="I215" i="303" s="1"/>
  <c r="E220" i="303" s="1"/>
  <c r="I220" i="303" s="1"/>
  <c r="G220" i="303" s="1"/>
  <c r="I211" i="303"/>
  <c r="T383" i="301"/>
  <c r="U383" i="301" s="1"/>
  <c r="I22" i="301"/>
  <c r="I218" i="301" s="1"/>
  <c r="E218" i="301"/>
  <c r="H86" i="301"/>
  <c r="I85" i="301"/>
  <c r="C335" i="301"/>
  <c r="C320" i="301"/>
  <c r="C331" i="301"/>
  <c r="H331" i="301" s="1"/>
  <c r="H337" i="301" s="1"/>
  <c r="S379" i="301" s="1"/>
  <c r="U379" i="301" s="1"/>
  <c r="C325" i="300"/>
  <c r="E39" i="300"/>
  <c r="I39" i="300" s="1"/>
  <c r="E40" i="300"/>
  <c r="I40" i="300" s="1"/>
  <c r="D383" i="300"/>
  <c r="I383" i="300" s="1"/>
  <c r="D354" i="300"/>
  <c r="H354" i="300" s="1"/>
  <c r="D380" i="300"/>
  <c r="I101" i="300"/>
  <c r="E104" i="300" s="1"/>
  <c r="C104" i="300"/>
  <c r="C239" i="300"/>
  <c r="E239" i="300" s="1"/>
  <c r="E230" i="300"/>
  <c r="E218" i="300"/>
  <c r="G218" i="300" s="1"/>
  <c r="H337" i="299"/>
  <c r="S379" i="299" s="1"/>
  <c r="U379" i="299" s="1"/>
  <c r="C335" i="299"/>
  <c r="C320" i="299"/>
  <c r="C336" i="299" s="1"/>
  <c r="U383" i="299"/>
  <c r="H79" i="299"/>
  <c r="I78" i="299"/>
  <c r="G218" i="299"/>
  <c r="T383" i="298"/>
  <c r="U383" i="298" s="1"/>
  <c r="G219" i="298"/>
  <c r="I223" i="298"/>
  <c r="T375" i="298" s="1"/>
  <c r="U375" i="298" s="1"/>
  <c r="C335" i="298"/>
  <c r="C320" i="298"/>
  <c r="C331" i="298"/>
  <c r="H331" i="298" s="1"/>
  <c r="H337" i="298" s="1"/>
  <c r="H316" i="217"/>
  <c r="C328" i="217"/>
  <c r="H328" i="217" s="1"/>
  <c r="H327" i="217"/>
  <c r="I150" i="217"/>
  <c r="E153" i="217" s="1"/>
  <c r="I153" i="217" s="1"/>
  <c r="C153" i="217"/>
  <c r="C325" i="217"/>
  <c r="E40" i="217"/>
  <c r="I40" i="217" s="1"/>
  <c r="E39" i="217"/>
  <c r="I39" i="217" s="1"/>
  <c r="I273" i="217"/>
  <c r="K165" i="217"/>
  <c r="I165" i="217"/>
  <c r="E104" i="217"/>
  <c r="I104" i="217" s="1"/>
  <c r="H350" i="217"/>
  <c r="H80" i="217"/>
  <c r="I79" i="217"/>
  <c r="E105" i="217"/>
  <c r="I105" i="217" s="1"/>
  <c r="E106" i="217"/>
  <c r="I106" i="217" s="1"/>
  <c r="I285" i="217"/>
  <c r="H281" i="217"/>
  <c r="H283" i="217"/>
  <c r="C146" i="217"/>
  <c r="E148" i="217" s="1"/>
  <c r="I148" i="217" s="1"/>
  <c r="C332" i="217" a="1"/>
  <c r="C332" i="217" s="1"/>
  <c r="H332" i="217" s="1"/>
  <c r="F26" i="217"/>
  <c r="C31" i="217" s="1"/>
  <c r="D92" i="217"/>
  <c r="C294" i="217"/>
  <c r="G212" i="217"/>
  <c r="D52" i="217"/>
  <c r="D68" i="217"/>
  <c r="C334" i="217" s="1" a="1"/>
  <c r="E24" i="217"/>
  <c r="I24" i="217" s="1"/>
  <c r="E23" i="217"/>
  <c r="I23" i="217" s="1"/>
  <c r="F321" i="217"/>
  <c r="G321" i="217" s="1"/>
  <c r="G317" i="217"/>
  <c r="H317" i="217" s="1"/>
  <c r="F319" i="217"/>
  <c r="G319" i="217" s="1"/>
  <c r="I9" i="217"/>
  <c r="H10" i="217"/>
  <c r="H229" i="217"/>
  <c r="G230" i="217"/>
  <c r="B267" i="217"/>
  <c r="B268" i="217" s="1"/>
  <c r="B270" i="217" s="1"/>
  <c r="B271" i="217" s="1"/>
  <c r="B272" i="217" s="1"/>
  <c r="B274" i="217" s="1"/>
  <c r="B275" i="217" s="1"/>
  <c r="B276" i="217" s="1"/>
  <c r="B277" i="217" s="1"/>
  <c r="B278" i="217" s="1"/>
  <c r="B279" i="217" s="1"/>
  <c r="B266" i="217"/>
  <c r="F320" i="334" l="1"/>
  <c r="G320" i="334" s="1"/>
  <c r="H320" i="334" s="1"/>
  <c r="G319" i="334"/>
  <c r="H319" i="334" s="1"/>
  <c r="H322" i="334" s="1"/>
  <c r="H364" i="334" s="1"/>
  <c r="G264" i="334"/>
  <c r="H263" i="334"/>
  <c r="P68" i="316"/>
  <c r="P83" i="316" s="1"/>
  <c r="P84" i="316" s="1"/>
  <c r="P85" i="316" s="1"/>
  <c r="P86" i="316" s="1"/>
  <c r="P68" i="306"/>
  <c r="P83" i="306" s="1"/>
  <c r="P84" i="306" s="1"/>
  <c r="P85" i="306" s="1"/>
  <c r="P86" i="306" s="1"/>
  <c r="I218" i="302"/>
  <c r="I101" i="302"/>
  <c r="E104" i="302" s="1"/>
  <c r="C104" i="302"/>
  <c r="C333" i="302" s="1"/>
  <c r="H333" i="302" s="1"/>
  <c r="C239" i="302"/>
  <c r="E239" i="302" s="1"/>
  <c r="E230" i="302"/>
  <c r="E218" i="302"/>
  <c r="D384" i="302"/>
  <c r="I384" i="302" s="1"/>
  <c r="E89" i="302"/>
  <c r="I89" i="302" s="1"/>
  <c r="D355" i="302"/>
  <c r="H355" i="302" s="1"/>
  <c r="E90" i="302"/>
  <c r="I90" i="302" s="1"/>
  <c r="E40" i="302"/>
  <c r="I40" i="302" s="1"/>
  <c r="E39" i="302"/>
  <c r="I39" i="302" s="1"/>
  <c r="C325" i="302"/>
  <c r="D380" i="302"/>
  <c r="D383" i="302"/>
  <c r="I383" i="302" s="1"/>
  <c r="D354" i="302"/>
  <c r="H354" i="302" s="1"/>
  <c r="P68" i="315"/>
  <c r="P83" i="315" s="1"/>
  <c r="P84" i="315" s="1"/>
  <c r="P85" i="315" s="1"/>
  <c r="P86" i="315" s="1"/>
  <c r="H321" i="303"/>
  <c r="G230" i="329"/>
  <c r="H229" i="329"/>
  <c r="G319" i="320"/>
  <c r="H319" i="320" s="1"/>
  <c r="F320" i="320"/>
  <c r="G320" i="320" s="1"/>
  <c r="H320" i="320" s="1"/>
  <c r="S378" i="320" s="1"/>
  <c r="U378" i="320" s="1"/>
  <c r="U374" i="320" s="1"/>
  <c r="U389" i="320" s="1"/>
  <c r="U390" i="320" s="1"/>
  <c r="U391" i="320" s="1"/>
  <c r="U392" i="320" s="1"/>
  <c r="G319" i="308"/>
  <c r="H319" i="308" s="1"/>
  <c r="F320" i="308"/>
  <c r="G320" i="308" s="1"/>
  <c r="H320" i="308" s="1"/>
  <c r="G230" i="324"/>
  <c r="H229" i="324"/>
  <c r="I17" i="293"/>
  <c r="J17" i="293" s="1"/>
  <c r="I23" i="292"/>
  <c r="J23" i="292" s="1"/>
  <c r="G319" i="329"/>
  <c r="H319" i="329" s="1"/>
  <c r="F320" i="329"/>
  <c r="G320" i="329" s="1"/>
  <c r="H320" i="329" s="1"/>
  <c r="G230" i="317"/>
  <c r="H229" i="317"/>
  <c r="G319" i="318"/>
  <c r="H319" i="318" s="1"/>
  <c r="F320" i="318"/>
  <c r="G320" i="318" s="1"/>
  <c r="H320" i="318" s="1"/>
  <c r="B62" i="315"/>
  <c r="G62" i="315" s="1"/>
  <c r="G230" i="313"/>
  <c r="H229" i="313"/>
  <c r="G230" i="308"/>
  <c r="H229" i="308"/>
  <c r="G230" i="309"/>
  <c r="H229" i="309"/>
  <c r="G230" i="319"/>
  <c r="H229" i="319"/>
  <c r="G230" i="320"/>
  <c r="H229" i="320"/>
  <c r="G319" i="324"/>
  <c r="H319" i="324" s="1"/>
  <c r="F320" i="324"/>
  <c r="G320" i="324" s="1"/>
  <c r="H320" i="324" s="1"/>
  <c r="G319" i="328"/>
  <c r="H319" i="328" s="1"/>
  <c r="F320" i="328"/>
  <c r="G320" i="328" s="1"/>
  <c r="H320" i="328" s="1"/>
  <c r="G230" i="323"/>
  <c r="H229" i="323"/>
  <c r="G230" i="310"/>
  <c r="H229" i="310"/>
  <c r="F320" i="314"/>
  <c r="G320" i="314" s="1"/>
  <c r="H320" i="314" s="1"/>
  <c r="G319" i="314"/>
  <c r="H319" i="314" s="1"/>
  <c r="G319" i="311"/>
  <c r="H319" i="311" s="1"/>
  <c r="F320" i="311"/>
  <c r="G320" i="311" s="1"/>
  <c r="H320" i="311" s="1"/>
  <c r="F320" i="323"/>
  <c r="G320" i="323" s="1"/>
  <c r="H320" i="323" s="1"/>
  <c r="G319" i="323"/>
  <c r="H319" i="323" s="1"/>
  <c r="G230" i="328"/>
  <c r="H229" i="328"/>
  <c r="G319" i="312"/>
  <c r="H319" i="312" s="1"/>
  <c r="S378" i="312" s="1"/>
  <c r="U378" i="312" s="1"/>
  <c r="U374" i="312" s="1"/>
  <c r="U389" i="312" s="1"/>
  <c r="U390" i="312" s="1"/>
  <c r="U391" i="312" s="1"/>
  <c r="U392" i="312" s="1"/>
  <c r="F320" i="312"/>
  <c r="G320" i="312" s="1"/>
  <c r="H320" i="312" s="1"/>
  <c r="G230" i="318"/>
  <c r="H229" i="318"/>
  <c r="G230" i="312"/>
  <c r="H229" i="312"/>
  <c r="G319" i="322"/>
  <c r="H319" i="322" s="1"/>
  <c r="F320" i="322"/>
  <c r="G320" i="322" s="1"/>
  <c r="H320" i="322" s="1"/>
  <c r="F320" i="309"/>
  <c r="G320" i="309" s="1"/>
  <c r="H320" i="309" s="1"/>
  <c r="H322" i="309" s="1"/>
  <c r="H364" i="309" s="1"/>
  <c r="G319" i="309"/>
  <c r="H319" i="309" s="1"/>
  <c r="G319" i="310"/>
  <c r="H319" i="310" s="1"/>
  <c r="F320" i="310"/>
  <c r="G320" i="310" s="1"/>
  <c r="H320" i="310" s="1"/>
  <c r="G319" i="317"/>
  <c r="H319" i="317" s="1"/>
  <c r="F320" i="317"/>
  <c r="G320" i="317" s="1"/>
  <c r="H320" i="317" s="1"/>
  <c r="G319" i="325"/>
  <c r="H319" i="325" s="1"/>
  <c r="F320" i="325"/>
  <c r="G320" i="325" s="1"/>
  <c r="H320" i="325" s="1"/>
  <c r="I6" i="293"/>
  <c r="J6" i="293" s="1"/>
  <c r="I5" i="293"/>
  <c r="J5" i="293" s="1"/>
  <c r="I4" i="293"/>
  <c r="J4" i="293" s="1"/>
  <c r="I3" i="293"/>
  <c r="J3" i="293" s="1"/>
  <c r="I9" i="293"/>
  <c r="J9" i="293" s="1"/>
  <c r="I7" i="293"/>
  <c r="J7" i="293" s="1"/>
  <c r="I8" i="292"/>
  <c r="J8" i="292" s="1"/>
  <c r="I15" i="292"/>
  <c r="J15" i="292" s="1"/>
  <c r="I7" i="292"/>
  <c r="J7" i="292" s="1"/>
  <c r="I14" i="292"/>
  <c r="J14" i="292" s="1"/>
  <c r="I6" i="292"/>
  <c r="J6" i="292" s="1"/>
  <c r="I13" i="292"/>
  <c r="J13" i="292" s="1"/>
  <c r="I5" i="292"/>
  <c r="J5" i="292" s="1"/>
  <c r="I12" i="292"/>
  <c r="J12" i="292" s="1"/>
  <c r="I4" i="292"/>
  <c r="J4" i="292" s="1"/>
  <c r="I11" i="292"/>
  <c r="J11" i="292" s="1"/>
  <c r="I3" i="292"/>
  <c r="J3" i="292" s="1"/>
  <c r="I10" i="292"/>
  <c r="J10" i="292" s="1"/>
  <c r="I8" i="293"/>
  <c r="J8" i="293" s="1"/>
  <c r="I9" i="292"/>
  <c r="J9" i="292" s="1"/>
  <c r="G230" i="321"/>
  <c r="H229" i="321"/>
  <c r="G230" i="311"/>
  <c r="H229" i="311"/>
  <c r="G230" i="325"/>
  <c r="H229" i="325"/>
  <c r="F320" i="321"/>
  <c r="G320" i="321" s="1"/>
  <c r="H320" i="321" s="1"/>
  <c r="G319" i="321"/>
  <c r="H319" i="321" s="1"/>
  <c r="G230" i="314"/>
  <c r="H229" i="314"/>
  <c r="F320" i="313"/>
  <c r="G320" i="313" s="1"/>
  <c r="H320" i="313" s="1"/>
  <c r="G319" i="313"/>
  <c r="H319" i="313" s="1"/>
  <c r="I11" i="294"/>
  <c r="J11" i="294" s="1"/>
  <c r="I10" i="294"/>
  <c r="J10" i="294" s="1"/>
  <c r="I9" i="294"/>
  <c r="J9" i="294" s="1"/>
  <c r="I15" i="294"/>
  <c r="J15" i="294" s="1"/>
  <c r="I14" i="294"/>
  <c r="J14" i="294" s="1"/>
  <c r="I12" i="294"/>
  <c r="J12" i="294" s="1"/>
  <c r="I13" i="294"/>
  <c r="J13" i="294" s="1"/>
  <c r="I62" i="290"/>
  <c r="K62" i="290" s="1"/>
  <c r="I60" i="290"/>
  <c r="K60" i="290" s="1"/>
  <c r="I67" i="290"/>
  <c r="K67" i="290" s="1"/>
  <c r="I59" i="290"/>
  <c r="K59" i="290" s="1"/>
  <c r="I66" i="290"/>
  <c r="K66" i="290" s="1"/>
  <c r="I58" i="290"/>
  <c r="K58" i="290" s="1"/>
  <c r="I54" i="290"/>
  <c r="K54" i="290" s="1"/>
  <c r="I53" i="290"/>
  <c r="K53" i="290" s="1"/>
  <c r="I65" i="290"/>
  <c r="K65" i="290" s="1"/>
  <c r="I57" i="290"/>
  <c r="K57" i="290" s="1"/>
  <c r="I64" i="290"/>
  <c r="K64" i="290" s="1"/>
  <c r="I56" i="290"/>
  <c r="K56" i="290" s="1"/>
  <c r="I63" i="290"/>
  <c r="K63" i="290" s="1"/>
  <c r="I55" i="290"/>
  <c r="K55" i="290" s="1"/>
  <c r="I61" i="290"/>
  <c r="K61" i="290" s="1"/>
  <c r="G230" i="322"/>
  <c r="H229" i="322"/>
  <c r="G319" i="319"/>
  <c r="H319" i="319" s="1"/>
  <c r="F320" i="319"/>
  <c r="G320" i="319" s="1"/>
  <c r="H320" i="319" s="1"/>
  <c r="G219" i="328"/>
  <c r="I223" i="328"/>
  <c r="I88" i="325"/>
  <c r="I219" i="325" s="1"/>
  <c r="E219" i="325"/>
  <c r="E223" i="325" s="1"/>
  <c r="S375" i="325" s="1"/>
  <c r="G219" i="314"/>
  <c r="I223" i="314"/>
  <c r="H87" i="309"/>
  <c r="I87" i="309" s="1"/>
  <c r="I86" i="309"/>
  <c r="G248" i="302"/>
  <c r="H247" i="302"/>
  <c r="G319" i="301"/>
  <c r="H319" i="301" s="1"/>
  <c r="F320" i="301"/>
  <c r="G320" i="301" s="1"/>
  <c r="H320" i="301" s="1"/>
  <c r="G248" i="304"/>
  <c r="H247" i="304"/>
  <c r="G248" i="303"/>
  <c r="H247" i="303"/>
  <c r="G319" i="304"/>
  <c r="H319" i="304" s="1"/>
  <c r="F320" i="304"/>
  <c r="G320" i="304" s="1"/>
  <c r="G319" i="299"/>
  <c r="H319" i="299" s="1"/>
  <c r="F320" i="299"/>
  <c r="G320" i="299" s="1"/>
  <c r="H320" i="299" s="1"/>
  <c r="G248" i="299"/>
  <c r="H247" i="299"/>
  <c r="G244" i="298"/>
  <c r="H243" i="298"/>
  <c r="G248" i="301"/>
  <c r="H247" i="301"/>
  <c r="G319" i="300"/>
  <c r="F320" i="300"/>
  <c r="G320" i="300" s="1"/>
  <c r="G247" i="300"/>
  <c r="H246" i="300"/>
  <c r="G319" i="302"/>
  <c r="F320" i="302"/>
  <c r="G320" i="302" s="1"/>
  <c r="F320" i="303"/>
  <c r="G320" i="303" s="1"/>
  <c r="G319" i="303"/>
  <c r="G319" i="298"/>
  <c r="H319" i="298" s="1"/>
  <c r="F320" i="298"/>
  <c r="G320" i="298" s="1"/>
  <c r="H320" i="298" s="1"/>
  <c r="E223" i="304"/>
  <c r="S375" i="304" s="1"/>
  <c r="G218" i="304"/>
  <c r="G219" i="304"/>
  <c r="U383" i="304"/>
  <c r="C335" i="304"/>
  <c r="C320" i="304"/>
  <c r="C331" i="304"/>
  <c r="H331" i="304" s="1"/>
  <c r="H337" i="304" s="1"/>
  <c r="S379" i="304" s="1"/>
  <c r="U379" i="304" s="1"/>
  <c r="I223" i="304"/>
  <c r="I218" i="303"/>
  <c r="E218" i="303"/>
  <c r="D355" i="303"/>
  <c r="H355" i="303" s="1"/>
  <c r="E89" i="303"/>
  <c r="I89" i="303" s="1"/>
  <c r="E90" i="303"/>
  <c r="I90" i="303" s="1"/>
  <c r="D384" i="303"/>
  <c r="I384" i="303" s="1"/>
  <c r="C325" i="303"/>
  <c r="E40" i="303"/>
  <c r="I40" i="303" s="1"/>
  <c r="E39" i="303"/>
  <c r="I39" i="303" s="1"/>
  <c r="D383" i="303"/>
  <c r="I383" i="303" s="1"/>
  <c r="D354" i="303"/>
  <c r="H354" i="303" s="1"/>
  <c r="D380" i="303"/>
  <c r="C104" i="303"/>
  <c r="I101" i="303"/>
  <c r="E104" i="303" s="1"/>
  <c r="C239" i="303"/>
  <c r="E239" i="303" s="1"/>
  <c r="E230" i="303"/>
  <c r="C336" i="301"/>
  <c r="G218" i="301"/>
  <c r="H87" i="301"/>
  <c r="I87" i="301" s="1"/>
  <c r="I86" i="301"/>
  <c r="H230" i="300"/>
  <c r="H233" i="300" s="1"/>
  <c r="D291" i="300" a="1"/>
  <c r="D291" i="300" s="1"/>
  <c r="I233" i="300"/>
  <c r="H239" i="300"/>
  <c r="H242" i="300" s="1"/>
  <c r="I242" i="300"/>
  <c r="J250" i="300" s="1"/>
  <c r="D292" i="300"/>
  <c r="E105" i="300"/>
  <c r="I105" i="300" s="1"/>
  <c r="E106" i="300"/>
  <c r="I106" i="300" s="1"/>
  <c r="D385" i="300"/>
  <c r="I385" i="300" s="1"/>
  <c r="I388" i="300" s="1"/>
  <c r="D356" i="300"/>
  <c r="H356" i="300" s="1"/>
  <c r="H363" i="300" s="1"/>
  <c r="C319" i="300"/>
  <c r="C333" i="300"/>
  <c r="H333" i="300" s="1"/>
  <c r="I104" i="300"/>
  <c r="I219" i="300" s="1"/>
  <c r="E219" i="300"/>
  <c r="E223" i="300" s="1"/>
  <c r="S375" i="300" s="1"/>
  <c r="C326" i="300"/>
  <c r="H326" i="300" s="1"/>
  <c r="H325" i="300"/>
  <c r="I79" i="299"/>
  <c r="H80" i="299"/>
  <c r="S379" i="298"/>
  <c r="U379" i="298" s="1"/>
  <c r="C336" i="298"/>
  <c r="I26" i="217"/>
  <c r="E31" i="217" s="1"/>
  <c r="I31" i="217" s="1"/>
  <c r="H81" i="217"/>
  <c r="I80" i="217"/>
  <c r="C326" i="217"/>
  <c r="H326" i="217" s="1"/>
  <c r="H325" i="217"/>
  <c r="E155" i="217"/>
  <c r="I155" i="217" s="1"/>
  <c r="E154" i="217"/>
  <c r="I154" i="217" s="1"/>
  <c r="H285" i="217"/>
  <c r="E147" i="217"/>
  <c r="I147" i="217" s="1"/>
  <c r="F68" i="217"/>
  <c r="I68" i="217" s="1"/>
  <c r="C334" i="217"/>
  <c r="C243" i="217"/>
  <c r="E243" i="217" s="1"/>
  <c r="I250" i="217" s="1"/>
  <c r="H215" i="217" a="1"/>
  <c r="H215" i="217" s="1"/>
  <c r="I215" i="217" s="1"/>
  <c r="E220" i="217" s="1"/>
  <c r="I220" i="217" s="1"/>
  <c r="G220" i="217" s="1"/>
  <c r="I212" i="217"/>
  <c r="C56" i="217"/>
  <c r="D354" i="217" s="1"/>
  <c r="H354" i="217" s="1"/>
  <c r="I52" i="217"/>
  <c r="E56" i="217" s="1"/>
  <c r="F92" i="217"/>
  <c r="C225" i="217"/>
  <c r="E32" i="217"/>
  <c r="I32" i="217" s="1"/>
  <c r="E33" i="217"/>
  <c r="I33" i="217" s="1"/>
  <c r="C323" i="217"/>
  <c r="F320" i="217"/>
  <c r="G320" i="217" s="1"/>
  <c r="H11" i="217"/>
  <c r="I11" i="217" s="1"/>
  <c r="I10" i="217"/>
  <c r="H230" i="217"/>
  <c r="G231" i="217"/>
  <c r="S378" i="334" l="1"/>
  <c r="U378" i="334" s="1"/>
  <c r="U374" i="334" s="1"/>
  <c r="U389" i="334" s="1"/>
  <c r="U390" i="334" s="1"/>
  <c r="U391" i="334" s="1"/>
  <c r="U392" i="334" s="1"/>
  <c r="S378" i="328"/>
  <c r="U378" i="328" s="1"/>
  <c r="G266" i="334"/>
  <c r="H264" i="334"/>
  <c r="H265" i="334" s="1"/>
  <c r="Q8" i="294"/>
  <c r="Q8" i="293"/>
  <c r="H322" i="317"/>
  <c r="H364" i="317" s="1"/>
  <c r="S378" i="308"/>
  <c r="U378" i="308" s="1"/>
  <c r="U374" i="308" s="1"/>
  <c r="U389" i="308" s="1"/>
  <c r="U390" i="308" s="1"/>
  <c r="U391" i="308" s="1"/>
  <c r="U392" i="308" s="1"/>
  <c r="H322" i="299"/>
  <c r="H364" i="299" s="1"/>
  <c r="S378" i="324"/>
  <c r="U378" i="324" s="1"/>
  <c r="U374" i="324" s="1"/>
  <c r="U389" i="324" s="1"/>
  <c r="U390" i="324" s="1"/>
  <c r="U391" i="324" s="1"/>
  <c r="U392" i="324" s="1"/>
  <c r="S378" i="325"/>
  <c r="U378" i="325" s="1"/>
  <c r="S378" i="319"/>
  <c r="U378" i="319" s="1"/>
  <c r="U374" i="319" s="1"/>
  <c r="U389" i="319" s="1"/>
  <c r="U390" i="319" s="1"/>
  <c r="U391" i="319" s="1"/>
  <c r="U392" i="319" s="1"/>
  <c r="H322" i="310"/>
  <c r="H364" i="310" s="1"/>
  <c r="H322" i="311"/>
  <c r="H364" i="311" s="1"/>
  <c r="H230" i="302"/>
  <c r="H233" i="302" s="1"/>
  <c r="D291" i="302" a="1"/>
  <c r="D291" i="302" s="1"/>
  <c r="I233" i="302"/>
  <c r="H239" i="302"/>
  <c r="H242" i="302" s="1"/>
  <c r="I242" i="302"/>
  <c r="J250" i="302" s="1"/>
  <c r="D292" i="302"/>
  <c r="H322" i="313"/>
  <c r="H364" i="313" s="1"/>
  <c r="H322" i="325"/>
  <c r="H364" i="325" s="1"/>
  <c r="D385" i="302"/>
  <c r="I385" i="302" s="1"/>
  <c r="I388" i="302" s="1"/>
  <c r="D356" i="302"/>
  <c r="H356" i="302" s="1"/>
  <c r="H363" i="302" s="1"/>
  <c r="E105" i="302"/>
  <c r="I105" i="302" s="1"/>
  <c r="E106" i="302"/>
  <c r="I106" i="302" s="1"/>
  <c r="C319" i="302"/>
  <c r="H319" i="302" s="1"/>
  <c r="C326" i="302"/>
  <c r="H326" i="302" s="1"/>
  <c r="H325" i="302"/>
  <c r="I104" i="302"/>
  <c r="I219" i="302" s="1"/>
  <c r="E219" i="302"/>
  <c r="E223" i="302" s="1"/>
  <c r="S375" i="302" s="1"/>
  <c r="H322" i="298"/>
  <c r="H364" i="298" s="1"/>
  <c r="H319" i="300"/>
  <c r="H322" i="301"/>
  <c r="H364" i="301" s="1"/>
  <c r="G218" i="302"/>
  <c r="I12" i="217"/>
  <c r="S378" i="309"/>
  <c r="U378" i="309" s="1"/>
  <c r="H322" i="314"/>
  <c r="H364" i="314" s="1"/>
  <c r="H322" i="324"/>
  <c r="H364" i="324" s="1"/>
  <c r="H322" i="308"/>
  <c r="H364" i="308" s="1"/>
  <c r="H322" i="329"/>
  <c r="H364" i="329" s="1"/>
  <c r="H322" i="320"/>
  <c r="H364" i="320" s="1"/>
  <c r="S378" i="313"/>
  <c r="U378" i="313" s="1"/>
  <c r="U374" i="313" s="1"/>
  <c r="U389" i="313" s="1"/>
  <c r="U390" i="313" s="1"/>
  <c r="U391" i="313" s="1"/>
  <c r="U392" i="313" s="1"/>
  <c r="H322" i="322"/>
  <c r="H364" i="322" s="1"/>
  <c r="S378" i="323"/>
  <c r="U378" i="323" s="1"/>
  <c r="U374" i="323" s="1"/>
  <c r="U389" i="323" s="1"/>
  <c r="U390" i="323" s="1"/>
  <c r="U391" i="323" s="1"/>
  <c r="U392" i="323" s="1"/>
  <c r="S378" i="321"/>
  <c r="U378" i="321" s="1"/>
  <c r="U374" i="321" s="1"/>
  <c r="U389" i="321" s="1"/>
  <c r="U390" i="321" s="1"/>
  <c r="U391" i="321" s="1"/>
  <c r="U392" i="321" s="1"/>
  <c r="H322" i="328"/>
  <c r="H364" i="328" s="1"/>
  <c r="H322" i="318"/>
  <c r="H364" i="318" s="1"/>
  <c r="G231" i="328"/>
  <c r="H230" i="328"/>
  <c r="G231" i="325"/>
  <c r="H230" i="325"/>
  <c r="S378" i="310"/>
  <c r="U378" i="310" s="1"/>
  <c r="U374" i="310" s="1"/>
  <c r="U389" i="310" s="1"/>
  <c r="U390" i="310" s="1"/>
  <c r="U391" i="310" s="1"/>
  <c r="U392" i="310" s="1"/>
  <c r="G231" i="309"/>
  <c r="H230" i="309"/>
  <c r="G231" i="324"/>
  <c r="H230" i="324"/>
  <c r="G231" i="322"/>
  <c r="H230" i="322"/>
  <c r="R8" i="290"/>
  <c r="Q8" i="292"/>
  <c r="G231" i="312"/>
  <c r="H230" i="312"/>
  <c r="G231" i="317"/>
  <c r="H230" i="317"/>
  <c r="G231" i="311"/>
  <c r="H230" i="311"/>
  <c r="S378" i="314"/>
  <c r="U378" i="314" s="1"/>
  <c r="G231" i="308"/>
  <c r="H230" i="308"/>
  <c r="S378" i="329"/>
  <c r="U378" i="329" s="1"/>
  <c r="U374" i="329" s="1"/>
  <c r="U389" i="329" s="1"/>
  <c r="U390" i="329" s="1"/>
  <c r="U391" i="329" s="1"/>
  <c r="U392" i="329" s="1"/>
  <c r="G231" i="314"/>
  <c r="H230" i="314"/>
  <c r="G231" i="318"/>
  <c r="H230" i="318"/>
  <c r="H322" i="323"/>
  <c r="H364" i="323" s="1"/>
  <c r="H322" i="312"/>
  <c r="H364" i="312" s="1"/>
  <c r="G231" i="321"/>
  <c r="H230" i="321"/>
  <c r="G231" i="310"/>
  <c r="H230" i="310"/>
  <c r="G231" i="320"/>
  <c r="H230" i="320"/>
  <c r="G231" i="313"/>
  <c r="H230" i="313"/>
  <c r="S378" i="301"/>
  <c r="U378" i="301" s="1"/>
  <c r="H322" i="321"/>
  <c r="H364" i="321" s="1"/>
  <c r="I16" i="291"/>
  <c r="J16" i="291" s="1"/>
  <c r="I22" i="291"/>
  <c r="J22" i="291" s="1"/>
  <c r="I21" i="291"/>
  <c r="J21" i="291" s="1"/>
  <c r="I20" i="291"/>
  <c r="J20" i="291" s="1"/>
  <c r="I19" i="291"/>
  <c r="J19" i="291" s="1"/>
  <c r="I18" i="291"/>
  <c r="J18" i="291" s="1"/>
  <c r="I17" i="291"/>
  <c r="J17" i="291" s="1"/>
  <c r="H322" i="319"/>
  <c r="H364" i="319" s="1"/>
  <c r="S378" i="317"/>
  <c r="U378" i="317" s="1"/>
  <c r="U374" i="317" s="1"/>
  <c r="U389" i="317" s="1"/>
  <c r="U390" i="317" s="1"/>
  <c r="U391" i="317" s="1"/>
  <c r="U392" i="317" s="1"/>
  <c r="S378" i="322"/>
  <c r="U378" i="322" s="1"/>
  <c r="U374" i="322" s="1"/>
  <c r="U389" i="322" s="1"/>
  <c r="U390" i="322" s="1"/>
  <c r="U391" i="322" s="1"/>
  <c r="U392" i="322" s="1"/>
  <c r="S378" i="311"/>
  <c r="U378" i="311" s="1"/>
  <c r="U374" i="311" s="1"/>
  <c r="U389" i="311" s="1"/>
  <c r="U390" i="311" s="1"/>
  <c r="U391" i="311" s="1"/>
  <c r="U392" i="311" s="1"/>
  <c r="G231" i="323"/>
  <c r="H230" i="323"/>
  <c r="G231" i="319"/>
  <c r="H230" i="319"/>
  <c r="S378" i="318"/>
  <c r="U378" i="318" s="1"/>
  <c r="U374" i="318" s="1"/>
  <c r="U389" i="318" s="1"/>
  <c r="U390" i="318" s="1"/>
  <c r="U391" i="318" s="1"/>
  <c r="U392" i="318" s="1"/>
  <c r="G231" i="329"/>
  <c r="H230" i="329"/>
  <c r="T375" i="328"/>
  <c r="U375" i="328" s="1"/>
  <c r="U374" i="328" s="1"/>
  <c r="U389" i="328" s="1"/>
  <c r="G219" i="325"/>
  <c r="I223" i="325"/>
  <c r="T375" i="314"/>
  <c r="U375" i="314" s="1"/>
  <c r="E88" i="309"/>
  <c r="G245" i="298"/>
  <c r="H244" i="298"/>
  <c r="S378" i="298"/>
  <c r="U378" i="298" s="1"/>
  <c r="U374" i="298" s="1"/>
  <c r="U389" i="298" s="1"/>
  <c r="U390" i="298" s="1"/>
  <c r="U391" i="298" s="1"/>
  <c r="U392" i="298" s="1"/>
  <c r="G248" i="300"/>
  <c r="H247" i="300"/>
  <c r="G249" i="303"/>
  <c r="H248" i="303"/>
  <c r="G249" i="299"/>
  <c r="H248" i="299"/>
  <c r="G249" i="302"/>
  <c r="H248" i="302"/>
  <c r="S378" i="299"/>
  <c r="U378" i="299" s="1"/>
  <c r="G249" i="304"/>
  <c r="H248" i="304"/>
  <c r="G249" i="301"/>
  <c r="H248" i="301"/>
  <c r="T375" i="304"/>
  <c r="U375" i="304" s="1"/>
  <c r="H320" i="304"/>
  <c r="H322" i="304" s="1"/>
  <c r="H364" i="304" s="1"/>
  <c r="C336" i="304"/>
  <c r="G218" i="303"/>
  <c r="C326" i="303"/>
  <c r="H326" i="303" s="1"/>
  <c r="H325" i="303"/>
  <c r="I104" i="303"/>
  <c r="I219" i="303" s="1"/>
  <c r="E219" i="303"/>
  <c r="E223" i="303" s="1"/>
  <c r="S375" i="303" s="1"/>
  <c r="E106" i="303"/>
  <c r="I106" i="303" s="1"/>
  <c r="E105" i="303"/>
  <c r="I105" i="303" s="1"/>
  <c r="D385" i="303"/>
  <c r="I385" i="303" s="1"/>
  <c r="I388" i="303" s="1"/>
  <c r="D356" i="303"/>
  <c r="H356" i="303" s="1"/>
  <c r="H363" i="303" s="1"/>
  <c r="C319" i="303"/>
  <c r="H230" i="303"/>
  <c r="H233" i="303" s="1"/>
  <c r="D291" i="303" a="1"/>
  <c r="D291" i="303" s="1"/>
  <c r="I233" i="303"/>
  <c r="C333" i="303"/>
  <c r="H333" i="303" s="1"/>
  <c r="H239" i="303"/>
  <c r="H242" i="303" s="1"/>
  <c r="I242" i="303"/>
  <c r="J250" i="303" s="1"/>
  <c r="D292" i="303"/>
  <c r="E88" i="301"/>
  <c r="G219" i="300"/>
  <c r="I223" i="300"/>
  <c r="T375" i="300" s="1"/>
  <c r="U375" i="300" s="1"/>
  <c r="C335" i="300"/>
  <c r="C320" i="300"/>
  <c r="H320" i="300" s="1"/>
  <c r="C331" i="300"/>
  <c r="H331" i="300" s="1"/>
  <c r="H337" i="300" s="1"/>
  <c r="C313" i="300"/>
  <c r="H313" i="300" s="1"/>
  <c r="H314" i="300" s="1"/>
  <c r="T383" i="300" s="1"/>
  <c r="U383" i="300" s="1"/>
  <c r="S377" i="300"/>
  <c r="U377" i="300" s="1"/>
  <c r="H81" i="299"/>
  <c r="I80" i="299"/>
  <c r="I81" i="217"/>
  <c r="H82" i="217"/>
  <c r="E218" i="217"/>
  <c r="I56" i="217"/>
  <c r="I218" i="217" s="1"/>
  <c r="H323" i="217"/>
  <c r="C324" i="217"/>
  <c r="H324" i="217" s="1"/>
  <c r="H334" i="217"/>
  <c r="E57" i="217"/>
  <c r="I57" i="217" s="1"/>
  <c r="E58" i="217"/>
  <c r="I58" i="217" s="1"/>
  <c r="D382" i="217"/>
  <c r="I382" i="217" s="1"/>
  <c r="D383" i="217"/>
  <c r="I383" i="217" s="1"/>
  <c r="D380" i="217"/>
  <c r="E225" i="217"/>
  <c r="C234" i="217"/>
  <c r="E234" i="217" s="1"/>
  <c r="I92" i="217"/>
  <c r="E97" i="217" s="1"/>
  <c r="C97" i="217"/>
  <c r="C88" i="217"/>
  <c r="H12" i="217"/>
  <c r="C12" i="217"/>
  <c r="E12" i="217"/>
  <c r="G232" i="217"/>
  <c r="H231" i="217"/>
  <c r="G267" i="334" l="1"/>
  <c r="H266" i="334"/>
  <c r="C321" i="217"/>
  <c r="H321" i="217" s="1"/>
  <c r="U374" i="314"/>
  <c r="U389" i="314" s="1"/>
  <c r="U390" i="314" s="1"/>
  <c r="U391" i="314" s="1"/>
  <c r="U392" i="314" s="1"/>
  <c r="S377" i="302"/>
  <c r="U377" i="302" s="1"/>
  <c r="C313" i="302"/>
  <c r="H313" i="302" s="1"/>
  <c r="H314" i="302" s="1"/>
  <c r="T383" i="302" s="1"/>
  <c r="U383" i="302" s="1"/>
  <c r="S378" i="304"/>
  <c r="G219" i="302"/>
  <c r="I223" i="302"/>
  <c r="T375" i="302" s="1"/>
  <c r="U375" i="302" s="1"/>
  <c r="C320" i="302"/>
  <c r="C335" i="302"/>
  <c r="C331" i="302"/>
  <c r="H331" i="302" s="1"/>
  <c r="H337" i="302" s="1"/>
  <c r="S379" i="302" s="1"/>
  <c r="U379" i="302" s="1"/>
  <c r="S378" i="300"/>
  <c r="U378" i="300" s="1"/>
  <c r="G232" i="319"/>
  <c r="H231" i="319"/>
  <c r="G232" i="320"/>
  <c r="H231" i="320"/>
  <c r="O6" i="218"/>
  <c r="Q8" i="290"/>
  <c r="N6" i="218" s="1"/>
  <c r="R7" i="291"/>
  <c r="G232" i="318"/>
  <c r="H231" i="318"/>
  <c r="G232" i="311"/>
  <c r="H231" i="311"/>
  <c r="G232" i="325"/>
  <c r="H231" i="325"/>
  <c r="G232" i="323"/>
  <c r="H231" i="323"/>
  <c r="G232" i="310"/>
  <c r="H231" i="310"/>
  <c r="G232" i="322"/>
  <c r="H231" i="322"/>
  <c r="G232" i="314"/>
  <c r="H231" i="314"/>
  <c r="G232" i="317"/>
  <c r="H231" i="317"/>
  <c r="G232" i="321"/>
  <c r="H231" i="321"/>
  <c r="G232" i="324"/>
  <c r="H231" i="324"/>
  <c r="G232" i="328"/>
  <c r="H231" i="328"/>
  <c r="O39" i="218"/>
  <c r="P8" i="293"/>
  <c r="N39" i="218" s="1"/>
  <c r="P8" i="292"/>
  <c r="N28" i="218" s="1"/>
  <c r="O28" i="218"/>
  <c r="G232" i="329"/>
  <c r="H231" i="329"/>
  <c r="G232" i="313"/>
  <c r="H231" i="313"/>
  <c r="G232" i="308"/>
  <c r="H231" i="308"/>
  <c r="G232" i="312"/>
  <c r="H231" i="312"/>
  <c r="G232" i="309"/>
  <c r="H231" i="309"/>
  <c r="U390" i="328"/>
  <c r="U391" i="328" s="1"/>
  <c r="U392" i="328" s="1"/>
  <c r="T375" i="325"/>
  <c r="U375" i="325" s="1"/>
  <c r="U374" i="325" s="1"/>
  <c r="U389" i="325" s="1"/>
  <c r="I88" i="309"/>
  <c r="I219" i="309" s="1"/>
  <c r="E219" i="309"/>
  <c r="E223" i="309" s="1"/>
  <c r="S375" i="309" s="1"/>
  <c r="G251" i="304"/>
  <c r="H249" i="304"/>
  <c r="H250" i="304" s="1"/>
  <c r="H291" i="304" s="1"/>
  <c r="I291" i="304" s="1"/>
  <c r="G246" i="298"/>
  <c r="H245" i="298"/>
  <c r="G251" i="303"/>
  <c r="H249" i="303"/>
  <c r="H250" i="303" s="1"/>
  <c r="H291" i="303" s="1"/>
  <c r="I291" i="303" s="1"/>
  <c r="G251" i="302"/>
  <c r="H249" i="302"/>
  <c r="H250" i="302" s="1"/>
  <c r="H291" i="302" s="1"/>
  <c r="G251" i="301"/>
  <c r="H249" i="301"/>
  <c r="H250" i="301" s="1"/>
  <c r="H291" i="301" s="1"/>
  <c r="I291" i="301" s="1"/>
  <c r="G251" i="299"/>
  <c r="H249" i="299"/>
  <c r="H250" i="299" s="1"/>
  <c r="H291" i="299" s="1"/>
  <c r="I291" i="299" s="1"/>
  <c r="G249" i="300"/>
  <c r="H248" i="300"/>
  <c r="U378" i="304"/>
  <c r="C313" i="303"/>
  <c r="H313" i="303" s="1"/>
  <c r="H314" i="303" s="1"/>
  <c r="T383" i="303" s="1"/>
  <c r="U383" i="303" s="1"/>
  <c r="S377" i="303"/>
  <c r="U377" i="303" s="1"/>
  <c r="G219" i="303"/>
  <c r="I223" i="303"/>
  <c r="T375" i="303" s="1"/>
  <c r="U375" i="303" s="1"/>
  <c r="C335" i="303"/>
  <c r="C320" i="303"/>
  <c r="H319" i="303"/>
  <c r="C331" i="303"/>
  <c r="H331" i="303" s="1"/>
  <c r="H337" i="303" s="1"/>
  <c r="I88" i="301"/>
  <c r="I219" i="301" s="1"/>
  <c r="E219" i="301"/>
  <c r="E223" i="301" s="1"/>
  <c r="S375" i="301" s="1"/>
  <c r="S379" i="300"/>
  <c r="U379" i="300" s="1"/>
  <c r="U374" i="300" s="1"/>
  <c r="U389" i="300" s="1"/>
  <c r="C336" i="300"/>
  <c r="H322" i="300"/>
  <c r="H364" i="300" s="1"/>
  <c r="H82" i="299"/>
  <c r="I81" i="299"/>
  <c r="I82" i="217"/>
  <c r="H83" i="217"/>
  <c r="D292" i="217"/>
  <c r="I242" i="217"/>
  <c r="J250" i="217" s="1"/>
  <c r="D291" i="217" a="1"/>
  <c r="D291" i="217" s="1"/>
  <c r="I233" i="217"/>
  <c r="H225" i="217"/>
  <c r="E89" i="217"/>
  <c r="I89" i="217" s="1"/>
  <c r="C333" i="217"/>
  <c r="H333" i="217" s="1"/>
  <c r="E90" i="217"/>
  <c r="I90" i="217" s="1"/>
  <c r="D355" i="217"/>
  <c r="H355" i="217" s="1"/>
  <c r="D384" i="217"/>
  <c r="I384" i="217" s="1"/>
  <c r="G218" i="217"/>
  <c r="D356" i="217"/>
  <c r="H356" i="217" s="1"/>
  <c r="E99" i="217"/>
  <c r="I99" i="217" s="1"/>
  <c r="C319" i="217"/>
  <c r="H319" i="217" s="1"/>
  <c r="E98" i="217"/>
  <c r="I98" i="217" s="1"/>
  <c r="D385" i="217"/>
  <c r="I385" i="217" s="1"/>
  <c r="I97" i="217"/>
  <c r="G234" i="217"/>
  <c r="H232" i="217"/>
  <c r="G268" i="334" l="1"/>
  <c r="H267" i="334"/>
  <c r="C336" i="302"/>
  <c r="H320" i="302"/>
  <c r="G234" i="309"/>
  <c r="H232" i="309"/>
  <c r="H233" i="309" s="1"/>
  <c r="G234" i="317"/>
  <c r="H232" i="317"/>
  <c r="H233" i="317" s="1"/>
  <c r="G234" i="310"/>
  <c r="H232" i="310"/>
  <c r="H233" i="310" s="1"/>
  <c r="G234" i="328"/>
  <c r="H232" i="328"/>
  <c r="H233" i="328" s="1"/>
  <c r="G234" i="311"/>
  <c r="H232" i="311"/>
  <c r="H233" i="311" s="1"/>
  <c r="G234" i="312"/>
  <c r="H232" i="312"/>
  <c r="H233" i="312" s="1"/>
  <c r="G234" i="314"/>
  <c r="H232" i="314"/>
  <c r="H233" i="314" s="1"/>
  <c r="G234" i="329"/>
  <c r="H232" i="329"/>
  <c r="H233" i="329" s="1"/>
  <c r="G234" i="324"/>
  <c r="H232" i="324"/>
  <c r="H233" i="324" s="1"/>
  <c r="G234" i="323"/>
  <c r="H232" i="323"/>
  <c r="H233" i="323" s="1"/>
  <c r="G234" i="318"/>
  <c r="H232" i="318"/>
  <c r="H233" i="318" s="1"/>
  <c r="G234" i="308"/>
  <c r="H232" i="308"/>
  <c r="H233" i="308" s="1"/>
  <c r="G234" i="322"/>
  <c r="H232" i="322"/>
  <c r="H233" i="322" s="1"/>
  <c r="Q7" i="291"/>
  <c r="N17" i="218" s="1"/>
  <c r="O17" i="218"/>
  <c r="G234" i="320"/>
  <c r="H232" i="320"/>
  <c r="H233" i="320" s="1"/>
  <c r="G234" i="321"/>
  <c r="H232" i="321"/>
  <c r="H233" i="321" s="1"/>
  <c r="G234" i="313"/>
  <c r="H232" i="313"/>
  <c r="H233" i="313" s="1"/>
  <c r="G234" i="325"/>
  <c r="H232" i="325"/>
  <c r="H233" i="325" s="1"/>
  <c r="G234" i="319"/>
  <c r="H232" i="319"/>
  <c r="H233" i="319" s="1"/>
  <c r="U390" i="325"/>
  <c r="U391" i="325" s="1"/>
  <c r="U392" i="325" s="1"/>
  <c r="G219" i="309"/>
  <c r="I223" i="309"/>
  <c r="G252" i="301"/>
  <c r="H251" i="301"/>
  <c r="G247" i="298"/>
  <c r="H246" i="298"/>
  <c r="I291" i="302"/>
  <c r="G252" i="302"/>
  <c r="H251" i="302"/>
  <c r="H251" i="304"/>
  <c r="G252" i="304"/>
  <c r="G251" i="300"/>
  <c r="H249" i="300"/>
  <c r="H250" i="300" s="1"/>
  <c r="H291" i="300" s="1"/>
  <c r="I291" i="300" s="1"/>
  <c r="G252" i="303"/>
  <c r="H251" i="303"/>
  <c r="H251" i="299"/>
  <c r="G252" i="299"/>
  <c r="U374" i="304"/>
  <c r="U389" i="304" s="1"/>
  <c r="U390" i="304" s="1"/>
  <c r="U391" i="304" s="1"/>
  <c r="U392" i="304" s="1"/>
  <c r="S379" i="303"/>
  <c r="U379" i="303" s="1"/>
  <c r="C336" i="303"/>
  <c r="H320" i="303"/>
  <c r="H322" i="303" s="1"/>
  <c r="H364" i="303" s="1"/>
  <c r="G219" i="301"/>
  <c r="I223" i="301"/>
  <c r="U390" i="300"/>
  <c r="U391" i="300" s="1"/>
  <c r="U392" i="300" s="1"/>
  <c r="H83" i="299"/>
  <c r="I82" i="299"/>
  <c r="S377" i="217"/>
  <c r="U377" i="217" s="1"/>
  <c r="H84" i="217"/>
  <c r="I83" i="217"/>
  <c r="H233" i="217"/>
  <c r="H363" i="217"/>
  <c r="I388" i="217"/>
  <c r="C320" i="217"/>
  <c r="H320" i="217" s="1"/>
  <c r="S378" i="217" s="1"/>
  <c r="U378" i="217" s="1"/>
  <c r="C331" i="217"/>
  <c r="H331" i="217" s="1"/>
  <c r="H337" i="217" s="1"/>
  <c r="S379" i="217" s="1"/>
  <c r="U379" i="217" s="1"/>
  <c r="C335" i="217"/>
  <c r="C313" i="217"/>
  <c r="H313" i="217" s="1"/>
  <c r="H314" i="217" s="1"/>
  <c r="G235" i="217"/>
  <c r="H234" i="217"/>
  <c r="G236" i="217"/>
  <c r="G270" i="334" l="1"/>
  <c r="H268" i="334"/>
  <c r="H269" i="334" s="1"/>
  <c r="S378" i="302"/>
  <c r="U378" i="302" s="1"/>
  <c r="U374" i="302" s="1"/>
  <c r="U389" i="302" s="1"/>
  <c r="U390" i="302" s="1"/>
  <c r="U391" i="302" s="1"/>
  <c r="U392" i="302" s="1"/>
  <c r="H322" i="302"/>
  <c r="H364" i="302" s="1"/>
  <c r="T383" i="217"/>
  <c r="U383" i="217" s="1"/>
  <c r="G235" i="313"/>
  <c r="G236" i="313"/>
  <c r="H234" i="313"/>
  <c r="G236" i="322"/>
  <c r="G235" i="322"/>
  <c r="H234" i="322"/>
  <c r="G235" i="324"/>
  <c r="G236" i="324"/>
  <c r="H234" i="324"/>
  <c r="G235" i="311"/>
  <c r="G236" i="311"/>
  <c r="H234" i="311"/>
  <c r="G236" i="309"/>
  <c r="G235" i="309"/>
  <c r="H234" i="309"/>
  <c r="G236" i="321"/>
  <c r="G235" i="321"/>
  <c r="H234" i="321"/>
  <c r="G236" i="308"/>
  <c r="G235" i="308"/>
  <c r="H234" i="308"/>
  <c r="G235" i="329"/>
  <c r="G236" i="329"/>
  <c r="H234" i="329"/>
  <c r="G235" i="328"/>
  <c r="G236" i="328"/>
  <c r="H234" i="328"/>
  <c r="G236" i="319"/>
  <c r="G235" i="319"/>
  <c r="H234" i="319"/>
  <c r="G236" i="320"/>
  <c r="G235" i="320"/>
  <c r="H234" i="320"/>
  <c r="G235" i="318"/>
  <c r="G236" i="318"/>
  <c r="H234" i="318"/>
  <c r="G236" i="314"/>
  <c r="G235" i="314"/>
  <c r="H234" i="314"/>
  <c r="G236" i="310"/>
  <c r="G235" i="310"/>
  <c r="H234" i="310"/>
  <c r="G235" i="325"/>
  <c r="G236" i="325"/>
  <c r="H234" i="325"/>
  <c r="G235" i="323"/>
  <c r="G236" i="323"/>
  <c r="H234" i="323"/>
  <c r="G236" i="312"/>
  <c r="G235" i="312"/>
  <c r="H234" i="312"/>
  <c r="G235" i="317"/>
  <c r="G236" i="317"/>
  <c r="H234" i="317"/>
  <c r="T375" i="309"/>
  <c r="U375" i="309" s="1"/>
  <c r="U374" i="309" s="1"/>
  <c r="U389" i="309" s="1"/>
  <c r="G253" i="303"/>
  <c r="H252" i="303"/>
  <c r="G252" i="300"/>
  <c r="H251" i="300"/>
  <c r="H252" i="304"/>
  <c r="G253" i="304"/>
  <c r="G248" i="298"/>
  <c r="H247" i="298"/>
  <c r="G253" i="299"/>
  <c r="H252" i="299"/>
  <c r="G253" i="301"/>
  <c r="H252" i="301"/>
  <c r="G253" i="302"/>
  <c r="H252" i="302"/>
  <c r="S378" i="303"/>
  <c r="U378" i="303" s="1"/>
  <c r="U374" i="303" s="1"/>
  <c r="U389" i="303" s="1"/>
  <c r="U390" i="303" s="1"/>
  <c r="U391" i="303" s="1"/>
  <c r="U392" i="303" s="1"/>
  <c r="T375" i="301"/>
  <c r="U375" i="301" s="1"/>
  <c r="U374" i="301" s="1"/>
  <c r="U389" i="301" s="1"/>
  <c r="H84" i="299"/>
  <c r="I83" i="299"/>
  <c r="H85" i="217"/>
  <c r="I84" i="217"/>
  <c r="C336" i="217"/>
  <c r="H322" i="217"/>
  <c r="H364" i="217" s="1"/>
  <c r="G238" i="217"/>
  <c r="H236" i="217"/>
  <c r="G237" i="217"/>
  <c r="H235" i="217"/>
  <c r="G271" i="334" l="1"/>
  <c r="H270" i="334"/>
  <c r="G237" i="323"/>
  <c r="H235" i="323"/>
  <c r="G238" i="310"/>
  <c r="H236" i="310"/>
  <c r="G237" i="320"/>
  <c r="H235" i="320"/>
  <c r="G237" i="311"/>
  <c r="H235" i="311"/>
  <c r="G238" i="313"/>
  <c r="H236" i="313"/>
  <c r="G237" i="317"/>
  <c r="H235" i="317"/>
  <c r="G238" i="325"/>
  <c r="H236" i="325"/>
  <c r="G237" i="314"/>
  <c r="H235" i="314"/>
  <c r="G238" i="308"/>
  <c r="H236" i="308"/>
  <c r="G238" i="324"/>
  <c r="H236" i="324"/>
  <c r="G237" i="308"/>
  <c r="H235" i="308"/>
  <c r="G237" i="325"/>
  <c r="H235" i="325"/>
  <c r="G238" i="314"/>
  <c r="H236" i="314"/>
  <c r="G237" i="319"/>
  <c r="H235" i="319"/>
  <c r="G238" i="328"/>
  <c r="H236" i="328"/>
  <c r="G237" i="324"/>
  <c r="H235" i="324"/>
  <c r="G237" i="312"/>
  <c r="H235" i="312"/>
  <c r="G238" i="319"/>
  <c r="H236" i="319"/>
  <c r="G237" i="328"/>
  <c r="H235" i="328"/>
  <c r="G237" i="321"/>
  <c r="H235" i="321"/>
  <c r="G237" i="309"/>
  <c r="H235" i="309"/>
  <c r="G238" i="312"/>
  <c r="H236" i="312"/>
  <c r="G238" i="318"/>
  <c r="H236" i="318"/>
  <c r="G238" i="321"/>
  <c r="H236" i="321"/>
  <c r="G238" i="309"/>
  <c r="H236" i="309"/>
  <c r="G237" i="322"/>
  <c r="H235" i="322"/>
  <c r="G238" i="317"/>
  <c r="H236" i="317"/>
  <c r="G237" i="318"/>
  <c r="H235" i="318"/>
  <c r="G238" i="329"/>
  <c r="H236" i="329"/>
  <c r="G238" i="322"/>
  <c r="H236" i="322"/>
  <c r="G238" i="320"/>
  <c r="H236" i="320"/>
  <c r="G237" i="313"/>
  <c r="H235" i="313"/>
  <c r="G238" i="323"/>
  <c r="H236" i="323"/>
  <c r="G237" i="310"/>
  <c r="H235" i="310"/>
  <c r="G237" i="329"/>
  <c r="H235" i="329"/>
  <c r="G238" i="311"/>
  <c r="H236" i="311"/>
  <c r="U390" i="309"/>
  <c r="U391" i="309" s="1"/>
  <c r="U392" i="309" s="1"/>
  <c r="G254" i="302"/>
  <c r="H253" i="302"/>
  <c r="G249" i="298"/>
  <c r="H248" i="298"/>
  <c r="G254" i="304"/>
  <c r="H253" i="304"/>
  <c r="G254" i="301"/>
  <c r="H253" i="301"/>
  <c r="G253" i="300"/>
  <c r="H252" i="300"/>
  <c r="G254" i="299"/>
  <c r="H253" i="299"/>
  <c r="G254" i="303"/>
  <c r="H253" i="303"/>
  <c r="U390" i="301"/>
  <c r="U391" i="301" s="1"/>
  <c r="U392" i="301" s="1"/>
  <c r="H85" i="299"/>
  <c r="I84" i="299"/>
  <c r="H86" i="217"/>
  <c r="I85" i="217"/>
  <c r="H238" i="217"/>
  <c r="G240" i="217"/>
  <c r="H240" i="217" s="1"/>
  <c r="G239" i="217"/>
  <c r="H237" i="217"/>
  <c r="G272" i="334" l="1"/>
  <c r="H271" i="334"/>
  <c r="G239" i="313"/>
  <c r="H237" i="313"/>
  <c r="G239" i="329"/>
  <c r="H237" i="329"/>
  <c r="G239" i="318"/>
  <c r="H237" i="318"/>
  <c r="G239" i="309"/>
  <c r="H237" i="309"/>
  <c r="G239" i="319"/>
  <c r="H237" i="319"/>
  <c r="G240" i="320"/>
  <c r="H240" i="320" s="1"/>
  <c r="H238" i="320"/>
  <c r="G240" i="321"/>
  <c r="H240" i="321" s="1"/>
  <c r="H238" i="321"/>
  <c r="G239" i="312"/>
  <c r="H237" i="312"/>
  <c r="G240" i="324"/>
  <c r="H240" i="324" s="1"/>
  <c r="H238" i="324"/>
  <c r="G240" i="325"/>
  <c r="H240" i="325" s="1"/>
  <c r="H238" i="325"/>
  <c r="G239" i="314"/>
  <c r="H237" i="314"/>
  <c r="G239" i="321"/>
  <c r="H237" i="321"/>
  <c r="G240" i="314"/>
  <c r="H240" i="314" s="1"/>
  <c r="H238" i="314"/>
  <c r="G239" i="320"/>
  <c r="H237" i="320"/>
  <c r="G240" i="309"/>
  <c r="H240" i="309" s="1"/>
  <c r="H238" i="309"/>
  <c r="G239" i="310"/>
  <c r="H237" i="310"/>
  <c r="G240" i="322"/>
  <c r="H240" i="322" s="1"/>
  <c r="H238" i="322"/>
  <c r="G240" i="317"/>
  <c r="H240" i="317" s="1"/>
  <c r="H238" i="317"/>
  <c r="G239" i="324"/>
  <c r="H237" i="324"/>
  <c r="G240" i="308"/>
  <c r="H240" i="308" s="1"/>
  <c r="H238" i="308"/>
  <c r="G239" i="317"/>
  <c r="H237" i="317"/>
  <c r="G239" i="311"/>
  <c r="H237" i="311"/>
  <c r="G240" i="318"/>
  <c r="H240" i="318" s="1"/>
  <c r="H238" i="318"/>
  <c r="G239" i="328"/>
  <c r="H237" i="328"/>
  <c r="G239" i="325"/>
  <c r="H237" i="325"/>
  <c r="G240" i="310"/>
  <c r="H240" i="310" s="1"/>
  <c r="H238" i="310"/>
  <c r="G239" i="308"/>
  <c r="H237" i="308"/>
  <c r="G240" i="323"/>
  <c r="H240" i="323" s="1"/>
  <c r="H238" i="323"/>
  <c r="G239" i="322"/>
  <c r="H237" i="322"/>
  <c r="G240" i="313"/>
  <c r="H240" i="313" s="1"/>
  <c r="H238" i="313"/>
  <c r="G240" i="311"/>
  <c r="H240" i="311" s="1"/>
  <c r="H238" i="311"/>
  <c r="G240" i="329"/>
  <c r="H240" i="329" s="1"/>
  <c r="H238" i="329"/>
  <c r="G240" i="312"/>
  <c r="H240" i="312" s="1"/>
  <c r="H238" i="312"/>
  <c r="G240" i="319"/>
  <c r="H240" i="319" s="1"/>
  <c r="H238" i="319"/>
  <c r="G240" i="328"/>
  <c r="H240" i="328" s="1"/>
  <c r="H238" i="328"/>
  <c r="G239" i="323"/>
  <c r="H237" i="323"/>
  <c r="G255" i="303"/>
  <c r="H254" i="303"/>
  <c r="H254" i="304"/>
  <c r="G255" i="304"/>
  <c r="G255" i="299"/>
  <c r="H254" i="299"/>
  <c r="G251" i="298"/>
  <c r="H249" i="298"/>
  <c r="H250" i="298" s="1"/>
  <c r="H291" i="298" s="1"/>
  <c r="G254" i="300"/>
  <c r="H253" i="300"/>
  <c r="G255" i="301"/>
  <c r="H254" i="301"/>
  <c r="G255" i="302"/>
  <c r="H254" i="302"/>
  <c r="H86" i="299"/>
  <c r="I85" i="299"/>
  <c r="I86" i="217"/>
  <c r="H87" i="217"/>
  <c r="I87" i="217" s="1"/>
  <c r="E88" i="217" s="1"/>
  <c r="G241" i="217"/>
  <c r="H239" i="217"/>
  <c r="G274" i="334" l="1"/>
  <c r="H272" i="334"/>
  <c r="H273" i="334" s="1"/>
  <c r="G241" i="328"/>
  <c r="H239" i="328"/>
  <c r="G241" i="321"/>
  <c r="H239" i="321"/>
  <c r="G241" i="310"/>
  <c r="H239" i="310"/>
  <c r="G241" i="308"/>
  <c r="H239" i="308"/>
  <c r="G241" i="324"/>
  <c r="H239" i="324"/>
  <c r="G241" i="314"/>
  <c r="H239" i="314"/>
  <c r="G241" i="318"/>
  <c r="H239" i="318"/>
  <c r="G241" i="309"/>
  <c r="H239" i="309"/>
  <c r="G241" i="323"/>
  <c r="H239" i="323"/>
  <c r="G241" i="312"/>
  <c r="H239" i="312"/>
  <c r="G241" i="311"/>
  <c r="H239" i="311"/>
  <c r="G241" i="320"/>
  <c r="H239" i="320"/>
  <c r="G241" i="329"/>
  <c r="H239" i="329"/>
  <c r="G241" i="322"/>
  <c r="H239" i="322"/>
  <c r="G241" i="325"/>
  <c r="H239" i="325"/>
  <c r="G241" i="317"/>
  <c r="H239" i="317"/>
  <c r="G241" i="319"/>
  <c r="H239" i="319"/>
  <c r="G241" i="313"/>
  <c r="H239" i="313"/>
  <c r="G256" i="302"/>
  <c r="H255" i="302"/>
  <c r="G256" i="299"/>
  <c r="H255" i="299"/>
  <c r="G256" i="301"/>
  <c r="H255" i="301"/>
  <c r="H255" i="304"/>
  <c r="G256" i="304"/>
  <c r="G255" i="300"/>
  <c r="H254" i="300"/>
  <c r="G256" i="303"/>
  <c r="H255" i="303"/>
  <c r="I291" i="298"/>
  <c r="G252" i="298"/>
  <c r="H251" i="298"/>
  <c r="H87" i="299"/>
  <c r="I87" i="299" s="1"/>
  <c r="E88" i="299" s="1"/>
  <c r="I86" i="299"/>
  <c r="I88" i="217"/>
  <c r="I219" i="217" s="1"/>
  <c r="I223" i="217" s="1"/>
  <c r="E219" i="217"/>
  <c r="E223" i="217" s="1"/>
  <c r="S375" i="217" s="1"/>
  <c r="H241" i="217"/>
  <c r="H242" i="217" s="1"/>
  <c r="G243" i="217"/>
  <c r="G275" i="334" l="1"/>
  <c r="H274" i="334"/>
  <c r="G243" i="309"/>
  <c r="H241" i="309"/>
  <c r="H242" i="309" s="1"/>
  <c r="G243" i="308"/>
  <c r="H241" i="308"/>
  <c r="H242" i="308" s="1"/>
  <c r="G243" i="325"/>
  <c r="H241" i="325"/>
  <c r="H242" i="325" s="1"/>
  <c r="G243" i="311"/>
  <c r="H241" i="311"/>
  <c r="H242" i="311" s="1"/>
  <c r="G243" i="317"/>
  <c r="H241" i="317"/>
  <c r="G243" i="318"/>
  <c r="H241" i="318"/>
  <c r="H242" i="318" s="1"/>
  <c r="G243" i="310"/>
  <c r="H241" i="310"/>
  <c r="H242" i="310" s="1"/>
  <c r="G243" i="313"/>
  <c r="H241" i="313"/>
  <c r="G243" i="312"/>
  <c r="H241" i="312"/>
  <c r="H242" i="312" s="1"/>
  <c r="G243" i="314"/>
  <c r="H241" i="314"/>
  <c r="H242" i="314" s="1"/>
  <c r="G243" i="321"/>
  <c r="H241" i="321"/>
  <c r="H242" i="321" s="1"/>
  <c r="G243" i="320"/>
  <c r="H241" i="320"/>
  <c r="H242" i="320" s="1"/>
  <c r="H242" i="313"/>
  <c r="G243" i="322"/>
  <c r="H241" i="322"/>
  <c r="H242" i="322" s="1"/>
  <c r="G243" i="319"/>
  <c r="H241" i="319"/>
  <c r="H242" i="319" s="1"/>
  <c r="G243" i="329"/>
  <c r="H241" i="329"/>
  <c r="H242" i="329" s="1"/>
  <c r="G243" i="323"/>
  <c r="H241" i="323"/>
  <c r="H242" i="323" s="1"/>
  <c r="H242" i="317"/>
  <c r="G243" i="324"/>
  <c r="H241" i="324"/>
  <c r="H242" i="324" s="1"/>
  <c r="G243" i="328"/>
  <c r="H241" i="328"/>
  <c r="H242" i="328" s="1"/>
  <c r="H256" i="304"/>
  <c r="G257" i="304"/>
  <c r="G253" i="298"/>
  <c r="H252" i="298"/>
  <c r="G257" i="301"/>
  <c r="H256" i="301"/>
  <c r="G257" i="303"/>
  <c r="H256" i="303"/>
  <c r="G257" i="299"/>
  <c r="H256" i="299"/>
  <c r="G256" i="300"/>
  <c r="H255" i="300"/>
  <c r="G257" i="302"/>
  <c r="H256" i="302"/>
  <c r="I88" i="299"/>
  <c r="I219" i="299" s="1"/>
  <c r="E219" i="299"/>
  <c r="E223" i="299" s="1"/>
  <c r="S375" i="299" s="1"/>
  <c r="T375" i="217"/>
  <c r="U375" i="217" s="1"/>
  <c r="U374" i="217" s="1"/>
  <c r="U389" i="217" s="1"/>
  <c r="U390" i="217" s="1"/>
  <c r="U391" i="217" s="1"/>
  <c r="U392" i="217" s="1"/>
  <c r="G219" i="217"/>
  <c r="H243" i="217"/>
  <c r="G244" i="217"/>
  <c r="G276" i="334" l="1"/>
  <c r="H275" i="334"/>
  <c r="G244" i="323"/>
  <c r="H243" i="323"/>
  <c r="G244" i="318"/>
  <c r="H243" i="318"/>
  <c r="G244" i="320"/>
  <c r="H243" i="320"/>
  <c r="G244" i="312"/>
  <c r="H243" i="312"/>
  <c r="G244" i="308"/>
  <c r="H243" i="308"/>
  <c r="G244" i="328"/>
  <c r="H243" i="328"/>
  <c r="G244" i="329"/>
  <c r="H243" i="329"/>
  <c r="G244" i="325"/>
  <c r="H243" i="325"/>
  <c r="G244" i="321"/>
  <c r="H243" i="321"/>
  <c r="G244" i="313"/>
  <c r="H243" i="313"/>
  <c r="G244" i="317"/>
  <c r="H243" i="317"/>
  <c r="G244" i="309"/>
  <c r="H243" i="309"/>
  <c r="G244" i="324"/>
  <c r="H243" i="324"/>
  <c r="G244" i="319"/>
  <c r="H243" i="319"/>
  <c r="G244" i="314"/>
  <c r="H243" i="314"/>
  <c r="G244" i="311"/>
  <c r="H243" i="311"/>
  <c r="G244" i="322"/>
  <c r="H243" i="322"/>
  <c r="G244" i="310"/>
  <c r="H243" i="310"/>
  <c r="G259" i="303"/>
  <c r="H257" i="303"/>
  <c r="H258" i="303" s="1"/>
  <c r="G259" i="302"/>
  <c r="H257" i="302"/>
  <c r="H258" i="302" s="1"/>
  <c r="G259" i="301"/>
  <c r="H257" i="301"/>
  <c r="H258" i="301" s="1"/>
  <c r="G257" i="300"/>
  <c r="H256" i="300"/>
  <c r="G254" i="298"/>
  <c r="H253" i="298"/>
  <c r="G259" i="304"/>
  <c r="H257" i="304"/>
  <c r="H258" i="304" s="1"/>
  <c r="G259" i="299"/>
  <c r="H257" i="299"/>
  <c r="H258" i="299" s="1"/>
  <c r="G219" i="299"/>
  <c r="I223" i="299"/>
  <c r="T375" i="299" s="1"/>
  <c r="U375" i="299" s="1"/>
  <c r="H244" i="217"/>
  <c r="G245" i="217"/>
  <c r="G277" i="334" l="1"/>
  <c r="H276" i="334"/>
  <c r="G245" i="314"/>
  <c r="H244" i="314"/>
  <c r="G245" i="323"/>
  <c r="H244" i="323"/>
  <c r="G245" i="310"/>
  <c r="H244" i="310"/>
  <c r="G245" i="309"/>
  <c r="H244" i="309"/>
  <c r="G245" i="325"/>
  <c r="H244" i="325"/>
  <c r="G245" i="312"/>
  <c r="H244" i="312"/>
  <c r="G245" i="321"/>
  <c r="H244" i="321"/>
  <c r="G245" i="322"/>
  <c r="H244" i="322"/>
  <c r="G245" i="317"/>
  <c r="H244" i="317"/>
  <c r="G245" i="329"/>
  <c r="H244" i="329"/>
  <c r="G245" i="320"/>
  <c r="H244" i="320"/>
  <c r="G245" i="319"/>
  <c r="H244" i="319"/>
  <c r="G245" i="308"/>
  <c r="H244" i="308"/>
  <c r="G245" i="313"/>
  <c r="H244" i="313"/>
  <c r="G245" i="328"/>
  <c r="H244" i="328"/>
  <c r="G245" i="311"/>
  <c r="H244" i="311"/>
  <c r="G245" i="324"/>
  <c r="H244" i="324"/>
  <c r="G245" i="318"/>
  <c r="H244" i="318"/>
  <c r="G260" i="301"/>
  <c r="H259" i="301"/>
  <c r="G259" i="300"/>
  <c r="H257" i="300"/>
  <c r="H258" i="300" s="1"/>
  <c r="U374" i="299"/>
  <c r="U389" i="299" s="1"/>
  <c r="U390" i="299" s="1"/>
  <c r="U391" i="299" s="1"/>
  <c r="U392" i="299" s="1"/>
  <c r="G260" i="304"/>
  <c r="H259" i="304"/>
  <c r="G260" i="302"/>
  <c r="H259" i="302"/>
  <c r="G260" i="299"/>
  <c r="H259" i="299"/>
  <c r="G255" i="298"/>
  <c r="H254" i="298"/>
  <c r="G260" i="303"/>
  <c r="H259" i="303"/>
  <c r="G246" i="217"/>
  <c r="H245" i="217"/>
  <c r="G278" i="334" l="1"/>
  <c r="H277" i="334"/>
  <c r="G246" i="319"/>
  <c r="H245" i="319"/>
  <c r="G246" i="312"/>
  <c r="H245" i="312"/>
  <c r="G246" i="324"/>
  <c r="H245" i="324"/>
  <c r="G246" i="313"/>
  <c r="H245" i="313"/>
  <c r="G246" i="322"/>
  <c r="H245" i="322"/>
  <c r="G246" i="323"/>
  <c r="H245" i="323"/>
  <c r="G246" i="320"/>
  <c r="H245" i="320"/>
  <c r="G246" i="325"/>
  <c r="H245" i="325"/>
  <c r="G246" i="311"/>
  <c r="H245" i="311"/>
  <c r="G246" i="321"/>
  <c r="H245" i="321"/>
  <c r="G246" i="329"/>
  <c r="H245" i="329"/>
  <c r="G246" i="309"/>
  <c r="H245" i="309"/>
  <c r="G246" i="328"/>
  <c r="H245" i="328"/>
  <c r="G246" i="318"/>
  <c r="H245" i="318"/>
  <c r="G246" i="308"/>
  <c r="H245" i="308"/>
  <c r="G246" i="317"/>
  <c r="H245" i="317"/>
  <c r="G246" i="310"/>
  <c r="H245" i="310"/>
  <c r="G246" i="314"/>
  <c r="H245" i="314"/>
  <c r="G256" i="298"/>
  <c r="H255" i="298"/>
  <c r="G261" i="299"/>
  <c r="H260" i="299"/>
  <c r="G260" i="300"/>
  <c r="H259" i="300"/>
  <c r="G261" i="302"/>
  <c r="H260" i="302"/>
  <c r="G261" i="301"/>
  <c r="H260" i="301"/>
  <c r="G261" i="303"/>
  <c r="H260" i="303"/>
  <c r="H260" i="304"/>
  <c r="G261" i="304"/>
  <c r="G247" i="217"/>
  <c r="H246" i="217"/>
  <c r="G279" i="334" l="1"/>
  <c r="H279" i="334" s="1"/>
  <c r="H278" i="334"/>
  <c r="G247" i="323"/>
  <c r="H246" i="323"/>
  <c r="G247" i="317"/>
  <c r="H246" i="317"/>
  <c r="G247" i="328"/>
  <c r="H246" i="328"/>
  <c r="G247" i="311"/>
  <c r="H246" i="311"/>
  <c r="G247" i="322"/>
  <c r="H246" i="322"/>
  <c r="G247" i="319"/>
  <c r="H246" i="319"/>
  <c r="G247" i="318"/>
  <c r="H246" i="318"/>
  <c r="G247" i="309"/>
  <c r="H246" i="309"/>
  <c r="G247" i="325"/>
  <c r="H246" i="325"/>
  <c r="G247" i="313"/>
  <c r="H246" i="313"/>
  <c r="G247" i="310"/>
  <c r="H246" i="310"/>
  <c r="G247" i="312"/>
  <c r="H246" i="312"/>
  <c r="G247" i="314"/>
  <c r="H246" i="314"/>
  <c r="G247" i="308"/>
  <c r="H246" i="308"/>
  <c r="G247" i="329"/>
  <c r="H246" i="329"/>
  <c r="G247" i="320"/>
  <c r="H246" i="320"/>
  <c r="G247" i="324"/>
  <c r="H246" i="324"/>
  <c r="G247" i="321"/>
  <c r="H246" i="321"/>
  <c r="G262" i="304"/>
  <c r="H261" i="304"/>
  <c r="G262" i="302"/>
  <c r="H261" i="302"/>
  <c r="G261" i="300"/>
  <c r="H260" i="300"/>
  <c r="G262" i="303"/>
  <c r="H261" i="303"/>
  <c r="H261" i="299"/>
  <c r="G262" i="299"/>
  <c r="G262" i="301"/>
  <c r="H261" i="301"/>
  <c r="G257" i="298"/>
  <c r="H256" i="298"/>
  <c r="G248" i="217"/>
  <c r="H247" i="217"/>
  <c r="H280" i="334" l="1"/>
  <c r="H292" i="334" s="1"/>
  <c r="G248" i="321"/>
  <c r="H247" i="321"/>
  <c r="G248" i="308"/>
  <c r="H247" i="308"/>
  <c r="G248" i="313"/>
  <c r="H247" i="313"/>
  <c r="G248" i="319"/>
  <c r="H247" i="319"/>
  <c r="G248" i="317"/>
  <c r="H247" i="317"/>
  <c r="G248" i="324"/>
  <c r="H247" i="324"/>
  <c r="G248" i="314"/>
  <c r="H247" i="314"/>
  <c r="G248" i="325"/>
  <c r="H247" i="325"/>
  <c r="G248" i="322"/>
  <c r="H247" i="322"/>
  <c r="G248" i="323"/>
  <c r="H247" i="323"/>
  <c r="G248" i="320"/>
  <c r="H247" i="320"/>
  <c r="G248" i="312"/>
  <c r="H247" i="312"/>
  <c r="G248" i="309"/>
  <c r="H247" i="309"/>
  <c r="G248" i="311"/>
  <c r="H247" i="311"/>
  <c r="G248" i="329"/>
  <c r="H247" i="329"/>
  <c r="G248" i="310"/>
  <c r="H247" i="310"/>
  <c r="G248" i="318"/>
  <c r="H247" i="318"/>
  <c r="G248" i="328"/>
  <c r="H247" i="328"/>
  <c r="G263" i="303"/>
  <c r="H262" i="303"/>
  <c r="G259" i="298"/>
  <c r="H257" i="298"/>
  <c r="H258" i="298" s="1"/>
  <c r="G262" i="300"/>
  <c r="H261" i="300"/>
  <c r="G263" i="301"/>
  <c r="H262" i="301"/>
  <c r="G263" i="299"/>
  <c r="H262" i="299"/>
  <c r="G263" i="302"/>
  <c r="H262" i="302"/>
  <c r="G263" i="304"/>
  <c r="H262" i="304"/>
  <c r="G249" i="217"/>
  <c r="H248" i="217"/>
  <c r="I292" i="334" l="1"/>
  <c r="I366" i="334"/>
  <c r="G249" i="318"/>
  <c r="H248" i="318"/>
  <c r="G249" i="323"/>
  <c r="H248" i="323"/>
  <c r="G249" i="324"/>
  <c r="H248" i="324"/>
  <c r="G249" i="309"/>
  <c r="H248" i="309"/>
  <c r="G249" i="310"/>
  <c r="H248" i="310"/>
  <c r="G249" i="322"/>
  <c r="H248" i="322"/>
  <c r="G249" i="308"/>
  <c r="H248" i="308"/>
  <c r="G249" i="312"/>
  <c r="H248" i="312"/>
  <c r="G249" i="317"/>
  <c r="H248" i="317"/>
  <c r="G249" i="321"/>
  <c r="H248" i="321"/>
  <c r="G249" i="329"/>
  <c r="H248" i="329"/>
  <c r="G249" i="325"/>
  <c r="H248" i="325"/>
  <c r="G249" i="320"/>
  <c r="H248" i="320"/>
  <c r="G249" i="319"/>
  <c r="H248" i="319"/>
  <c r="G249" i="314"/>
  <c r="H248" i="314"/>
  <c r="G249" i="328"/>
  <c r="H248" i="328"/>
  <c r="G249" i="311"/>
  <c r="H248" i="311"/>
  <c r="G249" i="313"/>
  <c r="H248" i="313"/>
  <c r="G264" i="301"/>
  <c r="H263" i="301"/>
  <c r="H263" i="304"/>
  <c r="G264" i="304"/>
  <c r="G263" i="300"/>
  <c r="H262" i="300"/>
  <c r="G264" i="302"/>
  <c r="H263" i="302"/>
  <c r="G260" i="298"/>
  <c r="H259" i="298"/>
  <c r="G264" i="299"/>
  <c r="H263" i="299"/>
  <c r="G264" i="303"/>
  <c r="H263" i="303"/>
  <c r="H249" i="217"/>
  <c r="H250" i="217" s="1"/>
  <c r="H291" i="217" s="1"/>
  <c r="G251" i="217"/>
  <c r="B368" i="334" l="1"/>
  <c r="B366" i="334"/>
  <c r="B371" i="334"/>
  <c r="I36" i="294" s="1"/>
  <c r="G251" i="325"/>
  <c r="H249" i="325"/>
  <c r="H250" i="325" s="1"/>
  <c r="H291" i="325" s="1"/>
  <c r="G251" i="314"/>
  <c r="H249" i="314"/>
  <c r="H250" i="314" s="1"/>
  <c r="H291" i="314" s="1"/>
  <c r="G251" i="329"/>
  <c r="H249" i="329"/>
  <c r="H250" i="329" s="1"/>
  <c r="H291" i="329" s="1"/>
  <c r="G251" i="308"/>
  <c r="H249" i="308"/>
  <c r="H250" i="308" s="1"/>
  <c r="H291" i="308" s="1"/>
  <c r="G251" i="324"/>
  <c r="H249" i="324"/>
  <c r="H250" i="324" s="1"/>
  <c r="H291" i="324" s="1"/>
  <c r="G251" i="312"/>
  <c r="H249" i="312"/>
  <c r="H250" i="312" s="1"/>
  <c r="H291" i="312" s="1"/>
  <c r="G251" i="328"/>
  <c r="H249" i="328"/>
  <c r="H250" i="328" s="1"/>
  <c r="H291" i="328" s="1"/>
  <c r="G251" i="319"/>
  <c r="H249" i="319"/>
  <c r="H250" i="319" s="1"/>
  <c r="H291" i="319" s="1"/>
  <c r="G251" i="321"/>
  <c r="H249" i="321"/>
  <c r="H250" i="321" s="1"/>
  <c r="H291" i="321" s="1"/>
  <c r="G251" i="322"/>
  <c r="H249" i="322"/>
  <c r="H250" i="322" s="1"/>
  <c r="H291" i="322" s="1"/>
  <c r="G251" i="323"/>
  <c r="H249" i="323"/>
  <c r="H250" i="323" s="1"/>
  <c r="H291" i="323" s="1"/>
  <c r="G251" i="309"/>
  <c r="H249" i="309"/>
  <c r="H250" i="309" s="1"/>
  <c r="H291" i="309" s="1"/>
  <c r="G251" i="313"/>
  <c r="H249" i="313"/>
  <c r="H250" i="313" s="1"/>
  <c r="H291" i="313" s="1"/>
  <c r="G251" i="311"/>
  <c r="H249" i="311"/>
  <c r="H250" i="311" s="1"/>
  <c r="H291" i="311" s="1"/>
  <c r="G251" i="320"/>
  <c r="H249" i="320"/>
  <c r="H250" i="320" s="1"/>
  <c r="H291" i="320" s="1"/>
  <c r="G251" i="317"/>
  <c r="H249" i="317"/>
  <c r="H250" i="317" s="1"/>
  <c r="H291" i="317" s="1"/>
  <c r="G251" i="310"/>
  <c r="H249" i="310"/>
  <c r="H250" i="310" s="1"/>
  <c r="H291" i="310" s="1"/>
  <c r="G251" i="318"/>
  <c r="H249" i="318"/>
  <c r="H250" i="318" s="1"/>
  <c r="H291" i="318" s="1"/>
  <c r="G264" i="300"/>
  <c r="H263" i="300"/>
  <c r="H264" i="299"/>
  <c r="H265" i="299" s="1"/>
  <c r="G266" i="299"/>
  <c r="G266" i="304"/>
  <c r="H264" i="304"/>
  <c r="H265" i="304" s="1"/>
  <c r="G266" i="303"/>
  <c r="H264" i="303"/>
  <c r="H265" i="303" s="1"/>
  <c r="G266" i="301"/>
  <c r="H264" i="301"/>
  <c r="H265" i="301" s="1"/>
  <c r="G261" i="298"/>
  <c r="H260" i="298"/>
  <c r="G266" i="302"/>
  <c r="H264" i="302"/>
  <c r="H265" i="302" s="1"/>
  <c r="I291" i="217"/>
  <c r="H251" i="217"/>
  <c r="G252" i="217"/>
  <c r="I37" i="294" l="1"/>
  <c r="J37" i="294" s="1"/>
  <c r="J36" i="294"/>
  <c r="Q9" i="294" s="1"/>
  <c r="I291" i="314"/>
  <c r="I291" i="323"/>
  <c r="G252" i="317"/>
  <c r="H251" i="317"/>
  <c r="G252" i="309"/>
  <c r="H251" i="309"/>
  <c r="G252" i="319"/>
  <c r="H251" i="319"/>
  <c r="G252" i="308"/>
  <c r="H251" i="308"/>
  <c r="I291" i="328"/>
  <c r="I291" i="329"/>
  <c r="G252" i="320"/>
  <c r="H251" i="320"/>
  <c r="G252" i="323"/>
  <c r="H251" i="323"/>
  <c r="G252" i="328"/>
  <c r="H251" i="328"/>
  <c r="G252" i="329"/>
  <c r="H251" i="329"/>
  <c r="I291" i="318"/>
  <c r="I291" i="311"/>
  <c r="I291" i="322"/>
  <c r="I291" i="312"/>
  <c r="G252" i="318"/>
  <c r="H251" i="318"/>
  <c r="G252" i="311"/>
  <c r="H251" i="311"/>
  <c r="G252" i="322"/>
  <c r="H251" i="322"/>
  <c r="G252" i="312"/>
  <c r="H251" i="312"/>
  <c r="G252" i="314"/>
  <c r="H251" i="314"/>
  <c r="I291" i="313"/>
  <c r="I291" i="324"/>
  <c r="I291" i="325"/>
  <c r="I291" i="310"/>
  <c r="I291" i="321"/>
  <c r="G252" i="310"/>
  <c r="H251" i="310"/>
  <c r="G252" i="313"/>
  <c r="H251" i="313"/>
  <c r="G252" i="321"/>
  <c r="H251" i="321"/>
  <c r="G252" i="324"/>
  <c r="H251" i="324"/>
  <c r="G252" i="325"/>
  <c r="H251" i="325"/>
  <c r="I291" i="320"/>
  <c r="I291" i="317"/>
  <c r="I291" i="309"/>
  <c r="I291" i="319"/>
  <c r="I291" i="308"/>
  <c r="G262" i="298"/>
  <c r="H261" i="298"/>
  <c r="G267" i="304"/>
  <c r="H266" i="304"/>
  <c r="G267" i="299"/>
  <c r="H266" i="299"/>
  <c r="G267" i="303"/>
  <c r="H266" i="303"/>
  <c r="G267" i="302"/>
  <c r="H266" i="302"/>
  <c r="G267" i="301"/>
  <c r="H266" i="301"/>
  <c r="G266" i="300"/>
  <c r="H264" i="300"/>
  <c r="H265" i="300" s="1"/>
  <c r="H252" i="217"/>
  <c r="G253" i="217"/>
  <c r="P9" i="294" l="1"/>
  <c r="N51" i="218" s="1"/>
  <c r="O51" i="218"/>
  <c r="I7" i="218" s="1"/>
  <c r="H7" i="218" s="1"/>
  <c r="J7" i="218" s="1"/>
  <c r="G253" i="325"/>
  <c r="H252" i="325"/>
  <c r="G253" i="310"/>
  <c r="H252" i="310"/>
  <c r="G253" i="322"/>
  <c r="H252" i="322"/>
  <c r="G253" i="328"/>
  <c r="H252" i="328"/>
  <c r="G253" i="317"/>
  <c r="H252" i="317"/>
  <c r="G253" i="309"/>
  <c r="H252" i="309"/>
  <c r="G253" i="313"/>
  <c r="H252" i="313"/>
  <c r="G253" i="324"/>
  <c r="H252" i="324"/>
  <c r="G253" i="311"/>
  <c r="H252" i="311"/>
  <c r="G253" i="323"/>
  <c r="H252" i="323"/>
  <c r="G253" i="308"/>
  <c r="H252" i="308"/>
  <c r="G253" i="329"/>
  <c r="H252" i="329"/>
  <c r="G253" i="312"/>
  <c r="H252" i="312"/>
  <c r="G253" i="321"/>
  <c r="H252" i="321"/>
  <c r="G253" i="314"/>
  <c r="H252" i="314"/>
  <c r="G253" i="318"/>
  <c r="H252" i="318"/>
  <c r="G253" i="320"/>
  <c r="H252" i="320"/>
  <c r="G253" i="319"/>
  <c r="H252" i="319"/>
  <c r="G267" i="300"/>
  <c r="H266" i="300"/>
  <c r="G268" i="299"/>
  <c r="H267" i="299"/>
  <c r="G268" i="304"/>
  <c r="H267" i="304"/>
  <c r="G263" i="298"/>
  <c r="H262" i="298"/>
  <c r="G268" i="301"/>
  <c r="H267" i="301"/>
  <c r="G268" i="302"/>
  <c r="H267" i="302"/>
  <c r="G268" i="303"/>
  <c r="H267" i="303"/>
  <c r="H253" i="217"/>
  <c r="G254" i="217"/>
  <c r="G254" i="318" l="1"/>
  <c r="H253" i="318"/>
  <c r="G254" i="309"/>
  <c r="H253" i="309"/>
  <c r="G254" i="310"/>
  <c r="H253" i="310"/>
  <c r="G254" i="308"/>
  <c r="H253" i="308"/>
  <c r="G254" i="314"/>
  <c r="H253" i="314"/>
  <c r="G254" i="317"/>
  <c r="H253" i="317"/>
  <c r="G254" i="325"/>
  <c r="H253" i="325"/>
  <c r="G254" i="323"/>
  <c r="H253" i="323"/>
  <c r="G254" i="313"/>
  <c r="H253" i="313"/>
  <c r="G254" i="319"/>
  <c r="H253" i="319"/>
  <c r="G254" i="321"/>
  <c r="H253" i="321"/>
  <c r="G254" i="328"/>
  <c r="H253" i="328"/>
  <c r="G254" i="311"/>
  <c r="H253" i="311"/>
  <c r="G254" i="320"/>
  <c r="H253" i="320"/>
  <c r="G254" i="322"/>
  <c r="H253" i="322"/>
  <c r="G254" i="312"/>
  <c r="H253" i="312"/>
  <c r="G254" i="329"/>
  <c r="H253" i="329"/>
  <c r="G254" i="324"/>
  <c r="H253" i="324"/>
  <c r="G270" i="303"/>
  <c r="H268" i="303"/>
  <c r="H269" i="303" s="1"/>
  <c r="G270" i="304"/>
  <c r="H268" i="304"/>
  <c r="H269" i="304" s="1"/>
  <c r="G270" i="301"/>
  <c r="H268" i="301"/>
  <c r="H269" i="301" s="1"/>
  <c r="H268" i="299"/>
  <c r="H269" i="299" s="1"/>
  <c r="G270" i="299"/>
  <c r="G268" i="300"/>
  <c r="H267" i="300"/>
  <c r="G270" i="302"/>
  <c r="H268" i="302"/>
  <c r="H269" i="302" s="1"/>
  <c r="G264" i="298"/>
  <c r="H263" i="298"/>
  <c r="H254" i="217"/>
  <c r="G255" i="217"/>
  <c r="G255" i="322" l="1"/>
  <c r="H254" i="322"/>
  <c r="G255" i="321"/>
  <c r="H254" i="321"/>
  <c r="G255" i="325"/>
  <c r="H254" i="325"/>
  <c r="G255" i="310"/>
  <c r="H254" i="310"/>
  <c r="G255" i="324"/>
  <c r="H254" i="324"/>
  <c r="G255" i="320"/>
  <c r="H254" i="320"/>
  <c r="G255" i="319"/>
  <c r="H254" i="319"/>
  <c r="G255" i="317"/>
  <c r="H254" i="317"/>
  <c r="G255" i="309"/>
  <c r="H254" i="309"/>
  <c r="G255" i="329"/>
  <c r="H254" i="329"/>
  <c r="G255" i="311"/>
  <c r="H254" i="311"/>
  <c r="G255" i="313"/>
  <c r="H254" i="313"/>
  <c r="G255" i="314"/>
  <c r="H254" i="314"/>
  <c r="G255" i="318"/>
  <c r="H254" i="318"/>
  <c r="G255" i="312"/>
  <c r="H254" i="312"/>
  <c r="G255" i="328"/>
  <c r="H254" i="328"/>
  <c r="G255" i="323"/>
  <c r="H254" i="323"/>
  <c r="G255" i="308"/>
  <c r="H254" i="308"/>
  <c r="G271" i="301"/>
  <c r="H270" i="301"/>
  <c r="G271" i="304"/>
  <c r="H270" i="304"/>
  <c r="G271" i="303"/>
  <c r="H270" i="303"/>
  <c r="G271" i="302"/>
  <c r="H270" i="302"/>
  <c r="G271" i="299"/>
  <c r="H270" i="299"/>
  <c r="G266" i="298"/>
  <c r="H264" i="298"/>
  <c r="H265" i="298" s="1"/>
  <c r="G270" i="300"/>
  <c r="H268" i="300"/>
  <c r="H269" i="300" s="1"/>
  <c r="G256" i="217"/>
  <c r="H255" i="217"/>
  <c r="G256" i="323" l="1"/>
  <c r="H255" i="323"/>
  <c r="G256" i="318"/>
  <c r="H255" i="318"/>
  <c r="G256" i="329"/>
  <c r="H255" i="329"/>
  <c r="G256" i="325"/>
  <c r="H255" i="325"/>
  <c r="G256" i="328"/>
  <c r="H255" i="328"/>
  <c r="G256" i="314"/>
  <c r="H255" i="314"/>
  <c r="G256" i="321"/>
  <c r="H255" i="321"/>
  <c r="G256" i="309"/>
  <c r="H255" i="309"/>
  <c r="G256" i="324"/>
  <c r="H255" i="324"/>
  <c r="G256" i="312"/>
  <c r="H255" i="312"/>
  <c r="G256" i="313"/>
  <c r="H255" i="313"/>
  <c r="G256" i="322"/>
  <c r="H255" i="322"/>
  <c r="G256" i="317"/>
  <c r="H255" i="317"/>
  <c r="G256" i="308"/>
  <c r="H255" i="308"/>
  <c r="G256" i="311"/>
  <c r="H255" i="311"/>
  <c r="G256" i="310"/>
  <c r="H255" i="310"/>
  <c r="G256" i="320"/>
  <c r="H255" i="320"/>
  <c r="G256" i="319"/>
  <c r="H255" i="319"/>
  <c r="G271" i="300"/>
  <c r="H270" i="300"/>
  <c r="H271" i="299"/>
  <c r="G272" i="299"/>
  <c r="G272" i="301"/>
  <c r="H271" i="301"/>
  <c r="G267" i="298"/>
  <c r="H266" i="298"/>
  <c r="G272" i="302"/>
  <c r="H271" i="302"/>
  <c r="H271" i="303"/>
  <c r="G272" i="303"/>
  <c r="G272" i="304"/>
  <c r="H271" i="304"/>
  <c r="G257" i="217"/>
  <c r="H256" i="217"/>
  <c r="G257" i="312" l="1"/>
  <c r="H256" i="312"/>
  <c r="G257" i="311"/>
  <c r="H256" i="311"/>
  <c r="G257" i="313"/>
  <c r="H256" i="313"/>
  <c r="G257" i="321"/>
  <c r="H256" i="321"/>
  <c r="G257" i="329"/>
  <c r="H256" i="329"/>
  <c r="G257" i="314"/>
  <c r="H256" i="314"/>
  <c r="G257" i="318"/>
  <c r="H256" i="318"/>
  <c r="G257" i="320"/>
  <c r="H256" i="320"/>
  <c r="G257" i="317"/>
  <c r="H256" i="317"/>
  <c r="G257" i="324"/>
  <c r="H256" i="324"/>
  <c r="G257" i="328"/>
  <c r="H256" i="328"/>
  <c r="G257" i="323"/>
  <c r="H256" i="323"/>
  <c r="G257" i="308"/>
  <c r="H256" i="308"/>
  <c r="G257" i="310"/>
  <c r="H256" i="310"/>
  <c r="G257" i="322"/>
  <c r="H256" i="322"/>
  <c r="G257" i="309"/>
  <c r="H256" i="309"/>
  <c r="G257" i="325"/>
  <c r="H256" i="325"/>
  <c r="G257" i="319"/>
  <c r="H256" i="319"/>
  <c r="H272" i="299"/>
  <c r="H273" i="299" s="1"/>
  <c r="G274" i="299"/>
  <c r="G274" i="301"/>
  <c r="H272" i="301"/>
  <c r="H273" i="301" s="1"/>
  <c r="G272" i="300"/>
  <c r="H271" i="300"/>
  <c r="H272" i="303"/>
  <c r="H273" i="303" s="1"/>
  <c r="G274" i="303"/>
  <c r="G268" i="298"/>
  <c r="H267" i="298"/>
  <c r="G274" i="302"/>
  <c r="H272" i="302"/>
  <c r="H273" i="302" s="1"/>
  <c r="G274" i="304"/>
  <c r="H272" i="304"/>
  <c r="H273" i="304" s="1"/>
  <c r="H257" i="217"/>
  <c r="H258" i="217" s="1"/>
  <c r="G259" i="217"/>
  <c r="G259" i="322" l="1"/>
  <c r="H257" i="322"/>
  <c r="H258" i="322" s="1"/>
  <c r="G259" i="323"/>
  <c r="H257" i="323"/>
  <c r="H258" i="323" s="1"/>
  <c r="G259" i="320"/>
  <c r="H257" i="320"/>
  <c r="H258" i="320" s="1"/>
  <c r="G259" i="321"/>
  <c r="H257" i="321"/>
  <c r="H258" i="321" s="1"/>
  <c r="G259" i="319"/>
  <c r="H257" i="319"/>
  <c r="H258" i="319" s="1"/>
  <c r="G259" i="310"/>
  <c r="H257" i="310"/>
  <c r="H258" i="310" s="1"/>
  <c r="G259" i="328"/>
  <c r="H257" i="328"/>
  <c r="H258" i="328" s="1"/>
  <c r="G259" i="318"/>
  <c r="H257" i="318"/>
  <c r="H258" i="318" s="1"/>
  <c r="G259" i="313"/>
  <c r="H257" i="313"/>
  <c r="H258" i="313" s="1"/>
  <c r="G259" i="325"/>
  <c r="H257" i="325"/>
  <c r="H258" i="325" s="1"/>
  <c r="G259" i="308"/>
  <c r="H257" i="308"/>
  <c r="H258" i="308" s="1"/>
  <c r="G259" i="324"/>
  <c r="H257" i="324"/>
  <c r="H258" i="324" s="1"/>
  <c r="G259" i="314"/>
  <c r="H257" i="314"/>
  <c r="H258" i="314" s="1"/>
  <c r="G259" i="311"/>
  <c r="H257" i="311"/>
  <c r="H258" i="311" s="1"/>
  <c r="G259" i="309"/>
  <c r="H257" i="309"/>
  <c r="H258" i="309" s="1"/>
  <c r="G259" i="317"/>
  <c r="H257" i="317"/>
  <c r="H258" i="317" s="1"/>
  <c r="G259" i="329"/>
  <c r="H257" i="329"/>
  <c r="H258" i="329" s="1"/>
  <c r="G259" i="312"/>
  <c r="H257" i="312"/>
  <c r="H258" i="312" s="1"/>
  <c r="H274" i="304"/>
  <c r="G275" i="304"/>
  <c r="G274" i="300"/>
  <c r="H272" i="300"/>
  <c r="H273" i="300" s="1"/>
  <c r="G275" i="301"/>
  <c r="H274" i="301"/>
  <c r="G275" i="302"/>
  <c r="H274" i="302"/>
  <c r="G270" i="298"/>
  <c r="H268" i="298"/>
  <c r="H269" i="298" s="1"/>
  <c r="G275" i="303"/>
  <c r="H274" i="303"/>
  <c r="G275" i="299"/>
  <c r="H274" i="299"/>
  <c r="G260" i="217"/>
  <c r="H259" i="217"/>
  <c r="G260" i="317" l="1"/>
  <c r="H259" i="317"/>
  <c r="G260" i="324"/>
  <c r="H259" i="324"/>
  <c r="G260" i="318"/>
  <c r="H259" i="318"/>
  <c r="G260" i="321"/>
  <c r="H259" i="321"/>
  <c r="G260" i="309"/>
  <c r="H259" i="309"/>
  <c r="G260" i="308"/>
  <c r="H259" i="308"/>
  <c r="G260" i="328"/>
  <c r="H259" i="328"/>
  <c r="G260" i="320"/>
  <c r="H259" i="320"/>
  <c r="G260" i="312"/>
  <c r="H259" i="312"/>
  <c r="G260" i="311"/>
  <c r="H259" i="311"/>
  <c r="G260" i="325"/>
  <c r="H259" i="325"/>
  <c r="G260" i="310"/>
  <c r="H259" i="310"/>
  <c r="G260" i="323"/>
  <c r="H259" i="323"/>
  <c r="G260" i="329"/>
  <c r="H259" i="329"/>
  <c r="G260" i="314"/>
  <c r="H259" i="314"/>
  <c r="G260" i="313"/>
  <c r="H259" i="313"/>
  <c r="G260" i="319"/>
  <c r="H259" i="319"/>
  <c r="G260" i="322"/>
  <c r="H259" i="322"/>
  <c r="G276" i="302"/>
  <c r="H275" i="302"/>
  <c r="G276" i="301"/>
  <c r="H275" i="301"/>
  <c r="G276" i="303"/>
  <c r="H275" i="303"/>
  <c r="G275" i="300"/>
  <c r="H274" i="300"/>
  <c r="H275" i="299"/>
  <c r="G276" i="299"/>
  <c r="G276" i="304"/>
  <c r="H275" i="304"/>
  <c r="G271" i="298"/>
  <c r="H270" i="298"/>
  <c r="G261" i="217"/>
  <c r="H260" i="217"/>
  <c r="G261" i="314" l="1"/>
  <c r="H260" i="314"/>
  <c r="G261" i="323"/>
  <c r="H260" i="323"/>
  <c r="G261" i="312"/>
  <c r="H260" i="312"/>
  <c r="G261" i="308"/>
  <c r="H260" i="308"/>
  <c r="G261" i="318"/>
  <c r="H260" i="318"/>
  <c r="G261" i="322"/>
  <c r="H260" i="322"/>
  <c r="G261" i="329"/>
  <c r="H260" i="329"/>
  <c r="G261" i="310"/>
  <c r="H260" i="310"/>
  <c r="G261" i="309"/>
  <c r="H260" i="309"/>
  <c r="G261" i="324"/>
  <c r="H260" i="324"/>
  <c r="G261" i="319"/>
  <c r="H260" i="319"/>
  <c r="G261" i="325"/>
  <c r="H260" i="325"/>
  <c r="G261" i="320"/>
  <c r="H260" i="320"/>
  <c r="G261" i="317"/>
  <c r="H260" i="317"/>
  <c r="G261" i="313"/>
  <c r="H260" i="313"/>
  <c r="G261" i="311"/>
  <c r="H260" i="311"/>
  <c r="G261" i="328"/>
  <c r="H260" i="328"/>
  <c r="G261" i="321"/>
  <c r="H260" i="321"/>
  <c r="H276" i="304"/>
  <c r="G277" i="304"/>
  <c r="G277" i="301"/>
  <c r="H276" i="301"/>
  <c r="G277" i="303"/>
  <c r="H276" i="303"/>
  <c r="G277" i="302"/>
  <c r="H276" i="302"/>
  <c r="G272" i="298"/>
  <c r="H271" i="298"/>
  <c r="G276" i="300"/>
  <c r="H275" i="300"/>
  <c r="G277" i="299"/>
  <c r="H276" i="299"/>
  <c r="H261" i="217"/>
  <c r="G262" i="217"/>
  <c r="G262" i="329" l="1"/>
  <c r="H261" i="329"/>
  <c r="G262" i="313"/>
  <c r="H261" i="313"/>
  <c r="G262" i="320"/>
  <c r="H261" i="320"/>
  <c r="G262" i="312"/>
  <c r="H261" i="312"/>
  <c r="G262" i="311"/>
  <c r="H261" i="311"/>
  <c r="G262" i="324"/>
  <c r="H261" i="324"/>
  <c r="G262" i="322"/>
  <c r="H261" i="322"/>
  <c r="G262" i="321"/>
  <c r="H261" i="321"/>
  <c r="G262" i="325"/>
  <c r="H261" i="325"/>
  <c r="G262" i="323"/>
  <c r="H261" i="323"/>
  <c r="G262" i="317"/>
  <c r="H261" i="317"/>
  <c r="G262" i="309"/>
  <c r="H261" i="309"/>
  <c r="G262" i="328"/>
  <c r="H261" i="328"/>
  <c r="G262" i="319"/>
  <c r="H261" i="319"/>
  <c r="G262" i="318"/>
  <c r="H261" i="318"/>
  <c r="G262" i="314"/>
  <c r="H261" i="314"/>
  <c r="G262" i="308"/>
  <c r="H261" i="308"/>
  <c r="G262" i="310"/>
  <c r="H261" i="310"/>
  <c r="G277" i="300"/>
  <c r="H276" i="300"/>
  <c r="G278" i="303"/>
  <c r="H277" i="303"/>
  <c r="G274" i="298"/>
  <c r="H272" i="298"/>
  <c r="H273" i="298" s="1"/>
  <c r="G278" i="301"/>
  <c r="H277" i="301"/>
  <c r="G278" i="304"/>
  <c r="H277" i="304"/>
  <c r="G278" i="299"/>
  <c r="H277" i="299"/>
  <c r="G278" i="302"/>
  <c r="H277" i="302"/>
  <c r="G263" i="217"/>
  <c r="H262" i="217"/>
  <c r="G263" i="314" l="1"/>
  <c r="H262" i="314"/>
  <c r="G263" i="311"/>
  <c r="H262" i="311"/>
  <c r="G263" i="309"/>
  <c r="H262" i="309"/>
  <c r="G263" i="321"/>
  <c r="H262" i="321"/>
  <c r="G263" i="312"/>
  <c r="H262" i="312"/>
  <c r="G263" i="329"/>
  <c r="H262" i="329"/>
  <c r="G263" i="317"/>
  <c r="H262" i="317"/>
  <c r="G263" i="322"/>
  <c r="H262" i="322"/>
  <c r="G263" i="320"/>
  <c r="H262" i="320"/>
  <c r="G263" i="325"/>
  <c r="H262" i="325"/>
  <c r="G263" i="310"/>
  <c r="H262" i="310"/>
  <c r="G263" i="319"/>
  <c r="H262" i="319"/>
  <c r="G263" i="318"/>
  <c r="H262" i="318"/>
  <c r="G263" i="323"/>
  <c r="H262" i="323"/>
  <c r="G263" i="324"/>
  <c r="H262" i="324"/>
  <c r="G263" i="313"/>
  <c r="H262" i="313"/>
  <c r="G263" i="308"/>
  <c r="H262" i="308"/>
  <c r="G263" i="328"/>
  <c r="H262" i="328"/>
  <c r="G279" i="304"/>
  <c r="H279" i="304" s="1"/>
  <c r="H278" i="304"/>
  <c r="G278" i="300"/>
  <c r="H277" i="300"/>
  <c r="G279" i="301"/>
  <c r="H279" i="301" s="1"/>
  <c r="H278" i="301"/>
  <c r="G275" i="298"/>
  <c r="H274" i="298"/>
  <c r="G279" i="303"/>
  <c r="H279" i="303" s="1"/>
  <c r="H278" i="303"/>
  <c r="G279" i="302"/>
  <c r="H279" i="302" s="1"/>
  <c r="H278" i="302"/>
  <c r="G279" i="299"/>
  <c r="H279" i="299" s="1"/>
  <c r="H278" i="299"/>
  <c r="G264" i="217"/>
  <c r="H263" i="217"/>
  <c r="H280" i="304" l="1"/>
  <c r="H292" i="304" s="1"/>
  <c r="H280" i="303"/>
  <c r="H292" i="303" s="1"/>
  <c r="I292" i="303" s="1"/>
  <c r="G264" i="328"/>
  <c r="H263" i="328"/>
  <c r="G264" i="319"/>
  <c r="H263" i="319"/>
  <c r="G264" i="322"/>
  <c r="H263" i="322"/>
  <c r="G264" i="323"/>
  <c r="H263" i="323"/>
  <c r="G264" i="312"/>
  <c r="H263" i="312"/>
  <c r="G264" i="314"/>
  <c r="H263" i="314"/>
  <c r="G264" i="308"/>
  <c r="H263" i="308"/>
  <c r="G264" i="310"/>
  <c r="H263" i="310"/>
  <c r="G264" i="317"/>
  <c r="H263" i="317"/>
  <c r="G264" i="321"/>
  <c r="H263" i="321"/>
  <c r="G264" i="325"/>
  <c r="H263" i="325"/>
  <c r="G264" i="313"/>
  <c r="H263" i="313"/>
  <c r="G264" i="318"/>
  <c r="H263" i="318"/>
  <c r="G264" i="329"/>
  <c r="H263" i="329"/>
  <c r="G264" i="309"/>
  <c r="H263" i="309"/>
  <c r="G264" i="320"/>
  <c r="H263" i="320"/>
  <c r="H280" i="299"/>
  <c r="H292" i="299" s="1"/>
  <c r="I292" i="299" s="1"/>
  <c r="H280" i="301"/>
  <c r="H292" i="301" s="1"/>
  <c r="I366" i="301" s="1"/>
  <c r="B371" i="301" s="1"/>
  <c r="G264" i="324"/>
  <c r="H263" i="324"/>
  <c r="G264" i="311"/>
  <c r="H263" i="311"/>
  <c r="I366" i="303"/>
  <c r="B371" i="303" s="1"/>
  <c r="I39" i="290" s="1"/>
  <c r="G279" i="300"/>
  <c r="H279" i="300" s="1"/>
  <c r="H278" i="300"/>
  <c r="I292" i="304"/>
  <c r="I366" i="304"/>
  <c r="B371" i="304" s="1"/>
  <c r="H280" i="302"/>
  <c r="H292" i="302" s="1"/>
  <c r="G276" i="298"/>
  <c r="H275" i="298"/>
  <c r="G266" i="217"/>
  <c r="H264" i="217"/>
  <c r="H265" i="217" s="1"/>
  <c r="G266" i="318" l="1"/>
  <c r="H264" i="318"/>
  <c r="H265" i="318" s="1"/>
  <c r="G266" i="321"/>
  <c r="H264" i="321"/>
  <c r="H265" i="321" s="1"/>
  <c r="G266" i="314"/>
  <c r="H264" i="314"/>
  <c r="H265" i="314" s="1"/>
  <c r="G266" i="319"/>
  <c r="H264" i="319"/>
  <c r="H265" i="319" s="1"/>
  <c r="I292" i="301"/>
  <c r="G266" i="320"/>
  <c r="H264" i="320"/>
  <c r="H265" i="320" s="1"/>
  <c r="G266" i="313"/>
  <c r="H264" i="313"/>
  <c r="H265" i="313" s="1"/>
  <c r="G266" i="317"/>
  <c r="H264" i="317"/>
  <c r="H265" i="317" s="1"/>
  <c r="G266" i="312"/>
  <c r="H264" i="312"/>
  <c r="H265" i="312" s="1"/>
  <c r="G266" i="328"/>
  <c r="H264" i="328"/>
  <c r="H265" i="328" s="1"/>
  <c r="I366" i="299"/>
  <c r="G266" i="311"/>
  <c r="H264" i="311"/>
  <c r="H265" i="311" s="1"/>
  <c r="G266" i="309"/>
  <c r="H264" i="309"/>
  <c r="H265" i="309" s="1"/>
  <c r="G266" i="325"/>
  <c r="H264" i="325"/>
  <c r="H265" i="325" s="1"/>
  <c r="G266" i="310"/>
  <c r="H264" i="310"/>
  <c r="H265" i="310" s="1"/>
  <c r="G266" i="323"/>
  <c r="H264" i="323"/>
  <c r="H265" i="323" s="1"/>
  <c r="G266" i="324"/>
  <c r="H264" i="324"/>
  <c r="H265" i="324" s="1"/>
  <c r="G266" i="329"/>
  <c r="H264" i="329"/>
  <c r="H265" i="329" s="1"/>
  <c r="G266" i="308"/>
  <c r="H264" i="308"/>
  <c r="H265" i="308" s="1"/>
  <c r="G266" i="322"/>
  <c r="H264" i="322"/>
  <c r="H265" i="322" s="1"/>
  <c r="G277" i="298"/>
  <c r="H276" i="298"/>
  <c r="B366" i="303"/>
  <c r="B368" i="303"/>
  <c r="I292" i="302"/>
  <c r="I366" i="302"/>
  <c r="B371" i="302" s="1"/>
  <c r="H280" i="300"/>
  <c r="H292" i="300" s="1"/>
  <c r="B368" i="301"/>
  <c r="I27" i="290"/>
  <c r="K27" i="290" s="1"/>
  <c r="B366" i="301"/>
  <c r="B366" i="304"/>
  <c r="B368" i="304"/>
  <c r="G267" i="217"/>
  <c r="H266" i="217"/>
  <c r="B368" i="299" l="1"/>
  <c r="B371" i="299"/>
  <c r="B366" i="299"/>
  <c r="G267" i="329"/>
  <c r="H266" i="329"/>
  <c r="G267" i="325"/>
  <c r="H266" i="325"/>
  <c r="G267" i="328"/>
  <c r="H266" i="328"/>
  <c r="G267" i="320"/>
  <c r="H266" i="320"/>
  <c r="G267" i="321"/>
  <c r="H266" i="321"/>
  <c r="G267" i="324"/>
  <c r="H266" i="324"/>
  <c r="G267" i="309"/>
  <c r="H266" i="309"/>
  <c r="G267" i="308"/>
  <c r="H266" i="308"/>
  <c r="G267" i="312"/>
  <c r="H266" i="312"/>
  <c r="G267" i="318"/>
  <c r="H266" i="318"/>
  <c r="G267" i="322"/>
  <c r="H266" i="322"/>
  <c r="G267" i="323"/>
  <c r="H266" i="323"/>
  <c r="G267" i="311"/>
  <c r="H266" i="311"/>
  <c r="G267" i="317"/>
  <c r="H266" i="317"/>
  <c r="G267" i="319"/>
  <c r="H266" i="319"/>
  <c r="G267" i="310"/>
  <c r="H266" i="310"/>
  <c r="G267" i="313"/>
  <c r="H266" i="313"/>
  <c r="G267" i="314"/>
  <c r="H266" i="314"/>
  <c r="B368" i="302"/>
  <c r="B366" i="302"/>
  <c r="I43" i="290"/>
  <c r="K43" i="290" s="1"/>
  <c r="I42" i="290"/>
  <c r="K42" i="290" s="1"/>
  <c r="I40" i="290"/>
  <c r="K40" i="290" s="1"/>
  <c r="I44" i="290"/>
  <c r="K44" i="290" s="1"/>
  <c r="K39" i="290"/>
  <c r="I46" i="290"/>
  <c r="K46" i="290" s="1"/>
  <c r="I45" i="290"/>
  <c r="K45" i="290" s="1"/>
  <c r="I52" i="290"/>
  <c r="K52" i="290" s="1"/>
  <c r="I51" i="290"/>
  <c r="K51" i="290" s="1"/>
  <c r="I50" i="290"/>
  <c r="K50" i="290" s="1"/>
  <c r="I49" i="290"/>
  <c r="K49" i="290" s="1"/>
  <c r="I48" i="290"/>
  <c r="K48" i="290" s="1"/>
  <c r="I47" i="290"/>
  <c r="K47" i="290" s="1"/>
  <c r="G278" i="298"/>
  <c r="H277" i="298"/>
  <c r="I292" i="300"/>
  <c r="I366" i="300"/>
  <c r="B371" i="300" s="1"/>
  <c r="I26" i="290" s="1"/>
  <c r="G268" i="217"/>
  <c r="H267" i="217"/>
  <c r="I22" i="290" l="1"/>
  <c r="K22" i="290" s="1"/>
  <c r="G268" i="324"/>
  <c r="H267" i="324"/>
  <c r="G268" i="323"/>
  <c r="H267" i="323"/>
  <c r="G268" i="310"/>
  <c r="H267" i="310"/>
  <c r="G268" i="314"/>
  <c r="H267" i="314"/>
  <c r="G268" i="319"/>
  <c r="H267" i="319"/>
  <c r="G268" i="321"/>
  <c r="H267" i="321"/>
  <c r="G268" i="325"/>
  <c r="H267" i="325"/>
  <c r="G268" i="322"/>
  <c r="H267" i="322"/>
  <c r="G268" i="313"/>
  <c r="H267" i="313"/>
  <c r="G268" i="317"/>
  <c r="H267" i="317"/>
  <c r="G268" i="308"/>
  <c r="H267" i="308"/>
  <c r="G268" i="320"/>
  <c r="H267" i="320"/>
  <c r="G268" i="329"/>
  <c r="H267" i="329"/>
  <c r="I22" i="294"/>
  <c r="J22" i="294" s="1"/>
  <c r="I21" i="294"/>
  <c r="J21" i="294" s="1"/>
  <c r="I20" i="294"/>
  <c r="J20" i="294" s="1"/>
  <c r="I30" i="290"/>
  <c r="K30" i="290" s="1"/>
  <c r="I23" i="294"/>
  <c r="J23" i="294" s="1"/>
  <c r="I24" i="294"/>
  <c r="J24" i="294" s="1"/>
  <c r="G268" i="318"/>
  <c r="H267" i="318"/>
  <c r="G268" i="309"/>
  <c r="H267" i="309"/>
  <c r="G268" i="328"/>
  <c r="H267" i="328"/>
  <c r="G268" i="312"/>
  <c r="H267" i="312"/>
  <c r="G268" i="311"/>
  <c r="H267" i="311"/>
  <c r="B368" i="300"/>
  <c r="B366" i="300"/>
  <c r="I31" i="290"/>
  <c r="K31" i="290" s="1"/>
  <c r="I33" i="290"/>
  <c r="K33" i="290" s="1"/>
  <c r="I38" i="290"/>
  <c r="K38" i="290" s="1"/>
  <c r="I34" i="290"/>
  <c r="K34" i="290" s="1"/>
  <c r="I32" i="290"/>
  <c r="K32" i="290" s="1"/>
  <c r="I29" i="290"/>
  <c r="K29" i="290" s="1"/>
  <c r="I28" i="290"/>
  <c r="K28" i="290" s="1"/>
  <c r="I37" i="290"/>
  <c r="K37" i="290" s="1"/>
  <c r="I36" i="290"/>
  <c r="K36" i="290" s="1"/>
  <c r="I41" i="290"/>
  <c r="K41" i="290" s="1"/>
  <c r="I35" i="290"/>
  <c r="K35" i="290" s="1"/>
  <c r="G279" i="298"/>
  <c r="H279" i="298" s="1"/>
  <c r="H278" i="298"/>
  <c r="G270" i="217"/>
  <c r="H268" i="217"/>
  <c r="H269" i="217" s="1"/>
  <c r="G270" i="320" l="1"/>
  <c r="H268" i="320"/>
  <c r="H269" i="320" s="1"/>
  <c r="G270" i="310"/>
  <c r="H268" i="310"/>
  <c r="H269" i="310" s="1"/>
  <c r="G270" i="311"/>
  <c r="H268" i="311"/>
  <c r="H269" i="311" s="1"/>
  <c r="G270" i="318"/>
  <c r="H268" i="318"/>
  <c r="H269" i="318" s="1"/>
  <c r="G270" i="321"/>
  <c r="H268" i="321"/>
  <c r="H269" i="321" s="1"/>
  <c r="G270" i="308"/>
  <c r="H268" i="308"/>
  <c r="H269" i="308" s="1"/>
  <c r="G270" i="312"/>
  <c r="H268" i="312"/>
  <c r="H269" i="312" s="1"/>
  <c r="G270" i="322"/>
  <c r="H268" i="322"/>
  <c r="H269" i="322" s="1"/>
  <c r="G270" i="323"/>
  <c r="H268" i="323"/>
  <c r="H269" i="323" s="1"/>
  <c r="G270" i="317"/>
  <c r="H268" i="317"/>
  <c r="H269" i="317" s="1"/>
  <c r="G270" i="319"/>
  <c r="H268" i="319"/>
  <c r="H269" i="319" s="1"/>
  <c r="G270" i="328"/>
  <c r="H268" i="328"/>
  <c r="H269" i="328" s="1"/>
  <c r="G270" i="329"/>
  <c r="H268" i="329"/>
  <c r="H269" i="329" s="1"/>
  <c r="G270" i="313"/>
  <c r="H268" i="313"/>
  <c r="H269" i="313" s="1"/>
  <c r="G270" i="314"/>
  <c r="H268" i="314"/>
  <c r="H269" i="314" s="1"/>
  <c r="H280" i="298"/>
  <c r="H292" i="298" s="1"/>
  <c r="I292" i="298" s="1"/>
  <c r="G270" i="309"/>
  <c r="H268" i="309"/>
  <c r="H269" i="309" s="1"/>
  <c r="G270" i="325"/>
  <c r="H268" i="325"/>
  <c r="H269" i="325" s="1"/>
  <c r="G270" i="324"/>
  <c r="H268" i="324"/>
  <c r="H269" i="324" s="1"/>
  <c r="I24" i="290"/>
  <c r="K24" i="290" s="1"/>
  <c r="I23" i="290"/>
  <c r="K23" i="290" s="1"/>
  <c r="K26" i="290"/>
  <c r="I25" i="290"/>
  <c r="K25" i="290" s="1"/>
  <c r="H270" i="217"/>
  <c r="G271" i="217"/>
  <c r="I366" i="298" l="1"/>
  <c r="G271" i="313"/>
  <c r="H270" i="313"/>
  <c r="G271" i="317"/>
  <c r="H270" i="317"/>
  <c r="G271" i="308"/>
  <c r="H270" i="308"/>
  <c r="G271" i="310"/>
  <c r="H270" i="310"/>
  <c r="G271" i="325"/>
  <c r="H270" i="325"/>
  <c r="G271" i="329"/>
  <c r="H270" i="329"/>
  <c r="G271" i="323"/>
  <c r="H270" i="323"/>
  <c r="G271" i="321"/>
  <c r="H270" i="321"/>
  <c r="G271" i="320"/>
  <c r="H270" i="320"/>
  <c r="G271" i="309"/>
  <c r="H270" i="309"/>
  <c r="G271" i="328"/>
  <c r="H270" i="328"/>
  <c r="G271" i="322"/>
  <c r="H270" i="322"/>
  <c r="G271" i="318"/>
  <c r="H270" i="318"/>
  <c r="G271" i="314"/>
  <c r="H270" i="314"/>
  <c r="G271" i="319"/>
  <c r="H270" i="319"/>
  <c r="G271" i="312"/>
  <c r="H270" i="312"/>
  <c r="G271" i="311"/>
  <c r="H270" i="311"/>
  <c r="G271" i="324"/>
  <c r="H270" i="324"/>
  <c r="H271" i="217"/>
  <c r="G272" i="217"/>
  <c r="B366" i="298" l="1"/>
  <c r="B371" i="298"/>
  <c r="I21" i="290" s="1"/>
  <c r="K21" i="290" s="1"/>
  <c r="R6" i="290" s="1"/>
  <c r="B368" i="298"/>
  <c r="G272" i="322"/>
  <c r="H271" i="322"/>
  <c r="G272" i="313"/>
  <c r="H271" i="313"/>
  <c r="G272" i="321"/>
  <c r="H271" i="321"/>
  <c r="G272" i="325"/>
  <c r="H271" i="325"/>
  <c r="G272" i="328"/>
  <c r="H271" i="328"/>
  <c r="G272" i="310"/>
  <c r="H271" i="310"/>
  <c r="G272" i="324"/>
  <c r="H271" i="324"/>
  <c r="G272" i="314"/>
  <c r="H271" i="314"/>
  <c r="G272" i="323"/>
  <c r="H271" i="323"/>
  <c r="G272" i="319"/>
  <c r="H271" i="319"/>
  <c r="G272" i="309"/>
  <c r="H271" i="309"/>
  <c r="G272" i="308"/>
  <c r="H271" i="308"/>
  <c r="G272" i="312"/>
  <c r="H271" i="312"/>
  <c r="G272" i="320"/>
  <c r="H271" i="320"/>
  <c r="G272" i="311"/>
  <c r="H271" i="311"/>
  <c r="G272" i="329"/>
  <c r="H271" i="329"/>
  <c r="G272" i="318"/>
  <c r="H271" i="318"/>
  <c r="G272" i="317"/>
  <c r="H271" i="317"/>
  <c r="H272" i="217"/>
  <c r="H273" i="217" s="1"/>
  <c r="G274" i="217"/>
  <c r="I14" i="291" l="1"/>
  <c r="J14" i="291" s="1"/>
  <c r="I18" i="292"/>
  <c r="J18" i="292" s="1"/>
  <c r="I12" i="293"/>
  <c r="J12" i="293" s="1"/>
  <c r="I16" i="294"/>
  <c r="J16" i="294" s="1"/>
  <c r="I32" i="294"/>
  <c r="J32" i="294" s="1"/>
  <c r="G274" i="310"/>
  <c r="H272" i="310"/>
  <c r="H273" i="310" s="1"/>
  <c r="G274" i="323"/>
  <c r="H272" i="323"/>
  <c r="H273" i="323" s="1"/>
  <c r="G274" i="321"/>
  <c r="H272" i="321"/>
  <c r="H273" i="321" s="1"/>
  <c r="G274" i="309"/>
  <c r="H272" i="309"/>
  <c r="H273" i="309" s="1"/>
  <c r="G274" i="320"/>
  <c r="H272" i="320"/>
  <c r="H273" i="320" s="1"/>
  <c r="G274" i="312"/>
  <c r="H272" i="312"/>
  <c r="H273" i="312" s="1"/>
  <c r="G274" i="328"/>
  <c r="H272" i="328"/>
  <c r="H273" i="328" s="1"/>
  <c r="G274" i="314"/>
  <c r="H272" i="314"/>
  <c r="H273" i="314" s="1"/>
  <c r="G274" i="313"/>
  <c r="H272" i="313"/>
  <c r="H273" i="313" s="1"/>
  <c r="G274" i="329"/>
  <c r="H272" i="329"/>
  <c r="H273" i="329" s="1"/>
  <c r="G274" i="319"/>
  <c r="H272" i="319"/>
  <c r="H273" i="319" s="1"/>
  <c r="G274" i="324"/>
  <c r="H272" i="324"/>
  <c r="H273" i="324" s="1"/>
  <c r="Q6" i="290"/>
  <c r="N4" i="218" s="1"/>
  <c r="O4" i="218"/>
  <c r="G274" i="318"/>
  <c r="H272" i="318"/>
  <c r="H273" i="318" s="1"/>
  <c r="G274" i="317"/>
  <c r="H272" i="317"/>
  <c r="H273" i="317" s="1"/>
  <c r="G274" i="311"/>
  <c r="H272" i="311"/>
  <c r="H273" i="311" s="1"/>
  <c r="G274" i="308"/>
  <c r="H272" i="308"/>
  <c r="H273" i="308" s="1"/>
  <c r="G274" i="325"/>
  <c r="H272" i="325"/>
  <c r="H273" i="325" s="1"/>
  <c r="G274" i="322"/>
  <c r="H272" i="322"/>
  <c r="H273" i="322" s="1"/>
  <c r="H274" i="217"/>
  <c r="G275" i="217"/>
  <c r="G275" i="324" l="1"/>
  <c r="H274" i="324"/>
  <c r="G275" i="313"/>
  <c r="H274" i="313"/>
  <c r="G275" i="320"/>
  <c r="H274" i="320"/>
  <c r="G275" i="310"/>
  <c r="H274" i="310"/>
  <c r="G275" i="317"/>
  <c r="H274" i="317"/>
  <c r="G275" i="319"/>
  <c r="H274" i="319"/>
  <c r="G275" i="314"/>
  <c r="H274" i="314"/>
  <c r="G275" i="309"/>
  <c r="H274" i="309"/>
  <c r="G275" i="311"/>
  <c r="H274" i="311"/>
  <c r="G275" i="325"/>
  <c r="H274" i="325"/>
  <c r="G275" i="318"/>
  <c r="H274" i="318"/>
  <c r="G275" i="329"/>
  <c r="H274" i="329"/>
  <c r="G275" i="328"/>
  <c r="H274" i="328"/>
  <c r="G275" i="321"/>
  <c r="H274" i="321"/>
  <c r="G275" i="322"/>
  <c r="H274" i="322"/>
  <c r="G275" i="308"/>
  <c r="H274" i="308"/>
  <c r="G275" i="312"/>
  <c r="H274" i="312"/>
  <c r="G275" i="323"/>
  <c r="H274" i="323"/>
  <c r="G276" i="217"/>
  <c r="H275" i="217"/>
  <c r="G276" i="308" l="1"/>
  <c r="H275" i="308"/>
  <c r="G276" i="317"/>
  <c r="H275" i="317"/>
  <c r="G276" i="309"/>
  <c r="H275" i="309"/>
  <c r="G276" i="322"/>
  <c r="H275" i="322"/>
  <c r="G276" i="318"/>
  <c r="H275" i="318"/>
  <c r="G276" i="310"/>
  <c r="H275" i="310"/>
  <c r="G276" i="329"/>
  <c r="H275" i="329"/>
  <c r="G276" i="314"/>
  <c r="H275" i="314"/>
  <c r="G276" i="324"/>
  <c r="H275" i="324"/>
  <c r="G276" i="321"/>
  <c r="H275" i="321"/>
  <c r="G276" i="325"/>
  <c r="H275" i="325"/>
  <c r="G276" i="320"/>
  <c r="H275" i="320"/>
  <c r="G276" i="323"/>
  <c r="H275" i="323"/>
  <c r="G276" i="319"/>
  <c r="H275" i="319"/>
  <c r="G276" i="312"/>
  <c r="H275" i="312"/>
  <c r="G276" i="328"/>
  <c r="H275" i="328"/>
  <c r="G276" i="311"/>
  <c r="H275" i="311"/>
  <c r="G276" i="313"/>
  <c r="H275" i="313"/>
  <c r="G277" i="217"/>
  <c r="H276" i="217"/>
  <c r="H276" i="311" l="1"/>
  <c r="G277" i="311"/>
  <c r="G277" i="319"/>
  <c r="H276" i="319"/>
  <c r="G277" i="314"/>
  <c r="H276" i="314"/>
  <c r="G277" i="318"/>
  <c r="H276" i="318"/>
  <c r="G277" i="322"/>
  <c r="H276" i="322"/>
  <c r="G277" i="317"/>
  <c r="H276" i="317"/>
  <c r="G277" i="323"/>
  <c r="H276" i="323"/>
  <c r="G277" i="321"/>
  <c r="H276" i="321"/>
  <c r="G277" i="329"/>
  <c r="H276" i="329"/>
  <c r="G277" i="325"/>
  <c r="H276" i="325"/>
  <c r="G277" i="312"/>
  <c r="H276" i="312"/>
  <c r="G277" i="324"/>
  <c r="H276" i="324"/>
  <c r="G277" i="310"/>
  <c r="H276" i="310"/>
  <c r="G277" i="308"/>
  <c r="H276" i="308"/>
  <c r="G277" i="328"/>
  <c r="H276" i="328"/>
  <c r="G277" i="313"/>
  <c r="H276" i="313"/>
  <c r="G277" i="320"/>
  <c r="H276" i="320"/>
  <c r="G277" i="309"/>
  <c r="H276" i="309"/>
  <c r="H277" i="217"/>
  <c r="G278" i="217"/>
  <c r="G278" i="308" l="1"/>
  <c r="H277" i="308"/>
  <c r="G278" i="319"/>
  <c r="H277" i="319"/>
  <c r="H277" i="310"/>
  <c r="G278" i="310"/>
  <c r="G278" i="309"/>
  <c r="H277" i="309"/>
  <c r="G278" i="325"/>
  <c r="H277" i="325"/>
  <c r="H277" i="311"/>
  <c r="G278" i="311"/>
  <c r="G278" i="313"/>
  <c r="H277" i="313"/>
  <c r="G278" i="324"/>
  <c r="H277" i="324"/>
  <c r="G278" i="321"/>
  <c r="H277" i="321"/>
  <c r="G278" i="318"/>
  <c r="H277" i="318"/>
  <c r="G278" i="322"/>
  <c r="H277" i="322"/>
  <c r="G278" i="317"/>
  <c r="H277" i="317"/>
  <c r="G278" i="320"/>
  <c r="H277" i="320"/>
  <c r="G278" i="329"/>
  <c r="H277" i="329"/>
  <c r="G278" i="328"/>
  <c r="H277" i="328"/>
  <c r="H277" i="312"/>
  <c r="G278" i="312"/>
  <c r="G278" i="323"/>
  <c r="H277" i="323"/>
  <c r="G278" i="314"/>
  <c r="H277" i="314"/>
  <c r="G279" i="217"/>
  <c r="H279" i="217" s="1"/>
  <c r="H278" i="217"/>
  <c r="G279" i="328" l="1"/>
  <c r="H279" i="328" s="1"/>
  <c r="H278" i="328"/>
  <c r="G279" i="322"/>
  <c r="H279" i="322" s="1"/>
  <c r="H278" i="322"/>
  <c r="G279" i="313"/>
  <c r="H279" i="313" s="1"/>
  <c r="H278" i="313"/>
  <c r="H280" i="314"/>
  <c r="H292" i="314" s="1"/>
  <c r="G279" i="311"/>
  <c r="H279" i="311" s="1"/>
  <c r="H278" i="311"/>
  <c r="G279" i="314"/>
  <c r="H279" i="314" s="1"/>
  <c r="H278" i="314"/>
  <c r="G279" i="329"/>
  <c r="H279" i="329" s="1"/>
  <c r="H278" i="329"/>
  <c r="G279" i="318"/>
  <c r="H279" i="318" s="1"/>
  <c r="H278" i="318"/>
  <c r="G279" i="319"/>
  <c r="H279" i="319" s="1"/>
  <c r="H280" i="319" s="1"/>
  <c r="H292" i="319" s="1"/>
  <c r="H278" i="319"/>
  <c r="G279" i="323"/>
  <c r="H279" i="323" s="1"/>
  <c r="H278" i="323"/>
  <c r="G279" i="320"/>
  <c r="H279" i="320" s="1"/>
  <c r="H278" i="320"/>
  <c r="G279" i="321"/>
  <c r="H279" i="321" s="1"/>
  <c r="H278" i="321"/>
  <c r="G279" i="325"/>
  <c r="H279" i="325" s="1"/>
  <c r="H280" i="325" s="1"/>
  <c r="H292" i="325" s="1"/>
  <c r="H278" i="325"/>
  <c r="G279" i="308"/>
  <c r="H279" i="308" s="1"/>
  <c r="H278" i="308"/>
  <c r="H280" i="308" s="1"/>
  <c r="H292" i="308" s="1"/>
  <c r="H280" i="323"/>
  <c r="H292" i="323" s="1"/>
  <c r="G279" i="312"/>
  <c r="H279" i="312" s="1"/>
  <c r="H278" i="312"/>
  <c r="H280" i="312" s="1"/>
  <c r="H292" i="312" s="1"/>
  <c r="H278" i="310"/>
  <c r="G279" i="310"/>
  <c r="H279" i="310" s="1"/>
  <c r="H280" i="310" s="1"/>
  <c r="H292" i="310" s="1"/>
  <c r="G279" i="317"/>
  <c r="H279" i="317" s="1"/>
  <c r="H278" i="317"/>
  <c r="G279" i="324"/>
  <c r="H279" i="324" s="1"/>
  <c r="H278" i="324"/>
  <c r="G279" i="309"/>
  <c r="H279" i="309" s="1"/>
  <c r="H278" i="309"/>
  <c r="H280" i="217"/>
  <c r="H292" i="217" s="1"/>
  <c r="I366" i="217" s="1"/>
  <c r="B371" i="217" s="1"/>
  <c r="H280" i="328" l="1"/>
  <c r="H292" i="328" s="1"/>
  <c r="I20" i="290"/>
  <c r="K20" i="290" s="1"/>
  <c r="I3" i="290"/>
  <c r="K3" i="290" s="1"/>
  <c r="I4" i="290"/>
  <c r="K4" i="290" s="1"/>
  <c r="H280" i="309"/>
  <c r="H292" i="309" s="1"/>
  <c r="H280" i="321"/>
  <c r="H292" i="321" s="1"/>
  <c r="I292" i="321" s="1"/>
  <c r="H280" i="318"/>
  <c r="H292" i="318" s="1"/>
  <c r="I292" i="318" s="1"/>
  <c r="I292" i="312"/>
  <c r="I366" i="312"/>
  <c r="B371" i="312" s="1"/>
  <c r="I292" i="323"/>
  <c r="I366" i="323"/>
  <c r="B371" i="323" s="1"/>
  <c r="H280" i="329"/>
  <c r="H292" i="329" s="1"/>
  <c r="H280" i="313"/>
  <c r="H292" i="313" s="1"/>
  <c r="I292" i="314"/>
  <c r="I366" i="314"/>
  <c r="B371" i="314" s="1"/>
  <c r="I292" i="308"/>
  <c r="I366" i="308"/>
  <c r="H280" i="324"/>
  <c r="H292" i="324" s="1"/>
  <c r="H280" i="317"/>
  <c r="H292" i="317" s="1"/>
  <c r="H280" i="322"/>
  <c r="H292" i="322" s="1"/>
  <c r="I292" i="309"/>
  <c r="I366" i="309"/>
  <c r="H280" i="320"/>
  <c r="H292" i="320" s="1"/>
  <c r="H280" i="311"/>
  <c r="H292" i="311" s="1"/>
  <c r="I292" i="310"/>
  <c r="I366" i="310"/>
  <c r="B371" i="310" s="1"/>
  <c r="I292" i="325"/>
  <c r="I366" i="325"/>
  <c r="B371" i="325" s="1"/>
  <c r="I292" i="319"/>
  <c r="I366" i="319"/>
  <c r="B371" i="319" s="1"/>
  <c r="I292" i="328"/>
  <c r="I366" i="328"/>
  <c r="I292" i="217"/>
  <c r="I366" i="321" l="1"/>
  <c r="B371" i="321" s="1"/>
  <c r="I22" i="293" s="1"/>
  <c r="J22" i="293" s="1"/>
  <c r="I366" i="318"/>
  <c r="B371" i="318" s="1"/>
  <c r="I17" i="290"/>
  <c r="K17" i="290" s="1"/>
  <c r="I8" i="290"/>
  <c r="K8" i="290" s="1"/>
  <c r="I16" i="290"/>
  <c r="K16" i="290" s="1"/>
  <c r="I7" i="290"/>
  <c r="K7" i="290" s="1"/>
  <c r="I15" i="290"/>
  <c r="K15" i="290" s="1"/>
  <c r="I6" i="290"/>
  <c r="K6" i="290" s="1"/>
  <c r="I14" i="290"/>
  <c r="K14" i="290" s="1"/>
  <c r="I5" i="290"/>
  <c r="K5" i="290" s="1"/>
  <c r="I6" i="294"/>
  <c r="J6" i="294" s="1"/>
  <c r="I12" i="290"/>
  <c r="K12" i="290" s="1"/>
  <c r="I5" i="294"/>
  <c r="J5" i="294" s="1"/>
  <c r="I11" i="290"/>
  <c r="K11" i="290" s="1"/>
  <c r="I4" i="294"/>
  <c r="J4" i="294" s="1"/>
  <c r="I18" i="290"/>
  <c r="K18" i="290" s="1"/>
  <c r="I9" i="290"/>
  <c r="K9" i="290" s="1"/>
  <c r="I3" i="294"/>
  <c r="J3" i="294" s="1"/>
  <c r="I10" i="290"/>
  <c r="K10" i="290" s="1"/>
  <c r="I292" i="317"/>
  <c r="I366" i="317"/>
  <c r="B371" i="317" s="1"/>
  <c r="I292" i="313"/>
  <c r="I366" i="313"/>
  <c r="B371" i="313" s="1"/>
  <c r="B366" i="321"/>
  <c r="B368" i="321"/>
  <c r="B368" i="328"/>
  <c r="B371" i="328"/>
  <c r="B366" i="328"/>
  <c r="I292" i="311"/>
  <c r="I366" i="311"/>
  <c r="B371" i="311" s="1"/>
  <c r="B368" i="310"/>
  <c r="B366" i="310"/>
  <c r="B368" i="308"/>
  <c r="B371" i="308"/>
  <c r="G112" i="307" s="1"/>
  <c r="H112" i="307" s="1"/>
  <c r="B366" i="308"/>
  <c r="B368" i="312"/>
  <c r="I7" i="291"/>
  <c r="J7" i="291" s="1"/>
  <c r="B366" i="312"/>
  <c r="I292" i="329"/>
  <c r="I366" i="329"/>
  <c r="B371" i="329" s="1"/>
  <c r="B371" i="309"/>
  <c r="B366" i="309"/>
  <c r="B368" i="309"/>
  <c r="B366" i="323"/>
  <c r="B368" i="323"/>
  <c r="I292" i="320"/>
  <c r="I366" i="320"/>
  <c r="B371" i="320" s="1"/>
  <c r="B368" i="314"/>
  <c r="B366" i="314"/>
  <c r="B366" i="318"/>
  <c r="I292" i="324"/>
  <c r="I366" i="324"/>
  <c r="B371" i="324" s="1"/>
  <c r="B366" i="319"/>
  <c r="B368" i="319"/>
  <c r="B368" i="325"/>
  <c r="B366" i="325"/>
  <c r="I292" i="322"/>
  <c r="I366" i="322"/>
  <c r="B371" i="322" s="1"/>
  <c r="B368" i="217"/>
  <c r="B366" i="217"/>
  <c r="B368" i="318" l="1"/>
  <c r="Q5" i="294"/>
  <c r="G112" i="327"/>
  <c r="H112" i="327" s="1"/>
  <c r="H119" i="327" s="1"/>
  <c r="G112" i="331"/>
  <c r="H112" i="331" s="1"/>
  <c r="I16" i="292"/>
  <c r="J16" i="292" s="1"/>
  <c r="I10" i="293"/>
  <c r="J10" i="293" s="1"/>
  <c r="I26" i="293"/>
  <c r="J26" i="293" s="1"/>
  <c r="I25" i="293"/>
  <c r="J25" i="293" s="1"/>
  <c r="I24" i="293"/>
  <c r="J24" i="293" s="1"/>
  <c r="I28" i="293"/>
  <c r="J28" i="293" s="1"/>
  <c r="I26" i="292"/>
  <c r="J26" i="292" s="1"/>
  <c r="I24" i="292"/>
  <c r="J24" i="292" s="1"/>
  <c r="I25" i="292"/>
  <c r="J25" i="292" s="1"/>
  <c r="B368" i="311"/>
  <c r="B366" i="311"/>
  <c r="I6" i="291"/>
  <c r="J6" i="291" s="1"/>
  <c r="B366" i="313"/>
  <c r="B368" i="313"/>
  <c r="I28" i="292"/>
  <c r="J28" i="292" s="1"/>
  <c r="I31" i="292"/>
  <c r="J31" i="292" s="1"/>
  <c r="I30" i="292"/>
  <c r="J30" i="292" s="1"/>
  <c r="I20" i="293"/>
  <c r="J20" i="293" s="1"/>
  <c r="I29" i="292"/>
  <c r="J29" i="292" s="1"/>
  <c r="I18" i="293"/>
  <c r="J18" i="293" s="1"/>
  <c r="I19" i="293"/>
  <c r="J19" i="293" s="1"/>
  <c r="B366" i="317"/>
  <c r="B368" i="317"/>
  <c r="I29" i="294"/>
  <c r="J29" i="294" s="1"/>
  <c r="I28" i="294"/>
  <c r="J28" i="294" s="1"/>
  <c r="I27" i="294"/>
  <c r="J27" i="294" s="1"/>
  <c r="I35" i="294"/>
  <c r="J35" i="294" s="1"/>
  <c r="I26" i="294"/>
  <c r="J26" i="294" s="1"/>
  <c r="I34" i="294"/>
  <c r="J34" i="294" s="1"/>
  <c r="I25" i="294"/>
  <c r="J25" i="294" s="1"/>
  <c r="I33" i="294"/>
  <c r="J33" i="294" s="1"/>
  <c r="I15" i="291"/>
  <c r="J15" i="291" s="1"/>
  <c r="G113" i="307"/>
  <c r="H113" i="307" s="1"/>
  <c r="G114" i="307"/>
  <c r="H114" i="307" s="1"/>
  <c r="B368" i="322"/>
  <c r="B366" i="322"/>
  <c r="B368" i="324"/>
  <c r="B366" i="324"/>
  <c r="B368" i="320"/>
  <c r="B366" i="320"/>
  <c r="B368" i="329"/>
  <c r="B366" i="329"/>
  <c r="I5" i="291"/>
  <c r="J5" i="291" s="1"/>
  <c r="I4" i="291"/>
  <c r="J4" i="291" s="1"/>
  <c r="I3" i="291"/>
  <c r="J3" i="291" s="1"/>
  <c r="I19" i="294"/>
  <c r="J19" i="294" s="1"/>
  <c r="I18" i="294"/>
  <c r="J18" i="294" s="1"/>
  <c r="I17" i="294"/>
  <c r="J17" i="294" s="1"/>
  <c r="H119" i="331" l="1"/>
  <c r="I21" i="293"/>
  <c r="J21" i="293" s="1"/>
  <c r="I32" i="292"/>
  <c r="J32" i="292" s="1"/>
  <c r="Q5" i="292" s="1"/>
  <c r="I16" i="293"/>
  <c r="J16" i="293" s="1"/>
  <c r="I13" i="293"/>
  <c r="J13" i="293" s="1"/>
  <c r="I10" i="291"/>
  <c r="J10" i="291" s="1"/>
  <c r="I9" i="291"/>
  <c r="J9" i="291" s="1"/>
  <c r="I8" i="291"/>
  <c r="J8" i="291" s="1"/>
  <c r="I13" i="291"/>
  <c r="J13" i="291" s="1"/>
  <c r="I22" i="292"/>
  <c r="J22" i="292" s="1"/>
  <c r="I12" i="291"/>
  <c r="J12" i="291" s="1"/>
  <c r="I19" i="292"/>
  <c r="J19" i="292" s="1"/>
  <c r="I11" i="291"/>
  <c r="J11" i="291" s="1"/>
  <c r="H126" i="327"/>
  <c r="I30" i="294"/>
  <c r="J30" i="294" s="1"/>
  <c r="I31" i="294"/>
  <c r="J31" i="294" s="1"/>
  <c r="H125" i="327"/>
  <c r="C126" i="327" s="1"/>
  <c r="H119" i="307"/>
  <c r="R4" i="291"/>
  <c r="I17" i="292"/>
  <c r="J17" i="292" s="1"/>
  <c r="I11" i="293"/>
  <c r="J11" i="293" s="1"/>
  <c r="I23" i="293"/>
  <c r="J23" i="293" s="1"/>
  <c r="I27" i="293"/>
  <c r="J27" i="293" s="1"/>
  <c r="I14" i="293"/>
  <c r="J14" i="293" s="1"/>
  <c r="I20" i="292"/>
  <c r="J20" i="292" s="1"/>
  <c r="I15" i="293"/>
  <c r="J15" i="293" s="1"/>
  <c r="I21" i="292"/>
  <c r="J21" i="292" s="1"/>
  <c r="Q6" i="294" l="1"/>
  <c r="O48" i="218" s="1"/>
  <c r="Q6" i="293"/>
  <c r="Q5" i="293"/>
  <c r="O36" i="218" s="1"/>
  <c r="H126" i="331"/>
  <c r="J24" i="291"/>
  <c r="I24" i="291" s="1"/>
  <c r="H125" i="331"/>
  <c r="C126" i="331" s="1"/>
  <c r="Q6" i="292"/>
  <c r="O26" i="218" s="1"/>
  <c r="R5" i="291"/>
  <c r="O25" i="218"/>
  <c r="P5" i="292"/>
  <c r="N25" i="218" s="1"/>
  <c r="O14" i="218"/>
  <c r="Q4" i="291"/>
  <c r="N14" i="218" s="1"/>
  <c r="H125" i="307"/>
  <c r="C126" i="307" s="1"/>
  <c r="O47" i="218"/>
  <c r="P5" i="294"/>
  <c r="N47" i="218" s="1"/>
  <c r="G126" i="327"/>
  <c r="P6" i="294" l="1"/>
  <c r="N48" i="218" s="1"/>
  <c r="P6" i="292"/>
  <c r="N26" i="218" s="1"/>
  <c r="G126" i="331"/>
  <c r="H126" i="307"/>
  <c r="O15" i="218"/>
  <c r="Q5" i="291"/>
  <c r="N15" i="218" s="1"/>
  <c r="O37" i="218"/>
  <c r="P6" i="293"/>
  <c r="N37" i="218" s="1"/>
  <c r="I27" i="292"/>
  <c r="J27" i="292" s="1"/>
  <c r="I29" i="293"/>
  <c r="J29" i="293" s="1"/>
  <c r="Q7" i="293" s="1"/>
  <c r="Q13" i="293" s="1"/>
  <c r="R12" i="291"/>
  <c r="G126" i="307"/>
  <c r="I4" i="218" l="1"/>
  <c r="H4" i="218" s="1"/>
  <c r="J4" i="218" s="1"/>
  <c r="I8" i="294"/>
  <c r="J8" i="294" s="1"/>
  <c r="I7" i="294"/>
  <c r="J7" i="294" s="1"/>
  <c r="P5" i="293"/>
  <c r="N36" i="218" s="1"/>
  <c r="J33" i="293"/>
  <c r="I33" i="293" s="1"/>
  <c r="Q7" i="292"/>
  <c r="J36" i="292"/>
  <c r="I36" i="292" s="1"/>
  <c r="I19" i="290"/>
  <c r="K19" i="290" s="1"/>
  <c r="I13" i="290"/>
  <c r="K13" i="290" s="1"/>
  <c r="O22" i="218"/>
  <c r="Q12" i="291"/>
  <c r="N22" i="218" s="1"/>
  <c r="Q7" i="294" l="1"/>
  <c r="J40" i="294"/>
  <c r="R7" i="290"/>
  <c r="Q7" i="290" s="1"/>
  <c r="K70" i="290"/>
  <c r="I70" i="290" s="1"/>
  <c r="P7" i="292"/>
  <c r="N27" i="218" s="1"/>
  <c r="O27" i="218"/>
  <c r="Q13" i="292"/>
  <c r="O38" i="218"/>
  <c r="P7" i="293"/>
  <c r="N38" i="218" s="1"/>
  <c r="R5" i="290" l="1"/>
  <c r="Q5" i="290" s="1"/>
  <c r="P7" i="294"/>
  <c r="N49" i="218" s="1"/>
  <c r="O49" i="218"/>
  <c r="Q13" i="294"/>
  <c r="P8" i="294"/>
  <c r="N50" i="218" s="1"/>
  <c r="O50" i="218"/>
  <c r="I6" i="218" s="1"/>
  <c r="R13" i="290"/>
  <c r="N3" i="218"/>
  <c r="O33" i="218"/>
  <c r="P13" i="292"/>
  <c r="N33" i="218" s="1"/>
  <c r="O44" i="218"/>
  <c r="P13" i="293"/>
  <c r="N44" i="218" s="1"/>
  <c r="N5" i="218"/>
  <c r="O5" i="218"/>
  <c r="I5" i="218" s="1"/>
  <c r="H6" i="218" l="1"/>
  <c r="J6" i="218" s="1"/>
  <c r="O3" i="218"/>
  <c r="I3" i="218" s="1"/>
  <c r="H3" i="218" s="1"/>
  <c r="J3" i="218" s="1"/>
  <c r="H5" i="218"/>
  <c r="J5" i="218" s="1"/>
  <c r="I11" i="218"/>
  <c r="H11" i="218" s="1"/>
  <c r="P13" i="294"/>
  <c r="N55" i="218" s="1"/>
  <c r="O55" i="218"/>
  <c r="O11" i="218"/>
  <c r="Q13" i="290"/>
  <c r="N11" i="2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16" authorId="0" shapeId="0" xr:uid="{3C2F2854-B4EE-441C-B96D-21234685A9F1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B123" authorId="0" shapeId="0" xr:uid="{B90C208A-3921-4444-B2FD-3051A55E380E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C181" authorId="0" shapeId="0" xr:uid="{341008DA-3428-43C7-A73D-BBDA11D71F23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C195" authorId="0" shapeId="0" xr:uid="{911D6C56-D19A-474C-A56C-0CF9EF1BE302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D202" authorId="0" shapeId="0" xr:uid="{366E1681-906A-48B1-979B-40780B110830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H202" authorId="0" shapeId="0" xr:uid="{346ADF8A-E835-425F-AF5A-7D577DD75AB4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C291" authorId="0" shapeId="0" xr:uid="{6EAF5F4A-EEAD-4D77-A0D8-056033F26707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E291" authorId="0" shapeId="0" xr:uid="{6A616571-6E97-4A07-917D-0B9B23954327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D343" authorId="0" shapeId="0" xr:uid="{2787F3A4-D518-4FEF-BF2E-6FD707E29E09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玻璃宽度大于</t>
        </r>
        <r>
          <rPr>
            <sz val="9"/>
            <rFont val="Tahoma"/>
            <family val="2"/>
            <charset val="134"/>
          </rPr>
          <t>900mm</t>
        </r>
        <r>
          <rPr>
            <sz val="9"/>
            <rFont val="宋体"/>
            <family val="3"/>
            <charset val="134"/>
          </rPr>
          <t>时</t>
        </r>
        <r>
          <rPr>
            <sz val="9"/>
            <rFont val="Tahoma"/>
            <family val="2"/>
            <charset val="134"/>
          </rPr>
          <t xml:space="preserve">   </t>
        </r>
        <r>
          <rPr>
            <sz val="9"/>
            <rFont val="宋体"/>
            <family val="3"/>
            <charset val="134"/>
          </rPr>
          <t>填</t>
        </r>
        <r>
          <rPr>
            <sz val="9"/>
            <rFont val="Tahoma"/>
            <family val="2"/>
            <charset val="134"/>
          </rPr>
          <t xml:space="preserve">    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16" authorId="0" shapeId="0" xr:uid="{F439C406-0EB6-43CC-A162-8A1C9CAFB3FF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B123" authorId="0" shapeId="0" xr:uid="{6D516554-F917-44D5-9A50-BF25EFACC4F4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C181" authorId="0" shapeId="0" xr:uid="{3E955AAE-6487-445E-A07B-4FBA31507E44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C195" authorId="0" shapeId="0" xr:uid="{AAF70AF1-5508-48C6-83B6-CEC368C84855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D202" authorId="0" shapeId="0" xr:uid="{480E03CB-BDC7-42F6-9821-790DD87213F7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H202" authorId="0" shapeId="0" xr:uid="{BF2E78F6-0A36-4FC6-B146-E718C7BAB44E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C291" authorId="0" shapeId="0" xr:uid="{5A27E44C-BD73-419F-81F3-CA6131E6FABE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E291" authorId="0" shapeId="0" xr:uid="{D6002BE7-B95C-4911-B7F8-467F237719BE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D343" authorId="0" shapeId="0" xr:uid="{B63DF06A-DEBE-4CCE-8698-2EB372A21C5F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玻璃宽度大于</t>
        </r>
        <r>
          <rPr>
            <sz val="9"/>
            <rFont val="Tahoma"/>
            <family val="2"/>
            <charset val="134"/>
          </rPr>
          <t>900mm</t>
        </r>
        <r>
          <rPr>
            <sz val="9"/>
            <rFont val="宋体"/>
            <family val="3"/>
            <charset val="134"/>
          </rPr>
          <t>时</t>
        </r>
        <r>
          <rPr>
            <sz val="9"/>
            <rFont val="Tahoma"/>
            <family val="2"/>
            <charset val="134"/>
          </rPr>
          <t xml:space="preserve">   </t>
        </r>
        <r>
          <rPr>
            <sz val="9"/>
            <rFont val="宋体"/>
            <family val="3"/>
            <charset val="134"/>
          </rPr>
          <t>填</t>
        </r>
        <r>
          <rPr>
            <sz val="9"/>
            <rFont val="Tahoma"/>
            <family val="2"/>
            <charset val="134"/>
          </rPr>
          <t xml:space="preserve">    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16" authorId="0" shapeId="0" xr:uid="{21074D92-C4BA-4DB4-9018-912195B16BC8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B123" authorId="0" shapeId="0" xr:uid="{BD6E494E-F3E6-47BB-81B0-D1D7375BB801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C181" authorId="0" shapeId="0" xr:uid="{EAB8A8BA-107F-4CBF-913E-C220C4DD1071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C195" authorId="0" shapeId="0" xr:uid="{FA1B5DB9-1DD0-4B22-B906-B59564AAA3E2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D202" authorId="0" shapeId="0" xr:uid="{D6ACEA4B-3DC9-4AE5-B9FC-079A00FFF4E6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H202" authorId="0" shapeId="0" xr:uid="{13D5A8F5-E4B7-4169-8EE5-7014EF450DCD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C291" authorId="0" shapeId="0" xr:uid="{B3F9A452-0812-4F52-9CA6-60F26F7AC822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E291" authorId="0" shapeId="0" xr:uid="{54254813-018A-4E0D-AB38-12929E22EEFD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D343" authorId="0" shapeId="0" xr:uid="{2C31558D-F6CE-4223-B5E1-C7372218297C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玻璃宽度大于</t>
        </r>
        <r>
          <rPr>
            <sz val="9"/>
            <rFont val="Tahoma"/>
            <family val="2"/>
            <charset val="134"/>
          </rPr>
          <t>900mm</t>
        </r>
        <r>
          <rPr>
            <sz val="9"/>
            <rFont val="宋体"/>
            <family val="3"/>
            <charset val="134"/>
          </rPr>
          <t>时</t>
        </r>
        <r>
          <rPr>
            <sz val="9"/>
            <rFont val="Tahoma"/>
            <family val="2"/>
            <charset val="134"/>
          </rPr>
          <t xml:space="preserve">   </t>
        </r>
        <r>
          <rPr>
            <sz val="9"/>
            <rFont val="宋体"/>
            <family val="3"/>
            <charset val="134"/>
          </rPr>
          <t>填</t>
        </r>
        <r>
          <rPr>
            <sz val="9"/>
            <rFont val="Tahoma"/>
            <family val="2"/>
            <charset val="134"/>
          </rPr>
          <t xml:space="preserve">    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16" authorId="0" shapeId="0" xr:uid="{FE522078-D8C6-43BC-8D34-B00D1253AE99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B123" authorId="0" shapeId="0" xr:uid="{3A238456-F4E1-49A6-85BB-E0F612AEE852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C181" authorId="0" shapeId="0" xr:uid="{6BD64371-CE36-4051-88D1-5346D6CF445E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C195" authorId="0" shapeId="0" xr:uid="{9D76D735-22B0-41A7-95A4-5A789C35934C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D202" authorId="0" shapeId="0" xr:uid="{3B2E20E7-22DA-4BE6-8A82-5BC4C5C7CDEE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H202" authorId="0" shapeId="0" xr:uid="{924142DE-A654-4077-9C3B-2774B47DCDC7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C291" authorId="0" shapeId="0" xr:uid="{A0169DB9-6843-4C86-82D3-2F2D3A8CEC1C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E291" authorId="0" shapeId="0" xr:uid="{88F48E24-558E-4A1E-97A5-4B7C87AFAC21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D343" authorId="0" shapeId="0" xr:uid="{0CAFC9B6-B195-4F03-8F76-93AA74D13314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玻璃宽度大于</t>
        </r>
        <r>
          <rPr>
            <sz val="9"/>
            <rFont val="Tahoma"/>
            <family val="2"/>
            <charset val="134"/>
          </rPr>
          <t>900mm</t>
        </r>
        <r>
          <rPr>
            <sz val="9"/>
            <rFont val="宋体"/>
            <family val="3"/>
            <charset val="134"/>
          </rPr>
          <t>时</t>
        </r>
        <r>
          <rPr>
            <sz val="9"/>
            <rFont val="Tahoma"/>
            <family val="2"/>
            <charset val="134"/>
          </rPr>
          <t xml:space="preserve">   </t>
        </r>
        <r>
          <rPr>
            <sz val="9"/>
            <rFont val="宋体"/>
            <family val="3"/>
            <charset val="134"/>
          </rPr>
          <t>填</t>
        </r>
        <r>
          <rPr>
            <sz val="9"/>
            <rFont val="Tahoma"/>
            <family val="2"/>
            <charset val="134"/>
          </rPr>
          <t xml:space="preserve">    1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16" authorId="0" shapeId="0" xr:uid="{A282B7E6-B2BB-49CE-815B-DBE7D6935B5D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B123" authorId="0" shapeId="0" xr:uid="{FBECFDAD-D5C9-4857-817B-5199138D6B2F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C181" authorId="0" shapeId="0" xr:uid="{BA399152-B552-435C-A351-8E72F2460BB7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C195" authorId="0" shapeId="0" xr:uid="{D6DE77FD-97AD-4163-96A1-CE13FF5C106B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D202" authorId="0" shapeId="0" xr:uid="{96E24A51-1311-44D2-A953-7B7DFA7630E9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H202" authorId="0" shapeId="0" xr:uid="{BD5F87CE-144D-4E9C-BF4A-73746E98E838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C291" authorId="0" shapeId="0" xr:uid="{60A07589-0686-427E-9291-FBEB049FE38D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E291" authorId="0" shapeId="0" xr:uid="{D8F6E205-ED4A-41E8-A75C-16EE581C2CE4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D343" authorId="0" shapeId="0" xr:uid="{1A03A1EF-FCFD-4586-A7D2-8A530AA3B958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玻璃宽度大于</t>
        </r>
        <r>
          <rPr>
            <sz val="9"/>
            <rFont val="Tahoma"/>
            <family val="2"/>
            <charset val="134"/>
          </rPr>
          <t>900mm</t>
        </r>
        <r>
          <rPr>
            <sz val="9"/>
            <rFont val="宋体"/>
            <family val="3"/>
            <charset val="134"/>
          </rPr>
          <t>时</t>
        </r>
        <r>
          <rPr>
            <sz val="9"/>
            <rFont val="Tahoma"/>
            <family val="2"/>
            <charset val="134"/>
          </rPr>
          <t xml:space="preserve">   </t>
        </r>
        <r>
          <rPr>
            <sz val="9"/>
            <rFont val="宋体"/>
            <family val="3"/>
            <charset val="134"/>
          </rPr>
          <t>填</t>
        </r>
        <r>
          <rPr>
            <sz val="9"/>
            <rFont val="Tahoma"/>
            <family val="2"/>
            <charset val="134"/>
          </rPr>
          <t xml:space="preserve">    1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16" authorId="0" shapeId="0" xr:uid="{4817C7C9-C298-4EF4-AD0B-FF5ED84031FF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B123" authorId="0" shapeId="0" xr:uid="{77989A2A-8F25-44DD-A446-AB862C87C264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C181" authorId="0" shapeId="0" xr:uid="{902D2790-798F-4BA2-B793-DA4734A63235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C195" authorId="0" shapeId="0" xr:uid="{84552AF0-21F8-4834-9702-75D0AF141613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D202" authorId="0" shapeId="0" xr:uid="{4159F48D-69AE-440E-BEAE-873EFD55C759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H202" authorId="0" shapeId="0" xr:uid="{0A242369-30DA-4F0E-8AAA-DFA3361C7F32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C291" authorId="0" shapeId="0" xr:uid="{4A776729-865B-4A46-A628-260A4806F16D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E291" authorId="0" shapeId="0" xr:uid="{746B025A-96AA-4954-B672-BEF667DD6205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D343" authorId="0" shapeId="0" xr:uid="{BEF5A7E5-C5B9-4468-BC8F-14CA805ABAFE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玻璃宽度大于</t>
        </r>
        <r>
          <rPr>
            <sz val="9"/>
            <rFont val="Tahoma"/>
            <family val="2"/>
            <charset val="134"/>
          </rPr>
          <t>900mm</t>
        </r>
        <r>
          <rPr>
            <sz val="9"/>
            <rFont val="宋体"/>
            <family val="3"/>
            <charset val="134"/>
          </rPr>
          <t>时</t>
        </r>
        <r>
          <rPr>
            <sz val="9"/>
            <rFont val="Tahoma"/>
            <family val="2"/>
            <charset val="134"/>
          </rPr>
          <t xml:space="preserve">   </t>
        </r>
        <r>
          <rPr>
            <sz val="9"/>
            <rFont val="宋体"/>
            <family val="3"/>
            <charset val="134"/>
          </rPr>
          <t>填</t>
        </r>
        <r>
          <rPr>
            <sz val="9"/>
            <rFont val="Tahoma"/>
            <family val="2"/>
            <charset val="134"/>
          </rPr>
          <t xml:space="preserve">    1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16" authorId="0" shapeId="0" xr:uid="{303F3FC5-184E-4D09-BCF5-6E8B084199BC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B123" authorId="0" shapeId="0" xr:uid="{5F1841AE-AAD1-4560-AE03-30FA8B1403B1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C181" authorId="0" shapeId="0" xr:uid="{5783D49A-1A9C-4FCF-B27B-C173DF36EA9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C195" authorId="0" shapeId="0" xr:uid="{297E288D-5DD3-4F02-860B-E30EBC1063B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D202" authorId="0" shapeId="0" xr:uid="{1C2CF56C-39B4-4531-B5C7-B11A68021743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H202" authorId="0" shapeId="0" xr:uid="{B625B2CC-8786-45E1-BCA5-B433138DACAC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C291" authorId="0" shapeId="0" xr:uid="{AE8EF5BB-5BD4-452B-9C1C-C580CA9734AE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E291" authorId="0" shapeId="0" xr:uid="{E15E1313-EA94-47D3-AFC8-598FC394A26D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D343" authorId="0" shapeId="0" xr:uid="{2D379FAB-C069-4351-8E9C-979EDB2A20A5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玻璃宽度大于</t>
        </r>
        <r>
          <rPr>
            <sz val="9"/>
            <rFont val="Tahoma"/>
            <family val="2"/>
            <charset val="134"/>
          </rPr>
          <t>900mm</t>
        </r>
        <r>
          <rPr>
            <sz val="9"/>
            <rFont val="宋体"/>
            <family val="3"/>
            <charset val="134"/>
          </rPr>
          <t>时</t>
        </r>
        <r>
          <rPr>
            <sz val="9"/>
            <rFont val="Tahoma"/>
            <family val="2"/>
            <charset val="134"/>
          </rPr>
          <t xml:space="preserve">   </t>
        </r>
        <r>
          <rPr>
            <sz val="9"/>
            <rFont val="宋体"/>
            <family val="3"/>
            <charset val="134"/>
          </rPr>
          <t>填</t>
        </r>
        <r>
          <rPr>
            <sz val="9"/>
            <rFont val="Tahoma"/>
            <family val="2"/>
            <charset val="134"/>
          </rPr>
          <t xml:space="preserve">    1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16" authorId="0" shapeId="0" xr:uid="{59461D10-DDE6-48BA-9F63-F2E6E5755422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B123" authorId="0" shapeId="0" xr:uid="{6AE0EF7E-62AA-48A7-9238-420B6C184E67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C181" authorId="0" shapeId="0" xr:uid="{9B1E3977-1450-44AE-841B-0206617C01E6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C195" authorId="0" shapeId="0" xr:uid="{DC0F3F5A-B1DC-431D-BFB8-BE4CC9865A73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D202" authorId="0" shapeId="0" xr:uid="{EBF7C99E-9093-476A-9273-974F9A9273E3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H202" authorId="0" shapeId="0" xr:uid="{980242E8-7CF2-4C77-B219-57168DA56CCA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C291" authorId="0" shapeId="0" xr:uid="{9DF8B516-65D3-4F4E-BC2B-27ED1059D6CE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E291" authorId="0" shapeId="0" xr:uid="{C6DA6310-1F07-457C-85FF-034D55513C75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D343" authorId="0" shapeId="0" xr:uid="{2C471A58-B14E-42F3-AD27-06E8A082331E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玻璃宽度大于</t>
        </r>
        <r>
          <rPr>
            <sz val="9"/>
            <rFont val="Tahoma"/>
            <family val="2"/>
            <charset val="134"/>
          </rPr>
          <t>900mm</t>
        </r>
        <r>
          <rPr>
            <sz val="9"/>
            <rFont val="宋体"/>
            <family val="3"/>
            <charset val="134"/>
          </rPr>
          <t>时</t>
        </r>
        <r>
          <rPr>
            <sz val="9"/>
            <rFont val="Tahoma"/>
            <family val="2"/>
            <charset val="134"/>
          </rPr>
          <t xml:space="preserve">   </t>
        </r>
        <r>
          <rPr>
            <sz val="9"/>
            <rFont val="宋体"/>
            <family val="3"/>
            <charset val="134"/>
          </rPr>
          <t>填</t>
        </r>
        <r>
          <rPr>
            <sz val="9"/>
            <rFont val="Tahoma"/>
            <family val="2"/>
            <charset val="134"/>
          </rPr>
          <t xml:space="preserve">    1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16" authorId="0" shapeId="0" xr:uid="{1410178E-7247-4EB0-9F3A-3D4690DA9E18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B123" authorId="0" shapeId="0" xr:uid="{D9180CAA-9EBF-4FD7-9A4E-7E24C3714859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C181" authorId="0" shapeId="0" xr:uid="{E55799E2-5AAD-4BBD-91E0-2CDEA18B9892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C195" authorId="0" shapeId="0" xr:uid="{36B3112D-FD69-4F1F-ABBF-3F9449DAF241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D202" authorId="0" shapeId="0" xr:uid="{9E775AFD-23C6-44C0-AE56-11110A916938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H202" authorId="0" shapeId="0" xr:uid="{6009A710-B4A4-4A2C-8921-5E9969BB6FD2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C291" authorId="0" shapeId="0" xr:uid="{CCBA2293-0390-4BAB-892B-91FE4EFE5817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E291" authorId="0" shapeId="0" xr:uid="{61A9FCFC-A486-4C2E-9E47-0785AA09D264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D343" authorId="0" shapeId="0" xr:uid="{88C5B713-56AE-4C64-9495-3F339D56B8A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玻璃宽度大于</t>
        </r>
        <r>
          <rPr>
            <sz val="9"/>
            <rFont val="Tahoma"/>
            <family val="2"/>
            <charset val="134"/>
          </rPr>
          <t>900mm</t>
        </r>
        <r>
          <rPr>
            <sz val="9"/>
            <rFont val="宋体"/>
            <family val="3"/>
            <charset val="134"/>
          </rPr>
          <t>时</t>
        </r>
        <r>
          <rPr>
            <sz val="9"/>
            <rFont val="Tahoma"/>
            <family val="2"/>
            <charset val="134"/>
          </rPr>
          <t xml:space="preserve">   </t>
        </r>
        <r>
          <rPr>
            <sz val="9"/>
            <rFont val="宋体"/>
            <family val="3"/>
            <charset val="134"/>
          </rPr>
          <t>填</t>
        </r>
        <r>
          <rPr>
            <sz val="9"/>
            <rFont val="Tahoma"/>
            <family val="2"/>
            <charset val="134"/>
          </rPr>
          <t xml:space="preserve">    1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16" authorId="0" shapeId="0" xr:uid="{7F19D996-9269-4840-87E9-EF3F0D042683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B123" authorId="0" shapeId="0" xr:uid="{88854CEA-B89D-4490-A3A9-900FBEE1AC28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C181" authorId="0" shapeId="0" xr:uid="{C8FB1BC2-0CB3-425D-92C0-3EF1547663FC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C195" authorId="0" shapeId="0" xr:uid="{1865771D-8E3B-4797-B8BE-14C26DF1D111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D202" authorId="0" shapeId="0" xr:uid="{00EC8470-C52E-4F3B-B99F-D2C2B5AD3C76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H202" authorId="0" shapeId="0" xr:uid="{63156BA3-B9DB-40EA-B2B9-96294081ABDA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C291" authorId="0" shapeId="0" xr:uid="{F72D9F56-2001-4A3E-8782-00C1CC8398AB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E291" authorId="0" shapeId="0" xr:uid="{23BA348F-0962-4D07-BEBC-D52E18CB3F57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D343" authorId="0" shapeId="0" xr:uid="{4501C004-F21D-4CF6-866A-CF379B2AFCB7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玻璃宽度大于</t>
        </r>
        <r>
          <rPr>
            <sz val="9"/>
            <rFont val="Tahoma"/>
            <family val="2"/>
            <charset val="134"/>
          </rPr>
          <t>900mm</t>
        </r>
        <r>
          <rPr>
            <sz val="9"/>
            <rFont val="宋体"/>
            <family val="3"/>
            <charset val="134"/>
          </rPr>
          <t>时</t>
        </r>
        <r>
          <rPr>
            <sz val="9"/>
            <rFont val="Tahoma"/>
            <family val="2"/>
            <charset val="134"/>
          </rPr>
          <t xml:space="preserve">   </t>
        </r>
        <r>
          <rPr>
            <sz val="9"/>
            <rFont val="宋体"/>
            <family val="3"/>
            <charset val="134"/>
          </rPr>
          <t>填</t>
        </r>
        <r>
          <rPr>
            <sz val="9"/>
            <rFont val="Tahoma"/>
            <family val="2"/>
            <charset val="134"/>
          </rPr>
          <t xml:space="preserve">    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16" authorId="0" shapeId="0" xr:uid="{E3332179-A91F-454B-BC29-ABC83A9CD267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B123" authorId="0" shapeId="0" xr:uid="{01D232E7-F49C-4DD9-B9EB-F6EC12412E3C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C181" authorId="0" shapeId="0" xr:uid="{10DCA466-C655-42A7-AE2E-29274ADF3C92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C195" authorId="0" shapeId="0" xr:uid="{C18DABC6-EEB3-481C-8608-63112996CD62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D202" authorId="0" shapeId="0" xr:uid="{45607083-68C3-4FE5-ABB1-DB87C636B698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H202" authorId="0" shapeId="0" xr:uid="{6085168B-8114-40A0-9341-C5E89B44D127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C291" authorId="0" shapeId="0" xr:uid="{38F3D755-8169-4E22-9C16-54F2C9749C69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E291" authorId="0" shapeId="0" xr:uid="{C6F1DD77-BD7D-4CDF-831A-D4BDE6ED7B03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D343" authorId="0" shapeId="0" xr:uid="{5A94FECF-696E-4F2B-8730-BEFDDB638A84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玻璃宽度大于</t>
        </r>
        <r>
          <rPr>
            <sz val="9"/>
            <rFont val="Tahoma"/>
            <family val="2"/>
            <charset val="134"/>
          </rPr>
          <t>900mm</t>
        </r>
        <r>
          <rPr>
            <sz val="9"/>
            <rFont val="宋体"/>
            <family val="3"/>
            <charset val="134"/>
          </rPr>
          <t>时</t>
        </r>
        <r>
          <rPr>
            <sz val="9"/>
            <rFont val="Tahoma"/>
            <family val="2"/>
            <charset val="134"/>
          </rPr>
          <t xml:space="preserve">   </t>
        </r>
        <r>
          <rPr>
            <sz val="9"/>
            <rFont val="宋体"/>
            <family val="3"/>
            <charset val="134"/>
          </rPr>
          <t>填</t>
        </r>
        <r>
          <rPr>
            <sz val="9"/>
            <rFont val="Tahoma"/>
            <family val="2"/>
            <charset val="134"/>
          </rPr>
          <t xml:space="preserve">    1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16" authorId="0" shapeId="0" xr:uid="{E01087B9-3D3A-4BD3-89E7-DD524D634734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B123" authorId="0" shapeId="0" xr:uid="{2BEE1E2C-D957-457C-87C4-138390521315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C181" authorId="0" shapeId="0" xr:uid="{DB964D79-43E8-405F-914B-4CC9A3477B76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C195" authorId="0" shapeId="0" xr:uid="{896033D1-D087-49B8-B1B8-A1159A9A073B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D202" authorId="0" shapeId="0" xr:uid="{C82E921F-C55D-47A9-A56B-3F9A70C0FD7C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H202" authorId="0" shapeId="0" xr:uid="{B6F49454-4189-4344-A13B-AF74FE7F997D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C291" authorId="0" shapeId="0" xr:uid="{084B771A-92BA-4E14-BEA2-9C9B09B1DC87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E291" authorId="0" shapeId="0" xr:uid="{5CB9635A-57E6-4A81-AC5F-BA82A71E7DAE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D343" authorId="0" shapeId="0" xr:uid="{5090A930-2584-4A47-9F1D-79B7909A48CC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玻璃宽度大于</t>
        </r>
        <r>
          <rPr>
            <sz val="9"/>
            <rFont val="Tahoma"/>
            <family val="2"/>
            <charset val="134"/>
          </rPr>
          <t>900mm</t>
        </r>
        <r>
          <rPr>
            <sz val="9"/>
            <rFont val="宋体"/>
            <family val="3"/>
            <charset val="134"/>
          </rPr>
          <t>时</t>
        </r>
        <r>
          <rPr>
            <sz val="9"/>
            <rFont val="Tahoma"/>
            <family val="2"/>
            <charset val="134"/>
          </rPr>
          <t xml:space="preserve">   </t>
        </r>
        <r>
          <rPr>
            <sz val="9"/>
            <rFont val="宋体"/>
            <family val="3"/>
            <charset val="134"/>
          </rPr>
          <t>填</t>
        </r>
        <r>
          <rPr>
            <sz val="9"/>
            <rFont val="Tahoma"/>
            <family val="2"/>
            <charset val="134"/>
          </rPr>
          <t xml:space="preserve">    1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16" authorId="0" shapeId="0" xr:uid="{BC4EB0D8-F591-4067-8A66-DE1B6CDAC103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B123" authorId="0" shapeId="0" xr:uid="{88083845-3036-4827-A644-3DA704E30AF2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C181" authorId="0" shapeId="0" xr:uid="{82CB3369-567B-4712-9670-AF48DA641372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C195" authorId="0" shapeId="0" xr:uid="{261B5F60-A67C-497A-B8EF-2AE8D794FE76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D202" authorId="0" shapeId="0" xr:uid="{701C8BD9-98E7-416E-A31B-4A2E584B12BF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H202" authorId="0" shapeId="0" xr:uid="{511A7348-FB17-4EB3-A2C3-3A1347DD93D0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C291" authorId="0" shapeId="0" xr:uid="{9FFE5BA5-7413-4550-8219-71252C1598E1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E291" authorId="0" shapeId="0" xr:uid="{00453790-6196-43DD-93D5-1693C9AF9A88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D343" authorId="0" shapeId="0" xr:uid="{EBB682C5-6302-4FEA-86E1-5EA9F67C2C4C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玻璃宽度大于</t>
        </r>
        <r>
          <rPr>
            <sz val="9"/>
            <rFont val="Tahoma"/>
            <family val="2"/>
            <charset val="134"/>
          </rPr>
          <t>900mm</t>
        </r>
        <r>
          <rPr>
            <sz val="9"/>
            <rFont val="宋体"/>
            <family val="3"/>
            <charset val="134"/>
          </rPr>
          <t>时</t>
        </r>
        <r>
          <rPr>
            <sz val="9"/>
            <rFont val="Tahoma"/>
            <family val="2"/>
            <charset val="134"/>
          </rPr>
          <t xml:space="preserve">   </t>
        </r>
        <r>
          <rPr>
            <sz val="9"/>
            <rFont val="宋体"/>
            <family val="3"/>
            <charset val="134"/>
          </rPr>
          <t>填</t>
        </r>
        <r>
          <rPr>
            <sz val="9"/>
            <rFont val="Tahoma"/>
            <family val="2"/>
            <charset val="134"/>
          </rPr>
          <t xml:space="preserve">    1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16" authorId="0" shapeId="0" xr:uid="{21D52B86-A4BF-4C8C-9445-EE7B0D4CE107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B123" authorId="0" shapeId="0" xr:uid="{12E48794-D6E8-4CF0-BF90-9B4AE0AE2B2A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C181" authorId="0" shapeId="0" xr:uid="{076E874E-0BD3-4ABA-93D9-E0C7C362F97E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C195" authorId="0" shapeId="0" xr:uid="{4F236328-4155-4A60-8B8D-D4034C7E3CA3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D202" authorId="0" shapeId="0" xr:uid="{15DAFF3B-E431-4D05-974F-1E4B696E5B70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H202" authorId="0" shapeId="0" xr:uid="{143D72E3-8979-48DB-84DA-2D4B770F5E3E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C291" authorId="0" shapeId="0" xr:uid="{5DBE55B8-2F6C-4E12-966C-4AA933715820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E291" authorId="0" shapeId="0" xr:uid="{9D1CDADB-E2A0-45F5-955D-892DB4FEA5ED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D343" authorId="0" shapeId="0" xr:uid="{AB9488E8-67D0-486B-8D5C-1FE108F7F543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玻璃宽度大于</t>
        </r>
        <r>
          <rPr>
            <sz val="9"/>
            <rFont val="Tahoma"/>
            <family val="2"/>
            <charset val="134"/>
          </rPr>
          <t>900mm</t>
        </r>
        <r>
          <rPr>
            <sz val="9"/>
            <rFont val="宋体"/>
            <family val="3"/>
            <charset val="134"/>
          </rPr>
          <t>时</t>
        </r>
        <r>
          <rPr>
            <sz val="9"/>
            <rFont val="Tahoma"/>
            <family val="2"/>
            <charset val="134"/>
          </rPr>
          <t xml:space="preserve">   </t>
        </r>
        <r>
          <rPr>
            <sz val="9"/>
            <rFont val="宋体"/>
            <family val="3"/>
            <charset val="134"/>
          </rPr>
          <t>填</t>
        </r>
        <r>
          <rPr>
            <sz val="9"/>
            <rFont val="Tahoma"/>
            <family val="2"/>
            <charset val="134"/>
          </rPr>
          <t xml:space="preserve">    1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16" authorId="0" shapeId="0" xr:uid="{7E8A70CD-014C-4539-8D9B-94CF85949336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B123" authorId="0" shapeId="0" xr:uid="{C1557361-6847-4DA0-8590-B86D89B80FD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C181" authorId="0" shapeId="0" xr:uid="{A125F122-3460-43AE-8BDA-924F8831C018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C195" authorId="0" shapeId="0" xr:uid="{4B5964F6-739A-41F1-A282-F08E537E48E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D202" authorId="0" shapeId="0" xr:uid="{4C08DB56-AAD4-43B9-BE91-AFFAACC6F574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H202" authorId="0" shapeId="0" xr:uid="{BD6E30EB-C9FF-4929-B959-939A895D508F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C291" authorId="0" shapeId="0" xr:uid="{39F8F78A-9635-44B1-ADFB-A53C47874D11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E291" authorId="0" shapeId="0" xr:uid="{EC2BC620-E069-4714-AEEE-0291F2B65E9E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D343" authorId="0" shapeId="0" xr:uid="{C35BC0B5-5A57-4FAB-9BC4-D61ABD6E741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玻璃宽度大于</t>
        </r>
        <r>
          <rPr>
            <sz val="9"/>
            <rFont val="Tahoma"/>
            <family val="2"/>
            <charset val="134"/>
          </rPr>
          <t>900mm</t>
        </r>
        <r>
          <rPr>
            <sz val="9"/>
            <rFont val="宋体"/>
            <family val="3"/>
            <charset val="134"/>
          </rPr>
          <t>时</t>
        </r>
        <r>
          <rPr>
            <sz val="9"/>
            <rFont val="Tahoma"/>
            <family val="2"/>
            <charset val="134"/>
          </rPr>
          <t xml:space="preserve">   </t>
        </r>
        <r>
          <rPr>
            <sz val="9"/>
            <rFont val="宋体"/>
            <family val="3"/>
            <charset val="134"/>
          </rPr>
          <t>填</t>
        </r>
        <r>
          <rPr>
            <sz val="9"/>
            <rFont val="Tahoma"/>
            <family val="2"/>
            <charset val="134"/>
          </rPr>
          <t xml:space="preserve">    1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16" authorId="0" shapeId="0" xr:uid="{CF8BC591-3CAC-4E04-95E5-E2236AA1FCA3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B123" authorId="0" shapeId="0" xr:uid="{BDE007FB-7C65-446B-90D5-E4DB954229CA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C181" authorId="0" shapeId="0" xr:uid="{2758BE47-5E6D-4BEB-955D-C24D9B5BB90C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C195" authorId="0" shapeId="0" xr:uid="{660BD2AB-6FB1-4238-AA0B-B58EE621252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D202" authorId="0" shapeId="0" xr:uid="{5D2B9002-BA14-45D2-AB69-CCCFBAFA6DD1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H202" authorId="0" shapeId="0" xr:uid="{0A1B1489-9783-4875-831B-C13374D6FCEA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C291" authorId="0" shapeId="0" xr:uid="{512A3F3C-A8F6-4DAE-A40A-3B6E8BE90BFC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E291" authorId="0" shapeId="0" xr:uid="{3635A081-DADB-49BF-98EB-232F0B06228B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D343" authorId="0" shapeId="0" xr:uid="{948F2F90-CD3E-47C4-B58E-E9F640FBF391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玻璃宽度大于</t>
        </r>
        <r>
          <rPr>
            <sz val="9"/>
            <rFont val="Tahoma"/>
            <family val="2"/>
            <charset val="134"/>
          </rPr>
          <t>900mm</t>
        </r>
        <r>
          <rPr>
            <sz val="9"/>
            <rFont val="宋体"/>
            <family val="3"/>
            <charset val="134"/>
          </rPr>
          <t>时</t>
        </r>
        <r>
          <rPr>
            <sz val="9"/>
            <rFont val="Tahoma"/>
            <family val="2"/>
            <charset val="134"/>
          </rPr>
          <t xml:space="preserve">   </t>
        </r>
        <r>
          <rPr>
            <sz val="9"/>
            <rFont val="宋体"/>
            <family val="3"/>
            <charset val="134"/>
          </rPr>
          <t>填</t>
        </r>
        <r>
          <rPr>
            <sz val="9"/>
            <rFont val="Tahoma"/>
            <family val="2"/>
            <charset val="134"/>
          </rPr>
          <t xml:space="preserve">    1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16" authorId="0" shapeId="0" xr:uid="{9560B23C-3392-42A4-8735-6EF225CAE307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B123" authorId="0" shapeId="0" xr:uid="{064E97E9-7975-4B77-A072-7D987FDA3E02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C181" authorId="0" shapeId="0" xr:uid="{83D3AA17-8E0A-47D3-8330-BD91CAA2CF4A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C195" authorId="0" shapeId="0" xr:uid="{5CB599C7-DB85-4E22-94F4-CC12FEDCFB38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D202" authorId="0" shapeId="0" xr:uid="{CA963A59-D608-4BDE-BDEA-64A0BD0C7CA5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H202" authorId="0" shapeId="0" xr:uid="{4D8E1FA5-FBA1-4847-8A76-220B3867BBB5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C291" authorId="0" shapeId="0" xr:uid="{98739B11-18BC-4CC5-BD0B-BF3C3B81D10F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E291" authorId="0" shapeId="0" xr:uid="{12AA29E8-DDBD-4B3D-8A3D-DFF11CC2EEFD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D343" authorId="0" shapeId="0" xr:uid="{DA38C1DC-E88B-4B66-A438-67CE5B7D92B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玻璃宽度大于</t>
        </r>
        <r>
          <rPr>
            <sz val="9"/>
            <rFont val="Tahoma"/>
            <family val="2"/>
            <charset val="134"/>
          </rPr>
          <t>900mm</t>
        </r>
        <r>
          <rPr>
            <sz val="9"/>
            <rFont val="宋体"/>
            <family val="3"/>
            <charset val="134"/>
          </rPr>
          <t>时</t>
        </r>
        <r>
          <rPr>
            <sz val="9"/>
            <rFont val="Tahoma"/>
            <family val="2"/>
            <charset val="134"/>
          </rPr>
          <t xml:space="preserve">   </t>
        </r>
        <r>
          <rPr>
            <sz val="9"/>
            <rFont val="宋体"/>
            <family val="3"/>
            <charset val="134"/>
          </rPr>
          <t>填</t>
        </r>
        <r>
          <rPr>
            <sz val="9"/>
            <rFont val="Tahoma"/>
            <family val="2"/>
            <charset val="134"/>
          </rPr>
          <t xml:space="preserve">    1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16" authorId="0" shapeId="0" xr:uid="{AE2466BC-C78B-4E3C-BC58-4112CEED2055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B123" authorId="0" shapeId="0" xr:uid="{52696DB8-CBBC-49B7-82C5-5AD7B75C982E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C181" authorId="0" shapeId="0" xr:uid="{9586AFF1-C911-475E-ADE4-571618A15C7A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C195" authorId="0" shapeId="0" xr:uid="{19D2025D-9904-4BFD-8162-9400BF0B549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D202" authorId="0" shapeId="0" xr:uid="{D35BA9A4-5144-40E6-8A6C-85E6C181584E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H202" authorId="0" shapeId="0" xr:uid="{ECDA7B9C-36CE-4630-8B6B-0B6198D15CCE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C291" authorId="0" shapeId="0" xr:uid="{0A4D4A54-1ABA-4D28-A5E8-579051B49744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E291" authorId="0" shapeId="0" xr:uid="{D3AA3CFB-F51B-42D0-ADE7-A90CC51637C3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D343" authorId="0" shapeId="0" xr:uid="{55457F6B-0B0E-44D6-A860-247153311A39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玻璃宽度大于</t>
        </r>
        <r>
          <rPr>
            <sz val="9"/>
            <rFont val="Tahoma"/>
            <family val="2"/>
            <charset val="134"/>
          </rPr>
          <t>900mm</t>
        </r>
        <r>
          <rPr>
            <sz val="9"/>
            <rFont val="宋体"/>
            <family val="3"/>
            <charset val="134"/>
          </rPr>
          <t>时</t>
        </r>
        <r>
          <rPr>
            <sz val="9"/>
            <rFont val="Tahoma"/>
            <family val="2"/>
            <charset val="134"/>
          </rPr>
          <t xml:space="preserve">   </t>
        </r>
        <r>
          <rPr>
            <sz val="9"/>
            <rFont val="宋体"/>
            <family val="3"/>
            <charset val="134"/>
          </rPr>
          <t>填</t>
        </r>
        <r>
          <rPr>
            <sz val="9"/>
            <rFont val="Tahoma"/>
            <family val="2"/>
            <charset val="134"/>
          </rPr>
          <t xml:space="preserve">    1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16" authorId="0" shapeId="0" xr:uid="{C7BD5613-0BBF-49A0-8A7F-31B39B9900D8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B123" authorId="0" shapeId="0" xr:uid="{67F4A88D-1CE7-49E0-83AA-1A3B5505FEA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C181" authorId="0" shapeId="0" xr:uid="{FC61CAE2-06F9-46C7-8C52-078064D17596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C195" authorId="0" shapeId="0" xr:uid="{15FED689-6F65-4D00-8301-38FE783087F3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D202" authorId="0" shapeId="0" xr:uid="{14017BB8-C42F-40D8-AC24-881864C1C106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H202" authorId="0" shapeId="0" xr:uid="{38D7D889-6661-440B-A7BF-B09860F2FF69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C291" authorId="0" shapeId="0" xr:uid="{73EEC3A1-B09A-4200-9549-FFCD631B0F0A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E291" authorId="0" shapeId="0" xr:uid="{B5303EDF-867A-49FA-85AC-14FA490CE88C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D343" authorId="0" shapeId="0" xr:uid="{D4AACBB5-BA8F-40F0-9C24-335EAB951A48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玻璃宽度大于</t>
        </r>
        <r>
          <rPr>
            <sz val="9"/>
            <rFont val="Tahoma"/>
            <family val="2"/>
            <charset val="134"/>
          </rPr>
          <t>900mm</t>
        </r>
        <r>
          <rPr>
            <sz val="9"/>
            <rFont val="宋体"/>
            <family val="3"/>
            <charset val="134"/>
          </rPr>
          <t>时</t>
        </r>
        <r>
          <rPr>
            <sz val="9"/>
            <rFont val="Tahoma"/>
            <family val="2"/>
            <charset val="134"/>
          </rPr>
          <t xml:space="preserve">   </t>
        </r>
        <r>
          <rPr>
            <sz val="9"/>
            <rFont val="宋体"/>
            <family val="3"/>
            <charset val="134"/>
          </rPr>
          <t>填</t>
        </r>
        <r>
          <rPr>
            <sz val="9"/>
            <rFont val="Tahoma"/>
            <family val="2"/>
            <charset val="134"/>
          </rPr>
          <t xml:space="preserve">    1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16" authorId="0" shapeId="0" xr:uid="{A26D2069-41DF-45B9-8FBD-5AC5DD23BBDF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B123" authorId="0" shapeId="0" xr:uid="{AF51BAD2-189B-4E44-B16B-6F534422FD0A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C181" authorId="0" shapeId="0" xr:uid="{BDFEDA36-C925-4D2F-8F9C-2DE32CCEDC1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C195" authorId="0" shapeId="0" xr:uid="{31AB36CF-62C3-4453-B14B-47342BFF78BF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D202" authorId="0" shapeId="0" xr:uid="{11D168CB-87B6-41CA-855E-30ECF7671DE4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H202" authorId="0" shapeId="0" xr:uid="{D0AD6BE1-C313-4218-93F3-F64061C58015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C291" authorId="0" shapeId="0" xr:uid="{525E5163-D0E3-4340-8636-1FE0311007F2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E291" authorId="0" shapeId="0" xr:uid="{CCA94DF3-EFC2-4CD0-A0E0-B3633A90F73E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D343" authorId="0" shapeId="0" xr:uid="{1C1681B2-58F0-483A-AF69-F15926688D9C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玻璃宽度大于</t>
        </r>
        <r>
          <rPr>
            <sz val="9"/>
            <rFont val="Tahoma"/>
            <family val="2"/>
            <charset val="134"/>
          </rPr>
          <t>900mm</t>
        </r>
        <r>
          <rPr>
            <sz val="9"/>
            <rFont val="宋体"/>
            <family val="3"/>
            <charset val="134"/>
          </rPr>
          <t>时</t>
        </r>
        <r>
          <rPr>
            <sz val="9"/>
            <rFont val="Tahoma"/>
            <family val="2"/>
            <charset val="134"/>
          </rPr>
          <t xml:space="preserve">   </t>
        </r>
        <r>
          <rPr>
            <sz val="9"/>
            <rFont val="宋体"/>
            <family val="3"/>
            <charset val="134"/>
          </rPr>
          <t>填</t>
        </r>
        <r>
          <rPr>
            <sz val="9"/>
            <rFont val="Tahoma"/>
            <family val="2"/>
            <charset val="134"/>
          </rPr>
          <t xml:space="preserve">    1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16" authorId="0" shapeId="0" xr:uid="{F6C9A972-1CF4-4F3A-A435-F9E2F43F49D4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B123" authorId="0" shapeId="0" xr:uid="{9E358D3B-A6F6-451F-A552-462BC78ACEA3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C181" authorId="0" shapeId="0" xr:uid="{B472D9E7-F6EF-41CC-9907-F8B5CF678519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C195" authorId="0" shapeId="0" xr:uid="{AD2D64F4-D190-4308-A79D-31EC9E8E5DD1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D202" authorId="0" shapeId="0" xr:uid="{3574F106-164D-4079-9315-6A904CA83062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H202" authorId="0" shapeId="0" xr:uid="{9A336E1D-E9EF-44C4-B437-10A27C0F7087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C291" authorId="0" shapeId="0" xr:uid="{9AD34394-C0DF-4F73-B233-118DD52739D4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E291" authorId="0" shapeId="0" xr:uid="{7191B152-E956-4240-B7FD-E5A7C6A461E1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D343" authorId="0" shapeId="0" xr:uid="{8EA6877F-7E4B-494F-9774-D8B7E082ABED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玻璃宽度大于</t>
        </r>
        <r>
          <rPr>
            <sz val="9"/>
            <rFont val="Tahoma"/>
            <family val="2"/>
            <charset val="134"/>
          </rPr>
          <t>900mm</t>
        </r>
        <r>
          <rPr>
            <sz val="9"/>
            <rFont val="宋体"/>
            <family val="3"/>
            <charset val="134"/>
          </rPr>
          <t>时</t>
        </r>
        <r>
          <rPr>
            <sz val="9"/>
            <rFont val="Tahoma"/>
            <family val="2"/>
            <charset val="134"/>
          </rPr>
          <t xml:space="preserve">   </t>
        </r>
        <r>
          <rPr>
            <sz val="9"/>
            <rFont val="宋体"/>
            <family val="3"/>
            <charset val="134"/>
          </rPr>
          <t>填</t>
        </r>
        <r>
          <rPr>
            <sz val="9"/>
            <rFont val="Tahoma"/>
            <family val="2"/>
            <charset val="134"/>
          </rPr>
          <t xml:space="preserve">    1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16" authorId="0" shapeId="0" xr:uid="{DAEC5FF8-54D8-4C3D-B9AD-514CD26895D1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B123" authorId="0" shapeId="0" xr:uid="{9895CB0D-9F22-416A-9136-441FD63307C1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C181" authorId="0" shapeId="0" xr:uid="{19451985-CE05-4BF9-9B40-F1B274ADAD7F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C195" authorId="0" shapeId="0" xr:uid="{1A8560CD-977B-486B-A881-923BEF3799FB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D202" authorId="0" shapeId="0" xr:uid="{55DE5963-481D-4B3A-AB45-A6381ACCFD77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H202" authorId="0" shapeId="0" xr:uid="{19A18AB0-1472-4657-AFBC-3550162E9C5F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C291" authorId="0" shapeId="0" xr:uid="{DD87AF5B-FBD2-4D06-9583-D67B455C12D3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E291" authorId="0" shapeId="0" xr:uid="{952689E4-837A-4CD0-B957-810693013669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D343" authorId="0" shapeId="0" xr:uid="{91F1F779-5A10-417B-95B6-F742956CF1C1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玻璃宽度大于</t>
        </r>
        <r>
          <rPr>
            <sz val="9"/>
            <rFont val="Tahoma"/>
            <family val="2"/>
            <charset val="134"/>
          </rPr>
          <t>900mm</t>
        </r>
        <r>
          <rPr>
            <sz val="9"/>
            <rFont val="宋体"/>
            <family val="3"/>
            <charset val="134"/>
          </rPr>
          <t>时</t>
        </r>
        <r>
          <rPr>
            <sz val="9"/>
            <rFont val="Tahoma"/>
            <family val="2"/>
            <charset val="134"/>
          </rPr>
          <t xml:space="preserve">   </t>
        </r>
        <r>
          <rPr>
            <sz val="9"/>
            <rFont val="宋体"/>
            <family val="3"/>
            <charset val="134"/>
          </rPr>
          <t>填</t>
        </r>
        <r>
          <rPr>
            <sz val="9"/>
            <rFont val="Tahoma"/>
            <family val="2"/>
            <charset val="134"/>
          </rPr>
          <t xml:space="preserve">    1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16" authorId="0" shapeId="0" xr:uid="{2DA506DB-399E-4047-9122-6CC47245F53D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B123" authorId="0" shapeId="0" xr:uid="{DF471B89-5461-4F73-B57F-AA797A84322A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C181" authorId="0" shapeId="0" xr:uid="{3F93332F-7EF4-41EC-B637-B37203923113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C195" authorId="0" shapeId="0" xr:uid="{F007DF0A-EB0C-48EE-8FC7-B5EE1224FCF8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D202" authorId="0" shapeId="0" xr:uid="{3A98F92E-A912-432D-9B51-330A1AAF07D2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H202" authorId="0" shapeId="0" xr:uid="{268001CB-3216-40DA-8313-1BB5E66AB7EB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C291" authorId="0" shapeId="0" xr:uid="{C1C152F1-8826-4AC3-A4AB-A63EDE002B74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E291" authorId="0" shapeId="0" xr:uid="{BD662591-B1A5-49D9-A343-63714D99D24E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D343" authorId="0" shapeId="0" xr:uid="{00F303AE-D8DB-42A9-A58F-71563E0D2C2E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玻璃宽度大于</t>
        </r>
        <r>
          <rPr>
            <sz val="9"/>
            <rFont val="Tahoma"/>
            <family val="2"/>
            <charset val="134"/>
          </rPr>
          <t>900mm</t>
        </r>
        <r>
          <rPr>
            <sz val="9"/>
            <rFont val="宋体"/>
            <family val="3"/>
            <charset val="134"/>
          </rPr>
          <t>时</t>
        </r>
        <r>
          <rPr>
            <sz val="9"/>
            <rFont val="Tahoma"/>
            <family val="2"/>
            <charset val="134"/>
          </rPr>
          <t xml:space="preserve">   </t>
        </r>
        <r>
          <rPr>
            <sz val="9"/>
            <rFont val="宋体"/>
            <family val="3"/>
            <charset val="134"/>
          </rPr>
          <t>填</t>
        </r>
        <r>
          <rPr>
            <sz val="9"/>
            <rFont val="Tahoma"/>
            <family val="2"/>
            <charset val="134"/>
          </rPr>
          <t xml:space="preserve">    1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16" authorId="0" shapeId="0" xr:uid="{EA6B05BC-09C3-4B70-9B4D-115115739C54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B123" authorId="0" shapeId="0" xr:uid="{82F8AC5F-8B0D-4E7B-A1C5-344FFFA9AD8E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C181" authorId="0" shapeId="0" xr:uid="{A5F92478-24B2-4F46-AE07-996FA95CFEE5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C195" authorId="0" shapeId="0" xr:uid="{58F867EF-EECA-424B-B658-DF2EFBF879A1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D202" authorId="0" shapeId="0" xr:uid="{8F6B4B70-A8BE-4E97-BAE6-40C727E64BA2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H202" authorId="0" shapeId="0" xr:uid="{E8E09F23-8DE6-46A9-9693-F24E5C510694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C291" authorId="0" shapeId="0" xr:uid="{A77FDF6D-41B7-4681-B29D-AF03734993A4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E291" authorId="0" shapeId="0" xr:uid="{471D03D8-B121-484D-BD51-A41B1D2A1111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D343" authorId="0" shapeId="0" xr:uid="{F312A473-DA52-4757-AFBC-6C989460D418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玻璃宽度大于</t>
        </r>
        <r>
          <rPr>
            <sz val="9"/>
            <rFont val="Tahoma"/>
            <family val="2"/>
            <charset val="134"/>
          </rPr>
          <t>900mm</t>
        </r>
        <r>
          <rPr>
            <sz val="9"/>
            <rFont val="宋体"/>
            <family val="3"/>
            <charset val="134"/>
          </rPr>
          <t>时</t>
        </r>
        <r>
          <rPr>
            <sz val="9"/>
            <rFont val="Tahoma"/>
            <family val="2"/>
            <charset val="134"/>
          </rPr>
          <t xml:space="preserve">   </t>
        </r>
        <r>
          <rPr>
            <sz val="9"/>
            <rFont val="宋体"/>
            <family val="3"/>
            <charset val="134"/>
          </rPr>
          <t>填</t>
        </r>
        <r>
          <rPr>
            <sz val="9"/>
            <rFont val="Tahoma"/>
            <family val="2"/>
            <charset val="134"/>
          </rPr>
          <t xml:space="preserve">    1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16" authorId="0" shapeId="0" xr:uid="{80BB9B2D-2D37-4681-AD19-2853C8334FF1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B123" authorId="0" shapeId="0" xr:uid="{E1D110F2-FE16-4E35-91A4-470E4520AC6B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C181" authorId="0" shapeId="0" xr:uid="{10A90028-CB9F-4F92-A90C-32B6B8B6D55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C195" authorId="0" shapeId="0" xr:uid="{0870D5A1-05D4-4229-A397-EB29B291881A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D202" authorId="0" shapeId="0" xr:uid="{EF641527-48D9-4877-B08F-A3A5B5CA699C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H202" authorId="0" shapeId="0" xr:uid="{4176432D-118A-4E03-99D6-8A43FBE948CA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C291" authorId="0" shapeId="0" xr:uid="{DE09A306-BF3F-453E-B3C9-D1143C131789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E291" authorId="0" shapeId="0" xr:uid="{13C41FDF-7DAF-4524-B83C-DE9187B934FA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D343" authorId="0" shapeId="0" xr:uid="{58FA5D3C-F3B9-4783-9595-C44F027E15C5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玻璃宽度大于</t>
        </r>
        <r>
          <rPr>
            <sz val="9"/>
            <rFont val="Tahoma"/>
            <family val="2"/>
            <charset val="134"/>
          </rPr>
          <t>900mm</t>
        </r>
        <r>
          <rPr>
            <sz val="9"/>
            <rFont val="宋体"/>
            <family val="3"/>
            <charset val="134"/>
          </rPr>
          <t>时</t>
        </r>
        <r>
          <rPr>
            <sz val="9"/>
            <rFont val="Tahoma"/>
            <family val="2"/>
            <charset val="134"/>
          </rPr>
          <t xml:space="preserve">   </t>
        </r>
        <r>
          <rPr>
            <sz val="9"/>
            <rFont val="宋体"/>
            <family val="3"/>
            <charset val="134"/>
          </rPr>
          <t>填</t>
        </r>
        <r>
          <rPr>
            <sz val="9"/>
            <rFont val="Tahoma"/>
            <family val="2"/>
            <charset val="134"/>
          </rPr>
          <t xml:space="preserve">    1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16" authorId="0" shapeId="0" xr:uid="{E66121FE-08D0-4BE9-85C2-D81D56175A93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B123" authorId="0" shapeId="0" xr:uid="{89991B85-B3DE-4BFA-B721-E24C23CFF5A7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C181" authorId="0" shapeId="0" xr:uid="{C5B0297F-C54C-455C-BBAA-4741CF0C4F67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C195" authorId="0" shapeId="0" xr:uid="{E204ED5E-4C9B-4A7A-BCDB-8DBD26262ECD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D202" authorId="0" shapeId="0" xr:uid="{D474724B-69BD-4BF8-B6D5-A49B8E8BCB79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H202" authorId="0" shapeId="0" xr:uid="{511A5986-E617-431D-B50A-A301BDBA8613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C291" authorId="0" shapeId="0" xr:uid="{5908418E-05E0-49A0-9880-CD2E10CDF9C4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E291" authorId="0" shapeId="0" xr:uid="{980A16C0-3329-4987-96AB-9DAA3F983D7D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D343" authorId="0" shapeId="0" xr:uid="{12E6767B-0C36-454E-94A3-AB4E51766194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玻璃宽度大于</t>
        </r>
        <r>
          <rPr>
            <sz val="9"/>
            <rFont val="Tahoma"/>
            <family val="2"/>
            <charset val="134"/>
          </rPr>
          <t>900mm</t>
        </r>
        <r>
          <rPr>
            <sz val="9"/>
            <rFont val="宋体"/>
            <family val="3"/>
            <charset val="134"/>
          </rPr>
          <t>时</t>
        </r>
        <r>
          <rPr>
            <sz val="9"/>
            <rFont val="Tahoma"/>
            <family val="2"/>
            <charset val="134"/>
          </rPr>
          <t xml:space="preserve">   </t>
        </r>
        <r>
          <rPr>
            <sz val="9"/>
            <rFont val="宋体"/>
            <family val="3"/>
            <charset val="134"/>
          </rPr>
          <t>填</t>
        </r>
        <r>
          <rPr>
            <sz val="9"/>
            <rFont val="Tahoma"/>
            <family val="2"/>
            <charset val="134"/>
          </rPr>
          <t xml:space="preserve">    1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16" authorId="0" shapeId="0" xr:uid="{3569258E-E564-42F0-83F7-16A5EF3A8773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B123" authorId="0" shapeId="0" xr:uid="{8D60CB1E-05D5-47B1-835D-A589B0ED055F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内开门线重</t>
        </r>
        <r>
          <rPr>
            <sz val="9"/>
            <rFont val="Tahoma"/>
            <family val="2"/>
            <charset val="134"/>
          </rPr>
          <t>2.280</t>
        </r>
      </text>
    </comment>
    <comment ref="C181" authorId="0" shapeId="0" xr:uid="{7261B9FC-9A5F-4DAB-A7AE-FFD3F801F333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C195" authorId="0" shapeId="0" xr:uid="{C5B4D510-A219-490B-BDC5-A0F0B9EEEF7D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90°转角</t>
        </r>
      </text>
    </comment>
    <comment ref="D202" authorId="0" shapeId="0" xr:uid="{67A0F035-727B-4326-8BBB-6B9E7C418D8B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H202" authorId="0" shapeId="0" xr:uid="{987320DC-61AD-4A51-AEFB-EB55173B1D41}">
      <text>
        <r>
          <rPr>
            <b/>
            <sz val="9"/>
            <rFont val="宋体"/>
            <family val="3"/>
            <charset val="134"/>
          </rPr>
          <t>32: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14"/>
            <color indexed="10"/>
            <rFont val="宋体"/>
            <family val="3"/>
            <charset val="134"/>
          </rPr>
          <t>已经包含了单个角码的损耗</t>
        </r>
      </text>
    </comment>
    <comment ref="C291" authorId="0" shapeId="0" xr:uid="{DBBF5F97-A3FF-4A82-B26D-561BF9156446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E291" authorId="0" shapeId="0" xr:uid="{888FCE81-192B-447E-A338-5067AB647940}">
      <text>
        <r>
          <rPr>
            <b/>
            <sz val="9"/>
            <rFont val="宋体"/>
            <family val="3"/>
            <charset val="134"/>
          </rPr>
          <t xml:space="preserve">雨林木feng
钢化
</t>
        </r>
      </text>
    </comment>
    <comment ref="D343" authorId="0" shapeId="0" xr:uid="{A78C5B33-57DF-4053-8C3E-BF68B96A3C67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玻璃宽度大于</t>
        </r>
        <r>
          <rPr>
            <sz val="9"/>
            <rFont val="Tahoma"/>
            <family val="2"/>
            <charset val="134"/>
          </rPr>
          <t>900mm</t>
        </r>
        <r>
          <rPr>
            <sz val="9"/>
            <rFont val="宋体"/>
            <family val="3"/>
            <charset val="134"/>
          </rPr>
          <t>时</t>
        </r>
        <r>
          <rPr>
            <sz val="9"/>
            <rFont val="Tahoma"/>
            <family val="2"/>
            <charset val="134"/>
          </rPr>
          <t xml:space="preserve">   </t>
        </r>
        <r>
          <rPr>
            <sz val="9"/>
            <rFont val="宋体"/>
            <family val="3"/>
            <charset val="134"/>
          </rPr>
          <t>填</t>
        </r>
        <r>
          <rPr>
            <sz val="9"/>
            <rFont val="Tahoma"/>
            <family val="2"/>
            <charset val="134"/>
          </rPr>
          <t xml:space="preserve">    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<sst xmlns="http://schemas.openxmlformats.org/spreadsheetml/2006/main" count="29996" uniqueCount="957">
  <si>
    <t>序号</t>
  </si>
  <si>
    <t>备注</t>
  </si>
  <si>
    <t>宽</t>
  </si>
  <si>
    <t>高</t>
  </si>
  <si>
    <t>合计</t>
  </si>
  <si>
    <t>樘数</t>
  </si>
  <si>
    <t>㎡</t>
  </si>
  <si>
    <t>面积</t>
  </si>
  <si>
    <t>数量</t>
  </si>
  <si>
    <t>24mm</t>
  </si>
  <si>
    <t>表面处理</t>
  </si>
  <si>
    <t>静电粉末喷涂</t>
  </si>
  <si>
    <t>N0.1</t>
  </si>
  <si>
    <t>副框线重速求表</t>
  </si>
  <si>
    <t>代号</t>
  </si>
  <si>
    <t>门窗尺寸</t>
  </si>
  <si>
    <t>宽度</t>
  </si>
  <si>
    <t>高度</t>
  </si>
  <si>
    <t>总面积</t>
  </si>
  <si>
    <t>宽度:mm</t>
  </si>
  <si>
    <t>高度:mm</t>
  </si>
  <si>
    <t>壁厚:mm</t>
  </si>
  <si>
    <t>线重</t>
  </si>
  <si>
    <t>洞口尺寸</t>
  </si>
  <si>
    <t>主框尺寸</t>
  </si>
  <si>
    <t>钢副框（热）</t>
  </si>
  <si>
    <t>宽数量</t>
  </si>
  <si>
    <t>高数量</t>
  </si>
  <si>
    <t>单价</t>
  </si>
  <si>
    <t>总价</t>
  </si>
  <si>
    <t>40*20*2.0</t>
  </si>
  <si>
    <t>80*40*2</t>
  </si>
  <si>
    <t>50*50*2.0</t>
  </si>
  <si>
    <t>副框平米用量</t>
  </si>
  <si>
    <t>（Kg/m2)</t>
  </si>
  <si>
    <r>
      <rPr>
        <i/>
        <sz val="10"/>
        <rFont val="黑体"/>
        <family val="3"/>
        <charset val="134"/>
      </rPr>
      <t>（元/m</t>
    </r>
    <r>
      <rPr>
        <i/>
        <vertAlign val="superscript"/>
        <sz val="10"/>
        <rFont val="黑体"/>
        <family val="3"/>
        <charset val="134"/>
      </rPr>
      <t>2</t>
    </r>
    <r>
      <rPr>
        <i/>
        <sz val="10"/>
        <rFont val="黑体"/>
        <family val="3"/>
        <charset val="134"/>
      </rPr>
      <t>)</t>
    </r>
  </si>
  <si>
    <t>型材名称</t>
  </si>
  <si>
    <t>横</t>
  </si>
  <si>
    <t>竖</t>
  </si>
  <si>
    <t>周长</t>
  </si>
  <si>
    <t>重量</t>
  </si>
  <si>
    <t>平开窗框</t>
  </si>
  <si>
    <t>型材总长度</t>
  </si>
  <si>
    <t>型材总重量</t>
  </si>
  <si>
    <t>型材单价</t>
  </si>
  <si>
    <t>型材总价</t>
  </si>
  <si>
    <t>外侧装饰面长</t>
  </si>
  <si>
    <t>外侧装饰面积</t>
  </si>
  <si>
    <t>喷涂单价</t>
  </si>
  <si>
    <t>喷涂总价</t>
  </si>
  <si>
    <t>内侧装饰面长</t>
  </si>
  <si>
    <t>内侧装饰面积</t>
  </si>
  <si>
    <t>宽缩尺</t>
  </si>
  <si>
    <t>高缩尺</t>
  </si>
  <si>
    <t>内平开窗扇</t>
  </si>
  <si>
    <t>SDF2885</t>
  </si>
  <si>
    <t>1.框-框</t>
  </si>
  <si>
    <t>普通扇</t>
  </si>
  <si>
    <t>2.框-中梃</t>
  </si>
  <si>
    <t>钢化扇</t>
  </si>
  <si>
    <t>3.中梃-中梃</t>
  </si>
  <si>
    <t>（宽）缩尺</t>
  </si>
  <si>
    <t>（高）缩尺</t>
  </si>
  <si>
    <t>外平开窗扇</t>
  </si>
  <si>
    <t>SDF2806</t>
  </si>
  <si>
    <t>11.转.框-框</t>
  </si>
  <si>
    <t>12.转.框-中梃</t>
  </si>
  <si>
    <t>13.转.中梃-中梃</t>
  </si>
  <si>
    <t>转换料</t>
  </si>
  <si>
    <t>SDF3162
(扇转换）</t>
  </si>
  <si>
    <t>SDF3162
(固定转换）</t>
  </si>
  <si>
    <t>横数量</t>
  </si>
  <si>
    <t>竖数量</t>
  </si>
  <si>
    <t>窗中梃</t>
  </si>
  <si>
    <t>竖/横</t>
  </si>
  <si>
    <t>竖/横数量</t>
  </si>
  <si>
    <t>加强中梃</t>
  </si>
  <si>
    <t>SDF2808</t>
  </si>
  <si>
    <t>SDF2809</t>
  </si>
  <si>
    <t>固定压线</t>
  </si>
  <si>
    <t>g钢化固定</t>
  </si>
  <si>
    <t>超大钢化固定6mm</t>
  </si>
  <si>
    <t>内开窗扇压线</t>
  </si>
  <si>
    <t>SDL3484</t>
  </si>
  <si>
    <t>外开窗扇压线</t>
  </si>
  <si>
    <t>平开门框</t>
  </si>
  <si>
    <t>SDF2818</t>
  </si>
  <si>
    <t>外开门扇</t>
  </si>
  <si>
    <t xml:space="preserve">SDF2821
</t>
  </si>
  <si>
    <t>3.对开门</t>
  </si>
  <si>
    <t>内开门扇</t>
  </si>
  <si>
    <t>SDF2820</t>
  </si>
  <si>
    <t>门中梃</t>
  </si>
  <si>
    <t>SDF2819</t>
  </si>
  <si>
    <t>门假中梃</t>
  </si>
  <si>
    <t>SDF2811</t>
  </si>
  <si>
    <t>外开门扇压线</t>
  </si>
  <si>
    <t>内开门扇压线</t>
  </si>
  <si>
    <t>门框固定压线</t>
  </si>
  <si>
    <t>SDL3483</t>
  </si>
  <si>
    <t>零拼</t>
  </si>
  <si>
    <t>SDL2468</t>
  </si>
  <si>
    <t>拼管</t>
  </si>
  <si>
    <t>SDF2841</t>
  </si>
  <si>
    <t>26拼</t>
  </si>
  <si>
    <t>SDF2842</t>
  </si>
  <si>
    <t>加强拼</t>
  </si>
  <si>
    <t>SDF2323</t>
  </si>
  <si>
    <t>90°转角管</t>
  </si>
  <si>
    <t>SDF2845</t>
  </si>
  <si>
    <t>135°转角管</t>
  </si>
  <si>
    <t>SDF2844</t>
  </si>
  <si>
    <t>白料名称</t>
  </si>
  <si>
    <t>长度</t>
  </si>
  <si>
    <t>11.7</t>
  </si>
  <si>
    <t>门框角码
（SDL3248)</t>
  </si>
  <si>
    <t>10.6</t>
  </si>
  <si>
    <t>21.7</t>
  </si>
  <si>
    <t>20.6</t>
  </si>
  <si>
    <t>27.7</t>
  </si>
  <si>
    <t>内开门扇内铝角码(SDL3257)</t>
  </si>
  <si>
    <t>5.1</t>
  </si>
  <si>
    <t>6.2</t>
  </si>
  <si>
    <t>内开门扇外铝角码(SDL3258)</t>
  </si>
  <si>
    <t>26.6</t>
  </si>
  <si>
    <t>8.2</t>
  </si>
  <si>
    <t>2.2</t>
  </si>
  <si>
    <t>外开门扇内铝角码(SDL3258)</t>
  </si>
  <si>
    <t>24.4</t>
  </si>
  <si>
    <t>25.5</t>
  </si>
  <si>
    <t>2.84</t>
  </si>
  <si>
    <t>外开门扇外铝角码(SDL3250)</t>
  </si>
  <si>
    <t>7.1</t>
  </si>
  <si>
    <t>悬窗传动杆</t>
  </si>
  <si>
    <t>门中梃角码(SDL2248)</t>
  </si>
  <si>
    <t>平开传动杆</t>
  </si>
  <si>
    <t>门中梃角码(SDL2249)</t>
  </si>
  <si>
    <t>铝角码汇总</t>
  </si>
  <si>
    <t>型材总重</t>
  </si>
  <si>
    <t>名称</t>
  </si>
  <si>
    <t>批水铝</t>
  </si>
  <si>
    <t>C066</t>
  </si>
  <si>
    <t>铝锭价格</t>
  </si>
  <si>
    <t>隔热型材总重</t>
  </si>
  <si>
    <t>隔热加工费</t>
  </si>
  <si>
    <t>隔热总价</t>
  </si>
  <si>
    <t>26mm  I条加工费</t>
  </si>
  <si>
    <t>普铝型材总重</t>
  </si>
  <si>
    <t>普铝加工费</t>
  </si>
  <si>
    <t>普铝总价</t>
  </si>
  <si>
    <t>26mm  C条加工费</t>
  </si>
  <si>
    <t>白料小计</t>
  </si>
  <si>
    <t>白料加工费</t>
  </si>
  <si>
    <t>白料总价</t>
  </si>
  <si>
    <t>26mm   T条加工费</t>
  </si>
  <si>
    <t>外侧喷涂面积</t>
  </si>
  <si>
    <t>喷涂价格</t>
  </si>
  <si>
    <t>内侧喷涂面积</t>
  </si>
  <si>
    <t>型材部分合计</t>
  </si>
  <si>
    <t>玻璃名称</t>
  </si>
  <si>
    <t>价格</t>
  </si>
  <si>
    <t>普中空、窗扇 (内开）</t>
  </si>
  <si>
    <t>普中空、窗扇（内开）</t>
  </si>
  <si>
    <t>普中空、窗扇（外开）</t>
  </si>
  <si>
    <t>开启扇玻璃（普）</t>
  </si>
  <si>
    <t>钢化中空、窗扇（内开）</t>
  </si>
  <si>
    <t>钢化中空、窗扇（外开）</t>
  </si>
  <si>
    <t>开启扇玻璃（钢）</t>
  </si>
  <si>
    <t>固定普中空</t>
  </si>
  <si>
    <t>固定钢化中空</t>
  </si>
  <si>
    <t>固定部分（钢）</t>
  </si>
  <si>
    <t>固定夹胶钢化中空</t>
  </si>
  <si>
    <t>固定部分（夹胶钢化）</t>
  </si>
  <si>
    <t>钢化中空、门扇</t>
  </si>
  <si>
    <t>外开门扇玻璃（钢）</t>
  </si>
  <si>
    <t>内开门扇玻璃（钢）</t>
  </si>
  <si>
    <t>门钢化中空玻璃</t>
  </si>
  <si>
    <t>.</t>
  </si>
  <si>
    <t>门固定小计（钢）</t>
  </si>
  <si>
    <t>6mm钢化中空</t>
  </si>
  <si>
    <t>特殊玻璃</t>
  </si>
  <si>
    <t>8mm钢化中空</t>
  </si>
  <si>
    <t>小计</t>
  </si>
  <si>
    <t>普通玻璃</t>
  </si>
  <si>
    <t>玻璃个数</t>
  </si>
  <si>
    <t>玻璃总价</t>
  </si>
  <si>
    <t>钢化玻璃</t>
  </si>
  <si>
    <t>五金件及附件</t>
  </si>
  <si>
    <t>扇宽度</t>
  </si>
  <si>
    <t>扇高度</t>
  </si>
  <si>
    <t>五金品牌</t>
  </si>
  <si>
    <t>标配单价</t>
  </si>
  <si>
    <t>内平开下悬窗五金</t>
  </si>
  <si>
    <t>坚朗</t>
    <phoneticPr fontId="5" type="noConversion"/>
  </si>
  <si>
    <t>扇宽650-1250
扇高1500-1800</t>
  </si>
  <si>
    <t>内平开窗五金</t>
  </si>
  <si>
    <t>2点锁
扇宽400-850
扇高1400-1700</t>
  </si>
  <si>
    <t>外平开窗五金</t>
  </si>
  <si>
    <t>外悬窗五金</t>
  </si>
  <si>
    <t>平开门五金件</t>
  </si>
  <si>
    <t>单扇</t>
  </si>
  <si>
    <t>双扇</t>
  </si>
  <si>
    <t>五金小计</t>
  </si>
  <si>
    <t>s≤0.8㎡</t>
  </si>
  <si>
    <t>隐形纱窗</t>
  </si>
  <si>
    <t>玻璃纤维</t>
    <phoneticPr fontId="5" type="noConversion"/>
  </si>
  <si>
    <t>纱门</t>
  </si>
  <si>
    <t>折叠纱门</t>
  </si>
  <si>
    <t>纱窗、门小计</t>
  </si>
  <si>
    <t>固定片</t>
  </si>
  <si>
    <t>20*220*1.5  镀锌</t>
  </si>
  <si>
    <t>射钉射弹</t>
  </si>
  <si>
    <t>如选用尼龙胀栓0.2</t>
  </si>
  <si>
    <t>包装纸保护膜</t>
  </si>
  <si>
    <t>包装四角</t>
  </si>
  <si>
    <t>安装材料小计</t>
  </si>
  <si>
    <t>组角胶</t>
  </si>
  <si>
    <t>内墙密封胶</t>
  </si>
  <si>
    <t>内墙胶每支3.5米</t>
  </si>
  <si>
    <t>外墙密封胶</t>
  </si>
  <si>
    <t>外墙胶每支2.5米</t>
  </si>
  <si>
    <t>发泡胶</t>
  </si>
  <si>
    <t>发泡带副框每支6.5米，无副框每支10米。如墙体和副框采用水泥砂浆，按每支10米计算。</t>
  </si>
  <si>
    <t>每支10米，配垫条使用</t>
  </si>
  <si>
    <t>室外玻璃胶，每支6米</t>
  </si>
  <si>
    <t>胶条用胶</t>
  </si>
  <si>
    <t>U型胶</t>
  </si>
  <si>
    <t>胶类小计</t>
  </si>
  <si>
    <t>内开门鸭嘴胶条</t>
  </si>
  <si>
    <t>内开门搭接胶条</t>
  </si>
  <si>
    <t>外开门搭接胶条</t>
  </si>
  <si>
    <t>胶条小计</t>
  </si>
  <si>
    <t>框玻璃垫块DPCZ065</t>
  </si>
  <si>
    <t>框下部用2个</t>
  </si>
  <si>
    <t>扇对角用   2个/角</t>
  </si>
  <si>
    <t>门框大于2200时增加</t>
  </si>
  <si>
    <t>门扇大于2200时增加</t>
  </si>
  <si>
    <t>调整垫块DPCZ052\053（1mm、2mm)</t>
  </si>
  <si>
    <t>框玻璃宽度大于900mm时增加</t>
  </si>
  <si>
    <t>组角钢片</t>
  </si>
  <si>
    <t>中梃止水片</t>
  </si>
  <si>
    <t>FJFD753.754</t>
  </si>
  <si>
    <t>中梃封堵</t>
  </si>
  <si>
    <t>FJFD467</t>
  </si>
  <si>
    <t>排水盖</t>
  </si>
  <si>
    <t>FJPS017.018</t>
  </si>
  <si>
    <t>自攻钉</t>
  </si>
  <si>
    <t>JGZG006</t>
  </si>
  <si>
    <t>零星附件小计</t>
  </si>
  <si>
    <t>副框角码</t>
  </si>
  <si>
    <t>隔热条填充物</t>
  </si>
  <si>
    <t>框发泡PE</t>
  </si>
  <si>
    <t>DPTC025</t>
  </si>
  <si>
    <t>扇发泡PE</t>
  </si>
  <si>
    <t>DPTC013</t>
  </si>
  <si>
    <t>型材拉弯费用</t>
  </si>
  <si>
    <t>特需增加之附件小计</t>
  </si>
  <si>
    <t>五金及附件小计</t>
  </si>
  <si>
    <t>单方造价</t>
  </si>
  <si>
    <t>单樘总价</t>
  </si>
  <si>
    <t>副框用量</t>
  </si>
  <si>
    <t>型材用量</t>
  </si>
  <si>
    <t>喷涂用量</t>
  </si>
  <si>
    <t>玻璃用量</t>
  </si>
  <si>
    <t>五金用量</t>
  </si>
  <si>
    <t>纱窗用量</t>
  </si>
  <si>
    <t>其它附件</t>
  </si>
  <si>
    <t>五金数量</t>
  </si>
  <si>
    <t>单樘面积：</t>
  </si>
  <si>
    <t>单位</t>
  </si>
  <si>
    <t>合价</t>
  </si>
  <si>
    <t>kg</t>
  </si>
  <si>
    <t>五金件</t>
  </si>
  <si>
    <t>套</t>
  </si>
  <si>
    <t>个</t>
  </si>
  <si>
    <t>胶条</t>
  </si>
  <si>
    <t>m</t>
  </si>
  <si>
    <t>65系列耐火窗材料费用表</t>
  </si>
  <si>
    <t>支</t>
  </si>
  <si>
    <t>项目名称</t>
  </si>
  <si>
    <t>使用位置</t>
  </si>
  <si>
    <t>用量</t>
  </si>
  <si>
    <t>耐火时效</t>
  </si>
  <si>
    <t>发泡剂</t>
  </si>
  <si>
    <t>隔热条内腔钢条</t>
  </si>
  <si>
    <t>1小时</t>
  </si>
  <si>
    <t>角部连接件</t>
  </si>
  <si>
    <t>工艺框和中挺用，测算底子框，扇，挺全用</t>
  </si>
  <si>
    <t>安装费</t>
  </si>
  <si>
    <t>玻璃卡件</t>
  </si>
  <si>
    <t>机械费</t>
  </si>
  <si>
    <t>DPCZ095</t>
  </si>
  <si>
    <t>其他附件风险费用</t>
  </si>
  <si>
    <t>材料</t>
  </si>
  <si>
    <t>外悬窗</t>
    <phoneticPr fontId="5" type="noConversion"/>
  </si>
  <si>
    <t>单开门</t>
    <phoneticPr fontId="5" type="noConversion"/>
  </si>
  <si>
    <t>对开门</t>
    <phoneticPr fontId="5" type="noConversion"/>
  </si>
  <si>
    <t>安泰</t>
  </si>
  <si>
    <t>固诺</t>
  </si>
  <si>
    <t>附框内口尺寸</t>
    <phoneticPr fontId="5" type="noConversion"/>
  </si>
  <si>
    <t>平开金刚纱窗</t>
    <phoneticPr fontId="5" type="noConversion"/>
  </si>
  <si>
    <t>单个重量</t>
  </si>
  <si>
    <t>窗框角码</t>
  </si>
  <si>
    <t>转换料角码</t>
  </si>
  <si>
    <t>白料总重：</t>
  </si>
  <si>
    <t>一</t>
  </si>
  <si>
    <t>二</t>
  </si>
  <si>
    <t>三</t>
  </si>
  <si>
    <t>四</t>
  </si>
  <si>
    <t>五</t>
  </si>
  <si>
    <t>六</t>
  </si>
  <si>
    <t>七</t>
  </si>
  <si>
    <t>m2</t>
  </si>
  <si>
    <t>樘</t>
  </si>
  <si>
    <t>人工费</t>
  </si>
  <si>
    <t>直接费</t>
  </si>
  <si>
    <t>1.8mm壁厚</t>
    <phoneticPr fontId="5" type="noConversion"/>
  </si>
  <si>
    <t>内开内倒窗（隐藏式）</t>
    <phoneticPr fontId="5" type="noConversion"/>
  </si>
  <si>
    <t>内平开窗（隐藏式）</t>
    <phoneticPr fontId="5" type="noConversion"/>
  </si>
  <si>
    <t>外平开窗</t>
    <phoneticPr fontId="5" type="noConversion"/>
  </si>
  <si>
    <t>8单银Low-E+12Ar+8+12A+8mm</t>
  </si>
  <si>
    <t>10单银Low-E+12Ar+10+12A+10mm</t>
  </si>
  <si>
    <t>12单银Low-E+12Ar+12+12A+12mm</t>
  </si>
  <si>
    <t>普（SDL2280）</t>
    <phoneticPr fontId="5" type="noConversion"/>
  </si>
  <si>
    <t>钢（SDL2280）</t>
    <phoneticPr fontId="5" type="noConversion"/>
  </si>
  <si>
    <t>夹胶钢（SDL2280）</t>
    <phoneticPr fontId="5" type="noConversion"/>
  </si>
  <si>
    <t>SDL2281</t>
    <phoneticPr fontId="5" type="noConversion"/>
  </si>
  <si>
    <t>窗框角码 （LJJP495)</t>
    <phoneticPr fontId="5" type="noConversion"/>
  </si>
  <si>
    <t>窗框角码 （LJJP496)</t>
  </si>
  <si>
    <t>内开窗扇外铝角码（LJJP628)</t>
    <phoneticPr fontId="5" type="noConversion"/>
  </si>
  <si>
    <t>内开窗扇内铝角码（LJJP497)</t>
    <phoneticPr fontId="5" type="noConversion"/>
  </si>
  <si>
    <t>外开窗扇内铝角码 （LJJP493)</t>
    <phoneticPr fontId="5" type="noConversion"/>
  </si>
  <si>
    <t>外开窗扇外铝角码 （LJJP494)</t>
    <phoneticPr fontId="5" type="noConversion"/>
  </si>
  <si>
    <t>转换料角码 （LJJP490)</t>
    <phoneticPr fontId="5" type="noConversion"/>
  </si>
  <si>
    <t>转换料角码 （LJJP730)</t>
    <phoneticPr fontId="5" type="noConversion"/>
  </si>
  <si>
    <t>窗中梃角码（SDL2879)</t>
    <phoneticPr fontId="5" type="noConversion"/>
  </si>
  <si>
    <t>窗中梃角码（SDL3132)</t>
    <phoneticPr fontId="5" type="noConversion"/>
  </si>
  <si>
    <t>21</t>
    <phoneticPr fontId="5" type="noConversion"/>
  </si>
  <si>
    <t>10.5</t>
    <phoneticPr fontId="5" type="noConversion"/>
  </si>
  <si>
    <t>型材总价</t>
    <phoneticPr fontId="5" type="noConversion"/>
  </si>
  <si>
    <t>铝角码一支打60个角，如果采用注胶角码，双组份胶一支打45个角，1.9元每个角。</t>
    <phoneticPr fontId="5" type="noConversion"/>
  </si>
  <si>
    <t>室外侧玻璃胶（配垫条）</t>
    <phoneticPr fontId="5" type="noConversion"/>
  </si>
  <si>
    <t>室内侧玻璃胶（纯打胶）</t>
    <phoneticPr fontId="5" type="noConversion"/>
  </si>
  <si>
    <t>室外侧玻璃垫条（不可取消）</t>
    <phoneticPr fontId="5" type="noConversion"/>
  </si>
  <si>
    <t>MFJT2797</t>
    <phoneticPr fontId="5" type="noConversion"/>
  </si>
  <si>
    <t>MFJT2182+MFJT2183</t>
    <phoneticPr fontId="5" type="noConversion"/>
  </si>
  <si>
    <t>MFJT2732</t>
    <phoneticPr fontId="5" type="noConversion"/>
  </si>
  <si>
    <t>内开窗扇鸭嘴胶条</t>
    <phoneticPr fontId="5" type="noConversion"/>
  </si>
  <si>
    <t>MFJT2302</t>
    <phoneticPr fontId="5" type="noConversion"/>
  </si>
  <si>
    <t>压线胶条（不可取消）</t>
    <phoneticPr fontId="5" type="noConversion"/>
  </si>
  <si>
    <t>窗内开扇扇下侧等压胶条</t>
    <phoneticPr fontId="5" type="noConversion"/>
  </si>
  <si>
    <t>MFJT2462</t>
    <phoneticPr fontId="5" type="noConversion"/>
  </si>
  <si>
    <t>MFJT2713</t>
    <phoneticPr fontId="5" type="noConversion"/>
  </si>
  <si>
    <t>固定部分防水胶条</t>
    <phoneticPr fontId="5" type="noConversion"/>
  </si>
  <si>
    <t>MFJT2183+MFJT2708</t>
    <phoneticPr fontId="5" type="noConversion"/>
  </si>
  <si>
    <t>外平窗扇装饰胶条</t>
    <phoneticPr fontId="5" type="noConversion"/>
  </si>
  <si>
    <t>内开窗扇搭接胶条</t>
    <phoneticPr fontId="5" type="noConversion"/>
  </si>
  <si>
    <t>外平窗扇搭接胶条</t>
    <phoneticPr fontId="5" type="noConversion"/>
  </si>
  <si>
    <t>MFJT2706</t>
    <phoneticPr fontId="5" type="noConversion"/>
  </si>
  <si>
    <t>搭接胶条焊接胶角</t>
    <phoneticPr fontId="5" type="noConversion"/>
  </si>
  <si>
    <t>鸭嘴胶条焊接胶角</t>
    <phoneticPr fontId="5" type="noConversion"/>
  </si>
  <si>
    <t>MFJT2741</t>
    <phoneticPr fontId="5" type="noConversion"/>
  </si>
  <si>
    <t>外平窗门装饰胶条</t>
    <phoneticPr fontId="5" type="noConversion"/>
  </si>
  <si>
    <t>根据甲方要求选用</t>
    <phoneticPr fontId="5" type="noConversion"/>
  </si>
  <si>
    <t>室外安装玻璃胶条（MFJT2797）</t>
    <phoneticPr fontId="5" type="noConversion"/>
  </si>
  <si>
    <t>室内安装玻璃胶条（MFJT2911）</t>
    <phoneticPr fontId="5" type="noConversion"/>
  </si>
  <si>
    <t>框玻璃垫块DPCZ084</t>
    <phoneticPr fontId="5" type="noConversion"/>
  </si>
  <si>
    <t>扇玻璃垫块DPCZ048</t>
    <phoneticPr fontId="5" type="noConversion"/>
  </si>
  <si>
    <t>LJJP443,LJJP682</t>
    <phoneticPr fontId="5" type="noConversion"/>
  </si>
  <si>
    <t>中梃泡棉</t>
    <phoneticPr fontId="5" type="noConversion"/>
  </si>
  <si>
    <t>LCFJ189</t>
    <phoneticPr fontId="5" type="noConversion"/>
  </si>
  <si>
    <t>均质处理</t>
    <phoneticPr fontId="5" type="noConversion"/>
  </si>
  <si>
    <t>超白 海阳顺达</t>
    <phoneticPr fontId="5" type="noConversion"/>
  </si>
  <si>
    <t>坚朗(打logo)</t>
    <phoneticPr fontId="5" type="noConversion"/>
  </si>
  <si>
    <t>中性硅酮密封胶（500ml)</t>
    <phoneticPr fontId="5" type="noConversion"/>
  </si>
  <si>
    <t>平开电动开窗器(安装）</t>
    <phoneticPr fontId="5" type="noConversion"/>
  </si>
  <si>
    <t>MFJT2869</t>
    <phoneticPr fontId="5" type="noConversion"/>
  </si>
  <si>
    <t>MFJT2927</t>
    <phoneticPr fontId="5" type="noConversion"/>
  </si>
  <si>
    <t>MFJT2183+MFJT2656</t>
    <phoneticPr fontId="5" type="noConversion"/>
  </si>
  <si>
    <t>代号</t>
    <phoneticPr fontId="5" type="noConversion"/>
  </si>
  <si>
    <t>LCFJ140</t>
    <phoneticPr fontId="5" type="noConversion"/>
  </si>
  <si>
    <t>硬质膨胀条（2*15）</t>
    <phoneticPr fontId="5" type="noConversion"/>
  </si>
  <si>
    <t>防火玻璃垫块</t>
    <phoneticPr fontId="5" type="noConversion"/>
  </si>
  <si>
    <t>0.5小时</t>
    <phoneticPr fontId="5" type="noConversion"/>
  </si>
  <si>
    <t>1小时不使用</t>
    <phoneticPr fontId="5" type="noConversion"/>
  </si>
  <si>
    <t>中性硅酮密封胶（500ml)耐火胶</t>
    <phoneticPr fontId="5" type="noConversion"/>
  </si>
  <si>
    <t>MFJT2618、2619</t>
    <phoneticPr fontId="5" type="noConversion"/>
  </si>
  <si>
    <t>玻璃毛细管</t>
    <phoneticPr fontId="5" type="noConversion"/>
  </si>
  <si>
    <t>防雷装置</t>
    <phoneticPr fontId="5" type="noConversion"/>
  </si>
  <si>
    <t>框、扇、中梃</t>
    <phoneticPr fontId="5" type="noConversion"/>
  </si>
  <si>
    <t>框防火膨胀条（210B)</t>
    <phoneticPr fontId="5" type="noConversion"/>
  </si>
  <si>
    <t>扇防火膨胀条（210B)</t>
    <phoneticPr fontId="5" type="noConversion"/>
  </si>
  <si>
    <t>框</t>
    <phoneticPr fontId="5" type="noConversion"/>
  </si>
  <si>
    <t>扇</t>
    <phoneticPr fontId="5" type="noConversion"/>
  </si>
  <si>
    <t>LCFJ810+163</t>
    <phoneticPr fontId="5" type="noConversion"/>
  </si>
  <si>
    <t>LCFJ160</t>
    <phoneticPr fontId="5" type="noConversion"/>
  </si>
  <si>
    <t>胶条单价</t>
    <phoneticPr fontId="5" type="noConversion"/>
  </si>
  <si>
    <t>玻璃贴膜+运费</t>
    <phoneticPr fontId="5" type="noConversion"/>
  </si>
  <si>
    <t>产品附件费用</t>
    <phoneticPr fontId="5" type="noConversion"/>
  </si>
  <si>
    <t>阻燃胶条价格</t>
    <phoneticPr fontId="5" type="noConversion"/>
  </si>
  <si>
    <t>MFJT2182+MFJT2656</t>
    <phoneticPr fontId="5" type="noConversion"/>
  </si>
  <si>
    <t>内平开金刚纱窗</t>
    <phoneticPr fontId="5" type="noConversion"/>
  </si>
  <si>
    <t>MS65F系列（注胶角码）</t>
    <phoneticPr fontId="5" type="noConversion"/>
  </si>
  <si>
    <t>材料清单报价单</t>
    <phoneticPr fontId="5" type="noConversion"/>
  </si>
  <si>
    <t>SDF2894</t>
    <phoneticPr fontId="5" type="noConversion"/>
  </si>
  <si>
    <t>SDF3160</t>
    <phoneticPr fontId="5" type="noConversion"/>
  </si>
  <si>
    <t>类型</t>
  </si>
  <si>
    <t>设计编号</t>
  </si>
  <si>
    <t>外门</t>
  </si>
  <si>
    <t>WM1121</t>
  </si>
  <si>
    <t>WM1127</t>
  </si>
  <si>
    <t>WM1635</t>
  </si>
  <si>
    <t>WM1830</t>
  </si>
  <si>
    <t>WM2021</t>
  </si>
  <si>
    <t>WM2035</t>
  </si>
  <si>
    <t>WM2335</t>
  </si>
  <si>
    <t>WM2338</t>
  </si>
  <si>
    <t>WM2338-G</t>
  </si>
  <si>
    <t>WM3935</t>
  </si>
  <si>
    <t>WM5424</t>
  </si>
  <si>
    <t>WM1126-xf</t>
  </si>
  <si>
    <t>消防救援口</t>
  </si>
  <si>
    <t>WM1127-xf</t>
  </si>
  <si>
    <t>WM2035-xf</t>
  </si>
  <si>
    <t>WM3935-xf</t>
  </si>
  <si>
    <t>外窗</t>
  </si>
  <si>
    <t>C1014</t>
  </si>
  <si>
    <t>C1117</t>
  </si>
  <si>
    <t>C1121</t>
  </si>
  <si>
    <t>C1122</t>
  </si>
  <si>
    <t>C1126</t>
  </si>
  <si>
    <t>C1127</t>
  </si>
  <si>
    <t>C1417</t>
  </si>
  <si>
    <t>C1837</t>
  </si>
  <si>
    <t>C2330</t>
  </si>
  <si>
    <t>C2335</t>
  </si>
  <si>
    <t>C2338</t>
  </si>
  <si>
    <t>C2430</t>
  </si>
  <si>
    <t>C2722</t>
  </si>
  <si>
    <t>C2727</t>
  </si>
  <si>
    <t>C2730</t>
  </si>
  <si>
    <t>C2735</t>
  </si>
  <si>
    <t>C2730-xf</t>
  </si>
  <si>
    <t>C2735-BY</t>
  </si>
  <si>
    <t>局部采用防雨百叶</t>
  </si>
  <si>
    <t>C1830-G</t>
  </si>
  <si>
    <t>C2338-G</t>
  </si>
  <si>
    <t>C2723-G</t>
  </si>
  <si>
    <t>C2774-G</t>
  </si>
  <si>
    <t>C2735-G2</t>
  </si>
  <si>
    <t>外门联窗</t>
  </si>
  <si>
    <t>WMLC2727</t>
  </si>
  <si>
    <t>WMLC2737</t>
  </si>
  <si>
    <t>WMLC2727-xf</t>
  </si>
  <si>
    <t>WMLC2730-xf</t>
  </si>
  <si>
    <t>面积</t>
    <phoneticPr fontId="5" type="noConversion"/>
  </si>
  <si>
    <t>成本单价</t>
    <phoneticPr fontId="5" type="noConversion"/>
  </si>
  <si>
    <t>成本合价</t>
    <phoneticPr fontId="5" type="noConversion"/>
  </si>
  <si>
    <t>氟碳三涂·进口条</t>
    <phoneticPr fontId="5" type="noConversion"/>
  </si>
  <si>
    <t>3#工程量统计</t>
  </si>
  <si>
    <t>单樘面积(㎡)</t>
  </si>
  <si>
    <t>工程量(㎡)</t>
  </si>
  <si>
    <t>截图</t>
  </si>
  <si>
    <t>上拱窗户优化为固玻，无需开启</t>
  </si>
  <si>
    <r>
      <rPr>
        <sz val="11"/>
        <color theme="1"/>
        <rFont val="宋体"/>
        <family val="3"/>
        <charset val="134"/>
        <scheme val="minor"/>
      </rPr>
      <t>WM2480</t>
    </r>
    <r>
      <rPr>
        <sz val="11"/>
        <color rgb="FFFF0000"/>
        <rFont val="宋体"/>
        <family val="3"/>
        <charset val="134"/>
        <scheme val="minor"/>
      </rPr>
      <t>-G</t>
    </r>
    <r>
      <rPr>
        <sz val="11"/>
        <color theme="1"/>
        <rFont val="宋体"/>
        <family val="3"/>
        <charset val="134"/>
        <scheme val="minor"/>
      </rPr>
      <t>-xf</t>
    </r>
  </si>
  <si>
    <t>消防救援口，上拱窗户优化为固玻，无需开启</t>
  </si>
  <si>
    <r>
      <rPr>
        <sz val="11"/>
        <rFont val="宋体"/>
        <family val="3"/>
        <charset val="134"/>
        <scheme val="minor"/>
      </rPr>
      <t>C2735</t>
    </r>
    <r>
      <rPr>
        <sz val="11"/>
        <color rgb="FFFF0000"/>
        <rFont val="宋体"/>
        <family val="3"/>
        <charset val="134"/>
        <scheme val="minor"/>
      </rPr>
      <t>-G</t>
    </r>
    <r>
      <rPr>
        <sz val="11"/>
        <rFont val="宋体"/>
        <family val="3"/>
        <charset val="134"/>
        <scheme val="minor"/>
      </rPr>
      <t>-xf</t>
    </r>
  </si>
  <si>
    <t>C2335-G</t>
  </si>
  <si>
    <r>
      <rPr>
        <sz val="11"/>
        <color theme="1"/>
        <rFont val="宋体"/>
        <family val="3"/>
        <charset val="134"/>
        <scheme val="minor"/>
      </rPr>
      <t>WMLC2735</t>
    </r>
    <r>
      <rPr>
        <sz val="11"/>
        <color rgb="FFFF0000"/>
        <rFont val="宋体"/>
        <family val="3"/>
        <charset val="134"/>
        <scheme val="minor"/>
      </rPr>
      <t>-G</t>
    </r>
  </si>
  <si>
    <t>百叶门窗</t>
  </si>
  <si>
    <t>BYC0202</t>
  </si>
  <si>
    <t>BYC0210</t>
  </si>
  <si>
    <t>BYC0302</t>
  </si>
  <si>
    <t>BYC0304</t>
  </si>
  <si>
    <t>BYC0306</t>
  </si>
  <si>
    <t>BYC1127</t>
  </si>
  <si>
    <t>BYC1410</t>
  </si>
  <si>
    <t>BYC1510</t>
  </si>
  <si>
    <t>BYC1610</t>
  </si>
  <si>
    <t>BYC2707</t>
  </si>
  <si>
    <t>BYC2730</t>
  </si>
  <si>
    <t>BYC2907</t>
  </si>
  <si>
    <t>BYC3107</t>
  </si>
  <si>
    <t>BYC7207</t>
  </si>
  <si>
    <t>BYM0610</t>
  </si>
  <si>
    <t>防蚊纱窗</t>
  </si>
  <si>
    <t>阳台铝合金栏杆m</t>
  </si>
  <si>
    <t>4#工程量统计</t>
  </si>
  <si>
    <t>WM2038-1</t>
  </si>
  <si>
    <t>平开窗</t>
  </si>
  <si>
    <t>C2030</t>
  </si>
  <si>
    <t>C2038</t>
  </si>
  <si>
    <t>C2038-BY</t>
  </si>
  <si>
    <t>C2338-BY</t>
  </si>
  <si>
    <t>XC1014</t>
  </si>
  <si>
    <t>固定窗</t>
  </si>
  <si>
    <t>BYC0507</t>
  </si>
  <si>
    <t>BYC0809</t>
  </si>
  <si>
    <t>BYC0907</t>
  </si>
  <si>
    <t>BYC2004</t>
  </si>
  <si>
    <t>BYC2303</t>
  </si>
  <si>
    <t>BYC2805</t>
  </si>
  <si>
    <t>BYC2905</t>
  </si>
  <si>
    <t>5#工程量统计</t>
  </si>
  <si>
    <t>防雨百叶窗</t>
  </si>
  <si>
    <t>通风率不小于70%</t>
  </si>
  <si>
    <t>BYC0305</t>
  </si>
  <si>
    <t>BYC0404</t>
  </si>
  <si>
    <t>BYC0704</t>
  </si>
  <si>
    <t>BYC1212</t>
  </si>
  <si>
    <t>BYC1204</t>
  </si>
  <si>
    <t>BYC0410</t>
  </si>
  <si>
    <t>BYC1720</t>
  </si>
  <si>
    <t>BYC2338</t>
  </si>
  <si>
    <t>BYC1720-1</t>
  </si>
  <si>
    <t>BYC1522</t>
  </si>
  <si>
    <t>BYC2012</t>
  </si>
  <si>
    <t>防雨百叶门</t>
  </si>
  <si>
    <t>BYC0624</t>
  </si>
  <si>
    <t>C0410</t>
  </si>
  <si>
    <t>GDC1212</t>
  </si>
  <si>
    <t>C1217</t>
  </si>
  <si>
    <t>C1938</t>
  </si>
  <si>
    <t>GDC2327</t>
  </si>
  <si>
    <t>C2327</t>
  </si>
  <si>
    <t>外窗框</t>
  </si>
  <si>
    <t>C2360</t>
  </si>
  <si>
    <t>MLC2324</t>
  </si>
  <si>
    <t>MLC2327</t>
  </si>
  <si>
    <t>MLC2324A</t>
  </si>
  <si>
    <t>外门联窗框</t>
  </si>
  <si>
    <t>MLC2360</t>
  </si>
  <si>
    <t>WM1122</t>
  </si>
  <si>
    <t>WM1222</t>
  </si>
  <si>
    <t>WM1325</t>
  </si>
  <si>
    <t>6#工程量统计</t>
  </si>
  <si>
    <t>BYC0504</t>
  </si>
  <si>
    <t>BYC1004</t>
  </si>
  <si>
    <t>BYC2220</t>
  </si>
  <si>
    <t>BYM0624</t>
  </si>
  <si>
    <t>C1212</t>
  </si>
  <si>
    <t>C2127</t>
  </si>
  <si>
    <t>外门框</t>
  </si>
  <si>
    <t>WM1522</t>
  </si>
  <si>
    <t>WM2324</t>
  </si>
  <si>
    <t>其中2个为消防救援窗口</t>
  </si>
  <si>
    <t>MLC2124</t>
  </si>
  <si>
    <t>40个为消防救援窗口</t>
  </si>
  <si>
    <t>MLC2127</t>
  </si>
  <si>
    <t>MLC2355</t>
  </si>
  <si>
    <t>此门联窗为消防救援窗口</t>
  </si>
  <si>
    <t>8#工程量统计</t>
  </si>
  <si>
    <t>WM1130-XF</t>
  </si>
  <si>
    <t>WM1224</t>
  </si>
  <si>
    <t>WM1840</t>
  </si>
  <si>
    <t>WM2888</t>
  </si>
  <si>
    <t>WM2888-w</t>
  </si>
  <si>
    <t>无障碍外门</t>
  </si>
  <si>
    <t>百叶窗</t>
  </si>
  <si>
    <t>BYC0804</t>
  </si>
  <si>
    <t>BYC1130</t>
  </si>
  <si>
    <t>BYC1209</t>
  </si>
  <si>
    <t>BYC1508</t>
  </si>
  <si>
    <t>BYC2435</t>
  </si>
  <si>
    <t>BYC2735</t>
  </si>
  <si>
    <t>C1125</t>
  </si>
  <si>
    <t>外平开</t>
  </si>
  <si>
    <t>C1130</t>
  </si>
  <si>
    <t>C2435</t>
  </si>
  <si>
    <t>C2729</t>
  </si>
  <si>
    <t>C2740</t>
  </si>
  <si>
    <t>C1814-BY</t>
  </si>
  <si>
    <t>C2438-BY</t>
  </si>
  <si>
    <t>C2738-BY</t>
  </si>
  <si>
    <t>C2740-BY</t>
  </si>
  <si>
    <t>高窗</t>
  </si>
  <si>
    <t>GC2009</t>
  </si>
  <si>
    <t>GDC1014</t>
  </si>
  <si>
    <t>GDC1838</t>
  </si>
  <si>
    <t>GDC2438</t>
  </si>
  <si>
    <t>GDC2738</t>
  </si>
  <si>
    <t>通透格栅</t>
  </si>
  <si>
    <t>GS7638</t>
  </si>
  <si>
    <t>GSM7838</t>
  </si>
  <si>
    <t>序号</t>
    <phoneticPr fontId="5" type="noConversion"/>
  </si>
  <si>
    <t>楼号</t>
    <phoneticPr fontId="5" type="noConversion"/>
  </si>
  <si>
    <t>数量</t>
    <phoneticPr fontId="5" type="noConversion"/>
  </si>
  <si>
    <t>备注</t>
    <phoneticPr fontId="5" type="noConversion"/>
  </si>
  <si>
    <t>3#</t>
    <phoneticPr fontId="5" type="noConversion"/>
  </si>
  <si>
    <t>4#</t>
    <phoneticPr fontId="5" type="noConversion"/>
  </si>
  <si>
    <t>5#</t>
    <phoneticPr fontId="5" type="noConversion"/>
  </si>
  <si>
    <t>6#</t>
    <phoneticPr fontId="5" type="noConversion"/>
  </si>
  <si>
    <t>8#</t>
    <phoneticPr fontId="5" type="noConversion"/>
  </si>
  <si>
    <t>成本汇总表</t>
    <phoneticPr fontId="5" type="noConversion"/>
  </si>
  <si>
    <t>洞口宽(mm)</t>
    <phoneticPr fontId="5" type="noConversion"/>
  </si>
  <si>
    <t>洞口高(mm)</t>
    <phoneticPr fontId="5" type="noConversion"/>
  </si>
  <si>
    <t>3B00</t>
  </si>
  <si>
    <t>断桥铝合金(6LOW-E+12A+6)</t>
    <phoneticPr fontId="5" type="noConversion"/>
  </si>
  <si>
    <t>百叶门窗
铝合金防雨百叶，通风率不小于70%</t>
    <phoneticPr fontId="5" type="noConversion"/>
  </si>
  <si>
    <t>百叶窗
铝合金防雨百叶</t>
    <phoneticPr fontId="5" type="noConversion"/>
  </si>
  <si>
    <t>WM1127</t>
    <phoneticPr fontId="5" type="noConversion"/>
  </si>
  <si>
    <t>6单银Low-E+12A+6</t>
    <phoneticPr fontId="5" type="noConversion"/>
  </si>
  <si>
    <t>洞口尺寸结算</t>
    <phoneticPr fontId="5" type="noConversion"/>
  </si>
  <si>
    <t>综合单价明细表</t>
  </si>
  <si>
    <t>工程名称：海南莫斯科动力大学一期2#~6#及8#楼铝合金门窗、阳台栏杆及穿孔铝板工程</t>
  </si>
  <si>
    <t>清单序号</t>
  </si>
  <si>
    <t>项目特征</t>
  </si>
  <si>
    <t>单位：</t>
  </si>
  <si>
    <t>费用名称</t>
  </si>
  <si>
    <t xml:space="preserve">单价         </t>
  </si>
  <si>
    <t>备注
（品牌）</t>
  </si>
  <si>
    <t>不含税材料费</t>
  </si>
  <si>
    <t>氟碳喷涂断桥铝型材</t>
  </si>
  <si>
    <t>铝型材折弯费</t>
  </si>
  <si>
    <t>6Low-E+12A+6中空钢化玻璃</t>
  </si>
  <si>
    <t>硅酮耐候密封胶</t>
  </si>
  <si>
    <t>三元乙丙密封胶条</t>
  </si>
  <si>
    <t>其他材料</t>
  </si>
  <si>
    <t>项</t>
  </si>
  <si>
    <t>制作费</t>
  </si>
  <si>
    <t>直接费合计（一+二+三）</t>
  </si>
  <si>
    <t>综合取费【（一+二+三）*综合费率】</t>
  </si>
  <si>
    <t>综合单价（四+五）</t>
  </si>
  <si>
    <t>每平米综合单价
（六÷单樘面积）</t>
  </si>
  <si>
    <t>清单综合单价</t>
  </si>
  <si>
    <t>注：1、上述报价中，材料费用项由投标单位自行增补填报，且视为已包含完成该项目所需的一切材料；
    2、综合取费包含管理费、利润、措施费、规费及不可预见费等；
    3、以上报价为包干不含税综合单价，结算时综合单价不作调整。</t>
  </si>
  <si>
    <t>1、门框、扇型材材质：氟碳60系列断桥铝合金框，主型材主要受力部位基材截面最小实测壁厚不小于2.2mm，颜色以样板选定为准
2、玻璃品种、规格：6Low-E+12A+6中空钢化玻璃
3、按图纸及技术规范要求提供和供应一切五金及配件(备注品牌)</t>
    <phoneticPr fontId="5" type="noConversion"/>
  </si>
  <si>
    <t>材质、规格、型号及技术参数</t>
    <phoneticPr fontId="5" type="noConversion"/>
  </si>
  <si>
    <t>kg</t>
    <phoneticPr fontId="5" type="noConversion"/>
  </si>
  <si>
    <t>断桥铝合金外门-</t>
    <phoneticPr fontId="5" type="noConversion"/>
  </si>
  <si>
    <t>WM1822</t>
    <phoneticPr fontId="5" type="noConversion"/>
  </si>
  <si>
    <t>消防救援口，上拱窗户优化为固玻，无需开启</t>
    <phoneticPr fontId="5" type="noConversion"/>
  </si>
  <si>
    <t>C1014</t>
    <phoneticPr fontId="5" type="noConversion"/>
  </si>
  <si>
    <t>断桥铝合金外窗-</t>
    <phoneticPr fontId="5" type="noConversion"/>
  </si>
  <si>
    <t>C2735-G</t>
    <phoneticPr fontId="5" type="noConversion"/>
  </si>
  <si>
    <t>WMLC2730</t>
    <phoneticPr fontId="5" type="noConversion"/>
  </si>
  <si>
    <t>6Low-E+12A+6中空钢化玻璃</t>
    <phoneticPr fontId="5" type="noConversion"/>
  </si>
  <si>
    <t>税金</t>
  </si>
  <si>
    <t>利润</t>
  </si>
  <si>
    <t>管理费</t>
  </si>
  <si>
    <t>其他辅材</t>
  </si>
  <si>
    <t>密封胶</t>
  </si>
  <si>
    <t>单价(元)</t>
  </si>
  <si>
    <r>
      <t>2</t>
    </r>
    <r>
      <rPr>
        <sz val="11"/>
        <rFont val="宋体"/>
        <family val="3"/>
        <charset val="134"/>
      </rPr>
      <t>、根据百叶类型的不同（防雨百叶、装饰百叶、空调百叶），及时修改百叶片中心间距。</t>
    </r>
  </si>
  <si>
    <r>
      <t>1</t>
    </r>
    <r>
      <rPr>
        <sz val="11"/>
        <rFont val="宋体"/>
        <family val="3"/>
        <charset val="134"/>
      </rPr>
      <t>、百叶窗是否包含附框；注意缩尺问题。</t>
    </r>
  </si>
  <si>
    <t>注意事项</t>
  </si>
  <si>
    <t>平开窗总价</t>
  </si>
  <si>
    <t>选择性</t>
  </si>
  <si>
    <r>
      <t>加强角铝</t>
    </r>
    <r>
      <rPr>
        <sz val="11"/>
        <rFont val="Arial"/>
        <family val="2"/>
      </rPr>
      <t>25*25*2.0</t>
    </r>
  </si>
  <si>
    <t>JS防水</t>
    <phoneticPr fontId="51" type="noConversion"/>
  </si>
  <si>
    <t>防虫网</t>
    <phoneticPr fontId="5" type="noConversion"/>
  </si>
  <si>
    <t>M8</t>
    <phoneticPr fontId="5" type="noConversion"/>
  </si>
  <si>
    <t>膨胀螺栓</t>
    <phoneticPr fontId="5" type="noConversion"/>
  </si>
  <si>
    <r>
      <t>插销</t>
    </r>
    <r>
      <rPr>
        <sz val="11"/>
        <rFont val="Arial"/>
        <family val="2"/>
      </rPr>
      <t>+</t>
    </r>
    <r>
      <rPr>
        <sz val="11"/>
        <rFont val="宋体"/>
        <family val="3"/>
        <charset val="134"/>
      </rPr>
      <t>板合页</t>
    </r>
  </si>
  <si>
    <t>五金（无品牌）</t>
  </si>
  <si>
    <t>白料总价：</t>
    <phoneticPr fontId="37" type="noConversion"/>
  </si>
  <si>
    <t>白料价格：</t>
    <phoneticPr fontId="37" type="noConversion"/>
  </si>
  <si>
    <t>白料总重：</t>
    <phoneticPr fontId="37" type="noConversion"/>
  </si>
  <si>
    <t>白料加工费</t>
    <phoneticPr fontId="37" type="noConversion"/>
  </si>
  <si>
    <t>传动杆</t>
  </si>
  <si>
    <t>中梃角码</t>
  </si>
  <si>
    <t>窗扇角码</t>
  </si>
  <si>
    <t>尺寸</t>
  </si>
  <si>
    <t>代码</t>
  </si>
  <si>
    <t>普铝价格</t>
    <phoneticPr fontId="37" type="noConversion"/>
  </si>
  <si>
    <t>型材总价：</t>
  </si>
  <si>
    <t>型材价格：</t>
  </si>
  <si>
    <t>型材总重：</t>
  </si>
  <si>
    <t>铝锭价格</t>
    <phoneticPr fontId="37" type="noConversion"/>
  </si>
  <si>
    <t>总长度</t>
    <phoneticPr fontId="37" type="noConversion"/>
  </si>
  <si>
    <t>转角管</t>
  </si>
  <si>
    <t>30*3.0扁铝条</t>
    <phoneticPr fontId="51" type="noConversion"/>
  </si>
  <si>
    <t>HP502</t>
  </si>
  <si>
    <r>
      <t>百叶片</t>
    </r>
    <r>
      <rPr>
        <sz val="11"/>
        <rFont val="Arial"/>
        <family val="2"/>
      </rPr>
      <t xml:space="preserve">                    </t>
    </r>
    <phoneticPr fontId="51" type="noConversion"/>
  </si>
  <si>
    <t>30BY01</t>
  </si>
  <si>
    <r>
      <t>工字框</t>
    </r>
    <r>
      <rPr>
        <sz val="11"/>
        <rFont val="Arial"/>
        <family val="2"/>
      </rPr>
      <t xml:space="preserve">                      </t>
    </r>
    <r>
      <rPr>
        <sz val="11"/>
        <rFont val="宋体"/>
        <family val="3"/>
        <charset val="134"/>
      </rPr>
      <t>（壁厚</t>
    </r>
    <r>
      <rPr>
        <sz val="11"/>
        <rFont val="Arial"/>
        <family val="2"/>
      </rPr>
      <t>1.5mm</t>
    </r>
    <r>
      <rPr>
        <sz val="11"/>
        <rFont val="宋体"/>
        <family val="3"/>
        <charset val="134"/>
      </rPr>
      <t>）</t>
    </r>
  </si>
  <si>
    <t>窗扇总长度</t>
  </si>
  <si>
    <t>百叶扇</t>
    <phoneticPr fontId="51" type="noConversion"/>
  </si>
  <si>
    <t>数量</t>
    <phoneticPr fontId="37" type="noConversion"/>
  </si>
  <si>
    <t>窗框总长度</t>
  </si>
  <si>
    <t>40*20*1.5</t>
    <phoneticPr fontId="5" type="noConversion"/>
  </si>
  <si>
    <t>百叶框</t>
  </si>
  <si>
    <t>风格过大，需要增加横撑时，只需在横向增加一根百叶框即可。</t>
  </si>
  <si>
    <r>
      <t>（元</t>
    </r>
    <r>
      <rPr>
        <sz val="11"/>
        <rFont val="Arial"/>
        <family val="2"/>
      </rPr>
      <t>/m</t>
    </r>
    <r>
      <rPr>
        <vertAlign val="superscript"/>
        <sz val="11"/>
        <rFont val="Arial"/>
        <family val="2"/>
      </rPr>
      <t>2</t>
    </r>
    <r>
      <rPr>
        <sz val="11"/>
        <rFont val="Arial"/>
        <family val="2"/>
      </rPr>
      <t>)</t>
    </r>
  </si>
  <si>
    <r>
      <t>（</t>
    </r>
    <r>
      <rPr>
        <sz val="11"/>
        <rFont val="Arial"/>
        <family val="2"/>
      </rPr>
      <t>KG/m2)</t>
    </r>
  </si>
  <si>
    <t>40*20*2.0</t>
    <phoneticPr fontId="5" type="noConversion"/>
  </si>
  <si>
    <r>
      <t>壁厚</t>
    </r>
    <r>
      <rPr>
        <sz val="11"/>
        <rFont val="Arial"/>
        <family val="2"/>
      </rPr>
      <t>:mm</t>
    </r>
  </si>
  <si>
    <r>
      <t>高度</t>
    </r>
    <r>
      <rPr>
        <sz val="11"/>
        <rFont val="Arial"/>
        <family val="2"/>
      </rPr>
      <t>:mm</t>
    </r>
  </si>
  <si>
    <r>
      <t>宽度</t>
    </r>
    <r>
      <rPr>
        <sz val="11"/>
        <rFont val="Arial"/>
        <family val="2"/>
      </rPr>
      <t>:mm</t>
    </r>
  </si>
  <si>
    <t>窗名称</t>
  </si>
  <si>
    <t>N01</t>
  </si>
  <si>
    <r>
      <t>百叶窗（方管</t>
    </r>
    <r>
      <rPr>
        <sz val="18"/>
        <rFont val="Arial"/>
        <family val="2"/>
      </rPr>
      <t>+</t>
    </r>
    <r>
      <rPr>
        <sz val="18"/>
        <rFont val="宋体"/>
        <family val="3"/>
        <charset val="134"/>
      </rPr>
      <t>方管</t>
    </r>
    <r>
      <rPr>
        <sz val="18"/>
        <rFont val="Arial"/>
        <family val="2"/>
      </rPr>
      <t>+</t>
    </r>
    <r>
      <rPr>
        <sz val="18"/>
        <rFont val="宋体"/>
        <family val="3"/>
        <charset val="134"/>
      </rPr>
      <t>工字框</t>
    </r>
    <r>
      <rPr>
        <sz val="18"/>
        <rFont val="Arial"/>
        <family val="2"/>
      </rPr>
      <t>+</t>
    </r>
    <r>
      <rPr>
        <sz val="18"/>
        <rFont val="宋体"/>
        <family val="3"/>
        <charset val="134"/>
      </rPr>
      <t>百叶片）</t>
    </r>
    <phoneticPr fontId="5" type="noConversion"/>
  </si>
  <si>
    <t>百叶加工费</t>
    <phoneticPr fontId="5" type="noConversion"/>
  </si>
  <si>
    <t>普铝百叶-</t>
    <phoneticPr fontId="5" type="noConversion"/>
  </si>
  <si>
    <t>125幕墙</t>
    <phoneticPr fontId="5" type="noConversion"/>
  </si>
  <si>
    <t>125幕墙</t>
    <phoneticPr fontId="37" type="noConversion"/>
  </si>
  <si>
    <t>静电喷涂</t>
  </si>
  <si>
    <t>隐框幕墙</t>
  </si>
  <si>
    <t>和平</t>
  </si>
  <si>
    <t>125系列</t>
    <phoneticPr fontId="37" type="noConversion"/>
  </si>
  <si>
    <t>δ=2.5mm</t>
  </si>
  <si>
    <t>玻璃块数（必填）</t>
  </si>
  <si>
    <t>看面</t>
  </si>
  <si>
    <t>横梁根数</t>
  </si>
  <si>
    <t xml:space="preserve">  型材</t>
  </si>
  <si>
    <t>竖长度</t>
  </si>
  <si>
    <t>立柱</t>
  </si>
  <si>
    <t>SDL3297（125）</t>
    <phoneticPr fontId="37" type="noConversion"/>
  </si>
  <si>
    <t>150立柱：</t>
    <phoneticPr fontId="37" type="noConversion"/>
  </si>
  <si>
    <t>200立柱：</t>
    <phoneticPr fontId="37" type="noConversion"/>
  </si>
  <si>
    <t>总长度</t>
  </si>
  <si>
    <t>装饰面</t>
    <phoneticPr fontId="37" type="noConversion"/>
  </si>
  <si>
    <t>面积</t>
    <phoneticPr fontId="37" type="noConversion"/>
  </si>
  <si>
    <t>喷涂单价</t>
    <phoneticPr fontId="37" type="noConversion"/>
  </si>
  <si>
    <t>喷涂价格</t>
    <phoneticPr fontId="37" type="noConversion"/>
  </si>
  <si>
    <t>横长度</t>
  </si>
  <si>
    <t xml:space="preserve">横梁     </t>
  </si>
  <si>
    <t>SDL3295</t>
  </si>
  <si>
    <t>150横梁</t>
    <phoneticPr fontId="37" type="noConversion"/>
  </si>
  <si>
    <t>100横梁</t>
    <phoneticPr fontId="37" type="noConversion"/>
  </si>
  <si>
    <t>横梁压板</t>
    <phoneticPr fontId="37" type="noConversion"/>
  </si>
  <si>
    <t>LYB60-02</t>
  </si>
  <si>
    <t>横梁扣盖</t>
  </si>
  <si>
    <t>LBM196</t>
  </si>
  <si>
    <t>立柱单边压板</t>
  </si>
  <si>
    <t>立柱单边扣盖</t>
  </si>
  <si>
    <t>ZSG60-03</t>
  </si>
  <si>
    <t>插芯（100连接件）</t>
  </si>
  <si>
    <t>SDL3301</t>
  </si>
  <si>
    <t>横梁玻璃托</t>
  </si>
  <si>
    <t>HP1108G5</t>
  </si>
  <si>
    <t>百叶</t>
    <phoneticPr fontId="37" type="noConversion"/>
  </si>
  <si>
    <t>套窗窗框</t>
    <phoneticPr fontId="37" type="noConversion"/>
  </si>
  <si>
    <t>SDF2590</t>
    <phoneticPr fontId="37" type="noConversion"/>
  </si>
  <si>
    <t>套窗窗扇+压线</t>
    <phoneticPr fontId="37" type="noConversion"/>
  </si>
  <si>
    <t>SDF2592</t>
    <phoneticPr fontId="37" type="noConversion"/>
  </si>
  <si>
    <t>型材价格</t>
  </si>
  <si>
    <t>套窗总重</t>
    <phoneticPr fontId="37" type="noConversion"/>
  </si>
  <si>
    <t>窗框角码</t>
    <phoneticPr fontId="5" type="noConversion"/>
  </si>
  <si>
    <t>LJJP308</t>
  </si>
  <si>
    <t>内开窗扇角码</t>
    <phoneticPr fontId="5" type="noConversion"/>
  </si>
  <si>
    <t>LJJP310</t>
  </si>
  <si>
    <t>LJJP309</t>
  </si>
  <si>
    <t>LJJP311</t>
  </si>
  <si>
    <t>白料价格：</t>
  </si>
  <si>
    <t>白料总价：</t>
  </si>
  <si>
    <t xml:space="preserve">  玻璃</t>
  </si>
  <si>
    <t>玻璃规格</t>
  </si>
  <si>
    <t xml:space="preserve">宽度 </t>
  </si>
  <si>
    <t>防火玻璃</t>
  </si>
  <si>
    <t>玻璃小计</t>
  </si>
  <si>
    <t>玻璃总面积</t>
  </si>
  <si>
    <t>平米造价</t>
  </si>
  <si>
    <t>结构胶</t>
  </si>
  <si>
    <t xml:space="preserve">  五金及其附件</t>
  </si>
  <si>
    <t>规格</t>
  </si>
  <si>
    <t>玻外胶条5mm</t>
  </si>
  <si>
    <t>011073RAICO</t>
  </si>
  <si>
    <t>米</t>
  </si>
  <si>
    <t>玻外胶条3mm</t>
  </si>
  <si>
    <t>011070RAICO</t>
  </si>
  <si>
    <t>玻内胶条低-立柱</t>
  </si>
  <si>
    <t>150105RAICO</t>
  </si>
  <si>
    <t>玻内胶条高-横梁</t>
  </si>
  <si>
    <t>150110RAICO</t>
  </si>
  <si>
    <t>玻内胶条低-横梁</t>
  </si>
  <si>
    <t>150120RAICO</t>
  </si>
  <si>
    <t>胶类</t>
  </si>
  <si>
    <t>SS621硅酮结构胶</t>
  </si>
  <si>
    <t>内墙密封胶</t>
    <phoneticPr fontId="37" type="noConversion"/>
  </si>
  <si>
    <t>SS601硅酮密封胶</t>
  </si>
  <si>
    <t>聚泰、威尔斯</t>
  </si>
  <si>
    <t>外墙密封胶</t>
    <phoneticPr fontId="37" type="noConversion"/>
  </si>
  <si>
    <t>预埋及附件</t>
  </si>
  <si>
    <t>预埋板</t>
  </si>
  <si>
    <t>热镀200*300*10</t>
  </si>
  <si>
    <t>地角</t>
  </si>
  <si>
    <t>热镀100*150*8</t>
  </si>
  <si>
    <t>化学锚栓</t>
  </si>
  <si>
    <t>M16</t>
  </si>
  <si>
    <t>普通锚拴</t>
  </si>
  <si>
    <t>螺栓</t>
  </si>
  <si>
    <t>M12，不锈钢</t>
  </si>
  <si>
    <t>地角铁板</t>
  </si>
  <si>
    <t>角铝</t>
  </si>
  <si>
    <t>50*40*4.5</t>
  </si>
  <si>
    <t>预埋及附件小计</t>
  </si>
  <si>
    <t>内倒窗</t>
    <phoneticPr fontId="37" type="noConversion"/>
  </si>
  <si>
    <t>诺托</t>
    <phoneticPr fontId="37" type="noConversion"/>
  </si>
  <si>
    <t>套</t>
    <phoneticPr fontId="37" type="noConversion"/>
  </si>
  <si>
    <t>单开门</t>
    <phoneticPr fontId="37" type="noConversion"/>
  </si>
  <si>
    <t>对开门</t>
    <phoneticPr fontId="37" type="noConversion"/>
  </si>
  <si>
    <t>五金件小计</t>
  </si>
  <si>
    <t>安装材料</t>
  </si>
  <si>
    <t>泡末棒</t>
  </si>
  <si>
    <t>R=15mm</t>
  </si>
  <si>
    <t>包装纸</t>
  </si>
  <si>
    <t>印有公司标志</t>
  </si>
  <si>
    <t>耐侯胶</t>
  </si>
  <si>
    <t>不锈钢</t>
  </si>
  <si>
    <t>焊条</t>
  </si>
  <si>
    <t>根</t>
  </si>
  <si>
    <t>玻璃拖件</t>
  </si>
  <si>
    <t>162030RAICO</t>
  </si>
  <si>
    <r>
      <rPr>
        <sz val="10"/>
        <rFont val="黑体"/>
        <family val="3"/>
        <charset val="134"/>
      </rPr>
      <t>室</t>
    </r>
    <r>
      <rPr>
        <sz val="10"/>
        <color indexed="10"/>
        <rFont val="等线"/>
        <family val="3"/>
        <charset val="134"/>
      </rPr>
      <t>内</t>
    </r>
    <r>
      <rPr>
        <sz val="10"/>
        <color indexed="8"/>
        <rFont val="等线"/>
        <family val="3"/>
        <charset val="134"/>
      </rPr>
      <t>防水隔汽膜A</t>
    </r>
  </si>
  <si>
    <t>150mm×25m</t>
    <phoneticPr fontId="37" type="noConversion"/>
  </si>
  <si>
    <t>室外防水透气膜A1</t>
  </si>
  <si>
    <t>200mm×25m</t>
  </si>
  <si>
    <t>套窗/套门</t>
  </si>
  <si>
    <t>长</t>
  </si>
  <si>
    <t>长度</t>
    <phoneticPr fontId="37" type="noConversion"/>
  </si>
  <si>
    <t>隔热条填充物</t>
    <phoneticPr fontId="5" type="noConversion"/>
  </si>
  <si>
    <t>扇发泡PE</t>
    <phoneticPr fontId="5" type="noConversion"/>
  </si>
  <si>
    <t>其它</t>
    <phoneticPr fontId="37" type="noConversion"/>
  </si>
  <si>
    <t>封边附件</t>
  </si>
  <si>
    <t>铁板封边</t>
  </si>
  <si>
    <t>平米</t>
  </si>
  <si>
    <t>通体工字钢</t>
    <phoneticPr fontId="37" type="noConversion"/>
  </si>
  <si>
    <t>防火岩棉</t>
  </si>
  <si>
    <t>立方米</t>
  </si>
  <si>
    <t>封边附件小计</t>
  </si>
  <si>
    <t xml:space="preserve">                辅材合计</t>
  </si>
  <si>
    <t>单樘总造价</t>
  </si>
  <si>
    <t>单樘面积</t>
  </si>
  <si>
    <t>m³</t>
  </si>
  <si>
    <r>
      <t>WM2480</t>
    </r>
    <r>
      <rPr>
        <sz val="11"/>
        <color rgb="FFFF0000"/>
        <rFont val="宋体"/>
        <family val="3"/>
        <charset val="134"/>
        <scheme val="minor"/>
      </rPr>
      <t>-G</t>
    </r>
    <phoneticPr fontId="5" type="noConversion"/>
  </si>
  <si>
    <t>阳台铝合金栏杆m</t>
    <phoneticPr fontId="5" type="noConversion"/>
  </si>
  <si>
    <t>WM2038</t>
    <phoneticPr fontId="5" type="noConversion"/>
  </si>
  <si>
    <t>MLC2030</t>
    <phoneticPr fontId="5" type="noConversion"/>
  </si>
  <si>
    <t>MLC2522</t>
    <phoneticPr fontId="5" type="noConversion"/>
  </si>
  <si>
    <t>C2330</t>
    <phoneticPr fontId="5" type="noConversion"/>
  </si>
  <si>
    <t>GDC2338</t>
    <phoneticPr fontId="5" type="noConversion"/>
  </si>
  <si>
    <t>通风率不小于70%</t>
    <phoneticPr fontId="5" type="noConversion"/>
  </si>
  <si>
    <t>MLC2324</t>
    <phoneticPr fontId="5" type="noConversion"/>
  </si>
  <si>
    <t>防蚊纱窗</t>
    <phoneticPr fontId="5" type="noConversion"/>
  </si>
  <si>
    <t>WM1824</t>
    <phoneticPr fontId="5" type="noConversion"/>
  </si>
  <si>
    <t>WM2338</t>
    <phoneticPr fontId="5" type="noConversion"/>
  </si>
  <si>
    <t>固定</t>
    <phoneticPr fontId="5" type="noConversion"/>
  </si>
  <si>
    <t>外窗（局部百叶）</t>
    <phoneticPr fontId="5" type="noConversion"/>
  </si>
  <si>
    <t>GC2006</t>
    <phoneticPr fontId="5" type="noConversion"/>
  </si>
  <si>
    <t>窗型</t>
  </si>
  <si>
    <t>窗型</t>
    <phoneticPr fontId="5" type="noConversion"/>
  </si>
  <si>
    <t>成本单价</t>
  </si>
  <si>
    <t>成本合价</t>
  </si>
  <si>
    <t>65F铝合金门</t>
  </si>
  <si>
    <t>65F铝合金门</t>
    <phoneticPr fontId="5" type="noConversion"/>
  </si>
  <si>
    <t>65F铝合金窗</t>
  </si>
  <si>
    <t>65F铝合金窗</t>
    <phoneticPr fontId="5" type="noConversion"/>
  </si>
  <si>
    <t>125铝合金幕墙</t>
  </si>
  <si>
    <t>125铝合金幕墙</t>
    <phoneticPr fontId="5" type="noConversion"/>
  </si>
  <si>
    <t>铝合金百叶窗</t>
  </si>
  <si>
    <t>铝合金百叶窗</t>
    <phoneticPr fontId="5" type="noConversion"/>
  </si>
  <si>
    <t>C2360</t>
    <phoneticPr fontId="5" type="noConversion"/>
  </si>
  <si>
    <t>MLC2360</t>
    <phoneticPr fontId="5" type="noConversion"/>
  </si>
  <si>
    <t>通透格栅</t>
    <phoneticPr fontId="5" type="noConversion"/>
  </si>
  <si>
    <t>穿孔铝单板</t>
  </si>
  <si>
    <t>成本汇总</t>
    <phoneticPr fontId="5" type="noConversion"/>
  </si>
  <si>
    <t>拉弯费</t>
    <phoneticPr fontId="5" type="noConversion"/>
  </si>
  <si>
    <t>玻璃外置装饰条</t>
    <phoneticPr fontId="5" type="noConversion"/>
  </si>
  <si>
    <t>26mm II/IC</t>
    <phoneticPr fontId="5" type="noConversion"/>
  </si>
  <si>
    <t>2025.10.24</t>
    <phoneticPr fontId="5" type="noConversion"/>
  </si>
  <si>
    <t>40*20*2.0钢副框</t>
    <phoneticPr fontId="5" type="noConversion"/>
  </si>
  <si>
    <t>主框尺寸结算</t>
    <phoneticPr fontId="5" type="noConversion"/>
  </si>
  <si>
    <t>综合单价分析表1.3</t>
  </si>
  <si>
    <t>分项名称：</t>
  </si>
  <si>
    <t>3.0mm双面氟碳喷涂穿孔铝单板1</t>
  </si>
  <si>
    <t>计量单位</t>
  </si>
  <si>
    <t>m2/元</t>
  </si>
  <si>
    <t>材质、规格</t>
  </si>
  <si>
    <t>单位
含量</t>
  </si>
  <si>
    <t>合计(元)</t>
  </si>
  <si>
    <t>材
料
费</t>
  </si>
  <si>
    <t>40*40*3热镀锌钢方通</t>
  </si>
  <si>
    <t>L40*4热镀锌角钢</t>
  </si>
  <si>
    <t>L50*5热镀锌角钢</t>
  </si>
  <si>
    <t>160*80*8后置埋件</t>
  </si>
  <si>
    <t>M12*160化学锚栓</t>
  </si>
  <si>
    <t>硅酮耐候密封胶（500ml/支）</t>
  </si>
  <si>
    <t>自攻螺钉</t>
  </si>
  <si>
    <t>防雷处理</t>
  </si>
  <si>
    <t>元</t>
  </si>
  <si>
    <t>本项小计</t>
  </si>
  <si>
    <r>
      <t xml:space="preserve">（一）* </t>
    </r>
    <r>
      <rPr>
        <sz val="10"/>
        <rFont val="宋体"/>
        <family val="3"/>
        <charset val="134"/>
      </rPr>
      <t>4%</t>
    </r>
  </si>
  <si>
    <r>
      <t xml:space="preserve">（一+二）* </t>
    </r>
    <r>
      <rPr>
        <sz val="10"/>
        <rFont val="宋体"/>
        <family val="3"/>
        <charset val="134"/>
      </rPr>
      <t>5%</t>
    </r>
  </si>
  <si>
    <r>
      <t xml:space="preserve">（一+二+三）* </t>
    </r>
    <r>
      <rPr>
        <sz val="10"/>
        <rFont val="宋体"/>
        <family val="3"/>
        <charset val="134"/>
      </rPr>
      <t>3.43%</t>
    </r>
  </si>
  <si>
    <t>单位造价合计</t>
  </si>
  <si>
    <t>（一+二+三+四）</t>
  </si>
  <si>
    <t>综合单价分析表1.7</t>
  </si>
  <si>
    <t>铝合金栏杆(H=1100mm）</t>
  </si>
  <si>
    <t>m/元</t>
  </si>
  <si>
    <t>铝合金型材扶手，表面氟碳喷涂</t>
  </si>
  <si>
    <t>铝合金型材立柱，表面氟碳喷涂</t>
  </si>
  <si>
    <t>铝合金型材横梁，表面氟碳喷涂</t>
  </si>
  <si>
    <t>铝合金型材盖板，表面氟碳喷涂</t>
  </si>
  <si>
    <t>200*80*8后置埋件</t>
  </si>
  <si>
    <t>M8不锈钢螺栓</t>
  </si>
  <si>
    <r>
      <t>M</t>
    </r>
    <r>
      <rPr>
        <sz val="10"/>
        <rFont val="宋体"/>
        <family val="3"/>
        <charset val="134"/>
      </rPr>
      <t>6</t>
    </r>
    <r>
      <rPr>
        <sz val="10"/>
        <rFont val="宋体"/>
        <family val="3"/>
        <charset val="134"/>
      </rPr>
      <t>不锈钢螺栓</t>
    </r>
  </si>
  <si>
    <r>
      <t>6</t>
    </r>
    <r>
      <rPr>
        <sz val="10"/>
        <rFont val="宋体"/>
        <family val="3"/>
        <charset val="134"/>
      </rPr>
      <t>mm厚镀锌钢连接件</t>
    </r>
  </si>
  <si>
    <t>2mm厚安装镀锌片</t>
  </si>
  <si>
    <t>块</t>
  </si>
  <si>
    <t>防蚊隐形纱窗</t>
    <phoneticPr fontId="5" type="noConversion"/>
  </si>
  <si>
    <t>雨虹防水砂浆（米）</t>
    <phoneticPr fontId="5" type="noConversion"/>
  </si>
  <si>
    <r>
      <rPr>
        <b/>
        <sz val="11"/>
        <rFont val="华文楷体"/>
        <family val="3"/>
        <charset val="134"/>
      </rPr>
      <t>综合单价分析表</t>
    </r>
    <r>
      <rPr>
        <b/>
        <sz val="11"/>
        <color rgb="FFFF0000"/>
        <rFont val="华文楷体"/>
        <family val="3"/>
        <charset val="134"/>
      </rPr>
      <t>（每款门窗、幕墙、栏杆都需填报）（此表为门窗的示范表格，请根据各项目特征自行修改主材、辅材、其他费用名称及单位）</t>
    </r>
  </si>
  <si>
    <r>
      <rPr>
        <sz val="11"/>
        <rFont val="华文楷体"/>
        <family val="3"/>
        <charset val="134"/>
      </rPr>
      <t>项目：</t>
    </r>
  </si>
  <si>
    <t>铝板</t>
  </si>
  <si>
    <r>
      <rPr>
        <sz val="11"/>
        <rFont val="华文楷体"/>
        <family val="3"/>
        <charset val="134"/>
      </rPr>
      <t>综合单价：</t>
    </r>
  </si>
  <si>
    <r>
      <rPr>
        <sz val="11"/>
        <rFont val="华文楷体"/>
        <family val="3"/>
        <charset val="134"/>
      </rPr>
      <t>元</t>
    </r>
    <r>
      <rPr>
        <sz val="11"/>
        <rFont val="Times New Roman"/>
        <family val="1"/>
      </rPr>
      <t>/</t>
    </r>
    <r>
      <rPr>
        <sz val="11"/>
        <rFont val="宋体"/>
        <family val="3"/>
        <charset val="134"/>
      </rPr>
      <t>㎡</t>
    </r>
  </si>
  <si>
    <r>
      <rPr>
        <sz val="11"/>
        <rFont val="华文楷体"/>
        <family val="3"/>
        <charset val="134"/>
      </rPr>
      <t>序号</t>
    </r>
  </si>
  <si>
    <r>
      <rPr>
        <sz val="11"/>
        <rFont val="华文楷体"/>
        <family val="3"/>
        <charset val="134"/>
      </rPr>
      <t>项目名称</t>
    </r>
  </si>
  <si>
    <r>
      <rPr>
        <sz val="11"/>
        <rFont val="华文楷体"/>
        <family val="3"/>
        <charset val="134"/>
      </rPr>
      <t>材料名称</t>
    </r>
  </si>
  <si>
    <r>
      <rPr>
        <sz val="11"/>
        <rFont val="华文宋体"/>
        <family val="3"/>
        <charset val="134"/>
      </rPr>
      <t>数量</t>
    </r>
  </si>
  <si>
    <r>
      <rPr>
        <sz val="11"/>
        <rFont val="华文宋体"/>
        <family val="3"/>
        <charset val="134"/>
      </rPr>
      <t>单位</t>
    </r>
  </si>
  <si>
    <r>
      <rPr>
        <sz val="11"/>
        <rFont val="华文宋体"/>
        <family val="3"/>
        <charset val="134"/>
      </rPr>
      <t>损耗</t>
    </r>
  </si>
  <si>
    <r>
      <rPr>
        <sz val="11"/>
        <rFont val="华文宋体"/>
        <family val="3"/>
        <charset val="134"/>
      </rPr>
      <t>单价（元）</t>
    </r>
  </si>
  <si>
    <r>
      <rPr>
        <sz val="11"/>
        <rFont val="华文宋体"/>
        <family val="3"/>
        <charset val="134"/>
      </rPr>
      <t>合价（元）</t>
    </r>
  </si>
  <si>
    <r>
      <rPr>
        <sz val="11"/>
        <rFont val="华文宋体"/>
        <family val="3"/>
        <charset val="134"/>
      </rPr>
      <t>备注</t>
    </r>
  </si>
  <si>
    <t>含量/㎡</t>
  </si>
  <si>
    <r>
      <t>1</t>
    </r>
    <r>
      <rPr>
        <sz val="11"/>
        <rFont val="华文楷体"/>
        <family val="3"/>
        <charset val="134"/>
      </rPr>
      <t>、</t>
    </r>
  </si>
  <si>
    <r>
      <rPr>
        <sz val="11"/>
        <rFont val="华文楷体"/>
        <family val="3"/>
        <charset val="134"/>
      </rPr>
      <t>主材</t>
    </r>
  </si>
  <si>
    <r>
      <t>2.5mm</t>
    </r>
    <r>
      <rPr>
        <sz val="11"/>
        <rFont val="华文楷体"/>
        <family val="3"/>
        <charset val="134"/>
      </rPr>
      <t>厚氟碳喷涂铝单板</t>
    </r>
  </si>
  <si>
    <t>高士达、蓝天七色</t>
  </si>
  <si>
    <r>
      <t>50*50*4</t>
    </r>
    <r>
      <rPr>
        <sz val="11"/>
        <rFont val="宋体"/>
        <family val="3"/>
        <charset val="134"/>
      </rPr>
      <t>热镀锌角钢</t>
    </r>
  </si>
  <si>
    <t>国产优质</t>
  </si>
  <si>
    <t>胶缝长度</t>
  </si>
  <si>
    <r>
      <t>50*50*4</t>
    </r>
    <r>
      <rPr>
        <sz val="11"/>
        <rFont val="宋体"/>
        <family val="3"/>
        <charset val="134"/>
      </rPr>
      <t>钢米重</t>
    </r>
  </si>
  <si>
    <t>膨胀螺栓</t>
  </si>
  <si>
    <r>
      <rPr>
        <sz val="11"/>
        <rFont val="华文楷体"/>
        <family val="3"/>
        <charset val="134"/>
      </rPr>
      <t>小计一</t>
    </r>
  </si>
  <si>
    <r>
      <t>2</t>
    </r>
    <r>
      <rPr>
        <sz val="11"/>
        <rFont val="宋体"/>
        <family val="3"/>
        <charset val="134"/>
      </rPr>
      <t>、</t>
    </r>
  </si>
  <si>
    <t>辅材及其他</t>
  </si>
  <si>
    <r>
      <t>M10*100</t>
    </r>
    <r>
      <rPr>
        <sz val="11"/>
        <rFont val="宋体"/>
        <family val="3"/>
        <charset val="134"/>
      </rPr>
      <t>膨胀螺栓</t>
    </r>
  </si>
  <si>
    <r>
      <rPr>
        <sz val="11"/>
        <rFont val="华文宋体"/>
        <family val="3"/>
        <charset val="134"/>
      </rPr>
      <t>国产优质</t>
    </r>
  </si>
  <si>
    <r>
      <rPr>
        <sz val="11"/>
        <rFont val="华文楷体"/>
        <family val="3"/>
        <charset val="134"/>
      </rPr>
      <t>硅酮耐候密封胶</t>
    </r>
    <r>
      <rPr>
        <sz val="11"/>
        <rFont val="Times New Roman"/>
        <family val="1"/>
      </rPr>
      <t>(500ml/</t>
    </r>
    <r>
      <rPr>
        <sz val="11"/>
        <rFont val="华文楷体"/>
        <family val="3"/>
        <charset val="134"/>
      </rPr>
      <t>支</t>
    </r>
    <r>
      <rPr>
        <sz val="11"/>
        <rFont val="Times New Roman"/>
        <family val="1"/>
      </rPr>
      <t>)</t>
    </r>
  </si>
  <si>
    <t>白云、之江</t>
  </si>
  <si>
    <r>
      <rPr>
        <sz val="11"/>
        <rFont val="宋体"/>
        <family val="3"/>
        <charset val="134"/>
      </rPr>
      <t>∅</t>
    </r>
    <r>
      <rPr>
        <sz val="11"/>
        <rFont val="Times New Roman"/>
        <family val="1"/>
      </rPr>
      <t>5</t>
    </r>
    <r>
      <rPr>
        <sz val="11"/>
        <rFont val="华文楷体"/>
        <family val="3"/>
        <charset val="134"/>
      </rPr>
      <t>泡沫棒</t>
    </r>
  </si>
  <si>
    <r>
      <rPr>
        <sz val="11"/>
        <rFont val="华文楷体"/>
        <family val="3"/>
        <charset val="134"/>
      </rPr>
      <t>其它辅材</t>
    </r>
  </si>
  <si>
    <r>
      <rPr>
        <sz val="11"/>
        <rFont val="华文楷体"/>
        <family val="3"/>
        <charset val="134"/>
      </rPr>
      <t>防雷处理</t>
    </r>
  </si>
  <si>
    <r>
      <rPr>
        <sz val="11"/>
        <rFont val="华文楷体"/>
        <family val="3"/>
        <charset val="134"/>
      </rPr>
      <t>成品保护</t>
    </r>
  </si>
  <si>
    <r>
      <rPr>
        <sz val="11"/>
        <rFont val="华文楷体"/>
        <family val="3"/>
        <charset val="134"/>
      </rPr>
      <t>成品保洁</t>
    </r>
  </si>
  <si>
    <r>
      <rPr>
        <sz val="11"/>
        <rFont val="华文楷体"/>
        <family val="3"/>
        <charset val="134"/>
      </rPr>
      <t>试验费</t>
    </r>
  </si>
  <si>
    <r>
      <rPr>
        <sz val="11"/>
        <rFont val="华文楷体"/>
        <family val="3"/>
        <charset val="134"/>
      </rPr>
      <t>运输费</t>
    </r>
  </si>
  <si>
    <r>
      <rPr>
        <sz val="11"/>
        <rFont val="华文楷体"/>
        <family val="3"/>
        <charset val="134"/>
      </rPr>
      <t>安装人工费</t>
    </r>
  </si>
  <si>
    <r>
      <rPr>
        <sz val="11"/>
        <rFont val="华文楷体"/>
        <family val="3"/>
        <charset val="134"/>
      </rPr>
      <t>加工人工费</t>
    </r>
  </si>
  <si>
    <r>
      <rPr>
        <sz val="11"/>
        <rFont val="华文楷体"/>
        <family val="3"/>
        <charset val="134"/>
      </rPr>
      <t>措施费</t>
    </r>
  </si>
  <si>
    <r>
      <rPr>
        <sz val="11"/>
        <rFont val="华文楷体"/>
        <family val="3"/>
        <charset val="134"/>
      </rPr>
      <t>小计二</t>
    </r>
  </si>
  <si>
    <r>
      <t>3.1</t>
    </r>
    <r>
      <rPr>
        <sz val="11"/>
        <rFont val="华文楷体"/>
        <family val="3"/>
        <charset val="134"/>
      </rPr>
      <t>、</t>
    </r>
  </si>
  <si>
    <r>
      <rPr>
        <sz val="11"/>
        <rFont val="华文楷体"/>
        <family val="3"/>
        <charset val="134"/>
      </rPr>
      <t>管理費</t>
    </r>
  </si>
  <si>
    <t>%</t>
  </si>
  <si>
    <r>
      <t>3.2</t>
    </r>
    <r>
      <rPr>
        <sz val="11"/>
        <rFont val="华文楷体"/>
        <family val="3"/>
        <charset val="134"/>
      </rPr>
      <t>、</t>
    </r>
  </si>
  <si>
    <r>
      <rPr>
        <sz val="11"/>
        <rFont val="华文楷体"/>
        <family val="3"/>
        <charset val="134"/>
      </rPr>
      <t>利润</t>
    </r>
  </si>
  <si>
    <r>
      <t>3.3</t>
    </r>
    <r>
      <rPr>
        <sz val="11"/>
        <rFont val="华文楷体"/>
        <family val="3"/>
        <charset val="134"/>
      </rPr>
      <t>、</t>
    </r>
  </si>
  <si>
    <r>
      <rPr>
        <sz val="11"/>
        <rFont val="华文楷体"/>
        <family val="3"/>
        <charset val="134"/>
      </rPr>
      <t>稅金</t>
    </r>
  </si>
  <si>
    <r>
      <t>3.4</t>
    </r>
    <r>
      <rPr>
        <sz val="11"/>
        <rFont val="华文楷体"/>
        <family val="3"/>
        <charset val="134"/>
      </rPr>
      <t>、</t>
    </r>
  </si>
  <si>
    <r>
      <rPr>
        <sz val="11"/>
        <rFont val="华文楷体"/>
        <family val="3"/>
        <charset val="134"/>
      </rPr>
      <t>总包管理配合费</t>
    </r>
  </si>
  <si>
    <r>
      <rPr>
        <sz val="11"/>
        <rFont val="华文楷体"/>
        <family val="3"/>
        <charset val="134"/>
      </rPr>
      <t>小计三</t>
    </r>
  </si>
  <si>
    <r>
      <rPr>
        <sz val="11"/>
        <rFont val="华文楷体"/>
        <family val="3"/>
        <charset val="134"/>
      </rPr>
      <t>总计（小计一</t>
    </r>
    <r>
      <rPr>
        <sz val="11"/>
        <rFont val="Times New Roman"/>
        <family val="1"/>
      </rPr>
      <t>~</t>
    </r>
    <r>
      <rPr>
        <sz val="11"/>
        <rFont val="华文楷体"/>
        <family val="3"/>
        <charset val="134"/>
      </rPr>
      <t>小计三）：</t>
    </r>
  </si>
  <si>
    <t>幕墙加工费</t>
    <phoneticPr fontId="5" type="noConversion"/>
  </si>
  <si>
    <t>幕墙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</si>
</sst>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 * #,##0.00_ ;_ * \-#,##0.00_ ;_ * &quot;-&quot;??_ ;_ @_ "/>
    <numFmt numFmtId="176" formatCode="0.00_ "/>
    <numFmt numFmtId="177" formatCode="0_ "/>
    <numFmt numFmtId="178" formatCode="0.00_);\(0.00\)"/>
    <numFmt numFmtId="179" formatCode="0.0_ "/>
    <numFmt numFmtId="180" formatCode="0.000_ "/>
    <numFmt numFmtId="181" formatCode="0.00_);[Red]\(0.00\)"/>
    <numFmt numFmtId="182" formatCode="0.000_);[Red]\(0.000\)"/>
    <numFmt numFmtId="183" formatCode="0.00000_ "/>
    <numFmt numFmtId="184" formatCode="&quot;¥&quot;#,##0.00_);[Red]\(&quot;¥&quot;#,##0.00\)"/>
    <numFmt numFmtId="185" formatCode="0.0"/>
    <numFmt numFmtId="186" formatCode="&quot;$&quot;#,##0.00;\-&quot;$&quot;#,##0.00"/>
    <numFmt numFmtId="188" formatCode="_ * #,##0.0000_ ;_ * \-#,##0.0000_ ;_ * &quot;-&quot;??.00_ ;_ @_ "/>
    <numFmt numFmtId="189" formatCode="_ * #,##0_ ;_ * \-#,##0_ ;_ * &quot;-&quot;??_ ;_ @_ "/>
    <numFmt numFmtId="190" formatCode="0.00&quot; m2&quot;"/>
    <numFmt numFmtId="191" formatCode="0.000"/>
    <numFmt numFmtId="192" formatCode="0.0_);[Red]\(0.0\)"/>
    <numFmt numFmtId="194" formatCode="#,##0.00_);[Red]\(#,##0.00\)"/>
  </numFmts>
  <fonts count="77">
    <font>
      <sz val="12"/>
      <name val="宋体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b/>
      <sz val="14"/>
      <color indexed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name val="宋体"/>
      <family val="3"/>
      <charset val="134"/>
    </font>
    <font>
      <sz val="10"/>
      <name val="Arial"/>
      <family val="2"/>
    </font>
    <font>
      <sz val="10"/>
      <name val="黑体"/>
      <family val="3"/>
      <charset val="134"/>
    </font>
    <font>
      <b/>
      <sz val="16"/>
      <name val="楷体_GB2312"/>
      <charset val="134"/>
    </font>
    <font>
      <b/>
      <sz val="12"/>
      <color rgb="FFFF0000"/>
      <name val="黑体"/>
      <family val="3"/>
      <charset val="134"/>
    </font>
    <font>
      <b/>
      <sz val="10"/>
      <name val="黑体"/>
      <family val="3"/>
      <charset val="134"/>
    </font>
    <font>
      <b/>
      <sz val="36"/>
      <name val="黑体"/>
      <family val="3"/>
      <charset val="134"/>
    </font>
    <font>
      <b/>
      <sz val="9"/>
      <name val="黑体"/>
      <family val="3"/>
      <charset val="134"/>
    </font>
    <font>
      <b/>
      <sz val="11"/>
      <name val="黑体"/>
      <family val="3"/>
      <charset val="134"/>
    </font>
    <font>
      <sz val="10"/>
      <color indexed="8"/>
      <name val="黑体"/>
      <family val="3"/>
      <charset val="134"/>
    </font>
    <font>
      <i/>
      <sz val="10"/>
      <name val="黑体"/>
      <family val="3"/>
      <charset val="134"/>
    </font>
    <font>
      <i/>
      <vertAlign val="superscript"/>
      <sz val="10"/>
      <name val="黑体"/>
      <family val="3"/>
      <charset val="134"/>
    </font>
    <font>
      <sz val="11"/>
      <color theme="1"/>
      <name val="Tahoma"/>
      <family val="2"/>
      <charset val="134"/>
    </font>
    <font>
      <sz val="10"/>
      <color rgb="FFFF0000"/>
      <name val="黑体"/>
      <family val="3"/>
      <charset val="134"/>
    </font>
    <font>
      <b/>
      <sz val="10"/>
      <color indexed="10"/>
      <name val="黑体"/>
      <family val="3"/>
      <charset val="134"/>
    </font>
    <font>
      <sz val="10"/>
      <color theme="1"/>
      <name val="黑体"/>
      <family val="3"/>
      <charset val="134"/>
    </font>
    <font>
      <b/>
      <sz val="10"/>
      <color indexed="8"/>
      <name val="黑体"/>
      <family val="3"/>
      <charset val="134"/>
    </font>
    <font>
      <b/>
      <sz val="16"/>
      <name val="宋体"/>
      <family val="3"/>
      <charset val="134"/>
      <scheme val="major"/>
    </font>
    <font>
      <sz val="12"/>
      <name val="Times New Roman"/>
      <family val="1"/>
    </font>
    <font>
      <b/>
      <sz val="16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0"/>
      <color rgb="FFFF0000"/>
      <name val="黑体"/>
      <family val="3"/>
      <charset val="134"/>
    </font>
    <font>
      <sz val="9"/>
      <name val="Tahoma"/>
      <family val="2"/>
      <charset val="134"/>
    </font>
    <font>
      <b/>
      <sz val="14"/>
      <color indexed="8"/>
      <name val="等线"/>
      <family val="3"/>
      <charset val="134"/>
    </font>
    <font>
      <sz val="11"/>
      <color indexed="8"/>
      <name val="等线"/>
      <family val="3"/>
      <charset val="134"/>
    </font>
    <font>
      <b/>
      <sz val="9"/>
      <color rgb="FFFF0000"/>
      <name val="黑体"/>
      <family val="3"/>
      <charset val="134"/>
    </font>
    <font>
      <sz val="9"/>
      <name val="宋体"/>
      <family val="3"/>
      <charset val="134"/>
      <scheme val="minor"/>
    </font>
    <font>
      <b/>
      <sz val="10"/>
      <color indexed="8"/>
      <name val="宋体"/>
      <family val="3"/>
      <charset val="134"/>
    </font>
    <font>
      <b/>
      <sz val="10"/>
      <color theme="1"/>
      <name val="黑体"/>
      <family val="3"/>
      <charset val="134"/>
    </font>
    <font>
      <sz val="10"/>
      <color theme="6"/>
      <name val="黑体"/>
      <family val="3"/>
      <charset val="134"/>
    </font>
    <font>
      <sz val="10"/>
      <color theme="6" tint="0.59999389629810485"/>
      <name val="黑体"/>
      <family val="3"/>
      <charset val="134"/>
    </font>
    <font>
      <b/>
      <sz val="12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16"/>
      <color indexed="8"/>
      <name val="宋体"/>
      <family val="3"/>
      <charset val="134"/>
    </font>
    <font>
      <sz val="11"/>
      <name val="Arial"/>
      <family val="2"/>
    </font>
    <font>
      <sz val="18"/>
      <name val="宋体"/>
      <family val="3"/>
      <charset val="134"/>
    </font>
    <font>
      <sz val="9"/>
      <name val="宋体"/>
      <family val="2"/>
      <scheme val="minor"/>
    </font>
    <font>
      <u/>
      <sz val="11"/>
      <name val="Arial"/>
      <family val="2"/>
    </font>
    <font>
      <vertAlign val="superscript"/>
      <sz val="11"/>
      <name val="Arial"/>
      <family val="2"/>
    </font>
    <font>
      <sz val="11"/>
      <name val="黑体"/>
      <family val="3"/>
      <charset val="134"/>
    </font>
    <font>
      <sz val="18"/>
      <name val="Arial"/>
      <family val="2"/>
    </font>
    <font>
      <sz val="20"/>
      <name val="Arial"/>
      <family val="2"/>
    </font>
    <font>
      <b/>
      <sz val="18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2"/>
      <color theme="1" tint="4.9989318521683403E-2"/>
      <name val="宋体"/>
      <family val="3"/>
      <charset val="134"/>
    </font>
    <font>
      <b/>
      <sz val="10"/>
      <color theme="1" tint="4.9989318521683403E-2"/>
      <name val="宋体"/>
      <family val="3"/>
      <charset val="134"/>
    </font>
    <font>
      <sz val="10"/>
      <color theme="1" tint="4.9989318521683403E-2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2"/>
      <color theme="1" tint="4.9989318521683403E-2"/>
      <name val="宋体"/>
      <family val="3"/>
      <charset val="134"/>
    </font>
    <font>
      <sz val="10"/>
      <color indexed="10"/>
      <name val="等线"/>
      <family val="3"/>
      <charset val="134"/>
    </font>
    <font>
      <sz val="10"/>
      <color indexed="8"/>
      <name val="等线"/>
      <family val="3"/>
      <charset val="134"/>
    </font>
    <font>
      <b/>
      <sz val="11"/>
      <name val="Times New Roman"/>
      <family val="1"/>
    </font>
    <font>
      <b/>
      <sz val="11"/>
      <name val="华文楷体"/>
      <family val="3"/>
      <charset val="134"/>
    </font>
    <font>
      <b/>
      <sz val="11"/>
      <color rgb="FFFF0000"/>
      <name val="华文楷体"/>
      <family val="3"/>
      <charset val="134"/>
    </font>
    <font>
      <sz val="11"/>
      <name val="Times New Roman"/>
      <family val="1"/>
    </font>
    <font>
      <sz val="11"/>
      <color indexed="8"/>
      <name val="Times New Roman"/>
      <family val="1"/>
    </font>
    <font>
      <sz val="11"/>
      <name val="华文楷体"/>
      <family val="3"/>
      <charset val="134"/>
    </font>
    <font>
      <sz val="11"/>
      <name val="华文宋体"/>
      <family val="3"/>
      <charset val="134"/>
    </font>
    <font>
      <sz val="10"/>
      <name val="华文宋体"/>
      <family val="3"/>
      <charset val="134"/>
    </font>
    <font>
      <sz val="11"/>
      <color indexed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76195562608724"/>
        <bgColor indexed="64"/>
      </patternFill>
    </fill>
    <fill>
      <patternFill patternType="solid">
        <fgColor theme="9" tint="0.79976805932798245"/>
        <bgColor indexed="64"/>
      </patternFill>
    </fill>
    <fill>
      <patternFill patternType="solid">
        <fgColor theme="5" tint="0.7997680593279824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2D0E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6666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51"/>
        <bgColor indexed="64"/>
      </patternFill>
    </fill>
  </fills>
  <borders count="122">
    <border>
      <left/>
      <right/>
      <top/>
      <bottom/>
      <diagonal/>
    </border>
    <border>
      <left style="medium">
        <color theme="1" tint="4.9989318521683403E-2"/>
      </left>
      <right style="hair">
        <color theme="1" tint="4.9989318521683403E-2"/>
      </right>
      <top style="medium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 style="hair">
        <color theme="1" tint="4.9989318521683403E-2"/>
      </right>
      <top style="medium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 style="hair">
        <color theme="1" tint="4.9989318521683403E-2"/>
      </bottom>
      <diagonal/>
    </border>
    <border>
      <left/>
      <right style="thin">
        <color theme="6" tint="-0.499984740745262"/>
      </right>
      <top style="medium">
        <color theme="6" tint="-0.499984740745262"/>
      </top>
      <bottom style="thin">
        <color theme="6" tint="-0.499984740745262"/>
      </bottom>
      <diagonal/>
    </border>
    <border>
      <left style="thin">
        <color theme="6" tint="-0.499984740745262"/>
      </left>
      <right style="thin">
        <color theme="6" tint="-0.499984740745262"/>
      </right>
      <top style="medium">
        <color theme="6" tint="-0.499984740745262"/>
      </top>
      <bottom style="thin">
        <color theme="6" tint="-0.499984740745262"/>
      </bottom>
      <diagonal/>
    </border>
    <border>
      <left style="thin">
        <color theme="6" tint="-0.499984740745262"/>
      </left>
      <right style="medium">
        <color theme="6" tint="-0.499984740745262"/>
      </right>
      <top style="medium">
        <color theme="6" tint="-0.499984740745262"/>
      </top>
      <bottom style="thin">
        <color theme="6" tint="-0.499984740745262"/>
      </bottom>
      <diagonal/>
    </border>
    <border>
      <left style="medium">
        <color theme="1" tint="4.9989318521683403E-2"/>
      </left>
      <right style="hair">
        <color theme="1" tint="4.9989318521683403E-2"/>
      </right>
      <top style="hair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 style="hair">
        <color theme="1" tint="4.9989318521683403E-2"/>
      </right>
      <top style="hair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 style="hair">
        <color theme="1" tint="4.9989318521683403E-2"/>
      </top>
      <bottom style="hair">
        <color theme="1" tint="4.9989318521683403E-2"/>
      </bottom>
      <diagonal/>
    </border>
    <border>
      <left/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thin">
        <color theme="6" tint="-0.499984740745262"/>
      </left>
      <right style="medium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medium">
        <color theme="1" tint="4.9989318521683403E-2"/>
      </left>
      <right style="hair">
        <color theme="1" tint="4.9989318521683403E-2"/>
      </right>
      <top style="hair">
        <color theme="1" tint="4.9989318521683403E-2"/>
      </top>
      <bottom/>
      <diagonal/>
    </border>
    <border>
      <left style="medium">
        <color theme="1" tint="4.9989318521683403E-2"/>
      </left>
      <right style="hair">
        <color theme="1" tint="4.9989318521683403E-2"/>
      </right>
      <top/>
      <bottom style="hair">
        <color theme="1" tint="4.9989318521683403E-2"/>
      </bottom>
      <diagonal/>
    </border>
    <border>
      <left/>
      <right style="thin">
        <color theme="6" tint="-0.499984740745262"/>
      </right>
      <top style="thin">
        <color theme="6" tint="-0.499984740745262"/>
      </top>
      <bottom style="medium">
        <color theme="6" tint="-0.499984740745262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medium">
        <color theme="6" tint="-0.499984740745262"/>
      </bottom>
      <diagonal/>
    </border>
    <border>
      <left style="thin">
        <color theme="6" tint="-0.499984740745262"/>
      </left>
      <right style="medium">
        <color theme="6" tint="-0.499984740745262"/>
      </right>
      <top style="thin">
        <color theme="6" tint="-0.499984740745262"/>
      </top>
      <bottom style="medium">
        <color theme="6" tint="-0.499984740745262"/>
      </bottom>
      <diagonal/>
    </border>
    <border>
      <left style="hair">
        <color theme="1" tint="4.9989318521683403E-2"/>
      </left>
      <right style="hair">
        <color theme="1" tint="4.9989318521683403E-2"/>
      </right>
      <top style="hair">
        <color theme="1" tint="4.9989318521683403E-2"/>
      </top>
      <bottom/>
      <diagonal/>
    </border>
    <border>
      <left style="hair">
        <color theme="1" tint="4.9989318521683403E-2"/>
      </left>
      <right style="hair">
        <color theme="1" tint="4.9989318521683403E-2"/>
      </right>
      <top/>
      <bottom/>
      <diagonal/>
    </border>
    <border>
      <left style="hair">
        <color theme="1" tint="4.9989318521683403E-2"/>
      </left>
      <right style="hair">
        <color theme="1" tint="4.9989318521683403E-2"/>
      </right>
      <top/>
      <bottom style="hair">
        <color theme="1" tint="4.9989318521683403E-2"/>
      </bottom>
      <diagonal/>
    </border>
    <border>
      <left style="medium">
        <color theme="1" tint="4.9989318521683403E-2"/>
      </left>
      <right style="thin">
        <color theme="1" tint="4.9989318521683403E-2"/>
      </right>
      <top style="medium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medium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 style="thin">
        <color theme="1" tint="4.9989318521683403E-2"/>
      </bottom>
      <diagonal/>
    </border>
    <border>
      <left style="medium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medium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medium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medium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medium">
        <color theme="1" tint="4.9989318521683403E-2"/>
      </bottom>
      <diagonal/>
    </border>
    <border>
      <left style="thin">
        <color theme="1" tint="4.9989318521683403E-2"/>
      </left>
      <right style="medium">
        <color theme="1" tint="4.9989318521683403E-2"/>
      </right>
      <top style="thin">
        <color theme="1" tint="4.9989318521683403E-2"/>
      </top>
      <bottom style="medium">
        <color theme="1" tint="4.9989318521683403E-2"/>
      </bottom>
      <diagonal/>
    </border>
    <border>
      <left style="hair">
        <color indexed="17"/>
      </left>
      <right style="medium">
        <color theme="1" tint="4.9989318521683403E-2"/>
      </right>
      <top style="medium">
        <color theme="1" tint="4.9989318521683403E-2"/>
      </top>
      <bottom style="medium">
        <color auto="1"/>
      </bottom>
      <diagonal/>
    </border>
    <border>
      <left style="hair">
        <color auto="1"/>
      </left>
      <right style="medium">
        <color theme="1" tint="4.9989318521683403E-2"/>
      </right>
      <top/>
      <bottom style="thin">
        <color auto="1"/>
      </bottom>
      <diagonal/>
    </border>
    <border>
      <left style="hair">
        <color auto="1"/>
      </left>
      <right style="medium">
        <color theme="1" tint="4.9989318521683403E-2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auto="1"/>
      </left>
      <right style="medium">
        <color theme="1" tint="4.9989318521683403E-2"/>
      </right>
      <top style="thin">
        <color auto="1"/>
      </top>
      <bottom style="medium">
        <color theme="1" tint="4.9989318521683403E-2"/>
      </bottom>
      <diagonal/>
    </border>
    <border>
      <left style="hair">
        <color indexed="64"/>
      </left>
      <right style="medium">
        <color theme="1" tint="4.9989318521683403E-2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theme="1" tint="4.9989318521683403E-2"/>
      </right>
      <top style="hair">
        <color indexed="64"/>
      </top>
      <bottom style="medium">
        <color theme="1" tint="4.9989318521683403E-2"/>
      </bottom>
      <diagonal/>
    </border>
    <border>
      <left style="hair">
        <color theme="1" tint="4.9989318521683403E-2"/>
      </left>
      <right/>
      <top style="hair">
        <color theme="1" tint="4.9989318521683403E-2"/>
      </top>
      <bottom style="hair">
        <color theme="1" tint="4.9989318521683403E-2"/>
      </bottom>
      <diagonal/>
    </border>
    <border>
      <left style="hair">
        <color rgb="FF0D0D0D"/>
      </left>
      <right style="hair">
        <color rgb="FF0D0D0D"/>
      </right>
      <top style="hair">
        <color rgb="FF0D0D0D"/>
      </top>
      <bottom/>
      <diagonal/>
    </border>
    <border>
      <left style="hair">
        <color rgb="FF0D0D0D"/>
      </left>
      <right style="hair">
        <color rgb="FF0D0D0D"/>
      </right>
      <top/>
      <bottom/>
      <diagonal/>
    </border>
    <border>
      <left style="hair">
        <color rgb="FF0D0D0D"/>
      </left>
      <right style="hair">
        <color rgb="FF0D0D0D"/>
      </right>
      <top/>
      <bottom style="hair">
        <color rgb="FF0D0D0D"/>
      </bottom>
      <diagonal/>
    </border>
    <border>
      <left style="medium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medium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 style="hair">
        <color theme="1" tint="4.9989318521683403E-2"/>
      </right>
      <top style="hair">
        <color theme="1" tint="4.9989318521683403E-2"/>
      </top>
      <bottom style="hair">
        <color theme="1" tint="4.9989318521683403E-2"/>
      </bottom>
      <diagonal/>
    </border>
    <border>
      <left/>
      <right style="hair">
        <color theme="1" tint="4.9989318521683403E-2"/>
      </right>
      <top style="hair">
        <color theme="1" tint="4.9989318521683403E-2"/>
      </top>
      <bottom style="hair">
        <color theme="1" tint="4.9989318521683403E-2"/>
      </bottom>
      <diagonal/>
    </border>
    <border>
      <left style="medium">
        <color theme="1" tint="4.9989318521683403E-2"/>
      </left>
      <right style="hair">
        <color theme="1" tint="4.9989318521683403E-2"/>
      </right>
      <top style="hair">
        <color theme="1" tint="4.9989318521683403E-2"/>
      </top>
      <bottom style="medium">
        <color theme="1" tint="4.9989318521683403E-2"/>
      </bottom>
      <diagonal/>
    </border>
    <border>
      <left style="hair">
        <color theme="1" tint="4.9989318521683403E-2"/>
      </left>
      <right style="hair">
        <color theme="1" tint="4.9989318521683403E-2"/>
      </right>
      <top style="hair">
        <color theme="1" tint="4.9989318521683403E-2"/>
      </top>
      <bottom style="medium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 style="hair">
        <color theme="1" tint="4.9989318521683403E-2"/>
      </top>
      <bottom style="medium">
        <color theme="1" tint="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 tint="4.9989318521683403E-2"/>
      </left>
      <right style="hair">
        <color theme="1" tint="4.9989318521683403E-2"/>
      </right>
      <top/>
      <bottom/>
      <diagonal/>
    </border>
    <border>
      <left style="medium">
        <color theme="1" tint="4.9989318521683403E-2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theme="1" tint="4.9989318521683403E-2"/>
      </left>
      <right style="medium">
        <color auto="1"/>
      </right>
      <top style="hair">
        <color theme="1" tint="4.9989318521683403E-2"/>
      </top>
      <bottom style="hair">
        <color theme="1" tint="4.9989318521683403E-2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0" tint="-0.749992370372631"/>
      </left>
      <right style="double">
        <color theme="0" tint="-0.749992370372631"/>
      </right>
      <top style="thin">
        <color theme="0" tint="-0.749992370372631"/>
      </top>
      <bottom style="double">
        <color theme="0" tint="-0.749992370372631"/>
      </bottom>
      <diagonal/>
    </border>
    <border>
      <left style="thin">
        <color theme="0" tint="-0.749992370372631"/>
      </left>
      <right style="thin">
        <color theme="0" tint="-0.749992370372631"/>
      </right>
      <top style="thin">
        <color theme="0" tint="-0.749992370372631"/>
      </top>
      <bottom style="double">
        <color theme="0" tint="-0.749992370372631"/>
      </bottom>
      <diagonal/>
    </border>
    <border>
      <left style="double">
        <color theme="0" tint="-0.749992370372631"/>
      </left>
      <right style="thin">
        <color theme="0" tint="-0.749992370372631"/>
      </right>
      <top style="thin">
        <color theme="0" tint="-0.749992370372631"/>
      </top>
      <bottom style="double">
        <color theme="0" tint="-0.749992370372631"/>
      </bottom>
      <diagonal/>
    </border>
    <border>
      <left style="thin">
        <color theme="0" tint="-0.749992370372631"/>
      </left>
      <right style="double">
        <color theme="0" tint="-0.749992370372631"/>
      </right>
      <top style="thin">
        <color theme="0" tint="-0.749992370372631"/>
      </top>
      <bottom style="thin">
        <color theme="0" tint="-0.749992370372631"/>
      </bottom>
      <diagonal/>
    </border>
    <border>
      <left style="thin">
        <color theme="0" tint="-0.749992370372631"/>
      </left>
      <right style="thin">
        <color theme="0" tint="-0.749992370372631"/>
      </right>
      <top style="thin">
        <color theme="0" tint="-0.749992370372631"/>
      </top>
      <bottom style="thin">
        <color theme="0" tint="-0.749992370372631"/>
      </bottom>
      <diagonal/>
    </border>
    <border>
      <left style="double">
        <color theme="0" tint="-0.749992370372631"/>
      </left>
      <right style="thin">
        <color theme="0" tint="-0.749992370372631"/>
      </right>
      <top style="thin">
        <color theme="0" tint="-0.749992370372631"/>
      </top>
      <bottom style="thin">
        <color theme="0" tint="-0.749992370372631"/>
      </bottom>
      <diagonal/>
    </border>
    <border>
      <left style="thin">
        <color theme="0" tint="-0.749992370372631"/>
      </left>
      <right style="thin">
        <color theme="0" tint="-0.749992370372631"/>
      </right>
      <top/>
      <bottom style="thin">
        <color theme="0" tint="-0.749992370372631"/>
      </bottom>
      <diagonal/>
    </border>
    <border>
      <left style="thin">
        <color theme="0" tint="-0.749992370372631"/>
      </left>
      <right style="thin">
        <color theme="0" tint="-0.749992370372631"/>
      </right>
      <top style="thin">
        <color theme="0" tint="-0.749992370372631"/>
      </top>
      <bottom/>
      <diagonal/>
    </border>
    <border>
      <left style="double">
        <color theme="0" tint="-0.749992370372631"/>
      </left>
      <right style="thin">
        <color theme="0" tint="-0.749992370372631"/>
      </right>
      <top/>
      <bottom style="thin">
        <color theme="0" tint="-0.749992370372631"/>
      </bottom>
      <diagonal/>
    </border>
    <border>
      <left/>
      <right style="thin">
        <color theme="0" tint="-0.749992370372631"/>
      </right>
      <top style="thin">
        <color theme="0" tint="-0.749992370372631"/>
      </top>
      <bottom style="thin">
        <color theme="0" tint="-0.749992370372631"/>
      </bottom>
      <diagonal/>
    </border>
    <border>
      <left style="double">
        <color theme="0" tint="-0.749992370372631"/>
      </left>
      <right style="thin">
        <color theme="0" tint="-0.749992370372631"/>
      </right>
      <top style="thin">
        <color theme="0" tint="-0.749992370372631"/>
      </top>
      <bottom/>
      <diagonal/>
    </border>
    <border>
      <left/>
      <right style="double">
        <color theme="0" tint="-0.749992370372631"/>
      </right>
      <top style="double">
        <color theme="0" tint="-0.749992370372631"/>
      </top>
      <bottom style="thin">
        <color theme="0" tint="-0.749992370372631"/>
      </bottom>
      <diagonal/>
    </border>
    <border>
      <left/>
      <right/>
      <top style="double">
        <color theme="0" tint="-0.749992370372631"/>
      </top>
      <bottom style="thin">
        <color theme="0" tint="-0.749992370372631"/>
      </bottom>
      <diagonal/>
    </border>
    <border>
      <left style="thin">
        <color theme="0" tint="-0.749992370372631"/>
      </left>
      <right/>
      <top style="double">
        <color theme="0" tint="-0.749992370372631"/>
      </top>
      <bottom style="thin">
        <color theme="0" tint="-0.749992370372631"/>
      </bottom>
      <diagonal/>
    </border>
    <border>
      <left style="double">
        <color theme="0" tint="-0.749992370372631"/>
      </left>
      <right style="thin">
        <color theme="0" tint="-0.749992370372631"/>
      </right>
      <top style="double">
        <color theme="0" tint="-0.749992370372631"/>
      </top>
      <bottom style="thin">
        <color theme="0" tint="-0.749992370372631"/>
      </bottom>
      <diagonal/>
    </border>
    <border>
      <left style="thick">
        <color theme="1"/>
      </left>
      <right style="hair">
        <color theme="1"/>
      </right>
      <top style="thick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ck">
        <color theme="1"/>
      </top>
      <bottom style="hair">
        <color theme="1"/>
      </bottom>
      <diagonal/>
    </border>
    <border>
      <left style="hair">
        <color theme="1"/>
      </left>
      <right style="thick">
        <color theme="1"/>
      </right>
      <top style="thick">
        <color theme="1"/>
      </top>
      <bottom style="hair">
        <color theme="1"/>
      </bottom>
      <diagonal/>
    </border>
    <border>
      <left style="thick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ck">
        <color theme="1"/>
      </right>
      <top style="hair">
        <color theme="1"/>
      </top>
      <bottom style="hair">
        <color theme="1"/>
      </bottom>
      <diagonal/>
    </border>
    <border>
      <left style="thick">
        <color theme="1"/>
      </left>
      <right style="hair">
        <color theme="1"/>
      </right>
      <top style="hair">
        <color theme="1"/>
      </top>
      <bottom/>
      <diagonal/>
    </border>
    <border>
      <left style="thick">
        <color theme="1"/>
      </left>
      <right style="hair">
        <color theme="1"/>
      </right>
      <top/>
      <bottom/>
      <diagonal/>
    </border>
    <border>
      <left style="thick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 tint="4.9989318521683403E-2"/>
      </left>
      <right/>
      <top style="hair">
        <color theme="1"/>
      </top>
      <bottom/>
      <diagonal/>
    </border>
    <border>
      <left/>
      <right style="hair">
        <color theme="1"/>
      </right>
      <top style="hair">
        <color theme="1"/>
      </top>
      <bottom/>
      <diagonal/>
    </border>
    <border>
      <left style="hair">
        <color theme="1" tint="4.9989318521683403E-2"/>
      </left>
      <right/>
      <top/>
      <bottom style="hair">
        <color theme="1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thick">
        <color theme="1"/>
      </left>
      <right/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 style="thick">
        <color theme="1"/>
      </left>
      <right style="hair">
        <color theme="1"/>
      </right>
      <top style="hair">
        <color theme="1"/>
      </top>
      <bottom style="thick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ck">
        <color theme="1"/>
      </bottom>
      <diagonal/>
    </border>
    <border>
      <left style="hair">
        <color theme="1"/>
      </left>
      <right style="thick">
        <color theme="1"/>
      </right>
      <top style="hair">
        <color theme="1"/>
      </top>
      <bottom style="thick">
        <color theme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42">
    <xf numFmtId="0" fontId="0" fillId="0" borderId="0"/>
    <xf numFmtId="0" fontId="8" fillId="0" borderId="0">
      <alignment vertical="center"/>
    </xf>
    <xf numFmtId="0" fontId="11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8" fillId="0" borderId="0">
      <alignment vertical="center"/>
    </xf>
    <xf numFmtId="0" fontId="10" fillId="0" borderId="0">
      <alignment vertical="center"/>
    </xf>
    <xf numFmtId="0" fontId="10" fillId="0" borderId="0"/>
    <xf numFmtId="186" fontId="10" fillId="0" borderId="0"/>
    <xf numFmtId="0" fontId="10" fillId="0" borderId="0">
      <alignment vertical="center"/>
    </xf>
    <xf numFmtId="0" fontId="10" fillId="0" borderId="0"/>
    <xf numFmtId="0" fontId="28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11" fillId="0" borderId="0"/>
    <xf numFmtId="0" fontId="10" fillId="0" borderId="0"/>
    <xf numFmtId="9" fontId="11" fillId="0" borderId="0" applyFont="0" applyFill="0" applyBorder="0" applyAlignment="0" applyProtection="0"/>
    <xf numFmtId="0" fontId="8" fillId="0" borderId="0">
      <alignment vertical="center"/>
    </xf>
    <xf numFmtId="0" fontId="8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1" fillId="0" borderId="0"/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</cellStyleXfs>
  <cellXfs count="735">
    <xf numFmtId="0" fontId="0" fillId="0" borderId="0" xfId="0"/>
    <xf numFmtId="0" fontId="1" fillId="7" borderId="0" xfId="3" applyFont="1" applyFill="1" applyAlignment="1">
      <alignment horizontal="center" vertical="center"/>
    </xf>
    <xf numFmtId="0" fontId="12" fillId="7" borderId="0" xfId="3" applyFont="1" applyFill="1" applyAlignment="1">
      <alignment horizontal="center" vertical="center"/>
    </xf>
    <xf numFmtId="177" fontId="12" fillId="7" borderId="0" xfId="3" applyNumberFormat="1" applyFont="1" applyFill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13" fillId="7" borderId="0" xfId="3" applyFont="1" applyFill="1" applyAlignment="1">
      <alignment horizontal="center" vertical="center"/>
    </xf>
    <xf numFmtId="0" fontId="14" fillId="8" borderId="1" xfId="3" applyFont="1" applyFill="1" applyBorder="1" applyAlignment="1">
      <alignment horizontal="center" vertical="center"/>
    </xf>
    <xf numFmtId="0" fontId="15" fillId="8" borderId="2" xfId="3" applyFont="1" applyFill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7" fillId="8" borderId="7" xfId="3" applyFont="1" applyFill="1" applyBorder="1" applyAlignment="1">
      <alignment horizontal="center" vertical="center"/>
    </xf>
    <xf numFmtId="0" fontId="15" fillId="8" borderId="8" xfId="3" applyFont="1" applyFill="1" applyBorder="1" applyAlignment="1">
      <alignment horizontal="center" vertical="center"/>
    </xf>
    <xf numFmtId="176" fontId="12" fillId="0" borderId="10" xfId="4" applyNumberFormat="1" applyFont="1" applyBorder="1" applyAlignment="1">
      <alignment horizontal="center" vertical="center"/>
    </xf>
    <xf numFmtId="176" fontId="12" fillId="0" borderId="11" xfId="4" applyNumberFormat="1" applyFont="1" applyBorder="1" applyAlignment="1">
      <alignment horizontal="center" vertical="center"/>
    </xf>
    <xf numFmtId="176" fontId="12" fillId="8" borderId="12" xfId="4" applyNumberFormat="1" applyFont="1" applyFill="1" applyBorder="1" applyAlignment="1">
      <alignment horizontal="center" vertical="center"/>
    </xf>
    <xf numFmtId="1" fontId="1" fillId="0" borderId="0" xfId="3" applyNumberFormat="1" applyFont="1" applyAlignment="1">
      <alignment horizontal="center" vertical="center"/>
    </xf>
    <xf numFmtId="177" fontId="1" fillId="0" borderId="0" xfId="3" applyNumberFormat="1" applyFont="1" applyAlignment="1">
      <alignment horizontal="center" vertical="center"/>
    </xf>
    <xf numFmtId="178" fontId="1" fillId="0" borderId="0" xfId="3" applyNumberFormat="1" applyFont="1" applyAlignment="1">
      <alignment horizontal="center" vertical="center"/>
    </xf>
    <xf numFmtId="0" fontId="17" fillId="8" borderId="8" xfId="3" applyFont="1" applyFill="1" applyBorder="1" applyAlignment="1">
      <alignment horizontal="center" vertical="center"/>
    </xf>
    <xf numFmtId="2" fontId="17" fillId="8" borderId="8" xfId="3" applyNumberFormat="1" applyFont="1" applyFill="1" applyBorder="1" applyAlignment="1">
      <alignment horizontal="center" vertical="center"/>
    </xf>
    <xf numFmtId="177" fontId="12" fillId="0" borderId="10" xfId="4" applyNumberFormat="1" applyFont="1" applyBorder="1" applyAlignment="1">
      <alignment horizontal="center" vertical="center"/>
    </xf>
    <xf numFmtId="177" fontId="12" fillId="0" borderId="11" xfId="4" applyNumberFormat="1" applyFont="1" applyBorder="1" applyAlignment="1">
      <alignment horizontal="center" vertical="center"/>
    </xf>
    <xf numFmtId="179" fontId="12" fillId="0" borderId="11" xfId="4" applyNumberFormat="1" applyFont="1" applyBorder="1" applyAlignment="1">
      <alignment horizontal="center" vertical="center"/>
    </xf>
    <xf numFmtId="180" fontId="12" fillId="8" borderId="12" xfId="4" applyNumberFormat="1" applyFont="1" applyFill="1" applyBorder="1" applyAlignment="1">
      <alignment horizontal="center" vertical="center"/>
    </xf>
    <xf numFmtId="0" fontId="19" fillId="10" borderId="7" xfId="3" applyFont="1" applyFill="1" applyBorder="1" applyAlignment="1">
      <alignment horizontal="center" vertical="center"/>
    </xf>
    <xf numFmtId="0" fontId="19" fillId="10" borderId="8" xfId="3" applyFont="1" applyFill="1" applyBorder="1" applyAlignment="1">
      <alignment horizontal="center" vertical="center"/>
    </xf>
    <xf numFmtId="0" fontId="19" fillId="10" borderId="9" xfId="3" applyFont="1" applyFill="1" applyBorder="1" applyAlignment="1">
      <alignment horizontal="center" vertical="center"/>
    </xf>
    <xf numFmtId="0" fontId="12" fillId="0" borderId="7" xfId="3" applyFont="1" applyBorder="1" applyAlignment="1">
      <alignment horizontal="center" vertical="center"/>
    </xf>
    <xf numFmtId="0" fontId="12" fillId="0" borderId="8" xfId="5" applyFont="1" applyBorder="1" applyAlignment="1">
      <alignment horizontal="center" vertical="center"/>
    </xf>
    <xf numFmtId="180" fontId="12" fillId="0" borderId="8" xfId="3" applyNumberFormat="1" applyFont="1" applyBorder="1" applyAlignment="1">
      <alignment horizontal="center" vertical="center"/>
    </xf>
    <xf numFmtId="2" fontId="12" fillId="0" borderId="8" xfId="5" applyNumberFormat="1" applyFont="1" applyBorder="1" applyAlignment="1">
      <alignment horizontal="center" vertical="center"/>
    </xf>
    <xf numFmtId="181" fontId="12" fillId="0" borderId="9" xfId="5" applyNumberFormat="1" applyFont="1" applyBorder="1" applyAlignment="1">
      <alignment horizontal="center" vertical="center"/>
    </xf>
    <xf numFmtId="0" fontId="12" fillId="0" borderId="8" xfId="3" applyFont="1" applyBorder="1" applyAlignment="1">
      <alignment horizontal="center" vertical="center"/>
    </xf>
    <xf numFmtId="2" fontId="12" fillId="0" borderId="8" xfId="3" applyNumberFormat="1" applyFont="1" applyBorder="1" applyAlignment="1">
      <alignment horizontal="center" vertical="center"/>
    </xf>
    <xf numFmtId="177" fontId="12" fillId="0" borderId="15" xfId="4" applyNumberFormat="1" applyFont="1" applyBorder="1" applyAlignment="1">
      <alignment horizontal="center" vertical="center"/>
    </xf>
    <xf numFmtId="177" fontId="12" fillId="0" borderId="16" xfId="4" applyNumberFormat="1" applyFont="1" applyBorder="1" applyAlignment="1">
      <alignment horizontal="center" vertical="center"/>
    </xf>
    <xf numFmtId="176" fontId="12" fillId="0" borderId="16" xfId="4" applyNumberFormat="1" applyFont="1" applyBorder="1" applyAlignment="1">
      <alignment horizontal="center" vertical="center"/>
    </xf>
    <xf numFmtId="180" fontId="12" fillId="8" borderId="17" xfId="4" applyNumberFormat="1" applyFont="1" applyFill="1" applyBorder="1" applyAlignment="1">
      <alignment horizontal="center" vertical="center"/>
    </xf>
    <xf numFmtId="0" fontId="12" fillId="9" borderId="7" xfId="3" applyFont="1" applyFill="1" applyBorder="1" applyAlignment="1">
      <alignment horizontal="center" vertical="center"/>
    </xf>
    <xf numFmtId="2" fontId="12" fillId="9" borderId="8" xfId="3" applyNumberFormat="1" applyFont="1" applyFill="1" applyBorder="1" applyAlignment="1">
      <alignment horizontal="center" vertical="center"/>
    </xf>
    <xf numFmtId="0" fontId="12" fillId="9" borderId="8" xfId="3" applyFont="1" applyFill="1" applyBorder="1" applyAlignment="1">
      <alignment horizontal="center" vertical="center"/>
    </xf>
    <xf numFmtId="0" fontId="20" fillId="9" borderId="8" xfId="3" applyFont="1" applyFill="1" applyBorder="1" applyAlignment="1">
      <alignment horizontal="center" vertical="center"/>
    </xf>
    <xf numFmtId="181" fontId="12" fillId="11" borderId="9" xfId="3" applyNumberFormat="1" applyFont="1" applyFill="1" applyBorder="1" applyAlignment="1">
      <alignment horizontal="center" vertical="center"/>
    </xf>
    <xf numFmtId="176" fontId="12" fillId="0" borderId="0" xfId="3" applyNumberFormat="1" applyFont="1" applyAlignment="1">
      <alignment horizontal="center" vertical="center"/>
    </xf>
    <xf numFmtId="177" fontId="12" fillId="0" borderId="0" xfId="3" applyNumberFormat="1" applyFont="1" applyAlignment="1">
      <alignment horizontal="center" vertical="center"/>
    </xf>
    <xf numFmtId="176" fontId="12" fillId="0" borderId="8" xfId="3" applyNumberFormat="1" applyFont="1" applyBorder="1" applyAlignment="1">
      <alignment horizontal="center" vertical="center"/>
    </xf>
    <xf numFmtId="0" fontId="12" fillId="0" borderId="9" xfId="3" applyFont="1" applyBorder="1" applyAlignment="1">
      <alignment horizontal="center" vertical="center"/>
    </xf>
    <xf numFmtId="180" fontId="12" fillId="0" borderId="0" xfId="3" applyNumberFormat="1" applyFont="1" applyAlignment="1">
      <alignment horizontal="center" vertical="center"/>
    </xf>
    <xf numFmtId="179" fontId="12" fillId="0" borderId="0" xfId="3" applyNumberFormat="1" applyFont="1" applyAlignment="1">
      <alignment horizontal="center" vertical="center"/>
    </xf>
    <xf numFmtId="0" fontId="12" fillId="8" borderId="7" xfId="3" applyFont="1" applyFill="1" applyBorder="1" applyAlignment="1">
      <alignment horizontal="center" vertical="center"/>
    </xf>
    <xf numFmtId="176" fontId="12" fillId="8" borderId="8" xfId="3" applyNumberFormat="1" applyFont="1" applyFill="1" applyBorder="1" applyAlignment="1">
      <alignment horizontal="center" vertical="center"/>
    </xf>
    <xf numFmtId="0" fontId="12" fillId="8" borderId="8" xfId="3" applyFont="1" applyFill="1" applyBorder="1" applyAlignment="1">
      <alignment horizontal="center" vertical="center"/>
    </xf>
    <xf numFmtId="179" fontId="12" fillId="4" borderId="8" xfId="3" applyNumberFormat="1" applyFont="1" applyFill="1" applyBorder="1" applyAlignment="1">
      <alignment horizontal="center" vertical="center"/>
    </xf>
    <xf numFmtId="179" fontId="12" fillId="8" borderId="8" xfId="3" applyNumberFormat="1" applyFont="1" applyFill="1" applyBorder="1" applyAlignment="1">
      <alignment horizontal="center" vertical="center"/>
    </xf>
    <xf numFmtId="0" fontId="12" fillId="8" borderId="9" xfId="3" applyFont="1" applyFill="1" applyBorder="1" applyAlignment="1">
      <alignment horizontal="center" vertical="center"/>
    </xf>
    <xf numFmtId="0" fontId="19" fillId="12" borderId="21" xfId="3" applyFont="1" applyFill="1" applyBorder="1" applyAlignment="1">
      <alignment horizontal="center" vertical="center"/>
    </xf>
    <xf numFmtId="0" fontId="19" fillId="12" borderId="22" xfId="3" applyFont="1" applyFill="1" applyBorder="1" applyAlignment="1">
      <alignment horizontal="center" vertical="center"/>
    </xf>
    <xf numFmtId="0" fontId="19" fillId="12" borderId="23" xfId="3" applyFont="1" applyFill="1" applyBorder="1" applyAlignment="1">
      <alignment horizontal="center" vertical="center"/>
    </xf>
    <xf numFmtId="177" fontId="12" fillId="0" borderId="8" xfId="3" applyNumberFormat="1" applyFont="1" applyBorder="1" applyAlignment="1">
      <alignment horizontal="center" vertical="center"/>
    </xf>
    <xf numFmtId="182" fontId="12" fillId="0" borderId="8" xfId="3" applyNumberFormat="1" applyFont="1" applyBorder="1" applyAlignment="1">
      <alignment horizontal="center" vertical="center"/>
    </xf>
    <xf numFmtId="180" fontId="12" fillId="0" borderId="9" xfId="3" applyNumberFormat="1" applyFont="1" applyBorder="1" applyAlignment="1">
      <alignment horizontal="center" vertical="center"/>
    </xf>
    <xf numFmtId="177" fontId="12" fillId="13" borderId="24" xfId="3" applyNumberFormat="1" applyFont="1" applyFill="1" applyBorder="1" applyAlignment="1">
      <alignment horizontal="center" vertical="center"/>
    </xf>
    <xf numFmtId="177" fontId="12" fillId="13" borderId="25" xfId="3" applyNumberFormat="1" applyFont="1" applyFill="1" applyBorder="1" applyAlignment="1">
      <alignment horizontal="center" vertical="center"/>
    </xf>
    <xf numFmtId="0" fontId="12" fillId="13" borderId="26" xfId="3" applyFont="1" applyFill="1" applyBorder="1" applyAlignment="1">
      <alignment horizontal="left" vertical="center"/>
    </xf>
    <xf numFmtId="0" fontId="2" fillId="0" borderId="0" xfId="3" applyFont="1" applyAlignment="1">
      <alignment horizontal="center" vertical="center"/>
    </xf>
    <xf numFmtId="177" fontId="12" fillId="13" borderId="27" xfId="3" applyNumberFormat="1" applyFont="1" applyFill="1" applyBorder="1" applyAlignment="1">
      <alignment horizontal="center" vertical="center"/>
    </xf>
    <xf numFmtId="177" fontId="12" fillId="13" borderId="28" xfId="3" applyNumberFormat="1" applyFont="1" applyFill="1" applyBorder="1" applyAlignment="1">
      <alignment horizontal="center" vertical="center"/>
    </xf>
    <xf numFmtId="0" fontId="12" fillId="13" borderId="29" xfId="3" applyFont="1" applyFill="1" applyBorder="1" applyAlignment="1">
      <alignment horizontal="left" vertical="center"/>
    </xf>
    <xf numFmtId="0" fontId="12" fillId="10" borderId="7" xfId="3" applyFont="1" applyFill="1" applyBorder="1" applyAlignment="1">
      <alignment horizontal="center" vertical="center"/>
    </xf>
    <xf numFmtId="0" fontId="12" fillId="10" borderId="8" xfId="3" applyFont="1" applyFill="1" applyBorder="1" applyAlignment="1">
      <alignment horizontal="center" vertical="center"/>
    </xf>
    <xf numFmtId="0" fontId="12" fillId="10" borderId="9" xfId="3" applyFont="1" applyFill="1" applyBorder="1" applyAlignment="1">
      <alignment horizontal="center" vertical="center"/>
    </xf>
    <xf numFmtId="0" fontId="19" fillId="12" borderId="30" xfId="3" applyFont="1" applyFill="1" applyBorder="1" applyAlignment="1">
      <alignment horizontal="center" vertical="center"/>
    </xf>
    <xf numFmtId="0" fontId="12" fillId="13" borderId="31" xfId="3" applyFont="1" applyFill="1" applyBorder="1" applyAlignment="1">
      <alignment horizontal="left" vertical="center"/>
    </xf>
    <xf numFmtId="0" fontId="12" fillId="13" borderId="32" xfId="3" applyFont="1" applyFill="1" applyBorder="1" applyAlignment="1">
      <alignment horizontal="left" vertical="center"/>
    </xf>
    <xf numFmtId="0" fontId="12" fillId="13" borderId="33" xfId="3" applyFont="1" applyFill="1" applyBorder="1" applyAlignment="1">
      <alignment horizontal="left" vertical="center"/>
    </xf>
    <xf numFmtId="0" fontId="12" fillId="13" borderId="34" xfId="3" applyFont="1" applyFill="1" applyBorder="1" applyAlignment="1">
      <alignment horizontal="left" vertical="center"/>
    </xf>
    <xf numFmtId="0" fontId="12" fillId="13" borderId="35" xfId="3" applyFont="1" applyFill="1" applyBorder="1" applyAlignment="1">
      <alignment horizontal="left" vertical="center"/>
    </xf>
    <xf numFmtId="0" fontId="12" fillId="13" borderId="36" xfId="3" applyFont="1" applyFill="1" applyBorder="1" applyAlignment="1">
      <alignment horizontal="left" vertical="center"/>
    </xf>
    <xf numFmtId="0" fontId="23" fillId="0" borderId="8" xfId="3" applyFont="1" applyBorder="1" applyAlignment="1">
      <alignment horizontal="center" vertical="center"/>
    </xf>
    <xf numFmtId="0" fontId="19" fillId="12" borderId="27" xfId="3" applyFont="1" applyFill="1" applyBorder="1" applyAlignment="1">
      <alignment horizontal="center" vertical="center"/>
    </xf>
    <xf numFmtId="0" fontId="19" fillId="12" borderId="28" xfId="3" applyFont="1" applyFill="1" applyBorder="1" applyAlignment="1">
      <alignment horizontal="center" vertical="center"/>
    </xf>
    <xf numFmtId="0" fontId="12" fillId="13" borderId="37" xfId="3" applyFont="1" applyFill="1" applyBorder="1" applyAlignment="1">
      <alignment horizontal="left" vertical="center"/>
    </xf>
    <xf numFmtId="177" fontId="12" fillId="0" borderId="8" xfId="6" applyNumberFormat="1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177" fontId="12" fillId="14" borderId="24" xfId="3" applyNumberFormat="1" applyFont="1" applyFill="1" applyBorder="1" applyAlignment="1">
      <alignment horizontal="center" vertical="center"/>
    </xf>
    <xf numFmtId="177" fontId="12" fillId="14" borderId="25" xfId="3" applyNumberFormat="1" applyFont="1" applyFill="1" applyBorder="1" applyAlignment="1">
      <alignment horizontal="center" vertical="center"/>
    </xf>
    <xf numFmtId="0" fontId="19" fillId="14" borderId="24" xfId="3" applyFont="1" applyFill="1" applyBorder="1" applyAlignment="1">
      <alignment horizontal="center" vertical="center"/>
    </xf>
    <xf numFmtId="0" fontId="19" fillId="14" borderId="25" xfId="3" applyFont="1" applyFill="1" applyBorder="1" applyAlignment="1">
      <alignment horizontal="center" vertical="center"/>
    </xf>
    <xf numFmtId="180" fontId="12" fillId="0" borderId="38" xfId="3" applyNumberFormat="1" applyFont="1" applyBorder="1" applyAlignment="1">
      <alignment horizontal="center" vertical="center"/>
    </xf>
    <xf numFmtId="177" fontId="12" fillId="13" borderId="36" xfId="3" applyNumberFormat="1" applyFont="1" applyFill="1" applyBorder="1" applyAlignment="1">
      <alignment horizontal="center" vertical="center"/>
    </xf>
    <xf numFmtId="177" fontId="12" fillId="15" borderId="8" xfId="6" applyNumberFormat="1" applyFont="1" applyFill="1" applyBorder="1" applyAlignment="1">
      <alignment horizontal="center" vertical="center"/>
    </xf>
    <xf numFmtId="0" fontId="12" fillId="15" borderId="8" xfId="6" applyFont="1" applyFill="1" applyBorder="1" applyAlignment="1">
      <alignment horizontal="center" vertical="center"/>
    </xf>
    <xf numFmtId="0" fontId="12" fillId="15" borderId="8" xfId="3" applyFont="1" applyFill="1" applyBorder="1" applyAlignment="1">
      <alignment horizontal="center" vertical="center"/>
    </xf>
    <xf numFmtId="180" fontId="12" fillId="15" borderId="38" xfId="3" applyNumberFormat="1" applyFont="1" applyFill="1" applyBorder="1" applyAlignment="1">
      <alignment horizontal="center" vertical="center"/>
    </xf>
    <xf numFmtId="177" fontId="15" fillId="13" borderId="36" xfId="3" applyNumberFormat="1" applyFont="1" applyFill="1" applyBorder="1" applyAlignment="1">
      <alignment horizontal="center" vertical="center"/>
    </xf>
    <xf numFmtId="180" fontId="12" fillId="15" borderId="9" xfId="3" applyNumberFormat="1" applyFont="1" applyFill="1" applyBorder="1" applyAlignment="1">
      <alignment horizontal="center" vertical="center"/>
    </xf>
    <xf numFmtId="177" fontId="12" fillId="16" borderId="24" xfId="3" applyNumberFormat="1" applyFont="1" applyFill="1" applyBorder="1" applyAlignment="1">
      <alignment horizontal="center" vertical="center"/>
    </xf>
    <xf numFmtId="177" fontId="12" fillId="16" borderId="25" xfId="3" applyNumberFormat="1" applyFont="1" applyFill="1" applyBorder="1" applyAlignment="1">
      <alignment horizontal="center" vertical="center"/>
    </xf>
    <xf numFmtId="0" fontId="19" fillId="14" borderId="27" xfId="3" applyFont="1" applyFill="1" applyBorder="1" applyAlignment="1">
      <alignment horizontal="center" vertical="center"/>
    </xf>
    <xf numFmtId="0" fontId="19" fillId="14" borderId="28" xfId="3" applyFont="1" applyFill="1" applyBorder="1" applyAlignment="1">
      <alignment horizontal="center" vertical="center"/>
    </xf>
    <xf numFmtId="183" fontId="12" fillId="0" borderId="0" xfId="3" applyNumberFormat="1" applyFont="1" applyAlignment="1">
      <alignment horizontal="center" vertical="center"/>
    </xf>
    <xf numFmtId="177" fontId="12" fillId="8" borderId="8" xfId="3" applyNumberFormat="1" applyFont="1" applyFill="1" applyBorder="1" applyAlignment="1">
      <alignment horizontal="center" vertical="center"/>
    </xf>
    <xf numFmtId="177" fontId="19" fillId="10" borderId="8" xfId="3" applyNumberFormat="1" applyFont="1" applyFill="1" applyBorder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19" fillId="10" borderId="42" xfId="3" applyFont="1" applyFill="1" applyBorder="1" applyAlignment="1">
      <alignment horizontal="center" vertical="center"/>
    </xf>
    <xf numFmtId="0" fontId="19" fillId="10" borderId="43" xfId="3" applyFont="1" applyFill="1" applyBorder="1" applyAlignment="1">
      <alignment horizontal="center" vertical="center"/>
    </xf>
    <xf numFmtId="0" fontId="19" fillId="10" borderId="44" xfId="3" applyFont="1" applyFill="1" applyBorder="1" applyAlignment="1">
      <alignment horizontal="center" vertical="center"/>
    </xf>
    <xf numFmtId="0" fontId="1" fillId="0" borderId="0" xfId="3" applyFont="1" applyAlignment="1">
      <alignment horizontal="left" vertical="center"/>
    </xf>
    <xf numFmtId="49" fontId="12" fillId="0" borderId="8" xfId="3" applyNumberFormat="1" applyFont="1" applyBorder="1" applyAlignment="1">
      <alignment horizontal="center" vertical="center"/>
    </xf>
    <xf numFmtId="181" fontId="12" fillId="0" borderId="8" xfId="8" applyNumberFormat="1" applyFont="1" applyBorder="1" applyAlignment="1">
      <alignment horizontal="center" vertical="center"/>
    </xf>
    <xf numFmtId="0" fontId="12" fillId="0" borderId="7" xfId="3" applyFont="1" applyBorder="1" applyAlignment="1">
      <alignment vertical="center"/>
    </xf>
    <xf numFmtId="0" fontId="12" fillId="0" borderId="8" xfId="3" applyFont="1" applyBorder="1" applyAlignment="1">
      <alignment vertical="center"/>
    </xf>
    <xf numFmtId="181" fontId="12" fillId="0" borderId="8" xfId="3" applyNumberFormat="1" applyFont="1" applyBorder="1" applyAlignment="1">
      <alignment horizontal="center" vertical="center"/>
    </xf>
    <xf numFmtId="179" fontId="24" fillId="8" borderId="8" xfId="3" applyNumberFormat="1" applyFont="1" applyFill="1" applyBorder="1" applyAlignment="1">
      <alignment horizontal="center" vertical="center"/>
    </xf>
    <xf numFmtId="0" fontId="12" fillId="9" borderId="8" xfId="5" applyFont="1" applyFill="1" applyBorder="1" applyAlignment="1">
      <alignment horizontal="center" vertical="center"/>
    </xf>
    <xf numFmtId="176" fontId="12" fillId="9" borderId="8" xfId="3" applyNumberFormat="1" applyFont="1" applyFill="1" applyBorder="1" applyAlignment="1">
      <alignment horizontal="center" vertical="center"/>
    </xf>
    <xf numFmtId="177" fontId="19" fillId="9" borderId="8" xfId="3" applyNumberFormat="1" applyFont="1" applyFill="1" applyBorder="1" applyAlignment="1">
      <alignment horizontal="center" vertical="center"/>
    </xf>
    <xf numFmtId="184" fontId="19" fillId="9" borderId="9" xfId="3" applyNumberFormat="1" applyFont="1" applyFill="1" applyBorder="1" applyAlignment="1">
      <alignment horizontal="center" vertical="center"/>
    </xf>
    <xf numFmtId="0" fontId="23" fillId="9" borderId="7" xfId="3" applyFont="1" applyFill="1" applyBorder="1" applyAlignment="1">
      <alignment horizontal="center" vertical="center"/>
    </xf>
    <xf numFmtId="2" fontId="12" fillId="9" borderId="8" xfId="5" applyNumberFormat="1" applyFont="1" applyFill="1" applyBorder="1" applyAlignment="1">
      <alignment horizontal="center" vertical="center"/>
    </xf>
    <xf numFmtId="179" fontId="12" fillId="9" borderId="8" xfId="3" applyNumberFormat="1" applyFont="1" applyFill="1" applyBorder="1" applyAlignment="1">
      <alignment horizontal="center" vertical="center"/>
    </xf>
    <xf numFmtId="180" fontId="19" fillId="9" borderId="8" xfId="3" applyNumberFormat="1" applyFont="1" applyFill="1" applyBorder="1" applyAlignment="1">
      <alignment horizontal="center" vertical="center"/>
    </xf>
    <xf numFmtId="2" fontId="19" fillId="9" borderId="8" xfId="5" applyNumberFormat="1" applyFont="1" applyFill="1" applyBorder="1" applyAlignment="1">
      <alignment horizontal="center" vertical="center"/>
    </xf>
    <xf numFmtId="0" fontId="19" fillId="9" borderId="8" xfId="5" applyFont="1" applyFill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177" fontId="12" fillId="0" borderId="7" xfId="3" applyNumberFormat="1" applyFont="1" applyBorder="1" applyAlignment="1">
      <alignment horizontal="left" vertical="center"/>
    </xf>
    <xf numFmtId="1" fontId="12" fillId="16" borderId="8" xfId="3" applyNumberFormat="1" applyFont="1" applyFill="1" applyBorder="1" applyAlignment="1">
      <alignment horizontal="center" vertical="center"/>
    </xf>
    <xf numFmtId="1" fontId="12" fillId="0" borderId="8" xfId="3" applyNumberFormat="1" applyFont="1" applyBorder="1" applyAlignment="1">
      <alignment horizontal="center" vertical="center"/>
    </xf>
    <xf numFmtId="0" fontId="12" fillId="17" borderId="9" xfId="3" applyFont="1" applyFill="1" applyBorder="1" applyAlignment="1">
      <alignment horizontal="center" vertical="center"/>
    </xf>
    <xf numFmtId="2" fontId="12" fillId="8" borderId="8" xfId="3" applyNumberFormat="1" applyFont="1" applyFill="1" applyBorder="1" applyAlignment="1">
      <alignment horizontal="center" vertical="center"/>
    </xf>
    <xf numFmtId="181" fontId="12" fillId="0" borderId="0" xfId="3" applyNumberFormat="1" applyFont="1" applyAlignment="1">
      <alignment horizontal="center" vertical="center"/>
    </xf>
    <xf numFmtId="1" fontId="12" fillId="0" borderId="8" xfId="6" applyNumberFormat="1" applyFont="1" applyBorder="1" applyAlignment="1">
      <alignment horizontal="center" vertical="center"/>
    </xf>
    <xf numFmtId="177" fontId="12" fillId="8" borderId="7" xfId="3" applyNumberFormat="1" applyFont="1" applyFill="1" applyBorder="1" applyAlignment="1">
      <alignment horizontal="center" vertical="center"/>
    </xf>
    <xf numFmtId="0" fontId="12" fillId="16" borderId="9" xfId="3" applyFont="1" applyFill="1" applyBorder="1" applyAlignment="1">
      <alignment horizontal="center" vertical="center"/>
    </xf>
    <xf numFmtId="177" fontId="25" fillId="0" borderId="8" xfId="3" applyNumberFormat="1" applyFont="1" applyBorder="1" applyAlignment="1">
      <alignment horizontal="center" vertical="center"/>
    </xf>
    <xf numFmtId="0" fontId="25" fillId="0" borderId="8" xfId="3" applyFont="1" applyBorder="1" applyAlignment="1">
      <alignment horizontal="center" vertical="center"/>
    </xf>
    <xf numFmtId="1" fontId="25" fillId="0" borderId="8" xfId="3" applyNumberFormat="1" applyFont="1" applyBorder="1" applyAlignment="1">
      <alignment horizontal="center" vertical="center"/>
    </xf>
    <xf numFmtId="0" fontId="25" fillId="0" borderId="9" xfId="3" applyFont="1" applyBorder="1" applyAlignment="1">
      <alignment horizontal="center" vertical="center"/>
    </xf>
    <xf numFmtId="1" fontId="25" fillId="16" borderId="8" xfId="3" applyNumberFormat="1" applyFont="1" applyFill="1" applyBorder="1" applyAlignment="1">
      <alignment horizontal="center" vertical="center"/>
    </xf>
    <xf numFmtId="177" fontId="12" fillId="5" borderId="7" xfId="3" applyNumberFormat="1" applyFont="1" applyFill="1" applyBorder="1" applyAlignment="1">
      <alignment horizontal="left" vertical="center"/>
    </xf>
    <xf numFmtId="177" fontId="25" fillId="5" borderId="8" xfId="3" applyNumberFormat="1" applyFont="1" applyFill="1" applyBorder="1" applyAlignment="1">
      <alignment horizontal="center" vertical="center"/>
    </xf>
    <xf numFmtId="2" fontId="12" fillId="5" borderId="8" xfId="3" applyNumberFormat="1" applyFont="1" applyFill="1" applyBorder="1" applyAlignment="1">
      <alignment horizontal="center" vertical="center"/>
    </xf>
    <xf numFmtId="0" fontId="25" fillId="5" borderId="8" xfId="3" applyFont="1" applyFill="1" applyBorder="1" applyAlignment="1">
      <alignment horizontal="center" vertical="center"/>
    </xf>
    <xf numFmtId="1" fontId="25" fillId="5" borderId="8" xfId="3" applyNumberFormat="1" applyFont="1" applyFill="1" applyBorder="1" applyAlignment="1">
      <alignment horizontal="center" vertical="center"/>
    </xf>
    <xf numFmtId="0" fontId="12" fillId="5" borderId="9" xfId="3" applyFont="1" applyFill="1" applyBorder="1" applyAlignment="1">
      <alignment horizontal="center" vertical="center"/>
    </xf>
    <xf numFmtId="176" fontId="26" fillId="9" borderId="8" xfId="3" applyNumberFormat="1" applyFont="1" applyFill="1" applyBorder="1" applyAlignment="1">
      <alignment horizontal="center" vertical="center"/>
    </xf>
    <xf numFmtId="0" fontId="26" fillId="9" borderId="8" xfId="3" applyFont="1" applyFill="1" applyBorder="1" applyAlignment="1">
      <alignment horizontal="center" vertical="center"/>
    </xf>
    <xf numFmtId="176" fontId="26" fillId="9" borderId="9" xfId="3" applyNumberFormat="1" applyFont="1" applyFill="1" applyBorder="1" applyAlignment="1">
      <alignment horizontal="center" vertical="center"/>
    </xf>
    <xf numFmtId="176" fontId="12" fillId="0" borderId="8" xfId="3" applyNumberFormat="1" applyFont="1" applyBorder="1" applyAlignment="1">
      <alignment vertical="center"/>
    </xf>
    <xf numFmtId="0" fontId="12" fillId="0" borderId="8" xfId="3" applyFont="1" applyBorder="1" applyAlignment="1">
      <alignment horizontal="right" vertical="center"/>
    </xf>
    <xf numFmtId="0" fontId="23" fillId="0" borderId="9" xfId="3" applyFont="1" applyBorder="1" applyAlignment="1">
      <alignment horizontal="center" vertical="center"/>
    </xf>
    <xf numFmtId="0" fontId="12" fillId="8" borderId="7" xfId="3" applyFont="1" applyFill="1" applyBorder="1" applyAlignment="1">
      <alignment horizontal="left" vertical="center"/>
    </xf>
    <xf numFmtId="176" fontId="12" fillId="8" borderId="8" xfId="3" applyNumberFormat="1" applyFont="1" applyFill="1" applyBorder="1" applyAlignment="1">
      <alignment vertical="center"/>
    </xf>
    <xf numFmtId="180" fontId="12" fillId="8" borderId="9" xfId="3" applyNumberFormat="1" applyFont="1" applyFill="1" applyBorder="1" applyAlignment="1">
      <alignment horizontal="center" vertical="center"/>
    </xf>
    <xf numFmtId="0" fontId="12" fillId="0" borderId="7" xfId="3" applyFont="1" applyBorder="1" applyAlignment="1">
      <alignment horizontal="left" vertical="center" wrapText="1"/>
    </xf>
    <xf numFmtId="176" fontId="12" fillId="0" borderId="8" xfId="3" applyNumberFormat="1" applyFont="1" applyBorder="1" applyAlignment="1">
      <alignment horizontal="right" vertical="center"/>
    </xf>
    <xf numFmtId="176" fontId="12" fillId="8" borderId="8" xfId="3" applyNumberFormat="1" applyFont="1" applyFill="1" applyBorder="1" applyAlignment="1">
      <alignment horizontal="right" vertical="center"/>
    </xf>
    <xf numFmtId="0" fontId="12" fillId="0" borderId="7" xfId="3" applyFont="1" applyBorder="1" applyAlignment="1">
      <alignment horizontal="left" vertical="center"/>
    </xf>
    <xf numFmtId="0" fontId="12" fillId="0" borderId="8" xfId="3" applyFont="1" applyBorder="1" applyAlignment="1">
      <alignment horizontal="left" vertical="center"/>
    </xf>
    <xf numFmtId="0" fontId="23" fillId="0" borderId="8" xfId="3" applyFont="1" applyBorder="1" applyAlignment="1">
      <alignment horizontal="right" vertical="center"/>
    </xf>
    <xf numFmtId="176" fontId="12" fillId="0" borderId="8" xfId="5" applyNumberFormat="1" applyFont="1" applyBorder="1" applyAlignment="1">
      <alignment horizontal="right" vertical="center"/>
    </xf>
    <xf numFmtId="0" fontId="12" fillId="0" borderId="46" xfId="5" applyFont="1" applyBorder="1" applyAlignment="1">
      <alignment horizontal="left" vertical="center"/>
    </xf>
    <xf numFmtId="2" fontId="12" fillId="0" borderId="8" xfId="5" applyNumberFormat="1" applyFont="1" applyBorder="1" applyAlignment="1">
      <alignment horizontal="left" vertical="center"/>
    </xf>
    <xf numFmtId="0" fontId="12" fillId="0" borderId="8" xfId="5" applyFont="1" applyBorder="1" applyAlignment="1">
      <alignment horizontal="right" vertical="center"/>
    </xf>
    <xf numFmtId="181" fontId="12" fillId="0" borderId="8" xfId="5" applyNumberFormat="1" applyFont="1" applyBorder="1" applyAlignment="1">
      <alignment horizontal="right" vertical="center"/>
    </xf>
    <xf numFmtId="0" fontId="12" fillId="0" borderId="47" xfId="5" applyFont="1" applyBorder="1" applyAlignment="1">
      <alignment horizontal="left" vertical="center"/>
    </xf>
    <xf numFmtId="0" fontId="12" fillId="8" borderId="8" xfId="3" applyFont="1" applyFill="1" applyBorder="1" applyAlignment="1">
      <alignment horizontal="left" vertical="center"/>
    </xf>
    <xf numFmtId="0" fontId="12" fillId="8" borderId="8" xfId="3" applyFont="1" applyFill="1" applyBorder="1" applyAlignment="1">
      <alignment horizontal="right" vertical="center"/>
    </xf>
    <xf numFmtId="2" fontId="12" fillId="0" borderId="8" xfId="3" applyNumberFormat="1" applyFont="1" applyBorder="1" applyAlignment="1">
      <alignment horizontal="left" vertical="center"/>
    </xf>
    <xf numFmtId="181" fontId="12" fillId="0" borderId="8" xfId="3" applyNumberFormat="1" applyFont="1" applyBorder="1" applyAlignment="1">
      <alignment horizontal="right" vertical="center"/>
    </xf>
    <xf numFmtId="176" fontId="12" fillId="0" borderId="9" xfId="3" applyNumberFormat="1" applyFont="1" applyBorder="1" applyAlignment="1">
      <alignment horizontal="center" vertical="center" wrapText="1"/>
    </xf>
    <xf numFmtId="0" fontId="9" fillId="0" borderId="0" xfId="3" applyFont="1" applyAlignment="1">
      <alignment horizontal="center" vertical="center"/>
    </xf>
    <xf numFmtId="180" fontId="9" fillId="0" borderId="0" xfId="3" applyNumberFormat="1" applyFont="1" applyAlignment="1">
      <alignment horizontal="center" vertical="center"/>
    </xf>
    <xf numFmtId="177" fontId="9" fillId="0" borderId="0" xfId="3" applyNumberFormat="1" applyFont="1" applyAlignment="1">
      <alignment horizontal="center" vertical="center"/>
    </xf>
    <xf numFmtId="0" fontId="12" fillId="0" borderId="7" xfId="9" applyNumberFormat="1" applyFont="1" applyBorder="1" applyAlignment="1">
      <alignment horizontal="left" vertical="center"/>
    </xf>
    <xf numFmtId="0" fontId="12" fillId="0" borderId="8" xfId="9" applyNumberFormat="1" applyFont="1" applyBorder="1" applyAlignment="1">
      <alignment horizontal="left" vertical="center"/>
    </xf>
    <xf numFmtId="0" fontId="12" fillId="0" borderId="8" xfId="9" applyNumberFormat="1" applyFont="1" applyBorder="1" applyAlignment="1">
      <alignment horizontal="center" vertical="center"/>
    </xf>
    <xf numFmtId="0" fontId="12" fillId="0" borderId="8" xfId="9" applyNumberFormat="1" applyFont="1" applyBorder="1" applyAlignment="1">
      <alignment horizontal="right" vertical="center"/>
    </xf>
    <xf numFmtId="2" fontId="12" fillId="0" borderId="8" xfId="9" applyNumberFormat="1" applyFont="1" applyBorder="1" applyAlignment="1">
      <alignment horizontal="right" vertical="center"/>
    </xf>
    <xf numFmtId="0" fontId="12" fillId="0" borderId="9" xfId="9" applyNumberFormat="1" applyFont="1" applyBorder="1" applyAlignment="1">
      <alignment horizontal="center" vertical="center"/>
    </xf>
    <xf numFmtId="2" fontId="12" fillId="0" borderId="8" xfId="3" applyNumberFormat="1" applyFont="1" applyBorder="1" applyAlignment="1">
      <alignment horizontal="right" vertical="center"/>
    </xf>
    <xf numFmtId="176" fontId="12" fillId="19" borderId="8" xfId="3" applyNumberFormat="1" applyFont="1" applyFill="1" applyBorder="1" applyAlignment="1">
      <alignment horizontal="center" vertical="center"/>
    </xf>
    <xf numFmtId="0" fontId="23" fillId="0" borderId="7" xfId="3" applyFont="1" applyBorder="1" applyAlignment="1">
      <alignment horizontal="left" vertical="center"/>
    </xf>
    <xf numFmtId="176" fontId="23" fillId="20" borderId="8" xfId="3" applyNumberFormat="1" applyFont="1" applyFill="1" applyBorder="1" applyAlignment="1">
      <alignment horizontal="center" vertical="center"/>
    </xf>
    <xf numFmtId="0" fontId="12" fillId="8" borderId="9" xfId="3" applyFont="1" applyFill="1" applyBorder="1" applyAlignment="1">
      <alignment horizontal="left" vertical="center"/>
    </xf>
    <xf numFmtId="0" fontId="26" fillId="9" borderId="7" xfId="3" applyFont="1" applyFill="1" applyBorder="1" applyAlignment="1">
      <alignment horizontal="center" vertical="center"/>
    </xf>
    <xf numFmtId="176" fontId="19" fillId="9" borderId="8" xfId="3" applyNumberFormat="1" applyFont="1" applyFill="1" applyBorder="1" applyAlignment="1">
      <alignment horizontal="center" vertical="center"/>
    </xf>
    <xf numFmtId="0" fontId="19" fillId="9" borderId="8" xfId="3" applyFont="1" applyFill="1" applyBorder="1" applyAlignment="1">
      <alignment horizontal="center" vertical="center"/>
    </xf>
    <xf numFmtId="176" fontId="26" fillId="9" borderId="8" xfId="3" applyNumberFormat="1" applyFont="1" applyFill="1" applyBorder="1" applyAlignment="1">
      <alignment horizontal="right" vertical="center"/>
    </xf>
    <xf numFmtId="0" fontId="19" fillId="9" borderId="9" xfId="3" applyFont="1" applyFill="1" applyBorder="1" applyAlignment="1">
      <alignment horizontal="center" vertical="center"/>
    </xf>
    <xf numFmtId="0" fontId="10" fillId="7" borderId="0" xfId="3" applyFill="1" applyAlignment="1">
      <alignment horizontal="center" vertical="center"/>
    </xf>
    <xf numFmtId="0" fontId="15" fillId="8" borderId="7" xfId="3" applyFont="1" applyFill="1" applyBorder="1" applyAlignment="1">
      <alignment horizontal="center" vertical="center"/>
    </xf>
    <xf numFmtId="2" fontId="15" fillId="8" borderId="9" xfId="3" applyNumberFormat="1" applyFont="1" applyFill="1" applyBorder="1" applyAlignment="1">
      <alignment horizontal="center" vertical="center"/>
    </xf>
    <xf numFmtId="0" fontId="10" fillId="0" borderId="0" xfId="3" applyAlignment="1">
      <alignment horizontal="center" vertical="center"/>
    </xf>
    <xf numFmtId="2" fontId="12" fillId="8" borderId="9" xfId="3" applyNumberFormat="1" applyFont="1" applyFill="1" applyBorder="1" applyAlignment="1">
      <alignment horizontal="center" vertical="center"/>
    </xf>
    <xf numFmtId="0" fontId="15" fillId="9" borderId="7" xfId="3" applyFont="1" applyFill="1" applyBorder="1" applyAlignment="1">
      <alignment horizontal="center" vertical="center"/>
    </xf>
    <xf numFmtId="0" fontId="15" fillId="9" borderId="8" xfId="3" applyFont="1" applyFill="1" applyBorder="1" applyAlignment="1">
      <alignment horizontal="center" vertical="center"/>
    </xf>
    <xf numFmtId="0" fontId="15" fillId="9" borderId="9" xfId="3" applyFont="1" applyFill="1" applyBorder="1" applyAlignment="1">
      <alignment horizontal="center" vertical="center"/>
    </xf>
    <xf numFmtId="177" fontId="15" fillId="9" borderId="48" xfId="3" applyNumberFormat="1" applyFont="1" applyFill="1" applyBorder="1" applyAlignment="1">
      <alignment horizontal="center" vertical="center"/>
    </xf>
    <xf numFmtId="176" fontId="15" fillId="9" borderId="49" xfId="3" applyNumberFormat="1" applyFont="1" applyFill="1" applyBorder="1" applyAlignment="1">
      <alignment horizontal="center" vertical="center"/>
    </xf>
    <xf numFmtId="2" fontId="15" fillId="9" borderId="49" xfId="3" applyNumberFormat="1" applyFont="1" applyFill="1" applyBorder="1" applyAlignment="1">
      <alignment horizontal="center" vertical="center"/>
    </xf>
    <xf numFmtId="0" fontId="15" fillId="9" borderId="49" xfId="3" applyFont="1" applyFill="1" applyBorder="1" applyAlignment="1">
      <alignment horizontal="center" vertical="center"/>
    </xf>
    <xf numFmtId="176" fontId="15" fillId="9" borderId="50" xfId="3" applyNumberFormat="1" applyFont="1" applyFill="1" applyBorder="1" applyAlignment="1">
      <alignment horizontal="center" vertical="center"/>
    </xf>
    <xf numFmtId="0" fontId="27" fillId="0" borderId="0" xfId="10" applyFont="1" applyAlignment="1">
      <alignment horizontal="center" vertical="center"/>
    </xf>
    <xf numFmtId="178" fontId="12" fillId="0" borderId="0" xfId="3" applyNumberFormat="1" applyFont="1" applyAlignment="1">
      <alignment horizontal="center" vertical="center"/>
    </xf>
    <xf numFmtId="176" fontId="15" fillId="2" borderId="51" xfId="3" applyNumberFormat="1" applyFont="1" applyFill="1" applyBorder="1" applyAlignment="1">
      <alignment horizontal="center" vertical="center"/>
    </xf>
    <xf numFmtId="0" fontId="15" fillId="2" borderId="51" xfId="3" applyFont="1" applyFill="1" applyBorder="1" applyAlignment="1">
      <alignment horizontal="center" vertical="center"/>
    </xf>
    <xf numFmtId="0" fontId="26" fillId="0" borderId="51" xfId="13" applyFont="1" applyBorder="1" applyAlignment="1">
      <alignment horizontal="center" vertical="center" wrapText="1"/>
    </xf>
    <xf numFmtId="176" fontId="26" fillId="0" borderId="51" xfId="13" applyNumberFormat="1" applyFont="1" applyBorder="1" applyAlignment="1">
      <alignment horizontal="center" vertical="center" wrapText="1"/>
    </xf>
    <xf numFmtId="0" fontId="32" fillId="0" borderId="51" xfId="13" applyFont="1" applyBorder="1" applyAlignment="1">
      <alignment horizontal="center" vertical="center" wrapText="1"/>
    </xf>
    <xf numFmtId="177" fontId="26" fillId="0" borderId="51" xfId="13" applyNumberFormat="1" applyFont="1" applyBorder="1" applyAlignment="1">
      <alignment horizontal="center" vertical="center" wrapText="1"/>
    </xf>
    <xf numFmtId="0" fontId="18" fillId="0" borderId="51" xfId="7" applyFont="1" applyBorder="1" applyAlignment="1">
      <alignment horizontal="center" vertical="center"/>
    </xf>
    <xf numFmtId="176" fontId="15" fillId="0" borderId="51" xfId="8" applyNumberFormat="1" applyFont="1" applyBorder="1" applyAlignment="1">
      <alignment horizontal="center" vertical="center"/>
    </xf>
    <xf numFmtId="0" fontId="26" fillId="2" borderId="51" xfId="13" applyFont="1" applyFill="1" applyBorder="1" applyAlignment="1">
      <alignment horizontal="center" vertical="center" wrapText="1"/>
    </xf>
    <xf numFmtId="176" fontId="26" fillId="2" borderId="51" xfId="13" applyNumberFormat="1" applyFont="1" applyFill="1" applyBorder="1" applyAlignment="1">
      <alignment horizontal="center" vertical="center" wrapText="1"/>
    </xf>
    <xf numFmtId="0" fontId="35" fillId="0" borderId="0" xfId="14" applyFont="1" applyAlignment="1">
      <alignment horizontal="center" vertical="center"/>
    </xf>
    <xf numFmtId="0" fontId="35" fillId="0" borderId="0" xfId="15" applyFont="1" applyAlignment="1">
      <alignment horizontal="center" vertical="center"/>
    </xf>
    <xf numFmtId="0" fontId="19" fillId="22" borderId="51" xfId="14" applyFont="1" applyFill="1" applyBorder="1" applyAlignment="1">
      <alignment horizontal="center" vertical="center"/>
    </xf>
    <xf numFmtId="0" fontId="19" fillId="0" borderId="51" xfId="14" applyFont="1" applyBorder="1" applyAlignment="1">
      <alignment horizontal="center" vertical="center"/>
    </xf>
    <xf numFmtId="2" fontId="35" fillId="0" borderId="0" xfId="14" applyNumberFormat="1" applyFont="1" applyAlignment="1">
      <alignment horizontal="center" vertical="center"/>
    </xf>
    <xf numFmtId="0" fontId="19" fillId="0" borderId="51" xfId="15" applyFont="1" applyBorder="1" applyAlignment="1">
      <alignment horizontal="center" vertical="center"/>
    </xf>
    <xf numFmtId="0" fontId="35" fillId="0" borderId="0" xfId="14" applyFont="1"/>
    <xf numFmtId="0" fontId="36" fillId="8" borderId="8" xfId="3" applyFont="1" applyFill="1" applyBorder="1" applyAlignment="1">
      <alignment horizontal="center" vertical="center"/>
    </xf>
    <xf numFmtId="2" fontId="36" fillId="8" borderId="8" xfId="3" applyNumberFormat="1" applyFont="1" applyFill="1" applyBorder="1" applyAlignment="1">
      <alignment horizontal="center" vertical="center"/>
    </xf>
    <xf numFmtId="0" fontId="12" fillId="0" borderId="13" xfId="3" applyFont="1" applyBorder="1" applyAlignment="1">
      <alignment horizontal="center" vertical="center"/>
    </xf>
    <xf numFmtId="0" fontId="12" fillId="0" borderId="9" xfId="3" applyFont="1" applyBorder="1" applyAlignment="1">
      <alignment horizontal="left" vertical="center" wrapText="1"/>
    </xf>
    <xf numFmtId="0" fontId="19" fillId="22" borderId="51" xfId="14" applyFont="1" applyFill="1" applyBorder="1" applyAlignment="1">
      <alignment horizontal="center" vertical="center" wrapText="1"/>
    </xf>
    <xf numFmtId="0" fontId="12" fillId="23" borderId="51" xfId="14" applyFont="1" applyFill="1" applyBorder="1" applyAlignment="1">
      <alignment horizontal="center" vertical="center" wrapText="1"/>
    </xf>
    <xf numFmtId="0" fontId="19" fillId="0" borderId="51" xfId="14" applyFont="1" applyBorder="1" applyAlignment="1">
      <alignment horizontal="center" vertical="center" wrapText="1"/>
    </xf>
    <xf numFmtId="0" fontId="35" fillId="0" borderId="0" xfId="14" applyFont="1" applyAlignment="1">
      <alignment wrapText="1"/>
    </xf>
    <xf numFmtId="0" fontId="12" fillId="3" borderId="51" xfId="14" applyFont="1" applyFill="1" applyBorder="1" applyAlignment="1">
      <alignment horizontal="center" vertical="center" wrapText="1"/>
    </xf>
    <xf numFmtId="0" fontId="19" fillId="3" borderId="51" xfId="14" applyFont="1" applyFill="1" applyBorder="1" applyAlignment="1">
      <alignment horizontal="center" vertical="center"/>
    </xf>
    <xf numFmtId="0" fontId="12" fillId="0" borderId="61" xfId="3" applyFont="1" applyBorder="1" applyAlignment="1">
      <alignment horizontal="center" vertical="center"/>
    </xf>
    <xf numFmtId="181" fontId="12" fillId="0" borderId="61" xfId="3" applyNumberFormat="1" applyFont="1" applyBorder="1" applyAlignment="1">
      <alignment horizontal="center" vertical="center"/>
    </xf>
    <xf numFmtId="179" fontId="12" fillId="8" borderId="61" xfId="3" applyNumberFormat="1" applyFont="1" applyFill="1" applyBorder="1" applyAlignment="1">
      <alignment horizontal="center" vertical="center"/>
    </xf>
    <xf numFmtId="184" fontId="32" fillId="9" borderId="9" xfId="3" applyNumberFormat="1" applyFont="1" applyFill="1" applyBorder="1" applyAlignment="1">
      <alignment horizontal="center" vertical="center"/>
    </xf>
    <xf numFmtId="185" fontId="12" fillId="3" borderId="8" xfId="3" applyNumberFormat="1" applyFont="1" applyFill="1" applyBorder="1" applyAlignment="1">
      <alignment horizontal="right" vertical="center"/>
    </xf>
    <xf numFmtId="0" fontId="25" fillId="3" borderId="8" xfId="3" applyFont="1" applyFill="1" applyBorder="1" applyAlignment="1">
      <alignment horizontal="right" vertical="center"/>
    </xf>
    <xf numFmtId="176" fontId="25" fillId="3" borderId="8" xfId="3" applyNumberFormat="1" applyFont="1" applyFill="1" applyBorder="1" applyAlignment="1">
      <alignment horizontal="right" vertical="center"/>
    </xf>
    <xf numFmtId="2" fontId="12" fillId="3" borderId="8" xfId="3" applyNumberFormat="1" applyFont="1" applyFill="1" applyBorder="1" applyAlignment="1">
      <alignment horizontal="center" vertical="center"/>
    </xf>
    <xf numFmtId="0" fontId="23" fillId="3" borderId="8" xfId="3" applyFont="1" applyFill="1" applyBorder="1" applyAlignment="1">
      <alignment horizontal="center" vertical="center"/>
    </xf>
    <xf numFmtId="0" fontId="25" fillId="0" borderId="8" xfId="9" applyNumberFormat="1" applyFont="1" applyBorder="1" applyAlignment="1">
      <alignment horizontal="right" vertical="center"/>
    </xf>
    <xf numFmtId="0" fontId="39" fillId="0" borderId="51" xfId="13" applyFont="1" applyBorder="1" applyAlignment="1">
      <alignment horizontal="center" vertical="center" wrapText="1"/>
    </xf>
    <xf numFmtId="2" fontId="12" fillId="0" borderId="0" xfId="3" applyNumberFormat="1" applyFont="1" applyAlignment="1">
      <alignment horizontal="center" vertical="center"/>
    </xf>
    <xf numFmtId="177" fontId="40" fillId="0" borderId="0" xfId="3" applyNumberFormat="1" applyFont="1" applyAlignment="1">
      <alignment horizontal="center" vertical="center"/>
    </xf>
    <xf numFmtId="0" fontId="41" fillId="0" borderId="57" xfId="3" applyFont="1" applyBorder="1" applyAlignment="1">
      <alignment horizontal="center" vertical="center"/>
    </xf>
    <xf numFmtId="0" fontId="41" fillId="0" borderId="0" xfId="3" applyFont="1" applyAlignment="1">
      <alignment horizontal="center" vertical="center"/>
    </xf>
    <xf numFmtId="0" fontId="12" fillId="0" borderId="7" xfId="3" applyFont="1" applyBorder="1" applyAlignment="1">
      <alignment horizontal="left" vertical="center" wrapText="1"/>
    </xf>
    <xf numFmtId="0" fontId="12" fillId="0" borderId="9" xfId="3" applyFont="1" applyBorder="1" applyAlignment="1">
      <alignment horizontal="center" vertical="center"/>
    </xf>
    <xf numFmtId="0" fontId="26" fillId="9" borderId="7" xfId="3" applyFont="1" applyFill="1" applyBorder="1" applyAlignment="1">
      <alignment horizontal="center" vertical="center"/>
    </xf>
    <xf numFmtId="0" fontId="12" fillId="0" borderId="13" xfId="3" applyFont="1" applyBorder="1" applyAlignment="1">
      <alignment horizontal="center" vertical="center"/>
    </xf>
    <xf numFmtId="0" fontId="12" fillId="0" borderId="8" xfId="3" applyFont="1" applyBorder="1" applyAlignment="1">
      <alignment horizontal="center" vertical="center"/>
    </xf>
    <xf numFmtId="0" fontId="12" fillId="0" borderId="7" xfId="3" applyFont="1" applyBorder="1" applyAlignment="1">
      <alignment horizontal="center" vertical="center"/>
    </xf>
    <xf numFmtId="0" fontId="19" fillId="10" borderId="8" xfId="3" applyFont="1" applyFill="1" applyBorder="1" applyAlignment="1">
      <alignment horizontal="center" vertical="center"/>
    </xf>
    <xf numFmtId="177" fontId="12" fillId="0" borderId="8" xfId="3" applyNumberFormat="1" applyFont="1" applyBorder="1" applyAlignment="1">
      <alignment horizontal="center" vertical="center"/>
    </xf>
    <xf numFmtId="0" fontId="15" fillId="8" borderId="2" xfId="3" applyFont="1" applyFill="1" applyBorder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12" fillId="16" borderId="51" xfId="14" applyFont="1" applyFill="1" applyBorder="1" applyAlignment="1">
      <alignment horizontal="center" vertical="center" wrapText="1"/>
    </xf>
    <xf numFmtId="0" fontId="19" fillId="16" borderId="51" xfId="15" applyFont="1" applyFill="1" applyBorder="1" applyAlignment="1">
      <alignment horizontal="center" vertical="center"/>
    </xf>
    <xf numFmtId="0" fontId="19" fillId="16" borderId="51" xfId="14" applyFont="1" applyFill="1" applyBorder="1" applyAlignment="1">
      <alignment horizontal="center" vertical="center"/>
    </xf>
    <xf numFmtId="0" fontId="15" fillId="8" borderId="2" xfId="3" applyFont="1" applyFill="1" applyBorder="1" applyAlignment="1">
      <alignment horizontal="center" vertical="center"/>
    </xf>
    <xf numFmtId="0" fontId="12" fillId="0" borderId="7" xfId="3" applyFont="1" applyBorder="1" applyAlignment="1">
      <alignment horizontal="center" vertical="center"/>
    </xf>
    <xf numFmtId="0" fontId="19" fillId="10" borderId="8" xfId="3" applyFont="1" applyFill="1" applyBorder="1" applyAlignment="1">
      <alignment horizontal="center" vertical="center"/>
    </xf>
    <xf numFmtId="0" fontId="12" fillId="0" borderId="8" xfId="3" applyFont="1" applyBorder="1" applyAlignment="1">
      <alignment horizontal="center" vertical="center"/>
    </xf>
    <xf numFmtId="177" fontId="12" fillId="0" borderId="8" xfId="3" applyNumberFormat="1" applyFont="1" applyBorder="1" applyAlignment="1">
      <alignment horizontal="center" vertical="center"/>
    </xf>
    <xf numFmtId="0" fontId="12" fillId="0" borderId="13" xfId="3" applyFont="1" applyBorder="1" applyAlignment="1">
      <alignment horizontal="center" vertical="center"/>
    </xf>
    <xf numFmtId="0" fontId="12" fillId="0" borderId="7" xfId="3" applyFont="1" applyBorder="1" applyAlignment="1">
      <alignment horizontal="left" vertical="center" wrapText="1"/>
    </xf>
    <xf numFmtId="0" fontId="26" fillId="9" borderId="7" xfId="3" applyFont="1" applyFill="1" applyBorder="1" applyAlignment="1">
      <alignment horizontal="center" vertical="center"/>
    </xf>
    <xf numFmtId="0" fontId="12" fillId="0" borderId="9" xfId="3" applyFont="1" applyBorder="1" applyAlignment="1">
      <alignment horizontal="center" vertical="center"/>
    </xf>
    <xf numFmtId="0" fontId="8" fillId="0" borderId="0" xfId="6">
      <alignment vertical="center"/>
    </xf>
    <xf numFmtId="0" fontId="43" fillId="0" borderId="51" xfId="6" applyFont="1" applyBorder="1" applyAlignment="1">
      <alignment horizontal="center" vertical="center"/>
    </xf>
    <xf numFmtId="0" fontId="8" fillId="0" borderId="51" xfId="6" applyBorder="1" applyAlignment="1">
      <alignment horizontal="center" vertical="center"/>
    </xf>
    <xf numFmtId="43" fontId="43" fillId="0" borderId="51" xfId="6" applyNumberFormat="1" applyFont="1" applyBorder="1" applyAlignment="1">
      <alignment horizontal="center" vertical="center"/>
    </xf>
    <xf numFmtId="0" fontId="43" fillId="0" borderId="51" xfId="6" applyFont="1" applyBorder="1">
      <alignment vertical="center"/>
    </xf>
    <xf numFmtId="0" fontId="44" fillId="0" borderId="51" xfId="6" applyFont="1" applyBorder="1" applyAlignment="1">
      <alignment horizontal="center" vertical="center"/>
    </xf>
    <xf numFmtId="0" fontId="43" fillId="16" borderId="51" xfId="6" applyFont="1" applyFill="1" applyBorder="1" applyAlignment="1">
      <alignment horizontal="center" vertical="center" wrapText="1"/>
    </xf>
    <xf numFmtId="0" fontId="8" fillId="0" borderId="53" xfId="6" applyBorder="1" applyAlignment="1">
      <alignment horizontal="center" vertical="center"/>
    </xf>
    <xf numFmtId="0" fontId="43" fillId="0" borderId="0" xfId="6" applyFont="1" applyAlignment="1">
      <alignment horizontal="center" vertical="center"/>
    </xf>
    <xf numFmtId="43" fontId="43" fillId="0" borderId="0" xfId="6" applyNumberFormat="1" applyFont="1" applyAlignment="1">
      <alignment horizontal="center" vertical="center"/>
    </xf>
    <xf numFmtId="188" fontId="43" fillId="0" borderId="0" xfId="6" applyNumberFormat="1" applyFont="1" applyAlignment="1">
      <alignment horizontal="center" vertical="center"/>
    </xf>
    <xf numFmtId="43" fontId="8" fillId="0" borderId="51" xfId="6" applyNumberFormat="1" applyBorder="1" applyAlignment="1">
      <alignment horizontal="center" vertical="center"/>
    </xf>
    <xf numFmtId="0" fontId="8" fillId="0" borderId="0" xfId="6" applyAlignment="1">
      <alignment horizontal="center" vertical="center"/>
    </xf>
    <xf numFmtId="189" fontId="8" fillId="0" borderId="51" xfId="6" applyNumberFormat="1" applyBorder="1" applyAlignment="1">
      <alignment vertical="center"/>
    </xf>
    <xf numFmtId="0" fontId="8" fillId="0" borderId="55" xfId="6" applyBorder="1" applyAlignment="1">
      <alignment horizontal="center" vertical="center"/>
    </xf>
    <xf numFmtId="180" fontId="32" fillId="0" borderId="9" xfId="3" applyNumberFormat="1" applyFont="1" applyBorder="1" applyAlignment="1">
      <alignment horizontal="center" vertical="center"/>
    </xf>
    <xf numFmtId="0" fontId="32" fillId="0" borderId="9" xfId="3" applyFont="1" applyBorder="1" applyAlignment="1">
      <alignment horizontal="center" vertical="center"/>
    </xf>
    <xf numFmtId="0" fontId="47" fillId="0" borderId="64" xfId="0" applyNumberFormat="1" applyFont="1" applyFill="1" applyBorder="1" applyAlignment="1" applyProtection="1">
      <alignment horizontal="center" vertical="center" wrapText="1"/>
    </xf>
    <xf numFmtId="0" fontId="47" fillId="0" borderId="65" xfId="0" applyNumberFormat="1" applyFont="1" applyFill="1" applyBorder="1" applyAlignment="1" applyProtection="1">
      <alignment horizontal="center" vertical="center" wrapText="1"/>
    </xf>
    <xf numFmtId="181" fontId="47" fillId="0" borderId="64" xfId="0" applyNumberFormat="1" applyFont="1" applyFill="1" applyBorder="1" applyAlignment="1" applyProtection="1">
      <alignment horizontal="center" vertical="center" wrapText="1"/>
    </xf>
    <xf numFmtId="179" fontId="47" fillId="0" borderId="64" xfId="0" applyNumberFormat="1" applyFont="1" applyFill="1" applyBorder="1" applyAlignment="1" applyProtection="1">
      <alignment horizontal="center" vertical="center" wrapText="1"/>
    </xf>
    <xf numFmtId="0" fontId="47" fillId="0" borderId="65" xfId="0" applyNumberFormat="1" applyFont="1" applyFill="1" applyBorder="1" applyAlignment="1" applyProtection="1">
      <alignment horizontal="center" vertical="center" wrapText="1" shrinkToFit="1"/>
    </xf>
    <xf numFmtId="0" fontId="47" fillId="0" borderId="65" xfId="0" applyNumberFormat="1" applyFont="1" applyFill="1" applyBorder="1" applyAlignment="1" applyProtection="1">
      <alignment horizontal="left" vertical="center" wrapText="1"/>
    </xf>
    <xf numFmtId="9" fontId="47" fillId="0" borderId="65" xfId="0" applyNumberFormat="1" applyFont="1" applyFill="1" applyBorder="1" applyAlignment="1" applyProtection="1">
      <alignment horizontal="center" vertical="center" wrapText="1"/>
    </xf>
    <xf numFmtId="49" fontId="47" fillId="0" borderId="65" xfId="0" applyNumberFormat="1" applyFont="1" applyFill="1" applyBorder="1" applyAlignment="1" applyProtection="1">
      <alignment horizontal="center" vertical="center" wrapText="1"/>
    </xf>
    <xf numFmtId="190" fontId="47" fillId="0" borderId="65" xfId="0" applyNumberFormat="1" applyFont="1" applyFill="1" applyBorder="1" applyAlignment="1" applyProtection="1">
      <alignment horizontal="center" vertical="center" wrapText="1"/>
    </xf>
    <xf numFmtId="191" fontId="47" fillId="0" borderId="65" xfId="0" applyNumberFormat="1" applyFont="1" applyFill="1" applyBorder="1" applyAlignment="1" applyProtection="1">
      <alignment horizontal="center" vertical="center" wrapText="1"/>
    </xf>
    <xf numFmtId="43" fontId="47" fillId="0" borderId="65" xfId="0" applyNumberFormat="1" applyFont="1" applyFill="1" applyBorder="1" applyAlignment="1" applyProtection="1">
      <alignment horizontal="center" vertical="center" wrapText="1" shrinkToFit="1"/>
    </xf>
    <xf numFmtId="181" fontId="47" fillId="0" borderId="65" xfId="0" applyNumberFormat="1" applyFont="1" applyFill="1" applyBorder="1" applyAlignment="1" applyProtection="1">
      <alignment horizontal="center" vertical="center" wrapText="1" shrinkToFit="1"/>
    </xf>
    <xf numFmtId="0" fontId="38" fillId="0" borderId="65" xfId="0" applyNumberFormat="1" applyFont="1" applyFill="1" applyBorder="1" applyAlignment="1" applyProtection="1">
      <alignment horizontal="center" vertical="center" wrapText="1"/>
    </xf>
    <xf numFmtId="0" fontId="38" fillId="0" borderId="65" xfId="0" applyNumberFormat="1" applyFont="1" applyFill="1" applyBorder="1" applyAlignment="1" applyProtection="1">
      <alignment horizontal="left" vertical="center" wrapText="1" shrinkToFit="1"/>
    </xf>
    <xf numFmtId="191" fontId="47" fillId="0" borderId="65" xfId="0" applyNumberFormat="1" applyFont="1" applyFill="1" applyBorder="1" applyAlignment="1" applyProtection="1">
      <alignment horizontal="center" vertical="center" wrapText="1" shrinkToFit="1"/>
    </xf>
    <xf numFmtId="43" fontId="47" fillId="0" borderId="65" xfId="0" applyNumberFormat="1" applyFont="1" applyFill="1" applyBorder="1" applyAlignment="1" applyProtection="1">
      <alignment horizontal="center" vertical="center" wrapText="1"/>
    </xf>
    <xf numFmtId="181" fontId="38" fillId="0" borderId="65" xfId="0" applyNumberFormat="1" applyFont="1" applyFill="1" applyBorder="1" applyAlignment="1" applyProtection="1">
      <alignment horizontal="center" vertical="center" wrapText="1"/>
    </xf>
    <xf numFmtId="0" fontId="47" fillId="0" borderId="65" xfId="0" applyNumberFormat="1" applyFont="1" applyFill="1" applyBorder="1" applyAlignment="1" applyProtection="1">
      <alignment vertical="center" wrapText="1" shrinkToFit="1"/>
    </xf>
    <xf numFmtId="181" fontId="47" fillId="6" borderId="65" xfId="0" applyNumberFormat="1" applyFont="1" applyFill="1" applyBorder="1" applyAlignment="1" applyProtection="1">
      <alignment horizontal="center" vertical="center" wrapText="1" shrinkToFit="1"/>
    </xf>
    <xf numFmtId="181" fontId="47" fillId="6" borderId="65" xfId="0" applyNumberFormat="1" applyFont="1" applyFill="1" applyBorder="1" applyAlignment="1" applyProtection="1">
      <alignment horizontal="center" vertical="center" wrapText="1"/>
    </xf>
    <xf numFmtId="181" fontId="47" fillId="0" borderId="65" xfId="0" applyNumberFormat="1" applyFont="1" applyFill="1" applyBorder="1" applyAlignment="1" applyProtection="1">
      <alignment vertical="center" wrapText="1"/>
    </xf>
    <xf numFmtId="0" fontId="47" fillId="0" borderId="65" xfId="0" applyNumberFormat="1" applyFont="1" applyFill="1" applyBorder="1" applyAlignment="1" applyProtection="1">
      <alignment vertical="center" wrapText="1"/>
    </xf>
    <xf numFmtId="0" fontId="47" fillId="0" borderId="65" xfId="0" applyNumberFormat="1" applyFont="1" applyFill="1" applyBorder="1" applyAlignment="1" applyProtection="1">
      <alignment horizontal="left" vertical="center" wrapText="1" shrinkToFit="1"/>
    </xf>
    <xf numFmtId="0" fontId="38" fillId="0" borderId="65" xfId="0" applyNumberFormat="1" applyFont="1" applyFill="1" applyBorder="1" applyAlignment="1" applyProtection="1">
      <alignment horizontal="center" vertical="center" wrapText="1" shrinkToFit="1"/>
    </xf>
    <xf numFmtId="181" fontId="47" fillId="0" borderId="65" xfId="0" applyNumberFormat="1" applyFont="1" applyFill="1" applyBorder="1" applyAlignment="1" applyProtection="1">
      <alignment horizontal="center" vertical="center" wrapText="1"/>
    </xf>
    <xf numFmtId="43" fontId="47" fillId="6" borderId="65" xfId="0" applyNumberFormat="1" applyFont="1" applyFill="1" applyBorder="1" applyAlignment="1" applyProtection="1">
      <alignment horizontal="center" vertical="center"/>
    </xf>
    <xf numFmtId="0" fontId="47" fillId="0" borderId="70" xfId="0" applyNumberFormat="1" applyFont="1" applyFill="1" applyBorder="1" applyAlignment="1" applyProtection="1">
      <alignment horizontal="center" vertical="center" wrapText="1" shrinkToFit="1"/>
    </xf>
    <xf numFmtId="0" fontId="47" fillId="0" borderId="68" xfId="0" applyNumberFormat="1" applyFont="1" applyFill="1" applyBorder="1" applyAlignment="1" applyProtection="1">
      <alignment vertical="center" wrapText="1"/>
    </xf>
    <xf numFmtId="0" fontId="47" fillId="0" borderId="67" xfId="0" applyNumberFormat="1" applyFont="1" applyFill="1" applyBorder="1" applyAlignment="1" applyProtection="1">
      <alignment vertical="center" wrapText="1"/>
    </xf>
    <xf numFmtId="43" fontId="8" fillId="0" borderId="0" xfId="6" applyNumberFormat="1">
      <alignment vertical="center"/>
    </xf>
    <xf numFmtId="0" fontId="49" fillId="0" borderId="0" xfId="25" applyFont="1" applyAlignment="1">
      <alignment horizontal="center" vertical="center"/>
    </xf>
    <xf numFmtId="181" fontId="49" fillId="0" borderId="0" xfId="25" applyNumberFormat="1" applyFont="1" applyAlignment="1">
      <alignment horizontal="center" vertical="center"/>
    </xf>
    <xf numFmtId="0" fontId="49" fillId="0" borderId="0" xfId="28" applyFont="1" applyAlignment="1">
      <alignment horizontal="left" vertical="center"/>
    </xf>
    <xf numFmtId="0" fontId="49" fillId="0" borderId="0" xfId="28" applyFont="1" applyAlignment="1">
      <alignment horizontal="center" vertical="center"/>
    </xf>
    <xf numFmtId="181" fontId="49" fillId="0" borderId="0" xfId="28" applyNumberFormat="1" applyFont="1" applyAlignment="1">
      <alignment horizontal="center" vertical="center"/>
    </xf>
    <xf numFmtId="181" fontId="49" fillId="24" borderId="72" xfId="28" applyNumberFormat="1" applyFont="1" applyFill="1" applyBorder="1" applyAlignment="1">
      <alignment horizontal="center" vertical="center"/>
    </xf>
    <xf numFmtId="177" fontId="49" fillId="24" borderId="73" xfId="28" applyNumberFormat="1" applyFont="1" applyFill="1" applyBorder="1" applyAlignment="1">
      <alignment horizontal="center" vertical="center"/>
    </xf>
    <xf numFmtId="0" fontId="1" fillId="24" borderId="73" xfId="28" applyFont="1" applyFill="1" applyBorder="1" applyAlignment="1">
      <alignment horizontal="center" vertical="center"/>
    </xf>
    <xf numFmtId="0" fontId="49" fillId="24" borderId="73" xfId="28" applyFont="1" applyFill="1" applyBorder="1" applyAlignment="1">
      <alignment horizontal="center" vertical="center"/>
    </xf>
    <xf numFmtId="176" fontId="49" fillId="24" borderId="73" xfId="28" applyNumberFormat="1" applyFont="1" applyFill="1" applyBorder="1" applyAlignment="1">
      <alignment horizontal="center" vertical="center"/>
    </xf>
    <xf numFmtId="0" fontId="1" fillId="24" borderId="74" xfId="28" applyFont="1" applyFill="1" applyBorder="1" applyAlignment="1">
      <alignment horizontal="center" vertical="center"/>
    </xf>
    <xf numFmtId="181" fontId="49" fillId="0" borderId="75" xfId="28" applyNumberFormat="1" applyFont="1" applyBorder="1" applyAlignment="1">
      <alignment horizontal="center" vertical="center"/>
    </xf>
    <xf numFmtId="181" fontId="49" fillId="0" borderId="76" xfId="28" applyNumberFormat="1" applyFont="1" applyBorder="1" applyAlignment="1">
      <alignment horizontal="center" vertical="center"/>
    </xf>
    <xf numFmtId="0" fontId="49" fillId="0" borderId="76" xfId="28" applyFont="1" applyBorder="1" applyAlignment="1">
      <alignment horizontal="center" vertical="center"/>
    </xf>
    <xf numFmtId="0" fontId="1" fillId="0" borderId="77" xfId="28" applyFont="1" applyBorder="1" applyAlignment="1">
      <alignment horizontal="center" vertical="center"/>
    </xf>
    <xf numFmtId="181" fontId="1" fillId="0" borderId="75" xfId="28" applyNumberFormat="1" applyFont="1" applyBorder="1" applyAlignment="1">
      <alignment horizontal="center" vertical="center"/>
    </xf>
    <xf numFmtId="182" fontId="49" fillId="0" borderId="76" xfId="28" applyNumberFormat="1" applyFont="1" applyBorder="1" applyAlignment="1">
      <alignment horizontal="center" vertical="center"/>
    </xf>
    <xf numFmtId="177" fontId="49" fillId="0" borderId="76" xfId="28" applyNumberFormat="1" applyFont="1" applyBorder="1" applyAlignment="1">
      <alignment horizontal="center" vertical="center"/>
    </xf>
    <xf numFmtId="0" fontId="49" fillId="0" borderId="76" xfId="3" applyFont="1" applyBorder="1" applyAlignment="1">
      <alignment horizontal="center" vertical="center"/>
    </xf>
    <xf numFmtId="0" fontId="1" fillId="0" borderId="76" xfId="28" applyFont="1" applyBorder="1" applyAlignment="1">
      <alignment horizontal="center" vertical="center"/>
    </xf>
    <xf numFmtId="181" fontId="49" fillId="24" borderId="75" xfId="28" applyNumberFormat="1" applyFont="1" applyFill="1" applyBorder="1" applyAlignment="1">
      <alignment horizontal="center" vertical="center"/>
    </xf>
    <xf numFmtId="0" fontId="49" fillId="24" borderId="51" xfId="28" applyFont="1" applyFill="1" applyBorder="1" applyAlignment="1">
      <alignment horizontal="center" vertical="center"/>
    </xf>
    <xf numFmtId="181" fontId="49" fillId="24" borderId="51" xfId="28" applyNumberFormat="1" applyFont="1" applyFill="1" applyBorder="1" applyAlignment="1">
      <alignment horizontal="center" vertical="center"/>
    </xf>
    <xf numFmtId="0" fontId="1" fillId="0" borderId="0" xfId="28" applyFont="1" applyAlignment="1">
      <alignment horizontal="center" vertical="center"/>
    </xf>
    <xf numFmtId="0" fontId="1" fillId="0" borderId="78" xfId="28" applyFont="1" applyBorder="1" applyAlignment="1">
      <alignment horizontal="center" vertical="center"/>
    </xf>
    <xf numFmtId="0" fontId="1" fillId="0" borderId="80" xfId="28" applyFont="1" applyBorder="1" applyAlignment="1">
      <alignment horizontal="center" vertical="center"/>
    </xf>
    <xf numFmtId="0" fontId="49" fillId="25" borderId="0" xfId="28" applyFont="1" applyFill="1" applyAlignment="1">
      <alignment horizontal="center" vertical="center"/>
    </xf>
    <xf numFmtId="181" fontId="49" fillId="25" borderId="0" xfId="28" applyNumberFormat="1" applyFont="1" applyFill="1" applyAlignment="1">
      <alignment horizontal="center" vertical="center"/>
    </xf>
    <xf numFmtId="0" fontId="52" fillId="24" borderId="76" xfId="28" applyFont="1" applyFill="1" applyBorder="1" applyAlignment="1">
      <alignment horizontal="center" vertical="center"/>
    </xf>
    <xf numFmtId="0" fontId="49" fillId="24" borderId="76" xfId="28" applyFont="1" applyFill="1" applyBorder="1" applyAlignment="1">
      <alignment horizontal="center" vertical="center"/>
    </xf>
    <xf numFmtId="0" fontId="1" fillId="24" borderId="76" xfId="28" applyFont="1" applyFill="1" applyBorder="1" applyAlignment="1">
      <alignment horizontal="center" vertical="center" wrapText="1"/>
    </xf>
    <xf numFmtId="0" fontId="1" fillId="24" borderId="81" xfId="28" applyFont="1" applyFill="1" applyBorder="1" applyAlignment="1">
      <alignment horizontal="center" vertical="center"/>
    </xf>
    <xf numFmtId="0" fontId="49" fillId="25" borderId="0" xfId="25" applyFont="1" applyFill="1" applyAlignment="1">
      <alignment horizontal="center" vertical="center"/>
    </xf>
    <xf numFmtId="181" fontId="49" fillId="24" borderId="76" xfId="28" applyNumberFormat="1" applyFont="1" applyFill="1" applyBorder="1" applyAlignment="1">
      <alignment horizontal="center" vertical="center"/>
    </xf>
    <xf numFmtId="0" fontId="1" fillId="24" borderId="76" xfId="28" applyFont="1" applyFill="1" applyBorder="1" applyAlignment="1">
      <alignment horizontal="center" vertical="center"/>
    </xf>
    <xf numFmtId="180" fontId="49" fillId="0" borderId="76" xfId="28" applyNumberFormat="1" applyFont="1" applyBorder="1" applyAlignment="1">
      <alignment horizontal="center" vertical="center"/>
    </xf>
    <xf numFmtId="181" fontId="1" fillId="0" borderId="76" xfId="28" applyNumberFormat="1" applyFont="1" applyBorder="1" applyAlignment="1">
      <alignment horizontal="center" vertical="center"/>
    </xf>
    <xf numFmtId="2" fontId="49" fillId="24" borderId="76" xfId="28" applyNumberFormat="1" applyFont="1" applyFill="1" applyBorder="1" applyAlignment="1">
      <alignment horizontal="center" vertical="center"/>
    </xf>
    <xf numFmtId="0" fontId="49" fillId="24" borderId="77" xfId="28" applyFont="1" applyFill="1" applyBorder="1" applyAlignment="1">
      <alignment horizontal="center" vertical="center"/>
    </xf>
    <xf numFmtId="180" fontId="49" fillId="0" borderId="51" xfId="4" applyNumberFormat="1" applyFont="1" applyBorder="1" applyAlignment="1">
      <alignment horizontal="center" vertical="center"/>
    </xf>
    <xf numFmtId="179" fontId="49" fillId="0" borderId="51" xfId="4" applyNumberFormat="1" applyFont="1" applyBorder="1" applyAlignment="1">
      <alignment horizontal="center" vertical="center"/>
    </xf>
    <xf numFmtId="177" fontId="49" fillId="0" borderId="51" xfId="4" applyNumberFormat="1" applyFont="1" applyBorder="1" applyAlignment="1">
      <alignment horizontal="center" vertical="center"/>
    </xf>
    <xf numFmtId="181" fontId="49" fillId="0" borderId="75" xfId="3" applyNumberFormat="1" applyFont="1" applyBorder="1" applyAlignment="1">
      <alignment horizontal="center" vertical="center"/>
    </xf>
    <xf numFmtId="0" fontId="49" fillId="0" borderId="77" xfId="28" applyFont="1" applyBorder="1" applyAlignment="1">
      <alignment horizontal="center" vertical="center"/>
    </xf>
    <xf numFmtId="0" fontId="49" fillId="16" borderId="76" xfId="28" applyFont="1" applyFill="1" applyBorder="1" applyAlignment="1">
      <alignment horizontal="center" vertical="center"/>
    </xf>
    <xf numFmtId="176" fontId="54" fillId="0" borderId="51" xfId="4" applyNumberFormat="1" applyFont="1" applyBorder="1" applyAlignment="1">
      <alignment horizontal="center" vertical="center"/>
    </xf>
    <xf numFmtId="0" fontId="56" fillId="0" borderId="86" xfId="28" applyFont="1" applyBorder="1" applyAlignment="1">
      <alignment horizontal="center" vertical="center"/>
    </xf>
    <xf numFmtId="0" fontId="58" fillId="26" borderId="88" xfId="29" applyFont="1" applyFill="1" applyBorder="1" applyAlignment="1">
      <alignment horizontal="center" vertical="center"/>
    </xf>
    <xf numFmtId="0" fontId="58" fillId="26" borderId="89" xfId="29" applyFont="1" applyFill="1" applyBorder="1" applyAlignment="1">
      <alignment horizontal="center" vertical="center"/>
    </xf>
    <xf numFmtId="0" fontId="10" fillId="0" borderId="0" xfId="29" applyAlignment="1">
      <alignment horizontal="center" vertical="center"/>
    </xf>
    <xf numFmtId="0" fontId="10" fillId="27" borderId="0" xfId="29" applyFill="1" applyAlignment="1">
      <alignment horizontal="center" vertical="center"/>
    </xf>
    <xf numFmtId="0" fontId="58" fillId="26" borderId="51" xfId="29" applyFont="1" applyFill="1" applyBorder="1" applyAlignment="1">
      <alignment horizontal="center" vertical="center"/>
    </xf>
    <xf numFmtId="0" fontId="58" fillId="16" borderId="51" xfId="29" applyFont="1" applyFill="1" applyBorder="1" applyAlignment="1">
      <alignment horizontal="center" vertical="center"/>
    </xf>
    <xf numFmtId="0" fontId="30" fillId="26" borderId="91" xfId="29" applyFont="1" applyFill="1" applyBorder="1" applyAlignment="1">
      <alignment horizontal="center" vertical="center"/>
    </xf>
    <xf numFmtId="0" fontId="30" fillId="26" borderId="92" xfId="29" applyFont="1" applyFill="1" applyBorder="1" applyAlignment="1">
      <alignment horizontal="center" vertical="center"/>
    </xf>
    <xf numFmtId="0" fontId="30" fillId="26" borderId="51" xfId="29" applyFont="1" applyFill="1" applyBorder="1" applyAlignment="1">
      <alignment horizontal="center" vertical="center"/>
    </xf>
    <xf numFmtId="2" fontId="30" fillId="26" borderId="91" xfId="29" applyNumberFormat="1" applyFont="1" applyFill="1" applyBorder="1" applyAlignment="1">
      <alignment horizontal="center" vertical="center"/>
    </xf>
    <xf numFmtId="181" fontId="10" fillId="0" borderId="0" xfId="29" applyNumberFormat="1" applyAlignment="1">
      <alignment horizontal="center" vertical="center"/>
    </xf>
    <xf numFmtId="192" fontId="10" fillId="0" borderId="0" xfId="29" applyNumberFormat="1" applyAlignment="1">
      <alignment horizontal="center" vertical="center"/>
    </xf>
    <xf numFmtId="0" fontId="61" fillId="28" borderId="90" xfId="29" applyFont="1" applyFill="1" applyBorder="1" applyAlignment="1">
      <alignment horizontal="center" vertical="center"/>
    </xf>
    <xf numFmtId="0" fontId="61" fillId="28" borderId="91" xfId="29" applyFont="1" applyFill="1" applyBorder="1" applyAlignment="1">
      <alignment horizontal="center" vertical="center"/>
    </xf>
    <xf numFmtId="0" fontId="61" fillId="28" borderId="92" xfId="29" applyFont="1" applyFill="1" applyBorder="1" applyAlignment="1">
      <alignment horizontal="center" vertical="center"/>
    </xf>
    <xf numFmtId="0" fontId="62" fillId="0" borderId="91" xfId="29" applyFont="1" applyBorder="1" applyAlignment="1">
      <alignment horizontal="center" vertical="center"/>
    </xf>
    <xf numFmtId="2" fontId="62" fillId="0" borderId="92" xfId="29" applyNumberFormat="1" applyFont="1" applyBorder="1" applyAlignment="1">
      <alignment horizontal="center" vertical="center"/>
    </xf>
    <xf numFmtId="192" fontId="63" fillId="0" borderId="0" xfId="29" applyNumberFormat="1" applyFont="1" applyAlignment="1">
      <alignment horizontal="center" vertical="center"/>
    </xf>
    <xf numFmtId="182" fontId="10" fillId="0" borderId="0" xfId="29" applyNumberFormat="1" applyAlignment="1">
      <alignment horizontal="center" vertical="center"/>
    </xf>
    <xf numFmtId="0" fontId="61" fillId="26" borderId="91" xfId="29" applyFont="1" applyFill="1" applyBorder="1" applyAlignment="1">
      <alignment horizontal="center" vertical="center"/>
    </xf>
    <xf numFmtId="2" fontId="61" fillId="26" borderId="92" xfId="29" applyNumberFormat="1" applyFont="1" applyFill="1" applyBorder="1" applyAlignment="1">
      <alignment horizontal="center" vertical="center"/>
    </xf>
    <xf numFmtId="0" fontId="61" fillId="26" borderId="90" xfId="29" applyFont="1" applyFill="1" applyBorder="1" applyAlignment="1">
      <alignment horizontal="center" vertical="center"/>
    </xf>
    <xf numFmtId="2" fontId="61" fillId="26" borderId="91" xfId="29" applyNumberFormat="1" applyFont="1" applyFill="1" applyBorder="1" applyAlignment="1">
      <alignment horizontal="center" vertical="center"/>
    </xf>
    <xf numFmtId="0" fontId="62" fillId="0" borderId="96" xfId="29" applyFont="1" applyBorder="1" applyAlignment="1">
      <alignment horizontal="center" vertical="center"/>
    </xf>
    <xf numFmtId="0" fontId="62" fillId="0" borderId="97" xfId="29" applyFont="1" applyBorder="1" applyAlignment="1">
      <alignment horizontal="center" vertical="center"/>
    </xf>
    <xf numFmtId="0" fontId="62" fillId="26" borderId="91" xfId="29" applyFont="1" applyFill="1" applyBorder="1" applyAlignment="1">
      <alignment horizontal="center" vertical="center"/>
    </xf>
    <xf numFmtId="0" fontId="62" fillId="26" borderId="98" xfId="29" applyFont="1" applyFill="1" applyBorder="1" applyAlignment="1">
      <alignment horizontal="center" vertical="center"/>
    </xf>
    <xf numFmtId="2" fontId="62" fillId="26" borderId="92" xfId="29" applyNumberFormat="1" applyFont="1" applyFill="1" applyBorder="1" applyAlignment="1">
      <alignment horizontal="center" vertical="center"/>
    </xf>
    <xf numFmtId="176" fontId="62" fillId="26" borderId="92" xfId="29" applyNumberFormat="1" applyFont="1" applyFill="1" applyBorder="1" applyAlignment="1">
      <alignment horizontal="center" vertical="center"/>
    </xf>
    <xf numFmtId="0" fontId="3" fillId="0" borderId="91" xfId="29" applyFont="1" applyBorder="1" applyAlignment="1">
      <alignment horizontal="center" vertical="center"/>
    </xf>
    <xf numFmtId="181" fontId="62" fillId="26" borderId="91" xfId="29" applyNumberFormat="1" applyFont="1" applyFill="1" applyBorder="1" applyAlignment="1">
      <alignment horizontal="center" vertical="center"/>
    </xf>
    <xf numFmtId="0" fontId="62" fillId="28" borderId="90" xfId="29" applyFont="1" applyFill="1" applyBorder="1" applyAlignment="1">
      <alignment horizontal="center" vertical="center"/>
    </xf>
    <xf numFmtId="0" fontId="62" fillId="28" borderId="91" xfId="29" applyFont="1" applyFill="1" applyBorder="1" applyAlignment="1">
      <alignment horizontal="center" vertical="center"/>
    </xf>
    <xf numFmtId="0" fontId="62" fillId="28" borderId="92" xfId="29" applyFont="1" applyFill="1" applyBorder="1" applyAlignment="1">
      <alignment horizontal="center" vertical="center"/>
    </xf>
    <xf numFmtId="0" fontId="46" fillId="9" borderId="90" xfId="8" applyFont="1" applyFill="1" applyBorder="1" applyAlignment="1">
      <alignment horizontal="center" vertical="center"/>
    </xf>
    <xf numFmtId="1" fontId="46" fillId="11" borderId="91" xfId="8" applyNumberFormat="1" applyFont="1" applyFill="1" applyBorder="1" applyAlignment="1">
      <alignment horizontal="center" vertical="center"/>
    </xf>
    <xf numFmtId="0" fontId="46" fillId="9" borderId="91" xfId="8" applyFont="1" applyFill="1" applyBorder="1" applyAlignment="1">
      <alignment horizontal="center" vertical="center"/>
    </xf>
    <xf numFmtId="176" fontId="46" fillId="9" borderId="91" xfId="8" applyNumberFormat="1" applyFont="1" applyFill="1" applyBorder="1" applyAlignment="1">
      <alignment horizontal="center" vertical="center"/>
    </xf>
    <xf numFmtId="0" fontId="46" fillId="11" borderId="91" xfId="8" applyFont="1" applyFill="1" applyBorder="1" applyAlignment="1">
      <alignment horizontal="center" vertical="center"/>
    </xf>
    <xf numFmtId="176" fontId="46" fillId="9" borderId="92" xfId="8" applyNumberFormat="1" applyFont="1" applyFill="1" applyBorder="1" applyAlignment="1">
      <alignment horizontal="center" vertical="center"/>
    </xf>
    <xf numFmtId="181" fontId="10" fillId="29" borderId="0" xfId="29" applyNumberFormat="1" applyFill="1" applyAlignment="1">
      <alignment horizontal="center" vertical="center"/>
    </xf>
    <xf numFmtId="0" fontId="10" fillId="29" borderId="0" xfId="29" applyFill="1" applyAlignment="1">
      <alignment horizontal="center" vertical="center"/>
    </xf>
    <xf numFmtId="0" fontId="60" fillId="11" borderId="90" xfId="29" applyFont="1" applyFill="1" applyBorder="1" applyAlignment="1">
      <alignment horizontal="center" vertical="center"/>
    </xf>
    <xf numFmtId="181" fontId="61" fillId="11" borderId="91" xfId="29" applyNumberFormat="1" applyFont="1" applyFill="1" applyBorder="1" applyAlignment="1">
      <alignment horizontal="center" vertical="center"/>
    </xf>
    <xf numFmtId="0" fontId="61" fillId="11" borderId="91" xfId="29" applyFont="1" applyFill="1" applyBorder="1" applyAlignment="1">
      <alignment horizontal="center" vertical="center"/>
    </xf>
    <xf numFmtId="2" fontId="61" fillId="11" borderId="91" xfId="29" applyNumberFormat="1" applyFont="1" applyFill="1" applyBorder="1" applyAlignment="1">
      <alignment horizontal="center" vertical="center"/>
    </xf>
    <xf numFmtId="2" fontId="61" fillId="11" borderId="92" xfId="29" applyNumberFormat="1" applyFont="1" applyFill="1" applyBorder="1" applyAlignment="1">
      <alignment horizontal="center" vertical="center"/>
    </xf>
    <xf numFmtId="0" fontId="64" fillId="10" borderId="90" xfId="8" applyFont="1" applyFill="1" applyBorder="1" applyAlignment="1">
      <alignment horizontal="center" vertical="center"/>
    </xf>
    <xf numFmtId="0" fontId="64" fillId="10" borderId="91" xfId="8" applyFont="1" applyFill="1" applyBorder="1" applyAlignment="1">
      <alignment horizontal="center" vertical="center"/>
    </xf>
    <xf numFmtId="0" fontId="64" fillId="10" borderId="92" xfId="8" applyFont="1" applyFill="1" applyBorder="1" applyAlignment="1">
      <alignment horizontal="center" vertical="center"/>
    </xf>
    <xf numFmtId="49" fontId="12" fillId="0" borderId="8" xfId="3" applyNumberFormat="1" applyFont="1" applyBorder="1" applyAlignment="1">
      <alignment horizontal="left" vertical="center"/>
    </xf>
    <xf numFmtId="0" fontId="62" fillId="0" borderId="90" xfId="29" applyFont="1" applyBorder="1" applyAlignment="1">
      <alignment horizontal="left" vertical="center"/>
    </xf>
    <xf numFmtId="0" fontId="62" fillId="16" borderId="91" xfId="29" applyFont="1" applyFill="1" applyBorder="1" applyAlignment="1">
      <alignment horizontal="center" vertical="center"/>
    </xf>
    <xf numFmtId="2" fontId="62" fillId="0" borderId="91" xfId="29" applyNumberFormat="1" applyFont="1" applyBorder="1" applyAlignment="1">
      <alignment horizontal="center" vertical="center"/>
    </xf>
    <xf numFmtId="1" fontId="62" fillId="0" borderId="91" xfId="29" applyNumberFormat="1" applyFont="1" applyBorder="1" applyAlignment="1">
      <alignment horizontal="center" vertical="center"/>
    </xf>
    <xf numFmtId="0" fontId="65" fillId="30" borderId="90" xfId="29" applyFont="1" applyFill="1" applyBorder="1" applyAlignment="1">
      <alignment horizontal="center" vertical="center"/>
    </xf>
    <xf numFmtId="0" fontId="65" fillId="30" borderId="91" xfId="29" applyFont="1" applyFill="1" applyBorder="1" applyAlignment="1">
      <alignment horizontal="center" vertical="center"/>
    </xf>
    <xf numFmtId="181" fontId="65" fillId="30" borderId="91" xfId="29" applyNumberFormat="1" applyFont="1" applyFill="1" applyBorder="1" applyAlignment="1">
      <alignment horizontal="center" vertical="center"/>
    </xf>
    <xf numFmtId="176" fontId="65" fillId="30" borderId="91" xfId="29" applyNumberFormat="1" applyFont="1" applyFill="1" applyBorder="1" applyAlignment="1">
      <alignment horizontal="center" vertical="center"/>
    </xf>
    <xf numFmtId="2" fontId="65" fillId="30" borderId="91" xfId="29" applyNumberFormat="1" applyFont="1" applyFill="1" applyBorder="1" applyAlignment="1">
      <alignment horizontal="center" vertical="center"/>
    </xf>
    <xf numFmtId="2" fontId="65" fillId="30" borderId="92" xfId="29" applyNumberFormat="1" applyFont="1" applyFill="1" applyBorder="1" applyAlignment="1">
      <alignment horizontal="center" vertical="center"/>
    </xf>
    <xf numFmtId="179" fontId="10" fillId="0" borderId="0" xfId="29" applyNumberFormat="1" applyAlignment="1">
      <alignment horizontal="center" vertical="center"/>
    </xf>
    <xf numFmtId="2" fontId="62" fillId="26" borderId="91" xfId="29" applyNumberFormat="1" applyFont="1" applyFill="1" applyBorder="1" applyAlignment="1">
      <alignment horizontal="center" vertical="center"/>
    </xf>
    <xf numFmtId="0" fontId="12" fillId="0" borderId="11" xfId="11" applyFont="1" applyBorder="1" applyAlignment="1">
      <alignment horizontal="center" vertical="center"/>
    </xf>
    <xf numFmtId="2" fontId="62" fillId="31" borderId="91" xfId="29" applyNumberFormat="1" applyFont="1" applyFill="1" applyBorder="1" applyAlignment="1">
      <alignment horizontal="center" vertical="center"/>
    </xf>
    <xf numFmtId="0" fontId="12" fillId="0" borderId="0" xfId="3" applyFont="1" applyAlignment="1">
      <alignment horizontal="left" vertical="center"/>
    </xf>
    <xf numFmtId="0" fontId="62" fillId="26" borderId="90" xfId="29" applyFont="1" applyFill="1" applyBorder="1" applyAlignment="1">
      <alignment horizontal="center" vertical="center"/>
    </xf>
    <xf numFmtId="2" fontId="61" fillId="30" borderId="92" xfId="29" applyNumberFormat="1" applyFont="1" applyFill="1" applyBorder="1" applyAlignment="1">
      <alignment horizontal="center" vertical="center"/>
    </xf>
    <xf numFmtId="181" fontId="61" fillId="21" borderId="106" xfId="29" applyNumberFormat="1" applyFont="1" applyFill="1" applyBorder="1" applyAlignment="1">
      <alignment horizontal="center" vertical="center"/>
    </xf>
    <xf numFmtId="2" fontId="61" fillId="21" borderId="106" xfId="29" applyNumberFormat="1" applyFont="1" applyFill="1" applyBorder="1" applyAlignment="1">
      <alignment horizontal="center" vertical="center"/>
    </xf>
    <xf numFmtId="2" fontId="61" fillId="21" borderId="107" xfId="29" applyNumberFormat="1" applyFont="1" applyFill="1" applyBorder="1" applyAlignment="1">
      <alignment horizontal="center" vertical="center"/>
    </xf>
    <xf numFmtId="0" fontId="10" fillId="32" borderId="0" xfId="29" applyFill="1" applyAlignment="1">
      <alignment horizontal="center" vertical="center"/>
    </xf>
    <xf numFmtId="0" fontId="62" fillId="0" borderId="0" xfId="29" applyFont="1" applyAlignment="1">
      <alignment horizontal="center" vertical="center"/>
    </xf>
    <xf numFmtId="181" fontId="62" fillId="0" borderId="0" xfId="29" applyNumberFormat="1" applyFont="1" applyAlignment="1">
      <alignment horizontal="center" vertical="center"/>
    </xf>
    <xf numFmtId="0" fontId="12" fillId="0" borderId="7" xfId="3" applyFont="1" applyBorder="1" applyAlignment="1">
      <alignment horizontal="left" vertical="center" wrapText="1"/>
    </xf>
    <xf numFmtId="0" fontId="12" fillId="0" borderId="9" xfId="3" applyFont="1" applyBorder="1" applyAlignment="1">
      <alignment horizontal="center" vertical="center"/>
    </xf>
    <xf numFmtId="0" fontId="26" fillId="9" borderId="7" xfId="3" applyFont="1" applyFill="1" applyBorder="1" applyAlignment="1">
      <alignment horizontal="center" vertical="center"/>
    </xf>
    <xf numFmtId="0" fontId="12" fillId="0" borderId="13" xfId="3" applyFont="1" applyBorder="1" applyAlignment="1">
      <alignment horizontal="center" vertical="center"/>
    </xf>
    <xf numFmtId="0" fontId="12" fillId="0" borderId="8" xfId="3" applyFont="1" applyBorder="1" applyAlignment="1">
      <alignment horizontal="center" vertical="center"/>
    </xf>
    <xf numFmtId="0" fontId="12" fillId="0" borderId="7" xfId="3" applyFont="1" applyBorder="1" applyAlignment="1">
      <alignment horizontal="center" vertical="center"/>
    </xf>
    <xf numFmtId="0" fontId="19" fillId="10" borderId="8" xfId="3" applyFont="1" applyFill="1" applyBorder="1" applyAlignment="1">
      <alignment horizontal="center" vertical="center"/>
    </xf>
    <xf numFmtId="177" fontId="12" fillId="0" borderId="8" xfId="3" applyNumberFormat="1" applyFont="1" applyBorder="1" applyAlignment="1">
      <alignment horizontal="center" vertical="center"/>
    </xf>
    <xf numFmtId="0" fontId="15" fillId="8" borderId="2" xfId="3" applyFont="1" applyFill="1" applyBorder="1" applyAlignment="1">
      <alignment horizontal="center" vertical="center"/>
    </xf>
    <xf numFmtId="0" fontId="62" fillId="0" borderId="0" xfId="29" applyFont="1" applyAlignment="1">
      <alignment horizontal="center" vertical="center"/>
    </xf>
    <xf numFmtId="0" fontId="62" fillId="26" borderId="90" xfId="29" applyFont="1" applyFill="1" applyBorder="1" applyAlignment="1">
      <alignment horizontal="center" vertical="center"/>
    </xf>
    <xf numFmtId="0" fontId="62" fillId="26" borderId="91" xfId="29" applyFont="1" applyFill="1" applyBorder="1" applyAlignment="1">
      <alignment horizontal="center" vertical="center"/>
    </xf>
    <xf numFmtId="2" fontId="62" fillId="0" borderId="91" xfId="29" applyNumberFormat="1" applyFont="1" applyBorder="1" applyAlignment="1">
      <alignment horizontal="center" vertical="center"/>
    </xf>
    <xf numFmtId="0" fontId="62" fillId="0" borderId="91" xfId="29" applyFont="1" applyBorder="1" applyAlignment="1">
      <alignment horizontal="center" vertical="center"/>
    </xf>
    <xf numFmtId="2" fontId="62" fillId="0" borderId="92" xfId="29" applyNumberFormat="1" applyFont="1" applyBorder="1" applyAlignment="1">
      <alignment horizontal="center" vertical="center"/>
    </xf>
    <xf numFmtId="0" fontId="62" fillId="28" borderId="91" xfId="29" applyFont="1" applyFill="1" applyBorder="1" applyAlignment="1">
      <alignment horizontal="center" vertical="center"/>
    </xf>
    <xf numFmtId="0" fontId="61" fillId="26" borderId="90" xfId="29" applyFont="1" applyFill="1" applyBorder="1" applyAlignment="1">
      <alignment horizontal="center" vertical="center"/>
    </xf>
    <xf numFmtId="0" fontId="61" fillId="26" borderId="91" xfId="29" applyFont="1" applyFill="1" applyBorder="1" applyAlignment="1">
      <alignment horizontal="center" vertical="center"/>
    </xf>
    <xf numFmtId="0" fontId="62" fillId="28" borderId="92" xfId="29" applyFont="1" applyFill="1" applyBorder="1" applyAlignment="1">
      <alignment horizontal="center" vertical="center"/>
    </xf>
    <xf numFmtId="0" fontId="58" fillId="26" borderId="88" xfId="29" applyFont="1" applyFill="1" applyBorder="1" applyAlignment="1">
      <alignment horizontal="center" vertical="center"/>
    </xf>
    <xf numFmtId="0" fontId="43" fillId="0" borderId="51" xfId="6" applyFont="1" applyBorder="1" applyAlignment="1">
      <alignment horizontal="center" vertical="center"/>
    </xf>
    <xf numFmtId="43" fontId="43" fillId="0" borderId="65" xfId="6" applyNumberFormat="1" applyFont="1" applyBorder="1" applyAlignment="1">
      <alignment horizontal="center" vertical="center"/>
    </xf>
    <xf numFmtId="43" fontId="8" fillId="0" borderId="65" xfId="6" applyNumberFormat="1" applyBorder="1" applyAlignment="1">
      <alignment horizontal="center" vertical="center"/>
    </xf>
    <xf numFmtId="0" fontId="8" fillId="0" borderId="65" xfId="6" applyBorder="1" applyAlignment="1">
      <alignment horizontal="center" vertical="center"/>
    </xf>
    <xf numFmtId="0" fontId="15" fillId="8" borderId="2" xfId="3" applyFont="1" applyFill="1" applyBorder="1" applyAlignment="1">
      <alignment horizontal="center" vertical="center"/>
    </xf>
    <xf numFmtId="0" fontId="12" fillId="0" borderId="7" xfId="3" applyFont="1" applyBorder="1" applyAlignment="1">
      <alignment horizontal="center" vertical="center"/>
    </xf>
    <xf numFmtId="0" fontId="19" fillId="10" borderId="8" xfId="3" applyFont="1" applyFill="1" applyBorder="1" applyAlignment="1">
      <alignment horizontal="center" vertical="center"/>
    </xf>
    <xf numFmtId="0" fontId="12" fillId="0" borderId="8" xfId="3" applyFont="1" applyBorder="1" applyAlignment="1">
      <alignment horizontal="center" vertical="center"/>
    </xf>
    <xf numFmtId="177" fontId="12" fillId="0" borderId="8" xfId="3" applyNumberFormat="1" applyFont="1" applyBorder="1" applyAlignment="1">
      <alignment horizontal="center" vertical="center"/>
    </xf>
    <xf numFmtId="0" fontId="12" fillId="0" borderId="13" xfId="3" applyFont="1" applyBorder="1" applyAlignment="1">
      <alignment horizontal="center" vertical="center"/>
    </xf>
    <xf numFmtId="0" fontId="26" fillId="9" borderId="7" xfId="3" applyFont="1" applyFill="1" applyBorder="1" applyAlignment="1">
      <alignment horizontal="center" vertical="center"/>
    </xf>
    <xf numFmtId="0" fontId="12" fillId="0" borderId="7" xfId="3" applyFont="1" applyBorder="1" applyAlignment="1">
      <alignment horizontal="left" vertical="center" wrapText="1"/>
    </xf>
    <xf numFmtId="0" fontId="12" fillId="0" borderId="9" xfId="3" applyFont="1" applyBorder="1" applyAlignment="1">
      <alignment horizontal="center" vertical="center"/>
    </xf>
    <xf numFmtId="43" fontId="35" fillId="0" borderId="0" xfId="14" applyNumberFormat="1" applyFont="1" applyAlignment="1">
      <alignment horizontal="center" vertical="center"/>
    </xf>
    <xf numFmtId="0" fontId="10" fillId="0" borderId="0" xfId="26">
      <alignment vertical="center"/>
    </xf>
    <xf numFmtId="181" fontId="3" fillId="0" borderId="52" xfId="35" applyNumberFormat="1" applyFont="1" applyBorder="1" applyAlignment="1" applyProtection="1">
      <alignment vertical="center" wrapText="1"/>
      <protection locked="0"/>
    </xf>
    <xf numFmtId="181" fontId="3" fillId="0" borderId="52" xfId="35" applyNumberFormat="1" applyFont="1" applyBorder="1" applyAlignment="1" applyProtection="1">
      <alignment horizontal="center" vertical="center" shrinkToFit="1"/>
      <protection locked="0"/>
    </xf>
    <xf numFmtId="181" fontId="3" fillId="0" borderId="70" xfId="35" applyNumberFormat="1" applyFont="1" applyBorder="1" applyAlignment="1">
      <alignment horizontal="center" vertical="center"/>
    </xf>
    <xf numFmtId="0" fontId="3" fillId="0" borderId="70" xfId="35" applyFont="1" applyBorder="1" applyAlignment="1" applyProtection="1">
      <alignment horizontal="center" vertical="center" wrapText="1"/>
      <protection locked="0"/>
    </xf>
    <xf numFmtId="0" fontId="3" fillId="0" borderId="70" xfId="35" applyFont="1" applyBorder="1" applyAlignment="1" applyProtection="1">
      <alignment horizontal="center" vertical="center"/>
      <protection locked="0"/>
    </xf>
    <xf numFmtId="181" fontId="3" fillId="0" borderId="70" xfId="37" applyNumberFormat="1" applyFont="1" applyBorder="1" applyAlignment="1" applyProtection="1">
      <alignment horizontal="center" vertical="center"/>
      <protection locked="0"/>
    </xf>
    <xf numFmtId="181" fontId="3" fillId="0" borderId="70" xfId="35" applyNumberFormat="1" applyFont="1" applyBorder="1" applyAlignment="1" applyProtection="1">
      <alignment horizontal="center" vertical="center"/>
      <protection locked="0"/>
    </xf>
    <xf numFmtId="181" fontId="3" fillId="0" borderId="70" xfId="35" applyNumberFormat="1" applyFont="1" applyBorder="1" applyAlignment="1" applyProtection="1">
      <alignment horizontal="center" vertical="center" shrinkToFit="1"/>
      <protection locked="0"/>
    </xf>
    <xf numFmtId="181" fontId="3" fillId="0" borderId="65" xfId="38" applyNumberFormat="1" applyFont="1" applyBorder="1" applyAlignment="1">
      <alignment horizontal="left" vertical="center"/>
    </xf>
    <xf numFmtId="0" fontId="3" fillId="0" borderId="70" xfId="37" applyFont="1" applyBorder="1" applyAlignment="1">
      <alignment horizontal="center" vertical="center"/>
    </xf>
    <xf numFmtId="181" fontId="3" fillId="0" borderId="70" xfId="37" applyNumberFormat="1" applyFont="1" applyBorder="1" applyAlignment="1">
      <alignment horizontal="center" vertical="center"/>
    </xf>
    <xf numFmtId="0" fontId="3" fillId="0" borderId="65" xfId="26" applyFont="1" applyBorder="1" applyAlignment="1">
      <alignment horizontal="left" vertical="center" wrapText="1"/>
    </xf>
    <xf numFmtId="181" fontId="3" fillId="0" borderId="65" xfId="35" applyNumberFormat="1" applyFont="1" applyBorder="1" applyAlignment="1" applyProtection="1">
      <alignment horizontal="center" vertical="center"/>
      <protection locked="0"/>
    </xf>
    <xf numFmtId="0" fontId="3" fillId="0" borderId="65" xfId="36" applyFont="1" applyBorder="1" applyAlignment="1">
      <alignment horizontal="center" vertical="center"/>
    </xf>
    <xf numFmtId="0" fontId="3" fillId="0" borderId="65" xfId="37" applyFont="1" applyBorder="1" applyAlignment="1">
      <alignment horizontal="center" vertical="center"/>
    </xf>
    <xf numFmtId="181" fontId="3" fillId="0" borderId="65" xfId="37" applyNumberFormat="1" applyFont="1" applyBorder="1" applyAlignment="1">
      <alignment horizontal="center" vertical="center"/>
    </xf>
    <xf numFmtId="181" fontId="3" fillId="0" borderId="65" xfId="35" applyNumberFormat="1" applyFont="1" applyBorder="1" applyAlignment="1">
      <alignment horizontal="center" vertical="center"/>
    </xf>
    <xf numFmtId="0" fontId="3" fillId="0" borderId="65" xfId="37" applyFont="1" applyBorder="1" applyAlignment="1">
      <alignment horizontal="center" vertical="center" shrinkToFit="1"/>
    </xf>
    <xf numFmtId="0" fontId="3" fillId="0" borderId="70" xfId="37" applyFont="1" applyBorder="1" applyAlignment="1">
      <alignment horizontal="center" vertical="center" shrinkToFit="1"/>
    </xf>
    <xf numFmtId="182" fontId="3" fillId="0" borderId="65" xfId="35" applyNumberFormat="1" applyFont="1" applyBorder="1" applyAlignment="1" applyProtection="1">
      <alignment horizontal="center" vertical="center"/>
      <protection locked="0"/>
    </xf>
    <xf numFmtId="0" fontId="3" fillId="0" borderId="67" xfId="37" applyFont="1" applyBorder="1" applyAlignment="1" applyProtection="1">
      <alignment horizontal="center" vertical="center"/>
      <protection locked="0"/>
    </xf>
    <xf numFmtId="181" fontId="3" fillId="0" borderId="65" xfId="39" applyNumberFormat="1" applyFont="1" applyBorder="1" applyAlignment="1">
      <alignment vertical="center"/>
    </xf>
    <xf numFmtId="0" fontId="3" fillId="0" borderId="65" xfId="35" applyFont="1" applyBorder="1" applyAlignment="1" applyProtection="1">
      <alignment horizontal="center" vertical="center" shrinkToFit="1"/>
      <protection locked="0"/>
    </xf>
    <xf numFmtId="0" fontId="3" fillId="0" borderId="65" xfId="37" applyFont="1" applyBorder="1" applyAlignment="1" applyProtection="1">
      <alignment horizontal="center" vertical="center"/>
      <protection locked="0"/>
    </xf>
    <xf numFmtId="0" fontId="3" fillId="0" borderId="65" xfId="35" applyFont="1" applyBorder="1" applyAlignment="1" applyProtection="1">
      <alignment horizontal="center" vertical="center" wrapText="1"/>
      <protection locked="0"/>
    </xf>
    <xf numFmtId="0" fontId="4" fillId="0" borderId="65" xfId="35" applyFont="1" applyBorder="1" applyAlignment="1" applyProtection="1">
      <alignment horizontal="center" vertical="center" wrapText="1"/>
      <protection locked="0"/>
    </xf>
    <xf numFmtId="0" fontId="3" fillId="0" borderId="65" xfId="35" applyFont="1" applyBorder="1" applyAlignment="1" applyProtection="1">
      <alignment horizontal="center" vertical="center"/>
      <protection locked="0"/>
    </xf>
    <xf numFmtId="9" fontId="1" fillId="0" borderId="0" xfId="36" applyNumberFormat="1" applyFont="1" applyAlignment="1">
      <alignment horizontal="center" vertical="center"/>
    </xf>
    <xf numFmtId="10" fontId="1" fillId="0" borderId="0" xfId="36" applyNumberFormat="1" applyFont="1" applyAlignment="1">
      <alignment horizontal="center" vertical="center"/>
    </xf>
    <xf numFmtId="0" fontId="1" fillId="0" borderId="0" xfId="36" applyFont="1" applyAlignment="1">
      <alignment horizontal="center" vertical="center"/>
    </xf>
    <xf numFmtId="0" fontId="3" fillId="0" borderId="0" xfId="36" applyFont="1" applyAlignment="1">
      <alignment horizontal="center" vertical="center"/>
    </xf>
    <xf numFmtId="0" fontId="3" fillId="0" borderId="0" xfId="40" applyFont="1" applyAlignment="1">
      <alignment horizontal="left" vertical="center"/>
    </xf>
    <xf numFmtId="0" fontId="3" fillId="0" borderId="0" xfId="35" applyFont="1" applyAlignment="1">
      <alignment horizontal="center" vertical="center" wrapText="1"/>
    </xf>
    <xf numFmtId="0" fontId="3" fillId="0" borderId="0" xfId="37" applyFont="1" applyAlignment="1">
      <alignment horizontal="center" vertical="center"/>
    </xf>
    <xf numFmtId="181" fontId="3" fillId="0" borderId="0" xfId="40" applyNumberFormat="1" applyFont="1" applyAlignment="1">
      <alignment horizontal="center" vertical="center"/>
    </xf>
    <xf numFmtId="181" fontId="3" fillId="0" borderId="0" xfId="35" applyNumberFormat="1" applyFont="1" applyAlignment="1">
      <alignment horizontal="center" vertical="center"/>
    </xf>
    <xf numFmtId="0" fontId="3" fillId="0" borderId="0" xfId="41" applyFont="1" applyAlignment="1">
      <alignment horizontal="center" vertical="center" wrapText="1"/>
    </xf>
    <xf numFmtId="181" fontId="3" fillId="16" borderId="70" xfId="37" applyNumberFormat="1" applyFont="1" applyFill="1" applyBorder="1" applyAlignment="1">
      <alignment horizontal="center" vertical="center"/>
    </xf>
    <xf numFmtId="181" fontId="3" fillId="0" borderId="0" xfId="37" applyNumberFormat="1" applyFont="1" applyAlignment="1">
      <alignment horizontal="center" vertical="center"/>
    </xf>
    <xf numFmtId="181" fontId="3" fillId="16" borderId="65" xfId="37" applyNumberFormat="1" applyFont="1" applyFill="1" applyBorder="1" applyAlignment="1">
      <alignment horizontal="center" vertical="center"/>
    </xf>
    <xf numFmtId="0" fontId="3" fillId="16" borderId="65" xfId="36" applyFont="1" applyFill="1" applyBorder="1" applyAlignment="1">
      <alignment horizontal="center" vertical="center"/>
    </xf>
    <xf numFmtId="176" fontId="3" fillId="0" borderId="0" xfId="41" applyNumberFormat="1" applyFont="1" applyAlignment="1">
      <alignment horizontal="center" vertical="center" wrapText="1"/>
    </xf>
    <xf numFmtId="0" fontId="71" fillId="0" borderId="0" xfId="3" applyFont="1" applyAlignment="1">
      <alignment horizontal="center" vertical="center"/>
    </xf>
    <xf numFmtId="0" fontId="71" fillId="0" borderId="0" xfId="26" applyFont="1">
      <alignment vertical="center"/>
    </xf>
    <xf numFmtId="176" fontId="72" fillId="0" borderId="0" xfId="0" applyNumberFormat="1" applyFont="1" applyAlignment="1">
      <alignment horizontal="center" vertical="center"/>
    </xf>
    <xf numFmtId="0" fontId="71" fillId="0" borderId="0" xfId="26" applyFont="1" applyAlignment="1">
      <alignment horizontal="left" vertical="center"/>
    </xf>
    <xf numFmtId="181" fontId="71" fillId="0" borderId="0" xfId="26" applyNumberFormat="1" applyFont="1" applyAlignment="1">
      <alignment horizontal="center" vertical="center"/>
    </xf>
    <xf numFmtId="10" fontId="71" fillId="0" borderId="0" xfId="26" applyNumberFormat="1" applyFont="1" applyAlignment="1">
      <alignment horizontal="center" vertical="center"/>
    </xf>
    <xf numFmtId="49" fontId="71" fillId="0" borderId="108" xfId="26" applyNumberFormat="1" applyFont="1" applyBorder="1" applyAlignment="1">
      <alignment horizontal="center" vertical="center"/>
    </xf>
    <xf numFmtId="0" fontId="68" fillId="0" borderId="108" xfId="26" applyFont="1" applyBorder="1" applyAlignment="1">
      <alignment horizontal="center" vertical="center"/>
    </xf>
    <xf numFmtId="49" fontId="71" fillId="0" borderId="108" xfId="26" applyNumberFormat="1" applyFont="1" applyBorder="1">
      <alignment vertical="center"/>
    </xf>
    <xf numFmtId="0" fontId="71" fillId="0" borderId="109" xfId="26" applyFont="1" applyBorder="1" applyAlignment="1">
      <alignment horizontal="center" vertical="center"/>
    </xf>
    <xf numFmtId="0" fontId="71" fillId="0" borderId="110" xfId="26" applyFont="1" applyBorder="1" applyAlignment="1">
      <alignment horizontal="center" vertical="center"/>
    </xf>
    <xf numFmtId="181" fontId="71" fillId="0" borderId="110" xfId="26" applyNumberFormat="1" applyFont="1" applyBorder="1" applyAlignment="1">
      <alignment horizontal="center" vertical="center"/>
    </xf>
    <xf numFmtId="10" fontId="71" fillId="0" borderId="110" xfId="26" applyNumberFormat="1" applyFont="1" applyBorder="1" applyAlignment="1">
      <alignment horizontal="center" vertical="center"/>
    </xf>
    <xf numFmtId="194" fontId="71" fillId="0" borderId="110" xfId="26" applyNumberFormat="1" applyFont="1" applyBorder="1" applyAlignment="1">
      <alignment horizontal="center" vertical="center"/>
    </xf>
    <xf numFmtId="194" fontId="71" fillId="0" borderId="119" xfId="26" applyNumberFormat="1" applyFont="1" applyBorder="1" applyAlignment="1">
      <alignment horizontal="center" vertical="center"/>
    </xf>
    <xf numFmtId="0" fontId="71" fillId="0" borderId="120" xfId="26" applyFont="1" applyBorder="1" applyAlignment="1">
      <alignment horizontal="center" vertical="center"/>
    </xf>
    <xf numFmtId="0" fontId="1" fillId="0" borderId="0" xfId="26" applyFont="1" applyAlignment="1">
      <alignment horizontal="center" vertical="center"/>
    </xf>
    <xf numFmtId="0" fontId="71" fillId="18" borderId="65" xfId="26" applyFont="1" applyFill="1" applyBorder="1" applyAlignment="1">
      <alignment horizontal="left" vertical="center" wrapText="1"/>
    </xf>
    <xf numFmtId="181" fontId="71" fillId="18" borderId="65" xfId="26" applyNumberFormat="1" applyFont="1" applyFill="1" applyBorder="1" applyAlignment="1">
      <alignment horizontal="center" vertical="center" wrapText="1"/>
    </xf>
    <xf numFmtId="10" fontId="71" fillId="0" borderId="65" xfId="26" applyNumberFormat="1" applyFont="1" applyBorder="1" applyAlignment="1">
      <alignment horizontal="center" vertical="center"/>
    </xf>
    <xf numFmtId="0" fontId="71" fillId="0" borderId="65" xfId="26" applyFont="1" applyBorder="1" applyAlignment="1">
      <alignment horizontal="center" vertical="center"/>
    </xf>
    <xf numFmtId="181" fontId="71" fillId="16" borderId="65" xfId="10" applyNumberFormat="1" applyFont="1" applyFill="1" applyBorder="1" applyAlignment="1">
      <alignment horizontal="center" vertical="center" wrapText="1"/>
    </xf>
    <xf numFmtId="194" fontId="71" fillId="0" borderId="66" xfId="26" applyNumberFormat="1" applyFont="1" applyBorder="1" applyAlignment="1">
      <alignment horizontal="center" vertical="center"/>
    </xf>
    <xf numFmtId="49" fontId="75" fillId="0" borderId="112" xfId="26" applyNumberFormat="1" applyFont="1" applyBorder="1" applyAlignment="1">
      <alignment horizontal="center" vertical="center" wrapText="1"/>
    </xf>
    <xf numFmtId="0" fontId="71" fillId="0" borderId="0" xfId="26" applyFont="1" applyAlignment="1">
      <alignment horizontal="center" vertical="center"/>
    </xf>
    <xf numFmtId="49" fontId="1" fillId="0" borderId="112" xfId="26" applyNumberFormat="1" applyFont="1" applyBorder="1" applyAlignment="1">
      <alignment horizontal="center" vertical="center" wrapText="1"/>
    </xf>
    <xf numFmtId="0" fontId="1" fillId="0" borderId="0" xfId="26" applyFont="1">
      <alignment vertical="center"/>
    </xf>
    <xf numFmtId="0" fontId="71" fillId="0" borderId="0" xfId="26" applyFont="1" applyAlignment="1">
      <alignment vertical="center" wrapText="1"/>
    </xf>
    <xf numFmtId="181" fontId="1" fillId="0" borderId="0" xfId="10" applyNumberFormat="1" applyFont="1" applyAlignment="1">
      <alignment horizontal="center" vertical="center"/>
    </xf>
    <xf numFmtId="0" fontId="71" fillId="0" borderId="111" xfId="26" applyFont="1" applyBorder="1" applyAlignment="1">
      <alignment horizontal="center" vertical="center"/>
    </xf>
    <xf numFmtId="0" fontId="71" fillId="0" borderId="65" xfId="26" applyFont="1" applyBorder="1" applyAlignment="1">
      <alignment horizontal="center" vertical="center" wrapText="1"/>
    </xf>
    <xf numFmtId="194" fontId="71" fillId="0" borderId="65" xfId="26" applyNumberFormat="1" applyFont="1" applyBorder="1" applyAlignment="1">
      <alignment horizontal="center" vertical="center"/>
    </xf>
    <xf numFmtId="194" fontId="68" fillId="0" borderId="66" xfId="26" applyNumberFormat="1" applyFont="1" applyBorder="1" applyAlignment="1">
      <alignment horizontal="center" vertical="center"/>
    </xf>
    <xf numFmtId="49" fontId="71" fillId="0" borderId="112" xfId="26" applyNumberFormat="1" applyFont="1" applyBorder="1" applyAlignment="1">
      <alignment horizontal="center" vertical="center" wrapText="1"/>
    </xf>
    <xf numFmtId="181" fontId="71" fillId="0" borderId="0" xfId="10" applyNumberFormat="1" applyFont="1" applyAlignment="1">
      <alignment horizontal="center" vertical="center"/>
    </xf>
    <xf numFmtId="10" fontId="1" fillId="0" borderId="65" xfId="26" applyNumberFormat="1" applyFont="1" applyBorder="1" applyAlignment="1">
      <alignment horizontal="center" vertical="center"/>
    </xf>
    <xf numFmtId="176" fontId="71" fillId="0" borderId="65" xfId="26" applyNumberFormat="1" applyFont="1" applyBorder="1" applyAlignment="1">
      <alignment horizontal="center" vertical="center"/>
    </xf>
    <xf numFmtId="194" fontId="71" fillId="16" borderId="65" xfId="26" applyNumberFormat="1" applyFont="1" applyFill="1" applyBorder="1" applyAlignment="1">
      <alignment horizontal="center" vertical="center"/>
    </xf>
    <xf numFmtId="49" fontId="74" fillId="0" borderId="112" xfId="26" applyNumberFormat="1" applyFont="1" applyBorder="1" applyAlignment="1">
      <alignment horizontal="center" vertical="center" wrapText="1"/>
    </xf>
    <xf numFmtId="49" fontId="71" fillId="0" borderId="112" xfId="26" applyNumberFormat="1" applyFont="1" applyBorder="1" applyAlignment="1">
      <alignment horizontal="left" vertical="center" wrapText="1"/>
    </xf>
    <xf numFmtId="194" fontId="71" fillId="0" borderId="0" xfId="26" applyNumberFormat="1" applyFont="1">
      <alignment vertical="center"/>
    </xf>
    <xf numFmtId="0" fontId="71" fillId="0" borderId="65" xfId="26" applyFont="1" applyBorder="1" applyAlignment="1">
      <alignment horizontal="left" vertical="center"/>
    </xf>
    <xf numFmtId="181" fontId="71" fillId="16" borderId="65" xfId="26" applyNumberFormat="1" applyFont="1" applyFill="1" applyBorder="1" applyAlignment="1">
      <alignment horizontal="center" vertical="center"/>
    </xf>
    <xf numFmtId="49" fontId="76" fillId="0" borderId="112" xfId="26" applyNumberFormat="1" applyFont="1" applyBorder="1" applyAlignment="1">
      <alignment horizontal="left" vertical="center"/>
    </xf>
    <xf numFmtId="0" fontId="71" fillId="0" borderId="115" xfId="26" applyFont="1" applyBorder="1" applyAlignment="1">
      <alignment horizontal="center" vertical="center"/>
    </xf>
    <xf numFmtId="0" fontId="71" fillId="0" borderId="116" xfId="26" applyFont="1" applyBorder="1" applyAlignment="1">
      <alignment horizontal="center" vertical="center"/>
    </xf>
    <xf numFmtId="10" fontId="71" fillId="0" borderId="116" xfId="26" applyNumberFormat="1" applyFont="1" applyBorder="1" applyAlignment="1">
      <alignment horizontal="left" vertical="center"/>
    </xf>
    <xf numFmtId="181" fontId="71" fillId="0" borderId="116" xfId="26" applyNumberFormat="1" applyFont="1" applyBorder="1" applyAlignment="1">
      <alignment horizontal="center" vertical="center"/>
    </xf>
    <xf numFmtId="10" fontId="71" fillId="0" borderId="116" xfId="26" applyNumberFormat="1" applyFont="1" applyBorder="1" applyAlignment="1">
      <alignment horizontal="center" vertical="center"/>
    </xf>
    <xf numFmtId="194" fontId="71" fillId="0" borderId="116" xfId="26" applyNumberFormat="1" applyFont="1" applyBorder="1" applyAlignment="1">
      <alignment horizontal="center" vertical="center"/>
    </xf>
    <xf numFmtId="194" fontId="68" fillId="0" borderId="117" xfId="26" applyNumberFormat="1" applyFont="1" applyBorder="1" applyAlignment="1">
      <alignment horizontal="center" vertical="center"/>
    </xf>
    <xf numFmtId="49" fontId="71" fillId="0" borderId="118" xfId="26" applyNumberFormat="1" applyFont="1" applyBorder="1" applyAlignment="1">
      <alignment horizontal="center" vertical="center"/>
    </xf>
    <xf numFmtId="43" fontId="8" fillId="0" borderId="0" xfId="6" applyNumberFormat="1" applyAlignment="1">
      <alignment horizontal="center" vertical="center"/>
    </xf>
    <xf numFmtId="0" fontId="12" fillId="23" borderId="65" xfId="14" applyFont="1" applyFill="1" applyBorder="1" applyAlignment="1">
      <alignment horizontal="center" vertical="center" wrapText="1"/>
    </xf>
    <xf numFmtId="0" fontId="19" fillId="0" borderId="65" xfId="14" applyFont="1" applyBorder="1" applyAlignment="1">
      <alignment horizontal="center" vertical="center"/>
    </xf>
    <xf numFmtId="0" fontId="35" fillId="0" borderId="68" xfId="14" applyFont="1" applyBorder="1" applyAlignment="1">
      <alignment horizontal="center" vertical="center"/>
    </xf>
    <xf numFmtId="0" fontId="35" fillId="0" borderId="52" xfId="14" applyFont="1" applyBorder="1" applyAlignment="1">
      <alignment horizontal="center" vertical="center"/>
    </xf>
    <xf numFmtId="0" fontId="34" fillId="0" borderId="52" xfId="14" applyFont="1" applyBorder="1" applyAlignment="1">
      <alignment horizontal="center" vertical="center"/>
    </xf>
    <xf numFmtId="0" fontId="35" fillId="0" borderId="52" xfId="15" applyFont="1" applyBorder="1" applyAlignment="1">
      <alignment horizontal="center" vertical="center"/>
    </xf>
    <xf numFmtId="0" fontId="35" fillId="0" borderId="68" xfId="15" applyFont="1" applyBorder="1" applyAlignment="1">
      <alignment horizontal="center" vertical="center"/>
    </xf>
    <xf numFmtId="0" fontId="8" fillId="0" borderId="52" xfId="6" applyBorder="1" applyAlignment="1">
      <alignment horizontal="center" vertical="center"/>
    </xf>
    <xf numFmtId="0" fontId="43" fillId="0" borderId="58" xfId="6" applyFont="1" applyBorder="1" applyAlignment="1">
      <alignment horizontal="center" vertical="center"/>
    </xf>
    <xf numFmtId="0" fontId="43" fillId="0" borderId="60" xfId="6" applyFont="1" applyBorder="1" applyAlignment="1">
      <alignment horizontal="center" vertical="center"/>
    </xf>
    <xf numFmtId="0" fontId="43" fillId="0" borderId="59" xfId="6" applyFont="1" applyBorder="1" applyAlignment="1">
      <alignment horizontal="center" vertical="center"/>
    </xf>
    <xf numFmtId="0" fontId="43" fillId="0" borderId="51" xfId="6" applyFont="1" applyBorder="1" applyAlignment="1">
      <alignment horizontal="center" vertical="center"/>
    </xf>
    <xf numFmtId="0" fontId="42" fillId="0" borderId="0" xfId="6" applyFont="1" applyAlignment="1">
      <alignment horizontal="center" vertical="center"/>
    </xf>
    <xf numFmtId="0" fontId="8" fillId="0" borderId="58" xfId="6" applyBorder="1" applyAlignment="1">
      <alignment horizontal="center" vertical="center"/>
    </xf>
    <xf numFmtId="0" fontId="8" fillId="0" borderId="60" xfId="6" applyBorder="1" applyAlignment="1">
      <alignment horizontal="center" vertical="center"/>
    </xf>
    <xf numFmtId="0" fontId="8" fillId="0" borderId="59" xfId="6" applyBorder="1" applyAlignment="1">
      <alignment horizontal="center" vertical="center"/>
    </xf>
    <xf numFmtId="0" fontId="43" fillId="0" borderId="58" xfId="6" applyFont="1" applyBorder="1" applyAlignment="1">
      <alignment horizontal="center" vertical="center" wrapText="1"/>
    </xf>
    <xf numFmtId="0" fontId="8" fillId="0" borderId="53" xfId="6" applyBorder="1" applyAlignment="1">
      <alignment horizontal="center" vertical="center"/>
    </xf>
    <xf numFmtId="0" fontId="8" fillId="0" borderId="54" xfId="6" applyBorder="1" applyAlignment="1">
      <alignment horizontal="center" vertical="center"/>
    </xf>
    <xf numFmtId="0" fontId="8" fillId="0" borderId="55" xfId="6" applyBorder="1" applyAlignment="1">
      <alignment horizontal="center" vertical="center"/>
    </xf>
    <xf numFmtId="0" fontId="45" fillId="0" borderId="0" xfId="6" applyFont="1" applyAlignment="1">
      <alignment horizontal="center" vertical="center"/>
    </xf>
    <xf numFmtId="0" fontId="8" fillId="0" borderId="51" xfId="6" applyBorder="1" applyAlignment="1">
      <alignment horizontal="center" vertical="center"/>
    </xf>
    <xf numFmtId="0" fontId="43" fillId="0" borderId="60" xfId="6" applyFont="1" applyBorder="1" applyAlignment="1">
      <alignment horizontal="center" vertical="center" wrapText="1"/>
    </xf>
    <xf numFmtId="0" fontId="43" fillId="0" borderId="59" xfId="6" applyFont="1" applyBorder="1" applyAlignment="1">
      <alignment horizontal="center" vertical="center" wrapText="1"/>
    </xf>
    <xf numFmtId="0" fontId="43" fillId="0" borderId="62" xfId="6" applyFont="1" applyBorder="1" applyAlignment="1">
      <alignment horizontal="center" vertical="center"/>
    </xf>
    <xf numFmtId="0" fontId="43" fillId="0" borderId="63" xfId="6" applyFont="1" applyBorder="1" applyAlignment="1">
      <alignment horizontal="center" vertical="center"/>
    </xf>
    <xf numFmtId="0" fontId="29" fillId="0" borderId="0" xfId="35" applyFont="1" applyAlignment="1" applyProtection="1">
      <alignment horizontal="center" vertical="center" wrapText="1"/>
      <protection locked="0"/>
    </xf>
    <xf numFmtId="0" fontId="3" fillId="0" borderId="52" xfId="36" applyFont="1" applyBorder="1" applyAlignment="1">
      <alignment horizontal="left" vertical="center"/>
    </xf>
    <xf numFmtId="0" fontId="3" fillId="0" borderId="63" xfId="36" applyFont="1" applyBorder="1" applyAlignment="1">
      <alignment horizontal="center" vertical="center"/>
    </xf>
    <xf numFmtId="0" fontId="3" fillId="0" borderId="52" xfId="36" applyFont="1" applyBorder="1" applyAlignment="1">
      <alignment horizontal="center" vertical="center"/>
    </xf>
    <xf numFmtId="0" fontId="3" fillId="0" borderId="113" xfId="36" applyFont="1" applyBorder="1" applyAlignment="1">
      <alignment horizontal="center" vertical="center"/>
    </xf>
    <xf numFmtId="0" fontId="3" fillId="0" borderId="60" xfId="35" applyFont="1" applyBorder="1" applyAlignment="1" applyProtection="1">
      <alignment horizontal="center" vertical="center" wrapText="1"/>
      <protection locked="0"/>
    </xf>
    <xf numFmtId="0" fontId="3" fillId="0" borderId="70" xfId="35" applyFont="1" applyBorder="1" applyAlignment="1" applyProtection="1">
      <alignment horizontal="center" vertical="center" wrapText="1"/>
      <protection locked="0"/>
    </xf>
    <xf numFmtId="0" fontId="3" fillId="0" borderId="60" xfId="35" applyFont="1" applyBorder="1" applyAlignment="1" applyProtection="1">
      <alignment horizontal="center" vertical="center" textRotation="255"/>
      <protection locked="0"/>
    </xf>
    <xf numFmtId="0" fontId="3" fillId="0" borderId="70" xfId="35" applyFont="1" applyBorder="1" applyAlignment="1" applyProtection="1">
      <alignment horizontal="center" vertical="center" textRotation="255"/>
      <protection locked="0"/>
    </xf>
    <xf numFmtId="0" fontId="3" fillId="0" borderId="66" xfId="35" applyFont="1" applyBorder="1" applyAlignment="1" applyProtection="1">
      <alignment horizontal="center" vertical="center" wrapText="1"/>
      <protection locked="0"/>
    </xf>
    <xf numFmtId="0" fontId="3" fillId="0" borderId="67" xfId="35" applyFont="1" applyBorder="1" applyAlignment="1" applyProtection="1">
      <alignment horizontal="center" vertical="center" wrapText="1"/>
      <protection locked="0"/>
    </xf>
    <xf numFmtId="0" fontId="3" fillId="0" borderId="66" xfId="35" applyFont="1" applyBorder="1" applyAlignment="1" applyProtection="1">
      <alignment horizontal="center" vertical="center"/>
      <protection locked="0"/>
    </xf>
    <xf numFmtId="0" fontId="3" fillId="0" borderId="67" xfId="35" applyFont="1" applyBorder="1" applyAlignment="1" applyProtection="1">
      <alignment horizontal="center" vertical="center"/>
      <protection locked="0"/>
    </xf>
    <xf numFmtId="0" fontId="3" fillId="0" borderId="68" xfId="35" applyFont="1" applyBorder="1" applyAlignment="1" applyProtection="1">
      <alignment horizontal="center" vertical="center"/>
      <protection locked="0"/>
    </xf>
    <xf numFmtId="0" fontId="71" fillId="0" borderId="111" xfId="26" applyFont="1" applyBorder="1" applyAlignment="1">
      <alignment horizontal="center" vertical="center"/>
    </xf>
    <xf numFmtId="0" fontId="71" fillId="0" borderId="65" xfId="26" applyFont="1" applyBorder="1" applyAlignment="1">
      <alignment horizontal="center" vertical="center" wrapText="1"/>
    </xf>
    <xf numFmtId="0" fontId="71" fillId="0" borderId="121" xfId="26" applyFont="1" applyBorder="1" applyAlignment="1">
      <alignment horizontal="center" vertical="center"/>
    </xf>
    <xf numFmtId="0" fontId="71" fillId="0" borderId="114" xfId="26" applyFont="1" applyBorder="1" applyAlignment="1">
      <alignment horizontal="center" vertical="center"/>
    </xf>
    <xf numFmtId="0" fontId="1" fillId="0" borderId="64" xfId="26" applyFont="1" applyBorder="1" applyAlignment="1">
      <alignment horizontal="center" vertical="center" wrapText="1"/>
    </xf>
    <xf numFmtId="0" fontId="71" fillId="0" borderId="60" xfId="26" applyFont="1" applyBorder="1" applyAlignment="1">
      <alignment horizontal="center" vertical="center" wrapText="1"/>
    </xf>
    <xf numFmtId="0" fontId="3" fillId="0" borderId="68" xfId="35" applyFont="1" applyBorder="1" applyAlignment="1" applyProtection="1">
      <alignment horizontal="center" vertical="center" wrapText="1"/>
      <protection locked="0"/>
    </xf>
    <xf numFmtId="0" fontId="3" fillId="0" borderId="65" xfId="35" applyFont="1" applyBorder="1" applyAlignment="1" applyProtection="1">
      <alignment horizontal="center" vertical="center"/>
      <protection locked="0"/>
    </xf>
    <xf numFmtId="0" fontId="68" fillId="0" borderId="0" xfId="26" applyFont="1" applyAlignment="1">
      <alignment horizontal="center" vertical="center" wrapText="1"/>
    </xf>
    <xf numFmtId="181" fontId="68" fillId="0" borderId="0" xfId="26" applyNumberFormat="1" applyFont="1" applyAlignment="1">
      <alignment horizontal="center" vertical="center" wrapText="1"/>
    </xf>
    <xf numFmtId="0" fontId="73" fillId="0" borderId="0" xfId="26" applyFont="1" applyAlignment="1">
      <alignment horizontal="left" vertical="center"/>
    </xf>
    <xf numFmtId="0" fontId="71" fillId="0" borderId="0" xfId="26" applyFont="1" applyAlignment="1">
      <alignment horizontal="left" vertical="center"/>
    </xf>
    <xf numFmtId="0" fontId="38" fillId="0" borderId="66" xfId="0" applyNumberFormat="1" applyFont="1" applyFill="1" applyBorder="1" applyAlignment="1" applyProtection="1">
      <alignment horizontal="center" vertical="center" wrapText="1"/>
    </xf>
    <xf numFmtId="0" fontId="38" fillId="0" borderId="67" xfId="0" applyNumberFormat="1" applyFont="1" applyFill="1" applyBorder="1" applyAlignment="1" applyProtection="1">
      <alignment horizontal="center" vertical="center" wrapText="1"/>
    </xf>
    <xf numFmtId="0" fontId="47" fillId="0" borderId="66" xfId="0" applyNumberFormat="1" applyFont="1" applyFill="1" applyBorder="1" applyAlignment="1" applyProtection="1">
      <alignment horizontal="center" vertical="center" wrapText="1"/>
    </xf>
    <xf numFmtId="0" fontId="47" fillId="0" borderId="68" xfId="0" applyNumberFormat="1" applyFont="1" applyFill="1" applyBorder="1" applyAlignment="1" applyProtection="1">
      <alignment horizontal="center" vertical="center" wrapText="1"/>
    </xf>
    <xf numFmtId="0" fontId="47" fillId="0" borderId="67" xfId="0" applyNumberFormat="1" applyFont="1" applyFill="1" applyBorder="1" applyAlignment="1" applyProtection="1">
      <alignment horizontal="center" vertical="center" wrapText="1"/>
    </xf>
    <xf numFmtId="0" fontId="47" fillId="0" borderId="69" xfId="0" applyNumberFormat="1" applyFont="1" applyFill="1" applyBorder="1" applyAlignment="1" applyProtection="1">
      <alignment horizontal="left" vertical="center" wrapText="1"/>
    </xf>
    <xf numFmtId="0" fontId="47" fillId="0" borderId="66" xfId="0" applyNumberFormat="1" applyFont="1" applyFill="1" applyBorder="1" applyAlignment="1" applyProtection="1">
      <alignment horizontal="right" vertical="center" wrapText="1"/>
    </xf>
    <xf numFmtId="0" fontId="47" fillId="0" borderId="68" xfId="0" applyNumberFormat="1" applyFont="1" applyFill="1" applyBorder="1" applyAlignment="1" applyProtection="1">
      <alignment horizontal="right" vertical="center" wrapText="1"/>
    </xf>
    <xf numFmtId="10" fontId="47" fillId="6" borderId="66" xfId="0" applyNumberFormat="1" applyFont="1" applyFill="1" applyBorder="1" applyAlignment="1" applyProtection="1">
      <alignment horizontal="center" vertical="center" wrapText="1"/>
    </xf>
    <xf numFmtId="10" fontId="47" fillId="6" borderId="68" xfId="0" applyNumberFormat="1" applyFont="1" applyFill="1" applyBorder="1" applyAlignment="1" applyProtection="1">
      <alignment horizontal="center" vertical="center" wrapText="1"/>
    </xf>
    <xf numFmtId="10" fontId="47" fillId="6" borderId="67" xfId="0" applyNumberFormat="1" applyFont="1" applyFill="1" applyBorder="1" applyAlignment="1" applyProtection="1">
      <alignment horizontal="center" vertical="center" wrapText="1"/>
    </xf>
    <xf numFmtId="0" fontId="12" fillId="0" borderId="7" xfId="3" applyFont="1" applyBorder="1" applyAlignment="1">
      <alignment horizontal="left" vertical="center" wrapText="1"/>
    </xf>
    <xf numFmtId="176" fontId="14" fillId="0" borderId="52" xfId="3" applyNumberFormat="1" applyFont="1" applyBorder="1" applyAlignment="1">
      <alignment horizontal="center" vertical="center"/>
    </xf>
    <xf numFmtId="0" fontId="48" fillId="0" borderId="0" xfId="0" applyNumberFormat="1" applyFont="1" applyFill="1" applyBorder="1" applyAlignment="1" applyProtection="1">
      <alignment horizontal="center" vertical="center" wrapText="1"/>
    </xf>
    <xf numFmtId="0" fontId="12" fillId="0" borderId="9" xfId="3" applyFont="1" applyBorder="1" applyAlignment="1">
      <alignment horizontal="center" vertical="center" wrapText="1"/>
    </xf>
    <xf numFmtId="0" fontId="12" fillId="0" borderId="9" xfId="3" applyFont="1" applyBorder="1" applyAlignment="1">
      <alignment horizontal="center" vertical="center"/>
    </xf>
    <xf numFmtId="0" fontId="47" fillId="0" borderId="0" xfId="0" applyNumberFormat="1" applyFont="1" applyFill="1" applyBorder="1" applyAlignment="1" applyProtection="1">
      <alignment horizontal="left" vertical="center" wrapText="1"/>
    </xf>
    <xf numFmtId="0" fontId="47" fillId="0" borderId="51" xfId="0" applyNumberFormat="1" applyFont="1" applyFill="1" applyBorder="1" applyAlignment="1" applyProtection="1">
      <alignment horizontal="center" vertical="center" wrapText="1" shrinkToFit="1"/>
    </xf>
    <xf numFmtId="0" fontId="46" fillId="0" borderId="51" xfId="0" applyNumberFormat="1" applyFont="1" applyFill="1" applyBorder="1" applyAlignment="1" applyProtection="1">
      <alignment vertical="center" wrapText="1"/>
    </xf>
    <xf numFmtId="0" fontId="47" fillId="0" borderId="71" xfId="0" applyNumberFormat="1" applyFont="1" applyFill="1" applyBorder="1" applyAlignment="1" applyProtection="1">
      <alignment horizontal="left" vertical="center" wrapText="1"/>
    </xf>
    <xf numFmtId="0" fontId="46" fillId="0" borderId="0" xfId="0" applyNumberFormat="1" applyFont="1" applyFill="1" applyBorder="1" applyAlignment="1" applyProtection="1">
      <alignment vertical="center" wrapText="1"/>
    </xf>
    <xf numFmtId="0" fontId="12" fillId="0" borderId="18" xfId="3" applyFont="1" applyBorder="1" applyAlignment="1">
      <alignment horizontal="center" vertical="center"/>
    </xf>
    <xf numFmtId="0" fontId="12" fillId="0" borderId="20" xfId="3" applyFont="1" applyBorder="1" applyAlignment="1">
      <alignment horizontal="center" vertical="center"/>
    </xf>
    <xf numFmtId="0" fontId="12" fillId="0" borderId="45" xfId="8" applyFont="1" applyBorder="1" applyAlignment="1">
      <alignment horizontal="center" vertical="center"/>
    </xf>
    <xf numFmtId="0" fontId="26" fillId="9" borderId="7" xfId="3" applyFont="1" applyFill="1" applyBorder="1" applyAlignment="1">
      <alignment horizontal="center" vertical="center"/>
    </xf>
    <xf numFmtId="0" fontId="12" fillId="0" borderId="13" xfId="3" applyFont="1" applyBorder="1" applyAlignment="1">
      <alignment horizontal="center" vertical="center"/>
    </xf>
    <xf numFmtId="0" fontId="12" fillId="0" borderId="14" xfId="3" applyFont="1" applyBorder="1" applyAlignment="1">
      <alignment horizontal="center" vertical="center"/>
    </xf>
    <xf numFmtId="0" fontId="12" fillId="0" borderId="19" xfId="3" applyFont="1" applyBorder="1" applyAlignment="1">
      <alignment horizontal="center" vertical="center"/>
    </xf>
    <xf numFmtId="0" fontId="12" fillId="0" borderId="8" xfId="3" applyFont="1" applyBorder="1" applyAlignment="1">
      <alignment horizontal="center" vertical="center"/>
    </xf>
    <xf numFmtId="0" fontId="12" fillId="0" borderId="8" xfId="3" applyFont="1" applyBorder="1" applyAlignment="1">
      <alignment horizontal="center" vertical="center" wrapText="1"/>
    </xf>
    <xf numFmtId="0" fontId="12" fillId="0" borderId="7" xfId="3" applyFont="1" applyBorder="1" applyAlignment="1">
      <alignment horizontal="center" vertical="center"/>
    </xf>
    <xf numFmtId="0" fontId="12" fillId="0" borderId="18" xfId="3" applyFont="1" applyBorder="1" applyAlignment="1">
      <alignment horizontal="center" vertical="center" wrapText="1"/>
    </xf>
    <xf numFmtId="0" fontId="12" fillId="0" borderId="19" xfId="3" applyFont="1" applyBorder="1" applyAlignment="1">
      <alignment horizontal="center" vertical="center" wrapText="1"/>
    </xf>
    <xf numFmtId="0" fontId="12" fillId="0" borderId="20" xfId="3" applyFont="1" applyBorder="1" applyAlignment="1">
      <alignment horizontal="center" vertical="center" wrapText="1"/>
    </xf>
    <xf numFmtId="0" fontId="19" fillId="10" borderId="8" xfId="3" applyFont="1" applyFill="1" applyBorder="1" applyAlignment="1">
      <alignment horizontal="center" vertical="center"/>
    </xf>
    <xf numFmtId="49" fontId="12" fillId="0" borderId="18" xfId="3" applyNumberFormat="1" applyFont="1" applyBorder="1" applyAlignment="1">
      <alignment horizontal="center" vertical="center" wrapText="1"/>
    </xf>
    <xf numFmtId="177" fontId="12" fillId="0" borderId="8" xfId="3" applyNumberFormat="1" applyFont="1" applyBorder="1" applyAlignment="1">
      <alignment horizontal="center" vertical="center"/>
    </xf>
    <xf numFmtId="0" fontId="12" fillId="0" borderId="39" xfId="7" applyFont="1" applyBorder="1" applyAlignment="1">
      <alignment horizontal="center" vertical="center" wrapText="1"/>
    </xf>
    <xf numFmtId="0" fontId="12" fillId="0" borderId="40" xfId="7" applyFont="1" applyBorder="1" applyAlignment="1">
      <alignment horizontal="center" vertical="center" wrapText="1"/>
    </xf>
    <xf numFmtId="0" fontId="12" fillId="0" borderId="41" xfId="7" applyFont="1" applyBorder="1" applyAlignment="1">
      <alignment horizontal="center" vertical="center" wrapText="1"/>
    </xf>
    <xf numFmtId="49" fontId="12" fillId="0" borderId="19" xfId="3" applyNumberFormat="1" applyFont="1" applyBorder="1" applyAlignment="1">
      <alignment horizontal="center" vertical="center" wrapText="1"/>
    </xf>
    <xf numFmtId="49" fontId="12" fillId="0" borderId="20" xfId="3" applyNumberFormat="1" applyFont="1" applyBorder="1" applyAlignment="1">
      <alignment horizontal="center" vertical="center" wrapText="1"/>
    </xf>
    <xf numFmtId="0" fontId="22" fillId="0" borderId="7" xfId="4" applyFont="1" applyBorder="1" applyAlignment="1"/>
    <xf numFmtId="0" fontId="15" fillId="8" borderId="2" xfId="3" applyFont="1" applyFill="1" applyBorder="1" applyAlignment="1">
      <alignment horizontal="center" vertical="center"/>
    </xf>
    <xf numFmtId="0" fontId="16" fillId="9" borderId="3" xfId="3" applyFont="1" applyFill="1" applyBorder="1" applyAlignment="1">
      <alignment horizontal="center" vertical="center"/>
    </xf>
    <xf numFmtId="0" fontId="16" fillId="9" borderId="9" xfId="3" applyFont="1" applyFill="1" applyBorder="1" applyAlignment="1">
      <alignment horizontal="center" vertical="center"/>
    </xf>
    <xf numFmtId="0" fontId="15" fillId="8" borderId="4" xfId="4" applyFont="1" applyFill="1" applyBorder="1" applyAlignment="1">
      <alignment horizontal="center" vertical="center"/>
    </xf>
    <xf numFmtId="0" fontId="15" fillId="8" borderId="5" xfId="4" applyFont="1" applyFill="1" applyBorder="1" applyAlignment="1">
      <alignment horizontal="center" vertical="center"/>
    </xf>
    <xf numFmtId="0" fontId="15" fillId="8" borderId="6" xfId="4" applyFont="1" applyFill="1" applyBorder="1" applyAlignment="1">
      <alignment horizontal="center" vertical="center"/>
    </xf>
    <xf numFmtId="0" fontId="18" fillId="8" borderId="13" xfId="3" applyFont="1" applyFill="1" applyBorder="1" applyAlignment="1">
      <alignment horizontal="center" vertical="center" wrapText="1"/>
    </xf>
    <xf numFmtId="0" fontId="18" fillId="8" borderId="56" xfId="3" applyFont="1" applyFill="1" applyBorder="1" applyAlignment="1">
      <alignment horizontal="center" vertical="center" wrapText="1"/>
    </xf>
    <xf numFmtId="0" fontId="18" fillId="8" borderId="14" xfId="3" applyFont="1" applyFill="1" applyBorder="1" applyAlignment="1">
      <alignment horizontal="center" vertical="center" wrapText="1"/>
    </xf>
    <xf numFmtId="0" fontId="1" fillId="0" borderId="77" xfId="28" applyFont="1" applyBorder="1" applyAlignment="1">
      <alignment horizontal="center" vertical="center"/>
    </xf>
    <xf numFmtId="0" fontId="49" fillId="0" borderId="77" xfId="28" applyFont="1" applyBorder="1" applyAlignment="1">
      <alignment horizontal="center" vertical="center"/>
    </xf>
    <xf numFmtId="0" fontId="49" fillId="0" borderId="79" xfId="28" applyFont="1" applyBorder="1" applyAlignment="1">
      <alignment horizontal="center" vertical="center"/>
    </xf>
    <xf numFmtId="0" fontId="49" fillId="0" borderId="78" xfId="28" applyFont="1" applyBorder="1" applyAlignment="1">
      <alignment horizontal="center" vertical="center"/>
    </xf>
    <xf numFmtId="0" fontId="1" fillId="0" borderId="0" xfId="28" applyFont="1" applyAlignment="1">
      <alignment horizontal="left" vertical="center"/>
    </xf>
    <xf numFmtId="0" fontId="49" fillId="0" borderId="0" xfId="28" applyFont="1" applyAlignment="1">
      <alignment horizontal="left" vertical="center"/>
    </xf>
    <xf numFmtId="0" fontId="1" fillId="24" borderId="77" xfId="28" applyFont="1" applyFill="1" applyBorder="1" applyAlignment="1">
      <alignment horizontal="center" vertical="center"/>
    </xf>
    <xf numFmtId="0" fontId="49" fillId="24" borderId="76" xfId="28" applyFont="1" applyFill="1" applyBorder="1" applyAlignment="1">
      <alignment horizontal="center" vertical="center"/>
    </xf>
    <xf numFmtId="0" fontId="49" fillId="0" borderId="76" xfId="28" applyFont="1" applyBorder="1" applyAlignment="1">
      <alignment horizontal="center" vertical="center"/>
    </xf>
    <xf numFmtId="0" fontId="1" fillId="24" borderId="82" xfId="28" applyFont="1" applyFill="1" applyBorder="1" applyAlignment="1">
      <alignment horizontal="center" vertical="center"/>
    </xf>
    <xf numFmtId="0" fontId="49" fillId="24" borderId="79" xfId="28" applyFont="1" applyFill="1" applyBorder="1" applyAlignment="1">
      <alignment horizontal="center" vertical="center"/>
    </xf>
    <xf numFmtId="0" fontId="1" fillId="0" borderId="77" xfId="28" applyFont="1" applyBorder="1" applyAlignment="1">
      <alignment horizontal="center" vertical="center" wrapText="1"/>
    </xf>
    <xf numFmtId="0" fontId="49" fillId="0" borderId="77" xfId="28" applyFont="1" applyBorder="1" applyAlignment="1">
      <alignment horizontal="center" vertical="center" wrapText="1"/>
    </xf>
    <xf numFmtId="0" fontId="50" fillId="0" borderId="85" xfId="28" applyFont="1" applyBorder="1" applyAlignment="1">
      <alignment horizontal="center" vertical="center"/>
    </xf>
    <xf numFmtId="0" fontId="55" fillId="0" borderId="84" xfId="28" applyFont="1" applyBorder="1" applyAlignment="1">
      <alignment horizontal="center" vertical="center"/>
    </xf>
    <xf numFmtId="181" fontId="55" fillId="0" borderId="83" xfId="28" applyNumberFormat="1" applyFont="1" applyBorder="1" applyAlignment="1">
      <alignment horizontal="center" vertical="center"/>
    </xf>
    <xf numFmtId="0" fontId="54" fillId="0" borderId="53" xfId="4" applyFont="1" applyBorder="1" applyAlignment="1">
      <alignment horizontal="center" vertical="center"/>
    </xf>
    <xf numFmtId="0" fontId="49" fillId="0" borderId="54" xfId="4" applyFont="1" applyBorder="1" applyAlignment="1">
      <alignment horizontal="center" vertical="center"/>
    </xf>
    <xf numFmtId="0" fontId="49" fillId="0" borderId="55" xfId="4" applyFont="1" applyBorder="1" applyAlignment="1">
      <alignment horizontal="center" vertical="center"/>
    </xf>
    <xf numFmtId="0" fontId="1" fillId="0" borderId="82" xfId="28" applyFont="1" applyBorder="1" applyAlignment="1">
      <alignment horizontal="center" vertical="center"/>
    </xf>
    <xf numFmtId="0" fontId="1" fillId="0" borderId="80" xfId="28" applyFont="1" applyBorder="1" applyAlignment="1">
      <alignment horizontal="center" vertical="center"/>
    </xf>
    <xf numFmtId="0" fontId="1" fillId="0" borderId="0" xfId="28" applyFont="1" applyAlignment="1">
      <alignment horizontal="left" vertical="center" wrapText="1"/>
    </xf>
    <xf numFmtId="0" fontId="49" fillId="0" borderId="0" xfId="28" applyFont="1" applyAlignment="1">
      <alignment horizontal="left" vertical="center" wrapText="1"/>
    </xf>
    <xf numFmtId="0" fontId="62" fillId="0" borderId="0" xfId="29" applyFont="1" applyAlignment="1">
      <alignment horizontal="center" vertical="center"/>
    </xf>
    <xf numFmtId="0" fontId="62" fillId="26" borderId="90" xfId="29" applyFont="1" applyFill="1" applyBorder="1" applyAlignment="1">
      <alignment horizontal="center" vertical="center"/>
    </xf>
    <xf numFmtId="0" fontId="62" fillId="26" borderId="91" xfId="29" applyFont="1" applyFill="1" applyBorder="1" applyAlignment="1">
      <alignment horizontal="center" vertical="center"/>
    </xf>
    <xf numFmtId="0" fontId="61" fillId="30" borderId="103" xfId="29" applyFont="1" applyFill="1" applyBorder="1" applyAlignment="1">
      <alignment horizontal="center" vertical="center"/>
    </xf>
    <xf numFmtId="0" fontId="61" fillId="30" borderId="104" xfId="29" applyFont="1" applyFill="1" applyBorder="1" applyAlignment="1">
      <alignment horizontal="center" vertical="center"/>
    </xf>
    <xf numFmtId="0" fontId="61" fillId="30" borderId="97" xfId="29" applyFont="1" applyFill="1" applyBorder="1" applyAlignment="1">
      <alignment horizontal="center" vertical="center"/>
    </xf>
    <xf numFmtId="0" fontId="61" fillId="21" borderId="105" xfId="29" applyFont="1" applyFill="1" applyBorder="1" applyAlignment="1">
      <alignment horizontal="center" vertical="center"/>
    </xf>
    <xf numFmtId="0" fontId="61" fillId="21" borderId="106" xfId="29" applyFont="1" applyFill="1" applyBorder="1" applyAlignment="1">
      <alignment horizontal="center" vertical="center"/>
    </xf>
    <xf numFmtId="2" fontId="62" fillId="0" borderId="91" xfId="29" applyNumberFormat="1" applyFont="1" applyBorder="1" applyAlignment="1">
      <alignment horizontal="center" vertical="center"/>
    </xf>
    <xf numFmtId="0" fontId="62" fillId="0" borderId="93" xfId="29" applyFont="1" applyBorder="1" applyAlignment="1">
      <alignment horizontal="center" vertical="center"/>
    </xf>
    <xf numFmtId="0" fontId="62" fillId="0" borderId="94" xfId="29" applyFont="1" applyBorder="1" applyAlignment="1">
      <alignment horizontal="center" vertical="center"/>
    </xf>
    <xf numFmtId="0" fontId="62" fillId="0" borderId="95" xfId="29" applyFont="1" applyBorder="1" applyAlignment="1">
      <alignment horizontal="center" vertical="center"/>
    </xf>
    <xf numFmtId="0" fontId="62" fillId="0" borderId="90" xfId="29" applyFont="1" applyBorder="1" applyAlignment="1">
      <alignment horizontal="center" vertical="center"/>
    </xf>
    <xf numFmtId="0" fontId="62" fillId="0" borderId="91" xfId="29" applyFont="1" applyBorder="1" applyAlignment="1">
      <alignment horizontal="center" vertical="center"/>
    </xf>
    <xf numFmtId="2" fontId="62" fillId="0" borderId="96" xfId="29" applyNumberFormat="1" applyFont="1" applyBorder="1" applyAlignment="1">
      <alignment horizontal="center" vertical="center"/>
    </xf>
    <xf numFmtId="2" fontId="62" fillId="0" borderId="97" xfId="29" applyNumberFormat="1" applyFont="1" applyBorder="1" applyAlignment="1">
      <alignment horizontal="center" vertical="center"/>
    </xf>
    <xf numFmtId="0" fontId="12" fillId="0" borderId="99" xfId="3" applyFont="1" applyBorder="1" applyAlignment="1">
      <alignment horizontal="center" vertical="center"/>
    </xf>
    <xf numFmtId="0" fontId="12" fillId="0" borderId="100" xfId="3" applyFont="1" applyBorder="1" applyAlignment="1">
      <alignment horizontal="center" vertical="center"/>
    </xf>
    <xf numFmtId="0" fontId="12" fillId="0" borderId="101" xfId="3" applyFont="1" applyBorder="1" applyAlignment="1">
      <alignment horizontal="center" vertical="center"/>
    </xf>
    <xf numFmtId="0" fontId="12" fillId="0" borderId="102" xfId="3" applyFont="1" applyBorder="1" applyAlignment="1">
      <alignment horizontal="center" vertical="center"/>
    </xf>
    <xf numFmtId="2" fontId="62" fillId="0" borderId="92" xfId="29" applyNumberFormat="1" applyFont="1" applyBorder="1" applyAlignment="1">
      <alignment horizontal="center" vertical="center"/>
    </xf>
    <xf numFmtId="0" fontId="63" fillId="0" borderId="90" xfId="29" applyFont="1" applyBorder="1" applyAlignment="1">
      <alignment horizontal="center" vertical="center"/>
    </xf>
    <xf numFmtId="0" fontId="61" fillId="0" borderId="91" xfId="29" applyFont="1" applyBorder="1" applyAlignment="1">
      <alignment horizontal="center" vertical="center"/>
    </xf>
    <xf numFmtId="0" fontId="61" fillId="0" borderId="92" xfId="29" applyFont="1" applyBorder="1" applyAlignment="1">
      <alignment horizontal="center" vertical="center"/>
    </xf>
    <xf numFmtId="0" fontId="62" fillId="28" borderId="91" xfId="29" applyFont="1" applyFill="1" applyBorder="1" applyAlignment="1">
      <alignment horizontal="center" vertical="center"/>
    </xf>
    <xf numFmtId="0" fontId="61" fillId="26" borderId="90" xfId="29" applyFont="1" applyFill="1" applyBorder="1" applyAlignment="1">
      <alignment horizontal="center" vertical="center"/>
    </xf>
    <xf numFmtId="0" fontId="61" fillId="26" borderId="91" xfId="29" applyFont="1" applyFill="1" applyBorder="1" applyAlignment="1">
      <alignment horizontal="center" vertical="center"/>
    </xf>
    <xf numFmtId="0" fontId="12" fillId="0" borderId="42" xfId="3" applyFont="1" applyBorder="1" applyAlignment="1">
      <alignment horizontal="center" vertical="center"/>
    </xf>
    <xf numFmtId="0" fontId="62" fillId="28" borderId="92" xfId="29" applyFont="1" applyFill="1" applyBorder="1" applyAlignment="1">
      <alignment horizontal="center" vertical="center"/>
    </xf>
    <xf numFmtId="0" fontId="61" fillId="0" borderId="90" xfId="29" applyFont="1" applyBorder="1" applyAlignment="1">
      <alignment horizontal="center" vertical="center"/>
    </xf>
    <xf numFmtId="0" fontId="61" fillId="16" borderId="90" xfId="29" applyFont="1" applyFill="1" applyBorder="1" applyAlignment="1">
      <alignment horizontal="center" vertical="center"/>
    </xf>
    <xf numFmtId="0" fontId="61" fillId="0" borderId="93" xfId="29" applyFont="1" applyBorder="1" applyAlignment="1">
      <alignment horizontal="center" vertical="center" wrapText="1"/>
    </xf>
    <xf numFmtId="0" fontId="61" fillId="0" borderId="94" xfId="29" applyFont="1" applyBorder="1" applyAlignment="1">
      <alignment horizontal="center" vertical="center" wrapText="1"/>
    </xf>
    <xf numFmtId="0" fontId="61" fillId="0" borderId="95" xfId="29" applyFont="1" applyBorder="1" applyAlignment="1">
      <alignment horizontal="center" vertical="center" wrapText="1"/>
    </xf>
    <xf numFmtId="0" fontId="57" fillId="26" borderId="87" xfId="29" applyFont="1" applyFill="1" applyBorder="1" applyAlignment="1">
      <alignment horizontal="center" vertical="center"/>
    </xf>
    <xf numFmtId="0" fontId="57" fillId="26" borderId="90" xfId="29" applyFont="1" applyFill="1" applyBorder="1" applyAlignment="1">
      <alignment horizontal="center" vertical="center"/>
    </xf>
    <xf numFmtId="31" fontId="58" fillId="26" borderId="88" xfId="29" applyNumberFormat="1" applyFont="1" applyFill="1" applyBorder="1" applyAlignment="1">
      <alignment horizontal="center" vertical="center"/>
    </xf>
    <xf numFmtId="0" fontId="58" fillId="26" borderId="88" xfId="29" applyFont="1" applyFill="1" applyBorder="1" applyAlignment="1">
      <alignment horizontal="center" vertical="center"/>
    </xf>
    <xf numFmtId="0" fontId="59" fillId="0" borderId="90" xfId="29" applyFont="1" applyBorder="1" applyAlignment="1">
      <alignment horizontal="left" vertical="center"/>
    </xf>
    <xf numFmtId="0" fontId="60" fillId="0" borderId="91" xfId="29" applyFont="1" applyBorder="1" applyAlignment="1">
      <alignment horizontal="left" vertical="center"/>
    </xf>
    <xf numFmtId="0" fontId="60" fillId="0" borderId="92" xfId="29" applyFont="1" applyBorder="1" applyAlignment="1">
      <alignment horizontal="left" vertical="center"/>
    </xf>
    <xf numFmtId="0" fontId="43" fillId="0" borderId="65" xfId="6" applyFont="1" applyBorder="1" applyAlignment="1">
      <alignment horizontal="center" vertical="center"/>
    </xf>
  </cellXfs>
  <cellStyles count="42">
    <cellStyle name="0,0_x000d__x000a_NA_x000d__x000a_ 5" xfId="12" xr:uid="{89B329AC-D2B1-4A79-B768-ABBF90115A84}"/>
    <cellStyle name="百分比 11 2" xfId="34" xr:uid="{C2735B74-E6FD-4211-983D-1D9B8C493867}"/>
    <cellStyle name="百分比 2 7 2" xfId="18" xr:uid="{05F364F1-B8F3-436C-A679-B3E6027EDD04}"/>
    <cellStyle name="常规" xfId="0" builtinId="0"/>
    <cellStyle name="常规 10 2 2 2" xfId="33" xr:uid="{B6E7FCFC-29DA-4068-ABFB-D352E77E23C0}"/>
    <cellStyle name="常规 10 3 2" xfId="26" xr:uid="{C4ECCE15-027B-48B8-85F0-8B1178734E3B}"/>
    <cellStyle name="常规 10 6 2 2 2 2 2 2" xfId="7" xr:uid="{11B8C4B2-BCB8-4BAF-B8E9-26E1C0EB84D6}"/>
    <cellStyle name="常规 10 6 3 2 2 2" xfId="31" xr:uid="{EB1B17DF-3064-4937-9C9D-4F5DE0DA3581}"/>
    <cellStyle name="常规 11 2 2_成本测算11.12.23" xfId="13" xr:uid="{13215C01-3210-4456-A18D-E78EE9EC944A}"/>
    <cellStyle name="常规 11 2 3 2" xfId="6" xr:uid="{774EB216-E875-4FE5-92AC-9D76FB29C6D4}"/>
    <cellStyle name="常规 11 2 3 2 3" xfId="25" xr:uid="{58943018-8F54-45BD-B386-15D2B8F427EB}"/>
    <cellStyle name="常规 2" xfId="1" xr:uid="{00000000-0005-0000-0000-000001000000}"/>
    <cellStyle name="常规 2 10 3 2" xfId="30" xr:uid="{F8B043D2-7F5B-4FFA-A108-B0FC0F3C5DC1}"/>
    <cellStyle name="常规 2 11 18" xfId="28" xr:uid="{8BA76076-A574-469A-8244-8036E63683EF}"/>
    <cellStyle name="常规 2 2" xfId="15" xr:uid="{C107098D-FBDC-47D5-863D-3BA7FB891FAF}"/>
    <cellStyle name="常规 2 2 10" xfId="21" xr:uid="{9AB74318-C24F-4DE6-A0AF-F6D89B83419A}"/>
    <cellStyle name="常规 2 2 2" xfId="24" xr:uid="{53D0FB6D-A36C-4AE2-B467-E18BA73EFECE}"/>
    <cellStyle name="常规 2 2 2 3 4 3 2 2" xfId="4" xr:uid="{A3A39E4B-637F-4B08-B0BD-A6600D73F1F1}"/>
    <cellStyle name="常规 2 2 2 3 4 3 2 2 2" xfId="23" xr:uid="{87D2144B-3881-4612-B103-31093E81E80B}"/>
    <cellStyle name="常规 2 2 23" xfId="19" xr:uid="{E780C34D-C942-4036-A53F-36325D3632A9}"/>
    <cellStyle name="常规 2 2 35" xfId="20" xr:uid="{9A078D30-C92F-4672-959D-50696993D77B}"/>
    <cellStyle name="常规 2 2 9" xfId="29" xr:uid="{C8367579-75C8-4BCC-9686-B9C7EDF2A9D7}"/>
    <cellStyle name="常规 2 3" xfId="36" xr:uid="{4A1187FA-879B-4C0B-ACA2-91DECDA22981}"/>
    <cellStyle name="常规 2 3 2" xfId="27" xr:uid="{0F4CA5B2-F03A-4BC1-B4CE-E14709009E9A}"/>
    <cellStyle name="常规 2 9 2 7 2" xfId="8" xr:uid="{C8611E49-259A-4D88-AA1C-7F75BCFAA2C7}"/>
    <cellStyle name="常规 2 9 5 2 3 2" xfId="17" xr:uid="{0884C21C-9F25-483A-B180-29011885758F}"/>
    <cellStyle name="常规 2 9 5 2 3 3" xfId="32" xr:uid="{EFA45BA5-CD26-4B97-BFFB-6C1ABF1E4425}"/>
    <cellStyle name="常规 2 9 5 3 2 2" xfId="3" xr:uid="{235DF197-9F0B-4AE0-9554-7FA79FC8635E}"/>
    <cellStyle name="常规 2 9 5 3 2 2 2" xfId="22" xr:uid="{64A3B170-8D37-4B19-848C-56231B3D5BBE}"/>
    <cellStyle name="常规 2 9 5 6 2 2" xfId="9" xr:uid="{525FDA84-162A-4CDD-A738-748CB2C2C4EF}"/>
    <cellStyle name="常规 2 9 5 6 3" xfId="5" xr:uid="{D6BEBDD2-8D28-429B-A935-F35E8E5EEE85}"/>
    <cellStyle name="常规 3" xfId="2" xr:uid="{8E89D6AA-D9C4-4536-8A38-543C1EDD5622}"/>
    <cellStyle name="常规 3 2" xfId="14" xr:uid="{CFCC315D-0BE9-42A5-9D31-CDB141C4B931}"/>
    <cellStyle name="常规 4 5" xfId="16" xr:uid="{DF4198E7-6D4C-4729-B791-CBCE9FBF3D0E}"/>
    <cellStyle name="常规_报价tiaozh" xfId="37" xr:uid="{7EE5955A-8AFE-4098-B55A-D55ACFA67D1C}"/>
    <cellStyle name="常规_便利中心成本" xfId="40" xr:uid="{AADE5F94-582E-4360-B8C3-0483EFD250A8}"/>
    <cellStyle name="常规_窗清单20060118" xfId="38" xr:uid="{D60C0389-A985-4EF3-808B-DE4CAFFEFE13}"/>
    <cellStyle name="常规_莱茵广场投标工程量" xfId="41" xr:uid="{585AAB89-C54A-438B-BD09-0AC006EA60B5}"/>
    <cellStyle name="常规_内开内倒窗测算 2 2 2 2" xfId="11" xr:uid="{453AA46D-C65A-4F53-8420-6777102BA936}"/>
    <cellStyle name="常规_宁波香格报价" xfId="35" xr:uid="{B695F3C0-C248-4087-8524-0744357266F2}"/>
    <cellStyle name="常规_清单" xfId="39" xr:uid="{5E80A00D-753A-4A82-80ED-197ADD1E1206}"/>
    <cellStyle name="常规_组价表（新）4.12" xfId="10" xr:uid="{B7A908C4-5C17-4CE4-A579-8407D9759479}"/>
  </cellStyles>
  <dxfs count="0"/>
  <tableStyles count="0" defaultTableStyle="TableStyleMedium9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3.xml"/><Relationship Id="rId63" Type="http://schemas.openxmlformats.org/officeDocument/2006/relationships/externalLink" Target="externalLinks/externalLink19.xml"/><Relationship Id="rId68" Type="http://schemas.openxmlformats.org/officeDocument/2006/relationships/externalLink" Target="externalLinks/externalLink24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externalLink" Target="externalLinks/externalLink9.xml"/><Relationship Id="rId58" Type="http://schemas.openxmlformats.org/officeDocument/2006/relationships/externalLink" Target="externalLinks/externalLink14.xml"/><Relationship Id="rId74" Type="http://schemas.openxmlformats.org/officeDocument/2006/relationships/externalLink" Target="externalLinks/externalLink30.xml"/><Relationship Id="rId79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17.xml"/><Relationship Id="rId82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4.xml"/><Relationship Id="rId56" Type="http://schemas.openxmlformats.org/officeDocument/2006/relationships/externalLink" Target="externalLinks/externalLink12.xml"/><Relationship Id="rId64" Type="http://schemas.openxmlformats.org/officeDocument/2006/relationships/externalLink" Target="externalLinks/externalLink20.xml"/><Relationship Id="rId69" Type="http://schemas.openxmlformats.org/officeDocument/2006/relationships/externalLink" Target="externalLinks/externalLink25.xml"/><Relationship Id="rId77" Type="http://schemas.openxmlformats.org/officeDocument/2006/relationships/externalLink" Target="externalLinks/externalLink33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7.xml"/><Relationship Id="rId72" Type="http://schemas.openxmlformats.org/officeDocument/2006/relationships/externalLink" Target="externalLinks/externalLink28.xml"/><Relationship Id="rId8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2.xml"/><Relationship Id="rId59" Type="http://schemas.openxmlformats.org/officeDocument/2006/relationships/externalLink" Target="externalLinks/externalLink15.xml"/><Relationship Id="rId67" Type="http://schemas.openxmlformats.org/officeDocument/2006/relationships/externalLink" Target="externalLinks/externalLink2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0.xml"/><Relationship Id="rId62" Type="http://schemas.openxmlformats.org/officeDocument/2006/relationships/externalLink" Target="externalLinks/externalLink18.xml"/><Relationship Id="rId70" Type="http://schemas.openxmlformats.org/officeDocument/2006/relationships/externalLink" Target="externalLinks/externalLink26.xml"/><Relationship Id="rId75" Type="http://schemas.openxmlformats.org/officeDocument/2006/relationships/externalLink" Target="externalLinks/externalLink3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5.xml"/><Relationship Id="rId57" Type="http://schemas.openxmlformats.org/officeDocument/2006/relationships/externalLink" Target="externalLinks/externalLink1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8.xml"/><Relationship Id="rId60" Type="http://schemas.openxmlformats.org/officeDocument/2006/relationships/externalLink" Target="externalLinks/externalLink16.xml"/><Relationship Id="rId65" Type="http://schemas.openxmlformats.org/officeDocument/2006/relationships/externalLink" Target="externalLinks/externalLink21.xml"/><Relationship Id="rId73" Type="http://schemas.openxmlformats.org/officeDocument/2006/relationships/externalLink" Target="externalLinks/externalLink29.xml"/><Relationship Id="rId78" Type="http://schemas.openxmlformats.org/officeDocument/2006/relationships/theme" Target="theme/theme1.xml"/><Relationship Id="rId8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6.xml"/><Relationship Id="rId55" Type="http://schemas.openxmlformats.org/officeDocument/2006/relationships/externalLink" Target="externalLinks/externalLink11.xml"/><Relationship Id="rId76" Type="http://schemas.openxmlformats.org/officeDocument/2006/relationships/externalLink" Target="externalLinks/externalLink32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27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1.xml"/><Relationship Id="rId66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01\jhc\unzipped\Eastern%20Airline%20FE\Spares\FILES\SMCTS2\SMCTSSP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6481;&#21644;&#33457;&#22290;\&#36009;&#24037;&#24215;&#25552;&#20986;&#35211;&#31309;&#26360;\&#26085;&#24120;&#31649;&#29702;&#36039;&#26009;\&#21442;&#32771;&#36039;&#26009;\TLC&#20107;&#26989;&#32113;&#36676;&#37096;\&#20385;&#26684;&#35373;&#23450;\&#26032;&#21830;&#21697;&#26045;&#24037;&#20385;&#26684;&#35373;&#23450;&#12398;&#22522;&#28310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6481;&#21644;&#33457;&#22290;\&#36009;&#24037;&#24215;&#25552;&#20986;&#35211;&#31309;&#26360;\&#26085;&#24120;&#31649;&#29702;&#36039;&#26009;\&#21442;&#32771;&#36039;&#26009;\TLC&#20107;&#26989;&#32113;&#36676;&#37096;\&#20385;&#26684;&#35373;&#23450;\&#26032;&#21830;&#21697;&#26045;&#24037;&#20385;&#26684;&#35373;&#23450;&#12398;&#22522;&#28310;&#2636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21016;&#20025;\AppData\Roaming\E-Mobile\Downloads\file:\C:\&#24037;&#20316;&#30424;%20(f)\&#39044;&#31639;&#24037;&#20316;\2019\&#25253;&#20215;\028-&#21322;&#23665;&#27969;&#28330;-&#19969;&#24742;&#23665;-2019-6-27\&#25105;&#21496;&#36164;&#26009;\&#25253;&#20215;&#34920;&#183;&#21322;&#23665;&#27969;&#28330;23&#12289;24%23&#27004;&#24037;&#31243;2019-7-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DC136\&#29983;&#29987;&#37326;&#30000;\&#26032;&#22528;\C_&#20303;&#22120;\TOP&#22577;&#21578;\&#29983;&#20154;&#21488;&#931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24037;&#20316;&#30424;%20(f)\&#39044;&#31639;&#24037;&#20316;\2019\&#25253;&#20215;\028-&#21322;&#23665;&#27969;&#28330;-&#19969;&#24742;&#23665;-2019-6-27\&#25105;&#21496;&#36164;&#26009;\&#25253;&#20215;&#34920;&#183;&#21322;&#23665;&#27969;&#28330;23&#12289;24#&#27004;&#24037;&#31243;2019-7-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24037;&#31243;&#39033;&#30446;\&#39044;&#32467;&#31639;&#39033;&#30446;\&#28023;&#20107;&#22823;&#23398;&#23398;&#26415;&#20013;&#24515;&#39033;&#30446;\&#22303;&#24314;\&#20854;&#23427;&#24213;&#31295;\&#20013;&#36828;&#33337;&#21153;\&#21326;&#38160;&#19990;&#30028;\&#21326;&#38160;&#19990;&#30028;\&#21326;&#38160;&#20027;&#20307;&#21457;&#26631;4.8\wqh\wqhxm\&#36719;&#20214;&#22253;&#39033;&#30446;\&#19977;&#22235;&#20116;&#26631;&#27573;&#25307;&#26631;&#25991;&#20214;\&#24037;&#31243;&#37327;&#20108;&#26631;&#27573;\&#20108;&#26399;&#20108;&#26631;&#27573;&#35780;&#26631;&#20027;&#35201;&#20998;&#26512;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s001\0604&#31918;&#21333;\WINDOWS\Desktop\&#32993;&#32418;&#24742;\A_8206A\Floor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esktop\RecoveredExternalLink49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002.&#26085;&#24120;&#24037;&#20316;/001.&#27491;&#35268;&#26631;&#20070;/2015&#24180;&#24230;/012.&#27815;&#24030;&#39321;&#22564;&#33635;&#24220;/&#25105;&#21496;&#36164;&#26009;/&#25104;&#26412;&#21450;&#25253;&#20215;/RecoveredExternalLink49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00%20&#25237;&#26631;/2013&#24180;/20130022%20&#39321;&#27827;&#23500;&#21147;&#26032;&#22478;/&#31532;3&#27425;%20130022&#39321;&#27827;&#23500;&#21147;&#26032;&#22478;20131014/&#36213;&#24037;&#36164;&#26009;/&#24037;&#31243;&#39033;&#30446;/&#25237;&#26631;&#39033;&#30446;/&#23453;&#33322;&#24314;&#35774;/&#23457;&#26680;&#39033;&#30446;/&#25140;&#23376;&#25996;/&#21035;&#26679;&#22478;&#19977;&#26399;/&#21035;&#26679;&#24180;&#19977;&#26399;&#31532;&#19968;&#27425;&#25253;&#20215;/James&#30340;&#24037;&#20316;&#25991;&#20214;/&#36164;&#26009;/&#37096;&#38376;&#36164;&#26009;/&#24050;&#20570;&#24037;&#31243;&#26631;&#20070;/2011&#24180;&#24050;&#20570;&#26631;&#20070;/&#24800;&#24030;&#21150;/2010%20&#24037;&#31243;/12-14%20&#23433;&#24509;&#21315;&#22478;&#32622;&#19994;/2010%20&#24037;&#31243;/11-15%20&#20013;&#21830;&#19968;&#29615;&#38125;&#24231;/&#25237;&#26631;&#24037;&#31243;/&#19996;&#33694;&#28392;&#27743;&#20844;&#39302;&#39033;&#30446;&#20108;&#26399;/08&#24180;7-12&#26376;/&#27993;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4037;&#20316;&#30424;%20(f)\&#39044;&#31639;&#24037;&#20316;\2019\&#26631;&#20070;\011-&#24352;&#39034;-2019-5-9\&#30002;&#26041;&#36164;&#26009;\YSGL-&#27491;&#35268;&#26631;&#20070;&#20449;&#24687;&#30331;&#35760;&#34920;&#23457;&#25209;&#27969;&#31243;-&#26446;&#21331;&#20122;-2019-05-09_37520190509170607\&#38376;&#31383;&#25307;&#26631;&#28165;&#21333;\&#38376;&#31383;&#25307;&#26631;&#28165;&#21333;\1.&#26679;&#26495;&#25151;\RecoveredExternalLink3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4037;&#20316;&#30424;%20(f)\&#39044;&#31639;&#24037;&#20316;\2019\&#26631;&#20070;\011-&#24352;&#39034;-2019-5-9\&#30002;&#26041;&#36164;&#26009;\YSGL-&#27491;&#35268;&#26631;&#20070;&#20449;&#24687;&#30331;&#35760;&#34920;&#23457;&#25209;&#27969;&#31243;-&#26446;&#21331;&#20122;-2019-05-09_37520190509170607\&#38376;&#31383;&#25307;&#26631;&#28165;&#21333;\&#38376;&#31383;&#25307;&#26631;&#28165;&#21333;\1.&#26679;&#26495;&#25151;\RecoveredExternalLink3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25237;&#26631;&#39033;&#30446;\2015&#24180;\&#37329;&#38134;&#23707;&#21830;&#21153;&#22823;&#21414;&#22806;&#31435;&#38754;&#35013;&#39280;&#24037;&#31243;\&#39044;&#31639;+&#25253;&#20215;\E6_10%20&#34920;1-3-C%20&#25216;&#26415;&#25514;&#26045;&#39033;&#30446;&#28165;&#21333;&#21450;&#35745;&#20215;&#34920;1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25237;&#26631;&#39033;&#30446;\2015&#24180;\&#37329;&#38134;&#23707;&#21830;&#21153;&#22823;&#21414;&#22806;&#31435;&#38754;&#35013;&#39280;&#24037;&#31243;\&#39044;&#31639;+&#25253;&#20215;\E6_21%20&#34920;2-2%20&#25514;&#26045;&#39033;&#30446;&#36153;&#20998;&#26512;&#34920;1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08&#23425;&#27874;&#24904;&#28330;&#39033;&#30446;/02&#25307;&#26631;/03&#21806;&#27004;&#22788;&#26679;&#26495;&#25151;&#31934;&#35013;&#20462;&#25307;&#26631;/&#25237;&#26631;&#25991;&#20214;/09&#24180;&#26410;&#20013;&#26631;/&#26080;&#38177;&#40857;&#28246;/&#31532;4&#27425;/&#32508;&#21512;&#21333;&#20215;&#20998;&#26512;&#34920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24037;&#20316;/2022/7-20&#21551;&#36842;&#22478;&#20303;&#23429;&#24149;&#22681;/097+&#38738;&#23707;&#34701;&#21019;&#39640;&#26032;&#21306;011&#39033;&#30446;+&#26472;&#26126;&#21018;/&#30005;&#23376;&#29256;&#26723;&#26696;&#36164;&#26009;/5&#12289;&#25307;&#26631;/16&#12289;&#21512;&#38498;&#24149;&#22681;&#25307;&#26631;&#65288;&#19981;&#21547;&#31034;&#33539;&#21306;&#65289;/&#25104;&#26524;&#25991;&#20214;/RecoveredExternalLin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08&#24180;7-12&#26376;/&#27993;&#27743;&#27743;&#38376;&#30005;&#21147;/&#20379;&#30005;&#23616;&#29627;&#29827;&#24149;&#22681;&#28165;&#21333;/&#20379;&#30005;&#23616;&#29627;&#29827;&#24149;&#22681;&#28165;&#21333;/&#20998;&#37096;&#20998;&#39033;&#24037;&#31243;&#37327;&#28165;&#21333;(&#21547;&#29305;&#24449;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4037;&#20316;&#30424;%20(f)\&#39044;&#31639;&#24037;&#20316;\2019\&#26631;&#20070;\011-&#24352;&#39034;-2019-5-9\&#30002;&#26041;&#36164;&#26009;\YSGL-&#27491;&#35268;&#26631;&#20070;&#20449;&#24687;&#30331;&#35760;&#34920;&#23457;&#25209;&#27969;&#31243;-&#26446;&#21331;&#20122;-2019-05-09_37520190509170607\&#38376;&#31383;&#25307;&#26631;&#28165;&#21333;\&#38376;&#31383;&#25307;&#26631;&#28165;&#21333;\1.&#26679;&#26495;&#25151;\RecoveredExternalLink4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4037;&#20316;&#30424;%20(f)\&#39044;&#31639;&#24037;&#20316;\2019\&#26631;&#20070;\011-&#24352;&#39034;-2019-5-9\&#30002;&#26041;&#36164;&#26009;\YSGL-&#27491;&#35268;&#26631;&#20070;&#20449;&#24687;&#30331;&#35760;&#34920;&#23457;&#25209;&#27969;&#31243;-&#26446;&#21331;&#20122;-2019-05-09_37520190509170607\&#38376;&#31383;&#25307;&#26631;&#28165;&#21333;\&#38376;&#31383;&#25307;&#26631;&#28165;&#21333;\1.&#26679;&#26495;&#25151;\RecoveredExternalLink4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09&#24180;&#39033;&#30446;\&#19979;&#27801;&#26381;&#21153;&#22806;&#21253;&#20154;&#25165;&#22521;&#35757;&#22522;&#22320;\&#27491;&#36798;&#30340;&#32467;&#26524;\&#26477;&#24030;&#19979;&#27801;&#26381;&#21153;&#22806;&#21253;&#20154;&#25165;&#22521;&#35757;&#22522;&#22320;\&#39044;&#31639;\2008&#24037;&#31243;&#21016;&#27704;&#38686;\2008&#24037;&#31243;&#21016;&#27704;&#38686;\&#20844;&#21496;&#24037;&#31243;\&#26477;&#24030;&#24066;&#25329;&#23480;&#26725;&#26725;&#35199;&#21382;&#21490;&#34903;&#21306;&#22812;&#26223;&#29031;&#26126;&#24037;&#31243;\&#36816;&#27827;&#30005;&#23376;&#26495;\&#39044;&#31639;\&#19977;&#26631;\&#24037;&#31243;\&#26477;&#24030;&#24066;&#38065;&#27743;&#26032;&#22478;&#20116;&#31119;&#33489;&#22810;&#23618;&#20844;&#23507;&#24037;&#31243;\E6_03%20&#25237;&#26631;&#24635;&#20215;&#23553;&#38754;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9&#24180;&#39033;&#30446;\&#19979;&#27801;&#26381;&#21153;&#22806;&#21253;&#20154;&#25165;&#22521;&#35757;&#22522;&#22320;\&#27491;&#36798;&#30340;&#32467;&#26524;\&#26477;&#24030;&#19979;&#27801;&#26381;&#21153;&#22806;&#21253;&#20154;&#25165;&#22521;&#35757;&#22522;&#22320;\&#39044;&#31639;\2008&#24037;&#31243;&#21016;&#27704;&#38686;\2008&#24037;&#31243;&#21016;&#27704;&#38686;\&#20844;&#21496;&#24037;&#31243;\&#26477;&#24030;&#24066;&#25329;&#23480;&#26725;&#26725;&#35199;&#21382;&#21490;&#34903;&#21306;&#22812;&#26223;&#29031;&#26126;&#24037;&#31243;\&#36816;&#27827;&#30005;&#23376;&#26495;\&#39044;&#31639;\&#19977;&#26631;\&#24037;&#31243;\&#26477;&#24030;&#24066;&#38065;&#27743;&#26032;&#22478;&#20116;&#31119;&#33489;&#22810;&#23618;&#20844;&#23507;&#24037;&#31243;\E6_03%20&#25237;&#26631;&#24635;&#20215;&#23553;&#38754;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09&#24180;&#39033;&#30446;\&#19979;&#27801;&#26381;&#21153;&#22806;&#21253;&#20154;&#25165;&#22521;&#35757;&#22522;&#22320;\&#27491;&#36798;&#30340;&#32467;&#26524;\&#26477;&#24030;&#19979;&#27801;&#26381;&#21153;&#22806;&#21253;&#20154;&#25165;&#22521;&#35757;&#22522;&#22320;\&#39044;&#31639;\2008&#24037;&#31243;&#21016;&#27704;&#38686;\2008&#24037;&#31243;&#21016;&#27704;&#38686;\&#20844;&#21496;&#24037;&#31243;\&#26477;&#24030;&#24066;&#25329;&#23480;&#26725;&#26725;&#35199;&#21382;&#21490;&#34903;&#21306;&#22812;&#26223;&#29031;&#26126;&#24037;&#31243;\&#36816;&#27827;&#30005;&#23376;&#26495;\&#39044;&#31639;\&#19977;&#26631;\&#22522;&#30784;&#36164;&#26009;\&#20854;&#20182;&#39033;&#30446;\&#65288;&#28165;&#21333;&#65289;&#19979;&#22478;&#31185;&#25216;&#32463;&#27982;&#22253;&#21306;&#19968;&#12289;&#20108;&#12289;&#19977;&#21495;&#36335;\E6_07%20&#34920;1-1-3%20&#21333;&#20301;&#24037;&#31243;&#36153;&#27719;&#24635;&#34920;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9&#24180;&#39033;&#30446;\&#19979;&#27801;&#26381;&#21153;&#22806;&#21253;&#20154;&#25165;&#22521;&#35757;&#22522;&#22320;\&#27491;&#36798;&#30340;&#32467;&#26524;\&#26477;&#24030;&#19979;&#27801;&#26381;&#21153;&#22806;&#21253;&#20154;&#25165;&#22521;&#35757;&#22522;&#22320;\&#39044;&#31639;\2008&#24037;&#31243;&#21016;&#27704;&#38686;\2008&#24037;&#31243;&#21016;&#27704;&#38686;\&#20844;&#21496;&#24037;&#31243;\&#26477;&#24030;&#24066;&#25329;&#23480;&#26725;&#26725;&#35199;&#21382;&#21490;&#34903;&#21306;&#22812;&#26223;&#29031;&#26126;&#24037;&#31243;\&#36816;&#27827;&#30005;&#23376;&#26495;\&#39044;&#31639;\&#19977;&#26631;\&#22522;&#30784;&#36164;&#26009;\&#20854;&#20182;&#39033;&#30446;\&#65288;&#28165;&#21333;&#65289;&#19979;&#22478;&#31185;&#25216;&#32463;&#27982;&#22253;&#21306;&#19968;&#12289;&#20108;&#12289;&#19977;&#21495;&#36335;\E6_07%20&#34920;1-1-3%20&#21333;&#20301;&#24037;&#31243;&#36153;&#27719;&#24635;&#34920;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zj\LOCALS~1\Temp\Rar$DI00.906\&#25903;&#25252;&#24037;&#31243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Owner/&#26700;&#38754;/f/&#25237;&#26631;&#25991;&#20214;2009&#24180;/7&#26376;/&#32511;&#22478;&#21315;&#23707;&#28246;&#30887;&#27700;&#28165;&#39118;3#&#27004;&#24149;&#22681;&#24037;&#31243;\&#21830;&#21153;&#37096;&#20998;\DOCUME~1\zj\LOCALS~1\Temp\Rar$DI00.906\&#25903;&#25252;&#24037;&#31243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2.&#26085;&#24120;&#24037;&#20316;\001.&#27491;&#35268;&#26631;&#20070;\2015&#24180;&#24230;\012.&#27815;&#24030;&#39321;&#22564;&#33635;&#24220;\&#25105;&#21496;&#36164;&#26009;\&#25104;&#26412;&#21450;&#25253;&#20215;\RecoveredExternalLink49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&#30002;&#26041;&#36164;&#26009;/3&#12289;&#28023;&#21335;&#33707;&#26031;&#31185;&#21160;&#21147;&#22823;&#23398;&#19968;&#26399;2%23~6%23&#21450;8%23&#27004;&#38109;&#21512;&#37329;&#38376;&#31383;&#12289;&#38451;&#21488;&#26639;&#26438;&#21450;&#31359;&#23380;&#38109;&#26495;&#24037;&#31243;%20&#24037;&#31243;&#37327;&#28165;&#21333;20251017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32599;&#20113;&#36164;&#26009;\B15-16\&#21512;&#21516;&#12289;&#25253;&#20215;\Program%20Files\Tencent\QQ\Users\547801917\FileRecv\Documents%20and%20Settings\Administrator\&#26700;&#38754;\&#19977;&#20122;&#40575;&#22238;&#22836;&#23567;&#19996;&#28023;B15&#12289;B16&#22320;&#22359;&#39033;&#30446;&#25253;&#20215;0609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32599;&#20113;&#36164;&#26009;\B15-16\&#21512;&#21516;&#12289;&#25253;&#20215;\(&#28145;&#35013;&#26680;%20&#65289;20110725&#26368;&#32456;&#20462;&#25913;B15.16&#29256;%20%20%20&#25253;&#20215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24180;/&#25253;&#20215;/11&#12289;&#28023;&#26684;&#22825;&#26530;&#22825;&#33150;&#38598;&#25104;&#25253;&#20215;2025.3.7/&#35843;&#25972;&#25253;&#20215;/&#28023;&#26684;-&#38376;&#31383;&#21450;&#20445;&#28201;&#28165;&#21333;/125&#24149;&#22681;%20&#27979;&#31639;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24180;/&#25253;&#20215;/46&#12289;&#32654;&#22269;&#26032;&#27901;&#35199;&#24030;&#25289;&#20811;&#19975;&#32435;&#20303;&#23429;&#24037;&#31243;&#39033;&#30446;&#183;&#23487;&#26032;&#183;2025.6.23/&#32654;&#22269;&#26032;&#27901;&#35199;&#24030;&#25289;&#20811;&#19975;&#32435;&#20303;&#23429;&#24037;&#31243;&#39033;&#30446;&#183;&#25104;&#26412;&#27979;&#31639;2025.6.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pmad2"/>
      <sheetName val="POWER ASSUMPTIONS"/>
      <sheetName val="电视监控"/>
      <sheetName val="General"/>
      <sheetName val="#REF!"/>
      <sheetName val="Financ. Overview"/>
      <sheetName val="Toolbox"/>
      <sheetName val="五金"/>
      <sheetName val="UFPrn20020708110604"/>
      <sheetName val="XL4Poppy"/>
      <sheetName val="管比表（2）"/>
      <sheetName val="科余"/>
      <sheetName val="制比表（2）"/>
      <sheetName val="损表"/>
      <sheetName val="固折（2）"/>
      <sheetName val="预提表"/>
      <sheetName val="资负表"/>
      <sheetName val="毛利表"/>
      <sheetName val="应税表"/>
      <sheetName val="管比表"/>
      <sheetName val="预算底稿"/>
      <sheetName val="管理费用预算"/>
      <sheetName val="固定生产成本预算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汇总表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说明"/>
      <sheetName val="销量"/>
      <sheetName val="共享"/>
      <sheetName val="促销活动"/>
      <sheetName val="活动"/>
      <sheetName val="总表"/>
      <sheetName val="¹Ü±È±í£¨2£©"/>
      <sheetName val="¿ÆÓà"/>
      <sheetName val="ÖÆ±È±í£¨2£©"/>
      <sheetName val="Ëð±í"/>
      <sheetName val="¹ÌÕÛ£¨2£©"/>
      <sheetName val="Ô¤Ìá±í"/>
      <sheetName val="×Ê¸º±í"/>
      <sheetName val="Ã«Àû±í"/>
      <sheetName val="Ó¦Ë°±í"/>
      <sheetName val="¹Ü±È±í"/>
      <sheetName val="Ô¤Ëãµ×¸å"/>
      <sheetName val="¹ÜÀí·ÑÓÃÔ¤Ëã"/>
      <sheetName val="¹Ì¶¨Éú²ú³É±¾Ô¤Ëã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B"/>
      <sheetName val="趋势图"/>
      <sheetName val="折旧测试"/>
      <sheetName val="应收账款及预收账款明细表"/>
      <sheetName val="81180截止测试"/>
      <sheetName val="营业收入"/>
      <sheetName val="81130主营月份"/>
      <sheetName val="存货明细表 "/>
      <sheetName val="54131"/>
      <sheetName val="存货成本重算"/>
      <sheetName val="投资性房地产"/>
      <sheetName val="占地面积统计表"/>
      <sheetName val="企业表一"/>
      <sheetName val="M-5C"/>
      <sheetName val="M-5A"/>
      <sheetName val="Sheet1"/>
      <sheetName val="应收账款明细表"/>
      <sheetName val="应付－武汉运盛钢铁贸易有限公司"/>
      <sheetName val="襄樊鼎益机电有限公司"/>
      <sheetName val="会计科目"/>
      <sheetName val="盈余公积 （合并)"/>
      <sheetName val="包增减变动"/>
      <sheetName val="CF"/>
      <sheetName val="长期股权投资"/>
      <sheetName val="封面"/>
      <sheetName val="总分类账"/>
      <sheetName val="固定资产明细表"/>
      <sheetName val="固及累及减值"/>
      <sheetName val="56261盘点"/>
      <sheetName val="货币资金"/>
      <sheetName val="其他应收明细表"/>
      <sheetName val="在建工程审计说明"/>
      <sheetName val="124301 查询"/>
      <sheetName val="经贸库存商品"/>
      <sheetName val="户名"/>
      <sheetName val="inf"/>
      <sheetName val="Third party"/>
      <sheetName val="82130其他"/>
      <sheetName val="表4-12"/>
      <sheetName val="核算项目余额表"/>
      <sheetName val="G.1R-Shou COP Gf"/>
      <sheetName val="KKKKKKKK"/>
      <sheetName val=""/>
      <sheetName val="SMCTSSP2"/>
      <sheetName val="Market share"/>
      <sheetName val="fs(for Consol)"/>
      <sheetName val="10-2.固定资产处置表"/>
      <sheetName val="资产表横向"/>
      <sheetName val="目录"/>
      <sheetName val="期初调整"/>
      <sheetName val="平均年限法(基于入账原值和入账预计使用期间)"/>
      <sheetName val="Main"/>
      <sheetName val="墙面工程"/>
      <sheetName val="计算稿封面"/>
      <sheetName val="门窗表"/>
      <sheetName val="计算稿"/>
      <sheetName val="土建工程综合单价表"/>
      <sheetName val="土建工程综合单价组价明细表"/>
      <sheetName val="2.1设计部"/>
      <sheetName val="单位库"/>
      <sheetName val="_x005f_x005f_x005f_x0000__x005f_x005f_x005f_x0000__x005"/>
      <sheetName val="工商税收"/>
      <sheetName val="GDP"/>
      <sheetName val="Open"/>
      <sheetName val="地上结构重计量争议汇总表"/>
      <sheetName val="地下结构重计量争议汇总表"/>
      <sheetName val="_x005f_x005f_x005f_x005f_x005f_x005f_x005f_x0000__x005f"/>
      <sheetName val="_x005f_x005f_x005f_x005f_x005f_x005f_x005f_x005f_x005f_x005f_"/>
      <sheetName val="00000ppy"/>
      <sheetName val="SW-TEO"/>
      <sheetName val="改加胶玻璃、室外栏杆"/>
      <sheetName val="分类说明"/>
      <sheetName val="原因说明"/>
      <sheetName val="一般预算收入"/>
      <sheetName val="_x005f_x005f_x005f_x005f_x005f_x005f_x005f_x005f_"/>
      <sheetName val="_x005f_x0000__x005f_x0000__x005f_x0000__x005f_x0000__x0"/>
      <sheetName val="_x005f_x0000__x005f_x0000__x005"/>
      <sheetName val="隔墙"/>
      <sheetName val="_x005f_x005f_x005f_x0000__x005f"/>
      <sheetName val="_x005f_x005f_x005f_x005f_"/>
      <sheetName val="固化库"/>
      <sheetName val="二层"/>
      <sheetName val="工程量清单（一标段）"/>
      <sheetName val="经济指标"/>
      <sheetName val="钢筋计算表"/>
      <sheetName val="销售财务日报表②"/>
      <sheetName val="参照表"/>
      <sheetName val="46亩(新)"/>
      <sheetName val="基础数据命名表"/>
      <sheetName val="技术指标"/>
      <sheetName val="税金预测"/>
      <sheetName val="主要规划指标"/>
      <sheetName val="税金缴纳情况"/>
      <sheetName val="土地款预测"/>
      <sheetName val="销售回款预测"/>
      <sheetName val="08.01"/>
      <sheetName val="政府性收费预测"/>
      <sheetName val="11年计划"/>
      <sheetName val="字段"/>
      <sheetName val="折线图2数据"/>
      <sheetName val="1.投标总价封面"/>
      <sheetName val="合计"/>
      <sheetName val="P1012001"/>
      <sheetName val="变更部分 (3) "/>
      <sheetName val="D栋计算式明细"/>
      <sheetName val="内围地梁钢筋说明"/>
      <sheetName val="1-4栋结算清单汇总表"/>
      <sheetName val="参数表"/>
      <sheetName val="Sheet1 (11)"/>
      <sheetName val="下拉菜单"/>
      <sheetName val="资产分类信息"/>
      <sheetName val="13_65度雪花"/>
      <sheetName val="13_6雪花分配表"/>
      <sheetName val="13_65度沈阳"/>
      <sheetName val="13_65沈阳分配表"/>
      <sheetName val="煤水电备份_"/>
      <sheetName val="10_5度成本表"/>
      <sheetName val="桶酒20L_(雪)_"/>
      <sheetName val="桶酒30L_(雪)__"/>
      <sheetName val="POWER_ASSUMPTIONS"/>
      <sheetName val="13_65¶ÈÑ©»¨"/>
      <sheetName val="13_6Ñ©»¨·ÖÅä±í"/>
      <sheetName val="13_65¶ÈÉòÑô"/>
      <sheetName val="13_65ÉòÑô·ÖÅä±í"/>
      <sheetName val="ÃºË®µç±¸·Ý_"/>
      <sheetName val="10_5¶È³É±¾±í"/>
      <sheetName val="Í°¾Æ20L_(Ñ©)_"/>
      <sheetName val="Í°¾Æ30L_(Ñ©)__"/>
      <sheetName val="存货明细表_"/>
      <sheetName val="Financ__Overview"/>
      <sheetName val="管比表（2缉"/>
      <sheetName val="祑余"/>
      <sheetName val="预捐表"/>
      <sheetName val="13.6ᛪ花分配ࡨ"/>
      <sheetName val="13.65沈ᘳ分配表"/>
      <sheetName val="攰水分配表"/>
      <sheetName val="酿造鸦銵"/>
      <sheetName val="汇总ࡨ"/>
      <sheetName val="10.5带成本表"/>
      <sheetName val="11度陪成本表"/>
      <sheetName val="桶ᅒ20L"/>
      <sheetName val="桶酒15L(华缉"/>
      <sheetName val="桶酒30L缈华）"/>
      <sheetName val="桶酒20L(陪舱干）"/>
      <sheetName val="销酏"/>
      <sheetName val="¹Ü±@±í£¨2£©"/>
      <sheetName val="ÖÆ±È±í£¨2£)"/>
      <sheetName val="Kð1í"/>
      <sheetName val="¹ÌÕ_£¨2£©"/>
      <sheetName val="Ô$Ìá±m"/>
      <sheetName val="WÊ¸º1m"/>
      <sheetName val="Ã«À{±í"/>
      <sheetName val="Ó¦K°1í"/>
      <sheetName val="________"/>
      <sheetName val="_701"/>
      <sheetName val="_702"/>
      <sheetName val="_703"/>
      <sheetName val="_704"/>
      <sheetName val="_705"/>
      <sheetName val="_712"/>
      <sheetName val="新产品贡献率"/>
      <sheetName val="_x005f_x0000__x005f"/>
      <sheetName val="_"/>
      <sheetName val="S1单价表"/>
      <sheetName val="工程量"/>
      <sheetName val="56271-2"/>
      <sheetName val="3、工程在施情况明细表 "/>
      <sheetName val="7"/>
      <sheetName val="投标材料清单 "/>
      <sheetName val="temp"/>
      <sheetName val="单价分析表"/>
      <sheetName val="清单（不打印）"/>
      <sheetName val="21"/>
      <sheetName val="_x005f_x005f_"/>
      <sheetName val="施工参考单价报价表"/>
      <sheetName val="其它工作项目报价清单"/>
      <sheetName val="甲指乙供材料报价表"/>
      <sheetName val="梁"/>
      <sheetName val="石材购买量统计"/>
      <sheetName val="单位"/>
      <sheetName val="湿装饰"/>
      <sheetName val="电气部分"/>
      <sheetName val="C、D区室外铺贴工程量计算书"/>
      <sheetName val="设计部"/>
      <sheetName val="#REF"/>
      <sheetName val="Estimate Details"/>
      <sheetName val="D1电气单价表"/>
      <sheetName val="A1、A2栏杆和百叶清单 "/>
      <sheetName val="A1、A2单价分析表"/>
      <sheetName val="A20栋清单"/>
      <sheetName val="A21、A22单价分析表"/>
      <sheetName val="A21、22栋清单"/>
      <sheetName val="A3门窗清单"/>
      <sheetName val="A4门窗清单"/>
      <sheetName val="B1、B2、B4-B7单价分析表"/>
      <sheetName val="B1幕墙价分析表"/>
      <sheetName val="B1幕墙"/>
      <sheetName val="B2幕墙价分析表"/>
      <sheetName val="B2幕墙"/>
      <sheetName val="B3幕墙"/>
      <sheetName val="B3栋清单"/>
      <sheetName val="B4幕墙价分析表"/>
      <sheetName val="B4幕墙"/>
      <sheetName val="B5幕墙价分析表"/>
      <sheetName val="B5幕墙"/>
      <sheetName val="B6幕墙价分析表"/>
      <sheetName val="B6幕墙"/>
      <sheetName val="B7幕墙价分析表"/>
      <sheetName val="B7幕墙"/>
      <sheetName val="小学"/>
      <sheetName val="幼儿园"/>
      <sheetName val="3"/>
      <sheetName val="设计指标"/>
      <sheetName val="廊桥水乡"/>
      <sheetName val="中央公园城"/>
      <sheetName val="经济指标分析表"/>
      <sheetName val="建筑面积 "/>
      <sheetName val="承台(砖模) "/>
      <sheetName val="柱"/>
      <sheetName val="sheet2"/>
      <sheetName val="基础项目"/>
      <sheetName val="土方"/>
      <sheetName val="資料庫"/>
      <sheetName val="综合单价分析表"/>
      <sheetName val="4.3.1物料损耗率"/>
      <sheetName val="_x0000__x0000__x0000__x0000__x0"/>
      <sheetName val="分产品销售收入、成本分析表"/>
      <sheetName val="其他凭证抽查"/>
      <sheetName val="K3代码"/>
      <sheetName val="公司管理费用"/>
      <sheetName val="资产负债表及损益表"/>
      <sheetName val="重要内部交易"/>
      <sheetName val="财务费用"/>
      <sheetName val="管理费用"/>
      <sheetName val="营业费用"/>
      <sheetName val="制造费用"/>
      <sheetName val="所得税凭证抽查"/>
      <sheetName val="应交税费审定表"/>
      <sheetName val="Sheet9"/>
      <sheetName val="预付清单"/>
      <sheetName val="在建工程设备"/>
      <sheetName val="调整分录汇总"/>
      <sheetName val="关联方及集团内清单"/>
      <sheetName val="主营成本"/>
      <sheetName val="Summary"/>
      <sheetName val="summary "/>
      <sheetName val="凭证号"/>
      <sheetName val="64151支付情况"/>
      <sheetName val="资产负债表"/>
      <sheetName val="表头"/>
      <sheetName val="清单12.31"/>
      <sheetName val="Quantity"/>
      <sheetName val="营业成本"/>
      <sheetName val="销售费用"/>
      <sheetName val="所得税费用"/>
      <sheetName val="母子利润汇总"/>
      <sheetName val="2006"/>
      <sheetName val="折旧测试2007"/>
      <sheetName val="审定IN"/>
      <sheetName val="UFPrn20030305081341"/>
      <sheetName val="64130"/>
      <sheetName val="在役资产"/>
      <sheetName val="已减少资产"/>
      <sheetName val="役龄资产统计表"/>
      <sheetName val="房屋及建筑物"/>
      <sheetName val="其他应收款程序表"/>
      <sheetName val="memo"/>
      <sheetName val="应付职工薪酬审定表"/>
      <sheetName val="审计说明64190"/>
      <sheetName val="64170计提及分配"/>
      <sheetName val="64151支付情况-应付工资"/>
      <sheetName val="detail"/>
      <sheetName val="dxnsjtempsheet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首页"/>
      <sheetName val="基本信息"/>
      <sheetName val="资产负债表调整过程表"/>
      <sheetName val="存货"/>
      <sheetName val="递延所得税资产"/>
      <sheetName val="递延所得税说明08"/>
      <sheetName val="OR Breakdown"/>
      <sheetName val="应交税费程序表"/>
      <sheetName val="应交税费明细表"/>
      <sheetName val="for disclosure"/>
      <sheetName val="三家其他应付公司"/>
      <sheetName val="资过表20011-本部"/>
      <sheetName val="利过表2011-本部"/>
      <sheetName val="审计调整"/>
      <sheetName val="利过表2010.10"/>
      <sheetName val="科目余额表"/>
      <sheetName val="预收款项程序表"/>
      <sheetName val="应付账款程序表"/>
      <sheetName val="审定表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巢湖新奥2"/>
      <sheetName val="_003固定资产"/>
      <sheetName val="_004固定资产"/>
      <sheetName val="_005固定资产"/>
      <sheetName val="其他应付款科目表"/>
      <sheetName val="_005暂借户"/>
      <sheetName val="_霍邱2003资本公积"/>
      <sheetName val="舒城2004资本公积"/>
      <sheetName val="寿县2005资本公积"/>
      <sheetName val="2005年科目余额表"/>
      <sheetName val="股本-评估调整2004"/>
      <sheetName val="盈余公积-评估调账"/>
      <sheetName val="资本公积-评估调整2004年"/>
      <sheetName val="金寨2003资本公积"/>
      <sheetName val="管理费用程序表"/>
      <sheetName val="固定资产2001年折旧"/>
      <sheetName val="????????"/>
      <sheetName val="¹ÌÕ[£¨2£©"/>
      <sheetName val="8"/>
      <sheetName val="工程量计算"/>
      <sheetName val="价格"/>
      <sheetName val="07水"/>
      <sheetName val="代码表"/>
      <sheetName val="_x0000__x0000__x005"/>
      <sheetName val="_x0000__x005f"/>
      <sheetName val="Criteria"/>
      <sheetName val="地梁"/>
      <sheetName val="装饰部分"/>
      <sheetName val="5期B栋会所装饰精装修"/>
      <sheetName val="2006年10月"/>
      <sheetName val="月计划"/>
      <sheetName val="单价"/>
      <sheetName val="D房底稿"/>
      <sheetName val="A1-1"/>
      <sheetName val="A1-2"/>
      <sheetName val="A1-3"/>
      <sheetName val="A2-1"/>
      <sheetName val="A2-2"/>
      <sheetName val="BS房底稿"/>
      <sheetName val="隔墙、幕墙"/>
      <sheetName val="B1-4"/>
      <sheetName val="B1-5"/>
      <sheetName val="B2-4"/>
      <sheetName val="B2-5"/>
      <sheetName val="B3-1"/>
      <sheetName val="C1-2"/>
      <sheetName val="C2-2"/>
      <sheetName val="C2-3"/>
      <sheetName val="C3-1"/>
      <sheetName val="C4-1"/>
      <sheetName val="D1-4"/>
      <sheetName val="D1-5"/>
      <sheetName val="D1-6"/>
      <sheetName val="主材表（给排水）"/>
      <sheetName val="材料"/>
      <sheetName val="总价及单价表"/>
      <sheetName val="相关参数"/>
      <sheetName val="铝合金栏杆、雨篷 (渝园)"/>
      <sheetName val="明細表"/>
      <sheetName val="有效性"/>
      <sheetName val="变动成本分析"/>
      <sheetName val="总成本分析"/>
      <sheetName val="Lead"/>
      <sheetName val="Cover"/>
      <sheetName val="测算模式"/>
      <sheetName val="利润测算 (按物业类型)"/>
      <sheetName val="2.规划面积"/>
      <sheetName val="0.2参数表"/>
      <sheetName val="5.2成本分配"/>
      <sheetName val="规划面积"/>
      <sheetName val="敏感性分析"/>
      <sheetName val="楼层"/>
      <sheetName val="G_1R-Shou_COP_Gf"/>
      <sheetName val="金双楠项目"/>
      <sheetName val="跟踪分析表"/>
      <sheetName val="成本下降版"/>
      <sheetName val="客户基本概况表"/>
      <sheetName val="列表"/>
      <sheetName val="评估假设"/>
      <sheetName val="综合认价"/>
      <sheetName val="中小学生"/>
      <sheetName val="FYYS-1-编制底稿04-招聘活动支出"/>
      <sheetName val="合同"/>
      <sheetName val="新明源销售财务日报"/>
      <sheetName val="主要材料预算价格计算表"/>
      <sheetName val="项目汇总"/>
      <sheetName val="ws9"/>
      <sheetName val="科目说明"/>
      <sheetName val="1-合同台账"/>
      <sheetName val="5-综合认价台账"/>
      <sheetName val="人员支出"/>
      <sheetName val="编码"/>
      <sheetName val="收入与成本"/>
      <sheetName val="销售比率"/>
      <sheetName val="损  益  表"/>
      <sheetName val="预算封面"/>
      <sheetName val="分部分项清单(模板)"/>
      <sheetName val="综合单价表"/>
      <sheetName val="营业收入和税金及附加估算表"/>
      <sheetName val="_______"/>
      <sheetName val="人工费取费"/>
      <sheetName val="表3"/>
      <sheetName val="计算明细表"/>
      <sheetName val="XLR_NoRangeSheet"/>
      <sheetName val="强电清单"/>
      <sheetName val="防水工程"/>
      <sheetName val="基础编码"/>
      <sheetName val="貨品科目"/>
      <sheetName val="16#楼公共区域"/>
      <sheetName val="量(原)"/>
      <sheetName val="园建计算表1梁工"/>
      <sheetName val="平衡表"/>
      <sheetName val="上年末"/>
      <sheetName val="1月"/>
      <sheetName val="10月"/>
      <sheetName val="11月"/>
      <sheetName val="12月"/>
      <sheetName val="2月"/>
      <sheetName val="3月"/>
      <sheetName val="4月"/>
      <sheetName val="5月"/>
      <sheetName val="6月"/>
      <sheetName val="7月"/>
      <sheetName val="8月"/>
      <sheetName val="9月"/>
      <sheetName val="Sheet3"/>
      <sheetName val="B4零星"/>
      <sheetName val="eva"/>
      <sheetName val="A1户型装饰"/>
      <sheetName val="基本参数"/>
      <sheetName val="成本估算"/>
      <sheetName val="硬景 "/>
      <sheetName val="二标段上木 "/>
      <sheetName val="上木"/>
      <sheetName val="下木"/>
      <sheetName val="总人口"/>
      <sheetName val="Define"/>
      <sheetName val="item information"/>
      <sheetName val="物业类型"/>
      <sheetName val="土地成本明细表"/>
      <sheetName val="工程成本科目"/>
      <sheetName val="土地成本科目"/>
      <sheetName val="物业名称清单及分类"/>
      <sheetName val="项目简况"/>
      <sheetName val="基本信息表"/>
      <sheetName val="2013-08"/>
      <sheetName val="2015-01"/>
      <sheetName val="科目"/>
      <sheetName val="2015年6月之前到期商票台账"/>
      <sheetName val="数据有效性"/>
      <sheetName val="Proj Assum"/>
      <sheetName val="기본"/>
      <sheetName val="成本科目"/>
      <sheetName val="确认书 "/>
      <sheetName val="楼宇价目表A10"/>
      <sheetName val="楼宇价目表A9"/>
      <sheetName val="楼宇价目表B1"/>
      <sheetName val="楼宇价目表B2"/>
      <sheetName val="ACC"/>
      <sheetName val="WilliamSheet"/>
      <sheetName val="盈A030617使用格式"/>
      <sheetName val="5201.2004"/>
      <sheetName val="清单"/>
      <sheetName val="list"/>
      <sheetName val="NAME"/>
      <sheetName val="南苑基本库"/>
      <sheetName val="日报（扣除变更数）"/>
      <sheetName val="8-经营现金流测算表"/>
      <sheetName val="定价标准"/>
      <sheetName val="QY"/>
      <sheetName val="PRC GAAP"/>
      <sheetName val="dep08"/>
      <sheetName val="07-6068"/>
      <sheetName val="40-2701"/>
      <sheetName val="Tennancy"/>
      <sheetName val="TB"/>
      <sheetName val="Chart of Account"/>
      <sheetName val="$TB 1"/>
      <sheetName val="$TB"/>
      <sheetName val="成本台帐"/>
      <sheetName val="Parameters"/>
      <sheetName val="FIRE Parameters"/>
      <sheetName val="P&amp;L"/>
      <sheetName val="Bev.Cost"/>
      <sheetName val="变更"/>
      <sheetName val="日报_无证（扣除变更数）"/>
      <sheetName val="日报_有证（扣除变更数）"/>
      <sheetName val="挞定退房"/>
      <sheetName val="CFA"/>
      <sheetName val="Assumptions"/>
      <sheetName val="计算表"/>
      <sheetName val="Assum"/>
      <sheetName val="外墙"/>
      <sheetName val="室内汇总"/>
      <sheetName val="PRELIM"/>
      <sheetName val="常用项目"/>
      <sheetName val="附件2（材料定额消耗数量计算表）"/>
      <sheetName val="N12标清单"/>
      <sheetName val="2"/>
      <sheetName val="6"/>
      <sheetName val="面积合计（藏）"/>
      <sheetName val="4"/>
      <sheetName val="5"/>
      <sheetName val="1"/>
      <sheetName val="工程量清单(原价)"/>
      <sheetName val="4-货币资金-现金"/>
      <sheetName val="财务明细表"/>
      <sheetName val="8.2.建安付款规划"/>
      <sheetName val="02.参数表"/>
      <sheetName val="组价（投标单价调整）"/>
      <sheetName val="建安付款规划"/>
      <sheetName val="投资估算"/>
      <sheetName val="LTM销售"/>
      <sheetName val="HTM销售"/>
      <sheetName val="生鲜销售"/>
      <sheetName val="5.投资估算"/>
      <sheetName val="5.2.成本分配"/>
      <sheetName val="投资估算-姚庄2012-42-33号"/>
      <sheetName val="单价表"/>
      <sheetName val="小学教学综合楼"/>
      <sheetName val="铝板面积统计"/>
      <sheetName val="幕墙计算"/>
      <sheetName val="雨棚"/>
      <sheetName val="推拉"/>
      <sheetName val="平窗"/>
      <sheetName val="S-Hotel"/>
      <sheetName val="户型2a"/>
      <sheetName val="户型1a"/>
      <sheetName val="手工计算"/>
      <sheetName val="零星"/>
      <sheetName val="工程材料"/>
      <sheetName val="11-01月份打桩记录"/>
      <sheetName val="10-11月份打桩记录"/>
      <sheetName val="11-04月份桩记录"/>
      <sheetName val="报价细目表"/>
      <sheetName val="土方、桩基、支护、降水工程综合单价表"/>
      <sheetName val="土方、桩基、支护、降水工程综合单价组价明细表"/>
      <sheetName val="其他"/>
      <sheetName val="before"/>
      <sheetName val="F10栋"/>
      <sheetName val="F11栋"/>
      <sheetName val="F12栋"/>
      <sheetName val="F13栋"/>
      <sheetName val="F14栋"/>
      <sheetName val="F7栋"/>
      <sheetName val="F8栋"/>
      <sheetName val="F9栋"/>
      <sheetName val="装修材料费"/>
      <sheetName val="算分表"/>
      <sheetName val="管线计算表"/>
      <sheetName val="包干费用表"/>
      <sheetName val="Wl. Fin."/>
      <sheetName val="JOA首頁"/>
      <sheetName val="点表"/>
      <sheetName val="工程量汇总表"/>
      <sheetName val="分部分项工程量清单"/>
      <sheetName val="主要材料用量"/>
      <sheetName val="清单1"/>
      <sheetName val="Product Info"/>
      <sheetName val="Product_Info"/>
      <sheetName val="_____x0"/>
      <sheetName val="___x005"/>
      <sheetName val="__x005f"/>
      <sheetName val="材料清单"/>
      <sheetName val="地面过水泥砂"/>
      <sheetName val="楼板镂空及加楼板（部分项目有争议）"/>
      <sheetName val="型材线密度表"/>
      <sheetName val="表3.1增城土建工程综合单价组价明细表"/>
      <sheetName val="YS02-02"/>
      <sheetName val="设定"/>
      <sheetName val="9"/>
      <sheetName val="10"/>
      <sheetName val="11"/>
      <sheetName val="12"/>
      <sheetName val="调整后报表"/>
      <sheetName val="B5"/>
      <sheetName val="现金流量表"/>
      <sheetName val="报表附注"/>
      <sheetName val="参数"/>
      <sheetName val="ZH封面"/>
      <sheetName val="ZH-1明细表"/>
      <sheetName val="资金计划"/>
      <sheetName val="测算明细表(0+1+1)"/>
      <sheetName val="信宜"/>
      <sheetName val="模板"/>
      <sheetName val="19#楼(作废)"/>
      <sheetName val="计算表2"/>
      <sheetName val="玻璃"/>
      <sheetName val="材料名称标准表"/>
      <sheetName val="五金配件(1)"/>
      <sheetName val="名称"/>
      <sheetName val="型材表"/>
      <sheetName val="合同台帐"/>
      <sheetName val="模板参数"/>
      <sheetName val="钢梯、雨篷计算表 "/>
      <sheetName val="E17-1#屋面板、天沟、雨棚板计算表"/>
      <sheetName val="Control"/>
      <sheetName val="Bank Debt"/>
      <sheetName val="GFA"/>
      <sheetName val="company operations"/>
      <sheetName val="hangzhou2"/>
      <sheetName val="一次汇总"/>
      <sheetName val="钢筋"/>
      <sheetName val="Macro1"/>
      <sheetName val="门窗"/>
      <sheetName val="单价分析过程"/>
      <sheetName val="主要材料价格表 (2)"/>
      <sheetName val="楼梯间"/>
      <sheetName val="厨厕通用"/>
      <sheetName val="地坪"/>
      <sheetName val="现金流量表2"/>
      <sheetName val="现金流量表3"/>
      <sheetName val="00000000"/>
      <sheetName val="2002年3月份"/>
      <sheetName val="2004年4月份"/>
      <sheetName val="Menu"/>
      <sheetName val="表1(汇总）"/>
      <sheetName val="表1 质管部(14)"/>
      <sheetName val="表1财务部(16) "/>
      <sheetName val="表1行政部(16)"/>
      <sheetName val="表1采购部(3)"/>
      <sheetName val="表1设备部(9)"/>
      <sheetName val="表1生产部(7)"/>
      <sheetName val="总经办"/>
      <sheetName val="表2"/>
      <sheetName val="Calendar"/>
      <sheetName val="表1"/>
      <sheetName val="表4"/>
      <sheetName val="表5"/>
      <sheetName val="表6"/>
      <sheetName val="表7"/>
      <sheetName val="表8"/>
      <sheetName val="表9"/>
      <sheetName val="表10"/>
      <sheetName val="表11"/>
      <sheetName val="表12"/>
      <sheetName val="表13"/>
      <sheetName val="表14"/>
      <sheetName val="表14 -1"/>
      <sheetName val="表14 -2"/>
      <sheetName val="表15"/>
      <sheetName val="仓储"/>
      <sheetName val="维修"/>
      <sheetName val="蒸汽"/>
      <sheetName val="供电"/>
      <sheetName val="污水"/>
      <sheetName val=" 能源"/>
      <sheetName val="供水"/>
      <sheetName val="空压"/>
      <sheetName val="制泠"/>
      <sheetName val="二氧化碳"/>
      <sheetName val="酿造"/>
      <sheetName val="包一"/>
      <sheetName val="包二"/>
      <sheetName val="包三"/>
      <sheetName val="总公司"/>
      <sheetName val="绿叶24"/>
      <sheetName val="绿叶12"/>
      <sheetName val="绿叶10"/>
      <sheetName val="清爽绿叶24"/>
      <sheetName val="清爽绿叶12"/>
      <sheetName val="散扎酒"/>
      <sheetName val="单位成本"/>
      <sheetName val="⬫⬫礫剑干啤（累"/>
      <sheetName val="固定资产折旧测试"/>
      <sheetName val="__礫剑干啤（累"/>
      <sheetName val="ÏÖ½ðÁ÷Á¿±í2"/>
      <sheetName val="标底评审报告"/>
      <sheetName val="合同付款"/>
      <sheetName val="成本项目"/>
      <sheetName val="项目经营分析（投入产出）"/>
      <sheetName val="销售预测表"/>
      <sheetName val="关联交易-存款"/>
      <sheetName val="mwin"/>
      <sheetName val="福华整理6月负债表"/>
      <sheetName val="加压泵房"/>
      <sheetName val="A1-5"/>
      <sheetName val="一级科目余额"/>
      <sheetName val="14工程概况"/>
      <sheetName val="收入"/>
      <sheetName val="财政供养人员增幅"/>
      <sheetName val="基础信息"/>
      <sheetName val="List price"/>
      <sheetName val="设置"/>
      <sheetName val="成品计价测试"/>
      <sheetName val="主营业务收入成本审定明细表"/>
      <sheetName val="工程施工审定表"/>
      <sheetName val="营业收入程序表"/>
      <sheetName val="营业成本11"/>
      <sheetName val="灰铁明细账"/>
      <sheetName val="国产化斜楔明细账"/>
      <sheetName val="600104(部门）"/>
      <sheetName val="改账前余额表"/>
      <sheetName val="帐务资料"/>
      <sheetName val="长期股权投资Cx"/>
      <sheetName val="长期股权投资Dy"/>
      <sheetName val="实收资本Cx"/>
      <sheetName val="资产减值损失Cx"/>
      <sheetName val="库存商品Cx"/>
      <sheetName val="订单"/>
      <sheetName val="_04009"/>
      <sheetName val="_0401"/>
      <sheetName val="UFPrn20040930171821"/>
      <sheetName val="选项表"/>
      <sheetName val="营业成本程序表"/>
      <sheetName val="生产设备"/>
      <sheetName val="生产设备(旧）"/>
      <sheetName val="W"/>
      <sheetName val="信息技术资本性支出"/>
      <sheetName val="Chart_data"/>
      <sheetName val="水晶分录序时簿06"/>
      <sheetName val="备选项"/>
      <sheetName val="装修"/>
      <sheetName val="GRSummary"/>
      <sheetName val="집계표"/>
      <sheetName val="价格表"/>
      <sheetName val="变量单"/>
      <sheetName val="酒店土建工程综合单价表"/>
      <sheetName val="酒店土建工程综合单价组价明细表"/>
      <sheetName val="220（李辉）"/>
      <sheetName val="180曹芳"/>
      <sheetName val="e"/>
      <sheetName val="C01-1"/>
      <sheetName val="爆破-除方格网外"/>
      <sheetName val="一区公路局回填"/>
      <sheetName val="西广场除方格网其他-挖"/>
      <sheetName val="南侧展示区-填"/>
      <sheetName val="建筑边线内除方格网其他"/>
      <sheetName val="水乐园地下室土方"/>
      <sheetName val="主题乐园地下室开挖"/>
      <sheetName val="主题乐园超深独立基础"/>
      <sheetName val="メンテナンス受付台帳"/>
      <sheetName val="会计利润"/>
      <sheetName val="Mp-team 1"/>
      <sheetName val="基本设置"/>
      <sheetName val="1-6月客戶數"/>
      <sheetName val="預算目標"/>
      <sheetName val="方案1"/>
      <sheetName val="系数516"/>
      <sheetName val="99CCTV"/>
      <sheetName val="开发节凑"/>
      <sheetName val="纳税调整"/>
      <sheetName val="项目指标"/>
      <sheetName val="合同台账"/>
      <sheetName val="动态成本"/>
      <sheetName val="付款台账"/>
      <sheetName val="附表1"/>
      <sheetName val="G2TempSheet"/>
      <sheetName val="建造目标成本审批表"/>
      <sheetName val="一期住宅成本明细表"/>
      <sheetName val="一期车库成本明细表"/>
      <sheetName val="一期商业建安费 "/>
      <sheetName val="基础资料（B）"/>
      <sheetName val="总成本、总收入、租赁收入、资产估值"/>
      <sheetName val="原材料单价分析"/>
      <sheetName val="指标汇总表"/>
      <sheetName val="项目信息"/>
      <sheetName val="销售计划"/>
      <sheetName val="简表"/>
      <sheetName val="数据库目录及材料价格表"/>
      <sheetName val="1#量统计"/>
      <sheetName val="报价明细表"/>
      <sheetName val="材料调价表"/>
      <sheetName val="ANL"/>
      <sheetName val="主材价格"/>
      <sheetName val="费用表"/>
      <sheetName val="损耗"/>
      <sheetName val="材料单价表"/>
      <sheetName val="rebrand"/>
      <sheetName val="主结构量"/>
      <sheetName val="Data"/>
      <sheetName val="2_1 Termine"/>
      <sheetName val="2_2 Termine"/>
      <sheetName val="4_1 Orga_"/>
      <sheetName val="3_3 Fabrikate_Küche"/>
      <sheetName val="4_2_1 Pers"/>
      <sheetName val="4_2_2 Pers"/>
      <sheetName val="5 Subs"/>
      <sheetName val="7 BE"/>
      <sheetName val="8 Ref_"/>
      <sheetName val="8 Bietererklärung"/>
      <sheetName val="1_4 Optionen"/>
      <sheetName val="1_5 EPs"/>
      <sheetName val="3_1 Fabrikate_Bau"/>
      <sheetName val="10月发生（手工）"/>
      <sheetName val="23"/>
      <sheetName val="1.施工措施项目"/>
      <sheetName val="D0026B3"/>
      <sheetName val="Market sha_x0002_"/>
      <sheetName val="B区（地下室）"/>
      <sheetName val="PUR资料库"/>
      <sheetName val="铁塔材料明细"/>
      <sheetName val="混凝土杆材料"/>
      <sheetName val="单位工程2"/>
      <sheetName val="土石方计算(2)"/>
      <sheetName val="FitOutConfCentre"/>
      <sheetName val="下拉"/>
      <sheetName val="date"/>
      <sheetName val="敏感参数"/>
      <sheetName val="合同明细"/>
      <sheetName val="规划指标"/>
      <sheetName val="面积指标"/>
      <sheetName val="B3地面"/>
      <sheetName val="DDETABLE "/>
      <sheetName val="5.工程量计算书"/>
      <sheetName val="HKBUD"/>
      <sheetName val="2A工程量量明细"/>
      <sheetName val="分隔条工程量明细"/>
      <sheetName val="护角工程量明细"/>
      <sheetName val="3B工程量明细"/>
      <sheetName val="RGDP"/>
      <sheetName val="2A变更橱柜"/>
      <sheetName val="现场补料"/>
      <sheetName val="最初图纸"/>
      <sheetName val="板房区目标成本"/>
      <sheetName val="各截面长度"/>
      <sheetName val="天花"/>
      <sheetName val="外墙面外墙涂料"/>
      <sheetName val="卫生间和厨房墙面防水工程"/>
      <sheetName val="网络平台"/>
      <sheetName val="清单汇总"/>
      <sheetName val="材料品牌推荐表"/>
      <sheetName val="A11A12-020"/>
      <sheetName val="A11A12-021"/>
      <sheetName val="基本资料"/>
      <sheetName val="墙基反梁"/>
      <sheetName val="零星工程"/>
      <sheetName val="电梯井"/>
      <sheetName val="做法表"/>
      <sheetName val="BQ2.1围护"/>
      <sheetName val="BQ2.2土下"/>
      <sheetName val="BQ3.1土上"/>
      <sheetName val="BQ3.2安上"/>
      <sheetName val="BQ4总包配合费"/>
      <sheetName val="BQ6甲指乙供"/>
      <sheetName val="BQ7甲限材料设备清单"/>
      <sheetName val="GS1汇总表"/>
      <sheetName val="GS1.1编制说明"/>
      <sheetName val="BQ1.1"/>
      <sheetName val="BQ2.3安下"/>
      <sheetName val="安全文明施工措施项目清单"/>
      <sheetName val="BQ5其他项目"/>
      <sheetName val="BQ8主要材料表"/>
      <sheetName val="BQ1.11"/>
      <sheetName val="BQ1.2"/>
      <sheetName val="110KV"/>
      <sheetName val="JW3"/>
      <sheetName val="JW4"/>
      <sheetName val="JW5"/>
      <sheetName val="送电装材统计"/>
      <sheetName val="Sheet1 (2)"/>
      <sheetName val="配置清单"/>
      <sheetName val="工程量计算式"/>
      <sheetName val="指标分摊"/>
      <sheetName val="   合同台账  "/>
      <sheetName val="无合同工程及销费"/>
      <sheetName val="科目列表"/>
      <sheetName val="主材菜单"/>
      <sheetName val="其他货币资金.dbf"/>
      <sheetName val="银行存款.dbf"/>
      <sheetName val="表格索引"/>
      <sheetName val="应收电费情况一览表"/>
      <sheetName val="07年产量预测"/>
      <sheetName val="萧山厂"/>
      <sheetName val="余杭厂"/>
      <sheetName val="嘉兴厂"/>
      <sheetName val="台州厂"/>
      <sheetName val="宁波厂"/>
      <sheetName val="温州厂"/>
      <sheetName val="西湖厂"/>
      <sheetName val="德清厂"/>
      <sheetName val="营销中心"/>
      <sheetName val="产能分析"/>
      <sheetName val="出厂前质量反馈 "/>
      <sheetName val="ADDITION"/>
      <sheetName val="BPR"/>
      <sheetName val="Aging Datasheet"/>
      <sheetName val="ECCS_1 DataSheet"/>
      <sheetName val="KPI Datasheet"/>
      <sheetName val="Cost Plan -2"/>
      <sheetName val="公共立面"/>
      <sheetName val="MC"/>
      <sheetName val="科目表"/>
      <sheetName val="Bill-2.1（1）"/>
      <sheetName val="D01计算式"/>
      <sheetName val="anti-termite"/>
      <sheetName val="综合计算表(饰面)"/>
      <sheetName val="综合单价汇总表"/>
      <sheetName val="成本测算"/>
      <sheetName val="人工及辅材"/>
      <sheetName val="表2.3A3户型（共48套）"/>
      <sheetName val="表2.6B2户型（共36套）"/>
      <sheetName val="表2.16C4户型（共6套）"/>
      <sheetName val="ÏÖ½ðÁ÷Á¿±í3"/>
      <sheetName val="2002Äê3ÔÂ·Ý"/>
      <sheetName val="2004Äê4ÔÂ·Ý"/>
      <sheetName val="±í1(»ã×Ü£©"/>
      <sheetName val="±í1 ÖÊ¹Ü²¿(14)"/>
      <sheetName val="±í1²ÆÎñ²¿(16) "/>
      <sheetName val="±í1ÐÐÕþ²¿(16)"/>
      <sheetName val="±í1²É¹º²¿(3)"/>
      <sheetName val="±í1Éè±¸²¿(9)"/>
      <sheetName val="±í1Éú²ú²¿(7)"/>
      <sheetName val="×Ü¾­°ì"/>
      <sheetName val="±í2"/>
      <sheetName val="±í1"/>
      <sheetName val="±í3"/>
      <sheetName val="±í4"/>
      <sheetName val="±í5"/>
      <sheetName val="±í6"/>
      <sheetName val="±í7"/>
      <sheetName val="±í8"/>
      <sheetName val="±í9"/>
      <sheetName val="±í10"/>
      <sheetName val="±í11"/>
      <sheetName val="±í12"/>
      <sheetName val="±í13"/>
      <sheetName val="±í14"/>
      <sheetName val="±í14 -1"/>
      <sheetName val="±í14 -2"/>
      <sheetName val="±í15"/>
      <sheetName val="²Ö´¢"/>
      <sheetName val="Î¬ÐÞ"/>
      <sheetName val="ÕôÆû"/>
      <sheetName val="¹©µç"/>
      <sheetName val="ÎÛË®"/>
      <sheetName val=" ÄÜÔ´"/>
      <sheetName val="¹©Ë®"/>
      <sheetName val="¿ÕÑ¹"/>
      <sheetName val="ÖÆãö"/>
      <sheetName val="¶þÑõ»¯Ì¼"/>
      <sheetName val="ÄðÔì"/>
      <sheetName val="°üÒ»"/>
      <sheetName val="°ü¶þ"/>
      <sheetName val="°üÈý"/>
      <sheetName val="×Ü¹«Ë¾"/>
      <sheetName val="ÂÌÒ¶24"/>
      <sheetName val="ÂÌÒ¶12"/>
      <sheetName val="ÂÌÒ¶10"/>
      <sheetName val="ÇåË¬ÂÌÒ¶24"/>
      <sheetName val="ÇåË¬ÂÌÒ¶12"/>
      <sheetName val="É¢Ôú¾Æ"/>
      <sheetName val="µ¥Î»³É±¾"/>
      <sheetName val="__µ_½£¸ÉÆ¡£¨ÀÛ"/>
      <sheetName val="¹Ì¶¨×Ê²úÕÛ¾É²âÊÔ"/>
      <sheetName val="Links"/>
      <sheetName val="___e¨¢¡Â¨¢_¡À¨ª2"/>
      <sheetName val="___e¨¢¡Â¨¢_¡À¨ª3"/>
      <sheetName val="2002_¨º3__¡¤Y"/>
      <sheetName val="2004_¨º4__¡¤Y"/>
      <sheetName val="¡À¨ª1(__¡Á¨¹¡ê_"/>
      <sheetName val="¡À¨ª1 _¨º1¨¹2_(14)"/>
      <sheetName val="¡À¨ª12___2_(16) "/>
      <sheetName val="¡À¨ª1DD_t2_(16)"/>
      <sheetName val="¡À¨ª12¨¦1o2_(3)"/>
      <sheetName val="¡À¨ª1¨¦¨¨¡À_2_(9)"/>
      <sheetName val="¡À¨ª1¨¦¨²2¨²2_(7)"/>
      <sheetName val="¡Á¨¹_-¡ã¨¬"/>
      <sheetName val="¡À¨ª2"/>
      <sheetName val="¡À¨ª1"/>
      <sheetName val="¡À¨ª3"/>
      <sheetName val="¡À¨ª4"/>
      <sheetName val="¡À¨ª5"/>
      <sheetName val="¡À¨ª6"/>
      <sheetName val="¡À¨ª7"/>
      <sheetName val="¡À¨ª8"/>
      <sheetName val="¡À¨ª9"/>
      <sheetName val="¡À¨ª10"/>
      <sheetName val="¡À¨ª11"/>
      <sheetName val="¡À¨ª12"/>
      <sheetName val="¡À¨ª13"/>
      <sheetName val="¡À¨ª14"/>
      <sheetName val="¡À¨ª14 -1"/>
      <sheetName val="¡À¨ª14 -2"/>
      <sheetName val="¡À¨ª15"/>
      <sheetName val="2_¡ä¡é"/>
      <sheetName val="__DT"/>
      <sheetName val="____"/>
      <sheetName val="1_¦Ì_"/>
      <sheetName val=" _¨¹_¡ä"/>
      <sheetName val="1___"/>
      <sheetName val="___1"/>
      <sheetName val="_t___¡¥¨¬_"/>
      <sheetName val="_e_¨¬"/>
      <sheetName val="¡ã¨¹¨°_"/>
      <sheetName val="¡ã¨¹_t"/>
      <sheetName val="¡ã¨¹¨¨y"/>
      <sheetName val="¡Á¨¹1___"/>
      <sheetName val="_¨¬¨°_24"/>
      <sheetName val="_¨¬¨°_12"/>
      <sheetName val="_¨¬¨°_10"/>
      <sheetName val="_____¨¬¨°_24"/>
      <sheetName val="_____¨¬¨°_12"/>
      <sheetName val="¨¦¡é_¨²__"/>
      <sheetName val="¦Ì£¤__3¨¦¡À_"/>
      <sheetName val="__¦Ì__¡ê_¨¦__¡ê¡§¨¤_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___¡§_¨¦3¨¦¡À_¡À¨ª"/>
      <sheetName val="_a¦Ì¡è3¨¦¡À_¡À¨ª"/>
      <sheetName val="11_¨¨¨¦¨°___¨º3¨¦¡À_¡À¨ª"/>
      <sheetName val="___¡¤_¡§¨¢_"/>
      <sheetName val="___¡¤_o__¦Ì_"/>
      <sheetName val="___¡¤____¨¦¨¬¡À¨º"/>
      <sheetName val="___¡§¡¤___¡À¨ª"/>
      <sheetName val="___¡§_¨¦¡¤___¡À¨ª"/>
      <sheetName val="¨¦¨°___¨º¡¤___¡À¨ª"/>
      <sheetName val="_a¦Ì¡è¡¤___"/>
      <sheetName val="¨ª¡ã__15L"/>
      <sheetName val="¨ª¡ã__20L"/>
      <sheetName val="¨ª¡ã__30L"/>
      <sheetName val="¨ª¡ã__10L"/>
      <sheetName val="¨ª¡ã__5L"/>
      <sheetName val="¨ª¡ã__20L (__) "/>
      <sheetName val="¨ª¡ã__30L (__)  "/>
      <sheetName val="¨ª¡ã__15L(_a¡ê_"/>
      <sheetName val="¨ª¡ã__20L¡ê¡§_a¡ê_"/>
      <sheetName val="¨ª¡ã__30L¡ê¡§_a¡ê_"/>
      <sheetName val="¨ª¡ã__20L(___¡§_¨¦¡ê_"/>
      <sheetName val="_¦Ì_¡Â"/>
      <sheetName val="_¨²¨¢_"/>
      <sheetName val="12_¨ª"/>
      <sheetName val="¡ä¨´_¨²___¡¥"/>
      <sheetName val="___¡¥"/>
      <sheetName val="¡Á¨¹¡À¨ª"/>
      <sheetName val="1¨¬_¡§¡Á¨º2¨²___¨¦2a¨º_"/>
      <sheetName val="SW_TEO"/>
      <sheetName val="K2单人房"/>
      <sheetName val="??礫剑干啤（累"/>
      <sheetName val="??µ[½£¸ÉÆ¡£¨ÀÛ"/>
      <sheetName val="???e¨¢¡Â¨¢?¡À¨ª2"/>
      <sheetName val="???e¨¢¡Â¨¢?¡À¨ª3"/>
      <sheetName val="2002?¨º3??¡¤Y"/>
      <sheetName val="2004?¨º4??¡¤Y"/>
      <sheetName val="¡À¨ª1(??¡Á¨¹¡ê?"/>
      <sheetName val="¡À¨ª1 ?¨º1¨¹2?(14)"/>
      <sheetName val="¡À¨ª12???2?(16) "/>
      <sheetName val="¡À¨ª1DD?t2?(16)"/>
      <sheetName val="¡À¨ª12¨¦1o2?(3)"/>
      <sheetName val="¡À¨ª1¨¦¨¨¡À?2?(9)"/>
      <sheetName val="¡À¨ª1¨¦¨²2¨²2?(7)"/>
      <sheetName val="¡Á¨¹?-¡ã¨¬"/>
      <sheetName val="2?¡ä¡é"/>
      <sheetName val="??DT"/>
      <sheetName val="????"/>
      <sheetName val="1?¦Ì?"/>
      <sheetName val=" ?¨¹?¡ä"/>
      <sheetName val="1???"/>
      <sheetName val="???1"/>
      <sheetName val="?t???¡¥¨¬?"/>
      <sheetName val="?e?¨¬"/>
      <sheetName val="¡ã¨¹¨°?"/>
      <sheetName val="¡ã¨¹?t"/>
      <sheetName val="¡Á¨¹1???"/>
      <sheetName val="?¨¬¨°?24"/>
      <sheetName val="?¨¬¨°?12"/>
      <sheetName val="?¨¬¨°?10"/>
      <sheetName val="?????¨¬¨°?24"/>
      <sheetName val="?????¨¬¨°?12"/>
      <sheetName val="¨¦¡é?¨²??"/>
      <sheetName val="¦Ì£¤??3¨¦¡À?"/>
      <sheetName val="??¦Ì[?¡ê?¨¦??¡ê¡§¨¤?"/>
      <sheetName val="¡À??¨²¡¤¡é¨¦¨²"/>
      <sheetName val="11?¨¨?a¦Ì¡è"/>
      <sheetName val="13?¨¨???¡§"/>
      <sheetName val="13?¨¨¡¤???¡À¨ª"/>
      <sheetName val="13.65?¨¨???¡§"/>
      <sheetName val="13.6???¡§¡¤???¡À¨ª"/>
      <sheetName val="13.65?¨¨¨¦¨°??"/>
      <sheetName val="13.65¨¦¨°??¡¤???¡À¨ª"/>
      <sheetName val="11?¨¨?¨¦??"/>
      <sheetName val="?¨ª?¨¬1y??¡¤???"/>
      <sheetName val="D???¡¤???¡À¨ª"/>
      <sheetName val="?e?¨¬?o??¦Ì?"/>
      <sheetName val="?e?¨¬?¨®??"/>
      <sheetName val="??¡Á¨¹¡À¨ª"/>
      <sheetName val="?o??¦Ì?¡À?¡¤Y "/>
      <sheetName val="10.5?¨¨3¨¦¡À?¡À¨ª"/>
      <sheetName val="11?¨¨??3¨¦¡À?¡À¨ª"/>
      <sheetName val="11?¨¨??¨¬?3¨¦¡À?¡À¨ª"/>
      <sheetName val="???¡§?¨¦3¨¦¡À?¡À¨ª"/>
      <sheetName val="?a¦Ì¡è3¨¦¡À?¡À¨ª"/>
      <sheetName val="11?¨¨¨¦¨°???¨º3¨¦¡À?¡À¨ª"/>
      <sheetName val="???¡¤?¡§¨¢?"/>
      <sheetName val="???¡¤?o??¦Ì?"/>
      <sheetName val="???¡¤????¨¦¨¬¡À¨º"/>
      <sheetName val="???¡§¡¤???¡À¨ª"/>
      <sheetName val="???¡§?¨¦¡¤???¡À¨ª"/>
      <sheetName val="MOHKG"/>
      <sheetName val="Rental"/>
      <sheetName val="表3-1园建工程清单"/>
      <sheetName val="钢材单重"/>
      <sheetName val="防水指标"/>
      <sheetName val="总措施项目"/>
      <sheetName val="禁删"/>
      <sheetName val="工程量计算表"/>
      <sheetName val="电气设置"/>
      <sheetName val="总价"/>
      <sheetName val="楼梯"/>
      <sheetName val="INPUT"/>
      <sheetName val="表紙"/>
      <sheetName val="Sheet4"/>
      <sheetName val="嘉里塔楼工程量"/>
      <sheetName val="综合单价"/>
      <sheetName val="合同修订台帐"/>
      <sheetName val="5.基础档案"/>
      <sheetName val="付款进度表"/>
      <sheetName val="表0参数配置表"/>
      <sheetName val="配置表"/>
      <sheetName val="表7-盈利预测表（当期）"/>
      <sheetName val="模板配置"/>
      <sheetName val="表6-项目总投资"/>
      <sheetName val="表6.1-项目总投资明细表"/>
      <sheetName val="交付标准"/>
      <sheetName val="业态"/>
      <sheetName val="表1-项目基础数据表"/>
      <sheetName val="成本分析"/>
      <sheetName val="总表（不打印）"/>
      <sheetName val="变量指标"/>
      <sheetName val="电房"/>
      <sheetName val="A3"/>
      <sheetName val="总说明"/>
      <sheetName val="220m2"/>
      <sheetName val="10甲供材料设备清单"/>
      <sheetName val="3.基础梁"/>
      <sheetName val="基础数据"/>
      <sheetName val="E100"/>
      <sheetName val="N100"/>
      <sheetName val="ls"/>
      <sheetName val="b2"/>
      <sheetName val="至10月末全成本汇总表（动态）"/>
      <sheetName val="lookup"/>
      <sheetName val="Factors"/>
      <sheetName val="Company Profile"/>
      <sheetName val="一.2(人工挖基坑 )"/>
      <sheetName val="CCTL"/>
      <sheetName val="WIP"/>
      <sheetName val="月度毛利率分析表"/>
      <sheetName val="其他应付单位"/>
      <sheetName val="营业成本审定表"/>
      <sheetName val="资产负债表(本部原报)"/>
      <sheetName val="XREF"/>
      <sheetName val="费用分析"/>
      <sheetName val="利润调整过程表"/>
      <sheetName val="基本调整分录"/>
      <sheetName val="新建工作表 "/>
      <sheetName val="明细分类账"/>
      <sheetName val="余良卿9月"/>
      <sheetName val="应付款项、应交税金申报表"/>
      <sheetName val="应收账款程序表"/>
      <sheetName val="应收账款明细表(2011)"/>
      <sheetName val="其他应付款程序表"/>
      <sheetName val="PER SALES ORG"/>
      <sheetName val="索引"/>
      <sheetName val="FA Breakdown"/>
      <sheetName val="提足折旧"/>
      <sheetName val="利过表"/>
      <sheetName val="替代测试表"/>
      <sheetName val="费用程序表"/>
      <sheetName val="财费用程序表"/>
      <sheetName val="财务费用程序表"/>
      <sheetName val="_x005f_x0000_"/>
      <sheetName val="_x005f_x005f_x005f_x0000_"/>
      <sheetName val="无形资产明细表"/>
      <sheetName val="程序表"/>
      <sheetName val="完"/>
      <sheetName val="现金"/>
      <sheetName val="银行存款"/>
      <sheetName val="应收账款"/>
      <sheetName val="固定资产—房屋建筑物"/>
      <sheetName val="固定资产—机器设备"/>
      <sheetName val="固定资产—车辆"/>
      <sheetName val="应交增值税明细表"/>
      <sheetName val="2006内陆运输"/>
      <sheetName val="其他液氨采购"/>
      <sheetName val="审前利润表趋势及结构分析表"/>
      <sheetName val="审定利润表"/>
      <sheetName val="TB IN&amp;CF&amp;SE"/>
      <sheetName val="审定BS"/>
      <sheetName val="_x005f_x005f_x005f_x005f_x005f_x005f_x005f_x0000_"/>
      <sheetName val="客户编码"/>
      <sheetName val="物料编码"/>
      <sheetName val="固定资产"/>
      <sheetName val="无形资产2012.3.31"/>
      <sheetName val="_x0002__x0008__x0005_풀ֆ"/>
      <sheetName val="财务指标"/>
      <sheetName val="销项税金测算表"/>
      <sheetName val="合并资产表"/>
      <sheetName val="资过程-侨社运输"/>
      <sheetName val="预付账款明细表"/>
      <sheetName val="Contacts"/>
      <sheetName val="账项明细表"/>
      <sheetName val="dm"/>
      <sheetName val="_x005f_x0002__x005f_x0008__x005f_x0005_풀ֆ"/>
      <sheetName val="_x005f_x005f_x005f_x0002__x005f_x005f_x005f_x0008__x005"/>
      <sheetName val="_x005f_x005f_x005f_x005f_x005f_x005f_x005f_x0002__x005f"/>
      <sheetName val="eqpmad2_x005f_x0000_䅡턐ぶ_x005f_x0011__x005f_x0000_"/>
      <sheetName val="124301_查询"/>
      <sheetName val="短期投资股票投资_dbf"/>
      <sheetName val="短期投资国债投资_dbf"/>
      <sheetName val="股票投资收益_dbf"/>
      <sheetName val="其他货币海通_dbf"/>
      <sheetName val="其他货币零领路_dbf"/>
      <sheetName val="投资收益债券_dbf"/>
      <sheetName val="清单12_31"/>
      <sheetName val="summary_"/>
      <sheetName val="盈余公积_（合并)"/>
      <sheetName val="OR_Breakdown"/>
      <sheetName val="for_disclosure"/>
      <sheetName val="Sheet1_(11)"/>
      <sheetName val="利过表2010_10"/>
      <sheetName val="新建工作表_"/>
      <sheetName val="PER_SALES_ORG"/>
      <sheetName val="Third_party"/>
      <sheetName val="Market_share"/>
      <sheetName val="fs(for_Consol)"/>
      <sheetName val="10-2_固定资产处置表"/>
      <sheetName val="FA_Breakdown"/>
      <sheetName val="TB_IN&amp;CF&amp;SE"/>
      <sheetName val="无形资产2012_3_31"/>
      <sheetName val="Mp-team_1"/>
      <sheetName val="풀ֆ"/>
      <sheetName val="_x005f_x0002__x005f_x0008__x005"/>
      <sheetName val="_x005f_x005f_x005f_x0002__x005f"/>
      <sheetName val="eqpmad2_x005f_x005f_x005f_x0000_䅡턐ぶ_x005f_x005f_x"/>
      <sheetName val="_x0002__x0008__x005"/>
      <sheetName val="_x005f_x0002__x005f"/>
      <sheetName val="eqpmad2_x005f_x005f_x005f_x005f_x005f_x005f_x0000"/>
      <sheetName val="eqpmad2_x005f_x0000_䅡턐ぶ_x"/>
      <sheetName val="_x0002__x005f"/>
      <sheetName val="eqpmad2_x005f_x005f_x0000"/>
      <sheetName val="eqpmad2_x0000"/>
      <sheetName val="大连"/>
      <sheetName val="（S1）线条"/>
      <sheetName val="（S5）线条"/>
      <sheetName val="磨具余料庫"/>
      <sheetName val="材料表"/>
      <sheetName val="工程量计算书"/>
      <sheetName val="平开窗0515"/>
      <sheetName val="hiddenSheet"/>
      <sheetName val="2.规划面积（定稿）"/>
      <sheetName val="6.成本分配"/>
      <sheetName val="2-利率表"/>
      <sheetName val="酒店盈利测算"/>
      <sheetName val="汇总(分项)"/>
      <sheetName val="平开窗（单价）"/>
      <sheetName val="广电外墙"/>
      <sheetName val="混凝土"/>
      <sheetName val="Market sha_x005f_x0002_"/>
      <sheetName val="MASTER_RATE ANALYSIS"/>
      <sheetName val="电梯厅主材表"/>
      <sheetName val="轿厢主材表"/>
      <sheetName val="户型主材表"/>
      <sheetName val="HVAC BoQ"/>
      <sheetName val="四季花城城南地块户型面积"/>
      <sheetName val="1#01、05户型，02、06户型"/>
      <sheetName val="PriceSummary"/>
      <sheetName val="盘存还原"/>
      <sheetName val="发出商品"/>
      <sheetName val="预收账款明细表"/>
      <sheetName val="风险评价表"/>
      <sheetName val="param"/>
      <sheetName val="KDB"/>
      <sheetName val="商业部分S1-1轴~S1-21轴"/>
      <sheetName val="3-B、3A座商业"/>
      <sheetName val="计算明细 "/>
      <sheetName val="户型"/>
      <sheetName val="料单输入"/>
      <sheetName val="C30核心筒后浇剪力墙"/>
      <sheetName val="墙体砌筑(加气砼砌块)地下二层"/>
      <sheetName val="屋面风井"/>
      <sheetName val="4-商场地上消防水"/>
      <sheetName val="楼梯钢筋"/>
      <sheetName val="3.承台"/>
      <sheetName val="6.楼板"/>
      <sheetName val="4.基础梁"/>
      <sheetName val="Final"/>
      <sheetName val="（10-11座）商铺门窗明细表 "/>
      <sheetName val="（12-13座）门窗明细表"/>
      <sheetName val="（12-13座）商铺门窗明细表 "/>
      <sheetName val="（14-15座）商铺门窗明细表  "/>
      <sheetName val="（15座）门窗明细表 "/>
      <sheetName val="（幼儿园）门窗明细表"/>
      <sheetName val="4#看楼通道"/>
      <sheetName val="T1T2T3T4门窗表"/>
      <sheetName val="加工砖价格"/>
      <sheetName val="标准层电梯厅清单"/>
      <sheetName val="职工花名册"/>
      <sheetName val="数据源"/>
      <sheetName val="基 础"/>
      <sheetName val="飘窗室内装饰"/>
      <sheetName val="结算"/>
      <sheetName val="주식"/>
      <sheetName val="建筑节点"/>
      <sheetName val="301-6"/>
      <sheetName val="材料价格"/>
      <sheetName val="骨浆计算式(备)"/>
      <sheetName val="写字楼B"/>
      <sheetName val="明细1"/>
      <sheetName val="明细2"/>
      <sheetName val="9.土建(别墅)"/>
      <sheetName val="墙类型"/>
      <sheetName val="北区裙楼工程量"/>
      <sheetName val="凤凰城H区签证-徐静"/>
      <sheetName val="05年预售率"/>
      <sheetName val="average price"/>
      <sheetName val="2006年宏观调控对绿城的影响"/>
      <sheetName val="入户大堂及标准层装饰清单"/>
      <sheetName val="中区地下室"/>
      <sheetName val="北区上盖"/>
      <sheetName val="1栋01户型"/>
      <sheetName val="安装技术指标"/>
      <sheetName val="B1之高层地下室土建"/>
      <sheetName val="B2之车库土建"/>
      <sheetName val="C1之高层土建"/>
      <sheetName val="C2之集中商业土建"/>
      <sheetName val="C3之洋房土建"/>
      <sheetName val="C4之洋房地下土建"/>
      <sheetName val="C5之商业车库土建"/>
      <sheetName val="D1之高层安装"/>
      <sheetName val="D4之住宅车库安装"/>
      <sheetName val="土建技术指标"/>
      <sheetName val="报价汇总"/>
      <sheetName val="EVALUAT"/>
      <sheetName val="全周期汇总表"/>
      <sheetName val="营销归口费用"/>
      <sheetName val="与报建方案版本对比"/>
      <sheetName val="编制说明"/>
      <sheetName val="营销设施费拆分明细表"/>
      <sheetName val="测算明细表"/>
      <sheetName val="资源指标"/>
      <sheetName val="营销建造费-新"/>
      <sheetName val="关键指标"/>
      <sheetName val="测配指标"/>
      <sheetName val="经济技术指标"/>
      <sheetName val="悦府块配置"/>
      <sheetName val="2#地配置标准"/>
      <sheetName val="配置标准"/>
      <sheetName val="与拿地版对比"/>
      <sheetName val="目标成本合理性分析表"/>
      <sheetName val="现金流量预算表"/>
      <sheetName val="公园悦府配置标准"/>
      <sheetName val="与控制清单对比"/>
      <sheetName val="合同清单"/>
      <sheetName val="非合同清单"/>
      <sheetName val="给排水工程量计算书"/>
      <sheetName val="下拉框值"/>
      <sheetName val="Market sha_x005f_x005f_x005f_x0002_"/>
      <sheetName val="工程量清单"/>
      <sheetName val="收益测算表 "/>
      <sheetName val="分录表"/>
      <sheetName val="费率"/>
      <sheetName val="人"/>
      <sheetName val="index"/>
      <sheetName val="1#梁侧面积"/>
      <sheetName val="计算表达式"/>
      <sheetName val="092~094 园区道路"/>
      <sheetName val="标准表格"/>
      <sheetName val="ID"/>
      <sheetName val="经济指标表"/>
      <sheetName val="雨水管网"/>
      <sheetName val="污水管网 "/>
      <sheetName val="83座高层明细表"/>
      <sheetName val="地下室电梯厅前室"/>
      <sheetName val="电梯轿厢"/>
      <sheetName val="标准层电梯厅"/>
      <sheetName val="地下室电梯厅"/>
      <sheetName val="首层入户大堂"/>
      <sheetName val="單價表STD"/>
      <sheetName val="基础"/>
      <sheetName val="其他支护计算"/>
      <sheetName val="Consolidated 03"/>
      <sheetName val="怡心湖93亩-基准版1"/>
      <sheetName val="dSheet"/>
      <sheetName val="C4_"/>
      <sheetName val="材料采购－原材料（购价）"/>
      <sheetName val="收入明细－按客户"/>
      <sheetName val="基础值集"/>
      <sheetName val="�ܱȱ�2��"/>
      <sheetName val="�Ʊȱ�2��"/>
      <sheetName val="���ۣ�2��"/>
      <sheetName val="�ʸ���"/>
      <sheetName val="ë��"/>
      <sheetName val="�ܱȱ�"/>
      <sheetName val="�̶����ɱ�Ԥ��"/>
      <sheetName val="���ڷ���"/>
      <sheetName val="11�Ȼ���"/>
      <sheetName val="13�ȸ�Ũ"/>
      <sheetName val="13�ȷ����"/>
      <sheetName val="13.65��ѩ��"/>
      <sheetName val="13.6ѩ�������"/>
      <sheetName val="13.65����"/>
      <sheetName val="11�ȸ�ơ"/>
      <sheetName val="����úˮ��"/>
      <sheetName val="úˮ�籸�� "/>
      <sheetName val="10.5�ȳɱ���"/>
      <sheetName val="11��ѩ�ɱ���"/>
      <sheetName val="11�����سɱ���"/>
      <sheetName val="ѩ���ɳɱ���"/>
      <sheetName val="�����ɱ���"/>
      <sheetName val="11�������ʳɱ���"/>
      <sheetName val="��Ʒ����"/>
      <sheetName val="��Ʒúˮ��"/>
      <sheetName val="��Ʒƿ���̱�"/>
      <sheetName val="ѩ�������"/>
      <sheetName val="ѩ���ɷ����"/>
      <sheetName val="Ͱ��15L"/>
      <sheetName val="Ͱ��20L"/>
      <sheetName val="Ͱ��30L"/>
      <sheetName val="Ͱ��10L"/>
      <sheetName val="Ͱ��5L"/>
      <sheetName val="Ͱ��20L (ѩ) "/>
      <sheetName val="Ͱ��30L (ѩ)  "/>
      <sheetName val="Ͱ��15L(����"/>
      <sheetName val="Ͱ��20L(ѩ���ɣ�"/>
      <sheetName val="����"/>
      <sheetName val="13_65��ѩ��"/>
      <sheetName val="13_6ѩ�������"/>
      <sheetName val="13_65����"/>
      <sheetName val="úˮ�籸��_"/>
      <sheetName val="10_5�ȳɱ���"/>
      <sheetName val="Ͱ��20L_(ѩ)_"/>
      <sheetName val="Ͱ��30L_(ѩ)__"/>
      <sheetName val="�ܱ@��2��"/>
      <sheetName val="�Ʊȱ�2�)"/>
      <sheetName val="K�"/>
      <sheetName val="���_��2��"/>
      <sheetName val="�$��m"/>
      <sheetName val="Wʸ�1m"/>
      <sheetName val="ë�{��"/>
      <sheetName val="ӦK�1�"/>
      <sheetName val="Ӧ˰��"/>
      <sheetName val="������˷���"/>
      <sheetName val="��ˮ�����"/>
      <sheetName val="���ܱ�"/>
      <sheetName val="˵��"/>
      <sheetName val="삅ོ䚋栠Ѫ"/>
      <sheetName val="삅ོ"/>
      <sheetName val="삅ོ䚋"/>
      <sheetName val="삅ོ䚋栠"/>
      <sheetName val="삅"/>
      <sheetName val="非流动资产汇总"/>
      <sheetName val="基础数据配置"/>
      <sheetName val="雪花干成本詨"/>
      <sheetName val="存货差异分析表"/>
      <sheetName val="行政区划"/>
      <sheetName val="尬尀一吀"/>
      <sheetName val="þ"/>
      <sheetName val="_x0010_"/>
      <sheetName val="_200209"/>
      <sheetName val="合并利"/>
      <sheetName val="E1020"/>
      <sheetName val="Register"/>
      <sheetName val="工程信息栏"/>
      <sheetName val="明细数据表"/>
      <sheetName val="44资本公积"/>
      <sheetName val="评估结论"/>
      <sheetName val="现金流量"/>
      <sheetName val="收入预测"/>
      <sheetName val="5-1-3管沟"/>
      <sheetName val="单栋面积信息表"/>
      <sheetName val="表1-证照台账"/>
      <sheetName val="工程成本科目1"/>
      <sheetName val="MACRO1.XLM"/>
      <sheetName val="分期有效性"/>
      <sheetName val="物业名称有效性"/>
      <sheetName val="分期"/>
      <sheetName val="Validation source"/>
      <sheetName val="填报说明"/>
      <sheetName val="定义"/>
      <sheetName val="明细"/>
      <sheetName val="原稿"/>
      <sheetName val="库存商品审定表"/>
      <sheetName val="原材料明细表"/>
      <sheetName val="库存商品跌价"/>
      <sheetName val="库存商品明细表"/>
      <sheetName val="原料核对表"/>
      <sheetName val="54180生产成本明细"/>
      <sheetName val="库存商品核对-2"/>
      <sheetName val="库存商品核对-1"/>
      <sheetName val="生产成本-双氧水测试"/>
      <sheetName val="固及累及减值审定表"/>
      <sheetName val="12月-调整"/>
      <sheetName val="科目余额表1"/>
      <sheetName val="基础资料"/>
      <sheetName val="2011预算"/>
      <sheetName val="数据"/>
      <sheetName val="岗位工资"/>
      <sheetName val="Palist"/>
      <sheetName val="销售部"/>
      <sheetName val="行政部"/>
      <sheetName val="附件2工程量计算"/>
      <sheetName val="電気設備表"/>
      <sheetName val="零星工程量"/>
      <sheetName val="计算式"/>
      <sheetName val="Scenarios"/>
      <sheetName val="1-4座工程量明细表"/>
      <sheetName val="Ã«ÀûÂÊ·ÖÎö±í"/>
      <sheetName val="表三"/>
      <sheetName val="商业部分"/>
      <sheetName val="措施包干计价表 "/>
      <sheetName val="盈余公积-评㒤廦"/>
      <sheetName val="蠶芯蕫﫽˫睘뉿輛ᛱ๵勴쇨ӡ蠾ꊀ匮埵〺㌀䐀ⲍ汧ݹĀ管理费用"/>
      <sheetName val="_Recovered_SheetName_342_"/>
      <sheetName val="_Recovered_SheetName_343_"/>
      <sheetName val="_Recovered_SheetName_344_"/>
      <sheetName val="_Recovered_SheetName_345_"/>
      <sheetName val="_Recovered_SheetName_346_"/>
      <sheetName val="_Recovered_SheetName_347_"/>
      <sheetName val="_Recovered_SheetName_348_"/>
      <sheetName val="_Recovered_SheetName_349_"/>
      <sheetName val="_Recovered_SheetName_350_"/>
      <sheetName val="_Recovered_SheetName_351_"/>
      <sheetName val="_Recovered_SheetName_352_"/>
      <sheetName val="_Recovered_SheetName_353_"/>
      <sheetName val="_Recovered_SheetName_354_"/>
      <sheetName val="_Recovered_SheetName_355_"/>
      <sheetName val="_Recovered_SheetName_356_"/>
      <sheetName val="_Recovered_SheetName_357_"/>
      <sheetName val="_Recovered_SheetName_358_"/>
      <sheetName val="_Recovered_SheetName_359_"/>
      <sheetName val="_Recovered_SheetName_360_"/>
      <sheetName val="_Recovered_SheetName_361_"/>
      <sheetName val="_Recovered_SheetName_362_"/>
      <sheetName val="_Recovered_SheetName_363_"/>
      <sheetName val="_Recovered_SheetName_364_"/>
      <sheetName val="_Recovered_SheetName_365_"/>
      <sheetName val="_Recovered_SheetName_366_"/>
      <sheetName val="_Recovered_SheetName_367_"/>
      <sheetName val="_Recovered_SheetName_368_"/>
      <sheetName val="_Recovered_SheetName_369_"/>
      <sheetName val="_Recovered_SheetName_370_"/>
      <sheetName val="_Recovered_SheetName_371_"/>
      <sheetName val="_Recovered_SheetName_372_"/>
      <sheetName val="_Recovered_SheetName_373_"/>
      <sheetName val="_Recovered_SheetName_374_"/>
      <sheetName val="_Recovered_SheetName_375_"/>
      <sheetName val="_Recovered_SheetName_376_"/>
      <sheetName val="_Recovered_SheetName_377_"/>
      <sheetName val="_Recovered_SheetName_378_"/>
      <sheetName val="_Recovered_SheetName_379_"/>
      <sheetName val="_Recovered_SheetName_380_"/>
      <sheetName val="_Recovered_SheetName_381_"/>
      <sheetName val="_Recovered_SheetName_382_"/>
      <sheetName val="_Recovered_SheetName_383_"/>
      <sheetName val="_Recovered_SheetName_384_"/>
      <sheetName val="_Recovered_SheetName_385_"/>
      <sheetName val="_Recovered_SheetName_386_"/>
      <sheetName val="_Recovered_SheetName_387_"/>
      <sheetName val="_Recovered_SheetName_388_"/>
      <sheetName val="_Recovered_SheetName_389_"/>
      <sheetName val="_Recovered_SheetName_390_"/>
      <sheetName val="_Recovered_SheetName_391_"/>
      <sheetName val="_Recovered_SheetName_392_"/>
      <sheetName val="_Recovered_SheetName_393_"/>
      <sheetName val="_Recovered_SheetName_394_"/>
      <sheetName val="_Recovered_SheetName_395_"/>
      <sheetName val="_Recovered_SheetName_396_"/>
      <sheetName val="_Recovered_SheetName_397_"/>
      <sheetName val="_Recovered_SheetName_398_"/>
      <sheetName val="_Recovered_SheetName_399_"/>
      <sheetName val="_Recovered_SheetName_400_"/>
      <sheetName val="_Recovered_SheetName_401_"/>
      <sheetName val="_Recovered_SheetName_402_"/>
      <sheetName val="_Recovered_SheetName_403_"/>
      <sheetName val="_Recovered_SheetName_404_"/>
      <sheetName val="_Recovered_SheetName_405_"/>
      <sheetName val="_Recovered_SheetName_406_"/>
      <sheetName val="_Recovered_SheetName_407_"/>
      <sheetName val="_Recovered_SheetName_408_"/>
      <sheetName val="_Recovered_SheetName_409_"/>
      <sheetName val="_Recovered_SheetName_410_"/>
      <sheetName val="_Recovered_SheetName_411_"/>
      <sheetName val="_Recovered_SheetName_412_"/>
      <sheetName val="_Recovered_SheetName_413_"/>
      <sheetName val="_Recovered_SheetName_414_"/>
      <sheetName val="_Recovered_SheetName_415_"/>
      <sheetName val="_Recovered_SheetName_416_"/>
      <sheetName val="_Recovered_SheetName_417_"/>
      <sheetName val="_Recovered_SheetName_418_"/>
      <sheetName val="_Recovered_SheetName_419_"/>
      <sheetName val="_Recovered_SheetName_420_"/>
      <sheetName val="_Recovered_SheetName_421_"/>
      <sheetName val="_Recovered_SheetName_422_"/>
      <sheetName val="_Recovered_SheetName_423_"/>
      <sheetName val="_Recovered_SheetName_424_"/>
      <sheetName val="_Recovered_SheetName_425_"/>
      <sheetName val="_Recovered_SheetName_426_"/>
      <sheetName val="_Recovered_SheetName_427_"/>
      <sheetName val="_Recovered_SheetName_428_"/>
      <sheetName val="_Recovered_SheetName_429_"/>
      <sheetName val="_Recovered_SheetName_430_"/>
      <sheetName val="_Recovered_SheetName_431_"/>
      <sheetName val="_Recovered_SheetName_432_"/>
      <sheetName val="_Recovered_SheetName_433_"/>
      <sheetName val="_Recovered_SheetName_434_"/>
      <sheetName val="_Recovered_SheetName_435_"/>
      <sheetName val="_Recovered_SheetName_436_"/>
      <sheetName val="_Recovered_SheetName_437_"/>
      <sheetName val="_Recovered_SheetName_438_"/>
      <sheetName val="_Recovered_SheetName_439_"/>
      <sheetName val="_Recovered_SheetName_440_"/>
      <sheetName val="_Recovered_SheetName_441_"/>
      <sheetName val="_Recovered_SheetName_442_"/>
      <sheetName val="_Recovered_SheetName_443_"/>
      <sheetName val="_Recovered_SheetName_444_"/>
      <sheetName val="_Recovered_SheetName_445_"/>
      <sheetName val="_Recovered_SheetName_446_"/>
      <sheetName val="_Recovered_SheetName_447_"/>
      <sheetName val="_Recovered_SheetName_448_"/>
      <sheetName val="_Recovered_SheetName_449_"/>
      <sheetName val="_Recovered_SheetName_450_"/>
      <sheetName val="_Recovered_SheetName_451_"/>
      <sheetName val="_Recovered_SheetName_452_"/>
      <sheetName val="_Recovered_SheetName_453_"/>
      <sheetName val="_Recovered_SheetName_454_"/>
      <sheetName val="_Recovered_SheetName_455_"/>
      <sheetName val="_Recovered_SheetName_456_"/>
      <sheetName val="_Recovered_SheetName_457_"/>
      <sheetName val="_Recovered_SheetName_458_"/>
      <sheetName val="_Recovered_SheetName_459_"/>
      <sheetName val="_Recovered_SheetName_460_"/>
      <sheetName val="_Recovered_SheetName_461_"/>
      <sheetName val="_Recovered_SheetName_462_"/>
      <sheetName val="_Recovered_SheetName_463_"/>
      <sheetName val="_Recovered_SheetName_464_"/>
      <sheetName val="_Recovered_SheetName_465_"/>
      <sheetName val="_Recovered_SheetName_466_"/>
      <sheetName val="_Recovered_SheetName_467_"/>
      <sheetName val="_Recovered_SheetName_468_"/>
      <sheetName val="_Recovered_SheetName_469_"/>
      <sheetName val="_Recovered_SheetName_470_"/>
      <sheetName val="_Recovered_SheetName_471_"/>
      <sheetName val="_Recovered_SheetName_472_"/>
      <sheetName val="_Recovered_SheetName_473_"/>
      <sheetName val="_Recovered_SheetName_474_"/>
      <sheetName val="_Recovered_SheetName_475_"/>
      <sheetName val="_Recovered_SheetName_476_"/>
      <sheetName val="_Recovered_SheetName_477_"/>
      <sheetName val="_Recovered_SheetName_478_"/>
      <sheetName val="_Recovered_SheetName_479_"/>
      <sheetName val="_Recovered_SheetName_480_"/>
      <sheetName val="_Recovered_SheetName_481_"/>
      <sheetName val="_Recovered_SheetName_482_"/>
      <sheetName val="_Recovered_SheetName_483_"/>
      <sheetName val="_Recovered_SheetName_484_"/>
      <sheetName val="_Recovered_SheetName_485_"/>
      <sheetName val="_Recovered_SheetName_486_"/>
      <sheetName val="_Recovered_SheetName_487_"/>
      <sheetName val="_Recovered_SheetName_488_"/>
      <sheetName val="_Recovered_SheetName_489_"/>
      <sheetName val="_Recovered_SheetName_490_"/>
      <sheetName val="_Recovered_SheetName_491_"/>
      <sheetName val="_Recovered_SheetName_492_"/>
      <sheetName val="_Recovered_SheetName_493_"/>
      <sheetName val="_Recovered_SheetName_494_"/>
      <sheetName val="_Recovered_SheetName_495_"/>
      <sheetName val="_Recovered_SheetName_496_"/>
      <sheetName val="_Recovered_SheetName_497_"/>
      <sheetName val="_Recovered_SheetName_498_"/>
      <sheetName val="_Recovered_SheetName_499_"/>
      <sheetName val="_Recovered_SheetName_500_"/>
      <sheetName val="_Recovered_SheetName_501_"/>
      <sheetName val="_Recovered_SheetName_502_"/>
      <sheetName val="_Recovered_SheetName_503_"/>
      <sheetName val="_Recovered_SheetName_504_"/>
      <sheetName val="_Recovered_SheetName_505_"/>
      <sheetName val="_Recovered_SheetName_506_"/>
      <sheetName val="_Recovered_SheetName_507_"/>
      <sheetName val="_Recovered_SheetName_508_"/>
      <sheetName val="_Recovered_SheetName_509_"/>
      <sheetName val="_Recovered_SheetName_510_"/>
      <sheetName val="_Recovered_SheetName_511_"/>
      <sheetName val="_Recovered_SheetName_512_"/>
      <sheetName val="_Recovered_SheetName_513_"/>
      <sheetName val="_Recovered_SheetName_514_"/>
      <sheetName val="_Recovered_SheetName_515_"/>
      <sheetName val="_Recovered_SheetName_516_"/>
      <sheetName val="_Recovered_SheetName_517_"/>
      <sheetName val="_Recovered_SheetName_518_"/>
      <sheetName val="_Recovered_SheetName_519_"/>
      <sheetName val="_Recovered_SheetName_520_"/>
      <sheetName val="_Recovered_SheetName_521_"/>
      <sheetName val="_Recovered_SheetName_522_"/>
      <sheetName val="_Recovered_SheetName_523_"/>
      <sheetName val="_Recovered_SheetName_524_"/>
      <sheetName val="_Recovered_SheetName_525_"/>
      <sheetName val="_Recovered_SheetName_526_"/>
      <sheetName val="_Recovered_SheetName_527_"/>
      <sheetName val="_Recovered_SheetName_528_"/>
      <sheetName val="_Recovered_SheetName_529_"/>
      <sheetName val="_Recovered_SheetName_530_"/>
      <sheetName val="_Recovered_SheetName_531_"/>
      <sheetName val="_Recovered_SheetName_532_"/>
      <sheetName val="_Recovered_SheetName_533_"/>
      <sheetName val="_Recovered_SheetName_534_"/>
      <sheetName val="_Recovered_SheetName_535_"/>
      <sheetName val="_Recovered_SheetName_536_"/>
      <sheetName val="_Recovered_SheetName_537_"/>
      <sheetName val="_Recovered_SheetName_538_"/>
      <sheetName val="_Recovered_SheetName_539_"/>
      <sheetName val="_Recovered_SheetName_540_"/>
      <sheetName val="_Recovered_SheetName_541_"/>
      <sheetName val="_Recovered_SheetName_542_"/>
      <sheetName val="_Recovered_SheetName_543_"/>
      <sheetName val="_Recovered_SheetName_544_"/>
      <sheetName val="_Recovered_SheetName_545_"/>
      <sheetName val="_Recovered_SheetName_546_"/>
      <sheetName val="_Recovered_SheetName_547_"/>
      <sheetName val="_Recovered_SheetName_548_"/>
      <sheetName val="_Recovered_SheetName_549_"/>
      <sheetName val="_Recovered_SheetName_550_"/>
      <sheetName val="_Recovered_SheetName_551_"/>
      <sheetName val="_Recovered_SheetName_552_"/>
      <sheetName val="_Recovered_SheetName_553_"/>
      <sheetName val="_Recovered_SheetName_554_"/>
      <sheetName val="_Recovered_SheetName_555_"/>
      <sheetName val="_Recovered_SheetName_556_"/>
      <sheetName val="_Recovered_SheetName_557_"/>
      <sheetName val="_Recovered_SheetName_558_"/>
      <sheetName val="_Recovered_SheetName_559_"/>
      <sheetName val="_Recovered_SheetName_560_"/>
      <sheetName val="_Recovered_SheetName_561_"/>
      <sheetName val="_Recovered_SheetName_562_"/>
      <sheetName val="_Recovered_SheetName_563_"/>
      <sheetName val="_Recovered_SheetName_564_"/>
      <sheetName val="_Recovered_SheetName_565_"/>
      <sheetName val="_Recovered_SheetName_566_"/>
      <sheetName val="_Recovered_SheetName_567_"/>
      <sheetName val="_Recovered_SheetName_568_"/>
      <sheetName val="_Recovered_SheetName_569_"/>
      <sheetName val="_Recovered_SheetName_570_"/>
      <sheetName val="_Recovered_SheetName_571_"/>
      <sheetName val="_Recovered_SheetName_572_"/>
      <sheetName val="_Recovered_SheetName_573_"/>
      <sheetName val="_Recovered_SheetName_574_"/>
      <sheetName val="_Recovered_SheetName_575_"/>
      <sheetName val="_Recovered_SheetName_576_"/>
      <sheetName val="_Recovered_SheetName_577_"/>
      <sheetName val="_Recovered_SheetName_578_"/>
      <sheetName val="_Recovered_SheetName_579_"/>
      <sheetName val="_Recovered_SheetName_580_"/>
      <sheetName val="_Recovered_SheetName_581_"/>
      <sheetName val="_Recovered_SheetName_582_"/>
      <sheetName val="_Recovered_SheetName_583_"/>
      <sheetName val="_Recovered_SheetName_584_"/>
      <sheetName val="_Recovered_SheetName_585_"/>
      <sheetName val="_Recovered_SheetName_586_"/>
      <sheetName val="_Recovered_SheetName_587_"/>
      <sheetName val="_Recovered_SheetName_588_"/>
      <sheetName val="_Recovered_SheetName_589_"/>
      <sheetName val="_Recovered_SheetName_590_"/>
      <sheetName val="_Recovered_SheetName_591_"/>
      <sheetName val="_Recovered_SheetName_592_"/>
      <sheetName val="_Recovered_SheetName_593_"/>
      <sheetName val="_Recovered_SheetName_594_"/>
      <sheetName val="_Recovered_SheetName_595_"/>
      <sheetName val="_Recovered_SheetName_596_"/>
      <sheetName val="_Recovered_SheetName_597_"/>
      <sheetName val="_Recovered_SheetName_598_"/>
      <sheetName val="_Recovered_SheetName_599_"/>
      <sheetName val="_Recovered_SheetName_600_"/>
      <sheetName val="_Recovered_SheetName_601_"/>
      <sheetName val="_Recovered_SheetName_602_"/>
      <sheetName val="_Recovered_SheetName_603_"/>
      <sheetName val="_Recovered_SheetName_604_"/>
      <sheetName val="_Recovered_SheetName_605_"/>
      <sheetName val="_Recovered_SheetName_606_"/>
      <sheetName val="_Recovered_SheetName_607_"/>
      <sheetName val="_Recovered_SheetName_608_"/>
      <sheetName val="_Recovered_SheetName_609_"/>
      <sheetName val="_Recovered_SheetName_610_"/>
      <sheetName val="_Recovered_SheetName_611_"/>
      <sheetName val="_Recovered_SheetName_612_"/>
      <sheetName val="_Recovered_SheetName_613_"/>
      <sheetName val="_Recovered_SheetName_614_"/>
      <sheetName val="_Recovered_SheetName_615_"/>
      <sheetName val="_Recovered_SheetName_616_"/>
      <sheetName val="_Recovered_SheetName_617_"/>
      <sheetName val="_Recovered_SheetName_618_"/>
      <sheetName val="_Recovered_SheetName_619_"/>
      <sheetName val="_Recovered_SheetName_620_"/>
      <sheetName val="_Recovered_SheetName_621_"/>
      <sheetName val="_Recovered_SheetName_622_"/>
      <sheetName val="_Recovered_SheetName_623_"/>
      <sheetName val="_Recovered_SheetName_624_"/>
      <sheetName val="_Recovered_SheetName_625_"/>
      <sheetName val="_Recovered_SheetName_626_"/>
      <sheetName val="_Recovered_SheetName_627_"/>
      <sheetName val="_Recovered_SheetName_628_"/>
      <sheetName val="_Recovered_SheetName_629_"/>
      <sheetName val="_Recovered_SheetName_630_"/>
      <sheetName val="_Recovered_SheetName_631_"/>
      <sheetName val="_Recovered_SheetName_632_"/>
      <sheetName val="_Recovered_SheetName_633_"/>
      <sheetName val="_Recovered_SheetName_634_"/>
      <sheetName val="_Recovered_SheetName_635_"/>
      <sheetName val="_Recovered_SheetName_636_"/>
      <sheetName val="_Recovered_SheetName_637_"/>
      <sheetName val="_Recovered_SheetName_638_"/>
      <sheetName val="_Recovered_SheetName_639_"/>
      <sheetName val="_Recovered_SheetName_640_"/>
      <sheetName val="_Recovered_SheetName_641_"/>
      <sheetName val="_Recovered_SheetName_642_"/>
      <sheetName val="_Recovered_SheetName_643_"/>
      <sheetName val="_Recovered_SheetName_644_"/>
      <sheetName val="_Recovered_SheetName_645_"/>
      <sheetName val="_Recovered_SheetName_646_"/>
      <sheetName val="_Recovered_SheetName_647_"/>
      <sheetName val="_Recovered_SheetName_648_"/>
      <sheetName val="_Recovered_SheetName_649_"/>
      <sheetName val="_Recovered_SheetName_650_"/>
      <sheetName val="_Recovered_SheetName_651_"/>
      <sheetName val="_Recovered_SheetName_652_"/>
      <sheetName val="_Recovered_SheetName_653_"/>
      <sheetName val="_Recovered_SheetName_654_"/>
      <sheetName val="_Recovered_SheetName_655_"/>
      <sheetName val="_Recovered_SheetName_656_"/>
      <sheetName val="_Recovered_SheetName_657_"/>
      <sheetName val="_Recovered_SheetName_658_"/>
      <sheetName val="_Recovered_SheetName_659_"/>
      <sheetName val="_Recovered_SheetName_660_"/>
      <sheetName val="盈余公积-评㒤_xdc59_廦"/>
      <sheetName val="票据类别"/>
      <sheetName val="调整原因汇总表"/>
      <sheetName val="型材"/>
      <sheetName val="Market sha_x005f_x005f_x0"/>
      <sheetName val="村级支出"/>
      <sheetName val="本年收入合计"/>
      <sheetName val="单价(门窗）"/>
      <sheetName val="抹灰"/>
      <sheetName val="建1"/>
      <sheetName val="17#石材幕墙"/>
      <sheetName val="16#石材幕墙"/>
      <sheetName val="22#玻璃幕墙"/>
      <sheetName val="13#石材幕墙"/>
      <sheetName val="22#石材幕墙"/>
      <sheetName val="Setting"/>
      <sheetName val="交付标准配价格表"/>
      <sheetName val="土建地下室清单"/>
      <sheetName val="삅ོ䚋栠Ѫࡪ㋨ﯾ_xffff_ﱅ잃蔐緀薼糀謋⁎橓"/>
      <sheetName val="삅ོ䚋栠Ѫࡪ㋨"/>
      <sheetName val="삅ོ䚋栠Ѫࡪ㋨ﯾ_xffff_ﱅ잃蔐緀薼糀謋"/>
      <sheetName val="삅ོ䚋栠Ѫࡪ㋨ﯾ_xffff_ﱅ잃"/>
      <sheetName val="삅ོ䚋栠Ѫࡪ㋨ﯾ_xffff_ﱅ잃蔐緀薼糀"/>
      <sheetName val="삅ོ䚋栠Ѫࡪ㋨ﯾ_xffff_ﱅ잃蔐緀"/>
      <sheetName val="삅ོ䚋栠Ѫࡪ㋨ﯾ_xffff_ﱅ잃蔐緀薼"/>
      <sheetName val="삅ོ䚋栠Ѫࡪ㋨ﯾ_xffff_ﱅ잃蔐"/>
      <sheetName val="삅ོ䚋栠Ѫࡪ㋨ﯾ_xffff_ﱅ잃蔐緀薼糀謋⁎橓晴￻"/>
      <sheetName val="삅ོ䚋栠Ѫࡪ㋨ﯾ"/>
      <sheetName val="삅ོ䚋栠Ѫࡪ㋨ﯾ_xffff_ﱅ"/>
      <sheetName val="11度华丹͂_x0001__x0013__SMCTSSP2.XLS_13度高浓"/>
      <sheetName val="Sheet167"/>
      <sheetName val="06户型"/>
      <sheetName val="Sheet8"/>
      <sheetName val="宝鹰申报综合单价分析表"/>
      <sheetName val="Elem Cost"/>
      <sheetName val="分部汇总"/>
      <sheetName val="计算式一审"/>
      <sheetName val="钢筋设置"/>
      <sheetName val="预制管桩"/>
      <sheetName val="桩承台"/>
      <sheetName val="剪力墙"/>
      <sheetName val="基础梁"/>
      <sheetName val="屋架梁"/>
      <sheetName val="楼板"/>
      <sheetName val="屋顶水池"/>
      <sheetName val="零星项目"/>
      <sheetName val="表3-2园建工程清单 "/>
      <sheetName val="A、B、C户型室内装修 "/>
      <sheetName val="合格证 (2)"/>
      <sheetName val="东一一层方柱砼"/>
      <sheetName val="52-56栋标准层"/>
      <sheetName val="54栋住户大堂"/>
      <sheetName val="柱计算"/>
      <sheetName val="铝合金"/>
      <sheetName val="裙楼外立面"/>
      <sheetName val="框架梁"/>
      <sheetName val="灌木工程"/>
      <sheetName val="硬质结算表"/>
      <sheetName val="售楼部装饰部分"/>
      <sheetName val="单价分析表3"/>
      <sheetName val="单价分析表4"/>
      <sheetName val="0707版价格表"/>
      <sheetName val="板工程量计算"/>
      <sheetName val="售楼部"/>
      <sheetName val="Sheet164"/>
      <sheetName val="¹ÌÕ_£¨2£©2"/>
      <sheetName val="________2"/>
      <sheetName val="eqpmad2䅡턐ぶ_x0011__x000f_SAPBEXundefined。"/>
      <sheetName val="eqpmad2䅡턐ぶ_x0011_"/>
      <sheetName val="eqpmad2䅡턐ぶ_x"/>
      <sheetName val="计算式要求"/>
      <sheetName val="封面 (3)"/>
      <sheetName val="矩形桩台"/>
      <sheetName val="7~10工程量"/>
      <sheetName val="@risk rents and incentives"/>
      <sheetName val="Car park lease"/>
      <sheetName val="Net rent analysis"/>
      <sheetName val="Sheet163"/>
      <sheetName val="Sheet580"/>
      <sheetName val="Sheet581"/>
      <sheetName val="Sheet582"/>
      <sheetName val="금융비용"/>
      <sheetName val="其他项目清单计价表"/>
      <sheetName val="CFS3"/>
      <sheetName val="SG"/>
      <sheetName val="2000전체분"/>
      <sheetName val="2000년1차"/>
      <sheetName val="coa"/>
      <sheetName val="线重"/>
      <sheetName val="Combo"/>
      <sheetName val="园建计算书1"/>
      <sheetName val="园建计算书3"/>
      <sheetName val="园建计算书2"/>
      <sheetName val="园建计算书4"/>
      <sheetName val="透析"/>
      <sheetName val="7号楼"/>
      <sheetName val="铁道部4-8"/>
      <sheetName val="A"/>
      <sheetName val="组织"/>
      <sheetName val="部门"/>
      <sheetName val="2测算明细（汇总）"/>
      <sheetName val="土增税预征率"/>
      <sheetName val="A430"/>
      <sheetName val="银行账户信息"/>
      <sheetName val="2期面积"/>
      <sheetName val="���[��2��"/>
      <sheetName val="总产值1"/>
      <sheetName val="04台帐"/>
      <sheetName val="其他04"/>
      <sheetName val="利润表"/>
      <sheetName val="类型"/>
      <sheetName val="3-规划指标表及功能选择表"/>
      <sheetName val="平开门窗代号"/>
      <sheetName val="推拉门窗代号"/>
      <sheetName val="地弹簧门固定窗"/>
      <sheetName val="角码等"/>
      <sheetName val="Metadata"/>
      <sheetName val="成本"/>
      <sheetName val="材料单价"/>
      <sheetName val="砼"/>
      <sheetName val="表2-1(100章清单)"/>
      <sheetName val="表2-1(200章清单)"/>
      <sheetName val="表2-1(400章清单)"/>
      <sheetName val="表2-1(500章清单)"/>
      <sheetName val="4-7"/>
      <sheetName val="配合比定义表"/>
      <sheetName val="40"/>
      <sheetName val="机械台班费计算表"/>
      <sheetName val="主要材料"/>
      <sheetName val="砼配比计算表"/>
      <sheetName val="clk"/>
      <sheetName val="tSk"/>
      <sheetName val="tbk"/>
      <sheetName val=".xls_.xls_.xls_.xls_.xls_.xls_."/>
      <sheetName val="地上"/>
      <sheetName val="主楼地下防水"/>
      <sheetName val="地库防水"/>
      <sheetName val="商服地下防水"/>
      <sheetName val="窗户防水"/>
      <sheetName val="内部主要成本"/>
      <sheetName val="B2-_x0001_"/>
      <sheetName val="比率"/>
      <sheetName val="指标分析表"/>
      <sheetName val="资料库"/>
      <sheetName val="材料汇总"/>
      <sheetName val="主要材料价格表 （对照）FINAL (2)"/>
      <sheetName val="块料面层及其它"/>
      <sheetName val="Sheet10"/>
      <sheetName val="간선계산"/>
      <sheetName val="泳池加固"/>
      <sheetName val="_x005f_x005f_x005f_x005f_x005f_x005f_x005f_x005f_x005_2"/>
      <sheetName val="_x005f_x005f_x005f_x005f_x005f_x005f_x005f_x005f_x005_3"/>
      <sheetName val="_x005f_x005f_x005f_x005f_x005f_x005f_x005f_x0000__x00_2"/>
      <sheetName val="_x005f_x005f_x005f_x005f_x005f_x005f_x005f_x005f_x005_4"/>
      <sheetName val="_x005f_x005f_x005f_x005f_x005f_x005f_x005f_x005f_x005_5"/>
      <sheetName val="_x005f_x005f_x005f_x005f_x005f_x005f_x005f_x005f_x005_6"/>
      <sheetName val="_x005f_x005f_x005f_x005f_x005f_x005f_x005f_x0000__x00_3"/>
      <sheetName val="_x005f_x005f_x005f_x005f_x005f_x005f_x005f_x005f_x005_7"/>
      <sheetName val="_x005f_x005f_x005f_x005f_x005f_x005f_x005f_x005f_x005_8"/>
      <sheetName val="_x005f_x005f_x005f_x005f_x005f_x005f_x005f_x005f_x005_9"/>
      <sheetName val="_x005f_x005f_x005f_x005f_x005f_x005f_x005f_x0000__x00_4"/>
      <sheetName val="_x005f_x005f_x005f_x005f_x005f_x005f_x005f_x005f_x00_10"/>
      <sheetName val="_x005f_x005f_x005f_x005f_x005f_x005f_x005f_x005f_x00_11"/>
      <sheetName val="_x005f_x005f_x005f_x005f_x005f_x005f_x005f_x005f_x00_12"/>
      <sheetName val="_x005f_x005f_x005f_x005f_x005f_x005f_x005f_x0000__x00_5"/>
      <sheetName val="_x005f_x005f_x005f_x005f_x005f_x005f_x005f_x005f_x00_13"/>
      <sheetName val="_x005f_x005f_x005f_x005f_x005f_x005f_x005f_x005f_x00_14"/>
      <sheetName val="_x005f_x005f_x005f_x005f_x005f_x005f_x005f_x005f_x00_15"/>
      <sheetName val="_x005f_x005f_x005f_x005f_x005f_x005f_x005f_x0000__x00_6"/>
      <sheetName val="_x005f_x005f_x005f_x005f_x005f_x005f_x005f_x005f_x00_16"/>
      <sheetName val="_x005f_x005f_x005f_x005f_x005f_x005f_x005f_x005f_x00_17"/>
      <sheetName val="_x005f_x005f_x005f_x005f_x005f_x005f_x005f_x005f_x00_18"/>
      <sheetName val="_x005f_x005f_x005f_x005f_x005f_x005f_x005f_x0000__x00_7"/>
      <sheetName val="_x005f_x005f_x005f_x005f_x005f_x005f_x005f_x005f_x00_19"/>
      <sheetName val="_x005f_x005f_x005f_x005f_x005f_x005f_x005f_x005f_x00_20"/>
      <sheetName val="_x005f_x005f_x005f_x005f_x005f_x005f_x005f_x005f_x00_21"/>
      <sheetName val="_x005f_x005f_x005f_x005f_x005f_x005f_x005f_x0000__x00_8"/>
      <sheetName val="_x005f_x005f_x005f_x005f_x005f_x005f_x005f_x005f_x00_22"/>
      <sheetName val="_x005f_x005f_x005f_x005f_x005f_x005f_x005f_x005f_x00_23"/>
      <sheetName val="_x005f_x005f_x005f_x005f_x005f_x005f_x005f_x005f_x00_24"/>
      <sheetName val="_x005f_x005f_x005f_x005f_x005f_x005f_x005f_x0000__x00_9"/>
      <sheetName val="_x005f_x005f_x005f_x005f_x005f_x005f_x005f_x005f_x00_25"/>
      <sheetName val="_x005f_x005f_x005f_x005f_x005f_x005f_x005f_x005f_x00_26"/>
      <sheetName val="_x005f_x005f_x005f_x005f_x005f_x005f_x005f_x005f_x00_27"/>
      <sheetName val="_x005f_x005f_x005f_x005f_x005f_x005f_x005f_x0000__x0_10"/>
      <sheetName val="_x005f_x005f_x005f_x005f_x005f_x005f_x005f_x005f_x00_28"/>
      <sheetName val="_x005f_x005f_x005f_x005f_x005f_x005f_x005f_x005f_x00_29"/>
      <sheetName val="_x005f_x005f_x005f_x005f_x005f_x005f_x005f_x005f_x00_30"/>
      <sheetName val="_x005f_x005f_x005f_x005f_x005f_x005f_x005f_x0000__x0_11"/>
      <sheetName val="_x005f_x005f_x005f_x005f_x005f_x005f_x005f_x005f_x00_31"/>
      <sheetName val="_x005f_x005f_x005f_x005f_x005f_x005f_x005f_x005f_x00_32"/>
      <sheetName val="_x005f_x005f_x005f_x005f_x005f_x005f_x005f_x005f_x00_33"/>
      <sheetName val="_x005f_x005f_x005f_x005f_x005f_x005f_x005f_x0000__x0_12"/>
      <sheetName val="_x005f_x005f_x005f_x005f_x005f_x005f_x005f_x005f_x00_34"/>
      <sheetName val="_x005f_x005f_x005f_x005f_x005f_x005f_x005f_x005f_x00_35"/>
      <sheetName val="_x005f_x005f_x005f_x005f_x005f_x005f_x005f_x005f_x00_36"/>
      <sheetName val="_x005f_x005f_x005f_x005f_x005f_x005f_x005f_x0000__x0_13"/>
      <sheetName val="_x005f_x005f_x005f_x005f_x005f_x005f_x005f_x005f_x00_37"/>
      <sheetName val="_x005f_x005f_x005f_x005f_x005f_x005f_x005f_x005f_x00_38"/>
      <sheetName val="_x005f_x005f_x005f_x005f_x005f_x005f_x005f_x005f_x00_39"/>
      <sheetName val="_x005f_x005f_x005f_x005f_x005f_x005f_x005f_x0000__x0_14"/>
      <sheetName val="_x005f_x005f_x005f_x005f_x005f_x005f_x005f_x005f_x00_40"/>
      <sheetName val="_x005f_x005f_x005f_x005f_x005f_x005f_x005f_x005f_x00_41"/>
      <sheetName val="_x005f_x005f_x005f_x005f_x005f_x005f_x005f_x005f_x00_42"/>
      <sheetName val="_x005f_x005f_x005f_x005f_x005f_x005f_x005f_x0000__x0_15"/>
      <sheetName val="_x005f_x005f_x005f_x005f_x005f_x005f_x005f_x005f_x00_43"/>
      <sheetName val="_x005f_x005f_x005f_x005f_x005f_x005f_x005f_x005f_x00_44"/>
      <sheetName val="_x005f_x005f_x005f_x005f_x005f_x005f_x005f_x005f_x00_45"/>
      <sheetName val="_x005f_x005f_x005f_x005f_x005f_x005f_x005f_x0000__x0_16"/>
      <sheetName val="_x005f_x005f_x005f_x005f_x005f_x005f_x005f_x005f_x00_46"/>
      <sheetName val="_x005f_x005f_x005f_x005f_x005f_x005f_x005f_x005f_x00_47"/>
      <sheetName val="_x005f_x005f_x005f_x005f_x005f_x005f_x005f_x005f_x00_48"/>
      <sheetName val="_x005f_x005f_x005f_x005f_x005f_x005f_x005f_x0000__x0_17"/>
      <sheetName val="_x005f_x005f_x005f_x005f_x005f_x005f_x005f_x005f_x00_49"/>
      <sheetName val="_x005f_x005f_x005f_x005f_x005f_x005f_x005f_x005f_x00_50"/>
      <sheetName val="_x005f_x005f_x005f_x005f_x005f_x005f_x005f_x005f_x00_51"/>
      <sheetName val="_x005f_x005f_x005f_x005f_x005f_x005f_x005f_x0000__x0_18"/>
      <sheetName val="_x005f_x005f_x005f_x005f_x005f_x005f_x005f_x005f_x00_52"/>
      <sheetName val="_x005f_x005f_x005f_x005f_x005f_x005f_x005f_x005f_x00_53"/>
      <sheetName val="_x005f_x005f_x005f_x005f_x005f_x005f_x005f_x005f_x00_54"/>
      <sheetName val="_x005f_x005f_x005f_x005f_x005f_x005f_x005f_x0000__x0_19"/>
      <sheetName val="_x005f_x005f_x005f_x005f_x005f_x005f_x005f_x005f_x00_55"/>
      <sheetName val="_x005f_x005f_x005f_x005f_x005f_x005f_x005f_x005f_x00_56"/>
      <sheetName val="_x005f_x005f_x005f_x005f_x005f_x005f_x005f_x005f_x00_57"/>
      <sheetName val="_x005f_x005f_x005f_x005f_x005f_x005f_x005f_x0000__x0_20"/>
      <sheetName val="_x005f_x005f_x005f_x005f_x005f_x005f_x005f_x005f_x00_58"/>
      <sheetName val="_x005f_x005f_x005f_x005f_x005f_x005f_x005f_x005f_x00_59"/>
      <sheetName val="_x005f_x005f_x005f_x005f_x005f_x005f_x005f_x005f_x00_60"/>
      <sheetName val="_x005f_x005f_x005f_x005f_x005f_x005f_x005f_x0000__x0_21"/>
      <sheetName val="_x005f_x005f_x005f_x005f_x005f_x005f_x005f_x005f_x00_61"/>
      <sheetName val="_x005f_x005f_x005f_x005f_x005f_x005f_x005f_x005f_x00_62"/>
      <sheetName val="_x005f_x005f_x005f_x005f_x005f_x005f_x005f_x005f_x00_63"/>
      <sheetName val="_x005f_x005f_x005f_x005f_x005f_x005f_x005f_x0000__x0_22"/>
      <sheetName val="_x005f_x005f_x005f_x005f_x005f_x005f_x005f_x005f_x00_64"/>
      <sheetName val="_x005f_x005f_x005f_x005f_x005f_x005f_x005f_x005f_x00_65"/>
      <sheetName val="_x005f_x005f_x005f_x005f_x005f_x005f_x005f_x005f_x00_66"/>
      <sheetName val="_x005f_x005f_x005f_x005f_x005f_x005f_x005f_x0000__x0_23"/>
      <sheetName val="_x005f_x005f_x005f_x005f_x005f_x005f_x005f_x005f_x00_67"/>
      <sheetName val="_x005f_x005f_x005f_x005f_x005f_x005f_x005f_x005f_x00_68"/>
      <sheetName val="_x005f_x005f_x005f_x005f_x005f_x005f_x005f_x005f_x00_69"/>
      <sheetName val="_x005f_x005f_x005f_x005f_x005f_x005f_x005f_x0000__x0_24"/>
      <sheetName val="_x005f_x005f_x005f_x005f_x005f_x005f_x005f_x005f_x00_70"/>
      <sheetName val="_x005f_x005f_x005f_x005f_x005f_x005f_x005f_x005f_x00_71"/>
      <sheetName val="_x005f_x005f_x005f_x005f_x005f_x005f_x005f_x005f_x00_72"/>
      <sheetName val="_x005f_x005f_x005f_x005f_x005f_x005f_x005f_x0000__x0_25"/>
      <sheetName val="_x005f_x005f_x005f_x005f_x005f_x005f_x005f_x005f_x00_73"/>
      <sheetName val="_x005f_x005f_x005f_x005f_x005f_x005f_x005f_x005f_x00_74"/>
      <sheetName val="_x005f_x005f_x005f_x005f_x005f_x005f_x005f_x005f_x00_75"/>
      <sheetName val="_x005f_x005f_x005f_x005f_x005f_x005f_x005f_x0000__x0_26"/>
      <sheetName val="_x005f_x005f_x005f_x005f_x005f_x005f_x005f_x005f_x00_76"/>
      <sheetName val="_x005f_x005f_x005f_x005f_x005f_x005f_x005f_x005f_x00_77"/>
      <sheetName val="_x005f_x005f_x005f_x005f_x005f_x005f_x005f_x005f_x00_78"/>
      <sheetName val="_x005f_x005f_x005f_x005f_x005f_x005f_x005f_x0000__x0_27"/>
      <sheetName val="_x005f_x005f_x005f_x005f_x005f_x005f_x005f_x005f_x00_79"/>
      <sheetName val="_x005f_x005f_x005f_x005f_x005f_x005f_x005f_x005f_x00_80"/>
      <sheetName val="_x005f_x005f_x005f_x005f_x005f_x005f_x005f_x005f_x00_81"/>
      <sheetName val="_x005f_x005f_x005f_x005f_x005f_x005f_x005f_x0000__x0_28"/>
      <sheetName val="_x005f_x005f_x005f_x005f_x005f_x005f_x005f_x005f_x00_82"/>
      <sheetName val="_x005f_x005f_x005f_x005f_x005f_x005f_x005f_x005f_x00_83"/>
      <sheetName val="_x005f_x005f_x005f_x005f_x005f_x005f_x005f_x005f_x00_84"/>
      <sheetName val="_x005f_x005f_x005f_x005f_x005f_x005f_x005f_x0000__x0_29"/>
      <sheetName val="_x005f_x005f_x005f_x005f_x005f_x005f_x005f_x005f_x00_85"/>
      <sheetName val="_x005f_x005f_x005f_x005f_x005f_x005f_x005f_x005f_x00_86"/>
      <sheetName val="_x005f_x005f_x005f_x005f_x005f_x005f_x005f_x005f_x00_87"/>
      <sheetName val="_x005f_x005f_x005f_x005f_x005f_x005f_x005f_x0000__x0_30"/>
      <sheetName val="_x005f_x005f_x005f_x005f_x005f_x005f_x005f_x005f_x00_88"/>
      <sheetName val="_x005f_x005f_x005f_x005f_x005f_x005f_x005f_x005f_x00_89"/>
      <sheetName val="_x005f_x005f_x005f_x005f_x005f_x005f_x005f_x005f_x00_90"/>
      <sheetName val="_x005f_x005f_x005f_x005f_x005f_x005f_x005f_x0000__x0_31"/>
      <sheetName val="_x005f_x005f_x005f_x005f_x005f_x005f_x005f_x005f_x00_91"/>
      <sheetName val="_x005f_x005f_x005f_x005f_x005f_x005f_x005f_x005f_x00_92"/>
      <sheetName val="_x005f_x005f_x005f_x005f_x005f_x005f_x005f_x005f_x00_93"/>
      <sheetName val="_x005f_x005f_x005f_x005f_x005f_x005f_x005f_x0000__x0_32"/>
      <sheetName val="_x005f_x005f_x005f_x005f_x005f_x005f_x005f_x005f_x00_94"/>
      <sheetName val="_x005f_x005f_x005f_x005f_x005f_x005f_x005f_x005f_x00_95"/>
      <sheetName val="_x005f_x005f_x005f_x005f_x005f_x005f_x005f_x005f_x00_96"/>
      <sheetName val="_x005f_x005f_x005f_x005f_x005f_x005f_x005f_x0000__x0_33"/>
      <sheetName val="_x005f_x005f_x005f_x005f_x005f_x005f_x005f_x005f_x00_97"/>
      <sheetName val="_x005f_x005f_x005f_x005f_x005f_x005f_x005f_x005f_x00_98"/>
      <sheetName val="_x005f_x005f_x005f_x005f_x005f_x005f_x005f_x005f_x00_99"/>
      <sheetName val="_x005f_x005f_x005f_x005f_x005f_x005f_x005f_x0000__x0_34"/>
      <sheetName val="_x005f_x005f_x005f_x005f_x005f_x005f_x005f_x005f_x0_100"/>
      <sheetName val="_x005f_x005f_x005f_x005f_x005f_x005f_x005f_x005f_x0_101"/>
      <sheetName val="_x005f_x005f_x005f_x005f_x005f_x005f_x005f_x005f_x0_102"/>
      <sheetName val="_x005f_x005f_x005f_x005f_x005f_x005f_x005f_x0000__x0_35"/>
      <sheetName val="_x005f_x005f_x005f_x005f_x005f_x005f_x005f_x005f_x0_103"/>
      <sheetName val="_x005f_x005f_x005f_x005f_x005f_x005f_x005f_x005f_x0_104"/>
      <sheetName val="_x005f_x005f_x005f_x005f_x005f_x005f_x005f_x005f_x0_105"/>
      <sheetName val="_x005f_x005f_x005f_x005f_x005f_x005f_x005f_x0000__x0_36"/>
      <sheetName val="_x005f_x005f_x005f_x005f_x005f_x005f_x005f_x005f_x0_106"/>
      <sheetName val="_x005f_x005f_x005f_x005f_x005f_x005f_x005f_x005f_x0_107"/>
      <sheetName val="_x005f_x005f_x005f_x005f_x005f_x005f_x005f_x005f_x0_108"/>
      <sheetName val="_x005f_x005f_x005f_x005f_x005f_x005f_x005f_x0000__x0_37"/>
      <sheetName val="_x005f_x005f_x005f_x005f_x005f_x005f_x005f_x005f_x0_109"/>
      <sheetName val="_x005f_x005f_x005f_x005f_x005f_x005f_x005f_x005f_x0_110"/>
      <sheetName val="_x005f_x005f_x005f_x005f_x005f_x005f_x005f_x005f_x0_111"/>
      <sheetName val="_x005f_x005f_x005f_x005f_x005f_x005f_x005f_x0000__x0_38"/>
      <sheetName val="_x005f_x005f_x005f_x005f_x005f_x005f_x005f_x005f_x0_112"/>
      <sheetName val="_x005f_x005f_x005f_x005f_x005f_x005f_x005f_x005f_x0_113"/>
      <sheetName val="_x005f_x005f_x005f_x005f_x005f_x005f_x005f_x005f_x0_114"/>
      <sheetName val="_x005f_x005f_x005f_x005f_x005f_x005f_x005f_x0000__x0_39"/>
      <sheetName val="_x005f_x005f_x005f_x005f_x005f_x005f_x005f_x005f_x0_115"/>
      <sheetName val="_x005f_x005f_x005f_x005f_x005f_x005f_x005f_x005f_x0_116"/>
      <sheetName val="_x005f_x005f_x005f_x005f_x005f_x005f_x005f_x005f_x0_117"/>
      <sheetName val="_x005f_x005f_x005f_x005f_x005f_x005f_x005f_x0000__x0_40"/>
      <sheetName val="_x005f_x005f_x005f_x005f_x005f_x005f_x005f_x005f_x0_118"/>
      <sheetName val="_x005f_x005f_x005f_x005f_x005f_x005f_x005f_x005f_x0_119"/>
      <sheetName val="_x005f_x005f_x005f_x005f_x005f_x005f_x005f_x005f_x0_120"/>
      <sheetName val="_x005f_x005f_x005f_x005f_x005f_x005f_x005f_x0000__x0_41"/>
      <sheetName val="_x005f_x005f_x005f_x005f_x005f_x005f_x005f_x005f_x0_121"/>
      <sheetName val="_x005f_x005f_x005f_x005f_x005f_x005f_x005f_x005f_x0_122"/>
      <sheetName val="_x005f_x005f_x005f_x005f_x005f_x005f_x005f_x005f_x0_123"/>
      <sheetName val="_x005f_x005f_x005f_x005f_x005f_x005f_x005f_x0000__x0_42"/>
      <sheetName val="_x005f_x005f_x005f_x005f_x005f_x005f_x005f_x005f_x0_124"/>
      <sheetName val="_x005f_x005f_x005f_x005f_x005f_x005f_x005f_x005f_x0_125"/>
      <sheetName val="_x005f_x005f_x005f_x005f_x005f_x005f_x005f_x005f_x0_126"/>
      <sheetName val="_x005f_x005f_x005f_x005f_x005f_x005f_x005f_x0000__x0_43"/>
      <sheetName val="_x005f_x005f_x005f_x005f_x005f_x005f_x005f_x005f_x0_127"/>
      <sheetName val="_x005f_x005f_x005f_x005f_x005f_x005f_x005f_x005f_x0_128"/>
      <sheetName val="_x005f_x005f_x005f_x005f_x005f_x005f_x005f_x005f_x0_129"/>
      <sheetName val="_x005f_x005f_x005f_x005f_x005f_x005f_x005f_x0000__x0_44"/>
      <sheetName val="_x005f_x005f_x005f_x005f_x005f_x005f_x005f_x005f_x0_130"/>
      <sheetName val="_x005f_x005f_x005f_x005f_x005f_x005f_x005f_x005f_x0_131"/>
      <sheetName val="_x005f_x005f_x005f_x005f_x005f_x005f_x005f_x005f_x0_132"/>
      <sheetName val="_x005f_x005f_x005f_x005f_x005f_x005f_x005f_x0000__x0_45"/>
      <sheetName val="_x005f_x005f_x005f_x005f_x005f_x005f_x005f_x005f_x0_133"/>
      <sheetName val="_x005f_x005f_x005f_x005f_x005f_x005f_x005f_x005f_x0_134"/>
      <sheetName val="_x005f_x005f_x005f_x005f_x005f_x005f_x005f_x005f_x0_135"/>
      <sheetName val="_x005f_x005f_x005f_x005f_x005f_x005f_x005f_x0000__x0_46"/>
      <sheetName val="_x005f_x005f_x005f_x005f_x005f_x005f_x005f_x005f_x0_136"/>
      <sheetName val="_x005f_x005f_x005f_x005f_x005f_x005f_x005f_x005f_x0_137"/>
      <sheetName val="_x005f_x005f_x005f_x005f_x005f_x005f_x005f_x005f_x0_138"/>
      <sheetName val="_x005f_x005f_x005f_x005f_x005f_x005f_x005f_x0000__x0_47"/>
      <sheetName val="_x005f_x005f_x005f_x005f_x005f_x005f_x005f_x005f_x0_139"/>
      <sheetName val="_x005f_x005f_x005f_x005f_x005f_x005f_x005f_x005f_x0_140"/>
      <sheetName val="_x005f_x005f_x005f_x005f_x005f_x005f_x005f_x005f_x0_141"/>
      <sheetName val="_x005f_x005f_x005f_x005f_x005f_x005f_x005f_x0000__x0_48"/>
      <sheetName val="_x005f_x005f_x005f_x005f_x005f_x005f_x005f_x005f_x0_142"/>
      <sheetName val="_x005f_x005f_x005f_x005f_x005f_x005f_x005f_x005f_x0_143"/>
      <sheetName val="_x005f_x005f_x005f_x005f_x005f_x005f_x005f_x005f_x0_144"/>
      <sheetName val="_x005f_x005f_x005f_x005f_x005f_x005f_x005f_x0000__x0_49"/>
      <sheetName val="_x005f_x005f_x005f_x005f_x005f_x005f_x005f_x005f_x0_145"/>
      <sheetName val="_x005f_x005f_x005f_x005f_x005f_x005f_x005f_x005f_x0_146"/>
      <sheetName val="_x005f_x005f_x005f_x005f_x005f_x005f_x005f_x005f_x0_147"/>
      <sheetName val="_x005f_x005f_x005f_x005f_x005f_x005f_x005f_x0000__x0_50"/>
      <sheetName val="_x005f_x005f_x005f_x005f_x005f_x005f_x005f_x005f_x0_148"/>
      <sheetName val="_x005f_x005f_x005f_x005f_x005f_x005f_x005f_x005f_x0_149"/>
      <sheetName val="_x005f_x005f_x005f_x005f_x005f_x005f_x005f_x005f_x0_150"/>
      <sheetName val="_x005f_x005f_x005f_x005f_x005f_x005f_x005f_x0000__x0_51"/>
      <sheetName val="_x005f_x005f_x005f_x005f_x005f_x005f_x005f_x005f_x0_151"/>
      <sheetName val="_x005f_x005f_x005f_x005f_x005f_x005f_x005f_x005f_x0_152"/>
      <sheetName val="_x005f_x005f_x005f_x005f_x005f_x005f_x005f_x005f_x0_153"/>
      <sheetName val="_x005f_x005f_x005f_x005f_x005f_x005f_x005f_x0000__x0_52"/>
      <sheetName val="_x005f_x005f_x005f_x005f_x005f_x005f_x005f_x005f_x0_154"/>
      <sheetName val="_x005f_x005f_x005f_x005f_x005f_x005f_x005f_x005f_x0_155"/>
      <sheetName val="_x005f_x005f_x005f_x005f_x005f_x005f_x005f_x005f_x0_156"/>
      <sheetName val="_x005f_x005f_x005f_x005f_x005f_x005f_x005f_x0000__x0_53"/>
      <sheetName val="_x005f_x005f_x005f_x005f_x005f_x005f_x005f_x005f_x0_157"/>
      <sheetName val="_x005f_x005f_x005f_x005f_x005f_x005f_x005f_x005f_x0_158"/>
      <sheetName val="_x005f_x005f_x005f_x005f_x005f_x005f_x005f_x005f_x0_159"/>
      <sheetName val="_x005f_x005f_x005f_x005f_x005f_x005f_x005f_x0000__x0_54"/>
      <sheetName val="_x005f_x005f_x005f_x005f_x005f_x005f_x005f_x005f_x0_160"/>
      <sheetName val="_x005f_x005f_x005f_x005f_x005f_x005f_x005f_x005f_x0_161"/>
      <sheetName val="_x005f_x005f_x005f_x005f_x005f_x005f_x005f_x005f_x0_162"/>
      <sheetName val="_x005f_x005f_x005f_x005f_x005f_x005f_x005f_x0000__x0_55"/>
      <sheetName val="_x005f_x005f_x005f_x005f_x005f_x005f_x005f_x005f_x0_163"/>
      <sheetName val="_x005f_x005f_x005f_x005f_x005f_x005f_x005f_x005f_x0_164"/>
      <sheetName val="_x005f_x005f_x005f_x005f_x005f_x005f_x005f_x005f_x0_165"/>
      <sheetName val="_x005f_x005f_x005f_x005f_x005f_x005f_x005f_x0000__x0_56"/>
      <sheetName val="_x005f_x005f_x005f_x005f_x005f_x005f_x005f_x005f_x0_166"/>
      <sheetName val="_x005f_x005f_x005f_x005f_x005f_x005f_x005f_x005f_x0_167"/>
      <sheetName val="_x005f_x005f_x005f_x005f_x005f_x005f_x005f_x005f_x0_168"/>
      <sheetName val="_x005f_x005f_x005f_x005f_x005f_x005f_x005f_x0000__x0_57"/>
      <sheetName val="_x005f_x005f_x005f_x005f_x005f_x005f_x005f_x005f_x0_169"/>
      <sheetName val="_x005f_x005f_x005f_x005f_x005f_x005f_x005f_x005f_x0_170"/>
      <sheetName val="_x005f_x005f_x005f_x005f_x005f_x005f_x005f_x005f_x0_171"/>
      <sheetName val="_x005f_x005f_x005f_x005f_x005f_x005f_x005f_x0000__x0_58"/>
      <sheetName val="_x005f_x005f_x005f_x005f_x005f_x005f_x005f_x005f_x0_172"/>
      <sheetName val="_x005f_x005f_x005f_x005f_x005f_x005f_x005f_x005f_x0_173"/>
      <sheetName val="_x005f_x005f_x005f_x005f_x005f_x005f_x005f_x005f_x0_174"/>
      <sheetName val="_x005f_x005f_x005f_x005f_x005f_x005f_x005f_x0000__x0_59"/>
      <sheetName val="_x005f_x005f_x005f_x005f_x005f_x005f_x005f_x005f_x0_175"/>
      <sheetName val="_x005f_x005f_x005f_x005f_x005f_x005f_x005f_x005f_x0_176"/>
      <sheetName val="_x005f_x005f_x005f_x005f_x005f_x005f_x005f_x005f_x0_177"/>
      <sheetName val="_x005f_x005f_x005f_x005f_x005f_x005f_x005f_x0000__x0_60"/>
      <sheetName val="_x005f_x005f_x005f_x005f_x005f_x005f_x005f_x005f_x0_178"/>
      <sheetName val="_x005f_x005f_x005f_x005f_x005f_x005f_x005f_x005f_x0_179"/>
      <sheetName val="_x005f_x005f_x005f_x005f_x005f_x005f_x005f_x005f_x0_180"/>
      <sheetName val="_x005f_x005f_x005f_x005f_x005f_x005f_x005f_x0000__x0_61"/>
      <sheetName val="_x005f_x005f_x005f_x005f_x005f_x005f_x005f_x005f_x0_181"/>
      <sheetName val="_x005f_x005f_x005f_x005f_x005f_x005f_x005f_x005f_x0_182"/>
      <sheetName val="_x005f_x005f_x005f_x005f_x005f_x005f_x005f_x005f_x0_183"/>
      <sheetName val="_x005f_x005f_x005f_x005f_x005f_x005f_x005f_x0000__x0_62"/>
      <sheetName val="_x005f_x005f_x005f_x005f_x005f_x005f_x005f_x005f_x0_184"/>
      <sheetName val="_x005f_x005f_x005f_x005f_x005f_x005f_x005f_x005f_x0_185"/>
      <sheetName val="_x005f_x005f_x005f_x005f_x005f_x005f_x005f_x005f_x0_186"/>
      <sheetName val="_x005f_x005f_x005f_x005f_x005f_x005f_x005f_x0000__x0_63"/>
      <sheetName val="_x005f_x005f_x005f_x005f_x005f_x005f_x005f_x005f_x0_187"/>
      <sheetName val="_x005f_x005f_x005f_x005f_x005f_x005f_x005f_x005f_x0_188"/>
      <sheetName val="_x005f_x005f_x005f_x005f_x005f_x005f_x005f_x005f_x0_189"/>
      <sheetName val="_x005f_x005f_x005f_x005f_x005f_x005f_x005f_x0000__x0_64"/>
      <sheetName val="_x005f_x005f_x005f_x005f_x005f_x005f_x005f_x005f_x0_190"/>
      <sheetName val="_x005f_x005f_x005f_x005f_x005f_x005f_x005f_x005f_x0_191"/>
      <sheetName val="_x005f_x005f_x005f_x005f_x005f_x005f_x005f_x005f_x0_192"/>
      <sheetName val="_x005f_x005f_x005f_x005f_x005f_x005f_x005f_x0000__x0_65"/>
      <sheetName val="_x005f_x005f_x005f_x005f_x005f_x005f_x005f_x005f_x0_193"/>
      <sheetName val="_x005f_x005f_x005f_x005f_x005f_x005f_x005f_x005f_x0_194"/>
      <sheetName val="_x005f_x005f_x005f_x005f_x005f_x005f_x005f_x005f_x0_195"/>
      <sheetName val="_x005f_x005f_x005f_x005f_x005f_x005f_x005f_x0000__x0_66"/>
      <sheetName val="_x005f_x005f_x005f_x005f_x005f_x005f_x005f_x005f_x0_196"/>
      <sheetName val="_x005f_x005f_x005f_x005f_x005f_x005f_x005f_x005f_x0_197"/>
      <sheetName val="_x005f_x005f_x005f_x005f_x005f_x005f_x005f_x005f_x0_198"/>
      <sheetName val="_x005f_x005f_x005f_x005f_x005f_x005f_x005f_x0000__x0_67"/>
      <sheetName val="_x005f_x005f_x005f_x005f_x005f_x005f_x005f_x005f_x0_199"/>
      <sheetName val="_x005f_x005f_x005f_x005f_x005f_x005f_x005f_x005f_x0_200"/>
      <sheetName val="_x005f_x005f_x005f_x005f_x005f_x005f_x005f_x005f_x0_201"/>
      <sheetName val="_x005f_x005f_x005f_x005f_x005f_x005f_x005f_x0000__x0_68"/>
      <sheetName val="_x005f_x005f_x005f_x005f_x005f_x005f_x005f_x005f_x0_202"/>
      <sheetName val="_x005f_x005f_x005f_x005f_x005f_x005f_x005f_x005f_x0_203"/>
      <sheetName val="_x005f_x005f_x005f_x005f_x005f_x005f_x005f_x005f_x0_204"/>
      <sheetName val="_x005f_x005f_x005f_x005f_x005f_x005f_x005f_x0000__x0_69"/>
      <sheetName val="_x005f_x005f_x005f_x005f_x005f_x005f_x005f_x005f_x0_205"/>
      <sheetName val="_x005f_x005f_x005f_x005f_x005f_x005f_x005f_x005f_x0_206"/>
      <sheetName val="_x005f_x005f_x005f_x005f_x005f_x005f_x005f_x005f_x0_207"/>
      <sheetName val="_x005f_x005f_x005f_x005f_x005f_x005f_x005f_x0000__x0_70"/>
      <sheetName val="_x005f_x005f_x005f_x005f_x005f_x005f_x005f_x005f_x0_208"/>
      <sheetName val="_x005f_x005f_x005f_x005f_x005f_x005f_x005f_x005f_x0_209"/>
      <sheetName val="_x005f_x005f_x005f_x005f_x005f_x005f_x005f_x005f_x0_210"/>
      <sheetName val="_x005f_x005f_x005f_x005f_x005f_x005f_x005f_x0000__x0_71"/>
      <sheetName val="_x005f_x005f_x005f_x005f_x005f_x005f_x005f_x005f_x0_211"/>
      <sheetName val="_x005f_x005f_x005f_x005f_x005f_x005f_x005f_x005f_x0_212"/>
      <sheetName val="_x005f_x005f_x005f_x005f_x005f_x005f_x005f_x005f_x0_213"/>
      <sheetName val="_x005f_x005f_x005f_x005f_x005f_x005f_x005f_x0000__x0_72"/>
      <sheetName val="_x005f_x005f_x005f_x005f_x005f_x005f_x005f_x005f_x0_214"/>
      <sheetName val="_x005f_x005f_x005f_x005f_x005f_x005f_x005f_x005f_x0_215"/>
      <sheetName val="_x005f_x005f_x005f_x005f_x005f_x005f_x005f_x005f_x0_216"/>
      <sheetName val="_x005f_x005f_x005f_x005f_x005f_x005f_x005f_x0000__x0_73"/>
      <sheetName val="_x005f_x005f_x005f_x005f_x005f_x005f_x005f_x005f_x0_217"/>
      <sheetName val="_x005f_x005f_x005f_x005f_x005f_x005f_x005f_x005f_x0_218"/>
      <sheetName val="_x005f_x005f_x005f_x005f_x005f_x005f_x005f_x005f_x0_219"/>
      <sheetName val="_x005f_x005f_x005f_x005f_x005f_x005f_x005f_x0000__x0_74"/>
      <sheetName val="_x005f_x005f_x005f_x005f_x005f_x005f_x005f_x005f_x0_220"/>
      <sheetName val="_x005f_x005f_x005f_x005f_x005f_x005f_x005f_x005f_x0_221"/>
      <sheetName val="_x005f_x005f_x005f_x005f_x005f_x005f_x005f_x005f_x0_222"/>
      <sheetName val="_x005f_x005f_x005f_x005f_x005f_x005f_x005f_x0000__x0_75"/>
      <sheetName val="_x005f_x005f_x005f_x005f_x005f_x005f_x005f_x005f_x0_223"/>
      <sheetName val="_x005f_x005f_x005f_x005f_x005f_x005f_x005f_x005f_x0_224"/>
      <sheetName val="_x005f_x005f_x005f_x005f_x005f_x005f_x005f_x005f_x0_225"/>
      <sheetName val="_x005f_x005f_x005f_x005f_x005f_x005f_x005f_x0000__x0_76"/>
      <sheetName val="_x005f_x005f_x005f_x005f_x005f_x005f_x005f_x005f_x0_226"/>
      <sheetName val="_x005f_x005f_x005f_x005f_x005f_x005f_x005f_x005f_x0_227"/>
      <sheetName val="_x005f_x005f_x005f_x005f_x005f_x005f_x005f_x005f_x0_228"/>
      <sheetName val="_x005f_x005f_x005f_x005f_x005f_x005f_x005f_x0000__x0_77"/>
      <sheetName val="_x005f_x005f_x005f_x005f_x005f_x005f_x005f_x005f_x0_229"/>
      <sheetName val="_x005f_x005f_x005f_x005f_x005f_x005f_x005f_x005f_x0_230"/>
      <sheetName val="_x005f_x005f_x005f_x005f_x005f_x005f_x005f_x005f_x0_231"/>
      <sheetName val="_x005f_x005f_x005f_x005f_x005f_x005f_x005f_x0000__x0_78"/>
      <sheetName val="_x005f_x005f_x005f_x005f_x005f_x005f_x005f_x005f_x0_232"/>
      <sheetName val="_x005f_x005f_x005f_x005f_x005f_x005f_x005f_x005f_x0_233"/>
      <sheetName val="_x005f_x005f_x005f_x005f_x005f_x005f_x005f_x005f_x0_234"/>
      <sheetName val="_x005f_x005f_x005f_x005f_x005f_x005f_x005f_x0000__x0_79"/>
      <sheetName val="_x005f_x005f_x005f_x005f_x005f_x005f_x005f_x005f_x0_235"/>
      <sheetName val="_x005f_x005f_x005f_x005f_x005f_x005f_x005f_x005f_x0_236"/>
      <sheetName val="_x005f_x005f_x005f_x005f_x005f_x005f_x005f_x005f_x0_237"/>
      <sheetName val="_x005f_x005f_x005f_x005f_x005f_x005f_x005f_x0000__x0_80"/>
      <sheetName val="_x005f_x005f_x005f_x005f_x005f_x005f_x005f_x005f_x0_238"/>
      <sheetName val="_x005f_x005f_x005f_x005f_x005f_x005f_x005f_x005f_x0_239"/>
      <sheetName val="_x005f_x005f_x005f_x005f_x005f_x005f_x005f_x005f_x0_240"/>
      <sheetName val="_x005f_x005f_x005f_x005f_x005f_x005f_x005f_x0000__x0_81"/>
      <sheetName val="_x005f_x005f_x005f_x005f_x005f_x005f_x005f_x005f_x0_241"/>
      <sheetName val="_x005f_x005f_x005f_x005f_x005f_x005f_x005f_x005f_x0_242"/>
      <sheetName val="_x005f_x005f_x005f_x005f_x005f_x005f_x005f_x005f_x0_243"/>
      <sheetName val="_x005f_x005f_x005f_x005f_x005f_x005f_x005f_x0000__x0_82"/>
      <sheetName val="_x005f_x005f_x005f_x005f_x005f_x005f_x005f_x005f_x0_244"/>
      <sheetName val="_x005f_x005f_x005f_x005f_x005f_x005f_x005f_x005f_x0_245"/>
      <sheetName val="_x005f_x005f_x005f_x005f_x005f_x005f_x005f_x005f_x0_246"/>
      <sheetName val="_x005f_x005f_x005f_x005f_x005f_x005f_x005f_x0000__x0_83"/>
      <sheetName val="_x005f_x005f_x005f_x005f_x005f_x005f_x005f_x005f_x0_247"/>
      <sheetName val="_x005f_x005f_x005f_x005f_x005f_x005f_x005f_x005f_x0_248"/>
      <sheetName val="_x005f_x005f_x005f_x005f_x005f_x005f_x005f_x005f_x0_249"/>
      <sheetName val="_x005f_x005f_x005f_x005f_x005f_x005f_x005f_x0000__x0_84"/>
      <sheetName val="_x005f_x005f_x005f_x005f_x005f_x005f_x005f_x005f_x0_250"/>
      <sheetName val="_x005f_x005f_x005f_x005f_x005f_x005f_x005f_x005f_x0_251"/>
      <sheetName val="_x005f_x005f_x005f_x005f_x005f_x005f_x005f_x005f_x0_252"/>
      <sheetName val="_x005f_x005f_x005f_x005f_x005f_x005f_x005f_x0000__x0_85"/>
      <sheetName val="_x005f_x005f_x005f_x005f_x005f_x005f_x005f_x005f_x0_253"/>
      <sheetName val="_x005f_x005f_x005f_x005f_x005f_x005f_x005f_x005f_x0_254"/>
      <sheetName val="_x005f_x005f_x005f_x005f_x005f_x005f_x005f_x005f_x0_255"/>
      <sheetName val="_x005f_x005f_x005f_x005f_x005f_x005f_x005f_x0000__x0_86"/>
      <sheetName val="_x005f_x005f_x005f_x005f_x005f_x005f_x005f_x005f_x0_256"/>
      <sheetName val="_x005f_x005f_x005f_x005f_x005f_x005f_x005f_x005f_x0_257"/>
      <sheetName val="_x005f_x005f_x005f_x005f_x005f_x005f_x005f_x005f_x0_258"/>
      <sheetName val="_x005f_x005f_x005f_x005f_x005f_x005f_x005f_x0000__x0_87"/>
      <sheetName val="_x005f_x005f_x005f_x005f_x005f_x005f_x005f_x005f_x0_259"/>
      <sheetName val="_x005f_x005f_x005f_x005f_x005f_x005f_x005f_x005f_x0_260"/>
      <sheetName val="_x005f_x005f_x005f_x005f_x005f_x005f_x005f_x005f_x0_261"/>
      <sheetName val="_x005f_x005f_x005f_x005f_x005f_x005f_x005f_x0000__x0_88"/>
      <sheetName val="_x005f_x005f_x005f_x005f_x005f_x005f_x005f_x005f_x0_262"/>
      <sheetName val="_x005f_x005f_x005f_x005f_x005f_x005f_x005f_x005f_x0_263"/>
      <sheetName val="_x005f_x005f_x005f_x005f_x005f_x005f_x005f_x005f_x0_264"/>
      <sheetName val="_x005f_x005f_x005f_x005f_x005f_x005f_x005f_x0000__x0_89"/>
      <sheetName val="_x005f_x005f_x005f_x005f_x005f_x005f_x005f_x005f_x0_265"/>
      <sheetName val="_x005f_x005f_x005f_x005f_x005f_x005f_x005f_x005f_x0_266"/>
      <sheetName val="_x005f_x005f_x005f_x005f_x005f_x005f_x005f_x005f_x0_267"/>
      <sheetName val="_x005f_x005f_x005f_x005f_x005f_x005f_x005f_x0000__x0_90"/>
      <sheetName val="_x005f_x005f_x005f_x005f_x005f_x005f_x005f_x005f_x0_268"/>
      <sheetName val="_x005f_x005f_x005f_x005f_x005f_x005f_x005f_x005f_x0_269"/>
      <sheetName val="_x005f_x005f_x005f_x005f_x005f_x005f_x005f_x005f_x0_270"/>
      <sheetName val="_x005f_x005f_x005f_x005f_x005f_x005f_x005f_x0000__x0_91"/>
      <sheetName val="_x005f_x005f_x005f_x005f_x005f_x005f_x005f_x005f_x0_271"/>
      <sheetName val="_x005f_x005f_x005f_x005f_x005f_x005f_x005f_x005f_x0_272"/>
      <sheetName val="_x005f_x005f_x005f_x005f_x005f_x005f_x005f_x005f_x0_273"/>
      <sheetName val="_x005f_x005f_x005f_x005f_x005f_x005f_x005f_x0000__x0_92"/>
      <sheetName val="_x005f_x005f_x005f_x005f_x005f_x005f_x005f_x005f_x0_274"/>
      <sheetName val="_x005f_x005f_x005f_x005f_x005f_x005f_x005f_x005f_x0_275"/>
      <sheetName val="_x005f_x005f_x005f_x005f_x005f_x005f_x005f_x005f_x0_276"/>
      <sheetName val="_x005f_x005f_x005f_x005f_x005f_x005f_x005f_x0000__x0_93"/>
      <sheetName val="_x005f_x005f_x005f_x005f_x005f_x005f_x005f_x005f_x0_277"/>
      <sheetName val="_x005f_x005f_x005f_x005f_x005f_x005f_x005f_x005f_x0_278"/>
      <sheetName val="_x005f_x005f_x005f_x005f_x005f_x005f_x005f_x005f_x0_279"/>
      <sheetName val="_x005f_x005f_x005f_x005f_x005f_x005f_x005f_x0000__x0_94"/>
      <sheetName val="_x005f_x005f_x005f_x005f_x005f_x005f_x005f_x005f_x0_280"/>
      <sheetName val="_x005f_x005f_x005f_x005f_x005f_x005f_x005f_x005f_x0_281"/>
      <sheetName val="_x005f_x005f_x005f_x005f_x005f_x005f_x005f_x005f_x0_282"/>
      <sheetName val="_x005f_x005f_x005f_x005f_x005f_x005f_x005f_x0000__x0_95"/>
      <sheetName val="_x005f_x005f_x005f_x005f_x005f_x005f_x005f_x005f_x0_283"/>
      <sheetName val="_x005f_x005f_x005f_x005f_x005f_x005f_x005f_x005f_x0_284"/>
      <sheetName val="_x005f_x005f_x005f_x005f_x005f_x005f_x005f_x005f_x0_285"/>
      <sheetName val="_x005f_x005f_x005f_x005f_x005f_x005f_x005f_x0000__x0_96"/>
      <sheetName val="_x005f_x005f_x005f_x005f_x005f_x005f_x005f_x005f_x0_286"/>
      <sheetName val="_x005f_x005f_x005f_x005f_x005f_x005f_x005f_x005f_x0_287"/>
      <sheetName val="_x005f_x005f_x005f_x005f_x005f_x005f_x005f_x005f_x0_288"/>
      <sheetName val="_x005f_x005f_x005f_x005f_x005f_x005f_x005f_x0000__x0_97"/>
      <sheetName val="_x005f_x005f_x005f_x005f_x005f_x005f_x005f_x005f_x0_289"/>
      <sheetName val="_x005f_x005f_x005f_x005f_x005f_x005f_x005f_x005f_x0_290"/>
      <sheetName val="_x005f_x005f_x005f_x005f_x005f_x005f_x005f_x005f_x0_291"/>
      <sheetName val="_x005f_x005f_x005f_x005f_x005f_x005f_x005f_x0000__x0_98"/>
      <sheetName val="_x005f_x005f_x005f_x005f_x005f_x005f_x005f_x005f_x0_292"/>
      <sheetName val="_x005f_x005f_x005f_x005f_x005f_x005f_x005f_x005f_x0_293"/>
      <sheetName val="_x005f_x005f_x005f_x005f_x005f_x005f_x005f_x005f_x0_294"/>
      <sheetName val="_x005f_x005f_x005f_x005f_x005f_x005f_x005f_x0000__x0_99"/>
      <sheetName val="_x005f_x005f_x005f_x005f_x005f_x005f_x005f_x005f_x0_295"/>
      <sheetName val="_x005f_x005f_x005f_x005f_x005f_x005f_x005f_x005f_x0_296"/>
      <sheetName val="_x005f_x005f_x005f_x005f_x005f_x005f_x005f_x005f_x0_297"/>
      <sheetName val="_x005f_x005f_x005f_x005f_x005f_x005f_x005f_x0000__x_100"/>
      <sheetName val="_x005f_x005f_x005f_x005f_x005f_x005f_x005f_x005f_x0_298"/>
      <sheetName val="_x005f_x005f_x005f_x005f_x005f_x005f_x005f_x005f_x0_299"/>
      <sheetName val="_x005f_x005f_x005f_x005f_x005f_x005f_x005f_x005f_x0_300"/>
      <sheetName val="_x005f_x005f_x005f_x005f_x005f_x005f_x005f_x0000__x_101"/>
      <sheetName val="_x005f_x005f_x005f_x005f_x005f_x005f_x005f_x005f_x0_301"/>
      <sheetName val="_x005f_x005f_x005f_x005f_x005f_x005f_x005f_x005f_x0_302"/>
      <sheetName val="_x005f_x005f_x005f_x005f_x005f_x005f_x005f_x005f_x0_303"/>
      <sheetName val="_x005f_x005f_x005f_x005f_x005f_x005f_x005f_x0000__x_102"/>
      <sheetName val="_x005f_x005f_x005f_x005f_x005f_x005f_x005f_x005f_x0_304"/>
      <sheetName val="_x005f_x005f_x005f_x005f_x005f_x005f_x005f_x005f_x0_305"/>
      <sheetName val="_x005f_x005f_x005f_x005f_x005f_x005f_x005f_x005f_x0_306"/>
      <sheetName val="_x005f_x005f_x005f_x005f_x005f_x005f_x005f_x0000__x_103"/>
      <sheetName val="_x005f_x005f_x005f_x005f_x005f_x005f_x005f_x005f_x0_307"/>
      <sheetName val="_x005f_x005f_x005f_x005f_x005f_x005f_x005f_x005f_x0_308"/>
      <sheetName val="_x005f_x005f_x005f_x005f_x005f_x005f_x005f_x005f_x0_309"/>
      <sheetName val="_x005f_x005f_x005f_x005f_x005f_x005f_x005f_x0000__x_104"/>
      <sheetName val="_x005f_x005f_x005f_x005f_x005f_x005f_x005f_x005f_x0_310"/>
      <sheetName val="_x005f_x005f_x005f_x005f_x005f_x005f_x005f_x005f_x0_311"/>
      <sheetName val="_x005f_x005f_x005f_x005f_x005f_x005f_x005f_x005f_x0_312"/>
      <sheetName val="_x005f_x005f_x005f_x005f_x005f_x005f_x005f_x0000__x_105"/>
      <sheetName val="_x005f_x005f_x005f_x005f_x005f_x005f_x005f_x005f_x0_313"/>
      <sheetName val="_x005f_x005f_x005f_x005f_x005f_x005f_x005f_x005f_x0_314"/>
      <sheetName val="_x005f_x005f_x005f_x005f_x005f_x005f_x005f_x005f_x0_315"/>
      <sheetName val="_x005f_x005f_x005f_x005f_x005f_x005f_x005f_x0000__x_106"/>
      <sheetName val="_x005f_x005f_x005f_x005f_x005f_x005f_x005f_x005f_x0_316"/>
      <sheetName val="_x005f_x005f_x005f_x005f_x005f_x005f_x005f_x005f_x0_317"/>
      <sheetName val="_x005f_x005f_x005f_x005f_x005f_x005f_x005f_x005f_x0_318"/>
      <sheetName val="_x005f_x005f_x005f_x005f_x005f_x005f_x005f_x0000__x_107"/>
      <sheetName val="_x005f_x005f_x005f_x005f_x005f_x005f_x005f_x005f_x0_319"/>
      <sheetName val="_x005f_x005f_x005f_x005f_x005f_x005f_x005f_x005f_x0_320"/>
      <sheetName val="_x005f_x005f_x005f_x005f_x005f_x005f_x005f_x005f_x0_321"/>
      <sheetName val="_x005f_x005f_x005f_x005f_x005f_x005f_x005f_x0000__x_108"/>
      <sheetName val="_x005f_x005f_x005f_x005f_x005f_x005f_x005f_x005f_x0_322"/>
      <sheetName val="_x005f_x005f_x005f_x005f_x005f_x005f_x005f_x005f_x0_323"/>
      <sheetName val="_x005f_x005f_x005f_x005f_x005f_x005f_x005f_x005f_x0_324"/>
      <sheetName val="_x005f_x005f_x005f_x005f_x005f_x005f_x005f_x0000__x_109"/>
      <sheetName val="_x005f_x005f_x005f_x005f_x005f_x005f_x005f_x005f_x0_325"/>
      <sheetName val="_x005f_x005f_x005f_x005f_x005f_x005f_x005f_x005f_x0_326"/>
      <sheetName val="_x005f_x005f_x005f_x005f_x005f_x005f_x005f_x005f_x0_327"/>
      <sheetName val="_x005f_x005f_x005f_x005f_x005f_x005f_x005f_x0000__x_110"/>
      <sheetName val="_x005f_x005f_x005f_x005f_x005f_x005f_x005f_x005f_x0_328"/>
      <sheetName val="_x005f_x005f_x005f_x005f_x005f_x005f_x005f_x005f_x0_329"/>
      <sheetName val="_x005f_x005f_x005f_x005f_x005f_x005f_x005f_x005f_x0_330"/>
      <sheetName val="_x005f_x005f_x005f_x005f_x005f_x005f_x005f_x0000__x_111"/>
      <sheetName val="_x005f_x005f_x005f_x005f_x005f_x005f_x005f_x005f_x0_331"/>
      <sheetName val="_x005f_x005f_x005f_x005f_x005f_x005f_x005f_x005f_x0_332"/>
      <sheetName val="_x005f_x005f_x005f_x005f_x005f_x005f_x005f_x005f_x0_333"/>
      <sheetName val="_x005f_x005f_x005f_x005f_x005f_x005f_x005f_x0000__x_112"/>
      <sheetName val="_x005f_x005f_x005f_x005f_x005f_x005f_x005f_x005f_x0_334"/>
      <sheetName val="_x005f_x005f_x005f_x005f_x005f_x005f_x005f_x005f_x0_335"/>
      <sheetName val="_x005f_x005f_x005f_x005f_x005f_x005f_x005f_x005f_x0_336"/>
      <sheetName val="_x005f_x005f_x005f_x005f_x005f_x005f_x005f_x0000__x_113"/>
      <sheetName val="_x005f_x005f_x005f_x005f_x005f_x005f_x005f_x005f_x0_337"/>
      <sheetName val="_x005f_x005f_x005f_x005f_x005f_x005f_x005f_x005f_x0_338"/>
      <sheetName val="_x005f_x005f_x005f_x005f_x005f_x005f_x005f_x005f_x0_339"/>
      <sheetName val="_x005f_x005f_x005f_x005f_x005f_x005f_x005f_x0000__x_114"/>
      <sheetName val="_x005f_x005f_x005f_x005f_x005f_x005f_x005f_x005f_x0_340"/>
      <sheetName val="_x005f_x005f_x005f_x005f_x005f_x005f_x005f_x005f_x0_341"/>
      <sheetName val="_x005f_x005f_x005f_x005f_x005f_x005f_x005f_x005f_x0_342"/>
      <sheetName val="_x005f_x005f_x005f_x005f_x005f_x005f_x005f_x0000__x_115"/>
      <sheetName val="_x005f_x005f_x005f_x005f_x005f_x005f_x005f_x005f_x0_343"/>
      <sheetName val="_x005f_x005f_x005f_x005f_x005f_x005f_x005f_x005f_x0_344"/>
      <sheetName val="_x005f_x005f_x005f_x005f_x005f_x005f_x005f_x005f_x0_345"/>
      <sheetName val="_x005f_x005f_x005f_x005f_x005f_x005f_x005f_x0000__x_116"/>
      <sheetName val="_x005f_x005f_x005f_x005f_x005f_x005f_x005f_x005f_x0_346"/>
      <sheetName val="_x005f_x005f_x005f_x005f_x005f_x005f_x005f_x005f_x0_347"/>
      <sheetName val="_x005f_x005f_x005f_x005f_x005f_x005f_x005f_x005f_x0_348"/>
      <sheetName val="_x005f_x005f_x005f_x005f_x005f_x005f_x005f_x0000__x_117"/>
      <sheetName val="_x005f_x005f_x005f_x005f_x005f_x005f_x005f_x005f_x0_349"/>
      <sheetName val="_x005f_x005f_x005f_x005f_x005f_x005f_x005f_x005f_x0_350"/>
      <sheetName val="_x005f_x005f_x005f_x005f_x005f_x005f_x005f_x005f_x0_351"/>
      <sheetName val="_x005f_x005f_x005f_x005f_x005f_x005f_x005f_x0000__x_118"/>
      <sheetName val="_x005f_x005f_x005f_x005f_x005f_x005f_x005f_x005f_x0_352"/>
      <sheetName val="_x005f_x005f_x005f_x005f_x005f_x005f_x005f_x005f_x0_353"/>
      <sheetName val="_x005f_x005f_x005f_x005f_x005f_x005f_x005f_x005f_x0_354"/>
      <sheetName val="_x005f_x005f_x005f_x005f_x005f_x005f_x005f_x0000__x_119"/>
      <sheetName val="_x005f_x005f_x005f_x005f_x005f_x005f_x005f_x005f_x0_355"/>
      <sheetName val="_x005f_x005f_x005f_x005f_x005f_x005f_x005f_x005f_x0_356"/>
      <sheetName val="_x005f_x005f_x005f_x005f_x005f_x005f_x005f_x005f_x0_357"/>
      <sheetName val="_x005f_x005f_x005f_x005f_x005f_x005f_x005f_x0000__x_120"/>
      <sheetName val="_x005f_x005f_x005f_x005f_x005f_x005f_x005f_x005f_x0_358"/>
      <sheetName val="_x005f_x005f_x005f_x005f_x005f_x005f_x005f_x005f_x0_359"/>
      <sheetName val="_x005f_x005f_x005f_x005f_x005f_x005f_x005f_x005f_x0_360"/>
      <sheetName val="_x005f_x005f_x005f_x005f_x005f_x005f_x005f_x0000__x_121"/>
      <sheetName val="_x005f_x005f_x005f_x005f_x005f_x005f_x005f_x005f_x0_361"/>
      <sheetName val="_x005f_x005f_x005f_x005f_x005f_x005f_x005f_x005f_x0_362"/>
      <sheetName val="_x005f_x005f_x005f_x005f_x005f_x005f_x005f_x005f_x0_363"/>
      <sheetName val="_x005f_x005f_x005f_x005f_x005f_x005f_x005f_x0000__x_122"/>
      <sheetName val="_x005f_x005f_x005f_x005f_x005f_x005f_x005f_x005f_x0_364"/>
      <sheetName val="_x005f_x005f_x005f_x005f_x005f_x005f_x005f_x005f_x0_365"/>
      <sheetName val="_x005f_x005f_x005f_x005f_x005f_x005f_x005f_x005f_x0_366"/>
      <sheetName val="_x005f_x005f_x005f_x005f_x005f_x005f_x005f_x0000__x_123"/>
      <sheetName val="_x005f_x005f_x005f_x005f_x005f_x005f_x005f_x005f_x0_367"/>
      <sheetName val="_x005f_x005f_x005f_x005f_x005f_x005f_x005f_x005f_x0_368"/>
      <sheetName val="_x005f_x005f_x005f_x005f_x005f_x005f_x005f_x005f_x0_369"/>
      <sheetName val="_x005f_x005f_x005f_x005f_x005f_x005f_x005f_x0000__x_124"/>
      <sheetName val="_x005f_x005f_x005f_x005f_x005f_x005f_x005f_x005f_x0_370"/>
      <sheetName val="_x005f_x005f_x005f_x005f_x005f_x005f_x005f_x005f_x0_371"/>
      <sheetName val="_x005f_x005f_x005f_x005f_x005f_x005f_x005f_x005f_x0_372"/>
      <sheetName val="_x005f_x005f_x005f_x005f_x005f_x005f_x005f_x0000__x_125"/>
      <sheetName val="_x005f_x005f_x005f_x005f_x005f_x005f_x005f_x005f_x0_373"/>
      <sheetName val="_x005f_x005f_x005f_x005f_x005f_x005f_x005f_x005f_x0_374"/>
      <sheetName val="_x005f_x005f_x005f_x005f_x005f_x005f_x005f_x005f_x0_375"/>
      <sheetName val="_x005f_x005f_x005f_x005f_x005f_x005f_x005f_x0000__x_126"/>
      <sheetName val="_x005f_x005f_x005f_x005f_x005f_x005f_x005f_x005f_x0_376"/>
      <sheetName val="_x005f_x005f_x005f_x005f_x005f_x005f_x005f_x005f_x0_377"/>
      <sheetName val="_x005f_x005f_x005f_x005f_x005f_x005f_x005f_x005f_x0_378"/>
      <sheetName val="_x005f_x005f_x005f_x005f_x005f_x005f_x005f_x0000__x_127"/>
      <sheetName val="_x005f_x005f_x005f_x005f_x005f_x005f_x005f_x005f_x0_379"/>
      <sheetName val="_x005f_x005f_x005f_x005f_x005f_x005f_x005f_x005f_x0_380"/>
      <sheetName val="_x005f_x005f_x005f_x005f_x005f_x005f_x005f_x005f_x0_381"/>
      <sheetName val="_x005f_x005f_x005f_x005f_x005f_x005f_x005f_x0000__x_128"/>
      <sheetName val="_x005f_x005f_x005f_x005f_x005f_x005f_x005f_x005f_x0_382"/>
      <sheetName val="_x005f_x005f_x005f_x005f_x005f_x005f_x005f_x005f_x0_383"/>
      <sheetName val="_x005f_x005f_x005f_x005f_x005f_x005f_x005f_x005f_x0_384"/>
      <sheetName val="_x005f_x005f_x005f_x005f_x005f_x005f_x005f_x0000__x_129"/>
      <sheetName val="_x005f_x005f_x005f_x005f_x005f_x005f_x005f_x005f_x0_385"/>
      <sheetName val="_x005f_x005f_x005f_x005f_x005f_x005f_x005f_x005f_x0_386"/>
      <sheetName val="_x005f_x005f_x005f_x005f_x005f_x005f_x005f_x005f_x0_387"/>
      <sheetName val="_x005f_x005f_x005f_x005f_x005f_x005f_x005f_x0000__x_130"/>
      <sheetName val="_x005f_x005f_x005f_x005f_x005f_x005f_x005f_x005f_x0_388"/>
      <sheetName val="_x005f_x005f_x005f_x005f_x005f_x005f_x005f_x005f_x0_389"/>
      <sheetName val="_x005f_x005f_x005f_x005f_x005f_x005f_x005f_x005f_x0_390"/>
      <sheetName val="_x005f_x005f_x005f_x005f_x005f_x005f_x005f_x0000__x_131"/>
      <sheetName val="_x005f_x005f_x005f_x005f_x005f_x005f_x005f_x005f_x0_391"/>
      <sheetName val="_x005f_x005f_x005f_x005f_x005f_x005f_x005f_x005f_x0_392"/>
      <sheetName val="_x005f_x005f_x005f_x005f_x005f_x005f_x005f_x005f_x0_393"/>
      <sheetName val="_x005f_x005f_x005f_x005f_x005f_x005f_x005f_x0000__x_132"/>
      <sheetName val="_x005f_x005f_x005f_x005f_x005f_x005f_x005f_x005f_x0_394"/>
      <sheetName val="_x005f_x005f_x005f_x005f_x005f_x005f_x005f_x005f_x0_395"/>
      <sheetName val="_x005f_x005f_x005f_x005f_x005f_x005f_x005f_x005f_x0_396"/>
      <sheetName val="_x005f_x005f_x005f_x005f_x005f_x005f_x005f_x0000__x_133"/>
      <sheetName val="_x005f_x005f_x005f_x005f_x005f_x005f_x005f_x005f_x0_397"/>
      <sheetName val="_x005f_x005f_x005f_x005f_x005f_x005f_x005f_x005f_x0_398"/>
      <sheetName val="_x005f_x005f_x005f_x005f_x005f_x005f_x005f_x005f_x0_399"/>
      <sheetName val="_x005f_x005f_x005f_x005f_x005f_x005f_x005f_x0000__x_134"/>
      <sheetName val="_x005f_x005f_x005f_x005f_x005f_x005f_x005f_x005f_x0_400"/>
      <sheetName val="_x005f_x005f_x005f_x005f_x005f_x005f_x005f_x005f_x0_401"/>
      <sheetName val="_x005f_x005f_x005f_x005f_x005f_x005f_x005f_x005f_x0_402"/>
      <sheetName val="_x005f_x005f_x005f_x005f_x005f_x005f_x005f_x0000__x_135"/>
      <sheetName val="_x005f_x005f_x005f_x005f_x005f_x005f_x005f_x005f_x0_403"/>
      <sheetName val="_x005f_x005f_x005f_x005f_x005f_x005f_x005f_x005f_x0_404"/>
      <sheetName val="_x005f_x005f_x005f_x005f_x005f_x005f_x005f_x005f_x0_405"/>
      <sheetName val="_x005f_x005f_x005f_x005f_x005f_x005f_x005f_x0000__x_136"/>
      <sheetName val="_x005f_x005f_x005f_x005f_x005f_x005f_x005f_x005f_x0_406"/>
      <sheetName val="_x005f_x005f_x005f_x005f_x005f_x005f_x005f_x005f_x0_407"/>
      <sheetName val="_x005f_x005f_x005f_x005f_x005f_x005f_x005f_x005f_x0_408"/>
      <sheetName val="_x005f_x005f_x005f_x005f_x005f_x005f_x005f_x0000__x_137"/>
      <sheetName val="_x005f_x005f_x005f_x005f_x005f_x005f_x005f_x005f_x0_409"/>
      <sheetName val="_x005f_x005f_x005f_x005f_x005f_x005f_x005f_x005f_x0_410"/>
      <sheetName val="_x005f_x005f_x005f_x005f_x005f_x005f_x005f_x005f_x0_411"/>
      <sheetName val="_x005f_x005f_x005f_x005f_x005f_x005f_x005f_x0000__x_138"/>
      <sheetName val="_x005f_x005f_x005f_x005f_x005f_x005f_x005f_x005f_x0_412"/>
      <sheetName val="_x005f_x005f_x005f_x005f_x005f_x005f_x005f_x005f_x0_413"/>
      <sheetName val="_x005f_x005f_x005f_x005f_x005f_x005f_x005f_x005f_x0_414"/>
      <sheetName val="_x005f_x005f_x005f_x005f_x005f_x005f_x005f_x0000__x_139"/>
      <sheetName val="_x005f_x005f_x005f_x005f_x005f_x005f_x005f_x005f_x0_415"/>
      <sheetName val="_x005f_x005f_x005f_x005f_x005f_x005f_x005f_x005f_x0_416"/>
      <sheetName val="_x005f_x005f_x005f_x005f_x005f_x005f_x005f_x005f_x0_417"/>
      <sheetName val="_x005f_x005f_x005f_x005f_x005f_x005f_x005f_x0000__x_140"/>
      <sheetName val="_x005f_x005f_x005f_x005f_x005f_x005f_x005f_x005f_x0_418"/>
      <sheetName val="_x005f_x005f_x005f_x005f_x005f_x005f_x005f_x005f_x0_419"/>
      <sheetName val="_x005f_x005f_x005f_x005f_x005f_x005f_x005f_x005f_x0_420"/>
      <sheetName val="_x005f_x005f_x005f_x005f_x005f_x005f_x005f_x0000__x_141"/>
      <sheetName val="_x005f_x005f_x005f_x005f_x005f_x005f_x005f_x005f_x0_421"/>
      <sheetName val="_x005f_x005f_x005f_x005f_x005f_x005f_x005f_x005f_x0_422"/>
      <sheetName val="_x005f_x005f_x005f_x005f_x005f_x005f_x005f_x005f_x0_423"/>
      <sheetName val="_x005f_x005f_x005f_x005f_x005f_x005f_x005f_x0000__x_142"/>
      <sheetName val="_x005f_x005f_x005f_x005f_x005f_x005f_x005f_x005f_x0_424"/>
      <sheetName val="_x005f_x005f_x005f_x005f_x005f_x005f_x005f_x005f_x0_425"/>
      <sheetName val="_x005f_x005f_x005f_x005f_x005f_x005f_x005f_x005f_x0_426"/>
      <sheetName val="_x005f_x005f_x005f_x005f_x005f_x005f_x005f_x0000__x_143"/>
      <sheetName val="_x005f_x005f_x005f_x005f_x005f_x005f_x005f_x005f_x0_427"/>
      <sheetName val="_x005f_x005f_x005f_x005f_x005f_x005f_x005f_x005f_x0_428"/>
      <sheetName val="_x005f_x005f_x005f_x005f_x005f_x005f_x005f_x005f_x0_429"/>
      <sheetName val="_x005f_x005f_x005f_x005f_x005f_x005f_x005f_x0000__x_144"/>
      <sheetName val="_x005f_x005f_x005f_x005f_x005f_x005f_x005f_x005f_x0_430"/>
      <sheetName val="_x005f_x005f_x005f_x005f_x005f_x005f_x005f_x005f_x0_431"/>
      <sheetName val="_x005f_x005f_x005f_x005f_x005f_x005f_x005f_x005f_x0_432"/>
      <sheetName val="_x005f_x005f_x005f_x005f_x005f_x005f_x005f_x0000__x_145"/>
      <sheetName val="_x005f_x005f_x005f_x005f_x005f_x005f_x005f_x005f_x0_433"/>
      <sheetName val="_x005f_x005f_x005f_x005f_x005f_x005f_x005f_x005f_x0_434"/>
      <sheetName val="_x005f_x005f_x005f_x005f_x005f_x005f_x005f_x005f_x0_435"/>
      <sheetName val="_x005f_x005f_x005f_x005f_x005f_x005f_x005f_x0000__x_146"/>
      <sheetName val="_x005f_x005f_x005f_x005f_x005f_x005f_x005f_x005f_x0_436"/>
      <sheetName val="_x005f_x005f_x005f_x005f_x005f_x005f_x005f_x005f_x0_437"/>
      <sheetName val="_x005f_x005f_x005f_x005f_x005f_x005f_x005f_x005f_x0_438"/>
      <sheetName val="_x005f_x005f_x005f_x005f_x005f_x005f_x005f_x0000__x_147"/>
      <sheetName val="_x005f_x005f_x005f_x005f_x005f_x005f_x005f_x005f_x0_439"/>
      <sheetName val="_x005f_x005f_x005f_x005f_x005f_x005f_x005f_x005f_x0_440"/>
      <sheetName val="_x005f_x005f_x005f_x005f_x005f_x005f_x005f_x005f_x0_441"/>
      <sheetName val="_x005f_x005f_x005f_x005f_x005f_x005f_x005f_x0000__x_148"/>
      <sheetName val="_x005f_x005f_x005f_x005f_x005f_x005f_x005f_x005f_x0_442"/>
      <sheetName val="_x005f_x005f_x005f_x005f_x005f_x005f_x005f_x005f_x0_443"/>
      <sheetName val="_x005f_x005f_x005f_x005f_x005f_x005f_x005f_x005f_x0_444"/>
      <sheetName val="_x005f_x005f_x005f_x005f_x005f_x005f_x005f_x0000__x_149"/>
      <sheetName val="_x005f_x005f_x005f_x005f_x005f_x005f_x005f_x005f_x0_445"/>
      <sheetName val="_x005f_x005f_x005f_x005f_x005f_x005f_x005f_x005f_x0_446"/>
      <sheetName val="_x005f_x005f_x005f_x005f_x005f_x005f_x005f_x005f_x0_447"/>
      <sheetName val="_x005f_x005f_x005f_x005f_x005f_x005f_x005f_x0000__x_150"/>
      <sheetName val="_x005f_x005f_x005f_x005f_x005f_x005f_x005f_x005f_x0_448"/>
      <sheetName val="_x005f_x005f_x005f_x005f_x005f_x005f_x005f_x005f_x0_449"/>
      <sheetName val="_x005f_x005f_x005f_x005f_x005f_x005f_x005f_x005f_x0_450"/>
      <sheetName val="_x005f_x005f_x005f_x005f_x005f_x005f_x005f_x0000__x_151"/>
      <sheetName val="_x005f_x005f_x005f_x005f_x005f_x005f_x005f_x005f_x0_451"/>
      <sheetName val="_x005f_x005f_x005f_x005f_x005f_x005f_x005f_x005f_x0_452"/>
      <sheetName val="_x005f_x005f_x005f_x005f_x005f_x005f_x005f_x005f_x0_453"/>
      <sheetName val="_x005f_x005f_x005f_x005f_x005f_x005f_x005f_x0000__x_152"/>
      <sheetName val="_x005f_x005f_x005f_x005f_x005f_x005f_x005f_x005f_x0_454"/>
      <sheetName val="_x005f_x005f_x005f_x005f_x005f_x005f_x005f_x005f_x0_455"/>
      <sheetName val="_x005f_x005f_x005f_x005f_x005f_x005f_x005f_x005f_x0_456"/>
      <sheetName val="_x005f_x005f_x005f_x005f_x005f_x005f_x005f_x0000__x_153"/>
      <sheetName val="_x005f_x005f_x005f_x005f_x005f_x005f_x005f_x005f_x0_457"/>
      <sheetName val="_x005f_x005f_x005f_x005f_x005f_x005f_x005f_x005f_x0_458"/>
      <sheetName val="_x005f_x005f_x005f_x005f_x005f_x005f_x005f_x005f_x0_459"/>
      <sheetName val="_x005f_x005f_x005f_x005f_x005f_x005f_x005f_x0000__x_154"/>
      <sheetName val="_x005f_x005f_x005f_x005f_x005f_x005f_x005f_x005f_x0_460"/>
      <sheetName val="_x005f_x005f_x005f_x005f_x005f_x005f_x005f_x005f_x0_461"/>
      <sheetName val="_x005f_x005f_x005f_x005f_x005f_x005f_x005f_x005f_x0_462"/>
      <sheetName val="_x005f_x005f_x005f_x005f_x005f_x005f_x005f_x0000__x_155"/>
      <sheetName val="_x005f_x005f_x005f_x005f_x005f_x005f_x005f_x005f_x0_463"/>
      <sheetName val="_x005f_x005f_x005f_x005f_x005f_x005f_x005f_x005f_x0_464"/>
      <sheetName val="_x005f_x005f_x005f_x005f_x005f_x005f_x005f_x005f_x0_465"/>
      <sheetName val="_x005f_x005f_x005f_x005f_x005f_x005f_x005f_x0000__x_156"/>
      <sheetName val="_x005f_x005f_x005f_x005f_x005f_x005f_x005f_x005f_x0_466"/>
      <sheetName val="_x005f_x005f_x005f_x005f_x005f_x005f_x005f_x005f_x0_467"/>
      <sheetName val="_x005f_x005f_x005f_x005f_x005f_x005f_x005f_x005f_x0_468"/>
      <sheetName val="_x005f_x005f_x005f_x005f_x005f_x005f_x005f_x0000__x_157"/>
      <sheetName val="_x005f_x005f_x005f_x005f_x005f_x005f_x005f_x005f_x0_469"/>
      <sheetName val="_x005f_x005f_x005f_x005f_x005f_x005f_x005f_x005f_x0_470"/>
      <sheetName val="_x005f_x005f_x005f_x005f_x005f_x005f_x005f_x005f_x0_471"/>
      <sheetName val="_x005f_x005f_x005f_x005f_x005f_x005f_x005f_x0000__x_158"/>
      <sheetName val="_x005f_x005f_x005f_x005f_x005f_x005f_x005f_x005f_x0_472"/>
      <sheetName val="_x005f_x005f_x005f_x005f_x005f_x005f_x005f_x005f_x0_473"/>
      <sheetName val="_x005f_x005f_x005f_x005f_x005f_x005f_x005f_x005f_x0_474"/>
      <sheetName val="_x005f_x005f_x005f_x005f_x005f_x005f_x005f_x0000__x_159"/>
      <sheetName val="_x005f_x005f_x005f_x005f_x005f_x005f_x005f_x005f_x0_475"/>
      <sheetName val="_x005f_x005f_x005f_x005f_x005f_x005f_x005f_x005f_x0_476"/>
      <sheetName val="_x005f_x005f_x005f_x005f_x005f_x005f_x005f_x005f_x0_477"/>
      <sheetName val="_x005f_x005f_x005f_x005f_x005f_x005f_x005f_x0000__x_160"/>
      <sheetName val="_x005f_x005f_x005f_x005f_x005f_x005f_x005f_x005f_x0_478"/>
      <sheetName val="_x005f_x005f_x005f_x005f_x005f_x005f_x005f_x005f_x0_479"/>
      <sheetName val="_x005f_x005f_x005f_x005f_x005f_x005f_x005f_x005f_x0_480"/>
      <sheetName val="_x005f_x005f_x005f_x005f_x005f_x005f_x005f_x0000__x_161"/>
      <sheetName val="_x005f_x005f_x005f_x005f_x005f_x005f_x005f_x005f_x0_481"/>
      <sheetName val="_x005f_x005f_x005f_x005f_x005f_x005f_x005f_x005f_x0_482"/>
      <sheetName val="_x005f_x005f_x005f_x005f_x005f_x005f_x005f_x005f_x0_483"/>
      <sheetName val="_x005f_x005f_x005f_x005f_x005f_x005f_x005f_x0000__x_162"/>
      <sheetName val="_x005f_x005f_x005f_x005f_x005f_x005f_x005f_x005f_x0_484"/>
      <sheetName val="_x005f_x005f_x005f_x005f_x005f_x005f_x005f_x005f_x0_485"/>
      <sheetName val="_x005f_x005f_x005f_x005f_x005f_x005f_x005f_x005f_x0_486"/>
      <sheetName val="_x005f_x005f_x005f_x005f_x005f_x005f_x005f_x0000__x_163"/>
      <sheetName val="_x005f_x005f_x005f_x005f_x005f_x005f_x005f_x005f_x0_487"/>
      <sheetName val="_x005f_x005f_x005f_x005f_x005f_x005f_x005f_x005f_x0_488"/>
      <sheetName val="_x005f_x005f_x005f_x005f_x005f_x005f_x005f_x005f_x0_489"/>
      <sheetName val="_x005f_x005f_x005f_x005f_x005f_x005f_x005f_x0000__x_164"/>
      <sheetName val="_x005f_x005f_x005f_x005f_x005f_x005f_x005f_x005f_x0_490"/>
      <sheetName val="_x005f_x005f_x005f_x005f_x005f_x005f_x005f_x005f_x0_491"/>
      <sheetName val="_x005f_x005f_x005f_x005f_x005f_x005f_x005f_x005f_x0_492"/>
      <sheetName val="_x005f_x005f_x005f_x005f_x005f_x005f_x005f_x0000__x_165"/>
      <sheetName val="_x005f_x005f_x005f_x005f_x005f_x005f_x005f_x005f_x0_493"/>
      <sheetName val="_x005f_x005f_x005f_x005f_x005f_x005f_x005f_x005f_x0_494"/>
      <sheetName val="_x005f_x005f_x005f_x005f_x005f_x005f_x005f_x005f_x0_495"/>
      <sheetName val="_x005f_x005f_x005f_x005f_x005f_x005f_x005f_x0000__x_166"/>
      <sheetName val="_x005f_x005f_x005f_x005f_x005f_x005f_x005f_x005f_x0_496"/>
      <sheetName val="_x005f_x005f_x005f_x005f_x005f_x005f_x005f_x005f_x0_497"/>
      <sheetName val="_x005f_x005f_x005f_x005f_x005f_x005f_x005f_x005f_x0_498"/>
      <sheetName val="_x005f_x005f_x005f_x005f_x005f_x005f_x005f_x0000__x_167"/>
      <sheetName val="_x005f_x005f_x005f_x005f_x005f_x005f_x005f_x005f_x0_499"/>
      <sheetName val="_x005f_x005f_x005f_x005f_x005f_x005f_x005f_x005f_x0_500"/>
      <sheetName val="_x005f_x005f_x005f_x005f_x005f_x005f_x005f_x005f_x0_501"/>
      <sheetName val="_x005f_x005f_x005f_x005f_x005f_x005f_x005f_x0000__x_168"/>
      <sheetName val="_x005f_x005f_x005f_x005f_x005f_x005f_x005f_x005f_x0_502"/>
      <sheetName val="_x005f_x005f_x005f_x005f_x005f_x005f_x005f_x005f_x0_503"/>
      <sheetName val="_x005f_x005f_x005f_x005f_x005f_x005f_x005f_x005f_x0_504"/>
      <sheetName val="_x005f_x005f_x005f_x005f_x005f_x005f_x005f_x0000__x_169"/>
      <sheetName val="_x005f_x005f_x005f_x005f_x005f_x005f_x005f_x005f_x0_505"/>
      <sheetName val="_x005f_x005f_x005f_x005f_x005f_x005f_x005f_x005f_x0_506"/>
      <sheetName val="_x005f_x005f_x005f_x005f_x005f_x005f_x005f_x005f_x0_507"/>
      <sheetName val="_x005f_x005f_x005f_x005f_x005f_x005f_x005f_x0000__x_170"/>
      <sheetName val="_x005f_x005f_x005f_x005f_x005f_x005f_x005f_x005f_x0_508"/>
      <sheetName val="_x005f_x005f_x005f_x005f_x005f_x005f_x005f_x005f_x0_509"/>
      <sheetName val="_x005f_x005f_x005f_x005f_x005f_x005f_x005f_x005f_x0_510"/>
      <sheetName val="_x005f_x005f_x005f_x005f_x005f_x005f_x005f_x0000__x_171"/>
      <sheetName val="_x005f_x005f_x005f_x005f_x005f_x005f_x005f_x005f_x0_511"/>
      <sheetName val="_x005f_x005f_x005f_x005f_x005f_x005f_x005f_x005f_x0_512"/>
      <sheetName val="_x005f_x005f_x005f_x005f_x005f_x005f_x005f_x005f_x0_513"/>
      <sheetName val="_x005f_x005f_x005f_x005f_x005f_x005f_x005f_x0000__x_172"/>
      <sheetName val="_x005f_x005f_x005f_x005f_x005f_x005f_x005f_x005f_x0_514"/>
      <sheetName val="_x005f_x005f_x005f_x005f_x005f_x005f_x005f_x005f_x0_515"/>
      <sheetName val="_x005f_x005f_x005f_x005f_x005f_x005f_x005f_x005f_x0_516"/>
      <sheetName val="_x005f_x005f_x005f_x005f_x005f_x005f_x005f_x0000__x_173"/>
      <sheetName val="_x005f_x005f_x005f_x005f_x005f_x005f_x005f_x005f_x0_517"/>
      <sheetName val="_x005f_x005f_x005f_x005f_x005f_x005f_x005f_x005f_x0_518"/>
      <sheetName val="_x005f_x005f_x005f_x005f_x005f_x005f_x005f_x005f_x0_519"/>
      <sheetName val="_x005f_x005f_x005f_x005f_x005f_x005f_x005f_x0000__x_174"/>
      <sheetName val="_x005f_x005f_x005f_x005f_x005f_x005f_x005f_x005f_x0_520"/>
      <sheetName val="_x005f_x005f_x005f_x005f_x005f_x005f_x005f_x005f_x0_521"/>
      <sheetName val="_x005f_x005f_x005f_x005f_x005f_x005f_x005f_x005f_x0_522"/>
      <sheetName val="_x005f_x005f_x005f_x005f_x005f_x005f_x005f_x0000__x_175"/>
      <sheetName val="_x005f_x005f_x005f_x005f_x005f_x005f_x005f_x005f_x0_523"/>
      <sheetName val="_x005f_x005f_x005f_x005f_x005f_x005f_x005f_x005f_x0_524"/>
      <sheetName val="_x005f_x005f_x005f_x005f_x005f_x005f_x005f_x005f_x0_525"/>
      <sheetName val="_x005f_x005f_x005f_x005f_x005f_x005f_x005f_x0000__x_176"/>
      <sheetName val="_x005f_x005f_x005f_x005f_x005f_x005f_x005f_x005f_x0_526"/>
      <sheetName val="_x005f_x005f_x005f_x005f_x005f_x005f_x005f_x005f_x0_527"/>
      <sheetName val="_x005f_x005f_x005f_x005f_x005f_x005f_x005f_x005f_x0_528"/>
      <sheetName val="_x005f_x005f_x005f_x005f_x005f_x005f_x005f_x0000__x_177"/>
      <sheetName val="_x005f_x005f_x005f_x005f_x005f_x005f_x005f_x005f_x0_529"/>
      <sheetName val="_x005f_x005f_x005f_x005f_x005f_x005f_x005f_x005f_x0_530"/>
      <sheetName val="_x005f_x005f_x005f_x005f_x005f_x005f_x005f_x005f_x0_531"/>
      <sheetName val="_x005f_x005f_x005f_x005f_x005f_x005f_x005f_x0000__x_178"/>
      <sheetName val="_x005f_x005f_x005f_x005f_x005f_x005f_x005f_x005f_x0_532"/>
      <sheetName val="_x005f_x005f_x005f_x005f_x005f_x005f_x005f_x005f_x0_533"/>
      <sheetName val="_x005f_x005f_x005f_x005f_x005f_x005f_x005f_x005f_x0_534"/>
      <sheetName val="_x005f_x005f_x005f_x005f_x005f_x005f_x005f_x0000__x_179"/>
      <sheetName val="_x005f_x005f_x005f_x005f_x005f_x005f_x005f_x005f_x0_535"/>
      <sheetName val="_x005f_x005f_x005f_x005f_x005f_x005f_x005f_x005f_x0_536"/>
      <sheetName val="_x005f_x005f_x005f_x005f_x005f_x005f_x005f_x005f_x0_537"/>
      <sheetName val="_x005f_x005f_x005f_x005f_x005f_x005f_x005f_x0000__x_180"/>
      <sheetName val="_x005f_x005f_x005f_x005f_x005f_x005f_x005f_x005f_x0_538"/>
      <sheetName val="_x005f_x005f_x005f_x005f_x005f_x005f_x005f_x005f_x0_539"/>
      <sheetName val="_x005f_x005f_x005f_x005f_x005f_x005f_x005f_x005f_x0_540"/>
      <sheetName val="_x005f_x005f_x005f_x005f_x005f_x005f_x005f_x0000__x_181"/>
      <sheetName val="_x005f_x005f_x005f_x005f_x005f_x005f_x005f_x005f_x0_541"/>
      <sheetName val="_x005f_x005f_x005f_x005f_x005f_x005f_x005f_x005f_x0_542"/>
      <sheetName val="_x005f_x005f_x005f_x005f_x005f_x005f_x005f_x005f_x0_543"/>
      <sheetName val="_x005f_x005f_x005f_x005f_x005f_x005f_x005f_x0000__x_182"/>
      <sheetName val="_x005f_x005f_x005f_x005f_x005f_x005f_x005f_x005f_x0_544"/>
      <sheetName val="_x005f_x005f_x005f_x005f_x005f_x005f_x005f_x005f_x0_545"/>
      <sheetName val="_x005f_x005f_x005f_x005f_x005f_x005f_x005f_x005f_x0_546"/>
      <sheetName val="_x005f_x005f_x005f_x005f_x005f_x005f_x005f_x0000__x_183"/>
      <sheetName val="_x005f_x005f_x005f_x005f_x005f_x005f_x005f_x005f_x0_547"/>
      <sheetName val="_x005f_x005f_x005f_x005f_x005f_x005f_x005f_x005f_x0_548"/>
      <sheetName val="_x005f_x005f_x005f_x005f_x005f_x005f_x005f_x005f_x0_549"/>
      <sheetName val="_x005f_x005f_x005f_x005f_x005f_x005f_x005f_x0000__x_184"/>
      <sheetName val="_x005f_x005f_x005f_x005f_x005f_x005f_x005f_x005f_x0_550"/>
      <sheetName val="_x005f_x005f_x005f_x005f_x005f_x005f_x005f_x005f_x0_551"/>
      <sheetName val="_x005f_x005f_x005f_x005f_x005f_x005f_x005f_x005f_x0_552"/>
      <sheetName val="_x005f_x005f_x005f_x005f_x005f_x005f_x005f_x0000__x_185"/>
      <sheetName val="_x005f_x005f_x005f_x005f_x005f_x005f_x005f_x005f_x0_553"/>
      <sheetName val="_x005f_x005f_x005f_x005f_x005f_x005f_x005f_x005f_x0_554"/>
      <sheetName val="_x005f_x005f_x005f_x005f_x005f_x005f_x005f_x005f_x0_555"/>
      <sheetName val="_x005f_x005f_x005f_x005f_x005f_x005f_x005f_x0000__x_186"/>
      <sheetName val="_x005f_x005f_x005f_x005f_x005f_x005f_x005f_x005f_x0_556"/>
      <sheetName val="_x005f_x005f_x005f_x005f_x005f_x005f_x005f_x005f_x0_557"/>
      <sheetName val="_x005f_x005f_x005f_x005f_x005f_x005f_x005f_x005f_x0_558"/>
      <sheetName val="_x005f_x005f_x005f_x005f_x005f_x005f_x005f_x0000__x_187"/>
      <sheetName val="_x005f_x005f_x005f_x005f_x005f_x005f_x005f_x005f_x0_559"/>
      <sheetName val="_x005f_x005f_x005f_x005f_x005f_x005f_x005f_x005f_x0_560"/>
      <sheetName val="_x005f_x005f_x005f_x005f_x005f_x005f_x005f_x005f_x0_561"/>
      <sheetName val="_x005f_x005f_x005f_x005f_x005f_x005f_x005f_x0000__x_188"/>
      <sheetName val="_x005f_x005f_x005f_x005f_x005f_x005f_x005f_x005f_x0_562"/>
      <sheetName val="_x005f_x005f_x005f_x005f_x005f_x005f_x005f_x005f_x0_563"/>
      <sheetName val="_x005f_x005f_x005f_x005f_x005f_x005f_x005f_x005f_x0_564"/>
      <sheetName val="_x005f_x005f_x005f_x005f_x005f_x005f_x005f_x0000__x_189"/>
      <sheetName val="_x005f_x005f_x005f_x005f_x005f_x005f_x005f_x005f_x0_565"/>
      <sheetName val="_x005f_x005f_x005f_x005f_x005f_x005f_x005f_x005f_x0_566"/>
      <sheetName val="_x005f_x005f_x005f_x005f_x005f_x005f_x005f_x005f_x0_567"/>
      <sheetName val="_x005f_x005f_x005f_x005f_x005f_x005f_x005f_x0000__x_190"/>
      <sheetName val="_x005f_x005f_x005f_x005f_x005f_x005f_x005f_x005f_x0_568"/>
      <sheetName val="_x005f_x005f_x005f_x005f_x005f_x005f_x005f_x005f_x0_569"/>
      <sheetName val="_x005f_x005f_x005f_x005f_x005f_x005f_x005f_x005f_x0_570"/>
      <sheetName val="_x005f_x005f_x005f_x005f_x005f_x005f_x005f_x0000__x_191"/>
      <sheetName val="_x005f_x005f_x005f_x005f_x005f_x005f_x005f_x005f_x0_571"/>
      <sheetName val="_x005f_x005f_x005f_x005f_x005f_x005f_x005f_x005f_x0_572"/>
      <sheetName val="_x005f_x005f_x005f_x005f_x005f_x005f_x005f_x005f_x0_573"/>
      <sheetName val="_x005f_x005f_x005f_x005f_x005f_x005f_x005f_x0000__x_192"/>
      <sheetName val="_x005f_x005f_x005f_x005f_x005f_x005f_x005f_x005f_x0_574"/>
      <sheetName val="_x005f_x005f_x005f_x005f_x005f_x005f_x005f_x005f_x0_575"/>
      <sheetName val="_x005f_x005f_x005f_x005f_x005f_x005f_x005f_x005f_x0_576"/>
      <sheetName val="_x005f_x005f_x005f_x005f_x005f_x005f_x005f_x0000__x_193"/>
      <sheetName val="_x005f_x005f_x005f_x005f_x005f_x005f_x005f_x005f_x0_577"/>
      <sheetName val="_x005f_x005f_x005f_x005f_x005f_x005f_x005f_x005f_x0_578"/>
      <sheetName val="_x005f_x005f_x005f_x005f_x005f_x005f_x005f_x005f_x0_579"/>
      <sheetName val="_x005f_x005f_x005f_x005f_x005f_x005f_x005f_x0000__x_194"/>
      <sheetName val="_x005f_x005f_x005f_x005f_x005f_x005f_x005f_x005f_x0_580"/>
      <sheetName val="_x005f_x005f_x005f_x005f_x005f_x005f_x005f_x005f_x0_581"/>
      <sheetName val="_x005f_x005f_x005f_x005f_x005f_x005f_x005f_x005f_x0_582"/>
      <sheetName val="_x005f_x005f_x005f_x005f_x005f_x005f_x005f_x0000__x_195"/>
      <sheetName val="_x005f_x005f_x005f_x005f_x005f_x005f_x005f_x005f_x0_583"/>
      <sheetName val="_x005f_x005f_x005f_x005f_x005f_x005f_x005f_x005f_x0_584"/>
      <sheetName val="_x005f_x005f_x005f_x005f_x005f_x005f_x005f_x005f_x0_585"/>
      <sheetName val="_x005f_x005f_x005f_x005f_x005f_x005f_x005f_x0000__x_196"/>
      <sheetName val="_x005f_x005f_x005f_x005f_x005f_x005f_x005f_x005f_x0_586"/>
      <sheetName val="_x005f_x005f_x005f_x005f_x005f_x005f_x005f_x005f_x0_587"/>
      <sheetName val="_x005f_x005f_x005f_x005f_x005f_x005f_x005f_x005f_x0_588"/>
      <sheetName val="_x005f_x005f_x005f_x005f_x005f_x005f_x005f_x0000__x_197"/>
      <sheetName val="_x005f_x005f_x005f_x005f_x005f_x005f_x005f_x005f_x0_589"/>
      <sheetName val="_x005f_x005f_x005f_x005f_x005f_x005f_x005f_x005f_x0_590"/>
      <sheetName val="_x005f_x005f_x005f_x005f_x005f_x005f_x005f_x005f_x0_591"/>
      <sheetName val="_x005f_x005f_x005f_x005f_x005f_x005f_x005f_x0000__x_198"/>
      <sheetName val="_x005f_x005f_x005f_x005f_x005f_x005f_x005f_x005f_x0_592"/>
      <sheetName val="_x005f_x005f_x005f_x005f_x005f_x005f_x005f_x005f_x0_593"/>
      <sheetName val="_x005f_x005f_x005f_x005f_x005f_x005f_x005f_x005f_x0_594"/>
      <sheetName val="_x005f_x005f_x005f_x005f_x005f_x005f_x005f_x0000__x_199"/>
      <sheetName val="_x005f_x005f_x005f_x005f_x005f_x005f_x005f_x005f_x0_595"/>
      <sheetName val="_x005f_x005f_x005f_x005f_x005f_x005f_x005f_x005f_x0_596"/>
      <sheetName val="_x005f_x005f_x005f_x005f_x005f_x005f_x005f_x005f_x0_597"/>
      <sheetName val="_x005f_x005f_x005f_x005f_x005f_x005f_x005f_x0000__x_200"/>
      <sheetName val="_x005f_x005f_x005f_x005f_x005f_x005f_x005f_x005f_x0_598"/>
      <sheetName val="_x005f_x005f_x005f_x005f_x005f_x005f_x005f_x005f_x0_599"/>
      <sheetName val="_x005f_x005f_x005f_x005f_x005f_x005f_x005f_x005f_x0_600"/>
      <sheetName val="_x005f_x005f_x005f_x005f_x005f_x005f_x005f_x0000__x_201"/>
      <sheetName val="_x005f_x005f_x005f_x005f_x005f_x005f_x005f_x005f_x0_601"/>
      <sheetName val="_x005f_x005f_x005f_x005f_x005f_x005f_x005f_x005f_x0_602"/>
      <sheetName val="_x005f_x005f_x005f_x005f_x005f_x005f_x005f_x005f_x0_603"/>
      <sheetName val="_x005f_x005f_x005f_x005f_x005f_x005f_x005f_x0000__x_202"/>
      <sheetName val="_x005f_x005f_x005f_x005f_x005f_x005f_x005f_x005f_x0_604"/>
      <sheetName val="_x005f_x005f_x005f_x005f_x005f_x005f_x005f_x005f_x0_605"/>
      <sheetName val="_x005f_x005f_x005f_x005f_x005f_x005f_x005f_x005f_x0_606"/>
      <sheetName val="_x005f_x005f_x005f_x005f_x005f_x005f_x005f_x0000__x_203"/>
      <sheetName val="_x005f_x005f_x005f_x005f_x005f_x005f_x005f_x005f_x0_607"/>
      <sheetName val="_x005f_x005f_x005f_x005f_x005f_x005f_x005f_x005f_x0_608"/>
      <sheetName val="_x005f_x005f_x005f_x005f_x005f_x005f_x005f_x005f_x0_609"/>
      <sheetName val="_x005f_x005f_x005f_x005f_x005f_x005f_x005f_x0000__x_204"/>
      <sheetName val="_x005f_x005f_x005f_x005f_x005f_x005f_x005f_x005f_x0_610"/>
      <sheetName val="_x005f_x005f_x005f_x005f_x005f_x005f_x005f_x005f_x0_611"/>
      <sheetName val="_x005f_x005f_x005f_x005f_x005f_x005f_x005f_x005f_x0_612"/>
      <sheetName val="_x005f_x005f_x005f_x005f_x005f_x005f_x005f_x0000__x_205"/>
      <sheetName val="_x005f_x005f_x005f_x005f_x005f_x005f_x005f_x005f_x0_613"/>
      <sheetName val="_x005f_x005f_x005f_x005f_x005f_x005f_x005f_x005f_x0_614"/>
      <sheetName val="_x005f_x005f_x005f_x005f_x005f_x005f_x005f_x005f_x0_615"/>
      <sheetName val="_x005f_x005f_x005f_x005f_x005f_x005f_x005f_x0000__x_206"/>
      <sheetName val="_x005f_x005f_x005f_x005f_x005f_x005f_x005f_x005f_x0_616"/>
      <sheetName val="_x005f_x005f_x005f_x005f_x005f_x005f_x005f_x005f_x0_617"/>
      <sheetName val="_x005f_x005f_x005f_x005f_x005f_x005f_x005f_x005f_x0_618"/>
      <sheetName val="_x005f_x005f_x005f_x005f_x005f_x005f_x005f_x0000__x_207"/>
      <sheetName val="_x005f_x005f_x005f_x005f_x005f_x005f_x005f_x005f_x0_619"/>
      <sheetName val="_x005f_x005f_x005f_x005f_x005f_x005f_x005f_x005f_x0_620"/>
      <sheetName val="_x005f_x005f_x005f_x005f_x005f_x005f_x005f_x005f_x0_621"/>
      <sheetName val="_x005f_x005f_x005f_x005f_x005f_x005f_x005f_x0000__x_208"/>
      <sheetName val="_x005f_x005f_x005f_x005f_x005f_x005f_x005f_x005f_x0_622"/>
      <sheetName val="_x005f_x005f_x005f_x005f_x005f_x005f_x005f_x005f_x0_623"/>
      <sheetName val="_x005f_x005f_x005f_x005f_x005f_x005f_x005f_x005f_x0_624"/>
      <sheetName val="_x005f_x005f_x005f_x005f_x005f_x005f_x005f_x0000__x_209"/>
      <sheetName val="_x005f_x005f_x005f_x005f_x005f_x005f_x005f_x005f_x0_625"/>
      <sheetName val="_x005f_x005f_x005f_x005f_x005f_x005f_x005f_x005f_x0_626"/>
      <sheetName val="_x005f_x005f_x005f_x005f_x005f_x005f_x005f_x005f_x0_627"/>
      <sheetName val="_x005f_x005f_x005f_x005f_x005f_x005f_x005f_x0000__x_210"/>
      <sheetName val="_x005f_x005f_x005f_x005f_x005f_x005f_x005f_x005f_x0_628"/>
      <sheetName val="_x005f_x005f_x005f_x005f_x005f_x005f_x005f_x005f_x0_629"/>
      <sheetName val="_x005f_x005f_x005f_x005f_x005f_x005f_x005f_x005f_x0_630"/>
      <sheetName val="_x005f_x005f_x005f_x005f_x005f_x005f_x005f_x0000__x_211"/>
      <sheetName val="_x005f_x005f_x005f_x005f_x005f_x005f_x005f_x005f_x0_631"/>
      <sheetName val="_x005f_x005f_x005f_x005f_x005f_x005f_x005f_x005f_x0_632"/>
      <sheetName val="_x005f_x005f_x005f_x005f_x005f_x005f_x005f_x005f_x0_633"/>
      <sheetName val="_x005f_x005f_x005f_x005f_x005f_x005f_x005f_x0000__x_212"/>
      <sheetName val="_x005f_x005f_x005f_x005f_x005f_x005f_x005f_x005f_x0_634"/>
      <sheetName val="_x005f_x005f_x005f_x005f_x005f_x005f_x005f_x005f_x0_635"/>
      <sheetName val="_x005f_x005f_x005f_x005f_x005f_x005f_x005f_x005f_x0_636"/>
      <sheetName val="_x005f_x005f_x005f_x005f_x005f_x005f_x005f_x0000__x_213"/>
      <sheetName val="_x005f_x005f_x005f_x005f_x005f_x005f_x005f_x005f_x0_637"/>
      <sheetName val="_x005f_x005f_x005f_x005f_x005f_x005f_x005f_x005f_x0_638"/>
      <sheetName val="_x005f_x005f_x005f_x005f_x005f_x005f_x005f_x005f_x0_639"/>
      <sheetName val="_x005f_x005f_x005f_x005f_x005f_x005f_x005f_x0000__x_214"/>
      <sheetName val="_x005f_x005f_x005f_x005f_x005f_x005f_x005f_x005f_x0_640"/>
      <sheetName val="_x005f_x005f_x005f_x005f_x005f_x005f_x005f_x005f_x0_641"/>
      <sheetName val="_x005f_x005f_x005f_x005f_x005f_x005f_x005f_x005f_x0_642"/>
      <sheetName val="_x005f_x005f_x005f_x005f_x005f_x005f_x005f_x0000__x_215"/>
      <sheetName val="_x005f_x005f_x005f_x005f_x005f_x005f_x005f_x005f_x0_643"/>
      <sheetName val="_x005f_x005f_x005f_x005f_x005f_x005f_x005f_x005f_x0_644"/>
      <sheetName val="_x005f_x005f_x005f_x005f_x005f_x005f_x005f_x005f_x0_645"/>
      <sheetName val="_x005f_x005f_x005f_x005f_x005f_x005f_x005f_x0000__x_216"/>
      <sheetName val="_x005f_x005f_x005f_x005f_x005f_x005f_x005f_x005f_x0_646"/>
      <sheetName val="_x005f_x005f_x005f_x005f_x005f_x005f_x005f_x005f_x0_647"/>
      <sheetName val="_x005f_x005f_x005f_x005f_x005f_x005f_x005f_x005f_x0_648"/>
      <sheetName val="_x005f_x005f_x005f_x005f_x005f_x005f_x005f_x0000__x_217"/>
      <sheetName val="_x005f_x005f_x005f_x005f_x005f_x005f_x005f_x005f_x0_649"/>
      <sheetName val="_x005f_x005f_x005f_x005f_x005f_x005f_x005f_x005f_x0_650"/>
      <sheetName val="_x005f_x005f_x005f_x005f_x005f_x005f_x005f_x005f_x0_651"/>
      <sheetName val="_x005f_x005f_x005f_x005f_x005f_x005f_x005f_x0000__x_218"/>
      <sheetName val="_x005f_x005f_x005f_x005f_x005f_x005f_x005f_x005f_x0_652"/>
      <sheetName val="_x005f_x005f_x005f_x005f_x005f_x005f_x005f_x005f_x0_653"/>
      <sheetName val="_x005f_x005f_x005f_x005f_x005f_x005f_x005f_x005f_x0_654"/>
      <sheetName val="_x005f_x005f_x005f_x005f_x005f_x005f_x005f_x0000__x_219"/>
      <sheetName val="_x005f_x005f_x005f_x005f_x005f_x005f_x005f_x005f_x0_655"/>
      <sheetName val="_x005f_x005f_x005f_x005f_x005f_x005f_x005f_x005f_x0_656"/>
      <sheetName val="_x005f_x005f_x005f_x005f_x005f_x005f_x005f_x005f_x0_657"/>
      <sheetName val="_x005f_x005f_x005f_x005f_x005f_x005f_x005f_x0000__x_220"/>
      <sheetName val="_x005f_x005f_x005f_x005f_x005f_x005f_x005f_x005f_x0_658"/>
      <sheetName val="_x005f_x005f_x005f_x005f_x005f_x005f_x005f_x005f_x0_659"/>
      <sheetName val="_x005f_x005f_x005f_x005f_x005f_x005f_x005f_x005f_x0_660"/>
      <sheetName val="_x005f_x005f_x005f_x005f_x005f_x005f_x005f_x0000__x_221"/>
      <sheetName val="_x005f_x005f_x005f_x005f_x005f_x005f_x005f_x005f_x0_661"/>
      <sheetName val="_x005f_x005f_x005f_x005f_x005f_x005f_x005f_x005f_x0_662"/>
      <sheetName val="_x005f_x005f_x005f_x005f_x005f_x005f_x005f_x005f_x0_663"/>
      <sheetName val="_x005f_x005f_x005f_x005f_x005f_x005f_x005f_x0000__x_222"/>
      <sheetName val="_x005f_x005f_x005f_x005f_x005f_x005f_x005f_x005f_x0_664"/>
      <sheetName val="_x005f_x005f_x005f_x005f_x005f_x005f_x005f_x005f_x0_665"/>
      <sheetName val="_x005f_x005f_x005f_x005f_x005f_x005f_x005f_x005f_x0_666"/>
      <sheetName val="_x005f_x005f_x005f_x005f_x005f_x005f_x005f_x0000__x_223"/>
      <sheetName val="_x005f_x005f_x005f_x005f_x005f_x005f_x005f_x005f_x0_667"/>
      <sheetName val="_x005f_x005f_x005f_x005f_x005f_x005f_x005f_x005f_x0_668"/>
      <sheetName val="_x005f_x005f_x005f_x005f_x005f_x005f_x005f_x005f_x0_669"/>
      <sheetName val="_x005f_x005f_x005f_x005f_x005f_x005f_x005f_x0000__x_224"/>
      <sheetName val="_x005f_x005f_x005f_x005f_x005f_x005f_x005f_x005f_x0_670"/>
      <sheetName val="_x005f_x005f_x005f_x005f_x005f_x005f_x005f_x005f_x0_671"/>
      <sheetName val="_x005f_x005f_x005f_x005f_x005f_x005f_x005f_x005f_x0_672"/>
      <sheetName val="_x005f_x005f_x005f_x005f_x005f_x005f_x005f_x0000__x_225"/>
      <sheetName val="_x005f_x005f_x005f_x005f_x005f_x005f_x005f_x005f_x0_673"/>
      <sheetName val="_x005f_x005f_x005f_x005f_x005f_x005f_x005f_x005f_x0_674"/>
      <sheetName val="_x005f_x005f_x005f_x005f_x005f_x005f_x005f_x005f_x0_675"/>
      <sheetName val="_x005f_x005f_x005f_x005f_x005f_x005f_x005f_x0000__x_226"/>
      <sheetName val="_x005f_x005f_x005f_x005f_x005f_x005f_x005f_x005f_x0_676"/>
      <sheetName val="_x005f_x005f_x005f_x005f_x005f_x005f_x005f_x005f_x0_677"/>
      <sheetName val="_x005f_x005f_x005f_x005f_x005f_x005f_x005f_x005f_x0_678"/>
      <sheetName val="_x005f_x005f_x005f_x005f_x005f_x005f_x005f_x0000__x_227"/>
      <sheetName val="_x005f_x005f_x005f_x005f_x005f_x005f_x005f_x005f_x0_679"/>
      <sheetName val="_x005f_x005f_x005f_x005f_x005f_x005f_x005f_x005f_x0_680"/>
      <sheetName val="_x005f_x005f_x005f_x005f_x005f_x005f_x005f_x005f_x0_681"/>
      <sheetName val="_x005f_x005f_x005f_x005f_x005f_x005f_x005f_x0000__x_228"/>
      <sheetName val="_x005f_x005f_x005f_x005f_x005f_x005f_x005f_x005f_x0_682"/>
      <sheetName val="_x005f_x005f_x005f_x005f_x005f_x005f_x005f_x005f_x0_683"/>
      <sheetName val="_x005f_x005f_x005f_x005f_x005f_x005f_x005f_x005f_x0_684"/>
      <sheetName val="_x005f_x005f_x005f_x005f_x005f_x005f_x005f_x0000__x_229"/>
      <sheetName val="_x005f_x005f_x005f_x005f_x005f_x005f_x005f_x005f_x0_685"/>
      <sheetName val="_x005f_x005f_x005f_x005f_x005f_x005f_x005f_x005f_x0_686"/>
      <sheetName val="_x005f_x005f_x005f_x005f_x005f_x005f_x005f_x005f_x0_687"/>
      <sheetName val="_x005f_x005f_x005f_x005f_x005f_x005f_x005f_x0000__x_230"/>
      <sheetName val="_x005f_x005f_x005f_x005f_x005f_x005f_x005f_x005f_x0_688"/>
      <sheetName val="_x005f_x005f_x005f_x005f_x005f_x005f_x005f_x005f_x0_689"/>
      <sheetName val="_x005f_x005f_x005f_x005f_x005f_x005f_x005f_x005f_x0_690"/>
      <sheetName val="_x005f_x005f_x005f_x005f_x005f_x005f_x005f_x0000__x_231"/>
      <sheetName val="_x005f_x005f_x005f_x005f_x005f_x005f_x005f_x005f_x0_691"/>
      <sheetName val="_x005f_x005f_x005f_x005f_x005f_x005f_x005f_x005f_x0_692"/>
      <sheetName val="_x005f_x005f_x005f_x005f_x005f_x005f_x005f_x005f_x0_693"/>
      <sheetName val="_x005f_x005f_x005f_x005f_x005f_x005f_x005f_x0000__x_232"/>
      <sheetName val="_x005f_x005f_x005f_x005f_x005f_x005f_x005f_x005f_x0_694"/>
      <sheetName val="_x005f_x005f_x005f_x005f_x005f_x005f_x005f_x005f_x0_695"/>
      <sheetName val="_x005f_x005f_x005f_x005f_x005f_x005f_x005f_x005f_x0_696"/>
      <sheetName val="_x005f_x005f_x005f_x005f_x005f_x005f_x005f_x0000__x_233"/>
      <sheetName val="_x005f_x005f_x005f_x005f_x005f_x005f_x005f_x005f_x0_697"/>
      <sheetName val="_x005f_x005f_x005f_x005f_x005f_x005f_x005f_x005f_x0_698"/>
      <sheetName val="_x005f_x005f_x005f_x005f_x005f_x005f_x005f_x005f_x0_699"/>
      <sheetName val="_x005f_x005f_x005f_x005f_x005f_x005f_x005f_x0000__x_234"/>
      <sheetName val="_x005f_x005f_x005f_x005f_x005f_x005f_x005f_x005f_x0_700"/>
      <sheetName val="_x005f_x005f_x005f_x005f_x005f_x005f_x005f_x005f_x0_701"/>
      <sheetName val="_x005f_x005f_x005f_x005f_x005f_x005f_x005f_x005f_x0_702"/>
      <sheetName val="_x005f_x005f_x005f_x005f_x005f_x005f_x005f_x0000__x_235"/>
      <sheetName val="_x005f_x005f_x005f_x005f_x005f_x005f_x005f_x005f_x0_703"/>
      <sheetName val="_x005f_x005f_x005f_x005f_x005f_x005f_x005f_x005f_x0_704"/>
      <sheetName val="_x005f_x005f_x005f_x005f_x005f_x005f_x005f_x005f_x0_705"/>
      <sheetName val="_x005f_x005f_x005f_x005f_x005f_x005f_x005f_x0000__x_236"/>
      <sheetName val="_x005f_x005f_x005f_x005f_x005f_x005f_x005f_x005f_x0_706"/>
      <sheetName val="_x005f_x005f_x005f_x005f_x005f_x005f_x005f_x005f_x0_707"/>
      <sheetName val="_x005f_x005f_x005f_x005f_x005f_x005f_x005f_x005f_x0_708"/>
      <sheetName val="_x005f_x005f_x005f_x005f_x005f_x005f_x005f_x0000__x_237"/>
      <sheetName val="_x005f_x005f_x005f_x005f_x005f_x005f_x005f_x005f_x0_709"/>
      <sheetName val="_x005f_x005f_x005f_x005f_x005f_x005f_x005f_x005f_x0_710"/>
      <sheetName val="_x005f_x005f_x005f_x005f_x005f_x005f_x005f_x005f_x0_711"/>
      <sheetName val="_x005f_x005f_x005f_x005f_x005f_x005f_x005f_x0000__x_238"/>
      <sheetName val="_x005f_x005f_x005f_x005f_x005f_x005f_x005f_x005f_x0_712"/>
      <sheetName val="_x005f_x005f_x005f_x005f_x005f_x005f_x005f_x005f_x0_713"/>
      <sheetName val="_x005f_x005f_x005f_x005f_x005f_x005f_x005f_x005f_x0_714"/>
      <sheetName val="_x005f_x005f_x005f_x005f_x005f_x005f_x005f_x0000__x_239"/>
      <sheetName val="_x005f_x005f_x005f_x005f_x005f_x005f_x005f_x005f_x0_715"/>
      <sheetName val="_x005f_x005f_x005f_x005f_x005f_x005f_x005f_x005f_x0_716"/>
      <sheetName val="_x005f_x005f_x005f_x005f_x005f_x005f_x005f_x005f_x0_717"/>
      <sheetName val="_x005f_x005f_x005f_x005f_x005f_x005f_x005f_x0000__x_240"/>
      <sheetName val="_x005f_x005f_x005f_x005f_x005f_x005f_x005f_x005f_x0_718"/>
      <sheetName val="_x005f_x005f_x005f_x005f_x005f_x005f_x005f_x005f_x0_719"/>
      <sheetName val="_x005f_x005f_x005f_x005f_x005f_x005f_x005f_x005f_x0_720"/>
      <sheetName val="_x005f_x005f_x005f_x005f_x005f_x005f_x005f_x0000__x_241"/>
      <sheetName val="_x005f_x005f_x005f_x005f_x005f_x005f_x005f_x005f_x0_721"/>
      <sheetName val="_x005f_x005f_x005f_x005f_x005f_x005f_x005f_x005f_x0_722"/>
      <sheetName val="_x005f_x005f_x005f_x005f_x005f_x005f_x005f_x005f_x0_723"/>
      <sheetName val="_x005f_x005f_x005f_x005f_x005f_x005f_x005f_x0000__x_242"/>
      <sheetName val="_x005f_x005f_x005f_x005f_x005f_x005f_x005f_x005f_x0_724"/>
      <sheetName val="_x005f_x005f_x005f_x005f_x005f_x005f_x005f_x005f_x0_725"/>
      <sheetName val="_x005f_x005f_x005f_x005f_x005f_x005f_x005f_x005f_x0_726"/>
      <sheetName val="_x005f_x005f_x005f_x005f_x005f_x005f_x005f_x0000__x_243"/>
      <sheetName val="_x005f_x005f_x005f_x005f_x005f_x005f_x005f_x005f_x0_727"/>
      <sheetName val="_x005f_x005f_x005f_x005f_x005f_x005f_x005f_x005f_x0_728"/>
      <sheetName val="_x005f_x005f_x005f_x005f_x005f_x005f_x005f_x005f_x0_729"/>
      <sheetName val="_x005f_x005f_x005f_x005f_x005f_x005f_x005f_x0000__x_244"/>
      <sheetName val="_x005f_x005f_x005f_x005f_x005f_x005f_x005f_x005f_x0_730"/>
      <sheetName val="_x005f_x005f_x005f_x005f_x005f_x005f_x005f_x005f_x0_731"/>
      <sheetName val="_x005f_x005f_x005f_x005f_x005f_x005f_x005f_x005f_x0_732"/>
      <sheetName val="_x005f_x005f_x005f_x005f_x005f_x005f_x005f_x0000__x_245"/>
      <sheetName val="_x005f_x005f_x005f_x005f_x005f_x005f_x005f_x005f_x0_733"/>
      <sheetName val="_x005f_x005f_x005f_x005f_x005f_x005f_x005f_x005f_x0_734"/>
      <sheetName val="_x005f_x005f_x005f_x005f_x005f_x005f_x005f_x005f_x0_735"/>
      <sheetName val="_x005f_x005f_x005f_x005f_x005f_x005f_x005f_x0000__x_246"/>
      <sheetName val="_x005f_x005f_x005f_x005f_x005f_x005f_x005f_x005f_x0_736"/>
      <sheetName val="_x005f_x005f_x005f_x005f_x005f_x005f_x005f_x005f_x0_737"/>
      <sheetName val="_x005f_x005f_x005f_x005f_x005f_x005f_x005f_x005f_x0_738"/>
      <sheetName val="_x005f_x005f_x005f_x005f_x005f_x005f_x005f_x0000__x_247"/>
      <sheetName val="_x005f_x005f_x005f_x005f_x005f_x005f_x005f_x005f_x0_739"/>
      <sheetName val="_x005f_x005f_x005f_x005f_x005f_x005f_x005f_x005f_x0_740"/>
      <sheetName val="_x005f_x005f_x005f_x005f_x005f_x005f_x005f_x005f_x0_741"/>
      <sheetName val="_x005f_x005f_x005f_x005f_x005f_x005f_x005f_x0000__x_248"/>
      <sheetName val="_x005f_x005f_x005f_x005f_x005f_x005f_x005f_x005f_x0_742"/>
      <sheetName val="_x005f_x005f_x005f_x005f_x005f_x005f_x005f_x005f_x0_743"/>
      <sheetName val="_x005f_x005f_x005f_x005f_x005f_x005f_x005f_x005f_x0_744"/>
      <sheetName val="_x005f_x005f_x005f_x005f_x005f_x005f_x005f_x0000__x_249"/>
      <sheetName val="_x005f_x005f_x005f_x005f_x005f_x005f_x005f_x005f_x0_745"/>
      <sheetName val="_x005f_x005f_x005f_x005f_x005f_x005f_x005f_x005f_x0_746"/>
      <sheetName val="_x005f_x005f_x005f_x005f_x005f_x005f_x005f_x005f_x0_747"/>
      <sheetName val="_x005f_x005f_x005f_x005f_x005f_x005f_x005f_x0000__x_250"/>
      <sheetName val="_x005f_x005f_x005f_x005f_x005f_x005f_x005f_x005f_x0_748"/>
      <sheetName val="_x005f_x005f_x005f_x005f_x005f_x005f_x005f_x005f_x0_749"/>
      <sheetName val="_x005f_x005f_x005f_x005f_x005f_x005f_x005f_x005f_x0_750"/>
      <sheetName val="_x005f_x005f_x005f_x005f_x005f_x005f_x005f_x0000__x_251"/>
      <sheetName val="_x005f_x005f_x005f_x005f_x005f_x005f_x005f_x005f_x0_751"/>
      <sheetName val="_x005f_x005f_x005f_x005f_x005f_x005f_x005f_x005f_x0_752"/>
      <sheetName val="_x005f_x005f_x005f_x005f_x005f_x005f_x005f_x005f_x0_753"/>
      <sheetName val="_x005f_x005f_x005f_x005f_x005f_x005f_x005f_x0000__x_252"/>
      <sheetName val="_x005f_x005f_x005f_x005f_x005f_x005f_x005f_x005f_x0_754"/>
      <sheetName val="_x005f_x005f_x005f_x005f_x005f_x005f_x005f_x005f_x0_755"/>
      <sheetName val="_x005f_x005f_x005f_x005f_x005f_x005f_x005f_x005f_x0_756"/>
      <sheetName val="_x005f_x005f_x005f_x005f_x005f_x005f_x005f_x0000__x_253"/>
      <sheetName val="_x005f_x005f_x005f_x005f_x005f_x005f_x005f_x005f_x0_757"/>
      <sheetName val="Market sha_x005f_x005f_x005f_x005f_x005f_x005f_x0"/>
      <sheetName val="十八.门窗表,门框塞缝"/>
      <sheetName val="十六.零星,屋面做法计算表"/>
      <sheetName val="_x00耵f"/>
      <sheetName val="_x005f_x005f_x00耵f_x005f_x005f_x00耵f"/>
      <sheetName val="聟x00耵f_x00耵f_x005f_x005f_x005f_x005f_"/>
      <sheetName val="盈余公积-评㒤_x005f_xdc59_廦"/>
      <sheetName val="2.1-地下室-1标"/>
      <sheetName val="A户型装饰工程（（计入汇总））"/>
      <sheetName val="地下室空调风系统"/>
      <sheetName val="甲"/>
      <sheetName val="投标书"/>
      <sheetName val="综合总计"/>
      <sheetName val="第一章-开办项目说明"/>
      <sheetName val="第一章-分部分项工程"/>
      <sheetName val="2015成本科目参考表"/>
      <sheetName val="2013成本科目参考表"/>
      <sheetName val="第四章-照管费清单 "/>
      <sheetName val="第二章-暂列金额清单"/>
      <sheetName val="第三章-计日工清单"/>
      <sheetName val="第五章-甲供及甲指乙供材料汇总表"/>
      <sheetName val="附表1-综合单价分析表（样表）"/>
      <sheetName val="公共区域"/>
      <sheetName val="户内"/>
      <sheetName val="裙房"/>
      <sheetName val="明细表"/>
      <sheetName val="地区公司"/>
      <sheetName val="DL"/>
      <sheetName val="目标成本分解"/>
      <sheetName val="1.合同台账"/>
      <sheetName val="成本动态台帐"/>
      <sheetName val="Market sha_x0"/>
      <sheetName val="不锈钢量工程量"/>
      <sheetName val="快速代码 "/>
      <sheetName val="人工费"/>
      <sheetName val="公摊费用及期间费"/>
      <sheetName val="11#底商"/>
      <sheetName val="2017.12.31及之前到期商票台账"/>
      <sheetName val="收支"/>
      <sheetName val="2014中央广场"/>
      <sheetName val="Stock Chart"/>
      <sheetName val="Cashbook"/>
      <sheetName val="1.2-项目基本信息"/>
      <sheetName val="AP1998KX(estimated)"/>
      <sheetName val="计提"/>
      <sheetName val="113"/>
      <sheetName val="119"/>
      <sheetName val="221"/>
      <sheetName val="218"/>
      <sheetName val="12月份产成品入库"/>
      <sheetName val="QT07"/>
      <sheetName val="QT全年收发存"/>
      <sheetName val="208"/>
      <sheetName val="12月份原材料出库"/>
      <sheetName val="11月产成品入库"/>
      <sheetName val="QT01"/>
      <sheetName val="QT02"/>
      <sheetName val="209"/>
      <sheetName val="206"/>
      <sheetName val="207"/>
      <sheetName val="203"/>
      <sheetName val="212"/>
      <sheetName val="211"/>
      <sheetName val="210"/>
      <sheetName val="204"/>
      <sheetName val="205"/>
      <sheetName val="201"/>
      <sheetName val="损益类明细账"/>
      <sheetName val="成本科目（2017.4月新）"/>
      <sheetName val="材料价格表"/>
      <sheetName val="含量"/>
      <sheetName val="材料人工表"/>
      <sheetName val="按新系统"/>
      <sheetName val="装饰汇总"/>
      <sheetName val="6#"/>
      <sheetName val="1."/>
      <sheetName val="Builtup Area"/>
      <sheetName val="清单1-裙楼Ea"/>
      <sheetName val="Macro custom function"/>
      <sheetName val="第一部分定价"/>
      <sheetName val="附件一工程结算审批表（打印）"/>
      <sheetName val="INVDAYS"/>
      <sheetName val="甲供材料清单"/>
      <sheetName val="套内（无踢脚线）"/>
      <sheetName val="（下拉选项勿动）"/>
      <sheetName val="成本目标控制汇总表"/>
      <sheetName val="地下"/>
      <sheetName val="Note 1 - Recon Profit"/>
      <sheetName val="Cash Flow Statement"/>
      <sheetName val="1.审算工程量"/>
      <sheetName val="计算稿1"/>
      <sheetName val="清单-总"/>
      <sheetName val="栏杆"/>
      <sheetName val="百叶窗"/>
      <sheetName val="幕墙"/>
      <sheetName val="幕墙窗"/>
      <sheetName val="平开窗b"/>
      <sheetName val="平开窗a"/>
      <sheetName val="平开门"/>
      <sheetName val="推拉窗"/>
      <sheetName val="推拉门"/>
      <sheetName val="BA-Pl"/>
      <sheetName val="C1,D1,D2高层明细表"/>
      <sheetName val="D3，A4高层明细表"/>
      <sheetName val="A20单价分析表"/>
      <sheetName val="A3-4单价分析表"/>
      <sheetName val="B1、B2、B4-B7栋清单"/>
      <sheetName val="B3幕墙价分析表"/>
      <sheetName val="售楼部单价分析表"/>
      <sheetName val="小学单价分析表"/>
      <sheetName val="幼儿园单价分析表"/>
      <sheetName val="主材表"/>
      <sheetName val="会所"/>
      <sheetName val="1-3座商铺"/>
      <sheetName val="（14、15座高层）明细表"/>
      <sheetName val="1栋"/>
      <sheetName val="Summary T(A)"/>
      <sheetName val="T(B)Summary"/>
      <sheetName val="F1~2承台"/>
      <sheetName val="工作台帐"/>
      <sheetName val="人工及利管税"/>
      <sheetName val="CSCCincSKR"/>
      <sheetName val="集团确认的经营数据"/>
      <sheetName val="EXRATE"/>
      <sheetName val="案例库"/>
      <sheetName val="1.1销售参数"/>
      <sheetName val="SJ"/>
      <sheetName val="6灜"/>
      <sheetName val="C1计算式"/>
      <sheetName val="evanlate"/>
      <sheetName val="8、主材品牌表 "/>
      <sheetName val="毛坯及材料调差（附表1）"/>
      <sheetName val="1#工程量"/>
      <sheetName val="主营业务成本明细表"/>
      <sheetName val="090721价格"/>
      <sheetName val="北标（垃圾房）"/>
      <sheetName val="顶板北标（幼儿园）"/>
      <sheetName val="侧墙（北标2号地下室1）"/>
      <sheetName val="顶板北标(2号地下室）"/>
      <sheetName val="北标底板（1号地下室）"/>
      <sheetName val="北标（幼儿园）"/>
      <sheetName val="顶板北标（1号地下室）"/>
      <sheetName val="侧墙（北标幼儿园）"/>
      <sheetName val="侧墙（北标地下室4）"/>
      <sheetName val="侧墙（北标2号地下室2）"/>
      <sheetName val="北标底板（2号地下室）"/>
      <sheetName val="表三甲"/>
      <sheetName val="ZB"/>
      <sheetName val="附录四"/>
      <sheetName val="A-summary"/>
      <sheetName val="封"/>
      <sheetName val="定额"/>
      <sheetName val="11度华丹͂_x0001__x0013_[SMCTSSP2.XLS]13度高浓"/>
      <sheetName val="䀀霜"/>
      <sheetName val="工程量计算式 "/>
      <sheetName val="五金报价表"/>
      <sheetName val="JS-3计算式"/>
      <sheetName val="IS-1计算式"/>
      <sheetName val="JS-2计算式 "/>
      <sheetName val="甲供料表"/>
      <sheetName val="人工挖孔桩"/>
      <sheetName val="工程量清单计价表-塔楼-03"/>
      <sheetName val="MOTOR"/>
      <sheetName val="工程抗压桩"/>
      <sheetName val="澄清问卷"/>
      <sheetName val="其他计算表"/>
      <sheetName val="表3-3附表园建工程清单格式"/>
      <sheetName val="规划指标表"/>
      <sheetName val="Sheet5"/>
      <sheetName val="建筑面积"/>
      <sheetName val="Annex B"/>
      <sheetName val="01规划指标"/>
      <sheetName val="小辅助表"/>
      <sheetName val="整体开发进度计划表"/>
      <sheetName val="基本假设及税率维护"/>
      <sheetName val="各业态建安成本明细"/>
      <sheetName val="投资预算明细表"/>
      <sheetName val="Global"/>
      <sheetName val="1栋计算底稿"/>
      <sheetName val="报价单"/>
      <sheetName val="Sheet 5"/>
      <sheetName val="실행철강하도"/>
      <sheetName val="JC-门窗表"/>
      <sheetName val="地下车库安装"/>
      <sheetName val="11度华丹͂_x0001__x00"/>
      <sheetName val="evaluate厨柜"/>
      <sheetName val="二期三标工程量指标 "/>
      <sheetName val="Market sha_x005f_x005f_x005f_x005f_x0"/>
      <sheetName val="开关价"/>
      <sheetName val="工费及管理费利润税金"/>
      <sheetName val="装饰工程"/>
      <sheetName val="地连墙"/>
      <sheetName val="测算依据"/>
      <sheetName val="砂浆单价表"/>
      <sheetName val="B3.1"/>
      <sheetName val="B3.4"/>
      <sheetName val="计算底稿-裙楼"/>
      <sheetName val="1.2.3"/>
      <sheetName val="卫生间1"/>
      <sheetName val="卫生间3"/>
      <sheetName val="中庭"/>
      <sheetName val="右翼"/>
      <sheetName val="装饰工程量计算"/>
      <sheetName val="Proforma"/>
      <sheetName val="B1-1清单外装修"/>
      <sheetName val="8#工程量"/>
      <sheetName val="PREVCM"/>
      <sheetName val="安装综合单价分析表"/>
      <sheetName val="主要材料价格表"/>
      <sheetName val="1封面"/>
      <sheetName val="高层20座标准层电梯间装修"/>
      <sheetName val="附表10"/>
      <sheetName val="脚手架"/>
      <sheetName val="旧垃圾站"/>
      <sheetName val="2b栋硬装修"/>
      <sheetName val="3b栋硬装修"/>
      <sheetName val="4b栋硬装修"/>
      <sheetName val="5b栋硬装修"/>
      <sheetName val="8栋硬装修"/>
      <sheetName val="12栋硬装修"/>
      <sheetName val="13栋硬装修"/>
      <sheetName val="9栋硬装修"/>
      <sheetName val="现场签证计价表"/>
      <sheetName val="设计变更计价表"/>
      <sheetName val="（一）SJ-000217-01计算稿"/>
      <sheetName val="标准C2(5F)"/>
      <sheetName val="面积计算"/>
      <sheetName val="TB-成本-A标前成本测算分析表"/>
      <sheetName val="基础工程量估算"/>
      <sheetName val="03预算收入汇总表"/>
      <sheetName val="报价说明"/>
      <sheetName val="6百叶等"/>
      <sheetName val="西区下木"/>
      <sheetName val="东区上木 "/>
      <sheetName val="西区上木"/>
      <sheetName val="东区硬景"/>
      <sheetName val="物料表"/>
      <sheetName val="固定家私"/>
      <sheetName val="负债表"/>
      <sheetName val="表3-1附表园建工程清单格式"/>
      <sheetName val="机械台班分析表"/>
      <sheetName val="分类"/>
      <sheetName val="2S "/>
      <sheetName val="汇总表 "/>
      <sheetName val="采光顶"/>
      <sheetName val="空调格栅"/>
      <sheetName val="雨篷"/>
      <sheetName val="人工系数 (2)"/>
      <sheetName val="标准层物料"/>
      <sheetName val="机电物料"/>
      <sheetName val="01地块3、5标准层计算式 "/>
      <sheetName val="01地块3、5地下室负二层计算式"/>
      <sheetName val="01地块3、5地下室负一层计算式"/>
      <sheetName val="01地块3、5二层计算式"/>
      <sheetName val="01地块3、5首层大堂计算式"/>
      <sheetName val="01地块6、7标准层计算式 "/>
      <sheetName val="01地块8-13栋标准层计算式 "/>
      <sheetName val="01地块6、7二层计算式"/>
      <sheetName val="01地块8-13栋二层计算式 "/>
      <sheetName val="01地块6、7首层大堂计算式"/>
      <sheetName val="01地块8-13栋首层大堂计算式"/>
      <sheetName val="01地块6-7地下室负二层计算式"/>
      <sheetName val="01地块8-13栋地下室负二层计算式"/>
      <sheetName val="01地块6-7地下室负一层计算式"/>
      <sheetName val="01地块8-13栋地下室负一层计算式"/>
      <sheetName val="四月份月报"/>
      <sheetName val="项目清单"/>
      <sheetName val="基础档案"/>
      <sheetName val="2.合同明细"/>
      <sheetName val="表2-开发间接费用分摊表模版"/>
      <sheetName val="开封公司商票台账（20190101前到期）"/>
      <sheetName val="面积明细"/>
      <sheetName val="Project Details"/>
      <sheetName val="A-General"/>
      <sheetName val="Research-CSC"/>
      <sheetName val="科目索引表"/>
      <sheetName val="分析程序表"/>
      <sheetName val="基本情况表"/>
      <sheetName val="调整分录汇总表"/>
      <sheetName val="坯布"/>
      <sheetName val="外销"/>
      <sheetName val="应付帐款余额表"/>
      <sheetName val="或有事项"/>
      <sheetName val="关联方交易"/>
      <sheetName val="其他综合收益"/>
      <sheetName val="制造成本预算表A3"/>
      <sheetName val="Breakdown"/>
      <sheetName val="BAL-RMB"/>
      <sheetName val="DEPR-Hotel"/>
      <sheetName val="IRR-USD"/>
      <sheetName val="NPV"/>
      <sheetName val="HPNL USD"/>
      <sheetName val="GS's Assumptions"/>
      <sheetName val="Cons. (Enlarged Group)"/>
      <sheetName val="三、酒店玻璃幕墙、金属幕墙"/>
      <sheetName val="Part 1"/>
      <sheetName val="Part 2"/>
      <sheetName val="Part 3"/>
      <sheetName val="Part 5"/>
      <sheetName val="新的工作表"/>
      <sheetName val="COST"/>
      <sheetName val="TB-07-2-A标前成本测算分析表（直接费）"/>
      <sheetName val="CRA-Detail"/>
      <sheetName val="ARP-U501"/>
      <sheetName val="accode"/>
      <sheetName val="报表目录"/>
      <sheetName val="입찰안"/>
      <sheetName val="生人台帳"/>
      <sheetName val="대비"/>
      <sheetName val="갑지"/>
      <sheetName val="차액보증"/>
      <sheetName val="开办费表"/>
      <sheetName val="损益表"/>
      <sheetName val="001  4号楼408办公室签证结算书"/>
      <sheetName val="给排水工程综合单价分析"/>
      <sheetName val="含量表"/>
      <sheetName val="分部分项工程量清单（景观建筑、装饰）"/>
      <sheetName val="总量统计"/>
      <sheetName val="Assumption"/>
      <sheetName val="Hao Ji Xin"/>
      <sheetName val="承台"/>
      <sheetName val="挡土墙"/>
      <sheetName val="人工+利管税"/>
      <sheetName val="系统材料"/>
      <sheetName val="실행예산-변경분"/>
      <sheetName val="园建人工测算"/>
      <sheetName val="75座幼儿园明细表"/>
      <sheetName val="76座商铺明细表"/>
      <sheetName val="일위대가"/>
      <sheetName val="时代廊桥花园23栋给排水工程"/>
      <sheetName val="결과조달"/>
      <sheetName val="Hoja1"/>
      <sheetName val="工程清单"/>
      <sheetName val="Basic Rate"/>
      <sheetName val="门窗及阳台栏杆"/>
      <sheetName val="综合单价（1）组价表"/>
      <sheetName val="1.清单说明"/>
      <sheetName val="含量表 (季张黄)"/>
      <sheetName val="含量表（常） "/>
      <sheetName val="W-현원가"/>
      <sheetName val="营销费用预算"/>
      <sheetName val="辅助表"/>
      <sheetName val="新辅助表"/>
      <sheetName val="2.1 2020年利润预测表 山水御苑 "/>
      <sheetName val="2.2 2020年利润预测表 山水诚品 "/>
      <sheetName val="2.3 2020年利润预测表 山水城"/>
      <sheetName val="2.4 2020年利润预测表 云岭湖 "/>
      <sheetName val="2.5 2020年利润预测表 流溪项目"/>
      <sheetName val="B计算书"/>
      <sheetName val="FUEL FILLER"/>
      <sheetName val="실행대비"/>
      <sheetName val="合约分判"/>
      <sheetName val="A1平层"/>
      <sheetName val="装饰"/>
      <sheetName val="销售进度"/>
      <sheetName val="_x005f_x0010_"/>
      <sheetName val="A8独立基础 "/>
      <sheetName val="调整"/>
      <sheetName val="计算表（别墅）"/>
      <sheetName val="费率表"/>
      <sheetName val="架空层贴外墙砖里架"/>
      <sheetName val="TAX COM"/>
      <sheetName val="4结算明细"/>
      <sheetName val="5项目签约"/>
      <sheetName val="市场费用定义1"/>
      <sheetName val="13_65度雪花1"/>
      <sheetName val="13_6雪花分配表1"/>
      <sheetName val="13_65度沈阳1"/>
      <sheetName val="13_65沈阳分配表1"/>
      <sheetName val="煤水电备份_1"/>
      <sheetName val="10_5度成本表1"/>
      <sheetName val="桶酒20L_(雪)_1"/>
      <sheetName val="桶酒30L_(雪)__1"/>
      <sheetName val="POWER_ASSUMPTIONS1"/>
      <sheetName val="13_65¶ÈÑ©»¨1"/>
      <sheetName val="13_6Ñ©»¨·ÖÅä±í1"/>
      <sheetName val="13_65¶ÈÉòÑô1"/>
      <sheetName val="13_65ÉòÑô·ÖÅä±í1"/>
      <sheetName val="ÃºË®µç±¸·Ý_1"/>
      <sheetName val="10_5¶È³É±¾±í1"/>
      <sheetName val="Í°¾Æ20L_(Ñ©)_1"/>
      <sheetName val="Í°¾Æ30L_(Ñ©)__1"/>
      <sheetName val="存货明细表_1"/>
      <sheetName val="13_6ᛪ花分配ࡨ"/>
      <sheetName val="13_65沈ᘳ分配表"/>
      <sheetName val="10_5带成本表"/>
      <sheetName val="4_3_1物料损耗率"/>
      <sheetName val="其他货币资金_dbf"/>
      <sheetName val="银行存款_dbf"/>
      <sheetName val="Master data list"/>
      <sheetName val="CC"/>
      <sheetName val="公司信息"/>
      <sheetName val="附件4-基础数据"/>
      <sheetName val="mapping"/>
      <sheetName val="买店费用分析表"/>
      <sheetName val="SKU"/>
      <sheetName val="费用及销量分析"/>
      <sheetName val="市场活动报告分析"/>
      <sheetName val="运价"/>
      <sheetName val="附-客户名称"/>
      <sheetName val="回顾表明细"/>
      <sheetName val="回顾表"/>
      <sheetName val="历史申请表明细"/>
      <sheetName val="M"/>
      <sheetName val="市场投诉数据分析表"/>
      <sheetName val="裂口投诉分析"/>
      <sheetName val="容量不足投诉分析"/>
      <sheetName val="立项内容"/>
      <sheetName val="表首"/>
      <sheetName val="客户"/>
      <sheetName val="Net PTW"/>
      <sheetName val="渠道编码"/>
      <sheetName val="县市对应单品信息"/>
      <sheetName val="客户信息"/>
      <sheetName val="产品价格"/>
      <sheetName val="活动类型说明"/>
      <sheetName val="促销单品"/>
      <sheetName val="Code"/>
      <sheetName val="应收票据(关联方)"/>
      <sheetName val="NBCF"/>
      <sheetName val="材料配置表"/>
      <sheetName val="HP"/>
      <sheetName val="FA1"/>
      <sheetName val="SCHE-F"/>
      <sheetName val="CA-O7"/>
      <sheetName val="08.8"/>
      <sheetName val="A.R 01"/>
      <sheetName val="j概率分析"/>
      <sheetName val="i不确定分析"/>
      <sheetName val="k模拟计算"/>
      <sheetName val="4-项目分业态收益利润"/>
      <sheetName val="外墙装饰"/>
      <sheetName val="分部分项工程量清单计价表【土建工程】"/>
      <sheetName val="1.9.1 基础钢筋"/>
      <sheetName val="1.9.7 基础混凝土"/>
      <sheetName val="14号楼外墙3单元"/>
      <sheetName val="Blank"/>
      <sheetName val="Long Program"/>
      <sheetName val="Instructions"/>
      <sheetName val="Staffing"/>
      <sheetName val="土建地上（X号楼)"/>
      <sheetName val="地块基础信息表"/>
      <sheetName val="门窗拆料单"/>
      <sheetName val="玻璃表"/>
      <sheetName val="计价表"/>
      <sheetName val="help"/>
      <sheetName val="钢材表"/>
      <sheetName val="配件表"/>
      <sheetName val="后台数据1"/>
      <sheetName val="后台数据3"/>
      <sheetName val="后台数据4"/>
      <sheetName val="工程量计算要求"/>
      <sheetName val="B型"/>
      <sheetName val="电气清单"/>
      <sheetName val="结算-良信"/>
      <sheetName val="结算-上海人民"/>
      <sheetName val="X6首层大堂 "/>
      <sheetName val="以前年度损益调整"/>
      <sheetName val="基本信息输入表"/>
      <sheetName val="Var % Summary-TBR制造差异率汇总-全钢"/>
      <sheetName val="Var % Summary-PCR制造差异率汇总-半钢"/>
      <sheetName val="Var % Summary-BIAS制造差异率汇总-斜交"/>
      <sheetName val="三.基础梁"/>
      <sheetName val="九.楼梯"/>
      <sheetName val="十一.屋面瓦通用"/>
      <sheetName val="楼地面天棚"/>
      <sheetName val="杂物"/>
      <sheetName val="硬景(新希望-2016-JG-03-1)"/>
      <sheetName val="E户型计量"/>
      <sheetName val="地上结构"/>
      <sheetName val="表2 扣减系数表"/>
      <sheetName val="通风设置"/>
      <sheetName val="Unit"/>
      <sheetName val="☆汇总(融创报表)"/>
      <sheetName val="RiskSign"/>
      <sheetName val="FSA"/>
      <sheetName val="FF-2 (1)"/>
      <sheetName val="DFA"/>
      <sheetName val="面积方案-A"/>
      <sheetName val="입찰내역 발주처 양식"/>
      <sheetName val="弱电"/>
      <sheetName val="绿化工程（设计变更调整）"/>
      <sheetName val="圈(过)梁"/>
      <sheetName val="5栋 零星"/>
      <sheetName val="首层"/>
      <sheetName val="금액내역서"/>
      <sheetName val="Sheet6"/>
      <sheetName val="材料损耗(不打印)"/>
      <sheetName val="2001取费"/>
      <sheetName val="输入表"/>
      <sheetName val="기계경비(시간당)"/>
      <sheetName val="材料价格表(立面）"/>
      <sheetName val="램머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装修清单"/>
      <sheetName val="BQ4.2 非幼儿园（电气工程）"/>
      <sheetName val="涵洞"/>
      <sheetName val="A子公司"/>
      <sheetName val="K3-1地块1-4#楼"/>
      <sheetName val="元件库"/>
      <sheetName val="限定品牌及封样材料清单 "/>
      <sheetName val="截止2003年6月25日"/>
      <sheetName val="A1、A1‘"/>
      <sheetName val="A2、B2 "/>
      <sheetName val="cashflow-commercial"/>
      <sheetName val="골조시행"/>
      <sheetName val="农业人口"/>
      <sheetName val="取费系数"/>
      <sheetName val="帮助"/>
      <sheetName val="164"/>
      <sheetName val="TB7.2.4（四区）"/>
      <sheetName val="dpA"/>
      <sheetName val="1.招采计划"/>
      <sheetName val="$,基础数据"/>
      <sheetName val="预算表"/>
      <sheetName val="二号清单-联排别墅地下土建（14#）"/>
      <sheetName val="清单5甲供材汇总表"/>
      <sheetName val="Consultant"/>
      <sheetName val="单位估价表"/>
      <sheetName val="样板区景观电"/>
      <sheetName val="工程量计算表-10"/>
      <sheetName val="样板区景观绿化给排水"/>
      <sheetName val="样板区景观给排水"/>
      <sheetName val="A区电气"/>
      <sheetName val="B区电气"/>
      <sheetName val="A区给排水"/>
      <sheetName val="B区给排水"/>
      <sheetName val="工程量计算表-8"/>
      <sheetName val="工程量计算表-9"/>
      <sheetName val="_Recovered_SheetName_661_"/>
      <sheetName val="_Recovered_SheetName_662_"/>
      <sheetName val="数据库"/>
      <sheetName val="分包范围"/>
      <sheetName val="东区灌注桩"/>
      <sheetName val="西区坑中坑喷锚"/>
      <sheetName val="西区坑中坑土钉"/>
      <sheetName val="东区坑中坑土钉工程量计量"/>
      <sheetName val="模型工作量"/>
      <sheetName val="（公寓）土建工程综合单价表"/>
      <sheetName val="（公寓）土建工程综合单价组价明细表"/>
      <sheetName val="集团毛利分析表（1-8月）"/>
      <sheetName val="工料机分析过程"/>
      <sheetName val="_Profi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生人台帳"/>
      <sheetName val="貨品科目"/>
      <sheetName val="eqpmad2"/>
      <sheetName val="AD ST"/>
      <sheetName val="8"/>
      <sheetName val="SW-TEO"/>
      <sheetName val="明细_23#楼"/>
      <sheetName val="数据库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生人台帳"/>
      <sheetName val="貨品科目"/>
      <sheetName val="eqpmad2"/>
      <sheetName val="8"/>
      <sheetName val="SW-TEO"/>
      <sheetName val="明细_23#楼"/>
      <sheetName val="AD ST"/>
      <sheetName val="数据库"/>
      <sheetName val="#REF!"/>
      <sheetName val="数据库201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皮"/>
      <sheetName val="报价汇总表·方案一"/>
      <sheetName val="报价汇总表·方案二"/>
      <sheetName val="主要材料品牌表"/>
      <sheetName val="明细_23#楼"/>
      <sheetName val="明细_24#楼"/>
      <sheetName val="72-LC2620"/>
      <sheetName val="72-LC1318"/>
      <sheetName val="72-LC1316"/>
      <sheetName val="72-HM1427"/>
      <sheetName val="72-LC05'18 "/>
      <sheetName val="72-LC05'16"/>
      <sheetName val="72-LC0718"/>
      <sheetName val="72-LC4216"/>
      <sheetName val="72-LC2618"/>
      <sheetName val="72-MLC2627"/>
      <sheetName val="72-MLC1827"/>
      <sheetName val="72-MLC5627-8"/>
      <sheetName val="72-MLC5625"/>
      <sheetName val="72-MLC3527"/>
      <sheetName val="82-C2620"/>
      <sheetName val="82-C1318"/>
      <sheetName val="82-C1316"/>
      <sheetName val="82-HM1427"/>
      <sheetName val="82-C05'18"/>
      <sheetName val="82-C0718"/>
      <sheetName val="82-C05'16"/>
      <sheetName val="82-C4216"/>
      <sheetName val="82-C2618"/>
      <sheetName val="82-MLC2627"/>
      <sheetName val="82-MLC1827"/>
      <sheetName val="82-MLC5627-8"/>
      <sheetName val="82-MLC5625"/>
      <sheetName val="82-MLC3527"/>
      <sheetName val="SW-TEO"/>
      <sheetName val="XLR_NoRangeSheet"/>
      <sheetName val="表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人台帳"/>
      <sheetName val="方針書"/>
      <sheetName val="方針実績"/>
      <sheetName val="品質過去の反省書（Q）"/>
      <sheetName val="過去の反省書（Ｄ） "/>
      <sheetName val="過去の反省書（Ｃ）"/>
      <sheetName val="成長のシナリオ"/>
      <sheetName val="03年度VE予実"/>
      <sheetName val="03年度サクセスキーワード"/>
      <sheetName val="メンテナンス受付台帳"/>
      <sheetName val="XLR_NoRangeSheet"/>
      <sheetName val="表紙"/>
      <sheetName val="明细_23#楼"/>
      <sheetName val="SOR.3.1.4"/>
      <sheetName val="B3.1.5"/>
      <sheetName val="21"/>
      <sheetName val="資料庫"/>
      <sheetName val="E"/>
      <sheetName val="F"/>
      <sheetName val="D"/>
      <sheetName val="G2TempSheet"/>
      <sheetName val="门油漆计算式～徐界鹏"/>
      <sheetName val="材料清单"/>
      <sheetName val="汇总1"/>
      <sheetName val="招标清单"/>
      <sheetName val="Sheet9"/>
      <sheetName val="B1-1清单外装修"/>
      <sheetName val="#REF!"/>
      <sheetName val="型材线密度表"/>
      <sheetName val="XL4Poppy"/>
      <sheetName val="手工计算"/>
      <sheetName val="Sheet1 (2)"/>
      <sheetName val="报价细目表"/>
      <sheetName val="分部分项工程量清单"/>
      <sheetName val="内围地梁钢筋说明"/>
      <sheetName val="明細表"/>
      <sheetName val="3"/>
      <sheetName val="貨品科目"/>
      <sheetName val="SW-TEO"/>
      <sheetName val="面积指标"/>
      <sheetName val="B3地面"/>
      <sheetName val="B9电气"/>
      <sheetName val="改加胶玻璃、室外栏杆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皮"/>
      <sheetName val="报价汇总表·方案一"/>
      <sheetName val="报价汇总表·方案二"/>
      <sheetName val="主要材料品牌表"/>
      <sheetName val="明细_23#楼"/>
      <sheetName val="明细_24#楼"/>
      <sheetName val="72-LC2620"/>
      <sheetName val="72-LC1318"/>
      <sheetName val="72-LC1316"/>
      <sheetName val="72-HM1427"/>
      <sheetName val="72-LC05'18 "/>
      <sheetName val="72-LC05'16"/>
      <sheetName val="72-LC0718"/>
      <sheetName val="72-LC4216"/>
      <sheetName val="72-LC2618"/>
      <sheetName val="72-MLC2627"/>
      <sheetName val="72-MLC1827"/>
      <sheetName val="72-MLC5627-8"/>
      <sheetName val="72-MLC5625"/>
      <sheetName val="72-MLC3527"/>
      <sheetName val="82-C2620"/>
      <sheetName val="82-C1318"/>
      <sheetName val="82-C1316"/>
      <sheetName val="82-HM1427"/>
      <sheetName val="82-C05'18"/>
      <sheetName val="82-C0718"/>
      <sheetName val="82-C05'16"/>
      <sheetName val="82-C4216"/>
      <sheetName val="82-C2618"/>
      <sheetName val="82-MLC2627"/>
      <sheetName val="82-MLC1827"/>
      <sheetName val="82-MLC5627-8"/>
      <sheetName val="82-MLC5625"/>
      <sheetName val="82-MLC3527"/>
      <sheetName val="SW-TEO"/>
      <sheetName val="0707版价格表"/>
      <sheetName val="8"/>
      <sheetName val="生人台帳"/>
      <sheetName val="#REF!"/>
      <sheetName val="21"/>
      <sheetName val="工程量"/>
      <sheetName val="eqpmad2"/>
      <sheetName val="貨品科目"/>
      <sheetName val="XLR_NoRangeSheet"/>
      <sheetName val="面积指标"/>
      <sheetName val="CFA"/>
      <sheetName val="B1B2门窗单价分析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B1-1清单外装修"/>
      <sheetName val="main"/>
      <sheetName val="分部分项工程量清单计价表"/>
      <sheetName val="改加胶玻璃、室外栏杆"/>
      <sheetName val="資料庫"/>
      <sheetName val="G2TempSheet"/>
      <sheetName val="SOR.3.1.4"/>
      <sheetName val="coa"/>
      <sheetName val="清单1-裙楼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(Flooring )"/>
      <sheetName val="汇总表"/>
      <sheetName val="finishing6-34"/>
      <sheetName val="finishing35-36"/>
      <sheetName val="finishing37"/>
      <sheetName val="finishing38"/>
      <sheetName val="finishingR"/>
      <sheetName val="finishingWT_UR"/>
      <sheetName val="classification(Flooring)"/>
      <sheetName val="#REF!"/>
      <sheetName val="Sheet1"/>
      <sheetName val="屋项铝单板"/>
      <sheetName val="8"/>
      <sheetName val="2"/>
      <sheetName val="6"/>
      <sheetName val="面积合计（藏）"/>
      <sheetName val="7"/>
      <sheetName val="3"/>
      <sheetName val="4"/>
      <sheetName val="投标材料清单 "/>
      <sheetName val="5"/>
      <sheetName val="1"/>
      <sheetName val="门窗表"/>
      <sheetName val="计算式明细"/>
      <sheetName val="SOR.3.1.4"/>
      <sheetName val="资料库"/>
      <sheetName val="工程抗压桩"/>
      <sheetName val="G2TempSheet"/>
      <sheetName val="型材参数"/>
      <sheetName val="Breakdown"/>
      <sheetName val="工程量表"/>
      <sheetName val="骨浆计算式(备)"/>
      <sheetName val="过渡数据表"/>
      <sheetName val="钢材单重"/>
      <sheetName val="分类"/>
      <sheetName val="总栋号统计"/>
      <sheetName val="清单名称"/>
      <sheetName val="单位"/>
      <sheetName val="地梁"/>
      <sheetName val="清单汇总"/>
      <sheetName val="L型单拼36"/>
      <sheetName val="L型单拼33"/>
      <sheetName val="M型双拼40、41"/>
      <sheetName val="M型三拼37、38、39"/>
      <sheetName val="计算稿"/>
      <sheetName val="3标(4)月份"/>
      <sheetName val="主楼垫层"/>
      <sheetName val="使用说明"/>
      <sheetName val="EVALUATE电梯集水井、风井"/>
      <sheetName val="厨厕通用"/>
      <sheetName val="零星(配电室)"/>
      <sheetName val="J4型"/>
      <sheetName val="快速代码 "/>
      <sheetName val="資料庫"/>
      <sheetName val="改加胶玻璃、室外栏杆"/>
      <sheetName val="XLR_NoRangeSheet"/>
      <sheetName val="21"/>
      <sheetName val="生人台帳"/>
      <sheetName val="貨品科目"/>
      <sheetName val="分部分项工程量清单计价表"/>
      <sheetName val="明细_23#楼"/>
      <sheetName val="面积 (2)"/>
      <sheetName val="AD ST"/>
      <sheetName val="材料单价表"/>
      <sheetName val="报价汇总"/>
      <sheetName val="费用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清单1-裙楼Ea"/>
      <sheetName val="#REF!"/>
      <sheetName val="3"/>
      <sheetName val="資料庫"/>
      <sheetName val="XLR_NoRangeSheet"/>
      <sheetName val="工程抗压桩"/>
      <sheetName val="7"/>
      <sheetName val="投标材料清单 "/>
      <sheetName val="单价"/>
      <sheetName val="Financ. Overview"/>
      <sheetName val="Toolbox"/>
      <sheetName val="Main"/>
      <sheetName val="型材参数"/>
      <sheetName val="改加胶玻璃、室外栏杆"/>
      <sheetName val="8"/>
      <sheetName val="2"/>
      <sheetName val="6"/>
      <sheetName val="面积合计（藏）"/>
      <sheetName val="4"/>
      <sheetName val="5"/>
      <sheetName val="1"/>
      <sheetName val="SOR.3.1.4"/>
      <sheetName val="B3.1.5"/>
      <sheetName val="搭接"/>
      <sheetName val="索引"/>
      <sheetName val="sum(Flooring )"/>
      <sheetName val="12#楼"/>
      <sheetName val="敏感参数"/>
      <sheetName val="单价(门窗）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清单1-裙楼Ea"/>
      <sheetName val="#REF!"/>
      <sheetName val="计算稿"/>
      <sheetName val="XLR_NoRangeSheet"/>
      <sheetName val="WilliamSheet"/>
      <sheetName val="按新系统"/>
      <sheetName val="型材表"/>
      <sheetName val="生人台帳"/>
      <sheetName val="G2TempSheet"/>
      <sheetName val="搭接"/>
      <sheetName val="索引"/>
      <sheetName val="汇总表"/>
      <sheetName val="POWER ASSUMPTIONS"/>
      <sheetName val="Mp-team 1"/>
      <sheetName val="(m1)_(m2)_(m3)"/>
      <sheetName val="推拉"/>
      <sheetName val="日记帐"/>
      <sheetName val="内围地梁钢筋说明"/>
      <sheetName val="用料分析表（不打印）"/>
      <sheetName val="主要材料明细表"/>
      <sheetName val="综合单价 (不打印)"/>
      <sheetName val="总表（不打印）"/>
      <sheetName val="3"/>
      <sheetName val="合格证 (2)"/>
      <sheetName val="MOHKG"/>
      <sheetName val="21"/>
      <sheetName val="改加胶玻璃、室外栏杆"/>
      <sheetName val="建筑面积 "/>
      <sheetName val="Toolbox"/>
      <sheetName val="資料庫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"/>
      <sheetName val="XLR_NoRangeSheet"/>
      <sheetName val="General"/>
      <sheetName val="内开内倒+平开 (2)"/>
      <sheetName val="Financ. Overview"/>
      <sheetName val="Toolbox"/>
      <sheetName val="data"/>
      <sheetName val="Draft"/>
      <sheetName val="#REF!"/>
      <sheetName val="A"/>
      <sheetName val="3"/>
      <sheetName val="12#楼"/>
      <sheetName val="G2TempSheet"/>
      <sheetName val="21"/>
      <sheetName val="sum(Flooring )"/>
      <sheetName val="Open"/>
      <sheetName val="0707版价格表"/>
      <sheetName val="清单1-裙楼Ea"/>
      <sheetName val="数据库2013"/>
      <sheetName val="快速代码 "/>
      <sheetName val="地梁"/>
    </sheetNames>
    <sheetDataSet>
      <sheetData sheetId="0"/>
      <sheetData sheetId="1">
        <row r="6">
          <cell r="B6" t="str">
            <v>江山市电力业务用房/阳光写字楼玻璃幕墙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"/>
      <sheetName val="说明"/>
      <sheetName val="电气汇总"/>
      <sheetName val="电气设备"/>
      <sheetName val="防雷"/>
      <sheetName val="强电"/>
      <sheetName val="电话"/>
      <sheetName val="电话系统"/>
      <sheetName val="电视"/>
      <sheetName val="消防系统"/>
      <sheetName val="网络"/>
      <sheetName val="清单1-裙楼Ea"/>
      <sheetName val="电气设置"/>
      <sheetName val="电气计算"/>
      <sheetName val="电气汇总(计算式)"/>
      <sheetName val="给排水设置"/>
      <sheetName val="给排水计算"/>
      <sheetName val="GS汇总"/>
      <sheetName val="B1开办费"/>
      <sheetName val="B2SUM准备、配合、照管"/>
      <sheetName val="B3地面"/>
      <sheetName val="B4墙面"/>
      <sheetName val="B5天棚"/>
      <sheetName val="B6门窗"/>
      <sheetName val="B7杂项"/>
      <sheetName val="B8给排水"/>
      <sheetName val="B9电气"/>
      <sheetName val="B10暂定"/>
      <sheetName val="B11规费"/>
      <sheetName val="B12税金"/>
      <sheetName val="#REF!"/>
      <sheetName val="Template"/>
      <sheetName val="XLR_NoRangeSheet"/>
      <sheetName val="eqpmad2"/>
      <sheetName val="电视监控"/>
      <sheetName val="pldt"/>
      <sheetName val="期初庫存總表"/>
      <sheetName val="在途總表"/>
      <sheetName val="銷售金額"/>
      <sheetName val="銷表"/>
      <sheetName val="庫存表"/>
      <sheetName val="生產明細"/>
      <sheetName val="退貨總表"/>
      <sheetName val="短少總表"/>
      <sheetName val="贈品折扣總表"/>
      <sheetName val="3"/>
      <sheetName val="搭接"/>
      <sheetName val="索引"/>
      <sheetName val="4-27"/>
      <sheetName val="6-3"/>
      <sheetName val="6-21"/>
      <sheetName val="8-8"/>
      <sheetName val="9-1"/>
      <sheetName val="9-13"/>
      <sheetName val="9-20"/>
      <sheetName val="11-3"/>
      <sheetName val="12-21"/>
      <sheetName val="12-26"/>
      <sheetName val="1.5"/>
      <sheetName val="2.22"/>
      <sheetName val="2.27"/>
      <sheetName val="3-6"/>
      <sheetName val="Sheet1"/>
      <sheetName val="目标责任成本指标"/>
      <sheetName val="基本参数"/>
      <sheetName val="成本估算"/>
      <sheetName val="主体造价"/>
      <sheetName val="报批报建费"/>
      <sheetName val="规划指标"/>
      <sheetName val="设计部"/>
      <sheetName val="Sheet2"/>
      <sheetName val="填报指引"/>
      <sheetName val="汇总表"/>
      <sheetName val="S1单价表"/>
      <sheetName val="S2地下室"/>
      <sheetName val="S3旅游餐饮街"/>
      <sheetName val="S4写字楼"/>
      <sheetName val="S5独立商业楼"/>
      <sheetName val="S6公寓楼"/>
      <sheetName val="组价明细表"/>
      <sheetName val="S15会所"/>
      <sheetName val="编制说明"/>
      <sheetName val="面积一览表"/>
      <sheetName val="土建工程量清单计价表"/>
      <sheetName val="土建综合单价分析表"/>
      <sheetName val="安装工程量清单计价表"/>
      <sheetName val="安装综合单价分析表"/>
      <sheetName val="措施费"/>
      <sheetName val="总包配合费"/>
      <sheetName val="材料说明"/>
      <sheetName val="人材机及零星项单价表"/>
      <sheetName val="土建指标表"/>
      <sheetName val="指标表"/>
      <sheetName val="Table 8"/>
      <sheetName val="Table 8A"/>
      <sheetName val="eva"/>
      <sheetName val="Table 8b"/>
      <sheetName val="DDETABLE "/>
      <sheetName val="楼梯间"/>
      <sheetName val="e"/>
      <sheetName val="#REF"/>
      <sheetName val="Toolbox"/>
      <sheetName val="SW-TEO"/>
      <sheetName val="Main"/>
      <sheetName val="Financ. Overview"/>
      <sheetName val="编制及填报说明"/>
      <sheetName val="面积户型一览表"/>
      <sheetName val="报价汇总表"/>
      <sheetName val="总包服务费"/>
      <sheetName val="零星单价表"/>
      <sheetName val="土建指标表 "/>
      <sheetName val="估算备份"/>
      <sheetName val="封面"/>
      <sheetName val="面积指标"/>
      <sheetName val="投资进度 "/>
      <sheetName val="销售收入"/>
      <sheetName val="资金平衡"/>
      <sheetName val="损益表"/>
      <sheetName val="财务费用"/>
      <sheetName val="结果分析"/>
      <sheetName val="Sheet4"/>
      <sheetName val="Sheet5"/>
      <sheetName val="Sheet6"/>
      <sheetName val="Sheet7"/>
      <sheetName val="Sheet8"/>
      <sheetName val="Sheet9"/>
      <sheetName val="Sheet10"/>
      <sheetName val="面积指标表"/>
      <sheetName val="写字楼B"/>
      <sheetName val="销售收入表"/>
      <sheetName val="收入与成本"/>
      <sheetName val="销售比率"/>
      <sheetName val="水平区"/>
      <sheetName val="干线区"/>
      <sheetName val="管理区"/>
      <sheetName val="报价单"/>
      <sheetName val="清单1"/>
      <sheetName val="POWER ASSUMPTIONS"/>
      <sheetName val="敏感参数"/>
      <sheetName val="投资估算表"/>
      <sheetName val="Parameters"/>
      <sheetName val="资产负债表"/>
      <sheetName val="资产品名库"/>
      <sheetName val="字典(不需输入)"/>
      <sheetName val="目录"/>
      <sheetName val="基础资料（B）"/>
      <sheetName val="分产品销售收入、成本分析表"/>
      <sheetName val="雷梦"/>
      <sheetName val="ECCS_1 DataSheet"/>
      <sheetName val="CJA 2006"/>
      <sheetName val="Aging Datasheet"/>
      <sheetName val="KPI Datasheet"/>
      <sheetName val="工业"/>
      <sheetName val="敏感详细分析"/>
      <sheetName val="资产负债表汇编"/>
      <sheetName val="A翼写字楼"/>
      <sheetName val="PL 2007"/>
      <sheetName val="PL 2005"/>
      <sheetName val="PL 2006"/>
      <sheetName val="三分厂04年1-12月销售价 "/>
      <sheetName val="05年1月销售价"/>
      <sheetName val="04年12月销售价"/>
      <sheetName val="CFS"/>
      <sheetName val="索引表"/>
      <sheetName val="选择报表"/>
      <sheetName val="华房01"/>
      <sheetName val="健翔01"/>
      <sheetName val="京通01"/>
      <sheetName val="Note 1 - Recon Profit"/>
      <sheetName val="Cash Flow Statement"/>
      <sheetName val=""/>
      <sheetName val="1参"/>
      <sheetName val="1收"/>
      <sheetName val="1支"/>
      <sheetName val="动态成本信息"/>
      <sheetName val="1-合同台帐"/>
      <sheetName val="13年新增"/>
      <sheetName val="商业综合成本"/>
      <sheetName val="成本测算"/>
      <sheetName val="表Ⅲ-5 费用预算表"/>
      <sheetName val="合同及付款台帐"/>
      <sheetName val="2011年立项"/>
      <sheetName val="合同及付款台账"/>
      <sheetName val="QY"/>
      <sheetName val="list"/>
      <sheetName val="12#楼"/>
      <sheetName val="7#楼"/>
      <sheetName val="8#楼"/>
      <sheetName val="车库"/>
      <sheetName val="合同台帐"/>
      <sheetName val="报表项目基本情况表"/>
      <sheetName val="5201.2004"/>
      <sheetName val="NAME"/>
      <sheetName val="成本台帐"/>
      <sheetName val="主要规划指标"/>
      <sheetName val="汇总"/>
      <sheetName val="甲供苗木起挖运输"/>
      <sheetName val="Financial highligts"/>
      <sheetName val="Setting"/>
      <sheetName val="Control"/>
      <sheetName val="Bank Debt"/>
      <sheetName val="GFA"/>
      <sheetName val="HKBUD"/>
      <sheetName val="敏感性分析"/>
      <sheetName val="投资进度"/>
      <sheetName val="土地成本"/>
      <sheetName val="前期费用"/>
      <sheetName val="建安成本"/>
      <sheetName val="出租收入"/>
      <sheetName val="资金平衡表"/>
      <sheetName val="经济评价指标"/>
      <sheetName val="标准业态"/>
      <sheetName val="项目概况"/>
      <sheetName val="建造（交房）标准"/>
      <sheetName val="分摊表 一期"/>
      <sheetName val="一期建安成本单价分析表"/>
      <sheetName val="当期（一期）投资成本分析表 "/>
      <sheetName val="各业态保本售价"/>
      <sheetName val="售价年度增长敏感性分析"/>
      <sheetName val="分析表（手动填报）"/>
      <sheetName val="土地敏感性分析表"/>
      <sheetName val="土地明细表"/>
      <sheetName val="营改增"/>
      <sheetName val="投资收益测算"/>
      <sheetName val="投资计划表总表"/>
      <sheetName val="当期投资计划表-月度"/>
      <sheetName val="一期销售表（当期）"/>
      <sheetName val="当期营销费用分解表"/>
      <sheetName val="全案营销费用分解表"/>
      <sheetName val="节点计划表"/>
      <sheetName val="全案现金流分析表"/>
      <sheetName val="一期（当期）现金流分析表"/>
      <sheetName val="二期现金流分析表"/>
      <sheetName val="三期现金流分析表"/>
      <sheetName val="土地增值税"/>
      <sheetName val="设备部房屋"/>
      <sheetName val="设备部构筑物"/>
      <sheetName val="Comparison"/>
      <sheetName val="2002-06NL"/>
      <sheetName val="2001-12NL"/>
      <sheetName val="2000-12NL"/>
      <sheetName val="1999-12NL"/>
      <sheetName val="Adjustment summary"/>
      <sheetName val="Unadjusted errors"/>
      <sheetName val="2002-06"/>
      <sheetName val="2001"/>
      <sheetName val="2000"/>
      <sheetName val="1999"/>
      <sheetName val="laroux"/>
      <sheetName val="法律及其他资料"/>
      <sheetName val="填报说明"/>
      <sheetName val="资负汇总"/>
      <sheetName val="利润表"/>
      <sheetName val="利润分配表"/>
      <sheetName val="现金流量表"/>
      <sheetName val="合并底稿"/>
      <sheetName val="现金"/>
      <sheetName val="银行存款"/>
      <sheetName val="银行余额调节表 "/>
      <sheetName val="其他货币资金"/>
      <sheetName val="短期投资-股票投资"/>
      <sheetName val="短期投资-债券投资"/>
      <sheetName val="短期投资-其他"/>
      <sheetName val="应收票据"/>
      <sheetName val="应收帐款"/>
      <sheetName val="应收股利"/>
      <sheetName val="应收利息"/>
      <sheetName val="预付帐款"/>
      <sheetName val="应收补贴款"/>
      <sheetName val="应收出口退税"/>
      <sheetName val="其他应收款"/>
      <sheetName val="存货"/>
      <sheetName val="存货调节表"/>
      <sheetName val="待摊费用变动表"/>
      <sheetName val="待处理资产净损失"/>
      <sheetName val="其他流动资产"/>
      <sheetName val="长期投资明细表"/>
      <sheetName val="长期股票投资"/>
      <sheetName val="长期债券投资"/>
      <sheetName val="长期股权投资"/>
      <sheetName val="长期投资差额"/>
      <sheetName val="固定资产变动表"/>
      <sheetName val="在建工程变动表"/>
      <sheetName val="无形资产变动"/>
      <sheetName val="长期待摊费用"/>
      <sheetName val="其他长期资产"/>
      <sheetName val="短期借款"/>
      <sheetName val="应付票据"/>
      <sheetName val="应付账款"/>
      <sheetName val="预收账款"/>
      <sheetName val="代销商品款"/>
      <sheetName val="其他应付款"/>
      <sheetName val="应付工资变动表"/>
      <sheetName val="应付福利费变动表"/>
      <sheetName val="应交税金变动表"/>
      <sheetName val="所得税调节表 "/>
      <sheetName val="递延税项"/>
      <sheetName val="应付股利"/>
      <sheetName val="应付利润"/>
      <sheetName val="其他应交款"/>
      <sheetName val="预提费用"/>
      <sheetName val="一年内到期的长期借款"/>
      <sheetName val="其他流动负债"/>
      <sheetName val="长期借款"/>
      <sheetName val="应付债券"/>
      <sheetName val="长期应付款及其他长期负债变动表"/>
      <sheetName val="递延税款贷项"/>
      <sheetName val="所有者权益"/>
      <sheetName val="营业收入-1"/>
      <sheetName val="营业收入-2"/>
      <sheetName val="制造费用"/>
      <sheetName val="主营业务税金及附加"/>
      <sheetName val="销售费用"/>
      <sheetName val="管理费用"/>
      <sheetName val="其他业务利润"/>
      <sheetName val="营业外收入"/>
      <sheetName val="投资收益"/>
      <sheetName val="以前年度调整"/>
      <sheetName val="资产减值"/>
      <sheetName val="承诺事项"/>
      <sheetName val="或有事项"/>
      <sheetName val="管理人员酬金"/>
      <sheetName val="关联方交易发生额"/>
      <sheetName val="关联方交易余额"/>
      <sheetName val="分部报告"/>
      <sheetName val="原材料"/>
      <sheetName val="在途物资"/>
      <sheetName val="在库低耗"/>
      <sheetName val="包装物"/>
      <sheetName val="委托加工"/>
      <sheetName val="产成品"/>
      <sheetName val="在产品"/>
      <sheetName val="分期收款发出商品"/>
      <sheetName val="在用低耗"/>
      <sheetName val="委托代销商品"/>
      <sheetName val="受托代销商品"/>
      <sheetName val="待摊费用"/>
      <sheetName val="一年长期债券"/>
      <sheetName val="其他债权投资"/>
      <sheetName val="固定资产汇总"/>
      <sheetName val="房屋"/>
      <sheetName val="房屋调查表"/>
      <sheetName val="威格斯-1租赁房(生产用）"/>
      <sheetName val="威格斯-2租赁房(非生产）"/>
      <sheetName val="构筑物"/>
      <sheetName val="管道和沟槽"/>
      <sheetName val="网络设备"/>
      <sheetName val="电子设备"/>
      <sheetName val="办公设备"/>
      <sheetName val="车辆"/>
      <sheetName val="车辆调查"/>
      <sheetName val="其他设备"/>
      <sheetName val="重点设备调查表"/>
      <sheetName val="在建管理调查"/>
      <sheetName val="统计调查"/>
      <sheetName val="单项调查"/>
      <sheetName val="工程物资"/>
      <sheetName val="在建土建"/>
      <sheetName val="在建构筑"/>
      <sheetName val="地下在建"/>
      <sheetName val="在建安装"/>
      <sheetName val="在建工程"/>
      <sheetName val="固资清理"/>
      <sheetName val="土地使用权"/>
      <sheetName val="其他无形"/>
      <sheetName val="开办费"/>
      <sheetName val="应付帐款"/>
      <sheetName val="预收帐款"/>
      <sheetName val="应付工资"/>
      <sheetName val="应付福利费"/>
      <sheetName val="一年内到期的长期债券"/>
      <sheetName val="住房周转金变动表"/>
      <sheetName val="营业收入-3"/>
      <sheetName val="营业成本"/>
      <sheetName val="关联方－1"/>
      <sheetName val="关联方－2"/>
      <sheetName val="关联方－3"/>
      <sheetName val="关联方－4"/>
      <sheetName val="关联方－5"/>
      <sheetName val="中资调查1"/>
      <sheetName val="中资调查2"/>
      <sheetName val="中资调查3"/>
      <sheetName val="中资调查4"/>
      <sheetName val="Adjustment_summary"/>
      <sheetName val="Unadjusted_errors"/>
      <sheetName val="银行余额调节表_"/>
      <sheetName val="所得税调节表_"/>
      <sheetName val="02-IAS-Conso"/>
      <sheetName val="IAS adj. entry"/>
      <sheetName val="02-PRC-Conso"/>
      <sheetName val="Cashflow-PRC"/>
      <sheetName val="Cashflow(PRC)-calculation"/>
      <sheetName val="consol adj."/>
      <sheetName val="consol adj. for ref."/>
      <sheetName val="PRC Adjusted"/>
      <sheetName val="01"/>
      <sheetName val="01adj"/>
      <sheetName val="02"/>
      <sheetName val="02adj"/>
      <sheetName val="03"/>
      <sheetName val="03adj"/>
      <sheetName val="04"/>
      <sheetName val="04adj"/>
      <sheetName val="05"/>
      <sheetName val="05adj"/>
      <sheetName val="06"/>
      <sheetName val="07"/>
      <sheetName val="08"/>
      <sheetName val="08adj"/>
      <sheetName val="09"/>
      <sheetName val="09adj"/>
      <sheetName val="10"/>
      <sheetName val="11"/>
      <sheetName val="11adj"/>
      <sheetName val="12"/>
      <sheetName val="12adj"/>
      <sheetName val="13"/>
      <sheetName val="13adj"/>
      <sheetName val="SUD"/>
      <sheetName val="长期应付款"/>
      <sheetName val="主营业务收入明细表"/>
      <sheetName val="主营业务成本明细表"/>
      <sheetName val="报表附注"/>
      <sheetName val="报告表"/>
      <sheetName val="CRITERIA1"/>
      <sheetName val="CRITERIA2"/>
      <sheetName val="A-15 所有权受限制的资产"/>
      <sheetName val="Validation source"/>
      <sheetName val="12月"/>
      <sheetName val="Name list"/>
      <sheetName val="AR-明细"/>
      <sheetName val="数据定义1"/>
      <sheetName val="销售指标表"/>
      <sheetName val="模板"/>
      <sheetName val="CS02表"/>
      <sheetName val="丽水项目成本分摊一览表"/>
      <sheetName val="政府收费及设计勘察费用"/>
      <sheetName val="三通一平费用"/>
      <sheetName val="35KV高压线迁移"/>
      <sheetName val="二期分部工程分析"/>
      <sheetName val="二期建安总汇表"/>
      <sheetName val="总措施项目"/>
      <sheetName val="单位工程措施项目"/>
      <sheetName val="综合单价汇总表"/>
      <sheetName val="A2"/>
      <sheetName val="B3"/>
      <sheetName val="B4"/>
      <sheetName val="D2"/>
      <sheetName val="F1"/>
      <sheetName val="G2b"/>
      <sheetName val="G2n"/>
      <sheetName val="H1"/>
      <sheetName val="J1"/>
      <sheetName val="公建"/>
      <sheetName val="市政"/>
      <sheetName val="塑钢窗"/>
      <sheetName val="门业"/>
      <sheetName val="集中采购部分"/>
      <sheetName val="清单"/>
      <sheetName val="月度投资进度计划"/>
      <sheetName val="月度销售收入"/>
      <sheetName val="出租部分贴现"/>
      <sheetName val="月度资金平衡"/>
      <sheetName val="建安成本分析"/>
      <sheetName val="销售费用分析"/>
      <sheetName val="损益表(一般)-1"/>
      <sheetName val="营业额分析表-2"/>
      <sheetName val="毛利率分析表-4"/>
      <sheetName val="经营利润分析表-5"/>
      <sheetName val="经营利润表-明细-5-1-CRLD610000"/>
      <sheetName val="经营利润表-明细-5-1-CRLD210000"/>
      <sheetName val="经营利润表-明细-5-1-CRLD220000"/>
      <sheetName val="经营利润表-明细-5-1-CRLD230000"/>
      <sheetName val="经营利润表-明细-5-1-CRLD240000"/>
      <sheetName val="经营利润表-明细-5-1-CRLD250000"/>
      <sheetName val="经营利润表-明细-5-1-CRLD260000"/>
      <sheetName val="经营利润表-明细-5-1-CRLD270000"/>
      <sheetName val="经营利润表-明细-5-1-CRLD620000"/>
      <sheetName val="经营利润表-明细-5-1-CRLD630000"/>
      <sheetName val="经营利润表-明细-5-1-CRLD640000"/>
      <sheetName val="经营利润表-明细-5-1-CRLD650000"/>
      <sheetName val="经营利润表-明细-5-1-CRLD660000"/>
      <sheetName val="经营利润表-明细-5-1-CRLD670000"/>
      <sheetName val="一般及行政费用-明细-11-1"/>
      <sheetName val="一般及行政费用分析表-1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应收帐款周转天数表-按利润中心-29"/>
      <sheetName val="资本性支出表-35"/>
      <sheetName val="资本性支出表-明细-35-1"/>
      <sheetName val="关联交易"/>
      <sheetName val="重要指标表-47"/>
      <sheetName val="员工人数表-113"/>
      <sheetName val="现金流量表-45"/>
      <sheetName val="现金流量表(直接法)-50"/>
      <sheetName val="三年综述表-115"/>
      <sheetName val="FS"/>
      <sheetName val="Aging"/>
      <sheetName val="Validation"/>
      <sheetName val="KPI"/>
      <sheetName val="Cash Flow"/>
      <sheetName val="DataSheetIndex_1"/>
      <sheetName val="DataSheetIndex"/>
      <sheetName val="Cell Copy"/>
      <sheetName val="Rec_Profit"/>
      <sheetName val="1-1基础资料"/>
      <sheetName val="综述 "/>
      <sheetName val="01项目审批进度"/>
      <sheetName val="02项目关键节点表"/>
      <sheetName val="苏家屯片区位置图"/>
      <sheetName val="自用隐藏版(勿动）"/>
      <sheetName val="1.2"/>
      <sheetName val="1.3"/>
      <sheetName val="1.4"/>
      <sheetName val="填表指引"/>
      <sheetName val="待填1-并购概况"/>
      <sheetName val="待填2-投资测算V1.2"/>
      <sheetName val="待填3-进度"/>
      <sheetName val="建造标准（含酒店及商业）"/>
      <sheetName val="成本差异(预算选填)"/>
      <sheetName val="建安费"/>
      <sheetName val="经济指标"/>
      <sheetName val="现金流分析表"/>
      <sheetName val="投资成本分析表"/>
      <sheetName val="Open"/>
      <sheetName val="average price"/>
      <sheetName val="05年预售率"/>
      <sheetName val="2006年宏观调控对绿城的影响"/>
      <sheetName val="company operations"/>
      <sheetName val="hangzhou2"/>
      <sheetName val="一期投资成本分析表"/>
      <sheetName val="银行借款询证"/>
      <sheetName val="（区域维度）项目立项批复及总额指标梳理"/>
      <sheetName val="物业服务收入"/>
      <sheetName val="5清波"/>
      <sheetName val="时间设置"/>
      <sheetName val="目标成本测算模板"/>
      <sheetName val="链接"/>
      <sheetName val="滚动"/>
      <sheetName val="表Ⅲ-1 项目目标成本测算"/>
      <sheetName val="重要参数汇总"/>
      <sheetName val="目标成本1"/>
      <sheetName val="新的工作表"/>
      <sheetName val="G2TempSheet"/>
      <sheetName val="资金计划 "/>
      <sheetName val="2004年"/>
      <sheetName val="2006年"/>
      <sheetName val="2005年"/>
      <sheetName val="资本化利息分配表"/>
      <sheetName val="Summary"/>
      <sheetName val="C"/>
      <sheetName val="General_Assum"/>
      <sheetName val="会计利润"/>
      <sheetName val="Mp-team 1"/>
      <sheetName val="基本设置"/>
      <sheetName val="1-6月客戶數"/>
      <sheetName val="預算目標"/>
      <sheetName val="方案1"/>
      <sheetName val="系数516"/>
      <sheetName val="XL4Poppy"/>
      <sheetName val="99CCTV"/>
      <sheetName val="开发节凑"/>
      <sheetName val="项目指标"/>
      <sheetName val="合同台账"/>
      <sheetName val="动态成本"/>
      <sheetName val="付款台账"/>
      <sheetName val="附表1"/>
      <sheetName val="纳税调整"/>
      <sheetName val="绿化"/>
      <sheetName val="景观"/>
      <sheetName val="Sheet3"/>
      <sheetName val="合同明细"/>
      <sheetName val="拓展部"/>
      <sheetName val="财务部"/>
      <sheetName val="成本部"/>
      <sheetName val="销售中心"/>
      <sheetName val="工程部"/>
      <sheetName val="采购部"/>
      <sheetName val="项目部"/>
      <sheetName val="客户关系中心"/>
      <sheetName val="责任成本归属标准"/>
      <sheetName val="结算及付款计划初稿"/>
      <sheetName val="成本预算调整说明"/>
      <sheetName val="一、青青全项目资金计划"/>
      <sheetName val="二、青青四期各部门责任成本及资金计划"/>
      <sheetName val="2.1设计部"/>
      <sheetName val="2.2拓展部"/>
      <sheetName val="2.3财务部"/>
      <sheetName val="2.4成本部"/>
      <sheetName val="2.5工程部"/>
      <sheetName val="2.6采购部"/>
      <sheetName val="2.7项目部"/>
      <sheetName val="2.8责任成本归属标准"/>
      <sheetName val="三.青青全项目结算汇总表"/>
      <sheetName val="3.1青青一期"/>
      <sheetName val="3.2青青二期"/>
      <sheetName val="3.3青青三期"/>
      <sheetName val="3.4青青四期"/>
      <sheetName val="3.5青青跨期"/>
      <sheetName val="四.变更签证计划"/>
      <sheetName val="审批查询1"/>
      <sheetName val="审批查询2"/>
      <sheetName val="装饰清单"/>
      <sheetName val="优惠统计表"/>
      <sheetName val="1-10月"/>
      <sheetName val="公司名称"/>
      <sheetName val="填表情况"/>
      <sheetName val="2.1a-移动通话费"/>
      <sheetName val="2.2a-国內长途话费"/>
      <sheetName val="2.3a-港澳台长途话费"/>
      <sheetName val="2.4a-国际长途话费"/>
      <sheetName val="2.5a-IP长途话费"/>
      <sheetName val="2.6a-省內及省际出访漫遊"/>
      <sheetName val="2.7a-国际出访漫遊"/>
      <sheetName val="2.8a-月租费"/>
      <sheetName val="2.9.1a-网间结算收入"/>
      <sheetName val="2.9.2a-入访漫游"/>
      <sheetName val="2.9.5a-增值数据CMNET收入"/>
      <sheetName val="2.1-租賃支出"/>
      <sheetName val="2.2-业务费"/>
      <sheetName val="2.14-出访漫游"/>
      <sheetName val="2.3-佣金 手续费"/>
      <sheetName val="2.20-非付现宣传费用"/>
      <sheetName val="3-货币資金"/>
      <sheetName val="4-短期投資"/>
      <sheetName val="2.4-优惠统计"/>
      <sheetName val="2.5-维修费"/>
      <sheetName val="2.6-营业费用"/>
      <sheetName val="2.7-员工人数统计"/>
      <sheetName val="3-货币資金明細"/>
      <sheetName val="3.1.1银行调节表"/>
      <sheetName val="3.1.2银行调节表"/>
      <sheetName val="3.1.3-银行调节表"/>
      <sheetName val="4-应收帐款"/>
      <sheetName val="4.1-坏帐准备 "/>
      <sheetName val="5.1-其他应收款"/>
      <sheetName val="8-存貨"/>
      <sheetName val="5.2-预付帐款"/>
      <sheetName val="6.1-待摊费用"/>
      <sheetName val="10-其他流动資产"/>
      <sheetName val="11-长期投资"/>
      <sheetName val="7B-存貨"/>
      <sheetName val="7B.1-存貨"/>
      <sheetName val="存货盘点表7.1"/>
      <sheetName val="存货盘点表7.2"/>
      <sheetName val="8.1-固定資产"/>
      <sheetName val="8.2-非生产用固定资产"/>
      <sheetName val="9-在建工程"/>
      <sheetName val="10-工程物资"/>
      <sheetName val="15-无形資产"/>
      <sheetName val="11-长期待摊费用"/>
      <sheetName val="17-短期借款"/>
      <sheetName val="18-应付帐款"/>
      <sheetName val="19-預收帐款"/>
      <sheetName val="20-其他应付款"/>
      <sheetName val="21-应交稅金"/>
      <sheetName val="22-其他应交款"/>
      <sheetName val="23-預提费用"/>
      <sheetName val="24-一年内到期的长期负债"/>
      <sheetName val="25-长期借款"/>
      <sheetName val="25.1-长期借款"/>
      <sheetName val="26-长期应付款"/>
      <sheetName val="26.1-长期应付款"/>
      <sheetName val="25-入网费收费标准"/>
      <sheetName val="29-关联应收付"/>
      <sheetName val="30-資本承担"/>
      <sheetName val="31-经营租賃合约"/>
      <sheetName val="16-未付工程款"/>
      <sheetName val="17-无形資产"/>
      <sheetName val="18.1-应付帐款"/>
      <sheetName val="18.2-其他应付款"/>
      <sheetName val="18.3-预提费用"/>
      <sheetName val="18.4-其它应交款"/>
      <sheetName val="18.5-未交稅金"/>
      <sheetName val="18.6-預收帐款"/>
      <sheetName val="19-資本承担"/>
      <sheetName val="20-经营租賃合约"/>
      <sheetName val="23-或有事项"/>
      <sheetName val="24-在建工程结转固定资产情况"/>
      <sheetName val="27.1以前年度损益调整"/>
      <sheetName val="28.1-确认书附表(电信)"/>
      <sheetName val="28.2-确认书附表(邮政局)"/>
      <sheetName val="28.3-确认书附表(移动集团)"/>
      <sheetName val="28.4-确认书附表(寻呼公司)"/>
      <sheetName val="28.5-确认书附表(无委会)"/>
      <sheetName val="28.6-确认书附表(其他邮电关联公司)"/>
      <sheetName val="36-資本开支"/>
      <sheetName val="37-十大供应商"/>
      <sheetName val="HBBZBK"/>
      <sheetName val="G.1R-Shou COP Gf"/>
      <sheetName val="2月请款"/>
      <sheetName val="RecoveredExternalLink2"/>
      <sheetName val="X月度资金预算表-开发成本"/>
      <sheetName val="2015.2月"/>
      <sheetName val="墙面工程"/>
      <sheetName val="11年计划"/>
      <sheetName val="字段"/>
      <sheetName val="指标分类汇总"/>
      <sheetName val="前(栖居)"/>
      <sheetName val="建(栖居)"/>
      <sheetName val="钢筋计算表"/>
      <sheetName val="销售财务日报表②"/>
      <sheetName val="参照表"/>
      <sheetName val="46亩(新)"/>
      <sheetName val="基础数据命名表"/>
      <sheetName val="技术指标"/>
      <sheetName val="税金预测"/>
      <sheetName val="税金缴纳情况"/>
      <sheetName val="土地款预测"/>
      <sheetName val="销售回款预测"/>
      <sheetName val="08.01"/>
      <sheetName val="政府性收费预测"/>
      <sheetName val="单位库"/>
      <sheetName val="指标汇总及敏感性分析"/>
      <sheetName val="筹融资假设"/>
      <sheetName val="IRR(B、D、BD)"/>
      <sheetName val="Exit Reve&amp;Tax "/>
      <sheetName val="CF in Mth (B座)"/>
      <sheetName val="CF in Mth（D整售）"/>
      <sheetName val="CF in Mth（D持有）"/>
      <sheetName val="B完工全退"/>
      <sheetName val="D完工全退"/>
      <sheetName val="B25%全退"/>
      <sheetName val="D25%全退"/>
      <sheetName val="B过程部分退"/>
      <sheetName val="销售、经营假设"/>
      <sheetName val="建造计划假设"/>
      <sheetName val="税收假设"/>
      <sheetName val="D-Hotel-NOI"/>
      <sheetName val="B-Office－NOI"/>
      <sheetName val="B-Hotel-NOI"/>
      <sheetName val="D-SERAP-NOI "/>
      <sheetName val="D-Office-NOI"/>
      <sheetName val="BD座测算080603"/>
      <sheetName val="Equipment Schedule"/>
      <sheetName val="p1"/>
      <sheetName val="ENGG"/>
      <sheetName val="summary_p2"/>
      <sheetName val="p2"/>
      <sheetName val="点表"/>
      <sheetName val="PILE CAP"/>
      <sheetName val="BEAM"/>
      <sheetName val="SLAB"/>
      <sheetName val="WALL"/>
      <sheetName val="COLUMN"/>
      <sheetName val="General"/>
      <sheetName val="Sheet11"/>
      <sheetName val="Sheet12"/>
      <sheetName val="Sheet13"/>
      <sheetName val="Sheet14"/>
      <sheetName val="Sheet15"/>
      <sheetName val="Sheet16"/>
      <sheetName val="材料表"/>
      <sheetName val="ben"/>
      <sheetName val="建筑面积 "/>
      <sheetName val="21"/>
      <sheetName val="工程量"/>
      <sheetName val="核算项目余额表"/>
      <sheetName val="总量统计"/>
      <sheetName val="机电工程"/>
      <sheetName val="计算表 (2)"/>
      <sheetName val="地板送风工程"/>
      <sheetName val="机电工程 (变更图纸2011.7.4)"/>
      <sheetName val="机电工程 (变更图纸2011.7.4) (2)"/>
      <sheetName val="H1裙房"/>
      <sheetName val="塔楼3层到19层"/>
      <sheetName val="空调水"/>
      <sheetName val="空调风"/>
      <sheetName val="排烟"/>
      <sheetName val="正压送风"/>
      <sheetName val="冷却塔"/>
      <sheetName val="塔楼空调风"/>
      <sheetName val="塔楼正压送风"/>
      <sheetName val="塔楼空调水"/>
      <sheetName val="塔楼防排烟"/>
      <sheetName val="정부노임단가"/>
      <sheetName val="소각장스케줄"/>
      <sheetName val="연습"/>
      <sheetName val="감리을"/>
      <sheetName val="广联达材料编码"/>
      <sheetName val="玻璃幕墙加权"/>
      <sheetName val="含量说明"/>
      <sheetName val="分部分项工程清单计价表"/>
      <sheetName val="感染楼新清单"/>
      <sheetName val="感染楼单价分析表"/>
      <sheetName val="科研教学及肿瘤楼新清单"/>
      <sheetName val="肿瘤楼单价"/>
      <sheetName val="住院楼新清单"/>
      <sheetName val="住院楼综合单价"/>
      <sheetName val="含量"/>
      <sheetName val="门诊医技楼新清单"/>
      <sheetName val="门诊医技楼综合单价"/>
      <sheetName val="成本 "/>
      <sheetName val="1.投标总价"/>
      <sheetName val="测算编制说明"/>
      <sheetName val="2.总说明-不用"/>
      <sheetName val="样板间全成本分析"/>
      <sheetName val="3.招标控制价汇总表"/>
      <sheetName val="4.分部分项工程量清单汇总表"/>
      <sheetName val="4-1装饰清单"/>
      <sheetName val="4-1-1装饰综合单价分析表"/>
      <sheetName val="4-1-3定额子目分析表"/>
      <sheetName val="4-1-2装饰材料表"/>
      <sheetName val="4-2机电清单"/>
      <sheetName val="4-2-1机电综合单价分析表"/>
      <sheetName val="4-2-2机电材料表"/>
      <sheetName val="5.措施项目清单与计价表"/>
      <sheetName val="6发包人指定分包、指定供应项目一览表"/>
      <sheetName val="7.其他项目清单与计价汇总表"/>
      <sheetName val="8计日工表"/>
      <sheetName val="9照管费清单"/>
      <sheetName val="10人工单价报价表"/>
      <sheetName val="11 管理费率和利润风险率报价表"/>
      <sheetName val="1#"/>
      <sheetName val="2#"/>
      <sheetName val="3#"/>
      <sheetName val="4#"/>
      <sheetName val="5#"/>
      <sheetName val="6#"/>
      <sheetName val="7#"/>
      <sheetName val="8#"/>
      <sheetName val="9#"/>
      <sheetName val="10#"/>
      <sheetName val="11#"/>
      <sheetName val="12#"/>
      <sheetName val="15#"/>
      <sheetName val="16#"/>
      <sheetName val="地下车库"/>
      <sheetName val="C1214 (5)"/>
      <sheetName val="C0914 "/>
      <sheetName val="C0917"/>
      <sheetName val="C1029"/>
      <sheetName val="C3018"/>
      <sheetName val="C2118"/>
      <sheetName val="C3015"/>
      <sheetName val="C1012"/>
      <sheetName val="C1033固定"/>
      <sheetName val="C0959固定"/>
      <sheetName val="C0927固定"/>
      <sheetName val="C0907固定"/>
      <sheetName val="C0912固定 "/>
      <sheetName val="C11撇09"/>
      <sheetName val="C4221"/>
      <sheetName val="C4821"/>
      <sheetName val="C0718"/>
      <sheetName val="C1218- "/>
      <sheetName val="C1518"/>
      <sheetName val="C1220"/>
      <sheetName val="C1818"/>
      <sheetName val="C1818 (2)"/>
      <sheetName val="C1221"/>
      <sheetName val="C2117"/>
      <sheetName val="C1017"/>
      <sheetName val="C1018"/>
      <sheetName val="C1218 "/>
      <sheetName val="C1212"/>
      <sheetName val="C1215-"/>
      <sheetName val="C1515"/>
      <sheetName val="C1815 "/>
      <sheetName val="MLC4827 "/>
      <sheetName val="C1815  (2)"/>
      <sheetName val="C2115  "/>
      <sheetName val="C1217 "/>
      <sheetName val="C1033"/>
      <sheetName val="C2715"/>
      <sheetName val="C0615"/>
      <sheetName val="C0714"/>
      <sheetName val="C075175"/>
      <sheetName val="C0717"/>
      <sheetName val="C0715"/>
      <sheetName val="C0809"/>
      <sheetName val="C1015 "/>
      <sheetName val="C1215固定"/>
      <sheetName val="C2108固定"/>
      <sheetName val="C2014（5）"/>
      <sheetName val="C2714（5）"/>
      <sheetName val="TC1617(5)"/>
      <sheetName val="TC2017(5)"/>
      <sheetName val="C3317 (5)"/>
      <sheetName val="C1621"/>
      <sheetName val="C2021"/>
      <sheetName val="MLC4227"/>
      <sheetName val="MLC3323(5)"/>
      <sheetName val="MLC3324"/>
      <sheetName val="MLC4224 "/>
      <sheetName val="C1209"/>
      <sheetName val="C1215"/>
      <sheetName val="C2121"/>
      <sheetName val="C2421"/>
      <sheetName val="C3315"/>
      <sheetName val="C1814（5）"/>
      <sheetName val="TC21175"/>
      <sheetName val="TC24175"/>
      <sheetName val="C1721"/>
      <sheetName val="C1921"/>
      <sheetName val="C2721"/>
      <sheetName val="C2717"/>
      <sheetName val="C3320"/>
      <sheetName val="TC1720"/>
      <sheetName val="TC1920"/>
      <sheetName val="TC2720"/>
      <sheetName val="基础数据2"/>
      <sheetName val="4.产品成本分摊"/>
      <sheetName val="牛栏山一级"/>
      <sheetName val="金泰(艳澜山)"/>
      <sheetName val="Overstatement"/>
      <sheetName val="营销合约"/>
      <sheetName val="列表项"/>
      <sheetName val="年度经营指标计划1"/>
      <sheetName val="比较"/>
      <sheetName val="对外利润表"/>
      <sheetName val="物业管理利润表 2"/>
      <sheetName val="物业TO表(物业上报集团）"/>
      <sheetName val="物业TO表 3"/>
      <sheetName val="物业服务收入1"/>
      <sheetName val="人员配置"/>
      <sheetName val="人员工资及福利"/>
      <sheetName val="维修及物料消耗"/>
      <sheetName val="公司层面办公费"/>
      <sheetName val="财产费用"/>
      <sheetName val="能源费用"/>
      <sheetName val="往来收支"/>
      <sheetName val="班车运营费用"/>
      <sheetName val="九通立项梳理及预审汇报表"/>
      <sheetName val="借款清单"/>
      <sheetName val="内部公司往来利息及调整（per entity）"/>
      <sheetName val="Tickmarks"/>
      <sheetName val="SAPBEXqueries"/>
      <sheetName val="SAPBEXfilters"/>
      <sheetName val="TOC"/>
      <sheetName val="损益表(物业出租)-1-1"/>
      <sheetName val="损益表-明细-5-2"/>
      <sheetName val="经营利润表-明细-5-1"/>
      <sheetName val="OPBITDA分析表-6"/>
      <sheetName val="OPBITDA-明细-6-1"/>
      <sheetName val="税前利润分析表-7"/>
      <sheetName val="股东应占溢利分析表-8"/>
      <sheetName val="银行借款余额表-27-1"/>
      <sheetName val="应收帐款表-按利润中心-30"/>
      <sheetName val="应付帐款表-按利润中心-32"/>
      <sheetName val="库存周转天数表-按利润中心-33-1"/>
      <sheetName val="库存表-按利润中心-34-1"/>
      <sheetName val="资本承担及或有负债-43"/>
      <sheetName val="财务比率分析表-63"/>
      <sheetName val="ECCS"/>
      <sheetName val="费用"/>
      <sheetName val="查询表"/>
      <sheetName val="按站汇总"/>
      <sheetName val="表1结果汇总"/>
      <sheetName val="表2分类汇总"/>
      <sheetName val="表3流资汇总"/>
      <sheetName val="表3-2短投汇总"/>
      <sheetName val="表3-10存货汇总"/>
      <sheetName val="表4长投汇总"/>
      <sheetName val="表5固资汇总"/>
      <sheetName val="表9流负汇总"/>
      <sheetName val="表10长负汇总"/>
      <sheetName val="表1结果汇总(元)"/>
      <sheetName val="表3-1-1现金"/>
      <sheetName val="表3-1-2银行存款"/>
      <sheetName val="表3-1-3其他货币"/>
      <sheetName val="表3-2-1短投股票"/>
      <sheetName val="表3-2-2短投债券"/>
      <sheetName val="表3-3应收票据"/>
      <sheetName val="表3-4应收账款"/>
      <sheetName val="表3-5应收股利"/>
      <sheetName val="表3-6应收利息"/>
      <sheetName val="表3-7预付账款"/>
      <sheetName val="表3-8应收补贴"/>
      <sheetName val="表3-9其他应收"/>
      <sheetName val="表3-10-1原材料"/>
      <sheetName val="表3-10-2材料采购"/>
      <sheetName val="表3-10-3在库低值"/>
      <sheetName val="表3-10-4包装物"/>
      <sheetName val="表3-10-5委托加工"/>
      <sheetName val="表3-10-7在产品"/>
      <sheetName val="表3-10-8发出商品"/>
      <sheetName val="表3-10-9在用低值"/>
      <sheetName val="表3-10-10委托代销"/>
      <sheetName val="表3-10-11受托代销"/>
      <sheetName val="表3-10-6产成品"/>
      <sheetName val="表3-11待摊费用"/>
      <sheetName val="表3-12流资损失"/>
      <sheetName val="表3-13到期长债投资"/>
      <sheetName val="表3-14其他流资"/>
      <sheetName val="表4-1长投股票"/>
      <sheetName val="表4-2长投债券"/>
      <sheetName val="表4-3其他长投"/>
      <sheetName val="表5-1-1房屋"/>
      <sheetName val="表5-1-2构筑物"/>
      <sheetName val="表5-1-3管沟"/>
      <sheetName val="表5-2-1机器设备"/>
      <sheetName val="表5-2-2车辆"/>
      <sheetName val="表5-2-3电子"/>
      <sheetName val="表5-3工程物资"/>
      <sheetName val="表5-4-1在建土建"/>
      <sheetName val="表5-4-2在建设备"/>
      <sheetName val="表5-5固资清理"/>
      <sheetName val="表5-6固资损失"/>
      <sheetName val="表5-7固资土地"/>
      <sheetName val="表6-1土地使用权"/>
      <sheetName val="表6-2其他无资"/>
      <sheetName val="表7-1开办费"/>
      <sheetName val="表7-2长期待摊"/>
      <sheetName val="表8-1其他长资"/>
      <sheetName val="表8-2递延税借项"/>
      <sheetName val="表9-2应付票据"/>
      <sheetName val="表9-3应付帐款"/>
      <sheetName val="表9-1短期借款"/>
      <sheetName val="表9-4预收账款"/>
      <sheetName val="表9-5代销商品款"/>
      <sheetName val="表9-6其他应付"/>
      <sheetName val="表9-7应付工资"/>
      <sheetName val="表9-8应付福利"/>
      <sheetName val="表9-9应交税金"/>
      <sheetName val="表9-10应付股利"/>
      <sheetName val="表9-11其他应交"/>
      <sheetName val="表9-12预提费用"/>
      <sheetName val="表9-13到期长负"/>
      <sheetName val="表9-14其他流负"/>
      <sheetName val="表10-1长期借款"/>
      <sheetName val="表10-2应付债券"/>
      <sheetName val="表10-3长期应付款"/>
      <sheetName val="表10-4住房周转金"/>
      <sheetName val="表10-5其他长负"/>
      <sheetName val="表10-6递延税贷项"/>
      <sheetName val="基础信息表 (3)"/>
      <sheetName val="勾稽检查及经济目标"/>
      <sheetName val="CS01A汇总"/>
      <sheetName val="面板"/>
      <sheetName val="results"/>
      <sheetName val="results_2"/>
      <sheetName val="results_3"/>
      <sheetName val="results_4"/>
      <sheetName val="results_5"/>
      <sheetName val="“待填写1”拓展立项测算模板V5.3(全口径现金流）"/>
      <sheetName val="“待填写2”参数表(模板)"/>
      <sheetName val="（无需填写）拓展立项测算模板V5.3(模板) (剔除自持物业)"/>
      <sheetName val="“预算选填立项必填”建造标准"/>
      <sheetName val="“预算选填立项必填”成本差异表"/>
      <sheetName val="“待填写1”拓展立项测算模板V5.3(模板) (原始数据)"/>
      <sheetName val="“待填写2”参数表(模板) (原始数据)"/>
      <sheetName val="拓展立项测算模板V4.1(对比测试)  "/>
      <sheetName val="版本控制页"/>
      <sheetName val="一级开发成本"/>
      <sheetName val="假设条件及经济指标"/>
      <sheetName val="勾稽关系"/>
      <sheetName val="项目开发强度计算器"/>
      <sheetName val="成本汇总"/>
      <sheetName val="开发和销售计划"/>
      <sheetName val="项目现金流量表"/>
      <sheetName val="项目现金流量图"/>
      <sheetName val="资金需求分析表"/>
      <sheetName val="资金组织流量图"/>
      <sheetName val="沿海现金流量表"/>
      <sheetName val="合作方现金流量表"/>
      <sheetName val="利润测算"/>
      <sheetName val="现金流出表"/>
      <sheetName val="税费说明表"/>
      <sheetName val="项目分期方案"/>
      <sheetName val="经济效益分析表"/>
      <sheetName val="成本执行台帐"/>
      <sheetName val="旅游地产预算总表"/>
      <sheetName val="预算执行登记表"/>
      <sheetName val="1-1基本信息"/>
      <sheetName val="12.措施项目清单计价表（一）"/>
      <sheetName val="表格设置"/>
      <sheetName val="_Recovered_SheetName_ 1_"/>
      <sheetName val="9、措施项目清单计价表"/>
      <sheetName val="（室内）装饰工程量"/>
      <sheetName val="5【住宅及配套】模拟清单汇总表（澄清后）"/>
      <sheetName val="6【车库】模拟清单汇总表（澄清后）"/>
      <sheetName val="内部往来抵消"/>
      <sheetName val="多媒体查询"/>
      <sheetName val="中心机房"/>
      <sheetName val="会议"/>
      <sheetName val="停车场"/>
      <sheetName val="BA"/>
      <sheetName val="物业"/>
      <sheetName val="移动通信"/>
      <sheetName val="防雷接地"/>
      <sheetName val="99PA"/>
      <sheetName val="预算200326"/>
      <sheetName val="Headings"/>
      <sheetName val="网络合计"/>
      <sheetName val="BA "/>
      <sheetName val="工程量汇总及含量分析"/>
      <sheetName val="基础工程量估算"/>
      <sheetName val="西山责任成本及资金计划汇总"/>
      <sheetName val="二次对量汇总"/>
      <sheetName val="大面工程量"/>
      <sheetName val="防火隔离带"/>
      <sheetName val="22"/>
      <sheetName val="24"/>
      <sheetName val="Module3"/>
      <sheetName val="Module2"/>
      <sheetName val="Module1"/>
      <sheetName val="室外园林电气工程"/>
      <sheetName val="地上砌体 "/>
      <sheetName val="建筑面积"/>
      <sheetName val="5期B栋会所装饰精装修"/>
      <sheetName val="装修部份工程量"/>
      <sheetName val="安装部分工程量"/>
      <sheetName val="安装部分清单"/>
      <sheetName val="装修部份清单"/>
      <sheetName val="内围地梁钢筋说明"/>
      <sheetName val="4301.2004ch"/>
      <sheetName val="城花营销费用"/>
      <sheetName val="预算执行情况 (2)"/>
      <sheetName val="大表2004"/>
      <sheetName val="预算执行情况"/>
      <sheetName val="城花费用明细新"/>
      <sheetName val="城花营销费用预算"/>
      <sheetName val="大表"/>
      <sheetName val="11-12"/>
      <sheetName val="4301"/>
      <sheetName val="工程量计算书"/>
      <sheetName val="名称"/>
      <sheetName val="土建直接费"/>
      <sheetName val="安装直接费"/>
      <sheetName val="整体措施费"/>
      <sheetName val="其它措施费"/>
      <sheetName val="项目管理费用(土建)"/>
      <sheetName val="项目管理费用(安装)"/>
      <sheetName val="临电临水措施费"/>
      <sheetName val="项目成本汇总"/>
      <sheetName val="工程结算工作交接单"/>
      <sheetName val="结算申请报告"/>
      <sheetName val="对账单"/>
      <sheetName val="总价汇总表"/>
      <sheetName val="总价汇总表（一标段）"/>
      <sheetName val="14#楼"/>
      <sheetName val="18#楼"/>
      <sheetName val="19#楼"/>
      <sheetName val="20#楼"/>
      <sheetName val="21#楼"/>
      <sheetName val="S3"/>
      <sheetName val="总价汇总表（二标段）"/>
      <sheetName val="15#楼 "/>
      <sheetName val="16#楼"/>
      <sheetName val="17#楼 "/>
      <sheetName val="22#楼"/>
      <sheetName val="费率汇总表"/>
      <sheetName val="人工及主材表"/>
      <sheetName val="C0815"/>
      <sheetName val="C0915"/>
      <sheetName val="C0920"/>
      <sheetName val="C1020"/>
      <sheetName val="C1115"/>
      <sheetName val="C2422"/>
      <sheetName val="C1520"/>
      <sheetName val="C2019"/>
      <sheetName val="C2018"/>
      <sheetName val="C2219"/>
      <sheetName val="C3022"/>
      <sheetName val="C1822"/>
      <sheetName val="C4419"/>
      <sheetName val="TC1619"/>
      <sheetName val="C0927"/>
      <sheetName val="C0942"/>
      <sheetName val="C1927"/>
      <sheetName val="C2427"/>
      <sheetName val="C2442"/>
      <sheetName val="C2527"/>
      <sheetName val="WM1224"/>
      <sheetName val="WM1242"/>
      <sheetName val="WM1842"/>
      <sheetName val="塑钢60平开门·WM1221"/>
      <sheetName val="塑钢60平开门·WM1521"/>
      <sheetName val="塑钢推拉窗"/>
      <sheetName val="百叶窗"/>
      <sheetName val="幕墙"/>
      <sheetName val="按新系统"/>
      <sheetName val="组价"/>
      <sheetName val="改加胶玻璃、室外栏杆"/>
      <sheetName val="塔楼（系统1）"/>
      <sheetName val="1-2层（系统5）"/>
      <sheetName val="附楼外侧立面 (系统2、系统5）"/>
      <sheetName val="系统6（中庭及凹阳台、天桥）"/>
      <sheetName val="入口处及下沉花园"/>
      <sheetName val="核心筒、观光电梯、空调室外机"/>
      <sheetName val="附楼内侧立面铝板及玻璃（系统3 ）"/>
      <sheetName val="裙楼内侧6-11层玻璃铝板（系统4）"/>
      <sheetName val="室外吊顶"/>
      <sheetName val="城花八期报价汇总表"/>
      <sheetName val="A区土建±0.00以下土建工程"/>
      <sheetName val="A区土建±0.00以上建工程"/>
      <sheetName val="B区土建工程"/>
      <sheetName val="电气"/>
      <sheetName val="给排水"/>
      <sheetName val="A区土建±0.00以下清单调整报价表"/>
      <sheetName val="A区土建±0.00以上清单调整报价表"/>
      <sheetName val="B区土建清单调整报价表"/>
      <sheetName val="电气清单调整报价表"/>
      <sheetName val="给排水清单调整报价表"/>
      <sheetName val="甲指乙供材料报价表"/>
      <sheetName val="施工参考单价报价表"/>
      <sheetName val="其它工作项目报价清单"/>
      <sheetName val="包干费用报价表"/>
      <sheetName val="材料耗用量表"/>
      <sheetName val="甲方、三方分包工程"/>
      <sheetName val="甲方、三方材料"/>
      <sheetName val="D0026B3"/>
      <sheetName val="Cover"/>
      <sheetName val="Contents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A"/>
      <sheetName val="雨棚"/>
      <sheetName val="材料"/>
      <sheetName val="ANL"/>
      <sheetName val="变量单"/>
      <sheetName val="裙房"/>
      <sheetName val="明细表"/>
      <sheetName val="报价说明"/>
      <sheetName val="投标总价"/>
      <sheetName val="投标报价汇总表"/>
      <sheetName val="单位工程量清单汇总表"/>
      <sheetName val="分部分项工程量清单"/>
      <sheetName val="措施项目清单 "/>
      <sheetName val="综合单价分析表 "/>
      <sheetName val="限定品牌及封样材料清单"/>
      <sheetName val="零星工作项目清单"/>
      <sheetName val="经济指标分析"/>
      <sheetName val="SUM"/>
      <sheetName val="Heating"/>
      <sheetName val="HVAC"/>
      <sheetName val="Fire and Sanıtary"/>
      <sheetName val="Cooling "/>
      <sheetName val="分析汇总表"/>
      <sheetName val="调价表"/>
      <sheetName val="调价汇总表"/>
      <sheetName val="损耗表"/>
      <sheetName val="经营予、决算封皮"/>
      <sheetName val="材料单价表"/>
      <sheetName val="Basis"/>
      <sheetName val="SRC-B3U2"/>
      <sheetName val="第一部分定价"/>
      <sheetName val="单价表"/>
      <sheetName val="主材价格"/>
      <sheetName val="装饰汇总"/>
      <sheetName val="8"/>
      <sheetName val="1"/>
      <sheetName val="2"/>
      <sheetName val="4"/>
      <sheetName val="7"/>
      <sheetName val="6"/>
      <sheetName val="面积合计（藏）"/>
      <sheetName val="5"/>
      <sheetName val="投标材料清单 "/>
      <sheetName val="单价"/>
      <sheetName val="材料汇总"/>
      <sheetName val="用量分摊(藏）"/>
      <sheetName val="YC"/>
      <sheetName val="计日工"/>
      <sheetName val="2-1"/>
      <sheetName val="2-1C"/>
      <sheetName val="2-2"/>
      <sheetName val="2-2C"/>
      <sheetName val="2-3"/>
      <sheetName val="2-3C"/>
      <sheetName val="2-4"/>
      <sheetName val="2-4C"/>
      <sheetName val="2-5"/>
      <sheetName val="2-5C"/>
      <sheetName val="2-6"/>
      <sheetName val="2-6C"/>
      <sheetName val="2-7"/>
      <sheetName val="2-7C"/>
      <sheetName val="2-8"/>
      <sheetName val="2-8C"/>
      <sheetName val="2-9"/>
      <sheetName val="2-9C"/>
      <sheetName val="2-10"/>
      <sheetName val="2-10C"/>
      <sheetName val="全幕"/>
      <sheetName val="玻幕2-1"/>
      <sheetName val="玻幕普"/>
      <sheetName val="单玻"/>
      <sheetName val="铝板"/>
      <sheetName val="百叶顶"/>
      <sheetName val="拦板"/>
      <sheetName val="门"/>
      <sheetName val="清单总目录"/>
      <sheetName val="投标总价表"/>
      <sheetName val="1.1#清单"/>
      <sheetName val="1.2#清单"/>
      <sheetName val="1.3#清单"/>
      <sheetName val="2、3#土建工程量清单计价汇总表"/>
      <sheetName val="2、3#土建工程量清单计价表"/>
      <sheetName val="土建工程综合单价表"/>
      <sheetName val="土建工程综合单价组价明细表"/>
      <sheetName val="钢结构"/>
      <sheetName val="建筑汇总表"/>
      <sheetName val="地花 天花"/>
      <sheetName val="外墙块料"/>
      <sheetName val="外墙装饰工程量"/>
      <sheetName val="内、外墙挂网"/>
      <sheetName val="内墙抹灰、油漆、面砖"/>
      <sheetName val="内墙面"/>
      <sheetName val=" 柱"/>
      <sheetName val="屋面防水和卫生间防水"/>
      <sheetName val="卫生间"/>
      <sheetName val="天棚、楼地面（初）"/>
      <sheetName val="柱面砖"/>
      <sheetName val="楼梯栏杆及底座抛光砖"/>
      <sheetName val="楼梯栏杆及底座及花岗石"/>
      <sheetName val="钢结构计算表"/>
      <sheetName val="其他工程"/>
      <sheetName val="其它"/>
      <sheetName val="栏杆"/>
      <sheetName val="门槛"/>
      <sheetName val="门窗面积计量"/>
      <sheetName val="女儿墙"/>
      <sheetName val="楼梯抛光砖侧面"/>
      <sheetName val="夹层楼地面"/>
      <sheetName val="设备用房间ICI及踢脚线"/>
      <sheetName val="办公室ICI及踢脚线"/>
      <sheetName val="卫生间150X300瓷砖"/>
      <sheetName val="楼梯间天棚乳胶漆"/>
      <sheetName val="20宽填胶缝与25宽不锈钢装饰线"/>
      <sheetName val="门厅墙身."/>
      <sheetName val="换11台阶"/>
      <sheetName val="排水沟"/>
      <sheetName val="花岗石地面"/>
      <sheetName val="增加窗部份."/>
      <sheetName val="门窗."/>
      <sheetName val="5+7"/>
      <sheetName val="桩"/>
      <sheetName val="14+14.1柱"/>
      <sheetName val="15梁砼"/>
      <sheetName val="16+18"/>
      <sheetName val="7+17小型构件"/>
      <sheetName val="建筑零星 (2)"/>
      <sheetName val="19"/>
      <sheetName val="场地平整"/>
      <sheetName val="土方工程"/>
      <sheetName val="回填石粉"/>
      <sheetName val="内外墙挂网"/>
      <sheetName val="梁墙挂网"/>
      <sheetName val="屋面防水"/>
      <sheetName val="乳胶漆"/>
      <sheetName val="卫生间墙身-首层门厅墙身"/>
      <sheetName val="不锈钢栏杆"/>
      <sheetName val="卫生间地面-墙身-走道阳台防水-卫生间陶粒砼."/>
      <sheetName val="卫生间隔断-大理石洗手台-玻璃镜-蹲位. (2)"/>
      <sheetName val="卫生间隔断-大理石洗手台-玻璃镜-蹲位."/>
      <sheetName val="抛光砖(600×600)."/>
      <sheetName val="预埋件."/>
      <sheetName val="楼梯面层抛光砖(600×600)."/>
      <sheetName val="封面2"/>
      <sheetName val="结构工程量总表"/>
      <sheetName val="平整场地、三七灰土"/>
      <sheetName val="挖土方及回填土"/>
      <sheetName val="垫层"/>
      <sheetName val="基础"/>
      <sheetName val="地下室挡土墙、底板"/>
      <sheetName val="柱"/>
      <sheetName val="梁"/>
      <sheetName val="板"/>
      <sheetName val="砼楼梯"/>
      <sheetName val="砼构件"/>
      <sheetName val="预制构件"/>
      <sheetName val="坡道散水"/>
      <sheetName val="钢网铺设"/>
      <sheetName val="砖基础"/>
      <sheetName val="零星砌体"/>
      <sheetName val="复核灰砂砖"/>
      <sheetName val="复核空心砖"/>
      <sheetName val="防水、泡沫板"/>
      <sheetName val="预埋铁件、植筋"/>
      <sheetName val="基本资料"/>
      <sheetName val="银行存款询证明细表"/>
      <sheetName val="其他货币资金询证明细表"/>
      <sheetName val="应收账款函证明细表"/>
      <sheetName val="其他应收款函证明细表"/>
      <sheetName val="预收账款函证明细表"/>
      <sheetName val="应付账款函证明细表"/>
      <sheetName val="其他应付款函证明细表"/>
      <sheetName val="工程往来函证明细表"/>
      <sheetName val="应收票据函证明细表"/>
      <sheetName val="应付票据函证明细表"/>
      <sheetName val="往来询证函"/>
      <sheetName val="异地存货询证函"/>
      <sheetName val="发出商品询证函"/>
      <sheetName val="交易询证函"/>
      <sheetName val="工商询证函"/>
      <sheetName val="房产管理处询证函"/>
      <sheetName val="国税询证函"/>
      <sheetName val="地税询证函"/>
      <sheetName val="银行询证函模板"/>
      <sheetName val="方案4"/>
      <sheetName val="KKKKKKKK"/>
      <sheetName val="Drop Down"/>
      <sheetName val="_REF!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销量"/>
      <sheetName val="共享"/>
      <sheetName val="促销活动"/>
      <sheetName val="活动"/>
      <sheetName val="总表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ºËËãÏîÄ¿Óà¶î±í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___¡§_¨¦3¨¦¡À_¡À¨ª"/>
      <sheetName val="_a¦Ì¡è3¨¦¡À_¡À¨ª"/>
      <sheetName val="11_¨¨¨¦¨°___¨º3¨¦¡À_¡À¨ª"/>
      <sheetName val="___¡¤_¡§¨¢_"/>
      <sheetName val="___¡¤_o__¦Ì_"/>
      <sheetName val="___¡¤____¨¦¨¬¡À¨º"/>
      <sheetName val="___¡§¡¤___¡À¨ª"/>
      <sheetName val="___¡§_¨¦¡¤___¡À¨ª"/>
      <sheetName val="¨¦¨°___¨º¡¤___¡À¨ª"/>
      <sheetName val="_a¦Ì¡è¡¤___"/>
      <sheetName val="¨ª¡ã__15L"/>
      <sheetName val="¨ª¡ã__20L"/>
      <sheetName val="¨ª¡ã__30L"/>
      <sheetName val="¨ª¡ã__10L"/>
      <sheetName val="¨ª¡ã__5L"/>
      <sheetName val="¨ª¡ã__20L (__) "/>
      <sheetName val="¨ª¡ã__30L (__)  "/>
      <sheetName val="¨ª¡ã__15L(_a¡ê_"/>
      <sheetName val="¨ª¡ã__20L¡ê¡§_a¡ê_"/>
      <sheetName val="¨ª¡ã__30L¡ê¡§_a¡ê_"/>
      <sheetName val="¨ª¡ã__20L(___¡§_¨¦¡ê_"/>
      <sheetName val="_¦Ì_¡Â"/>
      <sheetName val="_¨²¨¢_"/>
      <sheetName val="12_¨ª"/>
      <sheetName val="¡ä¨´_¨²___¡¥"/>
      <sheetName val="___¡¥"/>
      <sheetName val="¡Á¨¹¡À¨ª"/>
      <sheetName val="o_______¨®¨¤__¡À¨ª"/>
      <sheetName val="B"/>
      <sheetName val="22号"/>
      <sheetName val="gvl"/>
      <sheetName val="所得税凭证抽查"/>
      <sheetName val="POWERASSUMPTIONS"/>
      <sheetName val="序列表"/>
      <sheetName val="BA-Pl"/>
      <sheetName val="建造目标成本审批表"/>
      <sheetName val="一期住宅成本明细表"/>
      <sheetName val="一期车库成本明细表"/>
      <sheetName val="一期商业建安费 "/>
      <sheetName val="会计毛利"/>
      <sheetName val="销售计划"/>
      <sheetName val="成本0601"/>
      <sheetName val="钢筋调价汇总表"/>
      <sheetName val="安装"/>
      <sheetName val="景观工程界面划分"/>
      <sheetName val="硬质清单"/>
      <sheetName val="安装清单"/>
      <sheetName val="苗木清单"/>
      <sheetName val="土方及种植土工程"/>
      <sheetName val="硬质主材表"/>
      <sheetName val="安装主材表"/>
      <sheetName val="措施项目清单"/>
      <sheetName val="零星工程"/>
      <sheetName val="硬景 (2)"/>
      <sheetName val="标准清单前言"/>
      <sheetName val="甲供苗清单"/>
      <sheetName val="硬质补差表"/>
      <sheetName val="苗木补差表"/>
      <sheetName val="安装补差表"/>
      <sheetName val="安装清单 "/>
      <sheetName val="主材组价明细"/>
      <sheetName val="SOR3"/>
      <sheetName val="SOR.3.1.4"/>
      <sheetName val="SOR3.1.4S"/>
      <sheetName val="B3.1.5"/>
      <sheetName val="B3.1.5S"/>
      <sheetName val="AD ST"/>
      <sheetName val="封皮"/>
      <sheetName val="报价汇总表·方案一"/>
      <sheetName val="报价汇总表·方案二"/>
      <sheetName val="主要材料品牌表"/>
      <sheetName val="明细_23#楼"/>
      <sheetName val="明细_24#楼"/>
      <sheetName val="72-LC2620"/>
      <sheetName val="72-LC1318"/>
      <sheetName val="72-LC1316"/>
      <sheetName val="72-HM1427"/>
      <sheetName val="72-LC05'18 "/>
      <sheetName val="72-LC05'16"/>
      <sheetName val="72-LC0718"/>
      <sheetName val="72-LC4216"/>
      <sheetName val="72-LC2618"/>
      <sheetName val="72-MLC2627"/>
      <sheetName val="72-MLC1827"/>
      <sheetName val="72-MLC5627-8"/>
      <sheetName val="72-MLC5625"/>
      <sheetName val="72-MLC3527"/>
      <sheetName val="82-C2620"/>
      <sheetName val="82-C1318"/>
      <sheetName val="82-C1316"/>
      <sheetName val="82-HM1427"/>
      <sheetName val="82-C05'18"/>
      <sheetName val="82-C0718"/>
      <sheetName val="82-C05'16"/>
      <sheetName val="82-C4216"/>
      <sheetName val="82-C2618"/>
      <sheetName val="82-MLC2627"/>
      <sheetName val="82-MLC1827"/>
      <sheetName val="82-MLC5627-8"/>
      <sheetName val="82-MLC5625"/>
      <sheetName val="82-MLC3527"/>
      <sheetName val="LC01 (2)"/>
      <sheetName val="型材线密度表"/>
      <sheetName val="钢材"/>
      <sheetName val="铝材表面处理"/>
      <sheetName val="玻璃"/>
      <sheetName val="五金配件(1)"/>
      <sheetName val="五金配件(2)"/>
      <sheetName val="五金配件(3)"/>
      <sheetName val="密封胶"/>
      <sheetName val="附件"/>
      <sheetName val="LC01"/>
      <sheetName val="上悬67"/>
      <sheetName val="推拉05"/>
      <sheetName val="平开门"/>
      <sheetName val="门连窗"/>
      <sheetName val="推拉门"/>
      <sheetName val="地弹簧门(无框)"/>
      <sheetName val="地弹簧门(有框)"/>
      <sheetName val="LC32"/>
      <sheetName val="LC32a"/>
      <sheetName val="TLC01"/>
      <sheetName val="LM01a"/>
      <sheetName val="LM01b"/>
      <sheetName val="TLM01a"/>
      <sheetName val="TLM01b"/>
      <sheetName val="TLM01c"/>
      <sheetName val="DHM01"/>
      <sheetName val="DYM01"/>
      <sheetName val="T300"/>
      <sheetName val="T540"/>
      <sheetName val="T600"/>
      <sheetName val="内平开窗"/>
      <sheetName val="外平开窗"/>
      <sheetName val="外悬窗"/>
      <sheetName val="幕墙外悬窗"/>
      <sheetName val="内开门"/>
      <sheetName val="外开门"/>
      <sheetName val="通道门"/>
      <sheetName val="推拉上悬门HKS130S"/>
      <sheetName val="提升推拉门HS300"/>
      <sheetName val="折叠门"/>
      <sheetName val="Bill-2.1（1）"/>
      <sheetName val="费用表"/>
      <sheetName val="明細表"/>
      <sheetName val="表紙"/>
      <sheetName val="数据真实"/>
      <sheetName val="数据不真实"/>
      <sheetName val="数据不真实 (2)"/>
      <sheetName val="数据真实14-07-07"/>
      <sheetName val="2013"/>
      <sheetName val="2014"/>
      <sheetName val="零售"/>
      <sheetName val="Sch.1"/>
      <sheetName val="价格拆分-调整(2)"/>
      <sheetName val="价格拆分-真实"/>
      <sheetName val="报价汇总表方案一"/>
      <sheetName val="报价汇总表方案二"/>
      <sheetName val="拆分模板--P120窗 --方案一"/>
      <sheetName val="拆分模板--P120窗 --方案二"/>
      <sheetName val="拆分模板--ped86 2"/>
      <sheetName val="拆分模板--P120窗"/>
      <sheetName val="拆分模板--ped86"/>
      <sheetName val="备件"/>
      <sheetName val="Ped86内开门"/>
      <sheetName val="汇总 (2)"/>
      <sheetName val="单开五金"/>
      <sheetName val="Ped86内开门测算"/>
      <sheetName val="成本测算(红松）"/>
      <sheetName val="安装材料"/>
      <sheetName val="P120安装支撑木方"/>
      <sheetName val="汇总签字"/>
      <sheetName val="数据（68Q）"/>
      <sheetName val="辅助(68Q)"/>
      <sheetName val="众森幼儿园"/>
      <sheetName val="P120单开门五金"/>
      <sheetName val="P120对开门五金"/>
      <sheetName val="数据"/>
      <sheetName val="门护板"/>
      <sheetName val="安装材料-P120窗"/>
      <sheetName val="安装材料-P120异型固定窗"/>
      <sheetName val="安装材料-P120外开门"/>
      <sheetName val="批示"/>
      <sheetName val="銷售金額-L"/>
      <sheetName val="V 台账总表(链接版)"/>
      <sheetName val="台账总表(链接版) (3)"/>
      <sheetName val="历年汇总"/>
      <sheetName val="历年汇总（2014-2017.6）"/>
      <sheetName val="转律师项目明细"/>
      <sheetName val="审批单"/>
      <sheetName val="签证人工"/>
      <sheetName val="供货组奖金表"/>
      <sheetName val="奖金发放金额汇总表"/>
      <sheetName val="奖金核算单"/>
      <sheetName val="工程量确认"/>
      <sheetName val="Macro1"/>
      <sheetName val="材料用量表"/>
      <sheetName val="材料汇总表"/>
      <sheetName val="装箱材料"/>
      <sheetName val="木材明细(主数据)"/>
      <sheetName val="油漆明细"/>
      <sheetName val="底漆明细"/>
      <sheetName val="铝材明细"/>
      <sheetName val="素铝明细"/>
      <sheetName val="胶条明细"/>
      <sheetName val="五金明细"/>
      <sheetName val="幕墙尺寸面积"/>
      <sheetName val="456月品類等級 (噸)地區 (2)"/>
      <sheetName val="销退数量"/>
      <sheetName val="销售金额"/>
      <sheetName val="库存"/>
      <sheetName val="銷表-L"/>
      <sheetName val="库存表-L"/>
      <sheetName val="產銷存-LL"/>
      <sheetName val="合格证 (2)"/>
      <sheetName val="資料庫"/>
      <sheetName val="双城森鹰"/>
      <sheetName val="等級"/>
      <sheetName val="Data"/>
      <sheetName val="常用项目"/>
      <sheetName val="销售人员入职时间"/>
      <sheetName val="赵丽丽提供"/>
      <sheetName val="直销-2017"/>
      <sheetName val="分销-2017-1~5"/>
      <sheetName val="2016及之前项目1~6"/>
      <sheetName val="2017"/>
      <sheetName val="一季度"/>
      <sheetName val="二季度"/>
      <sheetName val="三季度"/>
      <sheetName val="四季度"/>
      <sheetName val="四季度 (2)"/>
      <sheetName val="2017 (2)"/>
      <sheetName val="推拉"/>
      <sheetName val="外墙装饰线"/>
      <sheetName val="外墙面砖"/>
      <sheetName val="外墙喷涂"/>
      <sheetName val="外墙装饰"/>
      <sheetName val="表格"/>
      <sheetName val="室内装饰"/>
      <sheetName val="室内汇总"/>
      <sheetName val="建筑计算汇总"/>
      <sheetName val="结构计算汇总"/>
      <sheetName val="结构计算稿"/>
      <sheetName val="建筑计算稿"/>
      <sheetName val="部分工程量复合"/>
      <sheetName val="封-3封面 "/>
      <sheetName val="表-01总说明"/>
      <sheetName val="工程量清单总价汇总表"/>
      <sheetName val="清单汇总表"/>
      <sheetName val="A区清单"/>
      <sheetName val="B区清单"/>
      <sheetName val="单价分析表 (2)"/>
      <sheetName val="专业工程暂估价表"/>
      <sheetName val="暂列金额项目表"/>
      <sheetName val="计日工计价表"/>
      <sheetName val="措施项目清单与计价表(一)"/>
      <sheetName val="措施项目清单与计价表(二)"/>
      <sheetName val="材料表 "/>
      <sheetName val="总量"/>
      <sheetName val="氟中"/>
      <sheetName val="氟L"/>
      <sheetName val="氟窗"/>
      <sheetName val="氟L窗"/>
      <sheetName val="氟L门"/>
      <sheetName val="氟门"/>
      <sheetName val="粉门"/>
      <sheetName val="粉窗"/>
      <sheetName val="钢构"/>
      <sheetName val="表1.1"/>
      <sheetName val="表1.2"/>
      <sheetName val="表1.3"/>
      <sheetName val="表1.4"/>
      <sheetName val="表1.5"/>
      <sheetName val="表1.6"/>
      <sheetName val="表1.7"/>
      <sheetName val="表1.8"/>
      <sheetName val="表1.9"/>
      <sheetName val="表1.10"/>
      <sheetName val="表1.11"/>
      <sheetName val="表1.12"/>
      <sheetName val="表1.13"/>
      <sheetName val="表1.14"/>
      <sheetName val="表1.15"/>
      <sheetName val="表1.16"/>
      <sheetName val="表2.1"/>
      <sheetName val="表2.2"/>
      <sheetName val="表2.3"/>
      <sheetName val="表2.4"/>
      <sheetName val="表2.5"/>
      <sheetName val="表2.6"/>
      <sheetName val="表2.7"/>
      <sheetName val="表2.8"/>
      <sheetName val="表2.9"/>
      <sheetName val="表2.10"/>
      <sheetName val="表2.11"/>
      <sheetName val="表2.12"/>
      <sheetName val="表2.13"/>
      <sheetName val="表2.14"/>
      <sheetName val="表2.15"/>
      <sheetName val="表2.16"/>
      <sheetName val="表2.17"/>
      <sheetName val="表2.18"/>
      <sheetName val="表2.19"/>
      <sheetName val="表2.20"/>
      <sheetName val="表2.21"/>
      <sheetName val="表2.22"/>
      <sheetName val="表2.23"/>
      <sheetName val="表2.24"/>
      <sheetName val="表2.25"/>
      <sheetName val="表2.26"/>
      <sheetName val="表2.27"/>
      <sheetName val="表2.28"/>
      <sheetName val="表2.29"/>
      <sheetName val="表2.30"/>
      <sheetName val="表2.31"/>
      <sheetName val="表2.32"/>
      <sheetName val="表2.33"/>
      <sheetName val="表2.34"/>
      <sheetName val="表2.35"/>
      <sheetName val="表2.36"/>
      <sheetName val="表2.37"/>
      <sheetName val="表2.38"/>
      <sheetName val="表2.39"/>
      <sheetName val="表2.40"/>
      <sheetName val="差异分析"/>
      <sheetName val="计划"/>
      <sheetName val="成本表--持有物业"/>
      <sheetName val="成本表--销售物业"/>
      <sheetName val="酒店成本"/>
      <sheetName val="单体建安造价--持有物业"/>
      <sheetName val="单体建安造价--销售物业"/>
      <sheetName val="单体综合造价--持有物业"/>
      <sheetName val="单体综合造价--销售物业"/>
      <sheetName val="市政配套"/>
      <sheetName val="人工湖"/>
      <sheetName val="销售物业单体建安造价指标表"/>
      <sheetName val="承包项目"/>
      <sheetName val="1封面"/>
      <sheetName val="版本页"/>
      <sheetName val="表5—5 单位工程投标价汇总表"/>
      <sheetName val="1表5—6 分部分项工程报价表"/>
      <sheetName val="J1计算式"/>
      <sheetName val="表5—7 综合单价分析表（一）"/>
      <sheetName val="表5—10 主要材料设备价格表"/>
      <sheetName val="表5—11 措施项目报价表（一）"/>
      <sheetName val="表5—12 措施项目报价表（二）"/>
      <sheetName val="表5—13 其他项目报价表"/>
      <sheetName val="表5—14 暂列金额明细表"/>
      <sheetName val="表5—19 规费和税金项目计算表"/>
      <sheetName val="工料测量师报告"/>
      <sheetName val="7.1APP3"/>
      <sheetName val="地连墙"/>
      <sheetName val="2012-9科目余额表 (6)"/>
      <sheetName val="科目余额表 (5)"/>
      <sheetName val="银行账户"/>
      <sheetName val="月报表"/>
      <sheetName val="일반공사"/>
      <sheetName val="基础项目"/>
      <sheetName val="主楼计算式"/>
      <sheetName val="主楼计算式优化"/>
      <sheetName val="裙楼计算式"/>
      <sheetName val="成本"/>
      <sheetName val="成措分"/>
      <sheetName val="一次成本"/>
      <sheetName val="单析"/>
      <sheetName val="报总"/>
      <sheetName val="问题"/>
      <sheetName val="工程量主算式"/>
      <sheetName val="입찰내역 발주처 양식"/>
      <sheetName val="型材汇总表"/>
      <sheetName val="加班"/>
      <sheetName val="计算表"/>
      <sheetName val="一次汇总"/>
      <sheetName val="资金"/>
      <sheetName val="主材表"/>
      <sheetName val="主材表修正"/>
      <sheetName val="安装费汇总"/>
      <sheetName val="制作费运输费机械费汇总"/>
      <sheetName val="面积"/>
      <sheetName val="一次汇总2"/>
      <sheetName val="主材表2"/>
      <sheetName val="说明2"/>
      <sheetName val="工程量清单2"/>
      <sheetName val="单价分析表2"/>
      <sheetName val="报价汇总表2"/>
      <sheetName val="材料补差对比"/>
      <sheetName val="材料询价单"/>
      <sheetName val="分部分项"/>
      <sheetName val="单分"/>
      <sheetName val="报价措施分析"/>
      <sheetName val="甲供材"/>
      <sheetName val="重要内部交易"/>
      <sheetName val="营业费用"/>
      <sheetName val="Fly Sheets"/>
      <sheetName val="门窗分类工程汇总表"/>
      <sheetName val="门窗表"/>
      <sheetName val="门窗拆料单"/>
      <sheetName val="help"/>
      <sheetName val="型材表"/>
      <sheetName val="钢材表"/>
      <sheetName val="玻璃表"/>
      <sheetName val="配件表"/>
      <sheetName val="计价表"/>
      <sheetName val="分类汇总表"/>
      <sheetName val="预算汇总表"/>
      <sheetName val="给排水工程量计算书"/>
      <sheetName val="补充清单"/>
      <sheetName val="磨具余料庫"/>
      <sheetName val="数据库"/>
      <sheetName val="梁侧OK"/>
      <sheetName val="零星"/>
      <sheetName val="Form3"/>
      <sheetName val="0707版价格表"/>
      <sheetName val="数据库20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"/>
      <sheetName val="XLR_NoRangeSheet"/>
      <sheetName val="LC01 (2)"/>
      <sheetName val="型材线密度表"/>
      <sheetName val="钢材"/>
      <sheetName val="铝材表面处理"/>
      <sheetName val="玻璃"/>
      <sheetName val="五金配件(1)"/>
      <sheetName val="五金配件(2)"/>
      <sheetName val="五金配件(3)"/>
      <sheetName val="密封胶"/>
      <sheetName val="附件"/>
      <sheetName val="LC01"/>
      <sheetName val="上悬67"/>
      <sheetName val="推拉05"/>
      <sheetName val="平开门"/>
      <sheetName val="门连窗"/>
      <sheetName val="推拉门"/>
      <sheetName val="地弹簧门(无框)"/>
      <sheetName val="地弹簧门(有框)"/>
      <sheetName val="LC32"/>
      <sheetName val="LC32a"/>
      <sheetName val="TLC01"/>
      <sheetName val="LM01a"/>
      <sheetName val="LM01b"/>
      <sheetName val="TLM01a"/>
      <sheetName val="TLM01b"/>
      <sheetName val="TLM01c"/>
      <sheetName val="DHM01"/>
      <sheetName val="DYM01"/>
      <sheetName val="SOR3"/>
      <sheetName val="SOR.3.1.4"/>
      <sheetName val="SOR3.1.4S"/>
      <sheetName val="B3.1.5"/>
      <sheetName val="B3.1.5S"/>
      <sheetName val="全国范围报价表"/>
      <sheetName val="必填表--新增取货地费用报价"/>
      <sheetName val="temp"/>
      <sheetName val="3"/>
      <sheetName val="指标及含量分配"/>
      <sheetName val="填报指引"/>
      <sheetName val="清单总目录"/>
      <sheetName val="投标总价表"/>
      <sheetName val="1.1#清单"/>
      <sheetName val="1.2#清单"/>
      <sheetName val="1.3#清单"/>
      <sheetName val="2∽12#土建工程量清单计价汇总表"/>
      <sheetName val="大商业部分清单"/>
      <sheetName val="大商业中酒店、商铺"/>
      <sheetName val="住宅楼部分"/>
      <sheetName val="土建工程综合单价表"/>
      <sheetName val="土建工程综合单价组价明细表"/>
      <sheetName val="输入项"/>
      <sheetName val="按新系统"/>
      <sheetName val="组价"/>
      <sheetName val="汇总"/>
      <sheetName val="改加胶玻璃、室外栏杆"/>
      <sheetName val="塔楼（系统1）"/>
      <sheetName val="1-2层（系统5）"/>
      <sheetName val="附楼外侧立面 (系统2、系统5）"/>
      <sheetName val="系统6（中庭及凹阳台、天桥）"/>
      <sheetName val="入口处及下沉花园"/>
      <sheetName val="核心筒、观光电梯、空调室外机"/>
      <sheetName val="附楼内侧立面铝板及玻璃（系统3 ）"/>
      <sheetName val="裙楼内侧6-11层玻璃铝板（系统4）"/>
      <sheetName val="室外吊顶"/>
      <sheetName val="#REF!"/>
      <sheetName val="資料庫"/>
      <sheetName val="地址"/>
      <sheetName val="CS036"/>
      <sheetName val="CS036 (1)"/>
      <sheetName val="迅富"/>
      <sheetName val="迅富 (2)"/>
      <sheetName val="南雄 "/>
      <sheetName val="上海华加日"/>
      <sheetName val="東方"/>
      <sheetName val="固若"/>
      <sheetName val="董生"/>
      <sheetName val="富达"/>
      <sheetName val="天地"/>
      <sheetName val="梁允党"/>
      <sheetName val="张志岭"/>
      <sheetName val="青岛"/>
      <sheetName val="普陀兴发"/>
      <sheetName val="陈会祥"/>
      <sheetName val="兴发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"/>
      <sheetName val="华加日展销部"/>
      <sheetName val="广州装饰"/>
      <sheetName val="懿麟"/>
      <sheetName val="佳明"/>
      <sheetName val="束嘉"/>
      <sheetName val="杨尚威"/>
      <sheetName val="俊强"/>
      <sheetName val="中建三局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兴业"/>
      <sheetName val="盛兴"/>
      <sheetName val="德玛"/>
      <sheetName val="雅维斯"/>
      <sheetName val="源泰"/>
      <sheetName val="興發 (2)"/>
      <sheetName val="煙台盟昌"/>
      <sheetName val="廣州鋁質"/>
      <sheetName val="興安"/>
      <sheetName val="潤恆"/>
      <sheetName val="时代 (2)"/>
      <sheetName val="审查表"/>
      <sheetName val="审查表 (2)"/>
      <sheetName val="8"/>
      <sheetName val="2"/>
      <sheetName val="6"/>
      <sheetName val="面积合计（藏）"/>
      <sheetName val="7"/>
      <sheetName val="4"/>
      <sheetName val="投标材料清单 "/>
      <sheetName val="5"/>
      <sheetName val="1"/>
      <sheetName val="D0026B3"/>
      <sheetName val="Consensus Estimates"/>
      <sheetName val="#REF"/>
      <sheetName val="POWER ASSUMPTIONS"/>
      <sheetName val="eva"/>
      <sheetName val="Sheet2"/>
      <sheetName val="Toolbox"/>
      <sheetName val="规划指标"/>
      <sheetName val="雨棚"/>
      <sheetName val="Sheet1"/>
      <sheetName val="材料"/>
      <sheetName val="ANL"/>
      <sheetName val="变量单"/>
      <sheetName val="裙房"/>
      <sheetName val="明细表"/>
      <sheetName val="封面"/>
      <sheetName val="报价说明"/>
      <sheetName val="投标总价"/>
      <sheetName val="投标报价汇总表"/>
      <sheetName val="单位工程量清单汇总表"/>
      <sheetName val="分部分项工程量清单"/>
      <sheetName val="措施项目清单 "/>
      <sheetName val="综合单价分析表 "/>
      <sheetName val="限定品牌及封样材料清单"/>
      <sheetName val="零星工作项目清单"/>
      <sheetName val="经济指标分析"/>
      <sheetName val="经营予、决算封皮"/>
      <sheetName val="目录"/>
      <sheetName val="A"/>
      <sheetName val="입찰내역 발주처 양식"/>
      <sheetName val="管理费用"/>
      <sheetName val="重要内部交易"/>
      <sheetName val="制造费用"/>
      <sheetName val="财务费用"/>
      <sheetName val="营业费用"/>
      <sheetName val="Fly Sheets"/>
      <sheetName val="含量"/>
      <sheetName val="SW-TEO"/>
      <sheetName val="Financ. Overview"/>
      <sheetName val="工程量"/>
      <sheetName val="广联达材料编码"/>
      <sheetName val="玻璃幕墙加权"/>
      <sheetName val="含量说明"/>
      <sheetName val="分部分项工程清单计价表"/>
      <sheetName val="感染楼新清单"/>
      <sheetName val="感染楼单价分析表"/>
      <sheetName val="科研教学及肿瘤楼新清单"/>
      <sheetName val="肿瘤楼单价"/>
      <sheetName val="住院楼新清单"/>
      <sheetName val="住院楼综合单价"/>
      <sheetName val="门诊医技楼新清单"/>
      <sheetName val="门诊医技楼综合单价"/>
      <sheetName val="成本 "/>
      <sheetName val="eqpmad2"/>
      <sheetName val="1#量统计"/>
      <sheetName val="报价明细表"/>
      <sheetName val="单价表"/>
      <sheetName val="材料调价表"/>
      <sheetName val="别墅汇总表"/>
      <sheetName val="独栋"/>
      <sheetName val="D双拼"/>
      <sheetName val="六拼"/>
      <sheetName val="四拼"/>
      <sheetName val="损耗表"/>
      <sheetName val="含量表"/>
      <sheetName val="调价表"/>
      <sheetName val="综合单价分析表"/>
      <sheetName val="汇总表 "/>
      <sheetName val="General Index"/>
      <sheetName val="General Summary"/>
      <sheetName val="Plumb"/>
      <sheetName val="HVAC"/>
      <sheetName val="Emer"/>
      <sheetName val="Elec"/>
      <sheetName val="第一部分定价"/>
      <sheetName val="核算项目余额表"/>
      <sheetName val="材料单价表"/>
      <sheetName val="YC"/>
      <sheetName val="说明"/>
      <sheetName val="总量"/>
      <sheetName val="汇总表"/>
      <sheetName val="氟中"/>
      <sheetName val="氟L"/>
      <sheetName val="氟窗"/>
      <sheetName val="氟L窗"/>
      <sheetName val="氟L门"/>
      <sheetName val="氟门"/>
      <sheetName val="粉门"/>
      <sheetName val="粉窗"/>
      <sheetName val="钢构"/>
      <sheetName val="成本比对汇总表"/>
      <sheetName val="合计"/>
      <sheetName val="外立面科目目标成本测算表（幕墙）"/>
      <sheetName val="外立面科目目标成本测算表（门窗）"/>
      <sheetName val="外立面科目目标成本测算表（门窗带钢副框）"/>
      <sheetName val="外立面科目目标成本测算表（涂料）"/>
      <sheetName val="工程量计算表1#"/>
      <sheetName val="工程量计算表2# "/>
      <sheetName val="工程量计算表3# "/>
      <sheetName val="工程量计算表4#"/>
      <sheetName val="工程量计算表5#"/>
      <sheetName val="工程量计算表6# "/>
      <sheetName val="材料表"/>
      <sheetName val="财务成本"/>
      <sheetName val="变更项汇总表 (2)"/>
      <sheetName val="按投标图部分"/>
      <sheetName val="按施工图"/>
      <sheetName val="Sheet3"/>
      <sheetName val="装饰汇总"/>
      <sheetName val="单价"/>
      <sheetName val="材料汇总"/>
      <sheetName val="用量分摊(藏）"/>
      <sheetName val="国美商都A区外装饰幕墙工程"/>
      <sheetName val="主要材料价格表 (2)"/>
      <sheetName val="单价分析过程"/>
      <sheetName val="单位工程费汇总表（A区）"/>
      <sheetName val="措施费A区"/>
      <sheetName val="其它项目清单A区"/>
      <sheetName val="工程清单汇总"/>
      <sheetName val="工程量清单"/>
      <sheetName val="单价分析表"/>
      <sheetName val="主要材料价格表"/>
      <sheetName val="零星工作项目计价表A区"/>
      <sheetName val="取费费率A区"/>
      <sheetName val="甲控乙供"/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Main"/>
      <sheetName val="PILE CAP"/>
      <sheetName val="BEAM"/>
      <sheetName val="SLAB"/>
      <sheetName val="WALL"/>
      <sheetName val="COLUMN"/>
      <sheetName val="General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常用项目"/>
      <sheetName val="1#非桩基础 "/>
      <sheetName val="投标总结"/>
      <sheetName val="塔楼给排水清单 "/>
      <sheetName val="15#裙楼土建"/>
      <sheetName val="16#裙楼土建"/>
      <sheetName val="一号清单开办费"/>
      <sheetName val="15#塔楼土建"/>
      <sheetName val="裙楼土建成本分析"/>
      <sheetName val="17#非桩基础"/>
      <sheetName val="高层塔楼土建成本分析"/>
      <sheetName val="17#裙楼土建"/>
      <sheetName val="15#非桩基础"/>
      <sheetName val="16#非桩基础"/>
      <sheetName val="地库土建"/>
      <sheetName val="18#裙楼土建 "/>
      <sheetName val="11#塔楼土建"/>
      <sheetName val="18#非桩基础 "/>
      <sheetName val="10#裙楼土建"/>
      <sheetName val="暗渠以西人防地库（暂定）"/>
      <sheetName val="措施费"/>
      <sheetName val="或建项目"/>
      <sheetName val="商业综合体"/>
      <sheetName val="空白单价分析表"/>
      <sheetName val="主要材料清单表"/>
      <sheetName val="宏1"/>
      <sheetName val="项目收益 (做资金现金流用)"/>
      <sheetName val="面积指标表"/>
      <sheetName val="项目收益"/>
      <sheetName val="目标成本"/>
      <sheetName val="差异分析"/>
      <sheetName val="成本策划定位表"/>
      <sheetName val="科目颜色区分"/>
      <sheetName val="fX8YK9"/>
      <sheetName val="合约规划1（2）"/>
      <sheetName val="合约规划（修改)"/>
      <sheetName val="合约规划（修改) (2)"/>
      <sheetName val="敏感性分析"/>
      <sheetName val="资金计划"/>
      <sheetName val="合约规划"/>
      <sheetName val="限价目录表"/>
      <sheetName val="材料价格表"/>
      <sheetName val="商务计划"/>
      <sheetName val="17#工程量"/>
      <sheetName val="17#清单"/>
      <sheetName val="P1工程量 "/>
      <sheetName val="P1,P2清单 "/>
      <sheetName val="清单1-裙楼Ea"/>
      <sheetName val="材料单价"/>
      <sheetName val="清单(三级)西"/>
      <sheetName val="清单(三级)南"/>
      <sheetName val="洋房"/>
      <sheetName val="洋房石材F23F25清单"/>
      <sheetName val="调价表 "/>
      <sheetName val="洋房石材询价"/>
      <sheetName val="SUM"/>
      <sheetName val="Heating"/>
      <sheetName val="Fire and Sanıtary"/>
      <sheetName val="Cooling "/>
      <sheetName val="业主责任6月底"/>
      <sheetName val="施工方责任6月底"/>
      <sheetName val="设计责任6月底"/>
      <sheetName val="分类说明"/>
      <sheetName val="原因说明"/>
      <sheetName val="台账"/>
      <sheetName val="变更单编号"/>
      <sheetName val="按原因分类"/>
      <sheetName val="数据库"/>
      <sheetName val="建筑汇总表 "/>
      <sheetName val="文化石通花隔栅"/>
      <sheetName val="抛光砖窗台板"/>
      <sheetName val="门窗面积计量"/>
      <sheetName val="门槛"/>
      <sheetName val="栏杆及栏杆底座抛光砖"/>
      <sheetName val="幕墙"/>
      <sheetName val="地花合计 "/>
      <sheetName val="首层地花"/>
      <sheetName val="二层地花"/>
      <sheetName val="三层地花"/>
      <sheetName val="四层地花"/>
      <sheetName val="五层地花"/>
      <sheetName val="天花工程量"/>
      <sheetName val="图书馆１内墙装饰与踢脚线工程量"/>
      <sheetName val="图书馆2内墙装饰与踢脚线工程量"/>
      <sheetName val="图书馆3内墙装饰与踢脚线工程量"/>
      <sheetName val="图书馆4内墙装饰与踢脚线工程量"/>
      <sheetName val="图书馆5内墙装饰与踢脚线工程量 "/>
      <sheetName val="其他内墙装饰与踢脚线工程量"/>
      <sheetName val="内墙装饰与踢脚线工程量合计"/>
      <sheetName val=" 装饰墙和1号装饰门"/>
      <sheetName val="1号电梯"/>
      <sheetName val="柱(干挂花岗石)"/>
      <sheetName val="外墙装饰工程计量首层"/>
      <sheetName val="外墙装饰工程计量二层"/>
      <sheetName val="外墙装饰工程计量三层"/>
      <sheetName val="外墙装饰工程计量四层"/>
      <sheetName val="外墙装饰工程计量五层"/>
      <sheetName val="外墙装饰工程计量屋面层"/>
      <sheetName val="外墙装饰合计"/>
      <sheetName val="造型飘板(铝板幕墙)工程量 1"/>
      <sheetName val=" 室内玻璃隔断"/>
      <sheetName val="卫生间"/>
      <sheetName val="1#2#楼梯"/>
      <sheetName val="3#楼梯 "/>
      <sheetName val="4#5#楼梯"/>
      <sheetName val="6#楼梯"/>
      <sheetName val="7#楼梯 "/>
      <sheetName val="8#楼梯"/>
      <sheetName val="楼梯二次装修合计"/>
      <sheetName val="卫生间墙面及地面防水相关工程量计算表"/>
      <sheetName val="防水"/>
      <sheetName val="女儿墙"/>
      <sheetName val="排水沟"/>
      <sheetName val="中庭栏杆"/>
      <sheetName val="内外墙挂网"/>
      <sheetName val="TC356天窗工程量 "/>
      <sheetName val="点支式采光顶棚工程量计算"/>
      <sheetName val="拉杆式采光棚"/>
      <sheetName val="幕墙门套及幕墙底部收口"/>
      <sheetName val="窗帘盒"/>
      <sheetName val="钢结构"/>
      <sheetName val="建筑汇总表"/>
      <sheetName val="地花 天花"/>
      <sheetName val="外墙块料"/>
      <sheetName val="外墙装饰工程量"/>
      <sheetName val="内、外墙挂网"/>
      <sheetName val="内墙抹灰、油漆、面砖"/>
      <sheetName val="内墙面"/>
      <sheetName val=" 柱"/>
      <sheetName val="屋面防水和卫生间防水"/>
      <sheetName val="天棚、楼地面（初）"/>
      <sheetName val="柱面砖"/>
      <sheetName val="楼梯栏杆及底座抛光砖"/>
      <sheetName val="楼梯栏杆及底座及花岗石"/>
      <sheetName val="钢结构计算表"/>
      <sheetName val="其他工程"/>
      <sheetName val="其它"/>
      <sheetName val="栏杆"/>
      <sheetName val="楼梯抛光砖侧面"/>
      <sheetName val="夹层楼地面"/>
      <sheetName val="设备用房间ICI及踢脚线"/>
      <sheetName val="办公室ICI及踢脚线"/>
      <sheetName val="卫生间150X300瓷砖"/>
      <sheetName val="楼梯间天棚乳胶漆"/>
      <sheetName val="20宽填胶缝与25宽不锈钢装饰线"/>
      <sheetName val="G.1R-Shou COP Gf"/>
      <sheetName val="清单"/>
      <sheetName val="Open"/>
      <sheetName val="主材价格"/>
      <sheetName val="管桩"/>
      <sheetName val="管桩 (结算)"/>
      <sheetName val="承台"/>
      <sheetName val="柱"/>
      <sheetName val="底板"/>
      <sheetName val="板"/>
      <sheetName val="陶粒砼"/>
      <sheetName val="梁"/>
      <sheetName val="楼梯"/>
      <sheetName val="剪力墙"/>
      <sheetName val="外墙面"/>
      <sheetName val="地面、天花、内墙柱面、踢脚线"/>
      <sheetName val="门窗表(A、B）"/>
      <sheetName val="玻璃幕墙"/>
      <sheetName val="砖墙、门窗、圈梁"/>
      <sheetName val="其他 (2)"/>
      <sheetName val="3.4.5号楼裙楼2层雨棚"/>
      <sheetName val="3.4.5号楼裙楼3层雨棚 (2)"/>
      <sheetName val="承台(砖模) "/>
      <sheetName val="门厅墙身."/>
      <sheetName val="换11台阶"/>
      <sheetName val="花岗石地面"/>
      <sheetName val="增加窗部份."/>
      <sheetName val="门窗."/>
      <sheetName val="5+7"/>
      <sheetName val="桩"/>
      <sheetName val="14+14.1柱"/>
      <sheetName val="15梁砼"/>
      <sheetName val="16+18"/>
      <sheetName val="7+17小型构件"/>
      <sheetName val="建筑零星 (2)"/>
      <sheetName val="19"/>
      <sheetName val="场地平整"/>
      <sheetName val="土方工程"/>
      <sheetName val="回填石粉"/>
      <sheetName val="梁墙挂网"/>
      <sheetName val="屋面防水"/>
      <sheetName val="乳胶漆"/>
      <sheetName val="卫生间墙身-首层门厅墙身"/>
      <sheetName val="不锈钢栏杆"/>
      <sheetName val="卫生间地面-墙身-走道阳台防水-卫生间陶粒砼."/>
      <sheetName val="卫生间隔断-大理石洗手台-玻璃镜-蹲位. (2)"/>
      <sheetName val="卫生间隔断-大理石洗手台-玻璃镜-蹲位."/>
      <sheetName val="抛光砖(600×600)."/>
      <sheetName val="预埋件."/>
      <sheetName val="楼梯面层抛光砖(600×600)."/>
      <sheetName val="建筑面积"/>
      <sheetName val="封面2"/>
      <sheetName val="结构工程量总表"/>
      <sheetName val="平整场地、三七灰土"/>
      <sheetName val="挖土方及回填土"/>
      <sheetName val="垫层"/>
      <sheetName val="基础"/>
      <sheetName val="地下室挡土墙、底板"/>
      <sheetName val="砼楼梯"/>
      <sheetName val="砼构件"/>
      <sheetName val="预制构件"/>
      <sheetName val="坡道散水"/>
      <sheetName val="钢网铺设"/>
      <sheetName val="砖基础"/>
      <sheetName val="零星砌体"/>
      <sheetName val="复核灰砂砖"/>
      <sheetName val="复核空心砖"/>
      <sheetName val="防水、泡沫板"/>
      <sheetName val="预埋铁件、植筋"/>
      <sheetName val="基本资料"/>
      <sheetName val="预算书"/>
      <sheetName val="费用表"/>
      <sheetName val="工料机"/>
      <sheetName val="定额清单"/>
      <sheetName val="明細表"/>
      <sheetName val="建筑面积 "/>
      <sheetName val="21"/>
      <sheetName val="基础项目"/>
      <sheetName val="单位"/>
      <sheetName val="内围地梁钢筋说明"/>
      <sheetName val="总表（不打印）"/>
      <sheetName val="1."/>
      <sheetName val="材料损耗(不打印)"/>
      <sheetName val="Mp-team 1"/>
      <sheetName val="柱计算"/>
      <sheetName val="RA-markate"/>
      <sheetName val="数据"/>
      <sheetName val="含量 "/>
      <sheetName val="编制说明"/>
      <sheetName val="总价表"/>
      <sheetName val="对讲"/>
      <sheetName val="门禁、一卡通"/>
      <sheetName val="背景音乐"/>
      <sheetName val="电视监控"/>
      <sheetName val="电子围栏"/>
      <sheetName val=""/>
      <sheetName val="貨品科目"/>
      <sheetName val="456月品類等級 (噸)地區 (2)"/>
      <sheetName val="合格证 (2)"/>
      <sheetName val="成本预算调整说明"/>
      <sheetName val="一、青青全项目资金计划"/>
      <sheetName val="二、青青四期各部门责任成本及资金计划"/>
      <sheetName val="2.1设计部"/>
      <sheetName val="2.2拓展部"/>
      <sheetName val="2.3财务部"/>
      <sheetName val="2.4成本部"/>
      <sheetName val="2.5工程部"/>
      <sheetName val="2.6采购部"/>
      <sheetName val="2.7项目部"/>
      <sheetName val="2.8责任成本归属标准"/>
      <sheetName val="三.青青全项目结算汇总表"/>
      <sheetName val="3.1青青一期"/>
      <sheetName val="3.2青青二期"/>
      <sheetName val="3.3青青三期"/>
      <sheetName val="3.4青青四期"/>
      <sheetName val="3.5青青跨期"/>
      <sheetName val="四.变更签证计划"/>
      <sheetName val="审批查询1"/>
      <sheetName val="审批查询2"/>
      <sheetName val="装饰清单"/>
      <sheetName val="设计部"/>
      <sheetName val="基本参数"/>
      <sheetName val="成本估算"/>
      <sheetName val="汇总表（若有多标段）"/>
      <sheetName val="门窗工程量表"/>
      <sheetName val="综合单价分析表-门窗格式"/>
      <sheetName val="主材价格表"/>
      <sheetName val="五金配置表 "/>
      <sheetName val="门窗工程量汇总表"/>
      <sheetName val="工程量D1"/>
      <sheetName val="工程量D2"/>
      <sheetName val="工程量D3"/>
      <sheetName val="工程量D4"/>
      <sheetName val="工程量D5"/>
      <sheetName val="工程量D6"/>
      <sheetName val="工程量D7"/>
      <sheetName val="工程量D8"/>
      <sheetName val="D1栏板"/>
      <sheetName val="D2栏板 "/>
      <sheetName val="D3栏板 "/>
      <sheetName val="D4栏板"/>
      <sheetName val="D5栏板"/>
      <sheetName val="D6栏板"/>
      <sheetName val="D7栏板"/>
      <sheetName val="D8栏板"/>
      <sheetName val="封皮"/>
      <sheetName val="报价汇总表·方案一"/>
      <sheetName val="报价汇总表·方案二"/>
      <sheetName val="主要材料品牌表"/>
      <sheetName val="明细_23#楼"/>
      <sheetName val="明细_24#楼"/>
      <sheetName val="72-LC2620"/>
      <sheetName val="72-LC1318"/>
      <sheetName val="72-LC1316"/>
      <sheetName val="72-HM1427"/>
      <sheetName val="72-LC05'18 "/>
      <sheetName val="72-LC05'16"/>
      <sheetName val="72-LC0718"/>
      <sheetName val="72-LC4216"/>
      <sheetName val="72-LC2618"/>
      <sheetName val="72-MLC2627"/>
      <sheetName val="72-MLC1827"/>
      <sheetName val="72-MLC5627-8"/>
      <sheetName val="72-MLC5625"/>
      <sheetName val="72-MLC3527"/>
      <sheetName val="82-C2620"/>
      <sheetName val="82-C1318"/>
      <sheetName val="82-C1316"/>
      <sheetName val="82-HM1427"/>
      <sheetName val="82-C05'18"/>
      <sheetName val="82-C0718"/>
      <sheetName val="82-C05'16"/>
      <sheetName val="82-C4216"/>
      <sheetName val="82-C2618"/>
      <sheetName val="82-MLC2627"/>
      <sheetName val="82-MLC1827"/>
      <sheetName val="82-MLC5627-8"/>
      <sheetName val="82-MLC5625"/>
      <sheetName val="82-MLC3527"/>
      <sheetName val="AD ST"/>
      <sheetName val="SOR6"/>
      <sheetName val="Form3"/>
      <sheetName val="MOHKG"/>
      <sheetName val="平窗"/>
      <sheetName val="在建项目合同支付情况表"/>
      <sheetName val="二月产值"/>
      <sheetName val="东升"/>
      <sheetName val="东都"/>
      <sheetName val="华府"/>
      <sheetName val="棠湖春天"/>
      <sheetName val="棠湖·V客"/>
      <sheetName val="姚伟小组"/>
      <sheetName val="锦江"/>
      <sheetName val="在建项目合同支付情况表 (2)"/>
      <sheetName val="财务ok"/>
      <sheetName val="财务"/>
      <sheetName val="锦江春天工程付款明细表"/>
      <sheetName val="蓝客城付款台账 "/>
      <sheetName val="V客东都付款台账"/>
      <sheetName val="华府春天付款台账"/>
      <sheetName val="V客尚东付款台账"/>
      <sheetName val="V客东区付款台账"/>
      <sheetName val="温江光华春天付款台账"/>
      <sheetName val="棠湖春天付款台账"/>
      <sheetName val="棠湖V客工程付款"/>
      <sheetName val="付款台帐"/>
      <sheetName val="结算台帐"/>
      <sheetName val="签证"/>
      <sheetName val="变更"/>
      <sheetName val="Financ__Overview"/>
      <sheetName val="钢筋计算表"/>
      <sheetName val="常用词句"/>
      <sheetName val="模板"/>
      <sheetName val="饼图1"/>
      <sheetName val="饼图2"/>
      <sheetName val="饼图3"/>
      <sheetName val="饼图4"/>
      <sheetName val="走势图2"/>
      <sheetName val="走势图1"/>
      <sheetName val="柱折图案"/>
      <sheetName val="柱图1"/>
      <sheetName val="柱图2"/>
      <sheetName val="柱图3"/>
      <sheetName val="折线图1"/>
      <sheetName val="折线图1数据"/>
      <sheetName val="折线图2"/>
      <sheetName val="折线图2数据"/>
      <sheetName val="控件学习1"/>
      <sheetName val="控件学习2"/>
      <sheetName val="11年计划"/>
      <sheetName val="字段"/>
      <sheetName val="电话"/>
      <sheetName val="电子巡更"/>
      <sheetName val="停车场"/>
      <sheetName val="XL4Poppy"/>
      <sheetName val="单位库"/>
      <sheetName val="采购周计划"/>
      <sheetName val="考察计划"/>
      <sheetName val="年度采购计划汇总"/>
      <sheetName val="11年总咨询采购计划"/>
      <sheetName val="11年总材材料采购计划"/>
      <sheetName val="总人口"/>
      <sheetName val="事业发展"/>
      <sheetName val="村级支出"/>
      <sheetName val="1.投标总价封面"/>
      <sheetName val="P1012001"/>
      <sheetName val="墙面工程"/>
      <sheetName val="item information"/>
      <sheetName val="给排水系统"/>
      <sheetName val="3.2钢材材料调价表"/>
      <sheetName val="下拉菜单"/>
      <sheetName val="S7"/>
      <sheetName val="建(栖居)"/>
      <sheetName val="基(栖居)"/>
      <sheetName val="新明源销售财务日报"/>
      <sheetName val="FYYS-1-编制底稿04-招聘活动支出"/>
      <sheetName val="折旧清单_1"/>
      <sheetName val="户型配比"/>
      <sheetName val="合同"/>
      <sheetName val="土建清单"/>
      <sheetName val="设计指标"/>
      <sheetName val="08.01"/>
      <sheetName val="工商税收"/>
      <sheetName val="零星工程量"/>
      <sheetName val="经济指标"/>
      <sheetName val="销售财务日报表②"/>
      <sheetName val="参照表"/>
      <sheetName val="46亩(新)"/>
      <sheetName val="基础数据命名表"/>
      <sheetName val="技术指标"/>
      <sheetName val="税金预测"/>
      <sheetName val="主要规划指标"/>
      <sheetName val="税金缴纳情况"/>
      <sheetName val="土地款预测"/>
      <sheetName val="销售回款预测"/>
      <sheetName val="政府性收费预测"/>
      <sheetName val="指标分类汇总"/>
      <sheetName val="前(栖居)"/>
      <sheetName val="POWER ASSUMPTION"/>
      <sheetName val="_REF!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销量"/>
      <sheetName val="共享"/>
      <sheetName val="促销活动"/>
      <sheetName val="活动"/>
      <sheetName val="总表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ºËËãÏîÄ¿Óà¶î±í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___¡§_¨¦3¨¦¡À_¡À¨ª"/>
      <sheetName val="_a¦Ì¡è3¨¦¡À_¡À¨ª"/>
      <sheetName val="11_¨¨¨¦¨°___¨º3¨¦¡À_¡À¨ª"/>
      <sheetName val="___¡¤_¡§¨¢_"/>
      <sheetName val="___¡¤_o__¦Ì_"/>
      <sheetName val="___¡¤____¨¦¨¬¡À¨º"/>
      <sheetName val="___¡§¡¤___¡À¨ª"/>
      <sheetName val="___¡§_¨¦¡¤___¡À¨ª"/>
      <sheetName val="¨¦¨°___¨º¡¤___¡À¨ª"/>
      <sheetName val="_a¦Ì¡è¡¤___"/>
      <sheetName val="¨ª¡ã__15L"/>
      <sheetName val="¨ª¡ã__20L"/>
      <sheetName val="¨ª¡ã__30L"/>
      <sheetName val="¨ª¡ã__10L"/>
      <sheetName val="¨ª¡ã__5L"/>
      <sheetName val="¨ª¡ã__20L (__) "/>
      <sheetName val="¨ª¡ã__30L (__)  "/>
      <sheetName val="¨ª¡ã__15L(_a¡ê_"/>
      <sheetName val="¨ª¡ã__20L¡ê¡§_a¡ê_"/>
      <sheetName val="¨ª¡ã__30L¡ê¡§_a¡ê_"/>
      <sheetName val="¨ª¡ã__20L(___¡§_¨¦¡ê_"/>
      <sheetName val="_¦Ì_¡Â"/>
      <sheetName val="_¨²¨¢_"/>
      <sheetName val="12_¨ª"/>
      <sheetName val="¡ä¨´_¨²___¡¥"/>
      <sheetName val="___¡¥"/>
      <sheetName val="¡Á¨¹¡À¨ª"/>
      <sheetName val="o_______¨®¨¤__¡À¨ª"/>
      <sheetName val="B"/>
      <sheetName val="22号"/>
      <sheetName val="gvl"/>
      <sheetName val="所得税凭证抽查"/>
      <sheetName val="综合认价"/>
      <sheetName val="项目汇总"/>
      <sheetName val="开发"/>
      <sheetName val="成本指标"/>
      <sheetName val="编码"/>
      <sheetName val="ZB"/>
      <sheetName val="编码说明"/>
      <sheetName val="使用指引"/>
      <sheetName val="全周期汇总表"/>
      <sheetName val="前期"/>
      <sheetName val="建安"/>
      <sheetName val="配套"/>
      <sheetName val="单项工程费汇总表"/>
      <sheetName val="地下室土建清单"/>
      <sheetName val="裙房土建清单"/>
      <sheetName val="1#土建清单"/>
      <sheetName val="4#土建清单"/>
      <sheetName val="1#水清单"/>
      <sheetName val="4#水清单"/>
      <sheetName val="1#电清单"/>
      <sheetName val="4#电清单"/>
      <sheetName val="包干费用表"/>
      <sheetName val="地下室土建调整清单"/>
      <sheetName val="裙房土建调整清单"/>
      <sheetName val="1#土建调整清单"/>
      <sheetName val="4#土建调整清单"/>
      <sheetName val="1#水调整清单"/>
      <sheetName val="4#水调整清单"/>
      <sheetName val="1#电调整清单"/>
      <sheetName val="4#电调整清单"/>
      <sheetName val="甲指乙供材料报价表"/>
      <sheetName val="其它工作项目报价清单"/>
      <sheetName val="材料损耗表"/>
      <sheetName val="甲方有权分包工程表"/>
      <sheetName val="甲供材料"/>
      <sheetName val="01"/>
      <sheetName val="02"/>
      <sheetName val="03"/>
      <sheetName val="04"/>
      <sheetName val="1-4栋结算清单汇总表"/>
      <sheetName val="施工参考单价报价表"/>
      <sheetName val="建安工程费(全)"/>
      <sheetName val="建安工程费（住宅）"/>
      <sheetName val="3.投标总价汇总表"/>
      <sheetName val="4.1土建工程量清单计价表"/>
      <sheetName val="人员支出"/>
      <sheetName val="一般预算收入"/>
      <sheetName val="_Recovered_SheetName_ 0_"/>
      <sheetName val="汇总表1"/>
      <sheetName val="分录表"/>
      <sheetName val="财政供养人员增幅"/>
      <sheetName val="Backup of Backup of LINDA LISTO"/>
      <sheetName val="现金流量"/>
      <sheetName val="成本分析"/>
      <sheetName val="专7、现金流量表"/>
      <sheetName val="封面 "/>
      <sheetName val="全周期汇总表 (合并)"/>
      <sheetName val="修订说明"/>
      <sheetName val="优化对比说明表"/>
      <sheetName val="前期工程费"/>
      <sheetName val="建安工程费"/>
      <sheetName val="建安工程（安装）"/>
      <sheetName val="基础设施费"/>
      <sheetName val="配套设施费"/>
      <sheetName val="单方公摊"/>
      <sheetName val="需分摊项目"/>
      <sheetName val=" 算量"/>
      <sheetName val="工程量计算式"/>
      <sheetName val="面积指标"/>
      <sheetName val="pldt"/>
      <sheetName val="编码说明1"/>
      <sheetName val="差异分析表"/>
      <sheetName val="地下室及基础单列汇总表"/>
      <sheetName val="住宅地块总指标"/>
      <sheetName val="配置标准表"/>
      <sheetName val="户内改造费用"/>
      <sheetName val="户内改造费用详情"/>
      <sheetName val="匡算工程量"/>
      <sheetName val="技术指标分析"/>
      <sheetName val="规划指标对比"/>
      <sheetName val="income estimates"/>
      <sheetName val="cost estimates"/>
      <sheetName val="period charge"/>
      <sheetName val="interest cost"/>
      <sheetName val="cost contrast"/>
      <sheetName val="成本对比表"/>
      <sheetName val="利润影响因素表"/>
      <sheetName val="mwin"/>
      <sheetName val="硬景工程"/>
      <sheetName val="安装工程 "/>
      <sheetName val="大乔木 "/>
      <sheetName val="中小乔 "/>
      <sheetName val="地被 "/>
      <sheetName val="灌木 "/>
      <sheetName val="球类竹类 "/>
      <sheetName val="安装清单"/>
      <sheetName val="材料基价"/>
      <sheetName val="标底评审报告"/>
      <sheetName val="经济指标分析表"/>
      <sheetName val="技术方案"/>
      <sheetName val="回款分析"/>
      <sheetName val="收支统计"/>
      <sheetName val="销售回款"/>
      <sheetName val="销售合同"/>
      <sheetName val="上年末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现金流出"/>
      <sheetName val="回款统计"/>
      <sheetName val="明细汇总"/>
      <sheetName val="Macro1"/>
      <sheetName val="工程造价汇总表"/>
      <sheetName val="材料清单"/>
      <sheetName val="直接成本汇总表"/>
      <sheetName val="与国际差异"/>
      <sheetName val="A0104差异"/>
      <sheetName val="经济指标表"/>
      <sheetName val="目标成本各版本修订说明"/>
      <sheetName val="户型统计"/>
      <sheetName val="CWYS-FYYS-1_人力成本支出测算"/>
      <sheetName val="FYYS-1-001年度人力成本测算（部门汇总）"/>
      <sheetName val="FYYS-1-002年度人力成本测算（部门）"/>
      <sheetName val="FYYS-1-编制底稿01工资及福利支出(公司领导)"/>
      <sheetName val="FYYS-1-编制底稿01工资及福利支出(财务部)"/>
      <sheetName val="FYYS-1-编制底稿01工资及福利支出(工程管理部)"/>
      <sheetName val="FYYS-1-编制底稿01工资及福利支出(技术管理部)"/>
      <sheetName val="FYYS-1-编制底稿01工资及福利支出(经营成本部)"/>
      <sheetName val="FYYS-1-编制底稿01工资及福利支出(营销运营部)"/>
      <sheetName val="FYYS-1-编制底稿01工资及福利支出(总经办)"/>
      <sheetName val="FYYS-1-编制底稿02-销售提成"/>
      <sheetName val="FYYS-1-编制底稿03-加班费 "/>
      <sheetName val="FYYS-1-编制底稿05-员工离职补偿"/>
      <sheetName val="配置标准"/>
      <sheetName val="项目测算模板"/>
      <sheetName val="落位名单"/>
      <sheetName val="coco国际"/>
      <sheetName val="东方天地"/>
      <sheetName val="COCO锦绣"/>
      <sheetName val="COCO金沙2期"/>
      <sheetName val="COCO金沙3期"/>
      <sheetName val="COCO蜜城"/>
      <sheetName val="COCO时代"/>
      <sheetName val="金双楠一期"/>
      <sheetName val="金双楠二期"/>
      <sheetName val="锦绣香江"/>
      <sheetName val="幸福满庭"/>
      <sheetName val="花满庭2期"/>
      <sheetName val="重庆coco时代"/>
      <sheetName val="重庆贡山一号"/>
      <sheetName val="重庆幸福满庭"/>
      <sheetName val="重庆御江台"/>
      <sheetName val="无锡东亭112亩"/>
      <sheetName val="苏州COCO蜜园"/>
      <sheetName val="无锡COCO蜜园"/>
      <sheetName val="吴江155"/>
      <sheetName val="昆明COCO蜜城"/>
      <sheetName val="昆明天娇城"/>
      <sheetName val="青岛COCO蜜城"/>
      <sheetName val="武汉COCO时代"/>
      <sheetName val="长沙幸福满庭"/>
      <sheetName val="长沙COCO蜜城"/>
      <sheetName val="蓝光海悦城"/>
      <sheetName val="基础台帐"/>
      <sheetName val="结算台账"/>
      <sheetName val="预警通知书"/>
      <sheetName val="标底台账"/>
      <sheetName val="下拉"/>
      <sheetName val="推拉"/>
      <sheetName val="索引"/>
      <sheetName val="0707版价格表"/>
    </sheetNames>
    <sheetDataSet>
      <sheetData sheetId="0">
        <row r="1">
          <cell r="A1" t="str">
            <v>奥润顺达成品物流运输报价表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"/>
      <sheetName val="XLR_NoRangeSheet"/>
      <sheetName val="LC01 (2)"/>
      <sheetName val="型材线密度表"/>
      <sheetName val="钢材"/>
      <sheetName val="铝材表面处理"/>
      <sheetName val="玻璃"/>
      <sheetName val="五金配件(1)"/>
      <sheetName val="五金配件(2)"/>
      <sheetName val="五金配件(3)"/>
      <sheetName val="密封胶"/>
      <sheetName val="附件"/>
      <sheetName val="LC01"/>
      <sheetName val="上悬67"/>
      <sheetName val="推拉05"/>
      <sheetName val="平开门"/>
      <sheetName val="门连窗"/>
      <sheetName val="推拉门"/>
      <sheetName val="地弹簧门(无框)"/>
      <sheetName val="地弹簧门(有框)"/>
      <sheetName val="LC32"/>
      <sheetName val="LC32a"/>
      <sheetName val="TLC01"/>
      <sheetName val="LM01a"/>
      <sheetName val="LM01b"/>
      <sheetName val="TLM01a"/>
      <sheetName val="TLM01b"/>
      <sheetName val="TLM01c"/>
      <sheetName val="DHM01"/>
      <sheetName val="DYM01"/>
      <sheetName val="SOR3"/>
      <sheetName val="SOR.3.1.4"/>
      <sheetName val="SOR3.1.4S"/>
      <sheetName val="B3.1.5"/>
      <sheetName val="B3.1.5S"/>
      <sheetName val="全国范围报价表"/>
      <sheetName val="必填表--新增取货地费用报价"/>
      <sheetName val="temp"/>
      <sheetName val="3"/>
      <sheetName val="指标及含量分配"/>
      <sheetName val="填报指引"/>
      <sheetName val="清单总目录"/>
      <sheetName val="投标总价表"/>
      <sheetName val="1.1#清单"/>
      <sheetName val="1.2#清单"/>
      <sheetName val="1.3#清单"/>
      <sheetName val="2∽12#土建工程量清单计价汇总表"/>
      <sheetName val="大商业部分清单"/>
      <sheetName val="大商业中酒店、商铺"/>
      <sheetName val="住宅楼部分"/>
      <sheetName val="土建工程综合单价表"/>
      <sheetName val="土建工程综合单价组价明细表"/>
      <sheetName val="输入项"/>
      <sheetName val="按新系统"/>
      <sheetName val="组价"/>
      <sheetName val="汇总"/>
      <sheetName val="改加胶玻璃、室外栏杆"/>
      <sheetName val="塔楼（系统1）"/>
      <sheetName val="1-2层（系统5）"/>
      <sheetName val="附楼外侧立面 (系统2、系统5）"/>
      <sheetName val="系统6（中庭及凹阳台、天桥）"/>
      <sheetName val="入口处及下沉花园"/>
      <sheetName val="核心筒、观光电梯、空调室外机"/>
      <sheetName val="附楼内侧立面铝板及玻璃（系统3 ）"/>
      <sheetName val="裙楼内侧6-11层玻璃铝板（系统4）"/>
      <sheetName val="室外吊顶"/>
      <sheetName val="#REF!"/>
      <sheetName val="資料庫"/>
      <sheetName val="地址"/>
      <sheetName val="CS036"/>
      <sheetName val="CS036 (1)"/>
      <sheetName val="迅富"/>
      <sheetName val="迅富 (2)"/>
      <sheetName val="南雄 "/>
      <sheetName val="上海华加日"/>
      <sheetName val="東方"/>
      <sheetName val="固若"/>
      <sheetName val="董生"/>
      <sheetName val="富达"/>
      <sheetName val="天地"/>
      <sheetName val="梁允党"/>
      <sheetName val="张志岭"/>
      <sheetName val="青岛"/>
      <sheetName val="普陀兴发"/>
      <sheetName val="陈会祥"/>
      <sheetName val="兴发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"/>
      <sheetName val="华加日展销部"/>
      <sheetName val="广州装饰"/>
      <sheetName val="懿麟"/>
      <sheetName val="佳明"/>
      <sheetName val="束嘉"/>
      <sheetName val="杨尚威"/>
      <sheetName val="俊强"/>
      <sheetName val="中建三局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兴业"/>
      <sheetName val="盛兴"/>
      <sheetName val="德玛"/>
      <sheetName val="雅维斯"/>
      <sheetName val="源泰"/>
      <sheetName val="興發 (2)"/>
      <sheetName val="煙台盟昌"/>
      <sheetName val="廣州鋁質"/>
      <sheetName val="興安"/>
      <sheetName val="潤恆"/>
      <sheetName val="时代 (2)"/>
      <sheetName val="审查表"/>
      <sheetName val="审查表 (2)"/>
      <sheetName val="8"/>
      <sheetName val="2"/>
      <sheetName val="6"/>
      <sheetName val="面积合计（藏）"/>
      <sheetName val="7"/>
      <sheetName val="4"/>
      <sheetName val="投标材料清单 "/>
      <sheetName val="5"/>
      <sheetName val="1"/>
      <sheetName val="D0026B3"/>
      <sheetName val="Consensus Estimates"/>
      <sheetName val="#REF"/>
      <sheetName val="POWER ASSUMPTIONS"/>
      <sheetName val="eva"/>
      <sheetName val="Sheet2"/>
      <sheetName val="Toolbox"/>
      <sheetName val="规划指标"/>
      <sheetName val="雨棚"/>
      <sheetName val="Sheet1"/>
      <sheetName val="材料"/>
      <sheetName val="ANL"/>
      <sheetName val="变量单"/>
      <sheetName val="裙房"/>
      <sheetName val="明细表"/>
      <sheetName val="封面"/>
      <sheetName val="报价说明"/>
      <sheetName val="投标总价"/>
      <sheetName val="投标报价汇总表"/>
      <sheetName val="单位工程量清单汇总表"/>
      <sheetName val="分部分项工程量清单"/>
      <sheetName val="措施项目清单 "/>
      <sheetName val="综合单价分析表 "/>
      <sheetName val="限定品牌及封样材料清单"/>
      <sheetName val="零星工作项目清单"/>
      <sheetName val="经济指标分析"/>
      <sheetName val="经营予、决算封皮"/>
      <sheetName val="目录"/>
      <sheetName val="A"/>
      <sheetName val="입찰내역 발주처 양식"/>
      <sheetName val="管理费用"/>
      <sheetName val="重要内部交易"/>
      <sheetName val="制造费用"/>
      <sheetName val="财务费用"/>
      <sheetName val="营业费用"/>
      <sheetName val="Fly Sheets"/>
      <sheetName val="含量"/>
      <sheetName val="SW-TEO"/>
      <sheetName val="Financ. Overview"/>
      <sheetName val="工程量"/>
      <sheetName val="广联达材料编码"/>
      <sheetName val="玻璃幕墙加权"/>
      <sheetName val="含量说明"/>
      <sheetName val="分部分项工程清单计价表"/>
      <sheetName val="感染楼新清单"/>
      <sheetName val="感染楼单价分析表"/>
      <sheetName val="科研教学及肿瘤楼新清单"/>
      <sheetName val="肿瘤楼单价"/>
      <sheetName val="住院楼新清单"/>
      <sheetName val="住院楼综合单价"/>
      <sheetName val="门诊医技楼新清单"/>
      <sheetName val="门诊医技楼综合单价"/>
      <sheetName val="成本 "/>
      <sheetName val="eqpmad2"/>
      <sheetName val="1#量统计"/>
      <sheetName val="报价明细表"/>
      <sheetName val="单价表"/>
      <sheetName val="材料调价表"/>
      <sheetName val="别墅汇总表"/>
      <sheetName val="独栋"/>
      <sheetName val="D双拼"/>
      <sheetName val="六拼"/>
      <sheetName val="四拼"/>
      <sheetName val="损耗表"/>
      <sheetName val="含量表"/>
      <sheetName val="调价表"/>
      <sheetName val="综合单价分析表"/>
      <sheetName val="汇总表 "/>
      <sheetName val="General Index"/>
      <sheetName val="General Summary"/>
      <sheetName val="Plumb"/>
      <sheetName val="HVAC"/>
      <sheetName val="Emer"/>
      <sheetName val="Elec"/>
      <sheetName val="第一部分定价"/>
      <sheetName val="核算项目余额表"/>
      <sheetName val="材料单价表"/>
      <sheetName val="YC"/>
      <sheetName val="说明"/>
      <sheetName val="总量"/>
      <sheetName val="汇总表"/>
      <sheetName val="氟中"/>
      <sheetName val="氟L"/>
      <sheetName val="氟窗"/>
      <sheetName val="氟L窗"/>
      <sheetName val="氟L门"/>
      <sheetName val="氟门"/>
      <sheetName val="粉门"/>
      <sheetName val="粉窗"/>
      <sheetName val="钢构"/>
      <sheetName val="成本比对汇总表"/>
      <sheetName val="合计"/>
      <sheetName val="外立面科目目标成本测算表（幕墙）"/>
      <sheetName val="外立面科目目标成本测算表（门窗）"/>
      <sheetName val="外立面科目目标成本测算表（门窗带钢副框）"/>
      <sheetName val="外立面科目目标成本测算表（涂料）"/>
      <sheetName val="工程量计算表1#"/>
      <sheetName val="工程量计算表2# "/>
      <sheetName val="工程量计算表3# "/>
      <sheetName val="工程量计算表4#"/>
      <sheetName val="工程量计算表5#"/>
      <sheetName val="工程量计算表6# "/>
      <sheetName val="材料表"/>
      <sheetName val="财务成本"/>
      <sheetName val="变更项汇总表 (2)"/>
      <sheetName val="按投标图部分"/>
      <sheetName val="按施工图"/>
      <sheetName val="Sheet3"/>
      <sheetName val="装饰汇总"/>
      <sheetName val="单价"/>
      <sheetName val="材料汇总"/>
      <sheetName val="用量分摊(藏）"/>
      <sheetName val="国美商都A区外装饰幕墙工程"/>
      <sheetName val="主要材料价格表 (2)"/>
      <sheetName val="单价分析过程"/>
      <sheetName val="单位工程费汇总表（A区）"/>
      <sheetName val="措施费A区"/>
      <sheetName val="其它项目清单A区"/>
      <sheetName val="工程清单汇总"/>
      <sheetName val="工程量清单"/>
      <sheetName val="单价分析表"/>
      <sheetName val="主要材料价格表"/>
      <sheetName val="零星工作项目计价表A区"/>
      <sheetName val="取费费率A区"/>
      <sheetName val="甲控乙供"/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Main"/>
      <sheetName val="PILE CAP"/>
      <sheetName val="BEAM"/>
      <sheetName val="SLAB"/>
      <sheetName val="WALL"/>
      <sheetName val="COLUMN"/>
      <sheetName val="General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常用项目"/>
      <sheetName val="1#非桩基础 "/>
      <sheetName val="投标总结"/>
      <sheetName val="塔楼给排水清单 "/>
      <sheetName val="15#裙楼土建"/>
      <sheetName val="16#裙楼土建"/>
      <sheetName val="一号清单开办费"/>
      <sheetName val="15#塔楼土建"/>
      <sheetName val="裙楼土建成本分析"/>
      <sheetName val="17#非桩基础"/>
      <sheetName val="高层塔楼土建成本分析"/>
      <sheetName val="17#裙楼土建"/>
      <sheetName val="15#非桩基础"/>
      <sheetName val="16#非桩基础"/>
      <sheetName val="地库土建"/>
      <sheetName val="18#裙楼土建 "/>
      <sheetName val="11#塔楼土建"/>
      <sheetName val="18#非桩基础 "/>
      <sheetName val="10#裙楼土建"/>
      <sheetName val="暗渠以西人防地库（暂定）"/>
      <sheetName val="措施费"/>
      <sheetName val="或建项目"/>
      <sheetName val="商业综合体"/>
      <sheetName val="空白单价分析表"/>
      <sheetName val="主要材料清单表"/>
      <sheetName val="宏1"/>
      <sheetName val="项目收益 (做资金现金流用)"/>
      <sheetName val="面积指标表"/>
      <sheetName val="项目收益"/>
      <sheetName val="目标成本"/>
      <sheetName val="差异分析"/>
      <sheetName val="成本策划定位表"/>
      <sheetName val="科目颜色区分"/>
      <sheetName val="fX8YK9"/>
      <sheetName val="合约规划1（2）"/>
      <sheetName val="合约规划（修改)"/>
      <sheetName val="合约规划（修改) (2)"/>
      <sheetName val="敏感性分析"/>
      <sheetName val="资金计划"/>
      <sheetName val="合约规划"/>
      <sheetName val="限价目录表"/>
      <sheetName val="材料价格表"/>
      <sheetName val="商务计划"/>
      <sheetName val="17#工程量"/>
      <sheetName val="17#清单"/>
      <sheetName val="P1工程量 "/>
      <sheetName val="P1,P2清单 "/>
      <sheetName val="清单1-裙楼Ea"/>
      <sheetName val="材料单价"/>
      <sheetName val="清单(三级)西"/>
      <sheetName val="清单(三级)南"/>
      <sheetName val="洋房"/>
      <sheetName val="洋房石材F23F25清单"/>
      <sheetName val="调价表 "/>
      <sheetName val="洋房石材询价"/>
      <sheetName val="SUM"/>
      <sheetName val="Heating"/>
      <sheetName val="Fire and Sanıtary"/>
      <sheetName val="Cooling "/>
      <sheetName val="业主责任6月底"/>
      <sheetName val="施工方责任6月底"/>
      <sheetName val="设计责任6月底"/>
      <sheetName val="分类说明"/>
      <sheetName val="原因说明"/>
      <sheetName val="台账"/>
      <sheetName val="变更单编号"/>
      <sheetName val="按原因分类"/>
      <sheetName val="数据库"/>
      <sheetName val="建筑汇总表 "/>
      <sheetName val="文化石通花隔栅"/>
      <sheetName val="抛光砖窗台板"/>
      <sheetName val="门窗面积计量"/>
      <sheetName val="门槛"/>
      <sheetName val="栏杆及栏杆底座抛光砖"/>
      <sheetName val="幕墙"/>
      <sheetName val="地花合计 "/>
      <sheetName val="首层地花"/>
      <sheetName val="二层地花"/>
      <sheetName val="三层地花"/>
      <sheetName val="四层地花"/>
      <sheetName val="五层地花"/>
      <sheetName val="天花工程量"/>
      <sheetName val="图书馆１内墙装饰与踢脚线工程量"/>
      <sheetName val="图书馆2内墙装饰与踢脚线工程量"/>
      <sheetName val="图书馆3内墙装饰与踢脚线工程量"/>
      <sheetName val="图书馆4内墙装饰与踢脚线工程量"/>
      <sheetName val="图书馆5内墙装饰与踢脚线工程量 "/>
      <sheetName val="其他内墙装饰与踢脚线工程量"/>
      <sheetName val="内墙装饰与踢脚线工程量合计"/>
      <sheetName val=" 装饰墙和1号装饰门"/>
      <sheetName val="1号电梯"/>
      <sheetName val="柱(干挂花岗石)"/>
      <sheetName val="外墙装饰工程计量首层"/>
      <sheetName val="外墙装饰工程计量二层"/>
      <sheetName val="外墙装饰工程计量三层"/>
      <sheetName val="外墙装饰工程计量四层"/>
      <sheetName val="外墙装饰工程计量五层"/>
      <sheetName val="外墙装饰工程计量屋面层"/>
      <sheetName val="外墙装饰合计"/>
      <sheetName val="造型飘板(铝板幕墙)工程量 1"/>
      <sheetName val=" 室内玻璃隔断"/>
      <sheetName val="卫生间"/>
      <sheetName val="1#2#楼梯"/>
      <sheetName val="3#楼梯 "/>
      <sheetName val="4#5#楼梯"/>
      <sheetName val="6#楼梯"/>
      <sheetName val="7#楼梯 "/>
      <sheetName val="8#楼梯"/>
      <sheetName val="楼梯二次装修合计"/>
      <sheetName val="卫生间墙面及地面防水相关工程量计算表"/>
      <sheetName val="防水"/>
      <sheetName val="女儿墙"/>
      <sheetName val="排水沟"/>
      <sheetName val="中庭栏杆"/>
      <sheetName val="内外墙挂网"/>
      <sheetName val="TC356天窗工程量 "/>
      <sheetName val="点支式采光顶棚工程量计算"/>
      <sheetName val="拉杆式采光棚"/>
      <sheetName val="幕墙门套及幕墙底部收口"/>
      <sheetName val="窗帘盒"/>
      <sheetName val="钢结构"/>
      <sheetName val="建筑汇总表"/>
      <sheetName val="地花 天花"/>
      <sheetName val="外墙块料"/>
      <sheetName val="外墙装饰工程量"/>
      <sheetName val="内、外墙挂网"/>
      <sheetName val="内墙抹灰、油漆、面砖"/>
      <sheetName val="内墙面"/>
      <sheetName val=" 柱"/>
      <sheetName val="屋面防水和卫生间防水"/>
      <sheetName val="天棚、楼地面（初）"/>
      <sheetName val="柱面砖"/>
      <sheetName val="楼梯栏杆及底座抛光砖"/>
      <sheetName val="楼梯栏杆及底座及花岗石"/>
      <sheetName val="钢结构计算表"/>
      <sheetName val="其他工程"/>
      <sheetName val="其它"/>
      <sheetName val="栏杆"/>
      <sheetName val="楼梯抛光砖侧面"/>
      <sheetName val="夹层楼地面"/>
      <sheetName val="设备用房间ICI及踢脚线"/>
      <sheetName val="办公室ICI及踢脚线"/>
      <sheetName val="卫生间150X300瓷砖"/>
      <sheetName val="楼梯间天棚乳胶漆"/>
      <sheetName val="20宽填胶缝与25宽不锈钢装饰线"/>
      <sheetName val="G.1R-Shou COP Gf"/>
      <sheetName val="清单"/>
      <sheetName val="Open"/>
      <sheetName val="主材价格"/>
      <sheetName val="管桩"/>
      <sheetName val="管桩 (结算)"/>
      <sheetName val="承台"/>
      <sheetName val="柱"/>
      <sheetName val="底板"/>
      <sheetName val="板"/>
      <sheetName val="陶粒砼"/>
      <sheetName val="梁"/>
      <sheetName val="楼梯"/>
      <sheetName val="剪力墙"/>
      <sheetName val="外墙面"/>
      <sheetName val="地面、天花、内墙柱面、踢脚线"/>
      <sheetName val="门窗表(A、B）"/>
      <sheetName val="玻璃幕墙"/>
      <sheetName val="砖墙、门窗、圈梁"/>
      <sheetName val="其他 (2)"/>
      <sheetName val="3.4.5号楼裙楼2层雨棚"/>
      <sheetName val="3.4.5号楼裙楼3层雨棚 (2)"/>
      <sheetName val="承台(砖模) "/>
      <sheetName val="门厅墙身."/>
      <sheetName val="换11台阶"/>
      <sheetName val="花岗石地面"/>
      <sheetName val="增加窗部份."/>
      <sheetName val="门窗."/>
      <sheetName val="5+7"/>
      <sheetName val="桩"/>
      <sheetName val="14+14.1柱"/>
      <sheetName val="15梁砼"/>
      <sheetName val="16+18"/>
      <sheetName val="7+17小型构件"/>
      <sheetName val="建筑零星 (2)"/>
      <sheetName val="19"/>
      <sheetName val="场地平整"/>
      <sheetName val="土方工程"/>
      <sheetName val="回填石粉"/>
      <sheetName val="梁墙挂网"/>
      <sheetName val="屋面防水"/>
      <sheetName val="乳胶漆"/>
      <sheetName val="卫生间墙身-首层门厅墙身"/>
      <sheetName val="不锈钢栏杆"/>
      <sheetName val="卫生间地面-墙身-走道阳台防水-卫生间陶粒砼."/>
      <sheetName val="卫生间隔断-大理石洗手台-玻璃镜-蹲位. (2)"/>
      <sheetName val="卫生间隔断-大理石洗手台-玻璃镜-蹲位."/>
      <sheetName val="抛光砖(600×600)."/>
      <sheetName val="预埋件."/>
      <sheetName val="楼梯面层抛光砖(600×600)."/>
      <sheetName val="建筑面积"/>
      <sheetName val="封面2"/>
      <sheetName val="结构工程量总表"/>
      <sheetName val="平整场地、三七灰土"/>
      <sheetName val="挖土方及回填土"/>
      <sheetName val="垫层"/>
      <sheetName val="基础"/>
      <sheetName val="地下室挡土墙、底板"/>
      <sheetName val="砼楼梯"/>
      <sheetName val="砼构件"/>
      <sheetName val="预制构件"/>
      <sheetName val="坡道散水"/>
      <sheetName val="钢网铺设"/>
      <sheetName val="砖基础"/>
      <sheetName val="零星砌体"/>
      <sheetName val="复核灰砂砖"/>
      <sheetName val="复核空心砖"/>
      <sheetName val="防水、泡沫板"/>
      <sheetName val="预埋铁件、植筋"/>
      <sheetName val="基本资料"/>
      <sheetName val="预算书"/>
      <sheetName val="费用表"/>
      <sheetName val="工料机"/>
      <sheetName val="定额清单"/>
      <sheetName val="明細表"/>
      <sheetName val="建筑面积 "/>
      <sheetName val="21"/>
      <sheetName val="基础项目"/>
      <sheetName val="单位"/>
      <sheetName val="内围地梁钢筋说明"/>
      <sheetName val="总表（不打印）"/>
      <sheetName val="1."/>
      <sheetName val="材料损耗(不打印)"/>
      <sheetName val="Mp-team 1"/>
      <sheetName val="柱计算"/>
      <sheetName val="RA-markate"/>
      <sheetName val="数据"/>
      <sheetName val="含量 "/>
      <sheetName val="编制说明"/>
      <sheetName val="总价表"/>
      <sheetName val="对讲"/>
      <sheetName val="门禁、一卡通"/>
      <sheetName val="背景音乐"/>
      <sheetName val="电视监控"/>
      <sheetName val="电子围栏"/>
      <sheetName val=""/>
      <sheetName val="貨品科目"/>
      <sheetName val="456月品類等級 (噸)地區 (2)"/>
      <sheetName val="合格证 (2)"/>
      <sheetName val="成本预算调整说明"/>
      <sheetName val="一、青青全项目资金计划"/>
      <sheetName val="二、青青四期各部门责任成本及资金计划"/>
      <sheetName val="2.1设计部"/>
      <sheetName val="2.2拓展部"/>
      <sheetName val="2.3财务部"/>
      <sheetName val="2.4成本部"/>
      <sheetName val="2.5工程部"/>
      <sheetName val="2.6采购部"/>
      <sheetName val="2.7项目部"/>
      <sheetName val="2.8责任成本归属标准"/>
      <sheetName val="三.青青全项目结算汇总表"/>
      <sheetName val="3.1青青一期"/>
      <sheetName val="3.2青青二期"/>
      <sheetName val="3.3青青三期"/>
      <sheetName val="3.4青青四期"/>
      <sheetName val="3.5青青跨期"/>
      <sheetName val="四.变更签证计划"/>
      <sheetName val="审批查询1"/>
      <sheetName val="审批查询2"/>
      <sheetName val="装饰清单"/>
      <sheetName val="设计部"/>
      <sheetName val="基本参数"/>
      <sheetName val="成本估算"/>
      <sheetName val="汇总表（若有多标段）"/>
      <sheetName val="门窗工程量表"/>
      <sheetName val="综合单价分析表-门窗格式"/>
      <sheetName val="主材价格表"/>
      <sheetName val="五金配置表 "/>
      <sheetName val="门窗工程量汇总表"/>
      <sheetName val="工程量D1"/>
      <sheetName val="工程量D2"/>
      <sheetName val="工程量D3"/>
      <sheetName val="工程量D4"/>
      <sheetName val="工程量D5"/>
      <sheetName val="工程量D6"/>
      <sheetName val="工程量D7"/>
      <sheetName val="工程量D8"/>
      <sheetName val="D1栏板"/>
      <sheetName val="D2栏板 "/>
      <sheetName val="D3栏板 "/>
      <sheetName val="D4栏板"/>
      <sheetName val="D5栏板"/>
      <sheetName val="D6栏板"/>
      <sheetName val="D7栏板"/>
      <sheetName val="D8栏板"/>
      <sheetName val="SOR6"/>
      <sheetName val="Form3"/>
      <sheetName val="MOHKG"/>
      <sheetName val="平窗"/>
      <sheetName val="AD ST"/>
      <sheetName val="在建项目合同支付情况表"/>
      <sheetName val="二月产值"/>
      <sheetName val="东升"/>
      <sheetName val="东都"/>
      <sheetName val="华府"/>
      <sheetName val="棠湖春天"/>
      <sheetName val="棠湖·V客"/>
      <sheetName val="姚伟小组"/>
      <sheetName val="锦江"/>
      <sheetName val="在建项目合同支付情况表 (2)"/>
      <sheetName val="财务ok"/>
      <sheetName val="财务"/>
      <sheetName val="锦江春天工程付款明细表"/>
      <sheetName val="蓝客城付款台账 "/>
      <sheetName val="V客东都付款台账"/>
      <sheetName val="华府春天付款台账"/>
      <sheetName val="V客尚东付款台账"/>
      <sheetName val="V客东区付款台账"/>
      <sheetName val="温江光华春天付款台账"/>
      <sheetName val="棠湖春天付款台账"/>
      <sheetName val="棠湖V客工程付款"/>
      <sheetName val="付款台帐"/>
      <sheetName val="结算台帐"/>
      <sheetName val="签证"/>
      <sheetName val="变更"/>
      <sheetName val="Financ__Overview"/>
      <sheetName val="钢筋计算表"/>
      <sheetName val="常用词句"/>
      <sheetName val="模板"/>
      <sheetName val="饼图1"/>
      <sheetName val="饼图2"/>
      <sheetName val="饼图3"/>
      <sheetName val="饼图4"/>
      <sheetName val="走势图2"/>
      <sheetName val="走势图1"/>
      <sheetName val="柱折图案"/>
      <sheetName val="柱图1"/>
      <sheetName val="柱图2"/>
      <sheetName val="柱图3"/>
      <sheetName val="折线图1"/>
      <sheetName val="折线图1数据"/>
      <sheetName val="折线图2"/>
      <sheetName val="折线图2数据"/>
      <sheetName val="控件学习1"/>
      <sheetName val="控件学习2"/>
      <sheetName val="11年计划"/>
      <sheetName val="字段"/>
      <sheetName val="电话"/>
      <sheetName val="电子巡更"/>
      <sheetName val="停车场"/>
      <sheetName val="XL4Poppy"/>
      <sheetName val="单位库"/>
      <sheetName val="采购周计划"/>
      <sheetName val="考察计划"/>
      <sheetName val="年度采购计划汇总"/>
      <sheetName val="11年总咨询采购计划"/>
      <sheetName val="11年总材材料采购计划"/>
      <sheetName val="总人口"/>
      <sheetName val="事业发展"/>
      <sheetName val="村级支出"/>
      <sheetName val="1.投标总价封面"/>
      <sheetName val="P1012001"/>
      <sheetName val="墙面工程"/>
      <sheetName val="item information"/>
      <sheetName val="给排水系统"/>
      <sheetName val="3.2钢材材料调价表"/>
      <sheetName val="下拉菜单"/>
      <sheetName val="S7"/>
      <sheetName val="建(栖居)"/>
      <sheetName val="基(栖居)"/>
      <sheetName val="新明源销售财务日报"/>
      <sheetName val="FYYS-1-编制底稿04-招聘活动支出"/>
      <sheetName val="折旧清单_1"/>
      <sheetName val="户型配比"/>
      <sheetName val="合同"/>
      <sheetName val="土建清单"/>
      <sheetName val="设计指标"/>
      <sheetName val="08.01"/>
      <sheetName val="工商税收"/>
      <sheetName val="零星工程量"/>
      <sheetName val="经济指标"/>
      <sheetName val="销售财务日报表②"/>
      <sheetName val="参照表"/>
      <sheetName val="46亩(新)"/>
      <sheetName val="基础数据命名表"/>
      <sheetName val="技术指标"/>
      <sheetName val="税金预测"/>
      <sheetName val="主要规划指标"/>
      <sheetName val="税金缴纳情况"/>
      <sheetName val="土地款预测"/>
      <sheetName val="销售回款预测"/>
      <sheetName val="政府性收费预测"/>
      <sheetName val="指标分类汇总"/>
      <sheetName val="前(栖居)"/>
      <sheetName val="POWER ASSUMPTION"/>
      <sheetName val="_REF!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销量"/>
      <sheetName val="共享"/>
      <sheetName val="促销活动"/>
      <sheetName val="活动"/>
      <sheetName val="总表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ºËËãÏîÄ¿Óà¶î±í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___¡§_¨¦3¨¦¡À_¡À¨ª"/>
      <sheetName val="_a¦Ì¡è3¨¦¡À_¡À¨ª"/>
      <sheetName val="11_¨¨¨¦¨°___¨º3¨¦¡À_¡À¨ª"/>
      <sheetName val="___¡¤_¡§¨¢_"/>
      <sheetName val="___¡¤_o__¦Ì_"/>
      <sheetName val="___¡¤____¨¦¨¬¡À¨º"/>
      <sheetName val="___¡§¡¤___¡À¨ª"/>
      <sheetName val="___¡§_¨¦¡¤___¡À¨ª"/>
      <sheetName val="¨¦¨°___¨º¡¤___¡À¨ª"/>
      <sheetName val="_a¦Ì¡è¡¤___"/>
      <sheetName val="¨ª¡ã__15L"/>
      <sheetName val="¨ª¡ã__20L"/>
      <sheetName val="¨ª¡ã__30L"/>
      <sheetName val="¨ª¡ã__10L"/>
      <sheetName val="¨ª¡ã__5L"/>
      <sheetName val="¨ª¡ã__20L (__) "/>
      <sheetName val="¨ª¡ã__30L (__)  "/>
      <sheetName val="¨ª¡ã__15L(_a¡ê_"/>
      <sheetName val="¨ª¡ã__20L¡ê¡§_a¡ê_"/>
      <sheetName val="¨ª¡ã__30L¡ê¡§_a¡ê_"/>
      <sheetName val="¨ª¡ã__20L(___¡§_¨¦¡ê_"/>
      <sheetName val="_¦Ì_¡Â"/>
      <sheetName val="_¨²¨¢_"/>
      <sheetName val="12_¨ª"/>
      <sheetName val="¡ä¨´_¨²___¡¥"/>
      <sheetName val="___¡¥"/>
      <sheetName val="¡Á¨¹¡À¨ª"/>
      <sheetName val="o_______¨®¨¤__¡À¨ª"/>
      <sheetName val="B"/>
      <sheetName val="22号"/>
      <sheetName val="gvl"/>
      <sheetName val="所得税凭证抽查"/>
      <sheetName val="综合认价"/>
      <sheetName val="项目汇总"/>
      <sheetName val="开发"/>
      <sheetName val="成本指标"/>
      <sheetName val="编码"/>
      <sheetName val="ZB"/>
      <sheetName val="编码说明"/>
      <sheetName val="使用指引"/>
      <sheetName val="全周期汇总表"/>
      <sheetName val="前期"/>
      <sheetName val="建安"/>
      <sheetName val="配套"/>
      <sheetName val="单项工程费汇总表"/>
      <sheetName val="地下室土建清单"/>
      <sheetName val="裙房土建清单"/>
      <sheetName val="1#土建清单"/>
      <sheetName val="4#土建清单"/>
      <sheetName val="1#水清单"/>
      <sheetName val="4#水清单"/>
      <sheetName val="1#电清单"/>
      <sheetName val="4#电清单"/>
      <sheetName val="包干费用表"/>
      <sheetName val="地下室土建调整清单"/>
      <sheetName val="裙房土建调整清单"/>
      <sheetName val="1#土建调整清单"/>
      <sheetName val="4#土建调整清单"/>
      <sheetName val="1#水调整清单"/>
      <sheetName val="4#水调整清单"/>
      <sheetName val="1#电调整清单"/>
      <sheetName val="4#电调整清单"/>
      <sheetName val="甲指乙供材料报价表"/>
      <sheetName val="其它工作项目报价清单"/>
      <sheetName val="材料损耗表"/>
      <sheetName val="甲方有权分包工程表"/>
      <sheetName val="甲供材料"/>
      <sheetName val="01"/>
      <sheetName val="02"/>
      <sheetName val="03"/>
      <sheetName val="04"/>
      <sheetName val="1-4栋结算清单汇总表"/>
      <sheetName val="施工参考单价报价表"/>
      <sheetName val="建安工程费(全)"/>
      <sheetName val="建安工程费（住宅）"/>
      <sheetName val="3.投标总价汇总表"/>
      <sheetName val="4.1土建工程量清单计价表"/>
      <sheetName val="人员支出"/>
      <sheetName val="一般预算收入"/>
      <sheetName val="_Recovered_SheetName_ 0_"/>
      <sheetName val="汇总表1"/>
      <sheetName val="分录表"/>
      <sheetName val="财政供养人员增幅"/>
      <sheetName val="Backup of Backup of LINDA LISTO"/>
      <sheetName val="现金流量"/>
      <sheetName val="成本分析"/>
      <sheetName val="专7、现金流量表"/>
      <sheetName val="封面 "/>
      <sheetName val="全周期汇总表 (合并)"/>
      <sheetName val="修订说明"/>
      <sheetName val="优化对比说明表"/>
      <sheetName val="前期工程费"/>
      <sheetName val="建安工程费"/>
      <sheetName val="建安工程（安装）"/>
      <sheetName val="基础设施费"/>
      <sheetName val="配套设施费"/>
      <sheetName val="单方公摊"/>
      <sheetName val="需分摊项目"/>
      <sheetName val=" 算量"/>
      <sheetName val="工程量计算式"/>
      <sheetName val="面积指标"/>
      <sheetName val="pldt"/>
      <sheetName val="编码说明1"/>
      <sheetName val="差异分析表"/>
      <sheetName val="地下室及基础单列汇总表"/>
      <sheetName val="住宅地块总指标"/>
      <sheetName val="配置标准表"/>
      <sheetName val="户内改造费用"/>
      <sheetName val="户内改造费用详情"/>
      <sheetName val="匡算工程量"/>
      <sheetName val="技术指标分析"/>
      <sheetName val="规划指标对比"/>
      <sheetName val="income estimates"/>
      <sheetName val="cost estimates"/>
      <sheetName val="period charge"/>
      <sheetName val="interest cost"/>
      <sheetName val="cost contrast"/>
      <sheetName val="成本对比表"/>
      <sheetName val="利润影响因素表"/>
      <sheetName val="mwin"/>
      <sheetName val="硬景工程"/>
      <sheetName val="安装工程 "/>
      <sheetName val="大乔木 "/>
      <sheetName val="中小乔 "/>
      <sheetName val="地被 "/>
      <sheetName val="灌木 "/>
      <sheetName val="球类竹类 "/>
      <sheetName val="安装清单"/>
      <sheetName val="材料基价"/>
      <sheetName val="标底评审报告"/>
      <sheetName val="经济指标分析表"/>
      <sheetName val="技术方案"/>
      <sheetName val="回款分析"/>
      <sheetName val="收支统计"/>
      <sheetName val="销售回款"/>
      <sheetName val="销售合同"/>
      <sheetName val="上年末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现金流出"/>
      <sheetName val="回款统计"/>
      <sheetName val="明细汇总"/>
      <sheetName val="Macro1"/>
      <sheetName val="工程造价汇总表"/>
      <sheetName val="材料清单"/>
      <sheetName val="直接成本汇总表"/>
      <sheetName val="与国际差异"/>
      <sheetName val="A0104差异"/>
      <sheetName val="经济指标表"/>
      <sheetName val="目标成本各版本修订说明"/>
      <sheetName val="户型统计"/>
      <sheetName val="CWYS-FYYS-1_人力成本支出测算"/>
      <sheetName val="FYYS-1-001年度人力成本测算（部门汇总）"/>
      <sheetName val="FYYS-1-002年度人力成本测算（部门）"/>
      <sheetName val="FYYS-1-编制底稿01工资及福利支出(公司领导)"/>
      <sheetName val="FYYS-1-编制底稿01工资及福利支出(财务部)"/>
      <sheetName val="FYYS-1-编制底稿01工资及福利支出(工程管理部)"/>
      <sheetName val="FYYS-1-编制底稿01工资及福利支出(技术管理部)"/>
      <sheetName val="FYYS-1-编制底稿01工资及福利支出(经营成本部)"/>
      <sheetName val="FYYS-1-编制底稿01工资及福利支出(营销运营部)"/>
      <sheetName val="FYYS-1-编制底稿01工资及福利支出(总经办)"/>
      <sheetName val="FYYS-1-编制底稿02-销售提成"/>
      <sheetName val="FYYS-1-编制底稿03-加班费 "/>
      <sheetName val="FYYS-1-编制底稿05-员工离职补偿"/>
      <sheetName val="配置标准"/>
      <sheetName val="项目测算模板"/>
      <sheetName val="落位名单"/>
      <sheetName val="coco国际"/>
      <sheetName val="东方天地"/>
      <sheetName val="COCO锦绣"/>
      <sheetName val="COCO金沙2期"/>
      <sheetName val="COCO金沙3期"/>
      <sheetName val="COCO蜜城"/>
      <sheetName val="COCO时代"/>
      <sheetName val="金双楠一期"/>
      <sheetName val="金双楠二期"/>
      <sheetName val="锦绣香江"/>
      <sheetName val="幸福满庭"/>
      <sheetName val="花满庭2期"/>
      <sheetName val="重庆coco时代"/>
      <sheetName val="重庆贡山一号"/>
      <sheetName val="重庆幸福满庭"/>
      <sheetName val="重庆御江台"/>
      <sheetName val="无锡东亭112亩"/>
      <sheetName val="苏州COCO蜜园"/>
      <sheetName val="无锡COCO蜜园"/>
      <sheetName val="吴江155"/>
      <sheetName val="昆明COCO蜜城"/>
      <sheetName val="昆明天娇城"/>
      <sheetName val="青岛COCO蜜城"/>
      <sheetName val="武汉COCO时代"/>
      <sheetName val="长沙幸福满庭"/>
      <sheetName val="长沙COCO蜜城"/>
      <sheetName val="蓝光海悦城"/>
      <sheetName val="基础台帐"/>
      <sheetName val="结算台账"/>
      <sheetName val="预警通知书"/>
      <sheetName val="标底台账"/>
      <sheetName val="下拉"/>
      <sheetName val="封皮"/>
      <sheetName val="报价汇总表·方案一"/>
      <sheetName val="报价汇总表·方案二"/>
      <sheetName val="主要材料品牌表"/>
      <sheetName val="明细_23#楼"/>
      <sheetName val="明细_24#楼"/>
      <sheetName val="72-LC2620"/>
      <sheetName val="72-LC1318"/>
      <sheetName val="72-LC1316"/>
      <sheetName val="72-HM1427"/>
      <sheetName val="72-LC05'18 "/>
      <sheetName val="72-LC05'16"/>
      <sheetName val="72-LC0718"/>
      <sheetName val="72-LC4216"/>
      <sheetName val="72-LC2618"/>
      <sheetName val="72-MLC2627"/>
      <sheetName val="72-MLC1827"/>
      <sheetName val="72-MLC5627-8"/>
      <sheetName val="72-MLC5625"/>
      <sheetName val="72-MLC3527"/>
      <sheetName val="82-C2620"/>
      <sheetName val="82-C1318"/>
      <sheetName val="82-C1316"/>
      <sheetName val="82-HM1427"/>
      <sheetName val="82-C05'18"/>
      <sheetName val="82-C0718"/>
      <sheetName val="82-C05'16"/>
      <sheetName val="82-C4216"/>
      <sheetName val="82-C2618"/>
      <sheetName val="82-MLC2627"/>
      <sheetName val="82-MLC1827"/>
      <sheetName val="82-MLC5627-8"/>
      <sheetName val="82-MLC5625"/>
      <sheetName val="82-MLC3527"/>
      <sheetName val="推拉"/>
      <sheetName val="索引"/>
      <sheetName val="0707版价格表"/>
      <sheetName val="快速代码 "/>
      <sheetName val="5201.2004"/>
      <sheetName val="型材表"/>
      <sheetName val="data"/>
      <sheetName val="Draft"/>
      <sheetName val="测算依据"/>
      <sheetName val="砂浆单价表"/>
      <sheetName val="RecoveredExternalLink3"/>
    </sheetNames>
    <sheetDataSet>
      <sheetData sheetId="0">
        <row r="1">
          <cell r="A1" t="str">
            <v>奥润顺达成品物流运输报价表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/>
      <sheetData sheetId="565"/>
      <sheetData sheetId="566"/>
      <sheetData sheetId="567"/>
      <sheetData sheetId="568"/>
      <sheetData sheetId="569"/>
      <sheetData sheetId="570" refreshError="1"/>
      <sheetData sheetId="571"/>
      <sheetData sheetId="572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"/>
      <sheetName val="XLR_NoRangeSheet"/>
      <sheetName val="平窗"/>
      <sheetName val="型材线密度表"/>
      <sheetName val="CD"/>
      <sheetName val="#REF!"/>
      <sheetName val="1"/>
      <sheetName val="改加胶玻璃、室外栏杆"/>
      <sheetName val="General"/>
      <sheetName val="POWER ASSUMPTIONS"/>
      <sheetName val="Toolbox"/>
      <sheetName val="Bill-2.1（1）"/>
      <sheetName val="貨品科目"/>
      <sheetName val="汇总表"/>
      <sheetName val="工程量"/>
      <sheetName val="Financ. Overview"/>
      <sheetName val="AD ST"/>
      <sheetName val="清单1-裙楼Ea"/>
      <sheetName val="7"/>
      <sheetName val="投标材料清单 "/>
      <sheetName val="3"/>
      <sheetName val="SOR.3.1.4"/>
      <sheetName val="B3.1.5"/>
      <sheetName val="工程抗压桩"/>
      <sheetName val="面积指标"/>
      <sheetName val="清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"/>
      <sheetName val="XLR_NoRangeSheet"/>
      <sheetName val="平窗"/>
      <sheetName val="型材参数"/>
      <sheetName val="6"/>
      <sheetName val="MOHKG"/>
      <sheetName val="型材线密度表"/>
      <sheetName val="12#楼"/>
      <sheetName val="Toolbox"/>
      <sheetName val="POWER ASSUMPTIONS"/>
      <sheetName val="改加胶玻璃、室外栏杆"/>
      <sheetName val="内围地梁钢筋说明"/>
      <sheetName val="面积指标"/>
      <sheetName val="Bill-2.1（1）"/>
      <sheetName val="清单1-裙楼Ea"/>
      <sheetName val="#REF!"/>
      <sheetName val="A"/>
      <sheetName val="3"/>
      <sheetName val="21"/>
      <sheetName val="sum(Flooring )"/>
      <sheetName val="LTM销售"/>
      <sheetName val="HTM销售"/>
      <sheetName val="生鲜销售"/>
      <sheetName val="Sheet4"/>
      <sheetName val="evsluste"/>
      <sheetName val="明细_23#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LR_NoRangeSheet"/>
      <sheetName val="设置"/>
      <sheetName val="#REF!"/>
      <sheetName val="平窗"/>
      <sheetName val="G.1R-Shou COP Gf"/>
      <sheetName val="型材表"/>
      <sheetName val="改加胶玻璃、室外栏杆"/>
      <sheetName val="Toolbox"/>
      <sheetName val="搭接"/>
      <sheetName val="索引"/>
      <sheetName val="資料庫"/>
      <sheetName val="明细_1#、8#楼"/>
      <sheetName val="表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"/>
      <sheetName val="XLR_NoRangeSheet"/>
      <sheetName val="21"/>
      <sheetName val="数据汇总表"/>
      <sheetName val="改加胶玻璃、室外栏杆"/>
      <sheetName val="G2TempSheet"/>
      <sheetName val="含量"/>
      <sheetName val="SW-TE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"/>
      <sheetName val="XLR_NoRangeSheet"/>
      <sheetName val="21"/>
      <sheetName val="3"/>
      <sheetName val="8"/>
      <sheetName val="2"/>
      <sheetName val="6"/>
      <sheetName val="面积合计（藏）"/>
      <sheetName val="7"/>
      <sheetName val="4"/>
      <sheetName val="投标材料清单 "/>
      <sheetName val="5"/>
      <sheetName val="1"/>
      <sheetName val="基础项目"/>
      <sheetName val="工程量"/>
      <sheetName val="单位"/>
      <sheetName val="常用项目"/>
      <sheetName val="内围地梁钢筋说明"/>
      <sheetName val="清单"/>
      <sheetName val="总表（不打印）"/>
      <sheetName val="平窗"/>
      <sheetName val="推拉"/>
      <sheetName val="单价分析表"/>
      <sheetName val="计算式"/>
      <sheetName val="明细_23#楼"/>
      <sheetName val="AD ST"/>
      <sheetName val="改加胶玻璃、室外栏杆"/>
      <sheetName val="工程抗压桩"/>
      <sheetName val="Bill-2.1（1）"/>
      <sheetName val="#REF!"/>
      <sheetName val="SW-TEO"/>
      <sheetName val="main"/>
      <sheetName val="coa"/>
      <sheetName val="Open"/>
      <sheetName val="General"/>
      <sheetName val="POWER ASSUMPTIONS"/>
      <sheetName val="搭接"/>
      <sheetName val="索引"/>
      <sheetName val="型材线密度表"/>
      <sheetName val="建筑面积 "/>
      <sheetName val="HUD YOLU DUVAR 8 MT"/>
      <sheetName val="承台(砖模) "/>
      <sheetName val="柱"/>
      <sheetName val="材料表"/>
      <sheetName val="1."/>
      <sheetName val="材料损耗(不打印)"/>
      <sheetName val="Mp-team 1"/>
      <sheetName val="墙面工程"/>
      <sheetName val="19#楼(作废)"/>
      <sheetName val="嘉里塔楼工程量"/>
      <sheetName val="4、综合单价分析表"/>
      <sheetName val="清单汇总"/>
      <sheetName val="单价分析过程"/>
      <sheetName val="主要材料价格表 (2)"/>
      <sheetName val="Toolbox"/>
      <sheetName val="费率及线密度"/>
      <sheetName val="材料价格"/>
      <sheetName val="Elem Cost"/>
      <sheetName val="设置"/>
      <sheetName val="单价分析"/>
      <sheetName val="List price"/>
      <sheetName val="ironmongery"/>
      <sheetName val="eqpmad2"/>
      <sheetName val="做法表"/>
      <sheetName val="SAP Summary"/>
      <sheetName val="基本资料"/>
      <sheetName val="KDB"/>
      <sheetName val="Sheet1"/>
      <sheetName val="Financ. Overview"/>
      <sheetName val="门窗及阳台栏杆"/>
      <sheetName val="CLS"/>
      <sheetName val="详细材料汇总表"/>
      <sheetName val="材料费汇总表"/>
      <sheetName val="单元面积"/>
      <sheetName val="工程量计算式2#楼"/>
      <sheetName val="6#楼"/>
      <sheetName val="XL4Poppy"/>
      <sheetName val="型材表"/>
      <sheetName val="材料单价表"/>
      <sheetName val="sheet2"/>
      <sheetName val="主材表（不打印） "/>
      <sheetName val="B1-1清单外装修"/>
      <sheetName val="材料清单"/>
      <sheetName val="Sheet9"/>
      <sheetName val="汇总表"/>
      <sheetName val="5期B栋会所装饰精装修"/>
      <sheetName val="页码引用"/>
      <sheetName val="架空梁铝板"/>
      <sheetName val="侧墙铝板幕墙"/>
      <sheetName val="3C清单工程量"/>
      <sheetName val="窗、柱、阳台上方铝板"/>
      <sheetName val="装饰柱铝板"/>
      <sheetName val="架空转角墙铝板"/>
      <sheetName val="商业主材含量"/>
      <sheetName val="零碎含量（石）"/>
      <sheetName val="_______"/>
      <sheetName val="核算项目余额表"/>
      <sheetName val="anti-termite"/>
      <sheetName val="商业部分S1-1轴~S1-21轴"/>
      <sheetName val="3-B、3A座商业"/>
      <sheetName val="_x005f_x005f_x005f_x0000__x005f_x005f_x005f_x0000__x005"/>
      <sheetName val="塔楼幕墙含量"/>
      <sheetName val="工费及管理费利润税金"/>
      <sheetName val="_x005f_x0000__x005f_x0000__x005f_x0000__x005f_x0000__x0"/>
      <sheetName val="slipsumpR"/>
      <sheetName val="按新系统"/>
      <sheetName val="5201.2004"/>
      <sheetName val="钢筋"/>
      <sheetName val="G.1R-Shou COP Gf"/>
      <sheetName val="B1"/>
      <sheetName val="cad工程量"/>
      <sheetName val="主材价格"/>
      <sheetName val="柱计算"/>
      <sheetName val="工程量计算"/>
      <sheetName val="_x0"/>
      <sheetName val=""/>
      <sheetName val="一层"/>
      <sheetName val="Aging Datasheet"/>
      <sheetName val="ECCS_1 DataSheet"/>
      <sheetName val="KPI Datasheet"/>
      <sheetName val="土建工程综合单价表"/>
      <sheetName val="BA-Pl"/>
    </sheetNames>
    <sheetDataSet>
      <sheetData sheetId="0"/>
      <sheetData sheetId="1">
        <row r="6">
          <cell r="B6" t="str">
            <v>江山市电力业务用房/阳光写字楼玻璃幕墙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"/>
      <sheetName val="XLR_NoRangeSheet"/>
      <sheetName val="全国范围报价表"/>
      <sheetName val="必填表--新增取货地费用报价"/>
      <sheetName val="#REF!"/>
      <sheetName val="POWER ASSUMPTIONS"/>
      <sheetName val="材料清单"/>
      <sheetName val="SOR.3.1.4"/>
      <sheetName val="按新系统"/>
      <sheetName val="组价"/>
      <sheetName val="汇总"/>
      <sheetName val="改加胶玻璃、室外栏杆"/>
      <sheetName val="塔楼（系统1）"/>
      <sheetName val="1-2层（系统5）"/>
      <sheetName val="附楼外侧立面 (系统2、系统5）"/>
      <sheetName val="系统6（中庭及凹阳台、天桥）"/>
      <sheetName val="入口处及下沉花园"/>
      <sheetName val="核心筒、观光电梯、空调室外机"/>
      <sheetName val="附楼内侧立面铝板及玻璃（系统3 ）"/>
      <sheetName val="裙楼内侧6-11层玻璃铝板（系统4）"/>
      <sheetName val="室外吊顶"/>
      <sheetName val="G2TempSheet"/>
      <sheetName val="工程量"/>
      <sheetName val="平窗"/>
      <sheetName val="Toolbox"/>
      <sheetName val="含量"/>
      <sheetName val="temp"/>
      <sheetName val="说明"/>
      <sheetName val="电气汇总"/>
      <sheetName val="电气设备"/>
      <sheetName val="防雷"/>
      <sheetName val="强电"/>
      <sheetName val="电话"/>
      <sheetName val="电话系统"/>
      <sheetName val="电视"/>
      <sheetName val="消防系统"/>
      <sheetName val="网络"/>
      <sheetName val="清单1-裙楼Ea"/>
      <sheetName val="推拉"/>
      <sheetName val="型材参数"/>
      <sheetName val="Main"/>
      <sheetName val="数据库"/>
      <sheetName val="面积指标"/>
      <sheetName val="_Profile"/>
      <sheetName val="0707版价格表"/>
      <sheetName val="下拉"/>
      <sheetName val="WilliamSheet"/>
    </sheetNames>
    <sheetDataSet>
      <sheetData sheetId="0">
        <row r="1">
          <cell r="A1" t="str">
            <v>奥润顺达成品物流运输报价表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"/>
      <sheetName val="XLR_NoRangeSheet"/>
      <sheetName val="全国范围报价表"/>
      <sheetName val="必填表--新增取货地费用报价"/>
      <sheetName val="#REF!"/>
      <sheetName val="POWER ASSUMPTIONS"/>
      <sheetName val="材料清单"/>
      <sheetName val="按新系统"/>
      <sheetName val="组价"/>
      <sheetName val="汇总"/>
      <sheetName val="改加胶玻璃、室外栏杆"/>
      <sheetName val="塔楼（系统1）"/>
      <sheetName val="1-2层（系统5）"/>
      <sheetName val="附楼外侧立面 (系统2、系统5）"/>
      <sheetName val="系统6（中庭及凹阳台、天桥）"/>
      <sheetName val="入口处及下沉花园"/>
      <sheetName val="核心筒、观光电梯、空调室外机"/>
      <sheetName val="附楼内侧立面铝板及玻璃（系统3 ）"/>
      <sheetName val="裙楼内侧6-11层玻璃铝板（系统4）"/>
      <sheetName val="室外吊顶"/>
      <sheetName val="G2TempSheet"/>
      <sheetName val="工程量"/>
      <sheetName val="temp"/>
      <sheetName val="说明"/>
      <sheetName val="电气汇总"/>
      <sheetName val="电气设备"/>
      <sheetName val="防雷"/>
      <sheetName val="强电"/>
      <sheetName val="电话"/>
      <sheetName val="电话系统"/>
      <sheetName val="电视"/>
      <sheetName val="消防系统"/>
      <sheetName val="网络"/>
      <sheetName val="清单1-裙楼Ea"/>
      <sheetName val="推拉"/>
      <sheetName val="平窗"/>
      <sheetName val="型材参数"/>
      <sheetName val="SOR.3.1.4"/>
      <sheetName val="0707版价格表"/>
      <sheetName val="下拉"/>
      <sheetName val="WilliamSheet"/>
    </sheetNames>
    <sheetDataSet>
      <sheetData sheetId="0">
        <row r="1">
          <cell r="A1" t="str">
            <v>奥润顺达成品物流运输报价表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"/>
      <sheetName val="XLR_NoRangeSheet"/>
      <sheetName val="改加胶玻璃、室外栏杆"/>
      <sheetName val="General"/>
      <sheetName val="temp"/>
      <sheetName val="清单1-裙楼Ea"/>
      <sheetName val="汇总表"/>
      <sheetName val="G2TempSheet"/>
      <sheetName val="平窗"/>
      <sheetName val="Toolbox"/>
      <sheetName val="3"/>
      <sheetName val="面积指标"/>
      <sheetName val="_Profile"/>
      <sheetName val="20 运输公司"/>
      <sheetName val="材料单价表"/>
    </sheetNames>
    <sheetDataSet>
      <sheetData sheetId="0" refreshError="1"/>
      <sheetData sheetId="1" refreshError="1">
        <row r="6">
          <cell r="H6" t="str">
            <v/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"/>
      <sheetName val="XLR_NoRangeSheet"/>
      <sheetName val="General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"/>
      <sheetName val="XLR_NoRangeSheet"/>
      <sheetName val="Toolbox"/>
      <sheetName val="清单1-裙楼Ea"/>
      <sheetName val="改加胶玻璃、室外栏杆"/>
      <sheetName val="CD"/>
      <sheetName val="合格证 (2)"/>
      <sheetName val="temp"/>
      <sheetName val="G2TempSheet"/>
      <sheetName val="3"/>
      <sheetName val="POWER ASSUMPTIONS"/>
      <sheetName val="搭接"/>
      <sheetName val="索引"/>
      <sheetName val="面积指标"/>
      <sheetName val="_Profile"/>
      <sheetName val="資料庫"/>
      <sheetName val="表紙"/>
    </sheetNames>
    <sheetDataSet>
      <sheetData sheetId="0"/>
      <sheetData sheetId="1" refreshError="1">
        <row r="6">
          <cell r="E6" t="str">
            <v>壹佰伍拾万壹仟肆佰伍拾柒元整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"/>
      <sheetName val="XLR_NoRangeSheet"/>
      <sheetName val="Open"/>
      <sheetName val="AD S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预算书"/>
      <sheetName val="费用表"/>
      <sheetName val="工料机"/>
      <sheetName val="定额清单"/>
      <sheetName val="XLR_NoRangeSheet"/>
      <sheetName val="改加胶玻璃、室外栏杆"/>
      <sheetName val="明細表"/>
      <sheetName val="sheet2"/>
      <sheetName val="12#楼"/>
      <sheetName val="G2TempSheet"/>
      <sheetName val="General"/>
      <sheetName val="AD ST"/>
      <sheetName val="型材线密度表"/>
      <sheetName val="temp"/>
      <sheetName val="#REF!"/>
      <sheetName val="Toolbox"/>
      <sheetName val="单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预算书"/>
      <sheetName val="费用表"/>
      <sheetName val="工料机"/>
      <sheetName val="定额清单"/>
      <sheetName val="XLR_NoRangeSheet"/>
      <sheetName val="改加胶玻璃、室外栏杆"/>
      <sheetName val="资料库"/>
      <sheetName val="明細表"/>
      <sheetName val="平窗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清单1-裙楼Ea"/>
      <sheetName val="#REF!"/>
      <sheetName val="计算稿"/>
      <sheetName val="XLR_NoRangeSheet"/>
      <sheetName val="3"/>
      <sheetName val="合格证 (2)"/>
      <sheetName val="WilliamSheet"/>
      <sheetName val="按新系统"/>
      <sheetName val="用料分析表（不打印）"/>
      <sheetName val="主要材料明细表"/>
      <sheetName val="综合单价 (不打印)"/>
      <sheetName val="总表（不打印）"/>
      <sheetName val="G2TempSheet"/>
      <sheetName val="MOHKG"/>
      <sheetName val="生人台帳"/>
      <sheetName val="Mp-team 1"/>
      <sheetName val="(m1)_(m2)_(m3)"/>
      <sheetName val="型材表"/>
      <sheetName val="汇总表"/>
      <sheetName val="搭接"/>
      <sheetName val="索引"/>
      <sheetName val="POWER ASSUMPTIONS"/>
      <sheetName val="推拉"/>
      <sheetName val="日记帐"/>
      <sheetName val="内围地梁钢筋说明"/>
      <sheetName val="21"/>
      <sheetName val="改加胶玻璃、室外栏杆"/>
      <sheetName val="Toolbox"/>
      <sheetName val="A翼写字楼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编制说明"/>
      <sheetName val="汇总表"/>
      <sheetName val="工程量清单计价表"/>
      <sheetName val="综合单价分析 "/>
      <sheetName val="主要材料品牌表"/>
      <sheetName val="3#楼工程量统计"/>
      <sheetName val="4#楼工程量统计"/>
      <sheetName val="5#楼工程量统计"/>
      <sheetName val="6#楼工程量统计 "/>
      <sheetName val="8#楼工程量统计"/>
    </sheetNames>
    <sheetDataSet>
      <sheetData sheetId="0" refreshError="1"/>
      <sheetData sheetId="1" refreshError="1"/>
      <sheetData sheetId="2">
        <row r="129">
          <cell r="B129" t="str">
            <v>穿孔铝单板</v>
          </cell>
        </row>
        <row r="161">
          <cell r="B161" t="str">
            <v>穿孔铝单板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说明"/>
      <sheetName val="投标总价"/>
      <sheetName val="单位工程费用汇总表"/>
      <sheetName val="工程量清单"/>
      <sheetName val="分析表"/>
      <sheetName val="材料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4">
          <cell r="B4" t="str">
            <v>8+1.14pvb+8双钢化夹胶镀膜玻璃</v>
          </cell>
          <cell r="C4" t="str">
            <v>8+1.14pvb+8</v>
          </cell>
          <cell r="D4" t="str">
            <v>m2</v>
          </cell>
          <cell r="E4">
            <v>316</v>
          </cell>
          <cell r="F4" t="str">
            <v>南玻镀膜原片（首诺胶片）</v>
          </cell>
        </row>
        <row r="5">
          <cell r="B5" t="str">
            <v>8+1.52pvb+8双钢化夹胶镀膜玻璃</v>
          </cell>
          <cell r="C5" t="str">
            <v>8+1.52pvb+8</v>
          </cell>
          <cell r="D5" t="str">
            <v>m2</v>
          </cell>
          <cell r="E5">
            <v>346</v>
          </cell>
          <cell r="F5" t="str">
            <v>南玻镀膜原片（首诺胶片）</v>
          </cell>
        </row>
        <row r="6">
          <cell r="B6" t="str">
            <v>8+1.14pvb+8双钢化夹胶镀膜弯弧玻璃</v>
          </cell>
          <cell r="C6" t="str">
            <v>8+1.14pvb+8</v>
          </cell>
          <cell r="D6" t="str">
            <v>m2</v>
          </cell>
          <cell r="E6">
            <v>498</v>
          </cell>
          <cell r="F6" t="str">
            <v>南玻镀膜原片（首诺胶片）</v>
          </cell>
        </row>
        <row r="7">
          <cell r="B7" t="str">
            <v>8+1.52pvb+8双钢化夹胶镀膜弯弧玻璃</v>
          </cell>
          <cell r="C7" t="str">
            <v>8+1.52pvb+8</v>
          </cell>
          <cell r="D7" t="str">
            <v>m2</v>
          </cell>
          <cell r="E7">
            <v>528</v>
          </cell>
          <cell r="F7" t="str">
            <v>南玻镀膜原片（首诺胶片）</v>
          </cell>
        </row>
        <row r="8">
          <cell r="B8" t="str">
            <v>10mm钢化镀膜玻璃</v>
          </cell>
          <cell r="C8" t="str">
            <v>10mm</v>
          </cell>
          <cell r="D8" t="str">
            <v>m2</v>
          </cell>
          <cell r="E8">
            <v>165</v>
          </cell>
          <cell r="F8" t="str">
            <v>南玻镀膜原片（首诺胶片）</v>
          </cell>
        </row>
        <row r="9">
          <cell r="B9" t="str">
            <v>2mm氟碳喷涂铝单板</v>
          </cell>
          <cell r="C9" t="str">
            <v>2mm</v>
          </cell>
          <cell r="D9" t="str">
            <v>m2</v>
          </cell>
          <cell r="E9">
            <v>245</v>
          </cell>
          <cell r="F9" t="str">
            <v>肇庆鑫盈，氟碳三涂</v>
          </cell>
        </row>
        <row r="10">
          <cell r="B10" t="str">
            <v>2.5mm氟碳喷涂铝单板</v>
          </cell>
          <cell r="C10" t="str">
            <v>2.5mm</v>
          </cell>
          <cell r="D10" t="str">
            <v>m2</v>
          </cell>
          <cell r="E10">
            <v>278</v>
          </cell>
          <cell r="F10" t="str">
            <v>肇庆鑫盈，氟碳三涂</v>
          </cell>
        </row>
        <row r="11">
          <cell r="B11" t="str">
            <v>2.5mm氟碳喷涂铝单板（单曲）</v>
          </cell>
          <cell r="C11" t="str">
            <v>2.5mm，单曲</v>
          </cell>
          <cell r="D11" t="str">
            <v>m2</v>
          </cell>
          <cell r="E11">
            <v>295</v>
          </cell>
          <cell r="F11" t="str">
            <v>肇庆鑫盈，氟碳三涂</v>
          </cell>
        </row>
        <row r="12">
          <cell r="B12" t="str">
            <v>3.0mm双面氟碳喷涂穿孔铝单板1</v>
          </cell>
          <cell r="C12" t="str">
            <v>3.0mm，双面氟碳喷涂</v>
          </cell>
          <cell r="D12" t="str">
            <v>m2</v>
          </cell>
          <cell r="E12">
            <v>350</v>
          </cell>
          <cell r="F12" t="str">
            <v>肇庆鑫盈，氟碳三涂</v>
          </cell>
        </row>
        <row r="13">
          <cell r="B13" t="str">
            <v>3.0mm双面氟碳喷涂穿孔铝单板2</v>
          </cell>
          <cell r="C13" t="str">
            <v>3.0mm，双面氟碳喷涂</v>
          </cell>
          <cell r="D13" t="str">
            <v>m2</v>
          </cell>
          <cell r="E13">
            <v>350</v>
          </cell>
          <cell r="F13" t="str">
            <v>肇庆鑫盈，氟碳三涂</v>
          </cell>
        </row>
        <row r="14">
          <cell r="B14" t="str">
            <v>100*20*2铝方通-表面氟碳喷涂</v>
          </cell>
          <cell r="C14" t="str">
            <v>100*20*2</v>
          </cell>
          <cell r="D14" t="str">
            <v>kg</v>
          </cell>
          <cell r="E14">
            <v>34</v>
          </cell>
          <cell r="F14" t="str">
            <v>6063-T5    开平红荔</v>
          </cell>
        </row>
        <row r="15">
          <cell r="B15" t="str">
            <v>110*65铝方通-表面氟碳喷涂</v>
          </cell>
          <cell r="C15" t="str">
            <v>110*65</v>
          </cell>
          <cell r="D15" t="str">
            <v>kg</v>
          </cell>
          <cell r="E15">
            <v>34</v>
          </cell>
          <cell r="F15" t="str">
            <v>6063-T5    开平红荔</v>
          </cell>
        </row>
        <row r="16">
          <cell r="B16" t="str">
            <v>65*60铝方通-表面氟碳喷涂</v>
          </cell>
          <cell r="C16" t="str">
            <v>65*60</v>
          </cell>
          <cell r="D16" t="str">
            <v>kg</v>
          </cell>
          <cell r="E16">
            <v>34</v>
          </cell>
          <cell r="F16" t="str">
            <v>6063-T5    开平红荔</v>
          </cell>
        </row>
        <row r="17">
          <cell r="B17" t="str">
            <v>50*20铝方通-表面氟碳喷涂</v>
          </cell>
          <cell r="C17" t="str">
            <v>50*20</v>
          </cell>
          <cell r="D17" t="str">
            <v>kg</v>
          </cell>
          <cell r="E17">
            <v>34</v>
          </cell>
          <cell r="F17" t="str">
            <v>6063-T5    开平红荔</v>
          </cell>
        </row>
        <row r="18">
          <cell r="B18" t="str">
            <v>铝材-表面氟碳喷涂</v>
          </cell>
          <cell r="C18" t="str">
            <v>氟碳喷涂</v>
          </cell>
          <cell r="D18" t="str">
            <v>kg</v>
          </cell>
          <cell r="E18">
            <v>34</v>
          </cell>
          <cell r="F18" t="str">
            <v>6063-T5   开平红荔</v>
          </cell>
        </row>
        <row r="19">
          <cell r="B19" t="str">
            <v>铝材-表面阳极氧化</v>
          </cell>
          <cell r="C19" t="str">
            <v>阳极氧化</v>
          </cell>
          <cell r="D19" t="str">
            <v>kg</v>
          </cell>
          <cell r="E19">
            <v>24.5</v>
          </cell>
          <cell r="F19" t="str">
            <v>6063-T5   开平红荔</v>
          </cell>
        </row>
        <row r="20">
          <cell r="B20" t="str">
            <v>160*80*4钢方通</v>
          </cell>
          <cell r="C20" t="str">
            <v>160*80*4</v>
          </cell>
          <cell r="D20" t="str">
            <v>kg</v>
          </cell>
          <cell r="E20">
            <v>5.8</v>
          </cell>
        </row>
        <row r="21">
          <cell r="B21" t="str">
            <v>80*60*4钢方通</v>
          </cell>
          <cell r="C21" t="str">
            <v>80*60*4</v>
          </cell>
          <cell r="D21" t="str">
            <v>kg</v>
          </cell>
          <cell r="E21">
            <v>5.8</v>
          </cell>
        </row>
        <row r="22">
          <cell r="B22" t="str">
            <v>42*42*1.5钢方通</v>
          </cell>
          <cell r="C22" t="str">
            <v>42*42*1.5</v>
          </cell>
          <cell r="D22" t="str">
            <v>kg</v>
          </cell>
          <cell r="E22">
            <v>5.8</v>
          </cell>
        </row>
        <row r="23">
          <cell r="B23" t="str">
            <v>38*38*1.2钢方通</v>
          </cell>
          <cell r="C23" t="str">
            <v>38*38*1.2</v>
          </cell>
          <cell r="D23" t="str">
            <v>kg</v>
          </cell>
          <cell r="E23">
            <v>5.8</v>
          </cell>
        </row>
        <row r="24">
          <cell r="B24" t="str">
            <v>19*19*1.0钢方通</v>
          </cell>
          <cell r="C24" t="str">
            <v>19*19*1.0</v>
          </cell>
          <cell r="D24" t="str">
            <v>kg</v>
          </cell>
          <cell r="E24">
            <v>5.8</v>
          </cell>
        </row>
        <row r="25">
          <cell r="B25" t="str">
            <v>钢材表面氟碳喷涂</v>
          </cell>
          <cell r="D25" t="str">
            <v>m2</v>
          </cell>
          <cell r="E25">
            <v>90</v>
          </cell>
        </row>
        <row r="26">
          <cell r="B26" t="str">
            <v>190*60*8镀锌连接件（L=100）</v>
          </cell>
          <cell r="C26" t="str">
            <v>L=100</v>
          </cell>
          <cell r="D26" t="str">
            <v>套</v>
          </cell>
          <cell r="E26">
            <v>11.5</v>
          </cell>
        </row>
        <row r="27">
          <cell r="B27" t="str">
            <v>100*60*6镀锌连接件（L=100）</v>
          </cell>
          <cell r="C27" t="str">
            <v>L=100</v>
          </cell>
          <cell r="D27" t="str">
            <v>套</v>
          </cell>
          <cell r="E27">
            <v>5.6</v>
          </cell>
        </row>
        <row r="28">
          <cell r="B28" t="str">
            <v>热镀锌折弯钢芯套</v>
          </cell>
          <cell r="D28" t="str">
            <v>kg</v>
          </cell>
          <cell r="E28">
            <v>7.5</v>
          </cell>
        </row>
        <row r="29">
          <cell r="B29" t="str">
            <v>76*34*4热镀锌钢槽</v>
          </cell>
          <cell r="C29" t="str">
            <v>76*34*4</v>
          </cell>
          <cell r="D29" t="str">
            <v>kg</v>
          </cell>
          <cell r="E29">
            <v>7.5</v>
          </cell>
          <cell r="F29" t="str">
            <v>国产优质、Q235B</v>
          </cell>
        </row>
        <row r="30">
          <cell r="B30" t="str">
            <v>40*40*3热镀锌钢方通</v>
          </cell>
          <cell r="C30" t="str">
            <v>40*40*3</v>
          </cell>
          <cell r="D30" t="str">
            <v>kg</v>
          </cell>
          <cell r="E30">
            <v>7.5</v>
          </cell>
          <cell r="F30" t="str">
            <v>国产优质、Q235B</v>
          </cell>
        </row>
        <row r="31">
          <cell r="B31" t="str">
            <v>L40*4热镀锌角钢</v>
          </cell>
          <cell r="C31" t="str">
            <v>L40*4</v>
          </cell>
          <cell r="D31" t="str">
            <v>kg</v>
          </cell>
          <cell r="E31">
            <v>7.5</v>
          </cell>
          <cell r="F31" t="str">
            <v>国产优质、Q235B</v>
          </cell>
        </row>
        <row r="32">
          <cell r="B32" t="str">
            <v>L50*4热镀锌角钢</v>
          </cell>
          <cell r="C32" t="str">
            <v>L50*4</v>
          </cell>
          <cell r="D32" t="str">
            <v>kg</v>
          </cell>
          <cell r="E32">
            <v>7.5</v>
          </cell>
          <cell r="F32" t="str">
            <v>国产优质、Q235B</v>
          </cell>
        </row>
        <row r="33">
          <cell r="B33" t="str">
            <v>L50*5热镀锌角钢</v>
          </cell>
          <cell r="C33" t="str">
            <v>L50*5</v>
          </cell>
          <cell r="D33" t="str">
            <v>kg</v>
          </cell>
          <cell r="E33">
            <v>7.5</v>
          </cell>
          <cell r="F33" t="str">
            <v>国产优质、Q235B</v>
          </cell>
        </row>
        <row r="34">
          <cell r="B34" t="str">
            <v>300*250*8后置埋件</v>
          </cell>
          <cell r="C34" t="str">
            <v>300*250*8</v>
          </cell>
          <cell r="D34" t="str">
            <v>块</v>
          </cell>
          <cell r="E34">
            <v>52</v>
          </cell>
          <cell r="F34" t="str">
            <v>国产优质、Q235B</v>
          </cell>
        </row>
        <row r="35">
          <cell r="B35" t="str">
            <v>300*200*8后置埋件</v>
          </cell>
          <cell r="C35" t="str">
            <v>300*200*8</v>
          </cell>
          <cell r="D35" t="str">
            <v>块</v>
          </cell>
          <cell r="E35">
            <v>40</v>
          </cell>
          <cell r="F35" t="str">
            <v>国产优质、Q235B</v>
          </cell>
        </row>
        <row r="36">
          <cell r="B36" t="str">
            <v>250*200*8后置埋件</v>
          </cell>
          <cell r="C36" t="str">
            <v>250*200*8</v>
          </cell>
          <cell r="D36" t="str">
            <v>块</v>
          </cell>
          <cell r="E36">
            <v>35</v>
          </cell>
          <cell r="F36" t="str">
            <v>国产优质、Q235B</v>
          </cell>
        </row>
        <row r="37">
          <cell r="B37" t="str">
            <v>200*200*8后置埋件</v>
          </cell>
          <cell r="C37" t="str">
            <v>200*200*8</v>
          </cell>
          <cell r="D37" t="str">
            <v>块</v>
          </cell>
          <cell r="E37">
            <v>30</v>
          </cell>
          <cell r="F37" t="str">
            <v>国产优质、Q235B</v>
          </cell>
        </row>
        <row r="38">
          <cell r="B38" t="str">
            <v>150*250*10后置埋件</v>
          </cell>
          <cell r="C38" t="str">
            <v>150*250*10</v>
          </cell>
          <cell r="D38" t="str">
            <v>块</v>
          </cell>
          <cell r="E38">
            <v>28.5</v>
          </cell>
          <cell r="F38" t="str">
            <v>国产优质、Q235B</v>
          </cell>
        </row>
        <row r="39">
          <cell r="B39" t="str">
            <v>160*80*8后置埋件</v>
          </cell>
          <cell r="C39" t="str">
            <v>160*80*8</v>
          </cell>
          <cell r="D39" t="str">
            <v>块</v>
          </cell>
          <cell r="E39">
            <v>11.4</v>
          </cell>
          <cell r="F39" t="str">
            <v>国产优质、Q235B</v>
          </cell>
        </row>
        <row r="40">
          <cell r="B40" t="str">
            <v>200*80*8后置埋件</v>
          </cell>
          <cell r="C40" t="str">
            <v>200*80*8</v>
          </cell>
          <cell r="D40" t="str">
            <v>块</v>
          </cell>
          <cell r="E40">
            <v>13</v>
          </cell>
          <cell r="F40" t="str">
            <v>国产优质、Q235B</v>
          </cell>
        </row>
        <row r="41">
          <cell r="B41" t="str">
            <v>8mm厚镀锌钢板</v>
          </cell>
          <cell r="C41" t="str">
            <v>8mm厚</v>
          </cell>
          <cell r="D41" t="str">
            <v>kg</v>
          </cell>
          <cell r="E41">
            <v>7.5</v>
          </cell>
          <cell r="F41" t="str">
            <v>国产优质、Q235B</v>
          </cell>
        </row>
        <row r="42">
          <cell r="B42" t="str">
            <v>10mm厚镀锌钢板</v>
          </cell>
          <cell r="C42" t="str">
            <v>10mm厚</v>
          </cell>
          <cell r="D42" t="str">
            <v>kg</v>
          </cell>
          <cell r="E42">
            <v>7.5</v>
          </cell>
          <cell r="F42" t="str">
            <v>国产优质、Q235B</v>
          </cell>
        </row>
        <row r="43">
          <cell r="B43" t="str">
            <v>1000*90*12不锈钢立柱</v>
          </cell>
          <cell r="C43" t="str">
            <v>1000*90*12</v>
          </cell>
          <cell r="D43" t="str">
            <v>kg</v>
          </cell>
          <cell r="E43">
            <v>43.5</v>
          </cell>
          <cell r="F43" t="str">
            <v xml:space="preserve">按业主指定品牌    </v>
          </cell>
        </row>
        <row r="44">
          <cell r="B44" t="str">
            <v>∅51x1.2拉丝不锈钢圆管</v>
          </cell>
          <cell r="C44" t="str">
            <v>∅51x1.2</v>
          </cell>
          <cell r="D44" t="str">
            <v>m</v>
          </cell>
          <cell r="E44">
            <v>80</v>
          </cell>
          <cell r="F44" t="str">
            <v xml:space="preserve">按业主指定品牌    </v>
          </cell>
        </row>
        <row r="45">
          <cell r="B45" t="str">
            <v>∅24不锈钢二爪转接件（弯弧）(上）</v>
          </cell>
          <cell r="C45" t="str">
            <v>∅24，160系列</v>
          </cell>
          <cell r="D45" t="str">
            <v>根</v>
          </cell>
          <cell r="E45">
            <v>96</v>
          </cell>
          <cell r="F45" t="str">
            <v xml:space="preserve">按业主指定品牌    </v>
          </cell>
        </row>
        <row r="46">
          <cell r="B46" t="str">
            <v>∅24不锈钢一爪转接件（弯弧）(上）</v>
          </cell>
          <cell r="C46" t="str">
            <v>∅24，160系列</v>
          </cell>
          <cell r="D46" t="str">
            <v>根</v>
          </cell>
          <cell r="E46">
            <v>96</v>
          </cell>
          <cell r="F46" t="str">
            <v xml:space="preserve">按业主指定品牌    </v>
          </cell>
        </row>
        <row r="47">
          <cell r="B47" t="str">
            <v>∅24不锈钢一爪转接件（中）</v>
          </cell>
          <cell r="C47" t="str">
            <v>∅24，160系列</v>
          </cell>
          <cell r="D47" t="str">
            <v>根</v>
          </cell>
          <cell r="E47">
            <v>45</v>
          </cell>
          <cell r="F47" t="str">
            <v xml:space="preserve">按业主指定品牌    </v>
          </cell>
        </row>
        <row r="48">
          <cell r="B48" t="str">
            <v>∅24不锈钢二爪转接件（中)</v>
          </cell>
          <cell r="C48" t="str">
            <v>∅24，160系列</v>
          </cell>
          <cell r="D48" t="str">
            <v>根</v>
          </cell>
          <cell r="E48">
            <v>45</v>
          </cell>
          <cell r="F48" t="str">
            <v xml:space="preserve">按业主指定品牌    </v>
          </cell>
        </row>
        <row r="49">
          <cell r="B49" t="str">
            <v>∅24不锈钢一爪转接件（下)</v>
          </cell>
          <cell r="C49" t="str">
            <v>∅24，160系列</v>
          </cell>
          <cell r="D49" t="str">
            <v>根</v>
          </cell>
          <cell r="E49">
            <v>38</v>
          </cell>
          <cell r="F49" t="str">
            <v xml:space="preserve">按业主指定品牌    </v>
          </cell>
        </row>
        <row r="50">
          <cell r="B50" t="str">
            <v>∅36不锈钢连接件</v>
          </cell>
          <cell r="C50" t="str">
            <v>∅36</v>
          </cell>
          <cell r="D50" t="str">
            <v>根</v>
          </cell>
          <cell r="E50">
            <v>42</v>
          </cell>
          <cell r="F50" t="str">
            <v xml:space="preserve">按业主指定品牌    </v>
          </cell>
        </row>
        <row r="51">
          <cell r="B51" t="str">
            <v>不锈钢驳接件（二爪）180度</v>
          </cell>
          <cell r="C51" t="str">
            <v>160系列</v>
          </cell>
          <cell r="D51" t="str">
            <v>套</v>
          </cell>
          <cell r="E51">
            <v>80</v>
          </cell>
          <cell r="F51" t="str">
            <v xml:space="preserve">按业主指定品牌    </v>
          </cell>
        </row>
        <row r="52">
          <cell r="B52" t="str">
            <v>不锈钢驳接件（二爪）90度</v>
          </cell>
          <cell r="C52" t="str">
            <v>160系列</v>
          </cell>
          <cell r="D52" t="str">
            <v>套</v>
          </cell>
          <cell r="E52">
            <v>80</v>
          </cell>
          <cell r="F52" t="str">
            <v xml:space="preserve">按业主指定品牌    </v>
          </cell>
        </row>
        <row r="53">
          <cell r="B53" t="str">
            <v>不锈钢驳接件（一爪）</v>
          </cell>
          <cell r="C53" t="str">
            <v>160系列</v>
          </cell>
          <cell r="D53" t="str">
            <v>套</v>
          </cell>
          <cell r="E53">
            <v>46</v>
          </cell>
          <cell r="F53" t="str">
            <v xml:space="preserve">按业主指定品牌    </v>
          </cell>
        </row>
        <row r="54">
          <cell r="B54" t="str">
            <v>硅酮耐候密封胶（500ml/支）</v>
          </cell>
          <cell r="C54" t="str">
            <v>500ml/支</v>
          </cell>
          <cell r="D54" t="str">
            <v>支</v>
          </cell>
          <cell r="E54">
            <v>24</v>
          </cell>
          <cell r="F54" t="str">
            <v>广州白云</v>
          </cell>
        </row>
        <row r="55">
          <cell r="B55" t="str">
            <v>双组份硅酮结构胶</v>
          </cell>
          <cell r="D55" t="str">
            <v>L</v>
          </cell>
          <cell r="E55">
            <v>46</v>
          </cell>
          <cell r="F55" t="str">
            <v>广州白云</v>
          </cell>
        </row>
        <row r="56">
          <cell r="B56" t="str">
            <v>密封胶条</v>
          </cell>
          <cell r="D56" t="str">
            <v>m</v>
          </cell>
          <cell r="E56">
            <v>1</v>
          </cell>
          <cell r="F56" t="str">
            <v>国产优质</v>
          </cell>
        </row>
        <row r="57">
          <cell r="B57" t="str">
            <v>M10沉头不锈钢螺栓</v>
          </cell>
          <cell r="C57" t="str">
            <v>M10</v>
          </cell>
          <cell r="D57" t="str">
            <v>套</v>
          </cell>
          <cell r="E57">
            <v>2</v>
          </cell>
          <cell r="F57" t="str">
            <v>国产优质</v>
          </cell>
        </row>
        <row r="58">
          <cell r="B58" t="str">
            <v>M10不锈钢对穿螺栓</v>
          </cell>
          <cell r="C58" t="str">
            <v>M10</v>
          </cell>
          <cell r="D58" t="str">
            <v>套</v>
          </cell>
          <cell r="E58">
            <v>2.5</v>
          </cell>
          <cell r="F58" t="str">
            <v>国产优质</v>
          </cell>
        </row>
        <row r="59">
          <cell r="B59" t="str">
            <v>M12不锈钢对穿螺栓</v>
          </cell>
          <cell r="C59" t="str">
            <v>M12</v>
          </cell>
          <cell r="D59" t="str">
            <v>套</v>
          </cell>
          <cell r="E59">
            <v>3.2</v>
          </cell>
          <cell r="F59" t="str">
            <v>国产优质</v>
          </cell>
        </row>
        <row r="60">
          <cell r="B60" t="str">
            <v>M10x50不锈钢螺栓</v>
          </cell>
          <cell r="C60" t="str">
            <v>M10x50</v>
          </cell>
          <cell r="D60" t="str">
            <v>套</v>
          </cell>
          <cell r="E60">
            <v>3.8</v>
          </cell>
          <cell r="F60" t="str">
            <v>国产</v>
          </cell>
        </row>
        <row r="61">
          <cell r="B61" t="str">
            <v>M8x60不锈钢螺栓</v>
          </cell>
          <cell r="C61" t="str">
            <v>M8x60</v>
          </cell>
          <cell r="D61" t="str">
            <v>套</v>
          </cell>
          <cell r="E61">
            <v>1.7</v>
          </cell>
          <cell r="F61" t="str">
            <v>国产</v>
          </cell>
        </row>
        <row r="62">
          <cell r="B62" t="str">
            <v>M12x130不锈钢螺栓</v>
          </cell>
          <cell r="C62" t="str">
            <v>M12x130</v>
          </cell>
          <cell r="D62" t="str">
            <v>套</v>
          </cell>
          <cell r="E62">
            <v>3.95</v>
          </cell>
          <cell r="F62" t="str">
            <v>国产</v>
          </cell>
        </row>
        <row r="63">
          <cell r="B63" t="str">
            <v>M6x40不锈钢螺栓</v>
          </cell>
          <cell r="C63" t="str">
            <v>M6x40</v>
          </cell>
          <cell r="D63" t="str">
            <v>套</v>
          </cell>
          <cell r="E63">
            <v>1</v>
          </cell>
          <cell r="F63" t="str">
            <v>国产</v>
          </cell>
        </row>
        <row r="64">
          <cell r="B64" t="str">
            <v>M12*160化学锚栓</v>
          </cell>
          <cell r="C64" t="str">
            <v>M12*160</v>
          </cell>
          <cell r="D64" t="str">
            <v>套</v>
          </cell>
          <cell r="E64">
            <v>3.5</v>
          </cell>
          <cell r="F64" t="str">
            <v>国产</v>
          </cell>
        </row>
        <row r="65">
          <cell r="B65" t="str">
            <v>M12*120化学锚栓</v>
          </cell>
          <cell r="C65" t="str">
            <v>M12*120</v>
          </cell>
          <cell r="D65" t="str">
            <v>套</v>
          </cell>
          <cell r="E65">
            <v>3.15</v>
          </cell>
          <cell r="F65" t="str">
            <v>国产</v>
          </cell>
        </row>
        <row r="66">
          <cell r="B66" t="str">
            <v>M20x340化学螺栓</v>
          </cell>
          <cell r="C66" t="str">
            <v>M20x340</v>
          </cell>
          <cell r="D66" t="str">
            <v>套</v>
          </cell>
          <cell r="E66">
            <v>6.5</v>
          </cell>
          <cell r="F66" t="str">
            <v>国产</v>
          </cell>
        </row>
        <row r="67">
          <cell r="B67" t="str">
            <v>M8x120化学螺栓</v>
          </cell>
          <cell r="C67" t="str">
            <v>M8x120</v>
          </cell>
          <cell r="D67" t="str">
            <v>套</v>
          </cell>
          <cell r="E67">
            <v>2.5</v>
          </cell>
          <cell r="F67" t="str">
            <v>国产</v>
          </cell>
        </row>
        <row r="68">
          <cell r="B68" t="str">
            <v>铝合金挂槽</v>
          </cell>
          <cell r="D68" t="str">
            <v>套</v>
          </cell>
          <cell r="E68">
            <v>0.4</v>
          </cell>
        </row>
        <row r="69">
          <cell r="B69" t="str">
            <v>40*40*5镀锌垫片</v>
          </cell>
          <cell r="C69" t="str">
            <v>40*40*5</v>
          </cell>
          <cell r="D69" t="str">
            <v>块</v>
          </cell>
          <cell r="E69">
            <v>0.5</v>
          </cell>
        </row>
        <row r="70">
          <cell r="B70" t="str">
            <v>自攻螺钉</v>
          </cell>
          <cell r="D70" t="str">
            <v>颗</v>
          </cell>
          <cell r="E70">
            <v>0.08</v>
          </cell>
        </row>
        <row r="71">
          <cell r="B71" t="str">
            <v>夹胶玻璃钻孔费</v>
          </cell>
          <cell r="D71" t="str">
            <v>个</v>
          </cell>
          <cell r="E71">
            <v>8</v>
          </cell>
        </row>
        <row r="72">
          <cell r="B72" t="str">
            <v>不锈钢管拉弯费</v>
          </cell>
          <cell r="D72" t="str">
            <v>m</v>
          </cell>
          <cell r="E72">
            <v>20</v>
          </cell>
        </row>
        <row r="73">
          <cell r="B73" t="str">
            <v>角钢拉弯费</v>
          </cell>
          <cell r="D73" t="str">
            <v>m</v>
          </cell>
          <cell r="E73">
            <v>5</v>
          </cell>
        </row>
        <row r="74">
          <cell r="B74" t="str">
            <v>防雷处理</v>
          </cell>
          <cell r="D74" t="str">
            <v>项</v>
          </cell>
          <cell r="E74">
            <v>3</v>
          </cell>
        </row>
        <row r="75">
          <cell r="B75" t="str">
            <v>其他材料</v>
          </cell>
          <cell r="D75" t="str">
            <v>项</v>
          </cell>
          <cell r="E75">
            <v>5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说明"/>
      <sheetName val="投标总价"/>
      <sheetName val="单位工程费用汇总表"/>
      <sheetName val="工程量清单"/>
      <sheetName val="分析表"/>
      <sheetName val="材料表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B4" t="str">
            <v>8+1.14pvb+8双钢化夹胶镀膜玻璃</v>
          </cell>
          <cell r="C4" t="str">
            <v>8+1.14pvb+8</v>
          </cell>
          <cell r="D4" t="str">
            <v>m2</v>
          </cell>
          <cell r="E4">
            <v>310</v>
          </cell>
          <cell r="F4">
            <v>316</v>
          </cell>
          <cell r="G4" t="str">
            <v>南玻镀膜原片（首诺胶片）</v>
          </cell>
        </row>
        <row r="5">
          <cell r="B5" t="str">
            <v>8+1.52pvb+8双钢化夹胶镀膜玻璃</v>
          </cell>
          <cell r="C5" t="str">
            <v>8+1.52pvb+8</v>
          </cell>
          <cell r="D5" t="str">
            <v>m2</v>
          </cell>
          <cell r="E5">
            <v>340</v>
          </cell>
          <cell r="F5">
            <v>346</v>
          </cell>
          <cell r="G5" t="str">
            <v>南玻镀膜原片（首诺胶片）</v>
          </cell>
        </row>
        <row r="6">
          <cell r="B6" t="str">
            <v>8+1.14pvb+8双钢化夹胶镀膜弯弧玻璃</v>
          </cell>
          <cell r="C6" t="str">
            <v>8+1.14pvb+8</v>
          </cell>
          <cell r="D6" t="str">
            <v>m2</v>
          </cell>
          <cell r="E6">
            <v>440</v>
          </cell>
          <cell r="F6">
            <v>416</v>
          </cell>
          <cell r="G6" t="str">
            <v>南玻镀膜原片（首诺胶片）</v>
          </cell>
        </row>
        <row r="7">
          <cell r="B7" t="str">
            <v>8+1.52pvb+8双钢化夹胶镀膜弯弧玻璃</v>
          </cell>
          <cell r="C7" t="str">
            <v>8+1.52pvb+8</v>
          </cell>
          <cell r="D7" t="str">
            <v>m2</v>
          </cell>
          <cell r="E7">
            <v>470</v>
          </cell>
          <cell r="F7">
            <v>446</v>
          </cell>
          <cell r="G7" t="str">
            <v>南玻镀膜原片（首诺胶片）</v>
          </cell>
        </row>
        <row r="8">
          <cell r="B8" t="str">
            <v>10mm钢化镀膜玻璃</v>
          </cell>
          <cell r="C8" t="str">
            <v>10mm</v>
          </cell>
          <cell r="D8" t="str">
            <v>m2</v>
          </cell>
          <cell r="E8">
            <v>150</v>
          </cell>
          <cell r="F8">
            <v>150</v>
          </cell>
          <cell r="G8" t="str">
            <v>南玻镀膜原片（首诺胶片）</v>
          </cell>
        </row>
        <row r="9">
          <cell r="B9" t="str">
            <v>2mm氟碳喷涂铝单板</v>
          </cell>
          <cell r="C9" t="str">
            <v>2mm</v>
          </cell>
          <cell r="D9" t="str">
            <v>m2</v>
          </cell>
          <cell r="E9">
            <v>230</v>
          </cell>
          <cell r="F9">
            <v>218</v>
          </cell>
          <cell r="G9" t="str">
            <v>肇庆鑫盈，氟碳三涂</v>
          </cell>
        </row>
        <row r="10">
          <cell r="B10" t="str">
            <v>2.5mm氟碳喷涂铝单板</v>
          </cell>
          <cell r="C10" t="str">
            <v>2.5mm</v>
          </cell>
          <cell r="D10" t="str">
            <v>m2</v>
          </cell>
          <cell r="E10">
            <v>265</v>
          </cell>
          <cell r="F10">
            <v>248</v>
          </cell>
          <cell r="G10" t="str">
            <v>肇庆鑫盈，氟碳三涂</v>
          </cell>
        </row>
        <row r="11">
          <cell r="B11" t="str">
            <v>2.5mm氟碳喷涂铝单板（单曲）</v>
          </cell>
          <cell r="C11" t="str">
            <v>2.5mm，单曲</v>
          </cell>
          <cell r="D11" t="str">
            <v>m2</v>
          </cell>
          <cell r="E11">
            <v>280</v>
          </cell>
          <cell r="F11">
            <v>265</v>
          </cell>
          <cell r="G11" t="str">
            <v>肇庆鑫盈，氟碳三涂</v>
          </cell>
        </row>
        <row r="12">
          <cell r="B12" t="str">
            <v>3.0mm双面氟碳喷涂穿孔铝单板1</v>
          </cell>
          <cell r="C12" t="str">
            <v>3.0mm，双面氟碳喷涂</v>
          </cell>
          <cell r="D12" t="str">
            <v>m2</v>
          </cell>
          <cell r="E12">
            <v>320</v>
          </cell>
          <cell r="F12">
            <v>338</v>
          </cell>
          <cell r="G12" t="str">
            <v>肇庆鑫盈，氟碳三涂</v>
          </cell>
        </row>
        <row r="13">
          <cell r="B13" t="str">
            <v>3.0mm双面氟碳喷涂穿孔铝单板2</v>
          </cell>
          <cell r="C13" t="str">
            <v>3.0mm，双面氟碳喷涂</v>
          </cell>
          <cell r="D13" t="str">
            <v>m2</v>
          </cell>
          <cell r="E13">
            <v>320</v>
          </cell>
          <cell r="F13">
            <v>338</v>
          </cell>
          <cell r="G13" t="str">
            <v>肇庆鑫盈，氟碳三涂</v>
          </cell>
        </row>
        <row r="14">
          <cell r="B14" t="str">
            <v>100*20*2铝方通-表面氟碳喷涂</v>
          </cell>
          <cell r="C14" t="str">
            <v>100*20*2</v>
          </cell>
          <cell r="D14" t="str">
            <v>kg</v>
          </cell>
          <cell r="E14">
            <v>33.5</v>
          </cell>
          <cell r="F14">
            <v>33.5</v>
          </cell>
          <cell r="G14" t="str">
            <v>6063-T5    开平红荔</v>
          </cell>
        </row>
        <row r="15">
          <cell r="B15" t="str">
            <v>110*65铝方通-表面氟碳喷涂</v>
          </cell>
          <cell r="C15" t="str">
            <v>110*65</v>
          </cell>
          <cell r="D15" t="str">
            <v>kg</v>
          </cell>
          <cell r="E15">
            <v>33.5</v>
          </cell>
          <cell r="F15">
            <v>33.5</v>
          </cell>
          <cell r="G15" t="str">
            <v>6063-T5    开平红荔</v>
          </cell>
        </row>
        <row r="16">
          <cell r="B16" t="str">
            <v>65*60铝方通-表面氟碳喷涂</v>
          </cell>
          <cell r="C16" t="str">
            <v>65*60</v>
          </cell>
          <cell r="D16" t="str">
            <v>kg</v>
          </cell>
          <cell r="E16">
            <v>33.5</v>
          </cell>
          <cell r="F16">
            <v>33.5</v>
          </cell>
          <cell r="G16" t="str">
            <v>6063-T5    开平红荔</v>
          </cell>
        </row>
        <row r="17">
          <cell r="B17" t="str">
            <v>50*20铝方通-表面氟碳喷涂</v>
          </cell>
          <cell r="C17" t="str">
            <v>50*20</v>
          </cell>
          <cell r="D17" t="str">
            <v>kg</v>
          </cell>
          <cell r="E17">
            <v>33.5</v>
          </cell>
          <cell r="F17">
            <v>33.5</v>
          </cell>
          <cell r="G17" t="str">
            <v>6063-T5    开平红荔</v>
          </cell>
        </row>
        <row r="18">
          <cell r="B18" t="str">
            <v>铝材-表面氟碳喷涂</v>
          </cell>
          <cell r="C18" t="str">
            <v>氟碳喷涂</v>
          </cell>
          <cell r="D18" t="str">
            <v>kg</v>
          </cell>
          <cell r="E18">
            <v>33.5</v>
          </cell>
          <cell r="F18">
            <v>33.5</v>
          </cell>
          <cell r="G18" t="str">
            <v>6063-T5   开平红荔</v>
          </cell>
        </row>
        <row r="19">
          <cell r="B19" t="str">
            <v>铝合金型材扶手，表面氟碳喷涂</v>
          </cell>
          <cell r="C19" t="str">
            <v>氟碳喷涂</v>
          </cell>
          <cell r="D19" t="str">
            <v>kg</v>
          </cell>
          <cell r="E19">
            <v>33.5</v>
          </cell>
          <cell r="F19">
            <v>33.5</v>
          </cell>
          <cell r="G19" t="str">
            <v>6063-T5   开平红荔</v>
          </cell>
        </row>
        <row r="20">
          <cell r="B20" t="str">
            <v>铝合金型材立柱，表面氟碳喷涂</v>
          </cell>
          <cell r="C20" t="str">
            <v>氟碳喷涂</v>
          </cell>
          <cell r="D20" t="str">
            <v>kg</v>
          </cell>
          <cell r="E20">
            <v>33.5</v>
          </cell>
          <cell r="F20">
            <v>33.5</v>
          </cell>
          <cell r="G20" t="str">
            <v>6063-T5   开平红荔</v>
          </cell>
        </row>
        <row r="21">
          <cell r="B21" t="str">
            <v>铝合金型材横梁，表面氟碳喷涂</v>
          </cell>
          <cell r="C21" t="str">
            <v>氟碳喷涂</v>
          </cell>
          <cell r="D21" t="str">
            <v>kg</v>
          </cell>
          <cell r="E21">
            <v>33.5</v>
          </cell>
          <cell r="F21">
            <v>33.5</v>
          </cell>
          <cell r="G21" t="str">
            <v>6063-T5   开平红荔</v>
          </cell>
        </row>
        <row r="22">
          <cell r="B22" t="str">
            <v>铝合金型材盖板，表面氟碳喷涂</v>
          </cell>
          <cell r="C22" t="str">
            <v>氟碳喷涂</v>
          </cell>
          <cell r="D22" t="str">
            <v>kg</v>
          </cell>
          <cell r="E22">
            <v>33.5</v>
          </cell>
          <cell r="F22">
            <v>33.5</v>
          </cell>
          <cell r="G22" t="str">
            <v>6063-T5   开平红荔</v>
          </cell>
        </row>
        <row r="23">
          <cell r="B23" t="str">
            <v>铝材-表面阳极氧化</v>
          </cell>
          <cell r="C23" t="str">
            <v>阳极氧化</v>
          </cell>
          <cell r="D23" t="str">
            <v>kg</v>
          </cell>
          <cell r="E23">
            <v>22.5</v>
          </cell>
          <cell r="F23">
            <v>22.2</v>
          </cell>
          <cell r="G23" t="str">
            <v>6063-T5   开平红荔</v>
          </cell>
        </row>
        <row r="24">
          <cell r="B24" t="str">
            <v>铝材加强筋-表面阳极氧化</v>
          </cell>
          <cell r="C24" t="str">
            <v>阳极氧化</v>
          </cell>
          <cell r="D24" t="str">
            <v>kg</v>
          </cell>
          <cell r="E24">
            <v>22.5</v>
          </cell>
          <cell r="F24">
            <v>22.2</v>
          </cell>
          <cell r="G24" t="str">
            <v>6063-T5   开平红荔</v>
          </cell>
        </row>
        <row r="25">
          <cell r="B25" t="str">
            <v>160*80*4钢方通</v>
          </cell>
          <cell r="C25" t="str">
            <v>160*80*4</v>
          </cell>
          <cell r="D25" t="str">
            <v>kg</v>
          </cell>
          <cell r="E25">
            <v>5.8</v>
          </cell>
          <cell r="F25">
            <v>5.8</v>
          </cell>
        </row>
        <row r="26">
          <cell r="B26" t="str">
            <v>80*60*4钢方通</v>
          </cell>
          <cell r="C26" t="str">
            <v>80*60*4</v>
          </cell>
          <cell r="D26" t="str">
            <v>kg</v>
          </cell>
          <cell r="E26">
            <v>5.8</v>
          </cell>
          <cell r="F26">
            <v>5.8</v>
          </cell>
        </row>
        <row r="27">
          <cell r="B27" t="str">
            <v>42*42*1.5钢方通</v>
          </cell>
          <cell r="C27" t="str">
            <v>42*42*1.5</v>
          </cell>
          <cell r="D27" t="str">
            <v>kg</v>
          </cell>
          <cell r="E27">
            <v>5.8</v>
          </cell>
          <cell r="F27">
            <v>5.8</v>
          </cell>
        </row>
        <row r="28">
          <cell r="B28" t="str">
            <v>38*38*1.2钢方通</v>
          </cell>
          <cell r="C28" t="str">
            <v>38*38*1.2</v>
          </cell>
          <cell r="D28" t="str">
            <v>kg</v>
          </cell>
          <cell r="E28">
            <v>5.8</v>
          </cell>
          <cell r="F28">
            <v>5.8</v>
          </cell>
        </row>
        <row r="29">
          <cell r="B29" t="str">
            <v>19*19*1.0钢方通</v>
          </cell>
          <cell r="C29" t="str">
            <v>19*19*1.0</v>
          </cell>
          <cell r="D29" t="str">
            <v>kg</v>
          </cell>
          <cell r="E29">
            <v>5.8</v>
          </cell>
          <cell r="F29">
            <v>5.8</v>
          </cell>
        </row>
        <row r="30">
          <cell r="B30" t="str">
            <v>钢材表面氟碳喷涂</v>
          </cell>
          <cell r="D30" t="str">
            <v>m2</v>
          </cell>
          <cell r="E30">
            <v>90</v>
          </cell>
          <cell r="F30">
            <v>90</v>
          </cell>
        </row>
        <row r="31">
          <cell r="B31" t="str">
            <v>190*60*8镀锌连接件（L=100）</v>
          </cell>
          <cell r="C31" t="str">
            <v>L=100</v>
          </cell>
          <cell r="D31" t="str">
            <v>套</v>
          </cell>
          <cell r="E31">
            <v>11.5</v>
          </cell>
          <cell r="F31">
            <v>11.5</v>
          </cell>
        </row>
        <row r="32">
          <cell r="B32" t="str">
            <v>100*60*6镀锌连接件（L=100）</v>
          </cell>
          <cell r="C32" t="str">
            <v>L=100</v>
          </cell>
          <cell r="D32" t="str">
            <v>套</v>
          </cell>
          <cell r="E32">
            <v>5.6</v>
          </cell>
          <cell r="F32">
            <v>5.6</v>
          </cell>
        </row>
        <row r="33">
          <cell r="B33" t="str">
            <v>热镀锌折弯钢芯套</v>
          </cell>
          <cell r="D33" t="str">
            <v>kg</v>
          </cell>
          <cell r="E33">
            <v>7.5</v>
          </cell>
          <cell r="F33">
            <v>6.5</v>
          </cell>
        </row>
        <row r="34">
          <cell r="B34" t="str">
            <v>76*34*4热镀锌钢槽</v>
          </cell>
          <cell r="C34" t="str">
            <v>76*34*4</v>
          </cell>
          <cell r="D34" t="str">
            <v>kg</v>
          </cell>
          <cell r="E34">
            <v>7.5</v>
          </cell>
          <cell r="F34">
            <v>6.5</v>
          </cell>
          <cell r="G34" t="str">
            <v>国产优质、Q235B</v>
          </cell>
        </row>
        <row r="35">
          <cell r="B35" t="str">
            <v>40*40*3热镀锌钢方通</v>
          </cell>
          <cell r="C35" t="str">
            <v>40*40*3</v>
          </cell>
          <cell r="D35" t="str">
            <v>kg</v>
          </cell>
          <cell r="E35">
            <v>7.5</v>
          </cell>
          <cell r="F35">
            <v>6.5</v>
          </cell>
          <cell r="G35" t="str">
            <v>国产优质、Q235B</v>
          </cell>
        </row>
        <row r="36">
          <cell r="B36" t="str">
            <v>L40*4热镀锌角钢</v>
          </cell>
          <cell r="C36" t="str">
            <v>L40*4</v>
          </cell>
          <cell r="D36" t="str">
            <v>kg</v>
          </cell>
          <cell r="E36">
            <v>7.5</v>
          </cell>
          <cell r="F36">
            <v>6.5</v>
          </cell>
          <cell r="G36" t="str">
            <v>国产优质、Q235B</v>
          </cell>
        </row>
        <row r="37">
          <cell r="B37" t="str">
            <v>L50*4热镀锌角钢</v>
          </cell>
          <cell r="C37" t="str">
            <v>L50*4</v>
          </cell>
          <cell r="D37" t="str">
            <v>kg</v>
          </cell>
          <cell r="E37">
            <v>7.5</v>
          </cell>
          <cell r="F37">
            <v>6.5</v>
          </cell>
          <cell r="G37" t="str">
            <v>国产优质、Q235B</v>
          </cell>
        </row>
        <row r="38">
          <cell r="B38" t="str">
            <v>L50*5热镀锌角钢</v>
          </cell>
          <cell r="C38" t="str">
            <v>L50*5</v>
          </cell>
          <cell r="D38" t="str">
            <v>kg</v>
          </cell>
          <cell r="E38">
            <v>7.5</v>
          </cell>
          <cell r="F38">
            <v>6.5</v>
          </cell>
          <cell r="G38" t="str">
            <v>国产优质、Q235B</v>
          </cell>
        </row>
        <row r="39">
          <cell r="B39" t="str">
            <v>300*250*8后置埋件</v>
          </cell>
          <cell r="C39" t="str">
            <v>300*250*8</v>
          </cell>
          <cell r="D39" t="str">
            <v>块</v>
          </cell>
          <cell r="E39">
            <v>35.35</v>
          </cell>
          <cell r="F39">
            <v>30.61</v>
          </cell>
          <cell r="G39" t="str">
            <v>国产优质、Q235B</v>
          </cell>
        </row>
        <row r="40">
          <cell r="B40" t="str">
            <v>300*200*8后置埋件</v>
          </cell>
          <cell r="C40" t="str">
            <v>300*200*8</v>
          </cell>
          <cell r="D40" t="str">
            <v>块</v>
          </cell>
          <cell r="E40">
            <v>28.3</v>
          </cell>
          <cell r="F40">
            <v>24.53</v>
          </cell>
          <cell r="G40" t="str">
            <v>国产优质、Q235B</v>
          </cell>
        </row>
        <row r="41">
          <cell r="B41" t="str">
            <v>250*200*8后置埋件</v>
          </cell>
          <cell r="C41" t="str">
            <v>250*200*8</v>
          </cell>
          <cell r="D41" t="str">
            <v>块</v>
          </cell>
          <cell r="E41">
            <v>23.6</v>
          </cell>
          <cell r="F41">
            <v>20.45</v>
          </cell>
          <cell r="G41" t="str">
            <v>国产优质、Q235B</v>
          </cell>
        </row>
        <row r="42">
          <cell r="B42" t="str">
            <v>200*200*8后置埋件</v>
          </cell>
          <cell r="C42" t="str">
            <v>200*200*8</v>
          </cell>
          <cell r="D42" t="str">
            <v>块</v>
          </cell>
          <cell r="E42">
            <v>18.8</v>
          </cell>
          <cell r="F42">
            <v>16.29</v>
          </cell>
          <cell r="G42" t="str">
            <v>国产优质、Q235B</v>
          </cell>
        </row>
        <row r="43">
          <cell r="B43" t="str">
            <v>150*250*10后置埋件</v>
          </cell>
          <cell r="C43" t="str">
            <v>150*250*10</v>
          </cell>
          <cell r="D43" t="str">
            <v>块</v>
          </cell>
          <cell r="E43">
            <v>22.1</v>
          </cell>
          <cell r="F43">
            <v>19.149999999999999</v>
          </cell>
          <cell r="G43" t="str">
            <v>国产优质、Q235B</v>
          </cell>
        </row>
        <row r="44">
          <cell r="B44" t="str">
            <v>160*80*8后置埋件</v>
          </cell>
          <cell r="C44" t="str">
            <v>160*80*8</v>
          </cell>
          <cell r="D44" t="str">
            <v>块</v>
          </cell>
          <cell r="E44">
            <v>6</v>
          </cell>
          <cell r="F44">
            <v>5.2</v>
          </cell>
          <cell r="G44" t="str">
            <v>国产优质、Q235B</v>
          </cell>
        </row>
        <row r="45">
          <cell r="B45" t="str">
            <v>200*80*8后置埋件</v>
          </cell>
          <cell r="C45" t="str">
            <v>200*80*8</v>
          </cell>
          <cell r="D45" t="str">
            <v>块</v>
          </cell>
          <cell r="E45">
            <v>7.5</v>
          </cell>
          <cell r="F45">
            <v>6.5</v>
          </cell>
          <cell r="G45" t="str">
            <v>国产优质、Q235B</v>
          </cell>
        </row>
        <row r="46">
          <cell r="B46" t="str">
            <v>8mm厚镀锌钢板</v>
          </cell>
          <cell r="C46" t="str">
            <v>8mm厚</v>
          </cell>
          <cell r="D46" t="str">
            <v>kg</v>
          </cell>
          <cell r="E46">
            <v>7.5</v>
          </cell>
          <cell r="F46">
            <v>6.5</v>
          </cell>
          <cell r="G46" t="str">
            <v>国产优质、Q235B</v>
          </cell>
        </row>
        <row r="47">
          <cell r="B47" t="str">
            <v>10mm厚镀锌钢板</v>
          </cell>
          <cell r="C47" t="str">
            <v>10mm厚</v>
          </cell>
          <cell r="D47" t="str">
            <v>kg</v>
          </cell>
          <cell r="E47">
            <v>7.5</v>
          </cell>
          <cell r="F47">
            <v>6.5</v>
          </cell>
          <cell r="G47" t="str">
            <v>国产优质、Q235B</v>
          </cell>
        </row>
        <row r="48">
          <cell r="B48" t="str">
            <v>1000*90*12不锈钢立柱</v>
          </cell>
          <cell r="C48" t="str">
            <v>1000*90*12</v>
          </cell>
          <cell r="D48" t="str">
            <v>kg</v>
          </cell>
          <cell r="E48">
            <v>43</v>
          </cell>
          <cell r="F48">
            <v>38</v>
          </cell>
          <cell r="G48" t="str">
            <v xml:space="preserve">按业主指定品牌    </v>
          </cell>
        </row>
        <row r="49">
          <cell r="B49" t="str">
            <v>∅51x1.2拉丝不锈钢圆管</v>
          </cell>
          <cell r="C49" t="str">
            <v>∅51x1.2</v>
          </cell>
          <cell r="D49" t="str">
            <v>m</v>
          </cell>
          <cell r="E49">
            <v>75</v>
          </cell>
          <cell r="F49">
            <v>56</v>
          </cell>
          <cell r="G49" t="str">
            <v xml:space="preserve">按业主指定品牌    </v>
          </cell>
        </row>
        <row r="50">
          <cell r="B50" t="str">
            <v>∅24不锈钢二爪转接件（弯弧）(上）</v>
          </cell>
          <cell r="C50" t="str">
            <v>∅24，160系列</v>
          </cell>
          <cell r="D50" t="str">
            <v>根</v>
          </cell>
          <cell r="E50">
            <v>90</v>
          </cell>
          <cell r="F50">
            <v>96</v>
          </cell>
          <cell r="G50" t="str">
            <v xml:space="preserve">按业主指定品牌    </v>
          </cell>
        </row>
        <row r="51">
          <cell r="B51" t="str">
            <v>∅24不锈钢一爪转接件（弯弧）(上）</v>
          </cell>
          <cell r="C51" t="str">
            <v>∅24，160系列</v>
          </cell>
          <cell r="D51" t="str">
            <v>根</v>
          </cell>
          <cell r="E51">
            <v>90</v>
          </cell>
          <cell r="F51">
            <v>96</v>
          </cell>
          <cell r="G51" t="str">
            <v xml:space="preserve">按业主指定品牌    </v>
          </cell>
        </row>
        <row r="52">
          <cell r="B52" t="str">
            <v>∅24不锈钢一爪转接件（中）</v>
          </cell>
          <cell r="C52" t="str">
            <v>∅24，160系列</v>
          </cell>
          <cell r="D52" t="str">
            <v>根</v>
          </cell>
          <cell r="E52">
            <v>42</v>
          </cell>
          <cell r="F52">
            <v>45</v>
          </cell>
          <cell r="G52" t="str">
            <v xml:space="preserve">按业主指定品牌    </v>
          </cell>
        </row>
        <row r="53">
          <cell r="B53" t="str">
            <v>∅24不锈钢二爪转接件（中)</v>
          </cell>
          <cell r="C53" t="str">
            <v>∅24，160系列</v>
          </cell>
          <cell r="D53" t="str">
            <v>根</v>
          </cell>
          <cell r="E53">
            <v>42</v>
          </cell>
          <cell r="F53">
            <v>45</v>
          </cell>
          <cell r="G53" t="str">
            <v xml:space="preserve">按业主指定品牌    </v>
          </cell>
        </row>
        <row r="54">
          <cell r="B54" t="str">
            <v>∅24不锈钢一爪转接件（下)</v>
          </cell>
          <cell r="C54" t="str">
            <v>∅24，160系列</v>
          </cell>
          <cell r="D54" t="str">
            <v>根</v>
          </cell>
          <cell r="E54">
            <v>35</v>
          </cell>
          <cell r="F54">
            <v>38</v>
          </cell>
          <cell r="G54" t="str">
            <v xml:space="preserve">按业主指定品牌    </v>
          </cell>
        </row>
        <row r="55">
          <cell r="B55" t="str">
            <v>∅36不锈钢连接件</v>
          </cell>
          <cell r="C55" t="str">
            <v>∅36</v>
          </cell>
          <cell r="D55" t="str">
            <v>根</v>
          </cell>
          <cell r="E55">
            <v>40</v>
          </cell>
          <cell r="F55">
            <v>42</v>
          </cell>
          <cell r="G55" t="str">
            <v xml:space="preserve">按业主指定品牌    </v>
          </cell>
        </row>
        <row r="56">
          <cell r="B56" t="str">
            <v>不锈钢驳接件（二爪）180度</v>
          </cell>
          <cell r="C56" t="str">
            <v>160系列</v>
          </cell>
          <cell r="D56" t="str">
            <v>套</v>
          </cell>
          <cell r="E56">
            <v>76</v>
          </cell>
          <cell r="F56">
            <v>80</v>
          </cell>
          <cell r="G56" t="str">
            <v xml:space="preserve">按业主指定品牌    </v>
          </cell>
        </row>
        <row r="57">
          <cell r="B57" t="str">
            <v>不锈钢驳接件（二爪）90度</v>
          </cell>
          <cell r="C57" t="str">
            <v>160系列</v>
          </cell>
          <cell r="D57" t="str">
            <v>套</v>
          </cell>
          <cell r="E57">
            <v>76</v>
          </cell>
          <cell r="F57">
            <v>80</v>
          </cell>
          <cell r="G57" t="str">
            <v xml:space="preserve">按业主指定品牌    </v>
          </cell>
        </row>
        <row r="58">
          <cell r="B58" t="str">
            <v>不锈钢驳接件（一爪）</v>
          </cell>
          <cell r="C58" t="str">
            <v>160系列</v>
          </cell>
          <cell r="D58" t="str">
            <v>套</v>
          </cell>
          <cell r="E58">
            <v>45</v>
          </cell>
          <cell r="F58">
            <v>46</v>
          </cell>
          <cell r="G58" t="str">
            <v xml:space="preserve">按业主指定品牌    </v>
          </cell>
        </row>
        <row r="59">
          <cell r="B59" t="str">
            <v>硅酮耐候密封胶（500ml/支）</v>
          </cell>
          <cell r="C59" t="str">
            <v>500ml/支</v>
          </cell>
          <cell r="D59" t="str">
            <v>支</v>
          </cell>
          <cell r="E59">
            <v>22</v>
          </cell>
          <cell r="F59">
            <v>21</v>
          </cell>
          <cell r="G59" t="str">
            <v>广州白云</v>
          </cell>
        </row>
        <row r="60">
          <cell r="B60" t="str">
            <v>双组份硅酮结构胶</v>
          </cell>
          <cell r="D60" t="str">
            <v>L</v>
          </cell>
          <cell r="E60">
            <v>46</v>
          </cell>
          <cell r="F60">
            <v>28</v>
          </cell>
          <cell r="G60" t="str">
            <v>广州白云</v>
          </cell>
        </row>
        <row r="61">
          <cell r="B61" t="str">
            <v>密封胶条</v>
          </cell>
          <cell r="D61" t="str">
            <v>m</v>
          </cell>
          <cell r="E61">
            <v>1</v>
          </cell>
          <cell r="F61">
            <v>1</v>
          </cell>
          <cell r="G61" t="str">
            <v>国产优质</v>
          </cell>
        </row>
        <row r="62">
          <cell r="B62" t="str">
            <v>M10沉头不锈钢螺栓</v>
          </cell>
          <cell r="C62" t="str">
            <v>M10</v>
          </cell>
          <cell r="D62" t="str">
            <v>套</v>
          </cell>
          <cell r="E62">
            <v>2</v>
          </cell>
          <cell r="F62">
            <v>2</v>
          </cell>
          <cell r="G62" t="str">
            <v>国产优质</v>
          </cell>
        </row>
        <row r="63">
          <cell r="B63" t="str">
            <v>M10不锈钢对穿螺栓</v>
          </cell>
          <cell r="C63" t="str">
            <v>M10</v>
          </cell>
          <cell r="D63" t="str">
            <v>套</v>
          </cell>
          <cell r="E63">
            <v>2.5</v>
          </cell>
          <cell r="F63">
            <v>2.5</v>
          </cell>
          <cell r="G63" t="str">
            <v>国产优质</v>
          </cell>
        </row>
        <row r="64">
          <cell r="B64" t="str">
            <v>M12不锈钢对穿螺栓</v>
          </cell>
          <cell r="C64" t="str">
            <v>M12</v>
          </cell>
          <cell r="D64" t="str">
            <v>套</v>
          </cell>
          <cell r="E64">
            <v>3.2</v>
          </cell>
          <cell r="F64">
            <v>3.2</v>
          </cell>
          <cell r="G64" t="str">
            <v>国产优质</v>
          </cell>
        </row>
        <row r="65">
          <cell r="B65" t="str">
            <v>M10x50不锈钢螺栓</v>
          </cell>
          <cell r="C65" t="str">
            <v>M10x50</v>
          </cell>
          <cell r="D65" t="str">
            <v>套</v>
          </cell>
          <cell r="E65">
            <v>3.8</v>
          </cell>
          <cell r="F65">
            <v>3.8</v>
          </cell>
          <cell r="G65" t="str">
            <v>国产</v>
          </cell>
        </row>
        <row r="66">
          <cell r="B66" t="str">
            <v>M8x60不锈钢螺栓</v>
          </cell>
          <cell r="C66" t="str">
            <v>M8x60</v>
          </cell>
          <cell r="D66" t="str">
            <v>套</v>
          </cell>
          <cell r="E66">
            <v>1.7</v>
          </cell>
          <cell r="F66">
            <v>1.7</v>
          </cell>
          <cell r="G66" t="str">
            <v>国产</v>
          </cell>
        </row>
        <row r="67">
          <cell r="B67" t="str">
            <v>M12x130不锈钢螺栓</v>
          </cell>
          <cell r="C67" t="str">
            <v>M12x130</v>
          </cell>
          <cell r="D67" t="str">
            <v>套</v>
          </cell>
          <cell r="E67">
            <v>4</v>
          </cell>
          <cell r="F67">
            <v>3.95</v>
          </cell>
          <cell r="G67" t="str">
            <v>国产</v>
          </cell>
        </row>
        <row r="68">
          <cell r="B68" t="str">
            <v>M6x40不锈钢螺栓</v>
          </cell>
          <cell r="C68" t="str">
            <v>M6x40</v>
          </cell>
          <cell r="D68" t="str">
            <v>套</v>
          </cell>
          <cell r="E68">
            <v>1</v>
          </cell>
          <cell r="F68">
            <v>1</v>
          </cell>
          <cell r="G68" t="str">
            <v>国产</v>
          </cell>
        </row>
        <row r="69">
          <cell r="B69" t="str">
            <v>M12*160化学锚栓</v>
          </cell>
          <cell r="C69" t="str">
            <v>M12*160</v>
          </cell>
          <cell r="D69" t="str">
            <v>套</v>
          </cell>
          <cell r="E69">
            <v>3.5</v>
          </cell>
          <cell r="F69">
            <v>3.5</v>
          </cell>
          <cell r="G69" t="str">
            <v>国产</v>
          </cell>
        </row>
        <row r="70">
          <cell r="B70" t="str">
            <v>M12*120化学锚栓</v>
          </cell>
          <cell r="C70" t="str">
            <v>M12*120</v>
          </cell>
          <cell r="D70" t="str">
            <v>套</v>
          </cell>
          <cell r="E70">
            <v>3.15</v>
          </cell>
          <cell r="F70">
            <v>3.15</v>
          </cell>
          <cell r="G70" t="str">
            <v>国产</v>
          </cell>
        </row>
        <row r="71">
          <cell r="B71" t="str">
            <v>M20x340化学螺栓</v>
          </cell>
          <cell r="C71" t="str">
            <v>M20x340</v>
          </cell>
          <cell r="D71" t="str">
            <v>套</v>
          </cell>
          <cell r="E71">
            <v>6.5</v>
          </cell>
          <cell r="F71">
            <v>6.5</v>
          </cell>
          <cell r="G71" t="str">
            <v>国产</v>
          </cell>
        </row>
        <row r="72">
          <cell r="B72" t="str">
            <v>M8x120化学螺栓</v>
          </cell>
          <cell r="C72" t="str">
            <v>M8x120</v>
          </cell>
          <cell r="D72" t="str">
            <v>套</v>
          </cell>
          <cell r="E72">
            <v>2.5</v>
          </cell>
          <cell r="F72">
            <v>2.5</v>
          </cell>
          <cell r="G72" t="str">
            <v>国产</v>
          </cell>
        </row>
        <row r="73">
          <cell r="B73" t="str">
            <v>铝合金挂槽</v>
          </cell>
          <cell r="D73" t="str">
            <v>套</v>
          </cell>
          <cell r="E73">
            <v>0.4</v>
          </cell>
          <cell r="F73">
            <v>0.4</v>
          </cell>
        </row>
        <row r="74">
          <cell r="B74" t="str">
            <v>40*40*5镀锌垫片</v>
          </cell>
          <cell r="C74" t="str">
            <v>40*40*5</v>
          </cell>
          <cell r="D74" t="str">
            <v>块</v>
          </cell>
          <cell r="E74">
            <v>0.5</v>
          </cell>
          <cell r="F74">
            <v>0.5</v>
          </cell>
        </row>
        <row r="75">
          <cell r="B75" t="str">
            <v>自攻螺钉</v>
          </cell>
          <cell r="D75" t="str">
            <v>颗</v>
          </cell>
          <cell r="E75">
            <v>0.08</v>
          </cell>
          <cell r="F75">
            <v>0.08</v>
          </cell>
        </row>
        <row r="76">
          <cell r="B76" t="str">
            <v>夹胶玻璃钻孔费</v>
          </cell>
          <cell r="D76" t="str">
            <v>个</v>
          </cell>
          <cell r="E76">
            <v>8</v>
          </cell>
          <cell r="F76">
            <v>8</v>
          </cell>
        </row>
        <row r="77">
          <cell r="B77" t="str">
            <v>不锈钢管拉弯费</v>
          </cell>
          <cell r="D77" t="str">
            <v>m</v>
          </cell>
          <cell r="E77">
            <v>20</v>
          </cell>
          <cell r="F77">
            <v>20</v>
          </cell>
        </row>
        <row r="78">
          <cell r="B78" t="str">
            <v>角钢拉弯费</v>
          </cell>
          <cell r="D78" t="str">
            <v>m</v>
          </cell>
          <cell r="E78">
            <v>5</v>
          </cell>
          <cell r="F78">
            <v>5</v>
          </cell>
        </row>
        <row r="79">
          <cell r="B79" t="str">
            <v>防雷处理</v>
          </cell>
          <cell r="D79" t="str">
            <v>项</v>
          </cell>
          <cell r="E79">
            <v>3</v>
          </cell>
          <cell r="F79">
            <v>3</v>
          </cell>
        </row>
        <row r="80">
          <cell r="B80" t="str">
            <v>其他材料</v>
          </cell>
          <cell r="D80" t="str">
            <v>项</v>
          </cell>
          <cell r="E80">
            <v>5</v>
          </cell>
          <cell r="F80">
            <v>5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价格表"/>
      <sheetName val="125幕墙天枢19层MQ3"/>
      <sheetName val="125幕墙天腾1-2（4层）MQc"/>
      <sheetName val="125幕墙天腾1-1（16层）C3332G"/>
      <sheetName val="125幕墙天腾1-1（16层）C2732"/>
      <sheetName val="85压合推拉门"/>
      <sheetName val="75F1450×1550"/>
      <sheetName val="75F1400×1500"/>
      <sheetName val="75F850×1400"/>
      <sheetName val="75FC0823a"/>
      <sheetName val="75F"/>
      <sheetName val="MS65 套窗"/>
    </sheetNames>
    <sheetDataSet>
      <sheetData sheetId="0">
        <row r="12">
          <cell r="A12" t="str">
            <v>6+16Ar+6+16Ar+6暖边氩气</v>
          </cell>
        </row>
        <row r="16">
          <cell r="B16">
            <v>250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>
        <row r="355">
          <cell r="B355">
            <v>1256.93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价格表"/>
      <sheetName val="幕墙"/>
      <sheetName val="窗"/>
      <sheetName val="W01"/>
      <sheetName val="W03"/>
      <sheetName val="W04"/>
      <sheetName val="W06"/>
      <sheetName val="W07"/>
      <sheetName val="W08A"/>
      <sheetName val="W08B"/>
      <sheetName val="W09"/>
      <sheetName val="W10"/>
      <sheetName val="W11"/>
      <sheetName val="W12"/>
      <sheetName val="W13"/>
      <sheetName val="W14b"/>
      <sheetName val="W14c"/>
      <sheetName val="W15"/>
      <sheetName val="W16"/>
      <sheetName val="幕墙套门"/>
      <sheetName val="幕墙套门 (2)"/>
      <sheetName val="幕墙套门 (3)"/>
      <sheetName val="125幕墙SF01-B"/>
      <sheetName val="125幕墙SF01-C"/>
      <sheetName val="125幕墙206a"/>
      <sheetName val="125幕墙SF-G-01"/>
      <sheetName val="125幕墙SF07-A"/>
    </sheetNames>
    <sheetDataSet>
      <sheetData sheetId="0">
        <row r="4">
          <cell r="B4">
            <v>21156.2</v>
          </cell>
        </row>
        <row r="17">
          <cell r="B17">
            <v>10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369">
          <cell r="B369">
            <v>1582.17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9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30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C88A8-75BA-450C-BB99-6D62FDFA32A1}">
  <sheetPr>
    <tabColor rgb="FFFF0000"/>
  </sheetPr>
  <dimension ref="A1:P55"/>
  <sheetViews>
    <sheetView workbookViewId="0">
      <selection activeCell="B4" sqref="B4"/>
    </sheetView>
  </sheetViews>
  <sheetFormatPr defaultRowHeight="24.95" customHeight="1"/>
  <cols>
    <col min="1" max="1" width="43.125" style="228" customWidth="1"/>
    <col min="2" max="2" width="18.625" style="220" customWidth="1"/>
    <col min="3" max="3" width="26.375" style="220" customWidth="1"/>
    <col min="4" max="5" width="9" style="214"/>
    <col min="6" max="6" width="17.875" style="214" customWidth="1"/>
    <col min="7" max="7" width="13.375" style="214" customWidth="1"/>
    <col min="8" max="8" width="11.75" style="214" customWidth="1"/>
    <col min="9" max="9" width="17" style="214" customWidth="1"/>
    <col min="10" max="10" width="9.25" style="214" bestFit="1" customWidth="1"/>
    <col min="11" max="11" width="9" style="214"/>
    <col min="12" max="12" width="15.25" style="214" customWidth="1"/>
    <col min="13" max="13" width="11.25" style="214" customWidth="1"/>
    <col min="14" max="14" width="11.75" style="214" customWidth="1"/>
    <col min="15" max="15" width="17" style="214" customWidth="1"/>
    <col min="16" max="16" width="13.375" style="214" customWidth="1"/>
    <col min="17" max="256" width="9" style="220"/>
    <col min="257" max="257" width="43.125" style="220" customWidth="1"/>
    <col min="258" max="258" width="22.5" style="220" customWidth="1"/>
    <col min="259" max="259" width="26.375" style="220" customWidth="1"/>
    <col min="260" max="262" width="9" style="220"/>
    <col min="263" max="263" width="15.25" style="220" customWidth="1"/>
    <col min="264" max="264" width="11.25" style="220" customWidth="1"/>
    <col min="265" max="265" width="9" style="220"/>
    <col min="266" max="266" width="13.375" style="220" customWidth="1"/>
    <col min="267" max="267" width="13.25" style="220" customWidth="1"/>
    <col min="268" max="268" width="10.75" style="220" customWidth="1"/>
    <col min="269" max="269" width="9.25" style="220" customWidth="1"/>
    <col min="270" max="512" width="9" style="220"/>
    <col min="513" max="513" width="43.125" style="220" customWidth="1"/>
    <col min="514" max="514" width="22.5" style="220" customWidth="1"/>
    <col min="515" max="515" width="26.375" style="220" customWidth="1"/>
    <col min="516" max="518" width="9" style="220"/>
    <col min="519" max="519" width="15.25" style="220" customWidth="1"/>
    <col min="520" max="520" width="11.25" style="220" customWidth="1"/>
    <col min="521" max="521" width="9" style="220"/>
    <col min="522" max="522" width="13.375" style="220" customWidth="1"/>
    <col min="523" max="523" width="13.25" style="220" customWidth="1"/>
    <col min="524" max="524" width="10.75" style="220" customWidth="1"/>
    <col min="525" max="525" width="9.25" style="220" customWidth="1"/>
    <col min="526" max="768" width="9" style="220"/>
    <col min="769" max="769" width="43.125" style="220" customWidth="1"/>
    <col min="770" max="770" width="22.5" style="220" customWidth="1"/>
    <col min="771" max="771" width="26.375" style="220" customWidth="1"/>
    <col min="772" max="774" width="9" style="220"/>
    <col min="775" max="775" width="15.25" style="220" customWidth="1"/>
    <col min="776" max="776" width="11.25" style="220" customWidth="1"/>
    <col min="777" max="777" width="9" style="220"/>
    <col min="778" max="778" width="13.375" style="220" customWidth="1"/>
    <col min="779" max="779" width="13.25" style="220" customWidth="1"/>
    <col min="780" max="780" width="10.75" style="220" customWidth="1"/>
    <col min="781" max="781" width="9.25" style="220" customWidth="1"/>
    <col min="782" max="1024" width="9" style="220"/>
    <col min="1025" max="1025" width="43.125" style="220" customWidth="1"/>
    <col min="1026" max="1026" width="22.5" style="220" customWidth="1"/>
    <col min="1027" max="1027" width="26.375" style="220" customWidth="1"/>
    <col min="1028" max="1030" width="9" style="220"/>
    <col min="1031" max="1031" width="15.25" style="220" customWidth="1"/>
    <col min="1032" max="1032" width="11.25" style="220" customWidth="1"/>
    <col min="1033" max="1033" width="9" style="220"/>
    <col min="1034" max="1034" width="13.375" style="220" customWidth="1"/>
    <col min="1035" max="1035" width="13.25" style="220" customWidth="1"/>
    <col min="1036" max="1036" width="10.75" style="220" customWidth="1"/>
    <col min="1037" max="1037" width="9.25" style="220" customWidth="1"/>
    <col min="1038" max="1280" width="9" style="220"/>
    <col min="1281" max="1281" width="43.125" style="220" customWidth="1"/>
    <col min="1282" max="1282" width="22.5" style="220" customWidth="1"/>
    <col min="1283" max="1283" width="26.375" style="220" customWidth="1"/>
    <col min="1284" max="1286" width="9" style="220"/>
    <col min="1287" max="1287" width="15.25" style="220" customWidth="1"/>
    <col min="1288" max="1288" width="11.25" style="220" customWidth="1"/>
    <col min="1289" max="1289" width="9" style="220"/>
    <col min="1290" max="1290" width="13.375" style="220" customWidth="1"/>
    <col min="1291" max="1291" width="13.25" style="220" customWidth="1"/>
    <col min="1292" max="1292" width="10.75" style="220" customWidth="1"/>
    <col min="1293" max="1293" width="9.25" style="220" customWidth="1"/>
    <col min="1294" max="1536" width="9" style="220"/>
    <col min="1537" max="1537" width="43.125" style="220" customWidth="1"/>
    <col min="1538" max="1538" width="22.5" style="220" customWidth="1"/>
    <col min="1539" max="1539" width="26.375" style="220" customWidth="1"/>
    <col min="1540" max="1542" width="9" style="220"/>
    <col min="1543" max="1543" width="15.25" style="220" customWidth="1"/>
    <col min="1544" max="1544" width="11.25" style="220" customWidth="1"/>
    <col min="1545" max="1545" width="9" style="220"/>
    <col min="1546" max="1546" width="13.375" style="220" customWidth="1"/>
    <col min="1547" max="1547" width="13.25" style="220" customWidth="1"/>
    <col min="1548" max="1548" width="10.75" style="220" customWidth="1"/>
    <col min="1549" max="1549" width="9.25" style="220" customWidth="1"/>
    <col min="1550" max="1792" width="9" style="220"/>
    <col min="1793" max="1793" width="43.125" style="220" customWidth="1"/>
    <col min="1794" max="1794" width="22.5" style="220" customWidth="1"/>
    <col min="1795" max="1795" width="26.375" style="220" customWidth="1"/>
    <col min="1796" max="1798" width="9" style="220"/>
    <col min="1799" max="1799" width="15.25" style="220" customWidth="1"/>
    <col min="1800" max="1800" width="11.25" style="220" customWidth="1"/>
    <col min="1801" max="1801" width="9" style="220"/>
    <col min="1802" max="1802" width="13.375" style="220" customWidth="1"/>
    <col min="1803" max="1803" width="13.25" style="220" customWidth="1"/>
    <col min="1804" max="1804" width="10.75" style="220" customWidth="1"/>
    <col min="1805" max="1805" width="9.25" style="220" customWidth="1"/>
    <col min="1806" max="2048" width="9" style="220"/>
    <col min="2049" max="2049" width="43.125" style="220" customWidth="1"/>
    <col min="2050" max="2050" width="22.5" style="220" customWidth="1"/>
    <col min="2051" max="2051" width="26.375" style="220" customWidth="1"/>
    <col min="2052" max="2054" width="9" style="220"/>
    <col min="2055" max="2055" width="15.25" style="220" customWidth="1"/>
    <col min="2056" max="2056" width="11.25" style="220" customWidth="1"/>
    <col min="2057" max="2057" width="9" style="220"/>
    <col min="2058" max="2058" width="13.375" style="220" customWidth="1"/>
    <col min="2059" max="2059" width="13.25" style="220" customWidth="1"/>
    <col min="2060" max="2060" width="10.75" style="220" customWidth="1"/>
    <col min="2061" max="2061" width="9.25" style="220" customWidth="1"/>
    <col min="2062" max="2304" width="9" style="220"/>
    <col min="2305" max="2305" width="43.125" style="220" customWidth="1"/>
    <col min="2306" max="2306" width="22.5" style="220" customWidth="1"/>
    <col min="2307" max="2307" width="26.375" style="220" customWidth="1"/>
    <col min="2308" max="2310" width="9" style="220"/>
    <col min="2311" max="2311" width="15.25" style="220" customWidth="1"/>
    <col min="2312" max="2312" width="11.25" style="220" customWidth="1"/>
    <col min="2313" max="2313" width="9" style="220"/>
    <col min="2314" max="2314" width="13.375" style="220" customWidth="1"/>
    <col min="2315" max="2315" width="13.25" style="220" customWidth="1"/>
    <col min="2316" max="2316" width="10.75" style="220" customWidth="1"/>
    <col min="2317" max="2317" width="9.25" style="220" customWidth="1"/>
    <col min="2318" max="2560" width="9" style="220"/>
    <col min="2561" max="2561" width="43.125" style="220" customWidth="1"/>
    <col min="2562" max="2562" width="22.5" style="220" customWidth="1"/>
    <col min="2563" max="2563" width="26.375" style="220" customWidth="1"/>
    <col min="2564" max="2566" width="9" style="220"/>
    <col min="2567" max="2567" width="15.25" style="220" customWidth="1"/>
    <col min="2568" max="2568" width="11.25" style="220" customWidth="1"/>
    <col min="2569" max="2569" width="9" style="220"/>
    <col min="2570" max="2570" width="13.375" style="220" customWidth="1"/>
    <col min="2571" max="2571" width="13.25" style="220" customWidth="1"/>
    <col min="2572" max="2572" width="10.75" style="220" customWidth="1"/>
    <col min="2573" max="2573" width="9.25" style="220" customWidth="1"/>
    <col min="2574" max="2816" width="9" style="220"/>
    <col min="2817" max="2817" width="43.125" style="220" customWidth="1"/>
    <col min="2818" max="2818" width="22.5" style="220" customWidth="1"/>
    <col min="2819" max="2819" width="26.375" style="220" customWidth="1"/>
    <col min="2820" max="2822" width="9" style="220"/>
    <col min="2823" max="2823" width="15.25" style="220" customWidth="1"/>
    <col min="2824" max="2824" width="11.25" style="220" customWidth="1"/>
    <col min="2825" max="2825" width="9" style="220"/>
    <col min="2826" max="2826" width="13.375" style="220" customWidth="1"/>
    <col min="2827" max="2827" width="13.25" style="220" customWidth="1"/>
    <col min="2828" max="2828" width="10.75" style="220" customWidth="1"/>
    <col min="2829" max="2829" width="9.25" style="220" customWidth="1"/>
    <col min="2830" max="3072" width="9" style="220"/>
    <col min="3073" max="3073" width="43.125" style="220" customWidth="1"/>
    <col min="3074" max="3074" width="22.5" style="220" customWidth="1"/>
    <col min="3075" max="3075" width="26.375" style="220" customWidth="1"/>
    <col min="3076" max="3078" width="9" style="220"/>
    <col min="3079" max="3079" width="15.25" style="220" customWidth="1"/>
    <col min="3080" max="3080" width="11.25" style="220" customWidth="1"/>
    <col min="3081" max="3081" width="9" style="220"/>
    <col min="3082" max="3082" width="13.375" style="220" customWidth="1"/>
    <col min="3083" max="3083" width="13.25" style="220" customWidth="1"/>
    <col min="3084" max="3084" width="10.75" style="220" customWidth="1"/>
    <col min="3085" max="3085" width="9.25" style="220" customWidth="1"/>
    <col min="3086" max="3328" width="9" style="220"/>
    <col min="3329" max="3329" width="43.125" style="220" customWidth="1"/>
    <col min="3330" max="3330" width="22.5" style="220" customWidth="1"/>
    <col min="3331" max="3331" width="26.375" style="220" customWidth="1"/>
    <col min="3332" max="3334" width="9" style="220"/>
    <col min="3335" max="3335" width="15.25" style="220" customWidth="1"/>
    <col min="3336" max="3336" width="11.25" style="220" customWidth="1"/>
    <col min="3337" max="3337" width="9" style="220"/>
    <col min="3338" max="3338" width="13.375" style="220" customWidth="1"/>
    <col min="3339" max="3339" width="13.25" style="220" customWidth="1"/>
    <col min="3340" max="3340" width="10.75" style="220" customWidth="1"/>
    <col min="3341" max="3341" width="9.25" style="220" customWidth="1"/>
    <col min="3342" max="3584" width="9" style="220"/>
    <col min="3585" max="3585" width="43.125" style="220" customWidth="1"/>
    <col min="3586" max="3586" width="22.5" style="220" customWidth="1"/>
    <col min="3587" max="3587" width="26.375" style="220" customWidth="1"/>
    <col min="3588" max="3590" width="9" style="220"/>
    <col min="3591" max="3591" width="15.25" style="220" customWidth="1"/>
    <col min="3592" max="3592" width="11.25" style="220" customWidth="1"/>
    <col min="3593" max="3593" width="9" style="220"/>
    <col min="3594" max="3594" width="13.375" style="220" customWidth="1"/>
    <col min="3595" max="3595" width="13.25" style="220" customWidth="1"/>
    <col min="3596" max="3596" width="10.75" style="220" customWidth="1"/>
    <col min="3597" max="3597" width="9.25" style="220" customWidth="1"/>
    <col min="3598" max="3840" width="9" style="220"/>
    <col min="3841" max="3841" width="43.125" style="220" customWidth="1"/>
    <col min="3842" max="3842" width="22.5" style="220" customWidth="1"/>
    <col min="3843" max="3843" width="26.375" style="220" customWidth="1"/>
    <col min="3844" max="3846" width="9" style="220"/>
    <col min="3847" max="3847" width="15.25" style="220" customWidth="1"/>
    <col min="3848" max="3848" width="11.25" style="220" customWidth="1"/>
    <col min="3849" max="3849" width="9" style="220"/>
    <col min="3850" max="3850" width="13.375" style="220" customWidth="1"/>
    <col min="3851" max="3851" width="13.25" style="220" customWidth="1"/>
    <col min="3852" max="3852" width="10.75" style="220" customWidth="1"/>
    <col min="3853" max="3853" width="9.25" style="220" customWidth="1"/>
    <col min="3854" max="4096" width="9" style="220"/>
    <col min="4097" max="4097" width="43.125" style="220" customWidth="1"/>
    <col min="4098" max="4098" width="22.5" style="220" customWidth="1"/>
    <col min="4099" max="4099" width="26.375" style="220" customWidth="1"/>
    <col min="4100" max="4102" width="9" style="220"/>
    <col min="4103" max="4103" width="15.25" style="220" customWidth="1"/>
    <col min="4104" max="4104" width="11.25" style="220" customWidth="1"/>
    <col min="4105" max="4105" width="9" style="220"/>
    <col min="4106" max="4106" width="13.375" style="220" customWidth="1"/>
    <col min="4107" max="4107" width="13.25" style="220" customWidth="1"/>
    <col min="4108" max="4108" width="10.75" style="220" customWidth="1"/>
    <col min="4109" max="4109" width="9.25" style="220" customWidth="1"/>
    <col min="4110" max="4352" width="9" style="220"/>
    <col min="4353" max="4353" width="43.125" style="220" customWidth="1"/>
    <col min="4354" max="4354" width="22.5" style="220" customWidth="1"/>
    <col min="4355" max="4355" width="26.375" style="220" customWidth="1"/>
    <col min="4356" max="4358" width="9" style="220"/>
    <col min="4359" max="4359" width="15.25" style="220" customWidth="1"/>
    <col min="4360" max="4360" width="11.25" style="220" customWidth="1"/>
    <col min="4361" max="4361" width="9" style="220"/>
    <col min="4362" max="4362" width="13.375" style="220" customWidth="1"/>
    <col min="4363" max="4363" width="13.25" style="220" customWidth="1"/>
    <col min="4364" max="4364" width="10.75" style="220" customWidth="1"/>
    <col min="4365" max="4365" width="9.25" style="220" customWidth="1"/>
    <col min="4366" max="4608" width="9" style="220"/>
    <col min="4609" max="4609" width="43.125" style="220" customWidth="1"/>
    <col min="4610" max="4610" width="22.5" style="220" customWidth="1"/>
    <col min="4611" max="4611" width="26.375" style="220" customWidth="1"/>
    <col min="4612" max="4614" width="9" style="220"/>
    <col min="4615" max="4615" width="15.25" style="220" customWidth="1"/>
    <col min="4616" max="4616" width="11.25" style="220" customWidth="1"/>
    <col min="4617" max="4617" width="9" style="220"/>
    <col min="4618" max="4618" width="13.375" style="220" customWidth="1"/>
    <col min="4619" max="4619" width="13.25" style="220" customWidth="1"/>
    <col min="4620" max="4620" width="10.75" style="220" customWidth="1"/>
    <col min="4621" max="4621" width="9.25" style="220" customWidth="1"/>
    <col min="4622" max="4864" width="9" style="220"/>
    <col min="4865" max="4865" width="43.125" style="220" customWidth="1"/>
    <col min="4866" max="4866" width="22.5" style="220" customWidth="1"/>
    <col min="4867" max="4867" width="26.375" style="220" customWidth="1"/>
    <col min="4868" max="4870" width="9" style="220"/>
    <col min="4871" max="4871" width="15.25" style="220" customWidth="1"/>
    <col min="4872" max="4872" width="11.25" style="220" customWidth="1"/>
    <col min="4873" max="4873" width="9" style="220"/>
    <col min="4874" max="4874" width="13.375" style="220" customWidth="1"/>
    <col min="4875" max="4875" width="13.25" style="220" customWidth="1"/>
    <col min="4876" max="4876" width="10.75" style="220" customWidth="1"/>
    <col min="4877" max="4877" width="9.25" style="220" customWidth="1"/>
    <col min="4878" max="5120" width="9" style="220"/>
    <col min="5121" max="5121" width="43.125" style="220" customWidth="1"/>
    <col min="5122" max="5122" width="22.5" style="220" customWidth="1"/>
    <col min="5123" max="5123" width="26.375" style="220" customWidth="1"/>
    <col min="5124" max="5126" width="9" style="220"/>
    <col min="5127" max="5127" width="15.25" style="220" customWidth="1"/>
    <col min="5128" max="5128" width="11.25" style="220" customWidth="1"/>
    <col min="5129" max="5129" width="9" style="220"/>
    <col min="5130" max="5130" width="13.375" style="220" customWidth="1"/>
    <col min="5131" max="5131" width="13.25" style="220" customWidth="1"/>
    <col min="5132" max="5132" width="10.75" style="220" customWidth="1"/>
    <col min="5133" max="5133" width="9.25" style="220" customWidth="1"/>
    <col min="5134" max="5376" width="9" style="220"/>
    <col min="5377" max="5377" width="43.125" style="220" customWidth="1"/>
    <col min="5378" max="5378" width="22.5" style="220" customWidth="1"/>
    <col min="5379" max="5379" width="26.375" style="220" customWidth="1"/>
    <col min="5380" max="5382" width="9" style="220"/>
    <col min="5383" max="5383" width="15.25" style="220" customWidth="1"/>
    <col min="5384" max="5384" width="11.25" style="220" customWidth="1"/>
    <col min="5385" max="5385" width="9" style="220"/>
    <col min="5386" max="5386" width="13.375" style="220" customWidth="1"/>
    <col min="5387" max="5387" width="13.25" style="220" customWidth="1"/>
    <col min="5388" max="5388" width="10.75" style="220" customWidth="1"/>
    <col min="5389" max="5389" width="9.25" style="220" customWidth="1"/>
    <col min="5390" max="5632" width="9" style="220"/>
    <col min="5633" max="5633" width="43.125" style="220" customWidth="1"/>
    <col min="5634" max="5634" width="22.5" style="220" customWidth="1"/>
    <col min="5635" max="5635" width="26.375" style="220" customWidth="1"/>
    <col min="5636" max="5638" width="9" style="220"/>
    <col min="5639" max="5639" width="15.25" style="220" customWidth="1"/>
    <col min="5640" max="5640" width="11.25" style="220" customWidth="1"/>
    <col min="5641" max="5641" width="9" style="220"/>
    <col min="5642" max="5642" width="13.375" style="220" customWidth="1"/>
    <col min="5643" max="5643" width="13.25" style="220" customWidth="1"/>
    <col min="5644" max="5644" width="10.75" style="220" customWidth="1"/>
    <col min="5645" max="5645" width="9.25" style="220" customWidth="1"/>
    <col min="5646" max="5888" width="9" style="220"/>
    <col min="5889" max="5889" width="43.125" style="220" customWidth="1"/>
    <col min="5890" max="5890" width="22.5" style="220" customWidth="1"/>
    <col min="5891" max="5891" width="26.375" style="220" customWidth="1"/>
    <col min="5892" max="5894" width="9" style="220"/>
    <col min="5895" max="5895" width="15.25" style="220" customWidth="1"/>
    <col min="5896" max="5896" width="11.25" style="220" customWidth="1"/>
    <col min="5897" max="5897" width="9" style="220"/>
    <col min="5898" max="5898" width="13.375" style="220" customWidth="1"/>
    <col min="5899" max="5899" width="13.25" style="220" customWidth="1"/>
    <col min="5900" max="5900" width="10.75" style="220" customWidth="1"/>
    <col min="5901" max="5901" width="9.25" style="220" customWidth="1"/>
    <col min="5902" max="6144" width="9" style="220"/>
    <col min="6145" max="6145" width="43.125" style="220" customWidth="1"/>
    <col min="6146" max="6146" width="22.5" style="220" customWidth="1"/>
    <col min="6147" max="6147" width="26.375" style="220" customWidth="1"/>
    <col min="6148" max="6150" width="9" style="220"/>
    <col min="6151" max="6151" width="15.25" style="220" customWidth="1"/>
    <col min="6152" max="6152" width="11.25" style="220" customWidth="1"/>
    <col min="6153" max="6153" width="9" style="220"/>
    <col min="6154" max="6154" width="13.375" style="220" customWidth="1"/>
    <col min="6155" max="6155" width="13.25" style="220" customWidth="1"/>
    <col min="6156" max="6156" width="10.75" style="220" customWidth="1"/>
    <col min="6157" max="6157" width="9.25" style="220" customWidth="1"/>
    <col min="6158" max="6400" width="9" style="220"/>
    <col min="6401" max="6401" width="43.125" style="220" customWidth="1"/>
    <col min="6402" max="6402" width="22.5" style="220" customWidth="1"/>
    <col min="6403" max="6403" width="26.375" style="220" customWidth="1"/>
    <col min="6404" max="6406" width="9" style="220"/>
    <col min="6407" max="6407" width="15.25" style="220" customWidth="1"/>
    <col min="6408" max="6408" width="11.25" style="220" customWidth="1"/>
    <col min="6409" max="6409" width="9" style="220"/>
    <col min="6410" max="6410" width="13.375" style="220" customWidth="1"/>
    <col min="6411" max="6411" width="13.25" style="220" customWidth="1"/>
    <col min="6412" max="6412" width="10.75" style="220" customWidth="1"/>
    <col min="6413" max="6413" width="9.25" style="220" customWidth="1"/>
    <col min="6414" max="6656" width="9" style="220"/>
    <col min="6657" max="6657" width="43.125" style="220" customWidth="1"/>
    <col min="6658" max="6658" width="22.5" style="220" customWidth="1"/>
    <col min="6659" max="6659" width="26.375" style="220" customWidth="1"/>
    <col min="6660" max="6662" width="9" style="220"/>
    <col min="6663" max="6663" width="15.25" style="220" customWidth="1"/>
    <col min="6664" max="6664" width="11.25" style="220" customWidth="1"/>
    <col min="6665" max="6665" width="9" style="220"/>
    <col min="6666" max="6666" width="13.375" style="220" customWidth="1"/>
    <col min="6667" max="6667" width="13.25" style="220" customWidth="1"/>
    <col min="6668" max="6668" width="10.75" style="220" customWidth="1"/>
    <col min="6669" max="6669" width="9.25" style="220" customWidth="1"/>
    <col min="6670" max="6912" width="9" style="220"/>
    <col min="6913" max="6913" width="43.125" style="220" customWidth="1"/>
    <col min="6914" max="6914" width="22.5" style="220" customWidth="1"/>
    <col min="6915" max="6915" width="26.375" style="220" customWidth="1"/>
    <col min="6916" max="6918" width="9" style="220"/>
    <col min="6919" max="6919" width="15.25" style="220" customWidth="1"/>
    <col min="6920" max="6920" width="11.25" style="220" customWidth="1"/>
    <col min="6921" max="6921" width="9" style="220"/>
    <col min="6922" max="6922" width="13.375" style="220" customWidth="1"/>
    <col min="6923" max="6923" width="13.25" style="220" customWidth="1"/>
    <col min="6924" max="6924" width="10.75" style="220" customWidth="1"/>
    <col min="6925" max="6925" width="9.25" style="220" customWidth="1"/>
    <col min="6926" max="7168" width="9" style="220"/>
    <col min="7169" max="7169" width="43.125" style="220" customWidth="1"/>
    <col min="7170" max="7170" width="22.5" style="220" customWidth="1"/>
    <col min="7171" max="7171" width="26.375" style="220" customWidth="1"/>
    <col min="7172" max="7174" width="9" style="220"/>
    <col min="7175" max="7175" width="15.25" style="220" customWidth="1"/>
    <col min="7176" max="7176" width="11.25" style="220" customWidth="1"/>
    <col min="7177" max="7177" width="9" style="220"/>
    <col min="7178" max="7178" width="13.375" style="220" customWidth="1"/>
    <col min="7179" max="7179" width="13.25" style="220" customWidth="1"/>
    <col min="7180" max="7180" width="10.75" style="220" customWidth="1"/>
    <col min="7181" max="7181" width="9.25" style="220" customWidth="1"/>
    <col min="7182" max="7424" width="9" style="220"/>
    <col min="7425" max="7425" width="43.125" style="220" customWidth="1"/>
    <col min="7426" max="7426" width="22.5" style="220" customWidth="1"/>
    <col min="7427" max="7427" width="26.375" style="220" customWidth="1"/>
    <col min="7428" max="7430" width="9" style="220"/>
    <col min="7431" max="7431" width="15.25" style="220" customWidth="1"/>
    <col min="7432" max="7432" width="11.25" style="220" customWidth="1"/>
    <col min="7433" max="7433" width="9" style="220"/>
    <col min="7434" max="7434" width="13.375" style="220" customWidth="1"/>
    <col min="7435" max="7435" width="13.25" style="220" customWidth="1"/>
    <col min="7436" max="7436" width="10.75" style="220" customWidth="1"/>
    <col min="7437" max="7437" width="9.25" style="220" customWidth="1"/>
    <col min="7438" max="7680" width="9" style="220"/>
    <col min="7681" max="7681" width="43.125" style="220" customWidth="1"/>
    <col min="7682" max="7682" width="22.5" style="220" customWidth="1"/>
    <col min="7683" max="7683" width="26.375" style="220" customWidth="1"/>
    <col min="7684" max="7686" width="9" style="220"/>
    <col min="7687" max="7687" width="15.25" style="220" customWidth="1"/>
    <col min="7688" max="7688" width="11.25" style="220" customWidth="1"/>
    <col min="7689" max="7689" width="9" style="220"/>
    <col min="7690" max="7690" width="13.375" style="220" customWidth="1"/>
    <col min="7691" max="7691" width="13.25" style="220" customWidth="1"/>
    <col min="7692" max="7692" width="10.75" style="220" customWidth="1"/>
    <col min="7693" max="7693" width="9.25" style="220" customWidth="1"/>
    <col min="7694" max="7936" width="9" style="220"/>
    <col min="7937" max="7937" width="43.125" style="220" customWidth="1"/>
    <col min="7938" max="7938" width="22.5" style="220" customWidth="1"/>
    <col min="7939" max="7939" width="26.375" style="220" customWidth="1"/>
    <col min="7940" max="7942" width="9" style="220"/>
    <col min="7943" max="7943" width="15.25" style="220" customWidth="1"/>
    <col min="7944" max="7944" width="11.25" style="220" customWidth="1"/>
    <col min="7945" max="7945" width="9" style="220"/>
    <col min="7946" max="7946" width="13.375" style="220" customWidth="1"/>
    <col min="7947" max="7947" width="13.25" style="220" customWidth="1"/>
    <col min="7948" max="7948" width="10.75" style="220" customWidth="1"/>
    <col min="7949" max="7949" width="9.25" style="220" customWidth="1"/>
    <col min="7950" max="8192" width="9" style="220"/>
    <col min="8193" max="8193" width="43.125" style="220" customWidth="1"/>
    <col min="8194" max="8194" width="22.5" style="220" customWidth="1"/>
    <col min="8195" max="8195" width="26.375" style="220" customWidth="1"/>
    <col min="8196" max="8198" width="9" style="220"/>
    <col min="8199" max="8199" width="15.25" style="220" customWidth="1"/>
    <col min="8200" max="8200" width="11.25" style="220" customWidth="1"/>
    <col min="8201" max="8201" width="9" style="220"/>
    <col min="8202" max="8202" width="13.375" style="220" customWidth="1"/>
    <col min="8203" max="8203" width="13.25" style="220" customWidth="1"/>
    <col min="8204" max="8204" width="10.75" style="220" customWidth="1"/>
    <col min="8205" max="8205" width="9.25" style="220" customWidth="1"/>
    <col min="8206" max="8448" width="9" style="220"/>
    <col min="8449" max="8449" width="43.125" style="220" customWidth="1"/>
    <col min="8450" max="8450" width="22.5" style="220" customWidth="1"/>
    <col min="8451" max="8451" width="26.375" style="220" customWidth="1"/>
    <col min="8452" max="8454" width="9" style="220"/>
    <col min="8455" max="8455" width="15.25" style="220" customWidth="1"/>
    <col min="8456" max="8456" width="11.25" style="220" customWidth="1"/>
    <col min="8457" max="8457" width="9" style="220"/>
    <col min="8458" max="8458" width="13.375" style="220" customWidth="1"/>
    <col min="8459" max="8459" width="13.25" style="220" customWidth="1"/>
    <col min="8460" max="8460" width="10.75" style="220" customWidth="1"/>
    <col min="8461" max="8461" width="9.25" style="220" customWidth="1"/>
    <col min="8462" max="8704" width="9" style="220"/>
    <col min="8705" max="8705" width="43.125" style="220" customWidth="1"/>
    <col min="8706" max="8706" width="22.5" style="220" customWidth="1"/>
    <col min="8707" max="8707" width="26.375" style="220" customWidth="1"/>
    <col min="8708" max="8710" width="9" style="220"/>
    <col min="8711" max="8711" width="15.25" style="220" customWidth="1"/>
    <col min="8712" max="8712" width="11.25" style="220" customWidth="1"/>
    <col min="8713" max="8713" width="9" style="220"/>
    <col min="8714" max="8714" width="13.375" style="220" customWidth="1"/>
    <col min="8715" max="8715" width="13.25" style="220" customWidth="1"/>
    <col min="8716" max="8716" width="10.75" style="220" customWidth="1"/>
    <col min="8717" max="8717" width="9.25" style="220" customWidth="1"/>
    <col min="8718" max="8960" width="9" style="220"/>
    <col min="8961" max="8961" width="43.125" style="220" customWidth="1"/>
    <col min="8962" max="8962" width="22.5" style="220" customWidth="1"/>
    <col min="8963" max="8963" width="26.375" style="220" customWidth="1"/>
    <col min="8964" max="8966" width="9" style="220"/>
    <col min="8967" max="8967" width="15.25" style="220" customWidth="1"/>
    <col min="8968" max="8968" width="11.25" style="220" customWidth="1"/>
    <col min="8969" max="8969" width="9" style="220"/>
    <col min="8970" max="8970" width="13.375" style="220" customWidth="1"/>
    <col min="8971" max="8971" width="13.25" style="220" customWidth="1"/>
    <col min="8972" max="8972" width="10.75" style="220" customWidth="1"/>
    <col min="8973" max="8973" width="9.25" style="220" customWidth="1"/>
    <col min="8974" max="9216" width="9" style="220"/>
    <col min="9217" max="9217" width="43.125" style="220" customWidth="1"/>
    <col min="9218" max="9218" width="22.5" style="220" customWidth="1"/>
    <col min="9219" max="9219" width="26.375" style="220" customWidth="1"/>
    <col min="9220" max="9222" width="9" style="220"/>
    <col min="9223" max="9223" width="15.25" style="220" customWidth="1"/>
    <col min="9224" max="9224" width="11.25" style="220" customWidth="1"/>
    <col min="9225" max="9225" width="9" style="220"/>
    <col min="9226" max="9226" width="13.375" style="220" customWidth="1"/>
    <col min="9227" max="9227" width="13.25" style="220" customWidth="1"/>
    <col min="9228" max="9228" width="10.75" style="220" customWidth="1"/>
    <col min="9229" max="9229" width="9.25" style="220" customWidth="1"/>
    <col min="9230" max="9472" width="9" style="220"/>
    <col min="9473" max="9473" width="43.125" style="220" customWidth="1"/>
    <col min="9474" max="9474" width="22.5" style="220" customWidth="1"/>
    <col min="9475" max="9475" width="26.375" style="220" customWidth="1"/>
    <col min="9476" max="9478" width="9" style="220"/>
    <col min="9479" max="9479" width="15.25" style="220" customWidth="1"/>
    <col min="9480" max="9480" width="11.25" style="220" customWidth="1"/>
    <col min="9481" max="9481" width="9" style="220"/>
    <col min="9482" max="9482" width="13.375" style="220" customWidth="1"/>
    <col min="9483" max="9483" width="13.25" style="220" customWidth="1"/>
    <col min="9484" max="9484" width="10.75" style="220" customWidth="1"/>
    <col min="9485" max="9485" width="9.25" style="220" customWidth="1"/>
    <col min="9486" max="9728" width="9" style="220"/>
    <col min="9729" max="9729" width="43.125" style="220" customWidth="1"/>
    <col min="9730" max="9730" width="22.5" style="220" customWidth="1"/>
    <col min="9731" max="9731" width="26.375" style="220" customWidth="1"/>
    <col min="9732" max="9734" width="9" style="220"/>
    <col min="9735" max="9735" width="15.25" style="220" customWidth="1"/>
    <col min="9736" max="9736" width="11.25" style="220" customWidth="1"/>
    <col min="9737" max="9737" width="9" style="220"/>
    <col min="9738" max="9738" width="13.375" style="220" customWidth="1"/>
    <col min="9739" max="9739" width="13.25" style="220" customWidth="1"/>
    <col min="9740" max="9740" width="10.75" style="220" customWidth="1"/>
    <col min="9741" max="9741" width="9.25" style="220" customWidth="1"/>
    <col min="9742" max="9984" width="9" style="220"/>
    <col min="9985" max="9985" width="43.125" style="220" customWidth="1"/>
    <col min="9986" max="9986" width="22.5" style="220" customWidth="1"/>
    <col min="9987" max="9987" width="26.375" style="220" customWidth="1"/>
    <col min="9988" max="9990" width="9" style="220"/>
    <col min="9991" max="9991" width="15.25" style="220" customWidth="1"/>
    <col min="9992" max="9992" width="11.25" style="220" customWidth="1"/>
    <col min="9993" max="9993" width="9" style="220"/>
    <col min="9994" max="9994" width="13.375" style="220" customWidth="1"/>
    <col min="9995" max="9995" width="13.25" style="220" customWidth="1"/>
    <col min="9996" max="9996" width="10.75" style="220" customWidth="1"/>
    <col min="9997" max="9997" width="9.25" style="220" customWidth="1"/>
    <col min="9998" max="10240" width="9" style="220"/>
    <col min="10241" max="10241" width="43.125" style="220" customWidth="1"/>
    <col min="10242" max="10242" width="22.5" style="220" customWidth="1"/>
    <col min="10243" max="10243" width="26.375" style="220" customWidth="1"/>
    <col min="10244" max="10246" width="9" style="220"/>
    <col min="10247" max="10247" width="15.25" style="220" customWidth="1"/>
    <col min="10248" max="10248" width="11.25" style="220" customWidth="1"/>
    <col min="10249" max="10249" width="9" style="220"/>
    <col min="10250" max="10250" width="13.375" style="220" customWidth="1"/>
    <col min="10251" max="10251" width="13.25" style="220" customWidth="1"/>
    <col min="10252" max="10252" width="10.75" style="220" customWidth="1"/>
    <col min="10253" max="10253" width="9.25" style="220" customWidth="1"/>
    <col min="10254" max="10496" width="9" style="220"/>
    <col min="10497" max="10497" width="43.125" style="220" customWidth="1"/>
    <col min="10498" max="10498" width="22.5" style="220" customWidth="1"/>
    <col min="10499" max="10499" width="26.375" style="220" customWidth="1"/>
    <col min="10500" max="10502" width="9" style="220"/>
    <col min="10503" max="10503" width="15.25" style="220" customWidth="1"/>
    <col min="10504" max="10504" width="11.25" style="220" customWidth="1"/>
    <col min="10505" max="10505" width="9" style="220"/>
    <col min="10506" max="10506" width="13.375" style="220" customWidth="1"/>
    <col min="10507" max="10507" width="13.25" style="220" customWidth="1"/>
    <col min="10508" max="10508" width="10.75" style="220" customWidth="1"/>
    <col min="10509" max="10509" width="9.25" style="220" customWidth="1"/>
    <col min="10510" max="10752" width="9" style="220"/>
    <col min="10753" max="10753" width="43.125" style="220" customWidth="1"/>
    <col min="10754" max="10754" width="22.5" style="220" customWidth="1"/>
    <col min="10755" max="10755" width="26.375" style="220" customWidth="1"/>
    <col min="10756" max="10758" width="9" style="220"/>
    <col min="10759" max="10759" width="15.25" style="220" customWidth="1"/>
    <col min="10760" max="10760" width="11.25" style="220" customWidth="1"/>
    <col min="10761" max="10761" width="9" style="220"/>
    <col min="10762" max="10762" width="13.375" style="220" customWidth="1"/>
    <col min="10763" max="10763" width="13.25" style="220" customWidth="1"/>
    <col min="10764" max="10764" width="10.75" style="220" customWidth="1"/>
    <col min="10765" max="10765" width="9.25" style="220" customWidth="1"/>
    <col min="10766" max="11008" width="9" style="220"/>
    <col min="11009" max="11009" width="43.125" style="220" customWidth="1"/>
    <col min="11010" max="11010" width="22.5" style="220" customWidth="1"/>
    <col min="11011" max="11011" width="26.375" style="220" customWidth="1"/>
    <col min="11012" max="11014" width="9" style="220"/>
    <col min="11015" max="11015" width="15.25" style="220" customWidth="1"/>
    <col min="11016" max="11016" width="11.25" style="220" customWidth="1"/>
    <col min="11017" max="11017" width="9" style="220"/>
    <col min="11018" max="11018" width="13.375" style="220" customWidth="1"/>
    <col min="11019" max="11019" width="13.25" style="220" customWidth="1"/>
    <col min="11020" max="11020" width="10.75" style="220" customWidth="1"/>
    <col min="11021" max="11021" width="9.25" style="220" customWidth="1"/>
    <col min="11022" max="11264" width="9" style="220"/>
    <col min="11265" max="11265" width="43.125" style="220" customWidth="1"/>
    <col min="11266" max="11266" width="22.5" style="220" customWidth="1"/>
    <col min="11267" max="11267" width="26.375" style="220" customWidth="1"/>
    <col min="11268" max="11270" width="9" style="220"/>
    <col min="11271" max="11271" width="15.25" style="220" customWidth="1"/>
    <col min="11272" max="11272" width="11.25" style="220" customWidth="1"/>
    <col min="11273" max="11273" width="9" style="220"/>
    <col min="11274" max="11274" width="13.375" style="220" customWidth="1"/>
    <col min="11275" max="11275" width="13.25" style="220" customWidth="1"/>
    <col min="11276" max="11276" width="10.75" style="220" customWidth="1"/>
    <col min="11277" max="11277" width="9.25" style="220" customWidth="1"/>
    <col min="11278" max="11520" width="9" style="220"/>
    <col min="11521" max="11521" width="43.125" style="220" customWidth="1"/>
    <col min="11522" max="11522" width="22.5" style="220" customWidth="1"/>
    <col min="11523" max="11523" width="26.375" style="220" customWidth="1"/>
    <col min="11524" max="11526" width="9" style="220"/>
    <col min="11527" max="11527" width="15.25" style="220" customWidth="1"/>
    <col min="11528" max="11528" width="11.25" style="220" customWidth="1"/>
    <col min="11529" max="11529" width="9" style="220"/>
    <col min="11530" max="11530" width="13.375" style="220" customWidth="1"/>
    <col min="11531" max="11531" width="13.25" style="220" customWidth="1"/>
    <col min="11532" max="11532" width="10.75" style="220" customWidth="1"/>
    <col min="11533" max="11533" width="9.25" style="220" customWidth="1"/>
    <col min="11534" max="11776" width="9" style="220"/>
    <col min="11777" max="11777" width="43.125" style="220" customWidth="1"/>
    <col min="11778" max="11778" width="22.5" style="220" customWidth="1"/>
    <col min="11779" max="11779" width="26.375" style="220" customWidth="1"/>
    <col min="11780" max="11782" width="9" style="220"/>
    <col min="11783" max="11783" width="15.25" style="220" customWidth="1"/>
    <col min="11784" max="11784" width="11.25" style="220" customWidth="1"/>
    <col min="11785" max="11785" width="9" style="220"/>
    <col min="11786" max="11786" width="13.375" style="220" customWidth="1"/>
    <col min="11787" max="11787" width="13.25" style="220" customWidth="1"/>
    <col min="11788" max="11788" width="10.75" style="220" customWidth="1"/>
    <col min="11789" max="11789" width="9.25" style="220" customWidth="1"/>
    <col min="11790" max="12032" width="9" style="220"/>
    <col min="12033" max="12033" width="43.125" style="220" customWidth="1"/>
    <col min="12034" max="12034" width="22.5" style="220" customWidth="1"/>
    <col min="12035" max="12035" width="26.375" style="220" customWidth="1"/>
    <col min="12036" max="12038" width="9" style="220"/>
    <col min="12039" max="12039" width="15.25" style="220" customWidth="1"/>
    <col min="12040" max="12040" width="11.25" style="220" customWidth="1"/>
    <col min="12041" max="12041" width="9" style="220"/>
    <col min="12042" max="12042" width="13.375" style="220" customWidth="1"/>
    <col min="12043" max="12043" width="13.25" style="220" customWidth="1"/>
    <col min="12044" max="12044" width="10.75" style="220" customWidth="1"/>
    <col min="12045" max="12045" width="9.25" style="220" customWidth="1"/>
    <col min="12046" max="12288" width="9" style="220"/>
    <col min="12289" max="12289" width="43.125" style="220" customWidth="1"/>
    <col min="12290" max="12290" width="22.5" style="220" customWidth="1"/>
    <col min="12291" max="12291" width="26.375" style="220" customWidth="1"/>
    <col min="12292" max="12294" width="9" style="220"/>
    <col min="12295" max="12295" width="15.25" style="220" customWidth="1"/>
    <col min="12296" max="12296" width="11.25" style="220" customWidth="1"/>
    <col min="12297" max="12297" width="9" style="220"/>
    <col min="12298" max="12298" width="13.375" style="220" customWidth="1"/>
    <col min="12299" max="12299" width="13.25" style="220" customWidth="1"/>
    <col min="12300" max="12300" width="10.75" style="220" customWidth="1"/>
    <col min="12301" max="12301" width="9.25" style="220" customWidth="1"/>
    <col min="12302" max="12544" width="9" style="220"/>
    <col min="12545" max="12545" width="43.125" style="220" customWidth="1"/>
    <col min="12546" max="12546" width="22.5" style="220" customWidth="1"/>
    <col min="12547" max="12547" width="26.375" style="220" customWidth="1"/>
    <col min="12548" max="12550" width="9" style="220"/>
    <col min="12551" max="12551" width="15.25" style="220" customWidth="1"/>
    <col min="12552" max="12552" width="11.25" style="220" customWidth="1"/>
    <col min="12553" max="12553" width="9" style="220"/>
    <col min="12554" max="12554" width="13.375" style="220" customWidth="1"/>
    <col min="12555" max="12555" width="13.25" style="220" customWidth="1"/>
    <col min="12556" max="12556" width="10.75" style="220" customWidth="1"/>
    <col min="12557" max="12557" width="9.25" style="220" customWidth="1"/>
    <col min="12558" max="12800" width="9" style="220"/>
    <col min="12801" max="12801" width="43.125" style="220" customWidth="1"/>
    <col min="12802" max="12802" width="22.5" style="220" customWidth="1"/>
    <col min="12803" max="12803" width="26.375" style="220" customWidth="1"/>
    <col min="12804" max="12806" width="9" style="220"/>
    <col min="12807" max="12807" width="15.25" style="220" customWidth="1"/>
    <col min="12808" max="12808" width="11.25" style="220" customWidth="1"/>
    <col min="12809" max="12809" width="9" style="220"/>
    <col min="12810" max="12810" width="13.375" style="220" customWidth="1"/>
    <col min="12811" max="12811" width="13.25" style="220" customWidth="1"/>
    <col min="12812" max="12812" width="10.75" style="220" customWidth="1"/>
    <col min="12813" max="12813" width="9.25" style="220" customWidth="1"/>
    <col min="12814" max="13056" width="9" style="220"/>
    <col min="13057" max="13057" width="43.125" style="220" customWidth="1"/>
    <col min="13058" max="13058" width="22.5" style="220" customWidth="1"/>
    <col min="13059" max="13059" width="26.375" style="220" customWidth="1"/>
    <col min="13060" max="13062" width="9" style="220"/>
    <col min="13063" max="13063" width="15.25" style="220" customWidth="1"/>
    <col min="13064" max="13064" width="11.25" style="220" customWidth="1"/>
    <col min="13065" max="13065" width="9" style="220"/>
    <col min="13066" max="13066" width="13.375" style="220" customWidth="1"/>
    <col min="13067" max="13067" width="13.25" style="220" customWidth="1"/>
    <col min="13068" max="13068" width="10.75" style="220" customWidth="1"/>
    <col min="13069" max="13069" width="9.25" style="220" customWidth="1"/>
    <col min="13070" max="13312" width="9" style="220"/>
    <col min="13313" max="13313" width="43.125" style="220" customWidth="1"/>
    <col min="13314" max="13314" width="22.5" style="220" customWidth="1"/>
    <col min="13315" max="13315" width="26.375" style="220" customWidth="1"/>
    <col min="13316" max="13318" width="9" style="220"/>
    <col min="13319" max="13319" width="15.25" style="220" customWidth="1"/>
    <col min="13320" max="13320" width="11.25" style="220" customWidth="1"/>
    <col min="13321" max="13321" width="9" style="220"/>
    <col min="13322" max="13322" width="13.375" style="220" customWidth="1"/>
    <col min="13323" max="13323" width="13.25" style="220" customWidth="1"/>
    <col min="13324" max="13324" width="10.75" style="220" customWidth="1"/>
    <col min="13325" max="13325" width="9.25" style="220" customWidth="1"/>
    <col min="13326" max="13568" width="9" style="220"/>
    <col min="13569" max="13569" width="43.125" style="220" customWidth="1"/>
    <col min="13570" max="13570" width="22.5" style="220" customWidth="1"/>
    <col min="13571" max="13571" width="26.375" style="220" customWidth="1"/>
    <col min="13572" max="13574" width="9" style="220"/>
    <col min="13575" max="13575" width="15.25" style="220" customWidth="1"/>
    <col min="13576" max="13576" width="11.25" style="220" customWidth="1"/>
    <col min="13577" max="13577" width="9" style="220"/>
    <col min="13578" max="13578" width="13.375" style="220" customWidth="1"/>
    <col min="13579" max="13579" width="13.25" style="220" customWidth="1"/>
    <col min="13580" max="13580" width="10.75" style="220" customWidth="1"/>
    <col min="13581" max="13581" width="9.25" style="220" customWidth="1"/>
    <col min="13582" max="13824" width="9" style="220"/>
    <col min="13825" max="13825" width="43.125" style="220" customWidth="1"/>
    <col min="13826" max="13826" width="22.5" style="220" customWidth="1"/>
    <col min="13827" max="13827" width="26.375" style="220" customWidth="1"/>
    <col min="13828" max="13830" width="9" style="220"/>
    <col min="13831" max="13831" width="15.25" style="220" customWidth="1"/>
    <col min="13832" max="13832" width="11.25" style="220" customWidth="1"/>
    <col min="13833" max="13833" width="9" style="220"/>
    <col min="13834" max="13834" width="13.375" style="220" customWidth="1"/>
    <col min="13835" max="13835" width="13.25" style="220" customWidth="1"/>
    <col min="13836" max="13836" width="10.75" style="220" customWidth="1"/>
    <col min="13837" max="13837" width="9.25" style="220" customWidth="1"/>
    <col min="13838" max="14080" width="9" style="220"/>
    <col min="14081" max="14081" width="43.125" style="220" customWidth="1"/>
    <col min="14082" max="14082" width="22.5" style="220" customWidth="1"/>
    <col min="14083" max="14083" width="26.375" style="220" customWidth="1"/>
    <col min="14084" max="14086" width="9" style="220"/>
    <col min="14087" max="14087" width="15.25" style="220" customWidth="1"/>
    <col min="14088" max="14088" width="11.25" style="220" customWidth="1"/>
    <col min="14089" max="14089" width="9" style="220"/>
    <col min="14090" max="14090" width="13.375" style="220" customWidth="1"/>
    <col min="14091" max="14091" width="13.25" style="220" customWidth="1"/>
    <col min="14092" max="14092" width="10.75" style="220" customWidth="1"/>
    <col min="14093" max="14093" width="9.25" style="220" customWidth="1"/>
    <col min="14094" max="14336" width="9" style="220"/>
    <col min="14337" max="14337" width="43.125" style="220" customWidth="1"/>
    <col min="14338" max="14338" width="22.5" style="220" customWidth="1"/>
    <col min="14339" max="14339" width="26.375" style="220" customWidth="1"/>
    <col min="14340" max="14342" width="9" style="220"/>
    <col min="14343" max="14343" width="15.25" style="220" customWidth="1"/>
    <col min="14344" max="14344" width="11.25" style="220" customWidth="1"/>
    <col min="14345" max="14345" width="9" style="220"/>
    <col min="14346" max="14346" width="13.375" style="220" customWidth="1"/>
    <col min="14347" max="14347" width="13.25" style="220" customWidth="1"/>
    <col min="14348" max="14348" width="10.75" style="220" customWidth="1"/>
    <col min="14349" max="14349" width="9.25" style="220" customWidth="1"/>
    <col min="14350" max="14592" width="9" style="220"/>
    <col min="14593" max="14593" width="43.125" style="220" customWidth="1"/>
    <col min="14594" max="14594" width="22.5" style="220" customWidth="1"/>
    <col min="14595" max="14595" width="26.375" style="220" customWidth="1"/>
    <col min="14596" max="14598" width="9" style="220"/>
    <col min="14599" max="14599" width="15.25" style="220" customWidth="1"/>
    <col min="14600" max="14600" width="11.25" style="220" customWidth="1"/>
    <col min="14601" max="14601" width="9" style="220"/>
    <col min="14602" max="14602" width="13.375" style="220" customWidth="1"/>
    <col min="14603" max="14603" width="13.25" style="220" customWidth="1"/>
    <col min="14604" max="14604" width="10.75" style="220" customWidth="1"/>
    <col min="14605" max="14605" width="9.25" style="220" customWidth="1"/>
    <col min="14606" max="14848" width="9" style="220"/>
    <col min="14849" max="14849" width="43.125" style="220" customWidth="1"/>
    <col min="14850" max="14850" width="22.5" style="220" customWidth="1"/>
    <col min="14851" max="14851" width="26.375" style="220" customWidth="1"/>
    <col min="14852" max="14854" width="9" style="220"/>
    <col min="14855" max="14855" width="15.25" style="220" customWidth="1"/>
    <col min="14856" max="14856" width="11.25" style="220" customWidth="1"/>
    <col min="14857" max="14857" width="9" style="220"/>
    <col min="14858" max="14858" width="13.375" style="220" customWidth="1"/>
    <col min="14859" max="14859" width="13.25" style="220" customWidth="1"/>
    <col min="14860" max="14860" width="10.75" style="220" customWidth="1"/>
    <col min="14861" max="14861" width="9.25" style="220" customWidth="1"/>
    <col min="14862" max="15104" width="9" style="220"/>
    <col min="15105" max="15105" width="43.125" style="220" customWidth="1"/>
    <col min="15106" max="15106" width="22.5" style="220" customWidth="1"/>
    <col min="15107" max="15107" width="26.375" style="220" customWidth="1"/>
    <col min="15108" max="15110" width="9" style="220"/>
    <col min="15111" max="15111" width="15.25" style="220" customWidth="1"/>
    <col min="15112" max="15112" width="11.25" style="220" customWidth="1"/>
    <col min="15113" max="15113" width="9" style="220"/>
    <col min="15114" max="15114" width="13.375" style="220" customWidth="1"/>
    <col min="15115" max="15115" width="13.25" style="220" customWidth="1"/>
    <col min="15116" max="15116" width="10.75" style="220" customWidth="1"/>
    <col min="15117" max="15117" width="9.25" style="220" customWidth="1"/>
    <col min="15118" max="15360" width="9" style="220"/>
    <col min="15361" max="15361" width="43.125" style="220" customWidth="1"/>
    <col min="15362" max="15362" width="22.5" style="220" customWidth="1"/>
    <col min="15363" max="15363" width="26.375" style="220" customWidth="1"/>
    <col min="15364" max="15366" width="9" style="220"/>
    <col min="15367" max="15367" width="15.25" style="220" customWidth="1"/>
    <col min="15368" max="15368" width="11.25" style="220" customWidth="1"/>
    <col min="15369" max="15369" width="9" style="220"/>
    <col min="15370" max="15370" width="13.375" style="220" customWidth="1"/>
    <col min="15371" max="15371" width="13.25" style="220" customWidth="1"/>
    <col min="15372" max="15372" width="10.75" style="220" customWidth="1"/>
    <col min="15373" max="15373" width="9.25" style="220" customWidth="1"/>
    <col min="15374" max="15616" width="9" style="220"/>
    <col min="15617" max="15617" width="43.125" style="220" customWidth="1"/>
    <col min="15618" max="15618" width="22.5" style="220" customWidth="1"/>
    <col min="15619" max="15619" width="26.375" style="220" customWidth="1"/>
    <col min="15620" max="15622" width="9" style="220"/>
    <col min="15623" max="15623" width="15.25" style="220" customWidth="1"/>
    <col min="15624" max="15624" width="11.25" style="220" customWidth="1"/>
    <col min="15625" max="15625" width="9" style="220"/>
    <col min="15626" max="15626" width="13.375" style="220" customWidth="1"/>
    <col min="15627" max="15627" width="13.25" style="220" customWidth="1"/>
    <col min="15628" max="15628" width="10.75" style="220" customWidth="1"/>
    <col min="15629" max="15629" width="9.25" style="220" customWidth="1"/>
    <col min="15630" max="15872" width="9" style="220"/>
    <col min="15873" max="15873" width="43.125" style="220" customWidth="1"/>
    <col min="15874" max="15874" width="22.5" style="220" customWidth="1"/>
    <col min="15875" max="15875" width="26.375" style="220" customWidth="1"/>
    <col min="15876" max="15878" width="9" style="220"/>
    <col min="15879" max="15879" width="15.25" style="220" customWidth="1"/>
    <col min="15880" max="15880" width="11.25" style="220" customWidth="1"/>
    <col min="15881" max="15881" width="9" style="220"/>
    <col min="15882" max="15882" width="13.375" style="220" customWidth="1"/>
    <col min="15883" max="15883" width="13.25" style="220" customWidth="1"/>
    <col min="15884" max="15884" width="10.75" style="220" customWidth="1"/>
    <col min="15885" max="15885" width="9.25" style="220" customWidth="1"/>
    <col min="15886" max="16128" width="9" style="220"/>
    <col min="16129" max="16129" width="43.125" style="220" customWidth="1"/>
    <col min="16130" max="16130" width="22.5" style="220" customWidth="1"/>
    <col min="16131" max="16131" width="26.375" style="220" customWidth="1"/>
    <col min="16132" max="16134" width="9" style="220"/>
    <col min="16135" max="16135" width="15.25" style="220" customWidth="1"/>
    <col min="16136" max="16136" width="11.25" style="220" customWidth="1"/>
    <col min="16137" max="16137" width="9" style="220"/>
    <col min="16138" max="16138" width="13.375" style="220" customWidth="1"/>
    <col min="16139" max="16139" width="13.25" style="220" customWidth="1"/>
    <col min="16140" max="16140" width="10.75" style="220" customWidth="1"/>
    <col min="16141" max="16141" width="9.25" style="220" customWidth="1"/>
    <col min="16142" max="16384" width="9" style="220"/>
  </cols>
  <sheetData>
    <row r="1" spans="1:16" ht="24.95" customHeight="1">
      <c r="A1" s="570" t="s">
        <v>403</v>
      </c>
      <c r="B1" s="570"/>
      <c r="C1" s="570"/>
      <c r="E1" s="569" t="s">
        <v>856</v>
      </c>
      <c r="F1" s="569"/>
      <c r="G1" s="569"/>
      <c r="H1" s="569"/>
      <c r="I1" s="569"/>
      <c r="K1" s="571" t="s">
        <v>588</v>
      </c>
      <c r="L1" s="571"/>
      <c r="M1" s="571"/>
      <c r="N1" s="571"/>
      <c r="O1" s="571"/>
      <c r="P1" s="215"/>
    </row>
    <row r="2" spans="1:16" s="214" customFormat="1" ht="24.95" customHeight="1">
      <c r="A2" s="225" t="s">
        <v>293</v>
      </c>
      <c r="B2" s="216" t="s">
        <v>28</v>
      </c>
      <c r="C2" s="216" t="s">
        <v>1</v>
      </c>
      <c r="E2" s="459" t="s">
        <v>0</v>
      </c>
      <c r="F2" s="459" t="s">
        <v>840</v>
      </c>
      <c r="G2" s="459" t="s">
        <v>7</v>
      </c>
      <c r="H2" s="459" t="s">
        <v>842</v>
      </c>
      <c r="I2" s="459" t="s">
        <v>843</v>
      </c>
      <c r="K2" s="459" t="str">
        <f>'3#楼工程量统计'!N4</f>
        <v>序号</v>
      </c>
      <c r="L2" s="459" t="str">
        <f>'3#楼工程量统计'!O4</f>
        <v>窗型</v>
      </c>
      <c r="M2" s="459" t="str">
        <f>'3#楼工程量统计'!P4</f>
        <v>面积</v>
      </c>
      <c r="N2" s="459" t="str">
        <f>'3#楼工程量统计'!Q4</f>
        <v>成本单价</v>
      </c>
      <c r="O2" s="459" t="str">
        <f>'3#楼工程量统计'!R4</f>
        <v>成本合价</v>
      </c>
      <c r="P2" s="215"/>
    </row>
    <row r="3" spans="1:16" s="214" customFormat="1" ht="24.95" customHeight="1">
      <c r="A3" s="226" t="s">
        <v>861</v>
      </c>
      <c r="B3" s="217">
        <v>7.5</v>
      </c>
      <c r="C3" s="217"/>
      <c r="E3" s="459">
        <v>1</v>
      </c>
      <c r="F3" s="459" t="s">
        <v>844</v>
      </c>
      <c r="G3" s="458">
        <f>M3+M14+M25+M36+M47</f>
        <v>5489.0779999999995</v>
      </c>
      <c r="H3" s="458">
        <f>I3/G3</f>
        <v>1497.9922826729735</v>
      </c>
      <c r="I3" s="458">
        <f>O3+O14+O25+O36+O47</f>
        <v>8222596.4829899995</v>
      </c>
      <c r="J3" s="469">
        <f>H3+20</f>
        <v>1517.9922826729735</v>
      </c>
      <c r="K3" s="459">
        <f>'3#楼工程量统计'!N5</f>
        <v>1</v>
      </c>
      <c r="L3" s="459" t="str">
        <f>'3#楼工程量统计'!O5</f>
        <v>65F铝合金门</v>
      </c>
      <c r="M3" s="458">
        <f>'3#楼工程量统计'!P5</f>
        <v>1719.3529999999996</v>
      </c>
      <c r="N3" s="458">
        <f>'3#楼工程量统计'!Q5</f>
        <v>1627.2159455271842</v>
      </c>
      <c r="O3" s="458">
        <f>'3#楼工程量统计'!R5</f>
        <v>2797758.6175899999</v>
      </c>
      <c r="P3" s="215"/>
    </row>
    <row r="4" spans="1:16" s="214" customFormat="1" ht="24.95" customHeight="1">
      <c r="A4" s="226" t="s">
        <v>142</v>
      </c>
      <c r="B4" s="217">
        <f>21030*1.05</f>
        <v>22081.5</v>
      </c>
      <c r="C4" s="217" t="s">
        <v>860</v>
      </c>
      <c r="E4" s="459">
        <v>2</v>
      </c>
      <c r="F4" s="459" t="s">
        <v>846</v>
      </c>
      <c r="G4" s="458">
        <f>M4+M15+M26+M37+M48</f>
        <v>5125.1959999999999</v>
      </c>
      <c r="H4" s="458">
        <f t="shared" ref="H4:H5" si="0">I4/G4</f>
        <v>1475.3155473702859</v>
      </c>
      <c r="I4" s="458">
        <f t="shared" ref="G4:I10" si="1">O4+O15+O26+O37+O48</f>
        <v>7561281.3421199992</v>
      </c>
      <c r="J4" s="469">
        <f t="shared" ref="J4:J10" si="2">H4+20</f>
        <v>1495.3155473702859</v>
      </c>
      <c r="K4" s="459">
        <f>'3#楼工程量统计'!N6</f>
        <v>2</v>
      </c>
      <c r="L4" s="459" t="str">
        <f>'3#楼工程量统计'!O6</f>
        <v>65F铝合金窗</v>
      </c>
      <c r="M4" s="458">
        <f>'3#楼工程量统计'!P6</f>
        <v>2933.3959999999997</v>
      </c>
      <c r="N4" s="458">
        <f>'3#楼工程量统计'!Q6</f>
        <v>1427.8592214348148</v>
      </c>
      <c r="O4" s="458">
        <f>'3#楼工程量统计'!R6</f>
        <v>4188476.5287199998</v>
      </c>
      <c r="P4" s="215"/>
    </row>
    <row r="5" spans="1:16" s="215" customFormat="1" ht="24.95" customHeight="1">
      <c r="A5" s="226" t="s">
        <v>859</v>
      </c>
      <c r="B5" s="217">
        <v>24000</v>
      </c>
      <c r="C5" s="217" t="s">
        <v>458</v>
      </c>
      <c r="E5" s="459">
        <v>3</v>
      </c>
      <c r="F5" s="459" t="s">
        <v>848</v>
      </c>
      <c r="G5" s="458">
        <f t="shared" si="1"/>
        <v>791.39</v>
      </c>
      <c r="H5" s="458">
        <f t="shared" si="0"/>
        <v>1362.8416476073744</v>
      </c>
      <c r="I5" s="458">
        <f t="shared" si="1"/>
        <v>1078539.2515</v>
      </c>
      <c r="J5" s="469">
        <f t="shared" si="2"/>
        <v>1382.8416476073744</v>
      </c>
      <c r="K5" s="459">
        <f>'3#楼工程量统计'!N7</f>
        <v>3</v>
      </c>
      <c r="L5" s="459" t="str">
        <f>'3#楼工程量统计'!O7</f>
        <v>125铝合金幕墙</v>
      </c>
      <c r="M5" s="458">
        <f>'3#楼工程量统计'!P7</f>
        <v>111.47999999999999</v>
      </c>
      <c r="N5" s="458">
        <f>'3#楼工程量统计'!Q7</f>
        <v>1855.0400000000002</v>
      </c>
      <c r="O5" s="458">
        <f>'3#楼工程量统计'!R7</f>
        <v>206799.85920000001</v>
      </c>
    </row>
    <row r="6" spans="1:16" s="214" customFormat="1" ht="24.95" customHeight="1">
      <c r="A6" s="226" t="s">
        <v>148</v>
      </c>
      <c r="B6" s="217">
        <v>17700</v>
      </c>
      <c r="C6" s="217" t="s">
        <v>316</v>
      </c>
      <c r="E6" s="459">
        <v>4</v>
      </c>
      <c r="F6" s="459" t="s">
        <v>850</v>
      </c>
      <c r="G6" s="458">
        <f>M6+M17+M28+M39+M50</f>
        <v>1121.338</v>
      </c>
      <c r="H6" s="458">
        <f>I6/G6</f>
        <v>971.62761986127293</v>
      </c>
      <c r="I6" s="458">
        <f>O6+O17+O28+O39+O50</f>
        <v>1089522.9720000001</v>
      </c>
      <c r="J6" s="469">
        <f t="shared" si="2"/>
        <v>991.62761986127293</v>
      </c>
      <c r="K6" s="459">
        <f>'3#楼工程量统计'!N8</f>
        <v>4</v>
      </c>
      <c r="L6" s="459" t="str">
        <f>'3#楼工程量统计'!O8</f>
        <v>铝合金百叶窗</v>
      </c>
      <c r="M6" s="458">
        <f>'3#楼工程量统计'!P8</f>
        <v>114.52800000000001</v>
      </c>
      <c r="N6" s="458">
        <f>'3#楼工程量统计'!Q8</f>
        <v>793.99999999999989</v>
      </c>
      <c r="O6" s="458">
        <f>'3#楼工程量统计'!R8</f>
        <v>90935.231999999989</v>
      </c>
      <c r="P6" s="215"/>
    </row>
    <row r="7" spans="1:16" s="214" customFormat="1" ht="24.95" customHeight="1">
      <c r="A7" s="226" t="s">
        <v>955</v>
      </c>
      <c r="B7" s="217">
        <v>19200</v>
      </c>
      <c r="C7" s="217"/>
      <c r="E7" s="459">
        <v>5</v>
      </c>
      <c r="F7" s="459" t="s">
        <v>581</v>
      </c>
      <c r="G7" s="458">
        <f t="shared" si="1"/>
        <v>174.42</v>
      </c>
      <c r="H7" s="458">
        <f>I7/G7</f>
        <v>1117.43</v>
      </c>
      <c r="I7" s="458">
        <f t="shared" si="1"/>
        <v>194902.14060000001</v>
      </c>
      <c r="J7" s="469">
        <f t="shared" si="2"/>
        <v>1137.43</v>
      </c>
      <c r="K7" s="459">
        <f>'3#楼工程量统计'!N9</f>
        <v>5</v>
      </c>
      <c r="L7" s="459" t="str">
        <f>'3#楼工程量统计'!O9</f>
        <v>通透格栅</v>
      </c>
      <c r="M7" s="458">
        <f>'3#楼工程量统计'!P9</f>
        <v>0</v>
      </c>
      <c r="N7" s="458">
        <f>'3#楼工程量统计'!Q9</f>
        <v>0</v>
      </c>
      <c r="O7" s="458">
        <f>'3#楼工程量统计'!R9</f>
        <v>0</v>
      </c>
      <c r="P7" s="215"/>
    </row>
    <row r="8" spans="1:16" s="214" customFormat="1" ht="24.95" customHeight="1">
      <c r="A8" s="566" t="s">
        <v>692</v>
      </c>
      <c r="B8" s="567">
        <v>73</v>
      </c>
      <c r="C8" s="567"/>
      <c r="E8" s="459">
        <v>6</v>
      </c>
      <c r="F8" s="459" t="s">
        <v>900</v>
      </c>
      <c r="G8" s="458">
        <f>M8+M19+M30+M41+M52</f>
        <v>1238.2944000000002</v>
      </c>
      <c r="H8" s="458">
        <v>133</v>
      </c>
      <c r="I8" s="458">
        <f>O8+O19+O30+O41+O52</f>
        <v>0</v>
      </c>
      <c r="J8" s="469"/>
      <c r="K8" s="459">
        <f>'3#楼工程量统计'!N10</f>
        <v>6</v>
      </c>
      <c r="L8" s="459" t="str">
        <f>'3#楼工程量统计'!O10</f>
        <v>防蚊纱窗</v>
      </c>
      <c r="M8" s="458">
        <f>'3#楼工程量统计'!P10</f>
        <v>702.18640000000005</v>
      </c>
      <c r="N8" s="458">
        <f>'3#楼工程量统计'!Q10</f>
        <v>0</v>
      </c>
      <c r="O8" s="458">
        <f>'3#楼工程量统计'!R10</f>
        <v>0</v>
      </c>
      <c r="P8" s="218"/>
    </row>
    <row r="9" spans="1:16" s="214" customFormat="1" ht="24.95" customHeight="1">
      <c r="A9" s="226" t="s">
        <v>152</v>
      </c>
      <c r="B9" s="217">
        <v>2900</v>
      </c>
      <c r="C9" s="217"/>
      <c r="E9" s="459">
        <v>7</v>
      </c>
      <c r="F9" s="459" t="s">
        <v>486</v>
      </c>
      <c r="G9" s="458">
        <f>M9+M20+M31+M42+M53</f>
        <v>1765.5</v>
      </c>
      <c r="H9" s="458">
        <v>550</v>
      </c>
      <c r="I9" s="458">
        <f t="shared" si="1"/>
        <v>0</v>
      </c>
      <c r="J9" s="469">
        <f t="shared" si="2"/>
        <v>570</v>
      </c>
      <c r="K9" s="459">
        <f>'3#楼工程量统计'!N11</f>
        <v>7</v>
      </c>
      <c r="L9" s="459" t="str">
        <f>'3#楼工程量统计'!O11</f>
        <v>阳台铝合金栏杆m</v>
      </c>
      <c r="M9" s="458">
        <f>'3#楼工程量统计'!P11</f>
        <v>128.4</v>
      </c>
      <c r="N9" s="458">
        <f>'3#楼工程量统计'!Q11</f>
        <v>0</v>
      </c>
      <c r="O9" s="458">
        <f>'3#楼工程量统计'!R11</f>
        <v>0</v>
      </c>
      <c r="P9" s="218"/>
    </row>
    <row r="10" spans="1:16" s="214" customFormat="1" ht="24.95" customHeight="1">
      <c r="A10" s="229" t="s">
        <v>601</v>
      </c>
      <c r="B10" s="230">
        <f>48+65+35</f>
        <v>148</v>
      </c>
      <c r="C10" s="230"/>
      <c r="E10" s="459">
        <v>8</v>
      </c>
      <c r="F10" s="459" t="s">
        <v>855</v>
      </c>
      <c r="G10" s="458">
        <f>M10+M21+M32+M43+M54</f>
        <v>345</v>
      </c>
      <c r="H10" s="458">
        <v>600</v>
      </c>
      <c r="I10" s="458">
        <f t="shared" si="1"/>
        <v>0</v>
      </c>
      <c r="J10" s="469">
        <f t="shared" si="2"/>
        <v>620</v>
      </c>
      <c r="K10" s="459">
        <f>'3#楼工程量统计'!N12</f>
        <v>8</v>
      </c>
      <c r="L10" s="459" t="str">
        <f>'3#楼工程量统计'!O12</f>
        <v>穿孔铝单板</v>
      </c>
      <c r="M10" s="458">
        <f>'3#楼工程量统计'!P12</f>
        <v>0</v>
      </c>
      <c r="N10" s="458">
        <f>'3#楼工程量统计'!Q12</f>
        <v>0</v>
      </c>
      <c r="O10" s="458">
        <f>'3#楼工程量统计'!R12</f>
        <v>0</v>
      </c>
      <c r="P10" s="218"/>
    </row>
    <row r="11" spans="1:16" s="214" customFormat="1" ht="24.95" customHeight="1">
      <c r="A11" s="229" t="s">
        <v>320</v>
      </c>
      <c r="B11" s="230">
        <v>312</v>
      </c>
      <c r="C11" s="230" t="s">
        <v>371</v>
      </c>
      <c r="E11" s="459">
        <v>9</v>
      </c>
      <c r="F11" s="459"/>
      <c r="G11" s="458">
        <f>SUM(G3:G10)</f>
        <v>16050.216399999999</v>
      </c>
      <c r="H11" s="458">
        <f>I11/G11</f>
        <v>1130.6291290384097</v>
      </c>
      <c r="I11" s="458">
        <f>SUM(I3:I10)</f>
        <v>18146842.189209998</v>
      </c>
      <c r="K11" s="459">
        <f>'3#楼工程量统计'!N13</f>
        <v>9</v>
      </c>
      <c r="L11" s="459">
        <f>'3#楼工程量统计'!O13</f>
        <v>0</v>
      </c>
      <c r="M11" s="458">
        <f>'3#楼工程量统计'!P13</f>
        <v>4878.7569999999996</v>
      </c>
      <c r="N11" s="458">
        <f>'3#楼工程量统计'!Q13</f>
        <v>1492.997137900084</v>
      </c>
      <c r="O11" s="458">
        <f>'3#楼工程量统计'!R13</f>
        <v>7283970.2375099994</v>
      </c>
      <c r="P11" s="218"/>
    </row>
    <row r="12" spans="1:16" s="214" customFormat="1" ht="24.95" customHeight="1">
      <c r="A12" s="229" t="s">
        <v>321</v>
      </c>
      <c r="B12" s="230">
        <v>395</v>
      </c>
      <c r="C12" s="230" t="s">
        <v>372</v>
      </c>
      <c r="K12" s="568" t="s">
        <v>589</v>
      </c>
      <c r="L12" s="568"/>
      <c r="M12" s="568"/>
      <c r="N12" s="568"/>
      <c r="O12" s="568"/>
      <c r="P12" s="218"/>
    </row>
    <row r="13" spans="1:16" s="214" customFormat="1" ht="24.95" customHeight="1">
      <c r="A13" s="229" t="s">
        <v>322</v>
      </c>
      <c r="B13" s="230">
        <v>470</v>
      </c>
      <c r="C13" s="230" t="s">
        <v>372</v>
      </c>
      <c r="G13" s="469"/>
      <c r="K13" s="459" t="str">
        <f>'4#楼工程量统计'!N3</f>
        <v>序号</v>
      </c>
      <c r="L13" s="459" t="str">
        <f>'4#楼工程量统计'!O3</f>
        <v>窗型</v>
      </c>
      <c r="M13" s="459" t="str">
        <f>'4#楼工程量统计'!P3</f>
        <v>面积</v>
      </c>
      <c r="N13" s="459" t="str">
        <f>'4#楼工程量统计'!Q3</f>
        <v>成本单价</v>
      </c>
      <c r="O13" s="459" t="str">
        <f>'4#楼工程量统计'!R3</f>
        <v>成本合价</v>
      </c>
      <c r="P13" s="215"/>
    </row>
    <row r="14" spans="1:16" s="214" customFormat="1" ht="24.95" customHeight="1">
      <c r="A14" s="256" t="s">
        <v>317</v>
      </c>
      <c r="B14" s="257">
        <f>145+8</f>
        <v>153</v>
      </c>
      <c r="C14" s="258" t="s">
        <v>373</v>
      </c>
      <c r="K14" s="459">
        <f>'4#楼工程量统计'!N4</f>
        <v>1</v>
      </c>
      <c r="L14" s="459" t="str">
        <f>'4#楼工程量统计'!O4</f>
        <v>65F铝合金门</v>
      </c>
      <c r="M14" s="458">
        <f>'4#楼工程量统计'!P4</f>
        <v>107.78</v>
      </c>
      <c r="N14" s="458">
        <f>'4#楼工程量统计'!Q4</f>
        <v>1184.9822583039524</v>
      </c>
      <c r="O14" s="458">
        <f>'4#楼工程量统计'!R4</f>
        <v>127717.3878</v>
      </c>
      <c r="P14" s="215"/>
    </row>
    <row r="15" spans="1:16" s="214" customFormat="1" ht="24.95" customHeight="1">
      <c r="A15" s="256" t="s">
        <v>318</v>
      </c>
      <c r="B15" s="257">
        <f>72+8</f>
        <v>80</v>
      </c>
      <c r="C15" s="258" t="s">
        <v>193</v>
      </c>
      <c r="K15" s="459">
        <f>'4#楼工程量统计'!N5</f>
        <v>2</v>
      </c>
      <c r="L15" s="459" t="str">
        <f>'4#楼工程量统计'!O5</f>
        <v>65F铝合金窗</v>
      </c>
      <c r="M15" s="458">
        <f>'4#楼工程量统计'!P5</f>
        <v>644.52</v>
      </c>
      <c r="N15" s="458">
        <f>'4#楼工程量统计'!Q5</f>
        <v>1537.8532695649476</v>
      </c>
      <c r="O15" s="458">
        <f>'4#楼工程量统计'!R5</f>
        <v>991177.18929999997</v>
      </c>
      <c r="P15" s="215"/>
    </row>
    <row r="16" spans="1:16" s="214" customFormat="1" ht="24.95" customHeight="1">
      <c r="A16" s="256" t="s">
        <v>319</v>
      </c>
      <c r="B16" s="257">
        <f>80+8</f>
        <v>88</v>
      </c>
      <c r="C16" s="258" t="s">
        <v>193</v>
      </c>
      <c r="K16" s="459">
        <f>'4#楼工程量统计'!N6</f>
        <v>3</v>
      </c>
      <c r="L16" s="459" t="str">
        <f>'4#楼工程量统计'!O6</f>
        <v>125铝合金幕墙</v>
      </c>
      <c r="M16" s="458">
        <f>'4#楼工程量统计'!P6</f>
        <v>0</v>
      </c>
      <c r="N16" s="458">
        <f>'4#楼工程量统计'!Q6</f>
        <v>0</v>
      </c>
      <c r="O16" s="458">
        <f>'4#楼工程量统计'!R6</f>
        <v>0</v>
      </c>
      <c r="P16" s="215"/>
    </row>
    <row r="17" spans="1:16" s="214" customFormat="1" ht="24.95" customHeight="1">
      <c r="A17" s="256" t="s">
        <v>294</v>
      </c>
      <c r="B17" s="257">
        <f>107+8</f>
        <v>115</v>
      </c>
      <c r="C17" s="258" t="s">
        <v>193</v>
      </c>
      <c r="K17" s="459">
        <f>'4#楼工程量统计'!N7</f>
        <v>4</v>
      </c>
      <c r="L17" s="459" t="str">
        <f>'4#楼工程量统计'!O7</f>
        <v>铝合金百叶窗</v>
      </c>
      <c r="M17" s="458">
        <f>'4#楼工程量统计'!P7</f>
        <v>18.38</v>
      </c>
      <c r="N17" s="458">
        <f>'4#楼工程量统计'!Q7</f>
        <v>964</v>
      </c>
      <c r="O17" s="458">
        <f>'4#楼工程量统计'!R7</f>
        <v>17718.32</v>
      </c>
      <c r="P17" s="215"/>
    </row>
    <row r="18" spans="1:16" s="214" customFormat="1" ht="24.95" customHeight="1">
      <c r="A18" s="256" t="s">
        <v>375</v>
      </c>
      <c r="B18" s="257">
        <f>1150+200</f>
        <v>1350</v>
      </c>
      <c r="C18" s="258" t="s">
        <v>193</v>
      </c>
      <c r="K18" s="459">
        <f>'4#楼工程量统计'!N8</f>
        <v>5</v>
      </c>
      <c r="L18" s="459" t="str">
        <f>'4#楼工程量统计'!O8</f>
        <v>通透格栅</v>
      </c>
      <c r="M18" s="458">
        <f>'4#楼工程量统计'!P8</f>
        <v>0</v>
      </c>
      <c r="N18" s="458">
        <f>'4#楼工程量统计'!Q8</f>
        <v>0</v>
      </c>
      <c r="O18" s="458">
        <f>'4#楼工程量统计'!R8</f>
        <v>0</v>
      </c>
      <c r="P18" s="215"/>
    </row>
    <row r="19" spans="1:16" s="214" customFormat="1" ht="24.95" customHeight="1">
      <c r="A19" s="256" t="s">
        <v>295</v>
      </c>
      <c r="B19" s="257">
        <v>230</v>
      </c>
      <c r="C19" s="258" t="s">
        <v>193</v>
      </c>
      <c r="K19" s="459">
        <f>'4#楼工程量统计'!N9</f>
        <v>6</v>
      </c>
      <c r="L19" s="459" t="str">
        <f>'4#楼工程量统计'!O9</f>
        <v>防蚊纱窗</v>
      </c>
      <c r="M19" s="458">
        <f>'4#楼工程量统计'!P9</f>
        <v>123.81800000000001</v>
      </c>
      <c r="N19" s="458">
        <f>'4#楼工程量统计'!Q9</f>
        <v>0</v>
      </c>
      <c r="O19" s="458">
        <f>'4#楼工程量统计'!R9</f>
        <v>0</v>
      </c>
      <c r="P19" s="215"/>
    </row>
    <row r="20" spans="1:16" s="214" customFormat="1" ht="24.95" customHeight="1">
      <c r="A20" s="256" t="s">
        <v>296</v>
      </c>
      <c r="B20" s="257">
        <v>335</v>
      </c>
      <c r="C20" s="258" t="s">
        <v>193</v>
      </c>
      <c r="K20" s="459">
        <f>'4#楼工程量统计'!N10</f>
        <v>7</v>
      </c>
      <c r="L20" s="459" t="str">
        <f>'4#楼工程量统计'!O10</f>
        <v>阳台铝合金栏杆m</v>
      </c>
      <c r="M20" s="458">
        <f>'4#楼工程量统计'!P10</f>
        <v>0</v>
      </c>
      <c r="N20" s="458">
        <f>'4#楼工程量统计'!Q10</f>
        <v>0</v>
      </c>
      <c r="O20" s="458">
        <f>'4#楼工程量统计'!R10</f>
        <v>0</v>
      </c>
      <c r="P20" s="215"/>
    </row>
    <row r="21" spans="1:16" s="214" customFormat="1" ht="24.95" customHeight="1">
      <c r="A21" s="226"/>
      <c r="B21" s="219"/>
      <c r="C21" s="217"/>
      <c r="K21" s="459">
        <f>'4#楼工程量统计'!N11</f>
        <v>8</v>
      </c>
      <c r="L21" s="459" t="str">
        <f>'4#楼工程量统计'!O11</f>
        <v>穿孔铝单板</v>
      </c>
      <c r="M21" s="458">
        <f>'4#楼工程量统计'!P11</f>
        <v>0</v>
      </c>
      <c r="N21" s="458">
        <f>'4#楼工程量统计'!Q11</f>
        <v>0</v>
      </c>
      <c r="O21" s="458">
        <f>'4#楼工程量统计'!R11</f>
        <v>0</v>
      </c>
      <c r="P21" s="215"/>
    </row>
    <row r="22" spans="1:16" s="214" customFormat="1" ht="24.95" customHeight="1">
      <c r="A22" s="226"/>
      <c r="B22" s="219"/>
      <c r="C22" s="217"/>
      <c r="K22" s="459">
        <f>'4#楼工程量统计'!N12</f>
        <v>9</v>
      </c>
      <c r="L22" s="459">
        <f>'4#楼工程量统计'!O12</f>
        <v>0</v>
      </c>
      <c r="M22" s="458">
        <f>'4#楼工程量统计'!P12</f>
        <v>770.68</v>
      </c>
      <c r="N22" s="458">
        <f>'4#楼工程量统计'!Q12</f>
        <v>1474.8182087247626</v>
      </c>
      <c r="O22" s="458">
        <f>'4#楼工程量统计'!R12</f>
        <v>1136612.8970999999</v>
      </c>
      <c r="P22" s="215"/>
    </row>
    <row r="23" spans="1:16" s="214" customFormat="1" ht="24.95" customHeight="1">
      <c r="A23" s="226" t="s">
        <v>854</v>
      </c>
      <c r="B23" s="219">
        <v>700</v>
      </c>
      <c r="C23" s="217"/>
      <c r="K23" s="572" t="s">
        <v>590</v>
      </c>
      <c r="L23" s="572"/>
      <c r="M23" s="572"/>
      <c r="N23" s="572"/>
      <c r="O23" s="572"/>
      <c r="P23" s="215"/>
    </row>
    <row r="24" spans="1:16" s="214" customFormat="1" ht="24.95" customHeight="1">
      <c r="A24" s="227" t="s">
        <v>385</v>
      </c>
      <c r="B24" s="217">
        <f>23.6/500*300</f>
        <v>14.160000000000002</v>
      </c>
      <c r="C24" s="217" t="s">
        <v>297</v>
      </c>
      <c r="K24" s="459" t="str">
        <f>'5#楼工程量统计'!M4</f>
        <v>序号</v>
      </c>
      <c r="L24" s="459" t="str">
        <f>'5#楼工程量统计'!N4</f>
        <v>窗型</v>
      </c>
      <c r="M24" s="459" t="str">
        <f>'5#楼工程量统计'!O4</f>
        <v>面积</v>
      </c>
      <c r="N24" s="459" t="str">
        <f>'5#楼工程量统计'!P4</f>
        <v>成本单价</v>
      </c>
      <c r="O24" s="459" t="str">
        <f>'5#楼工程量统计'!Q4</f>
        <v>成本合价</v>
      </c>
      <c r="P24" s="215"/>
    </row>
    <row r="25" spans="1:16" s="214" customFormat="1" ht="24.95" customHeight="1">
      <c r="A25" s="227" t="s">
        <v>374</v>
      </c>
      <c r="B25" s="217">
        <f>14.2/500*300</f>
        <v>8.52</v>
      </c>
      <c r="C25" s="217" t="s">
        <v>297</v>
      </c>
      <c r="K25" s="459">
        <f>'5#楼工程量统计'!M5</f>
        <v>1</v>
      </c>
      <c r="L25" s="459" t="str">
        <f>'5#楼工程量统计'!N5</f>
        <v>65F铝合金门</v>
      </c>
      <c r="M25" s="458">
        <f>'5#楼工程量统计'!O5</f>
        <v>1236.6049999999998</v>
      </c>
      <c r="N25" s="458">
        <f>'5#楼工程量统计'!P5</f>
        <v>1406.6720088468023</v>
      </c>
      <c r="O25" s="458">
        <f>'5#楼工程量统计'!Q5</f>
        <v>1739497.6394999998</v>
      </c>
      <c r="P25" s="215"/>
    </row>
    <row r="26" spans="1:16" s="214" customFormat="1" ht="24.95" customHeight="1">
      <c r="A26" s="227" t="s">
        <v>221</v>
      </c>
      <c r="B26" s="217">
        <v>23</v>
      </c>
      <c r="C26" s="217" t="s">
        <v>298</v>
      </c>
      <c r="K26" s="459">
        <f>'5#楼工程量统计'!M6</f>
        <v>2</v>
      </c>
      <c r="L26" s="459" t="str">
        <f>'5#楼工程量统计'!N6</f>
        <v>65F铝合金窗</v>
      </c>
      <c r="M26" s="458">
        <f>'5#楼工程量统计'!O6</f>
        <v>174.02999999999997</v>
      </c>
      <c r="N26" s="458">
        <f>'5#楼工程量统计'!P6</f>
        <v>1589.7680991783027</v>
      </c>
      <c r="O26" s="458">
        <f>'5#楼工程量统计'!Q6</f>
        <v>276667.34229999996</v>
      </c>
      <c r="P26" s="215"/>
    </row>
    <row r="27" spans="1:16" s="214" customFormat="1" ht="24.95" customHeight="1">
      <c r="A27" s="227" t="s">
        <v>401</v>
      </c>
      <c r="B27" s="217"/>
      <c r="C27" s="217"/>
      <c r="K27" s="459">
        <f>'5#楼工程量统计'!M7</f>
        <v>3</v>
      </c>
      <c r="L27" s="459" t="str">
        <f>'5#楼工程量统计'!N7</f>
        <v>125铝合金幕墙</v>
      </c>
      <c r="M27" s="458">
        <f>'5#楼工程量统计'!O7</f>
        <v>211.68</v>
      </c>
      <c r="N27" s="458">
        <f>'5#楼工程量统计'!P7</f>
        <v>1118.645</v>
      </c>
      <c r="O27" s="458">
        <f>'5#楼工程量统计'!Q7</f>
        <v>236794.77360000001</v>
      </c>
      <c r="P27" s="215"/>
    </row>
    <row r="28" spans="1:16" ht="24.95" customHeight="1">
      <c r="A28" s="227" t="s">
        <v>204</v>
      </c>
      <c r="B28" s="217">
        <v>118</v>
      </c>
      <c r="C28" s="217"/>
      <c r="K28" s="459">
        <f>'5#楼工程量统计'!M8</f>
        <v>4</v>
      </c>
      <c r="L28" s="459" t="str">
        <f>'5#楼工程量统计'!N8</f>
        <v>铝合金百叶窗</v>
      </c>
      <c r="M28" s="458">
        <f>'5#楼工程量统计'!O8</f>
        <v>329.84000000000003</v>
      </c>
      <c r="N28" s="458">
        <f>'5#楼工程量统计'!P8</f>
        <v>1004</v>
      </c>
      <c r="O28" s="458">
        <f>'5#楼工程量统计'!Q8</f>
        <v>331159.36000000004</v>
      </c>
    </row>
    <row r="29" spans="1:16" ht="24.95" customHeight="1">
      <c r="K29" s="459">
        <f>'5#楼工程量统计'!M9</f>
        <v>5</v>
      </c>
      <c r="L29" s="459" t="str">
        <f>'5#楼工程量统计'!N9</f>
        <v>通透格栅</v>
      </c>
      <c r="M29" s="458">
        <f>'5#楼工程量统计'!O9</f>
        <v>0</v>
      </c>
      <c r="N29" s="458">
        <f>'5#楼工程量统计'!P9</f>
        <v>0</v>
      </c>
      <c r="O29" s="458">
        <f>'5#楼工程量统计'!Q9</f>
        <v>0</v>
      </c>
    </row>
    <row r="30" spans="1:16" ht="24.95" customHeight="1">
      <c r="K30" s="459">
        <f>'5#楼工程量统计'!M10</f>
        <v>6</v>
      </c>
      <c r="L30" s="459" t="str">
        <f>'5#楼工程量统计'!N10</f>
        <v>防蚊纱窗</v>
      </c>
      <c r="M30" s="458">
        <f>'5#楼工程量统计'!O10</f>
        <v>121.60000000000002</v>
      </c>
      <c r="N30" s="458">
        <f>'5#楼工程量统计'!P10</f>
        <v>0</v>
      </c>
      <c r="O30" s="458">
        <f>'5#楼工程量统计'!Q10</f>
        <v>0</v>
      </c>
    </row>
    <row r="31" spans="1:16" ht="24.95" customHeight="1">
      <c r="K31" s="459">
        <f>'5#楼工程量统计'!M11</f>
        <v>7</v>
      </c>
      <c r="L31" s="459" t="str">
        <f>'5#楼工程量统计'!N11</f>
        <v>阳台铝合金栏杆m</v>
      </c>
      <c r="M31" s="458">
        <f>'5#楼工程量统计'!O11</f>
        <v>483.29999999999995</v>
      </c>
      <c r="N31" s="458">
        <f>'5#楼工程量统计'!P11</f>
        <v>0</v>
      </c>
      <c r="O31" s="458">
        <f>'5#楼工程量统计'!Q11</f>
        <v>0</v>
      </c>
    </row>
    <row r="32" spans="1:16" ht="24.95" customHeight="1">
      <c r="K32" s="459">
        <f>'5#楼工程量统计'!M12</f>
        <v>8</v>
      </c>
      <c r="L32" s="459" t="str">
        <f>'5#楼工程量统计'!N12</f>
        <v>穿孔铝单板</v>
      </c>
      <c r="M32" s="458">
        <f>'5#楼工程量统计'!O12</f>
        <v>135</v>
      </c>
      <c r="N32" s="458">
        <f>'5#楼工程量统计'!P12</f>
        <v>0</v>
      </c>
      <c r="O32" s="458">
        <f>'5#楼工程量统计'!Q12</f>
        <v>0</v>
      </c>
    </row>
    <row r="33" spans="11:15" ht="24.95" customHeight="1">
      <c r="K33" s="459">
        <f>'5#楼工程量统计'!M13</f>
        <v>9</v>
      </c>
      <c r="L33" s="459">
        <f>'5#楼工程量统计'!N13</f>
        <v>0</v>
      </c>
      <c r="M33" s="458">
        <f>'5#楼工程量统计'!O13</f>
        <v>1952.1549999999997</v>
      </c>
      <c r="N33" s="458">
        <f>'5#楼工程量统计'!P13</f>
        <v>1323.7264025653701</v>
      </c>
      <c r="O33" s="458">
        <f>'5#楼工程量统计'!Q13</f>
        <v>2584119.1153999995</v>
      </c>
    </row>
    <row r="34" spans="11:15" ht="24.95" customHeight="1">
      <c r="K34" s="568" t="s">
        <v>591</v>
      </c>
      <c r="L34" s="568"/>
      <c r="M34" s="568"/>
      <c r="N34" s="568"/>
      <c r="O34" s="568"/>
    </row>
    <row r="35" spans="11:15" ht="24.95" customHeight="1">
      <c r="K35" s="459" t="str">
        <f>'6#楼工程量统计 '!M4</f>
        <v>序号</v>
      </c>
      <c r="L35" s="459" t="str">
        <f>'6#楼工程量统计 '!N4</f>
        <v>窗型</v>
      </c>
      <c r="M35" s="459" t="str">
        <f>'6#楼工程量统计 '!O4</f>
        <v>面积</v>
      </c>
      <c r="N35" s="459" t="str">
        <f>'6#楼工程量统计 '!P4</f>
        <v>成本单价</v>
      </c>
      <c r="O35" s="459" t="str">
        <f>'6#楼工程量统计 '!Q4</f>
        <v>成本合价</v>
      </c>
    </row>
    <row r="36" spans="11:15" ht="24.95" customHeight="1">
      <c r="K36" s="459">
        <f>'6#楼工程量统计 '!M5</f>
        <v>1</v>
      </c>
      <c r="L36" s="459" t="str">
        <f>'6#楼工程量统计 '!N5</f>
        <v>65F铝合金门</v>
      </c>
      <c r="M36" s="458">
        <f>'6#楼工程量统计 '!O5</f>
        <v>2384.4299999999998</v>
      </c>
      <c r="N36" s="458">
        <f>'6#楼工程量统计 '!P5</f>
        <v>1463.4744068813091</v>
      </c>
      <c r="O36" s="458">
        <f>'6#楼工程量统计 '!Q5</f>
        <v>3489552.2799999993</v>
      </c>
    </row>
    <row r="37" spans="11:15" ht="24.95" customHeight="1">
      <c r="K37" s="459">
        <f>'6#楼工程量统计 '!M6</f>
        <v>2</v>
      </c>
      <c r="L37" s="459" t="str">
        <f>'6#楼工程量统计 '!N6</f>
        <v>65F铝合金窗</v>
      </c>
      <c r="M37" s="458">
        <f>'6#楼工程量统计 '!O6</f>
        <v>393.89</v>
      </c>
      <c r="N37" s="458">
        <f>'6#楼工程量统计 '!P6</f>
        <v>1594.5882467186268</v>
      </c>
      <c r="O37" s="458">
        <f>'6#楼工程量统计 '!Q6</f>
        <v>628092.36449999991</v>
      </c>
    </row>
    <row r="38" spans="11:15" ht="24.95" customHeight="1">
      <c r="K38" s="459">
        <f>'6#楼工程量统计 '!M7</f>
        <v>3</v>
      </c>
      <c r="L38" s="459" t="str">
        <f>'6#楼工程量统计 '!N7</f>
        <v>125铝合金幕墙</v>
      </c>
      <c r="M38" s="458">
        <f>'6#楼工程量统计 '!O7</f>
        <v>277.83</v>
      </c>
      <c r="N38" s="458">
        <f>'6#楼工程量统计 '!P7</f>
        <v>1105.1280952380953</v>
      </c>
      <c r="O38" s="458">
        <f>'6#楼工程量统计 '!Q7</f>
        <v>307037.73869999999</v>
      </c>
    </row>
    <row r="39" spans="11:15" ht="24.95" customHeight="1">
      <c r="K39" s="459">
        <f>'6#楼工程量统计 '!M8</f>
        <v>4</v>
      </c>
      <c r="L39" s="459" t="str">
        <f>'6#楼工程量统计 '!N8</f>
        <v>铝合金百叶窗</v>
      </c>
      <c r="M39" s="458">
        <f>'6#楼工程量统计 '!O8</f>
        <v>603.76</v>
      </c>
      <c r="N39" s="458">
        <f>'6#楼工程量统计 '!P8</f>
        <v>1004.0000000000001</v>
      </c>
      <c r="O39" s="458">
        <f>'6#楼工程量统计 '!Q8</f>
        <v>606175.04</v>
      </c>
    </row>
    <row r="40" spans="11:15" ht="24.95" customHeight="1">
      <c r="K40" s="459">
        <f>'6#楼工程量统计 '!M9</f>
        <v>5</v>
      </c>
      <c r="L40" s="459" t="str">
        <f>'6#楼工程量统计 '!N9</f>
        <v>通透格栅</v>
      </c>
      <c r="M40" s="458">
        <f>'6#楼工程量统计 '!O9</f>
        <v>0</v>
      </c>
      <c r="N40" s="458">
        <f>'6#楼工程量统计 '!P9</f>
        <v>0</v>
      </c>
      <c r="O40" s="458">
        <f>'6#楼工程量统计 '!Q9</f>
        <v>0</v>
      </c>
    </row>
    <row r="41" spans="11:15" ht="24.95" customHeight="1">
      <c r="K41" s="459">
        <f>'6#楼工程量统计 '!M10</f>
        <v>6</v>
      </c>
      <c r="L41" s="459" t="str">
        <f>'6#楼工程量统计 '!N10</f>
        <v>防蚊纱窗</v>
      </c>
      <c r="M41" s="458">
        <f>'6#楼工程量统计 '!O10</f>
        <v>128</v>
      </c>
      <c r="N41" s="458">
        <f>'6#楼工程量统计 '!P10</f>
        <v>0</v>
      </c>
      <c r="O41" s="458">
        <f>'6#楼工程量统计 '!Q10</f>
        <v>0</v>
      </c>
    </row>
    <row r="42" spans="11:15" ht="24.95" customHeight="1">
      <c r="K42" s="459">
        <f>'6#楼工程量统计 '!M11</f>
        <v>7</v>
      </c>
      <c r="L42" s="459" t="str">
        <f>'6#楼工程量统计 '!N11</f>
        <v>阳台铝合金栏杆m</v>
      </c>
      <c r="M42" s="458">
        <f>'6#楼工程量统计 '!O11</f>
        <v>985.8</v>
      </c>
      <c r="N42" s="458">
        <f>'6#楼工程量统计 '!P11</f>
        <v>0</v>
      </c>
      <c r="O42" s="458">
        <f>'6#楼工程量统计 '!Q11</f>
        <v>0</v>
      </c>
    </row>
    <row r="43" spans="11:15" ht="24.95" customHeight="1">
      <c r="K43" s="459">
        <f>'6#楼工程量统计 '!M12</f>
        <v>8</v>
      </c>
      <c r="L43" s="459" t="str">
        <f>'6#楼工程量统计 '!N12</f>
        <v>穿孔铝单板</v>
      </c>
      <c r="M43" s="458">
        <f>'6#楼工程量统计 '!O12</f>
        <v>210</v>
      </c>
      <c r="N43" s="458">
        <f>'6#楼工程量统计 '!P12</f>
        <v>0</v>
      </c>
      <c r="O43" s="458">
        <f>'6#楼工程量统计 '!Q12</f>
        <v>0</v>
      </c>
    </row>
    <row r="44" spans="11:15" ht="24.95" customHeight="1">
      <c r="K44" s="459">
        <f>'6#楼工程量统计 '!M13</f>
        <v>9</v>
      </c>
      <c r="L44" s="459">
        <f>'6#楼工程量统计 '!N13</f>
        <v>0</v>
      </c>
      <c r="M44" s="458">
        <f>'6#楼工程量统计 '!O13</f>
        <v>3659.91</v>
      </c>
      <c r="N44" s="458">
        <f>'6#楼工程量统计 '!P13</f>
        <v>1374.5850097953225</v>
      </c>
      <c r="O44" s="458">
        <f>'6#楼工程量统计 '!Q13</f>
        <v>5030857.4231999991</v>
      </c>
    </row>
    <row r="45" spans="11:15" ht="24.95" customHeight="1">
      <c r="K45" s="568" t="s">
        <v>592</v>
      </c>
      <c r="L45" s="568"/>
      <c r="M45" s="568"/>
      <c r="N45" s="568"/>
      <c r="O45" s="568"/>
    </row>
    <row r="46" spans="11:15" ht="24.95" customHeight="1">
      <c r="K46" s="459" t="str">
        <f>'8#楼工程量统计'!M4</f>
        <v>序号</v>
      </c>
      <c r="L46" s="459" t="str">
        <f>'8#楼工程量统计'!N4</f>
        <v>窗型</v>
      </c>
      <c r="M46" s="459" t="str">
        <f>'8#楼工程量统计'!O4</f>
        <v>面积</v>
      </c>
      <c r="N46" s="459" t="str">
        <f>'8#楼工程量统计'!P4</f>
        <v>成本单价</v>
      </c>
      <c r="O46" s="459" t="str">
        <f>'8#楼工程量统计'!Q4</f>
        <v>成本合价</v>
      </c>
    </row>
    <row r="47" spans="11:15" ht="24.95" customHeight="1">
      <c r="K47" s="459">
        <f>'8#楼工程量统计'!M5</f>
        <v>1</v>
      </c>
      <c r="L47" s="459" t="str">
        <f>'8#楼工程量统计'!N5</f>
        <v>65F铝合金门</v>
      </c>
      <c r="M47" s="458">
        <f>'8#楼工程量统计'!O5</f>
        <v>40.909999999999997</v>
      </c>
      <c r="N47" s="458">
        <f>'8#楼工程量统计'!P5</f>
        <v>1663.91</v>
      </c>
      <c r="O47" s="458">
        <f>'8#楼工程量统计'!Q5</f>
        <v>68070.558099999995</v>
      </c>
    </row>
    <row r="48" spans="11:15" ht="24.95" customHeight="1">
      <c r="K48" s="459">
        <f>'8#楼工程量统计'!M6</f>
        <v>2</v>
      </c>
      <c r="L48" s="459" t="str">
        <f>'8#楼工程量统计'!N6</f>
        <v>65F铝合金窗</v>
      </c>
      <c r="M48" s="458">
        <f>'8#楼工程量统计'!O6</f>
        <v>979.36</v>
      </c>
      <c r="N48" s="458">
        <f>'8#楼工程量统计'!P6</f>
        <v>1507.9928905611828</v>
      </c>
      <c r="O48" s="458">
        <f>'8#楼工程量统计'!Q6</f>
        <v>1476867.9173000001</v>
      </c>
    </row>
    <row r="49" spans="11:15" ht="24.95" customHeight="1">
      <c r="K49" s="459">
        <f>'8#楼工程量统计'!M7</f>
        <v>3</v>
      </c>
      <c r="L49" s="459" t="str">
        <f>'8#楼工程量统计'!N7</f>
        <v>125铝合金幕墙</v>
      </c>
      <c r="M49" s="458">
        <f>'8#楼工程量统计'!O7</f>
        <v>190.4</v>
      </c>
      <c r="N49" s="458">
        <f>'8#楼工程量统计'!P7</f>
        <v>1722.2</v>
      </c>
      <c r="O49" s="458">
        <f>'8#楼工程量统计'!Q7</f>
        <v>327906.88</v>
      </c>
    </row>
    <row r="50" spans="11:15" ht="24.95" customHeight="1">
      <c r="K50" s="459">
        <f>'8#楼工程量统计'!M8</f>
        <v>4</v>
      </c>
      <c r="L50" s="459" t="str">
        <f>'8#楼工程量统计'!N8</f>
        <v>铝合金百叶窗</v>
      </c>
      <c r="M50" s="458">
        <f>'8#楼工程量统计'!O8</f>
        <v>54.83</v>
      </c>
      <c r="N50" s="458">
        <f>'8#楼工程量统计'!P8</f>
        <v>794.00000000000011</v>
      </c>
      <c r="O50" s="458">
        <f>'8#楼工程量统计'!Q8</f>
        <v>43535.020000000004</v>
      </c>
    </row>
    <row r="51" spans="11:15" ht="24.95" customHeight="1">
      <c r="K51" s="459">
        <f>'8#楼工程量统计'!M9</f>
        <v>5</v>
      </c>
      <c r="L51" s="459" t="str">
        <f>'8#楼工程量统计'!N9</f>
        <v>通透格栅</v>
      </c>
      <c r="M51" s="458">
        <f>'8#楼工程量统计'!O9</f>
        <v>174.42</v>
      </c>
      <c r="N51" s="458">
        <f>'8#楼工程量统计'!P9</f>
        <v>1117.43</v>
      </c>
      <c r="O51" s="458">
        <f>'8#楼工程量统计'!Q9</f>
        <v>194902.14060000001</v>
      </c>
    </row>
    <row r="52" spans="11:15" ht="24.95" customHeight="1">
      <c r="K52" s="459">
        <f>'8#楼工程量统计'!M10</f>
        <v>6</v>
      </c>
      <c r="L52" s="459" t="str">
        <f>'8#楼工程量统计'!N10</f>
        <v>防蚊纱窗</v>
      </c>
      <c r="M52" s="458">
        <f>'8#楼工程量统计'!O10</f>
        <v>162.69000000000003</v>
      </c>
      <c r="N52" s="458">
        <f>'8#楼工程量统计'!P10</f>
        <v>0</v>
      </c>
      <c r="O52" s="458">
        <f>'8#楼工程量统计'!Q10</f>
        <v>0</v>
      </c>
    </row>
    <row r="53" spans="11:15" ht="24.95" customHeight="1">
      <c r="K53" s="459">
        <f>'8#楼工程量统计'!M11</f>
        <v>7</v>
      </c>
      <c r="L53" s="459" t="str">
        <f>'8#楼工程量统计'!N11</f>
        <v>阳台铝合金栏杆m</v>
      </c>
      <c r="M53" s="458">
        <f>'8#楼工程量统计'!O11</f>
        <v>168</v>
      </c>
      <c r="N53" s="458">
        <f>'8#楼工程量统计'!P11</f>
        <v>0</v>
      </c>
      <c r="O53" s="458">
        <f>'8#楼工程量统计'!Q11</f>
        <v>0</v>
      </c>
    </row>
    <row r="54" spans="11:15" ht="24.95" customHeight="1">
      <c r="K54" s="459">
        <f>'8#楼工程量统计'!M12</f>
        <v>8</v>
      </c>
      <c r="L54" s="459" t="str">
        <f>'8#楼工程量统计'!N12</f>
        <v>穿孔铝单板</v>
      </c>
      <c r="M54" s="458">
        <f>'8#楼工程量统计'!O12</f>
        <v>0</v>
      </c>
      <c r="N54" s="458">
        <f>'8#楼工程量统计'!P12</f>
        <v>0</v>
      </c>
      <c r="O54" s="458">
        <f>'8#楼工程量统计'!Q12</f>
        <v>0</v>
      </c>
    </row>
    <row r="55" spans="11:15" ht="24.95" customHeight="1">
      <c r="K55" s="459">
        <f>'8#楼工程量统计'!M13</f>
        <v>9</v>
      </c>
      <c r="L55" s="459">
        <f>'8#楼工程量统计'!N13</f>
        <v>0</v>
      </c>
      <c r="M55" s="458">
        <f>'8#楼工程量统计'!O13</f>
        <v>1439.92</v>
      </c>
      <c r="N55" s="458">
        <f>'8#楼工程量统计'!P13</f>
        <v>1466.2498722151231</v>
      </c>
      <c r="O55" s="458">
        <f>'8#楼工程量统计'!Q13</f>
        <v>2111282.5160000003</v>
      </c>
    </row>
  </sheetData>
  <mergeCells count="7">
    <mergeCell ref="K45:O45"/>
    <mergeCell ref="E1:I1"/>
    <mergeCell ref="A1:C1"/>
    <mergeCell ref="K1:O1"/>
    <mergeCell ref="K12:O12"/>
    <mergeCell ref="K23:O23"/>
    <mergeCell ref="K34:O34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8483D-F646-42ED-A2BB-7EE753E4AE72}">
  <dimension ref="A1:G10"/>
  <sheetViews>
    <sheetView workbookViewId="0">
      <selection activeCell="D10" sqref="D10"/>
    </sheetView>
  </sheetViews>
  <sheetFormatPr defaultRowHeight="20.100000000000001" customHeight="1"/>
  <cols>
    <col min="1" max="3" width="9" style="280"/>
    <col min="4" max="4" width="12.75" style="280" bestFit="1" customWidth="1"/>
    <col min="5" max="16384" width="9" style="280"/>
  </cols>
  <sheetData>
    <row r="1" spans="1:7" ht="20.100000000000001" customHeight="1">
      <c r="A1" s="573" t="s">
        <v>593</v>
      </c>
      <c r="B1" s="573"/>
      <c r="C1" s="573"/>
      <c r="D1" s="573"/>
      <c r="E1" s="573"/>
      <c r="F1" s="573"/>
      <c r="G1" s="573"/>
    </row>
    <row r="2" spans="1:7" ht="20.100000000000001" customHeight="1">
      <c r="A2" s="270" t="s">
        <v>584</v>
      </c>
      <c r="B2" s="270" t="s">
        <v>585</v>
      </c>
      <c r="C2" s="270" t="s">
        <v>586</v>
      </c>
      <c r="D2" s="270" t="s">
        <v>455</v>
      </c>
      <c r="E2" s="270" t="s">
        <v>456</v>
      </c>
      <c r="F2" s="270" t="s">
        <v>457</v>
      </c>
      <c r="G2" s="270" t="s">
        <v>587</v>
      </c>
    </row>
    <row r="3" spans="1:7" ht="20.100000000000001" customHeight="1">
      <c r="A3" s="270">
        <v>1</v>
      </c>
      <c r="B3" s="270" t="s">
        <v>588</v>
      </c>
      <c r="C3" s="270">
        <f>'3#楼工程量统计'!F70</f>
        <v>967</v>
      </c>
      <c r="D3" s="279">
        <f>'3#楼工程量统计'!H70</f>
        <v>4878.7569999999996</v>
      </c>
      <c r="E3" s="270"/>
      <c r="F3" s="270"/>
      <c r="G3" s="270"/>
    </row>
    <row r="4" spans="1:7" ht="20.100000000000001" customHeight="1">
      <c r="A4" s="270">
        <v>2</v>
      </c>
      <c r="B4" s="270" t="s">
        <v>589</v>
      </c>
      <c r="C4" s="270">
        <f>'4#楼工程量统计'!F24</f>
        <v>153</v>
      </c>
      <c r="D4" s="279">
        <f>'4#楼工程量统计'!H24</f>
        <v>770.68000000000006</v>
      </c>
      <c r="E4" s="270"/>
      <c r="F4" s="270"/>
      <c r="G4" s="270"/>
    </row>
    <row r="5" spans="1:7" ht="20.100000000000001" customHeight="1">
      <c r="A5" s="270">
        <v>3</v>
      </c>
      <c r="B5" s="270" t="s">
        <v>590</v>
      </c>
      <c r="C5" s="270">
        <f>'5#楼工程量统计'!F36</f>
        <v>550</v>
      </c>
      <c r="D5" s="279">
        <f>'5#楼工程量统计'!H36</f>
        <v>1952.155</v>
      </c>
      <c r="E5" s="270"/>
      <c r="F5" s="270"/>
      <c r="G5" s="270"/>
    </row>
    <row r="6" spans="1:7" ht="20.100000000000001" customHeight="1">
      <c r="A6" s="270">
        <v>4</v>
      </c>
      <c r="B6" s="270" t="s">
        <v>591</v>
      </c>
      <c r="C6" s="270">
        <f>'6#楼工程量统计 '!F33</f>
        <v>1038</v>
      </c>
      <c r="D6" s="279">
        <f>'6#楼工程量统计 '!H33</f>
        <v>3659.91</v>
      </c>
      <c r="E6" s="270"/>
      <c r="F6" s="270"/>
      <c r="G6" s="270"/>
    </row>
    <row r="7" spans="1:7" ht="20.100000000000001" customHeight="1">
      <c r="A7" s="270">
        <v>5</v>
      </c>
      <c r="B7" s="270" t="s">
        <v>592</v>
      </c>
      <c r="C7" s="270">
        <f>'8#楼工程量统计'!F40</f>
        <v>286</v>
      </c>
      <c r="D7" s="279">
        <f>'8#楼工程量统计'!H40</f>
        <v>1439.92</v>
      </c>
      <c r="E7" s="270"/>
      <c r="F7" s="270"/>
      <c r="G7" s="270"/>
    </row>
    <row r="8" spans="1:7" ht="20.100000000000001" customHeight="1">
      <c r="A8" s="270">
        <v>6</v>
      </c>
      <c r="B8" s="270"/>
      <c r="C8" s="270">
        <f>SUM(C3:C7)</f>
        <v>2994</v>
      </c>
      <c r="D8" s="279">
        <f>SUM(D3:D7)</f>
        <v>12701.422</v>
      </c>
      <c r="E8" s="270"/>
      <c r="F8" s="270"/>
      <c r="G8" s="270"/>
    </row>
    <row r="10" spans="1:7" ht="20.100000000000001" customHeight="1">
      <c r="D10" s="565">
        <f>D8/C8</f>
        <v>4.2422919171676687</v>
      </c>
    </row>
  </sheetData>
  <mergeCells count="1">
    <mergeCell ref="A1:G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D4B9D-4164-40B6-B337-9F80CFA18E58}">
  <dimension ref="A1:R72"/>
  <sheetViews>
    <sheetView workbookViewId="0">
      <selection activeCell="J2" sqref="J1:J1048576"/>
    </sheetView>
  </sheetViews>
  <sheetFormatPr defaultColWidth="9" defaultRowHeight="20.100000000000001" customHeight="1"/>
  <cols>
    <col min="1" max="2" width="9" style="268"/>
    <col min="3" max="3" width="14.625" style="268" customWidth="1"/>
    <col min="4" max="5" width="12.375" style="268" customWidth="1"/>
    <col min="6" max="6" width="9" style="268"/>
    <col min="7" max="7" width="11.375" style="268" customWidth="1"/>
    <col min="8" max="8" width="12.75" style="268" bestFit="1" customWidth="1"/>
    <col min="9" max="10" width="12.75" style="268" customWidth="1"/>
    <col min="11" max="11" width="15.25" style="268" customWidth="1"/>
    <col min="12" max="12" width="29.75" style="268" customWidth="1"/>
    <col min="13" max="14" width="9" style="268"/>
    <col min="15" max="15" width="15.5" style="268" customWidth="1"/>
    <col min="16" max="16" width="11.625" style="268" bestFit="1" customWidth="1"/>
    <col min="17" max="17" width="12.375" style="268" customWidth="1"/>
    <col min="18" max="18" width="16.5" style="268" customWidth="1"/>
    <col min="19" max="16384" width="9" style="268"/>
  </cols>
  <sheetData>
    <row r="1" spans="1:18" ht="20.100000000000001" customHeight="1">
      <c r="A1" s="578" t="s">
        <v>459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578"/>
    </row>
    <row r="2" spans="1:18" ht="20.100000000000001" customHeight="1">
      <c r="A2" s="269" t="s">
        <v>0</v>
      </c>
      <c r="B2" s="269" t="s">
        <v>406</v>
      </c>
      <c r="C2" s="269" t="s">
        <v>407</v>
      </c>
      <c r="D2" s="269" t="s">
        <v>594</v>
      </c>
      <c r="E2" s="269" t="s">
        <v>595</v>
      </c>
      <c r="F2" s="269" t="s">
        <v>8</v>
      </c>
      <c r="G2" s="269" t="s">
        <v>460</v>
      </c>
      <c r="H2" s="269" t="s">
        <v>461</v>
      </c>
      <c r="I2" s="269" t="s">
        <v>456</v>
      </c>
      <c r="J2" s="734"/>
      <c r="K2" s="269" t="s">
        <v>457</v>
      </c>
      <c r="L2" s="269" t="s">
        <v>1</v>
      </c>
      <c r="M2" s="268" t="s">
        <v>597</v>
      </c>
    </row>
    <row r="3" spans="1:18" ht="20.100000000000001" customHeight="1">
      <c r="A3" s="269">
        <v>1</v>
      </c>
      <c r="B3" s="579" t="s">
        <v>408</v>
      </c>
      <c r="C3" s="270" t="s">
        <v>409</v>
      </c>
      <c r="D3" s="270">
        <v>1100</v>
      </c>
      <c r="E3" s="270">
        <v>2050</v>
      </c>
      <c r="F3" s="269">
        <v>1</v>
      </c>
      <c r="G3" s="269">
        <v>2.125</v>
      </c>
      <c r="H3" s="271">
        <f>F3*G3</f>
        <v>2.125</v>
      </c>
      <c r="I3" s="271">
        <f>'WM1127'!B371</f>
        <v>1663.91</v>
      </c>
      <c r="J3" s="457"/>
      <c r="K3" s="271">
        <f>I3*H3</f>
        <v>3535.8087500000001</v>
      </c>
      <c r="L3" s="269"/>
    </row>
    <row r="4" spans="1:18" ht="20.100000000000001" customHeight="1">
      <c r="A4" s="269">
        <v>2</v>
      </c>
      <c r="B4" s="580"/>
      <c r="C4" s="270" t="s">
        <v>600</v>
      </c>
      <c r="D4" s="270">
        <v>1100</v>
      </c>
      <c r="E4" s="270">
        <v>2650</v>
      </c>
      <c r="F4" s="269">
        <v>288</v>
      </c>
      <c r="G4" s="269">
        <v>2.7850000000000001</v>
      </c>
      <c r="H4" s="271">
        <f t="shared" ref="H4:H66" si="0">F4*G4</f>
        <v>802.08</v>
      </c>
      <c r="I4" s="271">
        <f>'WM1127'!B371</f>
        <v>1663.91</v>
      </c>
      <c r="J4" s="457"/>
      <c r="K4" s="271">
        <f>I4*H4</f>
        <v>1334588.9328000001</v>
      </c>
      <c r="L4" s="272"/>
      <c r="N4" s="459" t="s">
        <v>584</v>
      </c>
      <c r="O4" s="459" t="s">
        <v>841</v>
      </c>
      <c r="P4" s="459" t="s">
        <v>455</v>
      </c>
      <c r="Q4" s="459" t="s">
        <v>456</v>
      </c>
      <c r="R4" s="459" t="s">
        <v>457</v>
      </c>
    </row>
    <row r="5" spans="1:18" ht="20.100000000000001" customHeight="1">
      <c r="A5" s="269">
        <v>3</v>
      </c>
      <c r="B5" s="580"/>
      <c r="C5" s="270" t="s">
        <v>411</v>
      </c>
      <c r="D5" s="270">
        <v>1600</v>
      </c>
      <c r="E5" s="270">
        <v>3500</v>
      </c>
      <c r="F5" s="269">
        <v>6</v>
      </c>
      <c r="G5" s="269">
        <v>5.3250000000000002</v>
      </c>
      <c r="H5" s="271">
        <f t="shared" si="0"/>
        <v>31.950000000000003</v>
      </c>
      <c r="I5" s="271">
        <f>'WM1127'!B371</f>
        <v>1663.91</v>
      </c>
      <c r="J5" s="457"/>
      <c r="K5" s="271">
        <f>I5*H5</f>
        <v>53161.924500000008</v>
      </c>
      <c r="L5" s="272"/>
      <c r="N5" s="459">
        <v>1</v>
      </c>
      <c r="O5" s="459" t="s">
        <v>845</v>
      </c>
      <c r="P5" s="458">
        <f>SUM(H3:H20,H47:H52)-P7</f>
        <v>1719.3529999999996</v>
      </c>
      <c r="Q5" s="458">
        <f>R5/P5</f>
        <v>1627.2159455271842</v>
      </c>
      <c r="R5" s="458">
        <f>SUM(K3:K20,K47:K52)-R7</f>
        <v>2797758.6175899999</v>
      </c>
    </row>
    <row r="6" spans="1:18" ht="20.100000000000001" customHeight="1">
      <c r="A6" s="269">
        <v>4</v>
      </c>
      <c r="B6" s="580"/>
      <c r="C6" s="270" t="s">
        <v>630</v>
      </c>
      <c r="D6" s="270">
        <v>1800</v>
      </c>
      <c r="E6" s="270">
        <v>2150</v>
      </c>
      <c r="F6" s="269">
        <v>4</v>
      </c>
      <c r="G6" s="269">
        <v>3.52</v>
      </c>
      <c r="H6" s="271">
        <f t="shared" si="0"/>
        <v>14.08</v>
      </c>
      <c r="I6" s="271">
        <f>'WM1127'!B371</f>
        <v>1663.91</v>
      </c>
      <c r="J6" s="457"/>
      <c r="K6" s="271">
        <f t="shared" ref="K6:K67" si="1">I6*H6</f>
        <v>23427.852800000001</v>
      </c>
      <c r="L6" s="272"/>
      <c r="N6" s="459">
        <v>2</v>
      </c>
      <c r="O6" s="459" t="s">
        <v>847</v>
      </c>
      <c r="P6" s="458">
        <f>SUM(H21:H46)</f>
        <v>2933.3959999999997</v>
      </c>
      <c r="Q6" s="458">
        <f t="shared" ref="Q6:Q8" si="2">R6/P6</f>
        <v>1427.8592214348148</v>
      </c>
      <c r="R6" s="458">
        <f>SUM(K21:K46)</f>
        <v>4188476.5287199998</v>
      </c>
    </row>
    <row r="7" spans="1:18" ht="20.100000000000001" customHeight="1">
      <c r="A7" s="269">
        <v>5</v>
      </c>
      <c r="B7" s="580"/>
      <c r="C7" s="270" t="s">
        <v>412</v>
      </c>
      <c r="D7" s="270">
        <v>1800</v>
      </c>
      <c r="E7" s="270">
        <v>3000</v>
      </c>
      <c r="F7" s="269">
        <v>4</v>
      </c>
      <c r="G7" s="269">
        <v>5.05</v>
      </c>
      <c r="H7" s="271">
        <f t="shared" si="0"/>
        <v>20.2</v>
      </c>
      <c r="I7" s="271">
        <f>'WM1127'!B371</f>
        <v>1663.91</v>
      </c>
      <c r="J7" s="457"/>
      <c r="K7" s="271">
        <f t="shared" si="1"/>
        <v>33610.982000000004</v>
      </c>
      <c r="L7" s="272"/>
      <c r="N7" s="459">
        <v>3</v>
      </c>
      <c r="O7" s="459" t="s">
        <v>849</v>
      </c>
      <c r="P7" s="458">
        <f>H13+H19</f>
        <v>111.47999999999999</v>
      </c>
      <c r="Q7" s="458">
        <f>R7/P7</f>
        <v>1855.0400000000002</v>
      </c>
      <c r="R7" s="458">
        <f>K13+K19</f>
        <v>206799.85920000001</v>
      </c>
    </row>
    <row r="8" spans="1:18" ht="20.100000000000001" customHeight="1">
      <c r="A8" s="269">
        <v>6</v>
      </c>
      <c r="B8" s="580"/>
      <c r="C8" s="270" t="s">
        <v>413</v>
      </c>
      <c r="D8" s="270">
        <v>2000</v>
      </c>
      <c r="E8" s="270">
        <v>2150</v>
      </c>
      <c r="F8" s="269">
        <v>4</v>
      </c>
      <c r="G8" s="269">
        <f>2.125*2</f>
        <v>4.25</v>
      </c>
      <c r="H8" s="271">
        <f t="shared" si="0"/>
        <v>17</v>
      </c>
      <c r="I8" s="271">
        <f>'WM1127'!B371</f>
        <v>1663.91</v>
      </c>
      <c r="J8" s="457"/>
      <c r="K8" s="271">
        <f t="shared" si="1"/>
        <v>28286.47</v>
      </c>
      <c r="L8" s="272"/>
      <c r="N8" s="459">
        <v>4</v>
      </c>
      <c r="O8" s="459" t="s">
        <v>851</v>
      </c>
      <c r="P8" s="458">
        <f>SUM(H53:H67)</f>
        <v>114.52800000000001</v>
      </c>
      <c r="Q8" s="458">
        <f t="shared" si="2"/>
        <v>793.99999999999989</v>
      </c>
      <c r="R8" s="458">
        <f>SUM(K53:K67)</f>
        <v>90935.231999999989</v>
      </c>
    </row>
    <row r="9" spans="1:18" ht="20.100000000000001" customHeight="1">
      <c r="A9" s="269">
        <v>7</v>
      </c>
      <c r="B9" s="580"/>
      <c r="C9" s="270" t="s">
        <v>414</v>
      </c>
      <c r="D9" s="270">
        <v>2000</v>
      </c>
      <c r="E9" s="270">
        <v>3500</v>
      </c>
      <c r="F9" s="269">
        <v>2</v>
      </c>
      <c r="G9" s="269">
        <v>6.57</v>
      </c>
      <c r="H9" s="271">
        <f t="shared" si="0"/>
        <v>13.14</v>
      </c>
      <c r="I9" s="271">
        <f>'WM1127'!B371</f>
        <v>1663.91</v>
      </c>
      <c r="J9" s="457"/>
      <c r="K9" s="271">
        <f t="shared" si="1"/>
        <v>21863.777400000003</v>
      </c>
      <c r="L9" s="272"/>
      <c r="N9" s="459">
        <v>5</v>
      </c>
      <c r="O9" s="459" t="s">
        <v>854</v>
      </c>
      <c r="P9" s="458"/>
      <c r="Q9" s="458"/>
      <c r="R9" s="458"/>
    </row>
    <row r="10" spans="1:18" ht="20.100000000000001" customHeight="1">
      <c r="A10" s="269">
        <v>8</v>
      </c>
      <c r="B10" s="580"/>
      <c r="C10" s="270" t="s">
        <v>415</v>
      </c>
      <c r="D10" s="270">
        <v>2300</v>
      </c>
      <c r="E10" s="270">
        <v>3500</v>
      </c>
      <c r="F10" s="269">
        <v>4</v>
      </c>
      <c r="G10" s="269">
        <v>7.48</v>
      </c>
      <c r="H10" s="271">
        <f t="shared" si="0"/>
        <v>29.92</v>
      </c>
      <c r="I10" s="271">
        <f>'WM1127'!B371</f>
        <v>1663.91</v>
      </c>
      <c r="J10" s="457"/>
      <c r="K10" s="271">
        <f t="shared" si="1"/>
        <v>49784.187200000008</v>
      </c>
      <c r="L10" s="272"/>
      <c r="N10" s="459">
        <v>6</v>
      </c>
      <c r="O10" s="459" t="s">
        <v>485</v>
      </c>
      <c r="P10" s="458">
        <f>SUM(H68)</f>
        <v>702.18640000000005</v>
      </c>
      <c r="Q10" s="458"/>
      <c r="R10" s="458"/>
    </row>
    <row r="11" spans="1:18" ht="20.100000000000001" customHeight="1">
      <c r="A11" s="269">
        <v>9</v>
      </c>
      <c r="B11" s="580"/>
      <c r="C11" s="270" t="s">
        <v>416</v>
      </c>
      <c r="D11" s="270">
        <v>2300</v>
      </c>
      <c r="E11" s="270">
        <v>3800</v>
      </c>
      <c r="F11" s="273">
        <v>2</v>
      </c>
      <c r="G11" s="269">
        <v>8.1780000000000008</v>
      </c>
      <c r="H11" s="271">
        <f t="shared" si="0"/>
        <v>16.356000000000002</v>
      </c>
      <c r="I11" s="271">
        <f>'WM1127'!B371</f>
        <v>1663.91</v>
      </c>
      <c r="J11" s="457"/>
      <c r="K11" s="271">
        <f t="shared" si="1"/>
        <v>27214.911960000005</v>
      </c>
      <c r="L11" s="272"/>
      <c r="N11" s="459">
        <v>7</v>
      </c>
      <c r="O11" s="459" t="s">
        <v>486</v>
      </c>
      <c r="P11" s="458">
        <f>SUM(H69)</f>
        <v>128.4</v>
      </c>
      <c r="Q11" s="458"/>
      <c r="R11" s="458"/>
    </row>
    <row r="12" spans="1:18" ht="20.100000000000001" customHeight="1">
      <c r="A12" s="269">
        <v>10</v>
      </c>
      <c r="B12" s="580"/>
      <c r="C12" s="270" t="s">
        <v>417</v>
      </c>
      <c r="D12" s="270">
        <v>2300</v>
      </c>
      <c r="E12" s="270">
        <v>3800</v>
      </c>
      <c r="F12" s="273">
        <v>6</v>
      </c>
      <c r="G12" s="269">
        <v>8.17</v>
      </c>
      <c r="H12" s="271">
        <f t="shared" si="0"/>
        <v>49.019999999999996</v>
      </c>
      <c r="I12" s="271">
        <f>'WM1127'!B371</f>
        <v>1663.91</v>
      </c>
      <c r="J12" s="457"/>
      <c r="K12" s="271">
        <f>I12*H12</f>
        <v>81564.868199999997</v>
      </c>
      <c r="L12" s="274" t="s">
        <v>463</v>
      </c>
      <c r="N12" s="459">
        <v>8</v>
      </c>
      <c r="O12" s="459" t="s">
        <v>855</v>
      </c>
      <c r="P12" s="458"/>
      <c r="Q12" s="458"/>
      <c r="R12" s="458"/>
    </row>
    <row r="13" spans="1:18" ht="20.100000000000001" customHeight="1">
      <c r="A13" s="269">
        <v>11</v>
      </c>
      <c r="B13" s="580"/>
      <c r="C13" s="270" t="s">
        <v>825</v>
      </c>
      <c r="D13" s="270">
        <v>2400</v>
      </c>
      <c r="E13" s="270">
        <v>8000</v>
      </c>
      <c r="F13" s="269">
        <v>4</v>
      </c>
      <c r="G13" s="269">
        <v>18.579999999999998</v>
      </c>
      <c r="H13" s="271">
        <f t="shared" si="0"/>
        <v>74.319999999999993</v>
      </c>
      <c r="I13" s="271">
        <f>'WM2480'!G126</f>
        <v>1855.04</v>
      </c>
      <c r="J13" s="457"/>
      <c r="K13" s="271">
        <f t="shared" si="1"/>
        <v>137866.57279999999</v>
      </c>
      <c r="L13" s="274" t="s">
        <v>463</v>
      </c>
      <c r="M13" s="268" t="s">
        <v>694</v>
      </c>
      <c r="N13" s="459">
        <v>9</v>
      </c>
      <c r="O13" s="459"/>
      <c r="P13" s="458">
        <f>SUM(P5:P9)</f>
        <v>4878.7569999999996</v>
      </c>
      <c r="Q13" s="458">
        <f>R13/P13</f>
        <v>1492.997137900084</v>
      </c>
      <c r="R13" s="458">
        <f>SUM(R5:R8)</f>
        <v>7283970.2375099994</v>
      </c>
    </row>
    <row r="14" spans="1:18" ht="20.100000000000001" customHeight="1">
      <c r="A14" s="269">
        <v>12</v>
      </c>
      <c r="B14" s="580"/>
      <c r="C14" s="270" t="s">
        <v>418</v>
      </c>
      <c r="D14" s="270">
        <v>3900</v>
      </c>
      <c r="E14" s="270">
        <v>3500</v>
      </c>
      <c r="F14" s="269">
        <v>2</v>
      </c>
      <c r="G14" s="269">
        <f>6.417*2</f>
        <v>12.834</v>
      </c>
      <c r="H14" s="271">
        <f t="shared" si="0"/>
        <v>25.667999999999999</v>
      </c>
      <c r="I14" s="271">
        <f>'WM1127'!B371</f>
        <v>1663.91</v>
      </c>
      <c r="J14" s="457"/>
      <c r="K14" s="271">
        <f>I14*H14</f>
        <v>42709.241880000001</v>
      </c>
      <c r="L14" s="272"/>
    </row>
    <row r="15" spans="1:18" ht="20.100000000000001" customHeight="1">
      <c r="A15" s="269">
        <v>13</v>
      </c>
      <c r="B15" s="580"/>
      <c r="C15" s="270" t="s">
        <v>419</v>
      </c>
      <c r="D15" s="270">
        <v>5400</v>
      </c>
      <c r="E15" s="270">
        <v>2400</v>
      </c>
      <c r="F15" s="269">
        <v>4</v>
      </c>
      <c r="G15" s="269">
        <f>5.4*2.4</f>
        <v>12.96</v>
      </c>
      <c r="H15" s="271">
        <f t="shared" si="0"/>
        <v>51.84</v>
      </c>
      <c r="I15" s="271">
        <f>'WM1127'!B371</f>
        <v>1663.91</v>
      </c>
      <c r="J15" s="457"/>
      <c r="K15" s="271">
        <f>I15*H15</f>
        <v>86257.094400000016</v>
      </c>
      <c r="L15" s="272"/>
    </row>
    <row r="16" spans="1:18" ht="20.100000000000001" customHeight="1">
      <c r="A16" s="269">
        <v>14</v>
      </c>
      <c r="B16" s="580"/>
      <c r="C16" s="270" t="s">
        <v>420</v>
      </c>
      <c r="D16" s="270">
        <v>1100</v>
      </c>
      <c r="E16" s="270">
        <v>2550</v>
      </c>
      <c r="F16" s="269">
        <v>2</v>
      </c>
      <c r="G16" s="269">
        <v>2.6749999999999998</v>
      </c>
      <c r="H16" s="271">
        <f t="shared" si="0"/>
        <v>5.35</v>
      </c>
      <c r="I16" s="271">
        <f>'WM1127'!B371</f>
        <v>1663.91</v>
      </c>
      <c r="J16" s="457"/>
      <c r="K16" s="271">
        <f>I16*H16</f>
        <v>8901.9184999999998</v>
      </c>
      <c r="L16" s="269" t="s">
        <v>421</v>
      </c>
    </row>
    <row r="17" spans="1:16" ht="20.100000000000001" customHeight="1">
      <c r="A17" s="269">
        <v>15</v>
      </c>
      <c r="B17" s="580"/>
      <c r="C17" s="270" t="s">
        <v>422</v>
      </c>
      <c r="D17" s="270">
        <v>1100</v>
      </c>
      <c r="E17" s="270">
        <v>2650</v>
      </c>
      <c r="F17" s="269">
        <v>4</v>
      </c>
      <c r="G17" s="269">
        <v>2.7850000000000001</v>
      </c>
      <c r="H17" s="271">
        <f t="shared" si="0"/>
        <v>11.14</v>
      </c>
      <c r="I17" s="271">
        <f>'WM1127'!B371</f>
        <v>1663.91</v>
      </c>
      <c r="J17" s="457"/>
      <c r="K17" s="271">
        <f>I17*H17</f>
        <v>18535.957400000003</v>
      </c>
      <c r="L17" s="269" t="s">
        <v>421</v>
      </c>
    </row>
    <row r="18" spans="1:16" ht="20.100000000000001" customHeight="1">
      <c r="A18" s="269">
        <v>16</v>
      </c>
      <c r="B18" s="580"/>
      <c r="C18" s="270" t="s">
        <v>423</v>
      </c>
      <c r="D18" s="270">
        <v>2000</v>
      </c>
      <c r="E18" s="270">
        <v>3500</v>
      </c>
      <c r="F18" s="269">
        <v>4</v>
      </c>
      <c r="G18" s="269">
        <v>6.57</v>
      </c>
      <c r="H18" s="271">
        <f t="shared" si="0"/>
        <v>26.28</v>
      </c>
      <c r="I18" s="271">
        <f>'WM1127'!B371</f>
        <v>1663.91</v>
      </c>
      <c r="J18" s="457"/>
      <c r="K18" s="271">
        <f>I18*H18</f>
        <v>43727.554800000005</v>
      </c>
      <c r="L18" s="269" t="s">
        <v>421</v>
      </c>
    </row>
    <row r="19" spans="1:16" ht="20.100000000000001" customHeight="1">
      <c r="A19" s="269">
        <v>17</v>
      </c>
      <c r="B19" s="580"/>
      <c r="C19" s="270" t="s">
        <v>464</v>
      </c>
      <c r="D19" s="270">
        <v>2400</v>
      </c>
      <c r="E19" s="270">
        <v>8000</v>
      </c>
      <c r="F19" s="269">
        <v>2</v>
      </c>
      <c r="G19" s="269">
        <v>18.579999999999998</v>
      </c>
      <c r="H19" s="271">
        <f t="shared" si="0"/>
        <v>37.159999999999997</v>
      </c>
      <c r="I19" s="271">
        <f>'WM2480'!G126</f>
        <v>1855.04</v>
      </c>
      <c r="J19" s="457"/>
      <c r="K19" s="271">
        <f t="shared" si="1"/>
        <v>68933.286399999997</v>
      </c>
      <c r="L19" s="274" t="s">
        <v>631</v>
      </c>
      <c r="M19" s="268" t="s">
        <v>694</v>
      </c>
    </row>
    <row r="20" spans="1:16" ht="20.100000000000001" customHeight="1">
      <c r="A20" s="269">
        <v>18</v>
      </c>
      <c r="B20" s="581"/>
      <c r="C20" s="270" t="s">
        <v>424</v>
      </c>
      <c r="D20" s="270">
        <v>3900</v>
      </c>
      <c r="E20" s="270">
        <v>3500</v>
      </c>
      <c r="F20" s="269">
        <v>2</v>
      </c>
      <c r="G20" s="269">
        <f>6.417*2</f>
        <v>12.834</v>
      </c>
      <c r="H20" s="271">
        <f t="shared" si="0"/>
        <v>25.667999999999999</v>
      </c>
      <c r="I20" s="271">
        <f>'WM1127'!B371</f>
        <v>1663.91</v>
      </c>
      <c r="J20" s="457"/>
      <c r="K20" s="271">
        <f>I20*H20</f>
        <v>42709.241880000001</v>
      </c>
      <c r="L20" s="269" t="s">
        <v>421</v>
      </c>
    </row>
    <row r="21" spans="1:16" ht="20.100000000000001" customHeight="1">
      <c r="A21" s="269">
        <v>19</v>
      </c>
      <c r="B21" s="574" t="s">
        <v>425</v>
      </c>
      <c r="C21" s="269" t="s">
        <v>632</v>
      </c>
      <c r="D21" s="270">
        <v>1000</v>
      </c>
      <c r="E21" s="270">
        <v>1400</v>
      </c>
      <c r="F21" s="269">
        <v>30</v>
      </c>
      <c r="G21" s="269">
        <v>1.1000000000000001</v>
      </c>
      <c r="H21" s="271">
        <f>F21*G21</f>
        <v>33</v>
      </c>
      <c r="I21" s="271">
        <f>'C1014'!B371</f>
        <v>2372.44</v>
      </c>
      <c r="J21" s="457"/>
      <c r="K21" s="271">
        <f t="shared" si="1"/>
        <v>78290.52</v>
      </c>
      <c r="L21" s="272"/>
    </row>
    <row r="22" spans="1:16" ht="20.100000000000001" customHeight="1">
      <c r="A22" s="269">
        <v>20</v>
      </c>
      <c r="B22" s="575"/>
      <c r="C22" s="269" t="s">
        <v>427</v>
      </c>
      <c r="D22" s="270">
        <v>1100</v>
      </c>
      <c r="E22" s="270">
        <v>1700</v>
      </c>
      <c r="F22" s="269">
        <v>22</v>
      </c>
      <c r="G22" s="269">
        <v>1.74</v>
      </c>
      <c r="H22" s="271">
        <f t="shared" si="0"/>
        <v>38.28</v>
      </c>
      <c r="I22" s="271">
        <f>'C1117'!B371</f>
        <v>1875.61</v>
      </c>
      <c r="J22" s="457"/>
      <c r="K22" s="271">
        <f t="shared" si="1"/>
        <v>71798.3508</v>
      </c>
      <c r="L22" s="272"/>
    </row>
    <row r="23" spans="1:16" ht="20.100000000000001" customHeight="1">
      <c r="A23" s="269">
        <v>21</v>
      </c>
      <c r="B23" s="575"/>
      <c r="C23" s="269" t="s">
        <v>428</v>
      </c>
      <c r="D23" s="270">
        <v>1100</v>
      </c>
      <c r="E23" s="270">
        <v>2050</v>
      </c>
      <c r="F23" s="269">
        <v>12</v>
      </c>
      <c r="G23" s="269">
        <v>2.125</v>
      </c>
      <c r="H23" s="271">
        <f t="shared" si="0"/>
        <v>25.5</v>
      </c>
      <c r="I23" s="271">
        <f>'C1122'!B371</f>
        <v>1792.83</v>
      </c>
      <c r="J23" s="457"/>
      <c r="K23" s="271">
        <f t="shared" si="1"/>
        <v>45717.165000000001</v>
      </c>
      <c r="L23" s="272"/>
    </row>
    <row r="24" spans="1:16" ht="20.100000000000001" customHeight="1">
      <c r="A24" s="269">
        <v>22</v>
      </c>
      <c r="B24" s="575"/>
      <c r="C24" s="269" t="s">
        <v>429</v>
      </c>
      <c r="D24" s="270">
        <v>1100</v>
      </c>
      <c r="E24" s="270">
        <v>2150</v>
      </c>
      <c r="F24" s="269">
        <v>8</v>
      </c>
      <c r="G24" s="269">
        <v>2.125</v>
      </c>
      <c r="H24" s="271">
        <f t="shared" si="0"/>
        <v>17</v>
      </c>
      <c r="I24" s="271">
        <f>'C1122'!B371</f>
        <v>1792.83</v>
      </c>
      <c r="J24" s="457"/>
      <c r="K24" s="271">
        <f t="shared" si="1"/>
        <v>30478.11</v>
      </c>
      <c r="L24" s="272"/>
      <c r="P24" s="314"/>
    </row>
    <row r="25" spans="1:16" ht="20.100000000000001" customHeight="1">
      <c r="A25" s="269">
        <v>23</v>
      </c>
      <c r="B25" s="575"/>
      <c r="C25" s="269" t="s">
        <v>430</v>
      </c>
      <c r="D25" s="270">
        <v>1100</v>
      </c>
      <c r="E25" s="270">
        <v>2550</v>
      </c>
      <c r="F25" s="269">
        <v>14</v>
      </c>
      <c r="G25" s="269">
        <v>2.6749999999999998</v>
      </c>
      <c r="H25" s="271">
        <f t="shared" si="0"/>
        <v>37.449999999999996</v>
      </c>
      <c r="I25" s="271">
        <f>'C1122'!B371</f>
        <v>1792.83</v>
      </c>
      <c r="J25" s="457"/>
      <c r="K25" s="271">
        <f t="shared" si="1"/>
        <v>67141.483499999988</v>
      </c>
      <c r="L25" s="272"/>
    </row>
    <row r="26" spans="1:16" ht="20.100000000000001" customHeight="1">
      <c r="A26" s="269">
        <v>24</v>
      </c>
      <c r="B26" s="575"/>
      <c r="C26" s="269" t="s">
        <v>431</v>
      </c>
      <c r="D26" s="270">
        <v>1100</v>
      </c>
      <c r="E26" s="270">
        <v>2650</v>
      </c>
      <c r="F26" s="269">
        <v>56</v>
      </c>
      <c r="G26" s="269">
        <v>2.7850000000000001</v>
      </c>
      <c r="H26" s="271">
        <f t="shared" si="0"/>
        <v>155.96</v>
      </c>
      <c r="I26" s="271">
        <f>'C1122'!B371</f>
        <v>1792.83</v>
      </c>
      <c r="J26" s="457"/>
      <c r="K26" s="271">
        <f t="shared" si="1"/>
        <v>279609.76679999998</v>
      </c>
      <c r="L26" s="272"/>
      <c r="P26" s="314"/>
    </row>
    <row r="27" spans="1:16" ht="20.100000000000001" customHeight="1">
      <c r="A27" s="269">
        <v>25</v>
      </c>
      <c r="B27" s="575"/>
      <c r="C27" s="269" t="s">
        <v>432</v>
      </c>
      <c r="D27" s="270">
        <v>1400</v>
      </c>
      <c r="E27" s="270">
        <v>1700</v>
      </c>
      <c r="F27" s="269">
        <v>30</v>
      </c>
      <c r="G27" s="269">
        <v>1.87</v>
      </c>
      <c r="H27" s="271">
        <f t="shared" si="0"/>
        <v>56.1</v>
      </c>
      <c r="I27" s="271">
        <f>'C1417'!B371</f>
        <v>1810.03</v>
      </c>
      <c r="J27" s="457"/>
      <c r="K27" s="271">
        <f t="shared" si="1"/>
        <v>101542.683</v>
      </c>
      <c r="L27" s="272"/>
    </row>
    <row r="28" spans="1:16" ht="20.100000000000001" customHeight="1">
      <c r="A28" s="269">
        <v>26</v>
      </c>
      <c r="B28" s="575"/>
      <c r="C28" s="269" t="s">
        <v>433</v>
      </c>
      <c r="D28" s="270">
        <v>1800</v>
      </c>
      <c r="E28" s="270">
        <v>3700</v>
      </c>
      <c r="F28" s="269">
        <v>4</v>
      </c>
      <c r="G28" s="269">
        <v>6.31</v>
      </c>
      <c r="H28" s="271">
        <f t="shared" si="0"/>
        <v>25.24</v>
      </c>
      <c r="I28" s="271">
        <f>'C2430'!B371</f>
        <v>1459.77</v>
      </c>
      <c r="J28" s="457"/>
      <c r="K28" s="271">
        <f t="shared" si="1"/>
        <v>36844.594799999999</v>
      </c>
      <c r="L28" s="272"/>
    </row>
    <row r="29" spans="1:16" ht="20.100000000000001" customHeight="1">
      <c r="A29" s="269">
        <v>27</v>
      </c>
      <c r="B29" s="575"/>
      <c r="C29" s="269" t="s">
        <v>434</v>
      </c>
      <c r="D29" s="270">
        <v>2300</v>
      </c>
      <c r="E29" s="270">
        <v>3000</v>
      </c>
      <c r="F29" s="269">
        <v>32</v>
      </c>
      <c r="G29" s="269">
        <v>6.33</v>
      </c>
      <c r="H29" s="271">
        <f t="shared" si="0"/>
        <v>202.56</v>
      </c>
      <c r="I29" s="271">
        <f>'C2430'!B371</f>
        <v>1459.77</v>
      </c>
      <c r="J29" s="457"/>
      <c r="K29" s="271">
        <f t="shared" si="1"/>
        <v>295691.01120000001</v>
      </c>
      <c r="L29" s="272"/>
    </row>
    <row r="30" spans="1:16" ht="20.100000000000001" customHeight="1">
      <c r="A30" s="269">
        <v>28</v>
      </c>
      <c r="B30" s="575"/>
      <c r="C30" s="269" t="s">
        <v>435</v>
      </c>
      <c r="D30" s="270">
        <v>2300</v>
      </c>
      <c r="E30" s="270">
        <v>3500</v>
      </c>
      <c r="F30" s="269">
        <v>6</v>
      </c>
      <c r="G30" s="269">
        <v>7.48</v>
      </c>
      <c r="H30" s="271">
        <f t="shared" si="0"/>
        <v>44.88</v>
      </c>
      <c r="I30" s="271">
        <f>'C2430'!B371</f>
        <v>1459.77</v>
      </c>
      <c r="J30" s="457"/>
      <c r="K30" s="271">
        <f t="shared" si="1"/>
        <v>65514.477600000006</v>
      </c>
      <c r="L30" s="272"/>
    </row>
    <row r="31" spans="1:16" ht="20.100000000000001" customHeight="1">
      <c r="A31" s="269">
        <v>29</v>
      </c>
      <c r="B31" s="575"/>
      <c r="C31" s="269" t="s">
        <v>436</v>
      </c>
      <c r="D31" s="270">
        <v>2300</v>
      </c>
      <c r="E31" s="270">
        <v>3800</v>
      </c>
      <c r="F31" s="273">
        <v>14</v>
      </c>
      <c r="G31" s="269">
        <v>8.17</v>
      </c>
      <c r="H31" s="271">
        <f t="shared" si="0"/>
        <v>114.38</v>
      </c>
      <c r="I31" s="271">
        <f>'C2430'!B371</f>
        <v>1459.77</v>
      </c>
      <c r="J31" s="457"/>
      <c r="K31" s="271">
        <f t="shared" si="1"/>
        <v>166968.4926</v>
      </c>
      <c r="L31" s="272"/>
    </row>
    <row r="32" spans="1:16" ht="20.100000000000001" customHeight="1">
      <c r="A32" s="269">
        <v>30</v>
      </c>
      <c r="B32" s="575"/>
      <c r="C32" s="269" t="s">
        <v>437</v>
      </c>
      <c r="D32" s="270">
        <v>2400</v>
      </c>
      <c r="E32" s="270">
        <v>3000</v>
      </c>
      <c r="F32" s="269">
        <v>6</v>
      </c>
      <c r="G32" s="269">
        <v>6.58</v>
      </c>
      <c r="H32" s="271">
        <f t="shared" si="0"/>
        <v>39.480000000000004</v>
      </c>
      <c r="I32" s="271">
        <f>'C2430'!B371</f>
        <v>1459.77</v>
      </c>
      <c r="J32" s="457"/>
      <c r="K32" s="271">
        <f t="shared" si="1"/>
        <v>57631.719600000004</v>
      </c>
      <c r="L32" s="272"/>
    </row>
    <row r="33" spans="1:12" ht="20.100000000000001" customHeight="1">
      <c r="A33" s="269">
        <v>31</v>
      </c>
      <c r="B33" s="575"/>
      <c r="C33" s="269" t="s">
        <v>438</v>
      </c>
      <c r="D33" s="270">
        <v>2700</v>
      </c>
      <c r="E33" s="270">
        <v>2150</v>
      </c>
      <c r="F33" s="269">
        <v>2</v>
      </c>
      <c r="G33" s="269">
        <v>5.0199999999999996</v>
      </c>
      <c r="H33" s="271">
        <f t="shared" si="0"/>
        <v>10.039999999999999</v>
      </c>
      <c r="I33" s="271">
        <f>'C2430'!B371</f>
        <v>1459.77</v>
      </c>
      <c r="J33" s="457"/>
      <c r="K33" s="271">
        <f t="shared" si="1"/>
        <v>14656.090799999998</v>
      </c>
      <c r="L33" s="272"/>
    </row>
    <row r="34" spans="1:12" ht="20.100000000000001" customHeight="1">
      <c r="A34" s="269">
        <v>32</v>
      </c>
      <c r="B34" s="575"/>
      <c r="C34" s="269" t="s">
        <v>439</v>
      </c>
      <c r="D34" s="270">
        <v>2700</v>
      </c>
      <c r="E34" s="270">
        <v>2700</v>
      </c>
      <c r="F34" s="269">
        <v>10</v>
      </c>
      <c r="G34" s="269">
        <v>6.508</v>
      </c>
      <c r="H34" s="271">
        <f t="shared" si="0"/>
        <v>65.08</v>
      </c>
      <c r="I34" s="271">
        <f>'C2430'!B371</f>
        <v>1459.77</v>
      </c>
      <c r="J34" s="457"/>
      <c r="K34" s="271">
        <f t="shared" si="1"/>
        <v>95001.83159999999</v>
      </c>
      <c r="L34" s="272"/>
    </row>
    <row r="35" spans="1:12" ht="20.100000000000001" customHeight="1">
      <c r="A35" s="269">
        <v>33</v>
      </c>
      <c r="B35" s="575"/>
      <c r="C35" s="269" t="s">
        <v>440</v>
      </c>
      <c r="D35" s="270">
        <v>2700</v>
      </c>
      <c r="E35" s="270">
        <v>3000</v>
      </c>
      <c r="F35" s="273">
        <v>110</v>
      </c>
      <c r="G35" s="269">
        <v>7.3179999999999996</v>
      </c>
      <c r="H35" s="271">
        <f t="shared" si="0"/>
        <v>804.9799999999999</v>
      </c>
      <c r="I35" s="271">
        <f>'C2430'!B371</f>
        <v>1459.77</v>
      </c>
      <c r="J35" s="457"/>
      <c r="K35" s="271">
        <f t="shared" si="1"/>
        <v>1175085.6545999998</v>
      </c>
      <c r="L35" s="272"/>
    </row>
    <row r="36" spans="1:12" ht="20.100000000000001" customHeight="1">
      <c r="A36" s="269">
        <v>34</v>
      </c>
      <c r="B36" s="575"/>
      <c r="C36" s="269" t="s">
        <v>441</v>
      </c>
      <c r="D36" s="270">
        <v>2700</v>
      </c>
      <c r="E36" s="270">
        <v>3500</v>
      </c>
      <c r="F36" s="273">
        <v>19</v>
      </c>
      <c r="G36" s="269">
        <v>8.6679999999999993</v>
      </c>
      <c r="H36" s="271">
        <f t="shared" si="0"/>
        <v>164.69199999999998</v>
      </c>
      <c r="I36" s="271">
        <f>'C2430'!B371</f>
        <v>1459.77</v>
      </c>
      <c r="J36" s="457"/>
      <c r="K36" s="271">
        <f t="shared" si="1"/>
        <v>240412.44083999997</v>
      </c>
      <c r="L36" s="272"/>
    </row>
    <row r="37" spans="1:12" ht="20.100000000000001" customHeight="1">
      <c r="A37" s="269">
        <v>35</v>
      </c>
      <c r="B37" s="575"/>
      <c r="C37" s="269" t="s">
        <v>442</v>
      </c>
      <c r="D37" s="270">
        <v>2700</v>
      </c>
      <c r="E37" s="270">
        <v>3000</v>
      </c>
      <c r="F37" s="269">
        <v>4</v>
      </c>
      <c r="G37" s="269">
        <v>7.3179999999999996</v>
      </c>
      <c r="H37" s="271">
        <f t="shared" si="0"/>
        <v>29.271999999999998</v>
      </c>
      <c r="I37" s="271">
        <f>'C2430'!B371</f>
        <v>1459.77</v>
      </c>
      <c r="J37" s="457"/>
      <c r="K37" s="271">
        <f t="shared" si="1"/>
        <v>42730.387439999999</v>
      </c>
      <c r="L37" s="269" t="s">
        <v>421</v>
      </c>
    </row>
    <row r="38" spans="1:12" ht="20.100000000000001" customHeight="1">
      <c r="A38" s="269">
        <v>36</v>
      </c>
      <c r="B38" s="575"/>
      <c r="C38" s="269" t="s">
        <v>466</v>
      </c>
      <c r="D38" s="270">
        <v>2700</v>
      </c>
      <c r="E38" s="270">
        <v>3500</v>
      </c>
      <c r="F38" s="269">
        <v>4</v>
      </c>
      <c r="G38" s="269">
        <v>8.6679999999999993</v>
      </c>
      <c r="H38" s="271">
        <f t="shared" si="0"/>
        <v>34.671999999999997</v>
      </c>
      <c r="I38" s="271">
        <f>'C2430'!B371</f>
        <v>1459.77</v>
      </c>
      <c r="J38" s="457"/>
      <c r="K38" s="271">
        <f t="shared" si="1"/>
        <v>50613.145439999993</v>
      </c>
      <c r="L38" s="274" t="s">
        <v>465</v>
      </c>
    </row>
    <row r="39" spans="1:12" ht="20.100000000000001" customHeight="1">
      <c r="A39" s="269">
        <v>37</v>
      </c>
      <c r="B39" s="575"/>
      <c r="C39" s="270" t="s">
        <v>443</v>
      </c>
      <c r="D39" s="270">
        <v>2700</v>
      </c>
      <c r="E39" s="270">
        <v>3500</v>
      </c>
      <c r="F39" s="269">
        <v>7</v>
      </c>
      <c r="G39" s="269">
        <v>8.67</v>
      </c>
      <c r="H39" s="271">
        <f t="shared" si="0"/>
        <v>60.69</v>
      </c>
      <c r="I39" s="271">
        <f>'C2735-G'!B371</f>
        <v>1219.49</v>
      </c>
      <c r="J39" s="457"/>
      <c r="K39" s="271">
        <f t="shared" si="1"/>
        <v>74010.848100000003</v>
      </c>
      <c r="L39" s="269" t="s">
        <v>444</v>
      </c>
    </row>
    <row r="40" spans="1:12" ht="20.100000000000001" customHeight="1">
      <c r="A40" s="269">
        <v>38</v>
      </c>
      <c r="B40" s="575"/>
      <c r="C40" s="270" t="s">
        <v>445</v>
      </c>
      <c r="D40" s="270">
        <v>1800</v>
      </c>
      <c r="E40" s="270">
        <v>3000</v>
      </c>
      <c r="F40" s="269">
        <v>4</v>
      </c>
      <c r="G40" s="269">
        <v>5.05</v>
      </c>
      <c r="H40" s="271">
        <f t="shared" si="0"/>
        <v>20.2</v>
      </c>
      <c r="I40" s="271">
        <f>'C2735-G'!B371</f>
        <v>1219.49</v>
      </c>
      <c r="J40" s="457"/>
      <c r="K40" s="271">
        <f t="shared" si="1"/>
        <v>24633.698</v>
      </c>
      <c r="L40" s="274" t="s">
        <v>463</v>
      </c>
    </row>
    <row r="41" spans="1:12" ht="20.100000000000001" customHeight="1">
      <c r="A41" s="269">
        <v>39</v>
      </c>
      <c r="B41" s="575"/>
      <c r="C41" s="270" t="s">
        <v>467</v>
      </c>
      <c r="D41" s="270">
        <v>2300</v>
      </c>
      <c r="E41" s="270">
        <v>3500</v>
      </c>
      <c r="F41" s="269">
        <v>6</v>
      </c>
      <c r="G41" s="269">
        <v>7.48</v>
      </c>
      <c r="H41" s="271">
        <f t="shared" si="0"/>
        <v>44.88</v>
      </c>
      <c r="I41" s="271">
        <f>'C2430'!B371</f>
        <v>1459.77</v>
      </c>
      <c r="J41" s="457"/>
      <c r="K41" s="271">
        <f t="shared" si="1"/>
        <v>65514.477600000006</v>
      </c>
      <c r="L41" s="274" t="s">
        <v>463</v>
      </c>
    </row>
    <row r="42" spans="1:12" ht="20.100000000000001" customHeight="1">
      <c r="A42" s="269">
        <v>40</v>
      </c>
      <c r="B42" s="575"/>
      <c r="C42" s="270" t="s">
        <v>446</v>
      </c>
      <c r="D42" s="270">
        <v>2300</v>
      </c>
      <c r="E42" s="270">
        <v>3800</v>
      </c>
      <c r="F42" s="269">
        <v>10</v>
      </c>
      <c r="G42" s="269">
        <v>8.17</v>
      </c>
      <c r="H42" s="271">
        <f t="shared" si="0"/>
        <v>81.7</v>
      </c>
      <c r="I42" s="271">
        <f>'C2735-G'!B371</f>
        <v>1219.49</v>
      </c>
      <c r="J42" s="457"/>
      <c r="K42" s="271">
        <f t="shared" si="1"/>
        <v>99632.332999999999</v>
      </c>
      <c r="L42" s="274" t="s">
        <v>463</v>
      </c>
    </row>
    <row r="43" spans="1:12" ht="20.100000000000001" customHeight="1">
      <c r="A43" s="269">
        <v>41</v>
      </c>
      <c r="B43" s="575"/>
      <c r="C43" s="270" t="s">
        <v>447</v>
      </c>
      <c r="D43" s="270">
        <v>2700</v>
      </c>
      <c r="E43" s="270">
        <v>2300</v>
      </c>
      <c r="F43" s="269">
        <v>8</v>
      </c>
      <c r="G43" s="269">
        <f>2.7*2.3</f>
        <v>6.21</v>
      </c>
      <c r="H43" s="271">
        <f t="shared" si="0"/>
        <v>49.68</v>
      </c>
      <c r="I43" s="271">
        <f>'C2735-G'!B371</f>
        <v>1219.49</v>
      </c>
      <c r="J43" s="457"/>
      <c r="K43" s="271">
        <f t="shared" si="1"/>
        <v>60584.263200000001</v>
      </c>
      <c r="L43" s="269"/>
    </row>
    <row r="44" spans="1:12" ht="20.100000000000001" customHeight="1">
      <c r="A44" s="269">
        <v>42</v>
      </c>
      <c r="B44" s="575"/>
      <c r="C44" s="270" t="s">
        <v>634</v>
      </c>
      <c r="D44" s="270">
        <v>2700</v>
      </c>
      <c r="E44" s="270">
        <v>3500</v>
      </c>
      <c r="F44" s="269">
        <v>64</v>
      </c>
      <c r="G44" s="269">
        <v>8.6679999999999993</v>
      </c>
      <c r="H44" s="271">
        <f t="shared" si="0"/>
        <v>554.75199999999995</v>
      </c>
      <c r="I44" s="271">
        <f>'C2735-G'!B371</f>
        <v>1219.49</v>
      </c>
      <c r="J44" s="457"/>
      <c r="K44" s="271">
        <f t="shared" si="1"/>
        <v>676514.51647999999</v>
      </c>
      <c r="L44" s="274" t="s">
        <v>463</v>
      </c>
    </row>
    <row r="45" spans="1:12" ht="20.100000000000001" customHeight="1">
      <c r="A45" s="269">
        <v>43</v>
      </c>
      <c r="B45" s="575"/>
      <c r="C45" s="270" t="s">
        <v>448</v>
      </c>
      <c r="D45" s="270">
        <v>2700</v>
      </c>
      <c r="E45" s="270">
        <v>7400</v>
      </c>
      <c r="F45" s="269">
        <v>8</v>
      </c>
      <c r="G45" s="269">
        <v>19.198</v>
      </c>
      <c r="H45" s="271">
        <f t="shared" si="0"/>
        <v>153.584</v>
      </c>
      <c r="I45" s="271">
        <f>'C2735-G'!B371</f>
        <v>1219.49</v>
      </c>
      <c r="J45" s="457"/>
      <c r="K45" s="271">
        <f t="shared" si="1"/>
        <v>187294.15216</v>
      </c>
      <c r="L45" s="274" t="s">
        <v>463</v>
      </c>
    </row>
    <row r="46" spans="1:12" ht="20.100000000000001" customHeight="1">
      <c r="A46" s="269">
        <v>44</v>
      </c>
      <c r="B46" s="575"/>
      <c r="C46" s="270" t="s">
        <v>449</v>
      </c>
      <c r="D46" s="270">
        <v>2700</v>
      </c>
      <c r="E46" s="270">
        <v>3500</v>
      </c>
      <c r="F46" s="269">
        <v>8</v>
      </c>
      <c r="G46" s="269">
        <v>8.6679999999999993</v>
      </c>
      <c r="H46" s="271">
        <f t="shared" si="0"/>
        <v>69.343999999999994</v>
      </c>
      <c r="I46" s="271">
        <f>'C2735-G'!B371</f>
        <v>1219.49</v>
      </c>
      <c r="J46" s="457"/>
      <c r="K46" s="271">
        <f t="shared" si="1"/>
        <v>84564.314559999999</v>
      </c>
      <c r="L46" s="274" t="s">
        <v>463</v>
      </c>
    </row>
    <row r="47" spans="1:12" ht="20.100000000000001" customHeight="1">
      <c r="A47" s="269">
        <v>45</v>
      </c>
      <c r="B47" s="574" t="s">
        <v>450</v>
      </c>
      <c r="C47" s="270" t="s">
        <v>451</v>
      </c>
      <c r="D47" s="270">
        <v>2700</v>
      </c>
      <c r="E47" s="270">
        <v>2700</v>
      </c>
      <c r="F47" s="269">
        <v>4</v>
      </c>
      <c r="G47" s="269">
        <v>6.508</v>
      </c>
      <c r="H47" s="271">
        <f t="shared" si="0"/>
        <v>26.032</v>
      </c>
      <c r="I47" s="271">
        <f>WMLC2730!B371</f>
        <v>1554.67</v>
      </c>
      <c r="J47" s="457"/>
      <c r="K47" s="271">
        <f t="shared" si="1"/>
        <v>40471.169440000005</v>
      </c>
      <c r="L47" s="272"/>
    </row>
    <row r="48" spans="1:12" ht="20.100000000000001" customHeight="1">
      <c r="A48" s="269">
        <v>46</v>
      </c>
      <c r="B48" s="575"/>
      <c r="C48" s="270" t="s">
        <v>635</v>
      </c>
      <c r="D48" s="270">
        <v>2700</v>
      </c>
      <c r="E48" s="270">
        <v>3000</v>
      </c>
      <c r="F48" s="269">
        <v>42</v>
      </c>
      <c r="G48" s="269">
        <v>7.3179999999999996</v>
      </c>
      <c r="H48" s="271">
        <f t="shared" si="0"/>
        <v>307.35599999999999</v>
      </c>
      <c r="I48" s="271">
        <f>WMLC2730!B371</f>
        <v>1554.67</v>
      </c>
      <c r="J48" s="457"/>
      <c r="K48" s="271">
        <f t="shared" si="1"/>
        <v>477837.15252</v>
      </c>
      <c r="L48" s="272"/>
    </row>
    <row r="49" spans="1:12" ht="20.100000000000001" customHeight="1">
      <c r="A49" s="269">
        <v>47</v>
      </c>
      <c r="B49" s="575"/>
      <c r="C49" s="270" t="s">
        <v>468</v>
      </c>
      <c r="D49" s="270">
        <v>2700</v>
      </c>
      <c r="E49" s="270">
        <v>3500</v>
      </c>
      <c r="F49" s="269">
        <v>2</v>
      </c>
      <c r="G49" s="269">
        <v>8.6679999999999993</v>
      </c>
      <c r="H49" s="271">
        <f t="shared" si="0"/>
        <v>17.335999999999999</v>
      </c>
      <c r="I49" s="271">
        <f>WMLC2730!B371</f>
        <v>1554.67</v>
      </c>
      <c r="J49" s="457"/>
      <c r="K49" s="271">
        <f t="shared" si="1"/>
        <v>26951.759119999999</v>
      </c>
      <c r="L49" s="274" t="s">
        <v>463</v>
      </c>
    </row>
    <row r="50" spans="1:12" ht="20.100000000000001" customHeight="1">
      <c r="A50" s="269">
        <v>48</v>
      </c>
      <c r="B50" s="575"/>
      <c r="C50" s="270" t="s">
        <v>452</v>
      </c>
      <c r="D50" s="270">
        <v>2700</v>
      </c>
      <c r="E50" s="270">
        <v>3650</v>
      </c>
      <c r="F50" s="269">
        <v>6</v>
      </c>
      <c r="G50" s="269">
        <v>9.07</v>
      </c>
      <c r="H50" s="271">
        <f t="shared" si="0"/>
        <v>54.42</v>
      </c>
      <c r="I50" s="271">
        <f>WMLC2730!B371</f>
        <v>1554.67</v>
      </c>
      <c r="J50" s="457"/>
      <c r="K50" s="271">
        <f t="shared" si="1"/>
        <v>84605.141400000008</v>
      </c>
      <c r="L50" s="272"/>
    </row>
    <row r="51" spans="1:12" ht="20.100000000000001" customHeight="1">
      <c r="A51" s="269">
        <v>49</v>
      </c>
      <c r="B51" s="575"/>
      <c r="C51" s="270" t="s">
        <v>453</v>
      </c>
      <c r="D51" s="270">
        <v>2700</v>
      </c>
      <c r="E51" s="270">
        <v>2700</v>
      </c>
      <c r="F51" s="269">
        <v>4</v>
      </c>
      <c r="G51" s="269">
        <v>6.508</v>
      </c>
      <c r="H51" s="271">
        <f t="shared" si="0"/>
        <v>26.032</v>
      </c>
      <c r="I51" s="271">
        <f>WMLC2730!B371</f>
        <v>1554.67</v>
      </c>
      <c r="J51" s="457"/>
      <c r="K51" s="271">
        <f t="shared" si="1"/>
        <v>40471.169440000005</v>
      </c>
      <c r="L51" s="269" t="s">
        <v>421</v>
      </c>
    </row>
    <row r="52" spans="1:12" ht="20.100000000000001" customHeight="1">
      <c r="A52" s="269">
        <v>50</v>
      </c>
      <c r="B52" s="576"/>
      <c r="C52" s="270" t="s">
        <v>454</v>
      </c>
      <c r="D52" s="270">
        <v>2700</v>
      </c>
      <c r="E52" s="270">
        <v>3000</v>
      </c>
      <c r="F52" s="269">
        <v>20</v>
      </c>
      <c r="G52" s="269">
        <v>7.3179999999999996</v>
      </c>
      <c r="H52" s="271">
        <f t="shared" si="0"/>
        <v>146.35999999999999</v>
      </c>
      <c r="I52" s="271">
        <f>WMLC2730!B371</f>
        <v>1554.67</v>
      </c>
      <c r="J52" s="457"/>
      <c r="K52" s="271">
        <f t="shared" si="1"/>
        <v>227541.5012</v>
      </c>
      <c r="L52" s="269" t="s">
        <v>421</v>
      </c>
    </row>
    <row r="53" spans="1:12" ht="20.100000000000001" customHeight="1">
      <c r="A53" s="269">
        <v>51</v>
      </c>
      <c r="B53" s="575" t="s">
        <v>469</v>
      </c>
      <c r="C53" s="270" t="s">
        <v>470</v>
      </c>
      <c r="D53" s="270">
        <v>200</v>
      </c>
      <c r="E53" s="270">
        <v>150</v>
      </c>
      <c r="F53" s="269">
        <v>1</v>
      </c>
      <c r="G53" s="269">
        <f>0.2*0.15</f>
        <v>0.03</v>
      </c>
      <c r="H53" s="271">
        <f t="shared" si="0"/>
        <v>0.03</v>
      </c>
      <c r="I53" s="271">
        <f>'BYC1610'!G62</f>
        <v>794</v>
      </c>
      <c r="J53" s="457"/>
      <c r="K53" s="271">
        <f t="shared" si="1"/>
        <v>23.82</v>
      </c>
      <c r="L53" s="272"/>
    </row>
    <row r="54" spans="1:12" ht="20.100000000000001" customHeight="1">
      <c r="A54" s="269">
        <v>52</v>
      </c>
      <c r="B54" s="575"/>
      <c r="C54" s="270" t="s">
        <v>471</v>
      </c>
      <c r="D54" s="270">
        <v>200</v>
      </c>
      <c r="E54" s="270">
        <v>1000</v>
      </c>
      <c r="F54" s="273">
        <v>2</v>
      </c>
      <c r="G54" s="269">
        <f>0.2*1</f>
        <v>0.2</v>
      </c>
      <c r="H54" s="271">
        <f t="shared" si="0"/>
        <v>0.4</v>
      </c>
      <c r="I54" s="271">
        <f>'BYC1610'!G62</f>
        <v>794</v>
      </c>
      <c r="J54" s="457"/>
      <c r="K54" s="271">
        <f t="shared" si="1"/>
        <v>317.60000000000002</v>
      </c>
      <c r="L54" s="272"/>
    </row>
    <row r="55" spans="1:12" ht="20.100000000000001" customHeight="1">
      <c r="A55" s="269">
        <v>53</v>
      </c>
      <c r="B55" s="575"/>
      <c r="C55" s="270" t="s">
        <v>472</v>
      </c>
      <c r="D55" s="270">
        <v>300</v>
      </c>
      <c r="E55" s="270">
        <v>200</v>
      </c>
      <c r="F55" s="269">
        <v>1</v>
      </c>
      <c r="G55" s="269">
        <f>0.3*0.2</f>
        <v>0.06</v>
      </c>
      <c r="H55" s="271">
        <f t="shared" si="0"/>
        <v>0.06</v>
      </c>
      <c r="I55" s="271">
        <f>'BYC1610'!G62</f>
        <v>794</v>
      </c>
      <c r="J55" s="457"/>
      <c r="K55" s="271">
        <f t="shared" si="1"/>
        <v>47.64</v>
      </c>
      <c r="L55" s="272"/>
    </row>
    <row r="56" spans="1:12" ht="20.100000000000001" customHeight="1">
      <c r="A56" s="269">
        <v>54</v>
      </c>
      <c r="B56" s="575"/>
      <c r="C56" s="270" t="s">
        <v>473</v>
      </c>
      <c r="D56" s="270">
        <v>300</v>
      </c>
      <c r="E56" s="270">
        <v>400</v>
      </c>
      <c r="F56" s="269">
        <v>4</v>
      </c>
      <c r="G56" s="269">
        <f>0.3*0.4</f>
        <v>0.12</v>
      </c>
      <c r="H56" s="271">
        <f t="shared" si="0"/>
        <v>0.48</v>
      </c>
      <c r="I56" s="271">
        <f>'BYC1610'!G62</f>
        <v>794</v>
      </c>
      <c r="J56" s="457"/>
      <c r="K56" s="271">
        <f t="shared" si="1"/>
        <v>381.12</v>
      </c>
      <c r="L56" s="272"/>
    </row>
    <row r="57" spans="1:12" ht="20.100000000000001" customHeight="1">
      <c r="A57" s="269">
        <v>55</v>
      </c>
      <c r="B57" s="575"/>
      <c r="C57" s="270" t="s">
        <v>474</v>
      </c>
      <c r="D57" s="270">
        <v>300</v>
      </c>
      <c r="E57" s="270">
        <v>600</v>
      </c>
      <c r="F57" s="273">
        <v>1</v>
      </c>
      <c r="G57" s="269">
        <f>0.6*0.3</f>
        <v>0.18</v>
      </c>
      <c r="H57" s="271">
        <f t="shared" si="0"/>
        <v>0.18</v>
      </c>
      <c r="I57" s="271">
        <f>'BYC1610'!G62</f>
        <v>794</v>
      </c>
      <c r="J57" s="457"/>
      <c r="K57" s="271">
        <f t="shared" si="1"/>
        <v>142.91999999999999</v>
      </c>
      <c r="L57" s="272"/>
    </row>
    <row r="58" spans="1:12" ht="20.100000000000001" customHeight="1">
      <c r="A58" s="269">
        <v>56</v>
      </c>
      <c r="B58" s="575"/>
      <c r="C58" s="270" t="s">
        <v>475</v>
      </c>
      <c r="D58" s="270">
        <v>1100</v>
      </c>
      <c r="E58" s="270">
        <v>2700</v>
      </c>
      <c r="F58" s="269">
        <v>4</v>
      </c>
      <c r="G58" s="269">
        <v>2.7850000000000001</v>
      </c>
      <c r="H58" s="271">
        <f t="shared" si="0"/>
        <v>11.14</v>
      </c>
      <c r="I58" s="271">
        <f>'BYC1610'!G62</f>
        <v>794</v>
      </c>
      <c r="J58" s="457"/>
      <c r="K58" s="271">
        <f t="shared" si="1"/>
        <v>8845.16</v>
      </c>
      <c r="L58" s="272"/>
    </row>
    <row r="59" spans="1:12" ht="20.100000000000001" customHeight="1">
      <c r="A59" s="269">
        <v>57</v>
      </c>
      <c r="B59" s="575"/>
      <c r="C59" s="270" t="s">
        <v>476</v>
      </c>
      <c r="D59" s="270">
        <v>1400</v>
      </c>
      <c r="E59" s="270">
        <v>1000</v>
      </c>
      <c r="F59" s="269">
        <v>1</v>
      </c>
      <c r="G59" s="269">
        <f>1.4*1</f>
        <v>1.4</v>
      </c>
      <c r="H59" s="271">
        <f t="shared" si="0"/>
        <v>1.4</v>
      </c>
      <c r="I59" s="271">
        <f>'BYC1610'!G62</f>
        <v>794</v>
      </c>
      <c r="J59" s="457"/>
      <c r="K59" s="271">
        <f t="shared" si="1"/>
        <v>1111.5999999999999</v>
      </c>
      <c r="L59" s="272"/>
    </row>
    <row r="60" spans="1:12" ht="20.100000000000001" customHeight="1">
      <c r="A60" s="269">
        <v>58</v>
      </c>
      <c r="B60" s="575"/>
      <c r="C60" s="270" t="s">
        <v>477</v>
      </c>
      <c r="D60" s="270">
        <v>1500</v>
      </c>
      <c r="E60" s="270">
        <v>1000</v>
      </c>
      <c r="F60" s="269">
        <v>1</v>
      </c>
      <c r="G60" s="269">
        <f>1.5*1</f>
        <v>1.5</v>
      </c>
      <c r="H60" s="271">
        <f t="shared" si="0"/>
        <v>1.5</v>
      </c>
      <c r="I60" s="271">
        <f>'BYC1610'!G62</f>
        <v>794</v>
      </c>
      <c r="J60" s="457"/>
      <c r="K60" s="271">
        <f t="shared" si="1"/>
        <v>1191</v>
      </c>
      <c r="L60" s="272"/>
    </row>
    <row r="61" spans="1:12" ht="20.100000000000001" customHeight="1">
      <c r="A61" s="269">
        <v>59</v>
      </c>
      <c r="B61" s="575"/>
      <c r="C61" s="270" t="s">
        <v>478</v>
      </c>
      <c r="D61" s="270">
        <v>1600</v>
      </c>
      <c r="E61" s="270">
        <v>1000</v>
      </c>
      <c r="F61" s="269">
        <v>2</v>
      </c>
      <c r="G61" s="269">
        <f>1.6*1</f>
        <v>1.6</v>
      </c>
      <c r="H61" s="271">
        <f t="shared" si="0"/>
        <v>3.2</v>
      </c>
      <c r="I61" s="271">
        <f>'BYC1610'!G62</f>
        <v>794</v>
      </c>
      <c r="J61" s="457"/>
      <c r="K61" s="271">
        <f t="shared" si="1"/>
        <v>2540.8000000000002</v>
      </c>
      <c r="L61" s="272"/>
    </row>
    <row r="62" spans="1:12" ht="20.100000000000001" customHeight="1">
      <c r="A62" s="269">
        <v>60</v>
      </c>
      <c r="B62" s="575"/>
      <c r="C62" s="270" t="s">
        <v>479</v>
      </c>
      <c r="D62" s="270">
        <v>2650</v>
      </c>
      <c r="E62" s="270">
        <v>700</v>
      </c>
      <c r="F62" s="269">
        <v>6</v>
      </c>
      <c r="G62" s="269">
        <f>2.65*0.7</f>
        <v>1.8549999999999998</v>
      </c>
      <c r="H62" s="271">
        <f t="shared" si="0"/>
        <v>11.129999999999999</v>
      </c>
      <c r="I62" s="271">
        <f>'BYC1610'!G62</f>
        <v>794</v>
      </c>
      <c r="J62" s="457"/>
      <c r="K62" s="271">
        <f t="shared" si="1"/>
        <v>8837.2199999999993</v>
      </c>
      <c r="L62" s="272"/>
    </row>
    <row r="63" spans="1:12" ht="20.100000000000001" customHeight="1">
      <c r="A63" s="269">
        <v>61</v>
      </c>
      <c r="B63" s="575"/>
      <c r="C63" s="270" t="s">
        <v>480</v>
      </c>
      <c r="D63" s="270">
        <v>2650</v>
      </c>
      <c r="E63" s="270">
        <v>3000</v>
      </c>
      <c r="F63" s="269">
        <v>6</v>
      </c>
      <c r="G63" s="269">
        <v>7.3179999999999996</v>
      </c>
      <c r="H63" s="271">
        <f t="shared" si="0"/>
        <v>43.908000000000001</v>
      </c>
      <c r="I63" s="271">
        <f>'BYC1610'!G62</f>
        <v>794</v>
      </c>
      <c r="J63" s="457"/>
      <c r="K63" s="271">
        <f t="shared" si="1"/>
        <v>34862.951999999997</v>
      </c>
      <c r="L63" s="272"/>
    </row>
    <row r="64" spans="1:12" ht="20.100000000000001" customHeight="1">
      <c r="A64" s="269">
        <v>62</v>
      </c>
      <c r="B64" s="575"/>
      <c r="C64" s="270" t="s">
        <v>481</v>
      </c>
      <c r="D64" s="270">
        <v>2850</v>
      </c>
      <c r="E64" s="270">
        <v>700</v>
      </c>
      <c r="F64" s="269">
        <v>6</v>
      </c>
      <c r="G64" s="269">
        <f>2.85*0.7</f>
        <v>1.9949999999999999</v>
      </c>
      <c r="H64" s="271">
        <f t="shared" si="0"/>
        <v>11.969999999999999</v>
      </c>
      <c r="I64" s="271">
        <f>'BYC1610'!G62</f>
        <v>794</v>
      </c>
      <c r="J64" s="457"/>
      <c r="K64" s="271">
        <f t="shared" si="1"/>
        <v>9504.1799999999985</v>
      </c>
      <c r="L64" s="272"/>
    </row>
    <row r="65" spans="1:12" ht="20.100000000000001" customHeight="1">
      <c r="A65" s="269">
        <v>63</v>
      </c>
      <c r="B65" s="575"/>
      <c r="C65" s="270" t="s">
        <v>482</v>
      </c>
      <c r="D65" s="270">
        <v>3050</v>
      </c>
      <c r="E65" s="270">
        <v>700</v>
      </c>
      <c r="F65" s="269">
        <v>6</v>
      </c>
      <c r="G65" s="269">
        <f>3.05*0.7</f>
        <v>2.1349999999999998</v>
      </c>
      <c r="H65" s="271">
        <f t="shared" si="0"/>
        <v>12.809999999999999</v>
      </c>
      <c r="I65" s="271">
        <f>'BYC1610'!G62</f>
        <v>794</v>
      </c>
      <c r="J65" s="457"/>
      <c r="K65" s="271">
        <f t="shared" si="1"/>
        <v>10171.14</v>
      </c>
      <c r="L65" s="272"/>
    </row>
    <row r="66" spans="1:12" ht="20.100000000000001" customHeight="1">
      <c r="A66" s="269">
        <v>64</v>
      </c>
      <c r="B66" s="575"/>
      <c r="C66" s="270" t="s">
        <v>483</v>
      </c>
      <c r="D66" s="270">
        <v>7200</v>
      </c>
      <c r="E66" s="270">
        <v>700</v>
      </c>
      <c r="F66" s="269">
        <v>3</v>
      </c>
      <c r="G66" s="269">
        <f>7.2*0.7</f>
        <v>5.04</v>
      </c>
      <c r="H66" s="271">
        <f t="shared" si="0"/>
        <v>15.120000000000001</v>
      </c>
      <c r="I66" s="271">
        <f>'BYC1610'!G62</f>
        <v>794</v>
      </c>
      <c r="J66" s="457"/>
      <c r="K66" s="271">
        <f t="shared" si="1"/>
        <v>12005.28</v>
      </c>
      <c r="L66" s="272"/>
    </row>
    <row r="67" spans="1:12" ht="20.100000000000001" customHeight="1">
      <c r="A67" s="269">
        <v>65</v>
      </c>
      <c r="B67" s="576"/>
      <c r="C67" s="270" t="s">
        <v>484</v>
      </c>
      <c r="D67" s="270">
        <v>600</v>
      </c>
      <c r="E67" s="270">
        <v>1000</v>
      </c>
      <c r="F67" s="269">
        <v>2</v>
      </c>
      <c r="G67" s="269">
        <f>0.6*1</f>
        <v>0.6</v>
      </c>
      <c r="H67" s="271">
        <f t="shared" ref="H67" si="3">F67*G67</f>
        <v>1.2</v>
      </c>
      <c r="I67" s="271">
        <f>'BYC1610'!G62</f>
        <v>794</v>
      </c>
      <c r="J67" s="457"/>
      <c r="K67" s="271">
        <f t="shared" si="1"/>
        <v>952.8</v>
      </c>
      <c r="L67" s="272"/>
    </row>
    <row r="68" spans="1:12" ht="20.100000000000001" customHeight="1">
      <c r="A68" s="269">
        <v>66</v>
      </c>
      <c r="B68" s="275" t="s">
        <v>485</v>
      </c>
      <c r="C68" s="270"/>
      <c r="D68" s="270"/>
      <c r="E68" s="270"/>
      <c r="F68" s="269"/>
      <c r="G68" s="269">
        <v>0.48</v>
      </c>
      <c r="H68" s="271">
        <f>SUM(H21:H52)*20%</f>
        <v>702.18640000000005</v>
      </c>
      <c r="I68" s="271"/>
      <c r="J68" s="457"/>
      <c r="K68" s="271"/>
      <c r="L68" s="272"/>
    </row>
    <row r="69" spans="1:12" ht="20.100000000000001" customHeight="1">
      <c r="A69" s="269">
        <v>67</v>
      </c>
      <c r="B69" s="270" t="s">
        <v>826</v>
      </c>
      <c r="C69" s="270"/>
      <c r="D69" s="270"/>
      <c r="E69" s="270"/>
      <c r="F69" s="269">
        <v>1</v>
      </c>
      <c r="G69" s="269">
        <f>57*2+7.2*2</f>
        <v>128.4</v>
      </c>
      <c r="H69" s="271">
        <f>F69*G69</f>
        <v>128.4</v>
      </c>
      <c r="I69" s="271"/>
      <c r="J69" s="457"/>
      <c r="K69" s="271"/>
      <c r="L69" s="272"/>
    </row>
    <row r="70" spans="1:12" ht="20.100000000000001" customHeight="1">
      <c r="A70" s="269">
        <v>68</v>
      </c>
      <c r="B70" s="577" t="s">
        <v>4</v>
      </c>
      <c r="C70" s="577"/>
      <c r="D70" s="577"/>
      <c r="E70" s="269"/>
      <c r="F70" s="269">
        <f>SUM(F3:F67)</f>
        <v>967</v>
      </c>
      <c r="G70" s="269"/>
      <c r="H70" s="271">
        <f>SUM(H3:H67)</f>
        <v>4878.7569999999996</v>
      </c>
      <c r="I70" s="271">
        <f>K70/H70</f>
        <v>1492.9971379000835</v>
      </c>
      <c r="J70" s="457"/>
      <c r="K70" s="271">
        <f>SUM(K3:K67)</f>
        <v>7283970.2375099976</v>
      </c>
      <c r="L70" s="272"/>
    </row>
    <row r="71" spans="1:12" ht="20.100000000000001" customHeight="1">
      <c r="A71" s="276"/>
      <c r="B71" s="276"/>
      <c r="C71" s="276"/>
      <c r="D71" s="276"/>
      <c r="E71" s="276"/>
      <c r="F71" s="276"/>
      <c r="G71" s="276"/>
      <c r="H71" s="277"/>
      <c r="I71" s="277"/>
      <c r="J71" s="277"/>
      <c r="K71" s="277"/>
      <c r="L71" s="276"/>
    </row>
    <row r="72" spans="1:12" ht="20.100000000000001" customHeight="1">
      <c r="A72" s="276"/>
      <c r="B72" s="276"/>
      <c r="C72" s="276"/>
      <c r="D72" s="276"/>
      <c r="E72" s="276"/>
      <c r="F72" s="276"/>
      <c r="G72" s="276"/>
      <c r="H72" s="278"/>
      <c r="I72" s="278"/>
      <c r="J72" s="278"/>
      <c r="K72" s="278"/>
      <c r="L72" s="276"/>
    </row>
  </sheetData>
  <mergeCells count="6">
    <mergeCell ref="B47:B52"/>
    <mergeCell ref="B53:B67"/>
    <mergeCell ref="B70:D70"/>
    <mergeCell ref="A1:L1"/>
    <mergeCell ref="B3:B20"/>
    <mergeCell ref="B21:B46"/>
  </mergeCells>
  <phoneticPr fontId="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AC6DC-2B1F-47A2-8642-CC4C0EBC6640}">
  <dimension ref="A1:R24"/>
  <sheetViews>
    <sheetView workbookViewId="0">
      <selection activeCell="O20" sqref="O20"/>
    </sheetView>
  </sheetViews>
  <sheetFormatPr defaultColWidth="9" defaultRowHeight="20.100000000000001" customHeight="1"/>
  <cols>
    <col min="1" max="3" width="9" style="268"/>
    <col min="4" max="5" width="13.625" style="268" customWidth="1"/>
    <col min="6" max="7" width="9" style="268"/>
    <col min="8" max="8" width="9.5" style="268" bestFit="1" customWidth="1"/>
    <col min="9" max="9" width="12.5" style="268" customWidth="1"/>
    <col min="10" max="10" width="16.5" style="268" customWidth="1"/>
    <col min="11" max="14" width="9" style="268"/>
    <col min="15" max="15" width="15.5" style="268" customWidth="1"/>
    <col min="16" max="16" width="11.625" style="268" bestFit="1" customWidth="1"/>
    <col min="17" max="17" width="12.375" style="268" customWidth="1"/>
    <col min="18" max="18" width="16.5" style="268" customWidth="1"/>
    <col min="19" max="16384" width="9" style="268"/>
  </cols>
  <sheetData>
    <row r="1" spans="1:18" ht="20.100000000000001" customHeight="1">
      <c r="A1" s="578" t="s">
        <v>487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578"/>
    </row>
    <row r="2" spans="1:18" ht="20.100000000000001" customHeight="1">
      <c r="A2" s="269" t="s">
        <v>0</v>
      </c>
      <c r="B2" s="269" t="s">
        <v>406</v>
      </c>
      <c r="C2" s="269" t="s">
        <v>407</v>
      </c>
      <c r="D2" s="269" t="s">
        <v>594</v>
      </c>
      <c r="E2" s="269" t="s">
        <v>595</v>
      </c>
      <c r="F2" s="269" t="s">
        <v>8</v>
      </c>
      <c r="G2" s="269" t="s">
        <v>460</v>
      </c>
      <c r="H2" s="269" t="s">
        <v>461</v>
      </c>
      <c r="I2" s="269" t="s">
        <v>456</v>
      </c>
      <c r="J2" s="269" t="s">
        <v>457</v>
      </c>
      <c r="K2" s="269" t="s">
        <v>1</v>
      </c>
      <c r="L2" s="269" t="s">
        <v>462</v>
      </c>
    </row>
    <row r="3" spans="1:18" ht="20.100000000000001" customHeight="1">
      <c r="A3" s="269">
        <v>1</v>
      </c>
      <c r="B3" s="579" t="s">
        <v>408</v>
      </c>
      <c r="C3" s="270" t="s">
        <v>827</v>
      </c>
      <c r="D3" s="270">
        <v>2000</v>
      </c>
      <c r="E3" s="270">
        <v>3800</v>
      </c>
      <c r="F3" s="269">
        <v>5</v>
      </c>
      <c r="G3" s="269">
        <v>7.17</v>
      </c>
      <c r="H3" s="271">
        <f t="shared" ref="H3:H22" si="0">F3*G3</f>
        <v>35.85</v>
      </c>
      <c r="I3" s="271">
        <f>'WM2038'!B371</f>
        <v>1143.1199999999999</v>
      </c>
      <c r="J3" s="271">
        <f>I3*H3</f>
        <v>40980.851999999999</v>
      </c>
      <c r="K3" s="272"/>
      <c r="L3" s="272"/>
      <c r="N3" s="459" t="s">
        <v>584</v>
      </c>
      <c r="O3" s="459" t="s">
        <v>841</v>
      </c>
      <c r="P3" s="459" t="s">
        <v>455</v>
      </c>
      <c r="Q3" s="459" t="s">
        <v>456</v>
      </c>
      <c r="R3" s="459" t="s">
        <v>457</v>
      </c>
    </row>
    <row r="4" spans="1:18" ht="20.100000000000001" customHeight="1">
      <c r="A4" s="269">
        <v>2</v>
      </c>
      <c r="B4" s="580"/>
      <c r="C4" s="270" t="s">
        <v>416</v>
      </c>
      <c r="D4" s="270">
        <v>2300</v>
      </c>
      <c r="E4" s="270">
        <v>3800</v>
      </c>
      <c r="F4" s="269">
        <v>6</v>
      </c>
      <c r="G4" s="269">
        <v>8.17</v>
      </c>
      <c r="H4" s="271">
        <f t="shared" si="0"/>
        <v>49.019999999999996</v>
      </c>
      <c r="I4" s="271">
        <f>'WM2038'!B371</f>
        <v>1143.1199999999999</v>
      </c>
      <c r="J4" s="271">
        <f t="shared" ref="J4:J23" si="1">I4*H4</f>
        <v>56035.742399999988</v>
      </c>
      <c r="K4" s="272"/>
      <c r="L4" s="272"/>
      <c r="N4" s="459">
        <v>1</v>
      </c>
      <c r="O4" s="459" t="s">
        <v>845</v>
      </c>
      <c r="P4" s="458">
        <f>SUM(H3:H7)</f>
        <v>107.78</v>
      </c>
      <c r="Q4" s="458">
        <f>R4/P4</f>
        <v>1184.9822583039524</v>
      </c>
      <c r="R4" s="458">
        <f>SUM(J3:J7)</f>
        <v>127717.3878</v>
      </c>
    </row>
    <row r="5" spans="1:18" ht="20.100000000000001" customHeight="1">
      <c r="A5" s="269">
        <v>3</v>
      </c>
      <c r="B5" s="580"/>
      <c r="C5" s="270" t="s">
        <v>488</v>
      </c>
      <c r="D5" s="270">
        <v>2000</v>
      </c>
      <c r="E5" s="270">
        <v>3800</v>
      </c>
      <c r="F5" s="269">
        <v>1</v>
      </c>
      <c r="G5" s="269">
        <v>7.17</v>
      </c>
      <c r="H5" s="271">
        <f t="shared" si="0"/>
        <v>7.17</v>
      </c>
      <c r="I5" s="271">
        <f>'WM2038'!B371</f>
        <v>1143.1199999999999</v>
      </c>
      <c r="J5" s="271">
        <f t="shared" si="1"/>
        <v>8196.1703999999991</v>
      </c>
      <c r="K5" s="272"/>
      <c r="L5" s="272"/>
      <c r="N5" s="459">
        <v>2</v>
      </c>
      <c r="O5" s="459" t="s">
        <v>847</v>
      </c>
      <c r="P5" s="458">
        <f>SUM(H8:H15)</f>
        <v>644.52</v>
      </c>
      <c r="Q5" s="458">
        <f t="shared" ref="Q5:Q7" si="2">R5/P5</f>
        <v>1537.8532695649476</v>
      </c>
      <c r="R5" s="458">
        <f>SUM(J8:J15)</f>
        <v>991177.18929999997</v>
      </c>
    </row>
    <row r="6" spans="1:18" ht="20.100000000000001" customHeight="1">
      <c r="A6" s="269">
        <v>4</v>
      </c>
      <c r="B6" s="574" t="s">
        <v>450</v>
      </c>
      <c r="C6" s="270" t="s">
        <v>828</v>
      </c>
      <c r="D6" s="270">
        <v>200</v>
      </c>
      <c r="E6" s="270">
        <v>3000</v>
      </c>
      <c r="F6" s="269">
        <v>2</v>
      </c>
      <c r="G6" s="269">
        <v>5.57</v>
      </c>
      <c r="H6" s="271">
        <f t="shared" si="0"/>
        <v>11.14</v>
      </c>
      <c r="I6" s="271">
        <f>'MLC2030'!B371</f>
        <v>1514.75</v>
      </c>
      <c r="J6" s="271">
        <f t="shared" si="1"/>
        <v>16874.315000000002</v>
      </c>
      <c r="K6" s="272"/>
      <c r="L6" s="272"/>
      <c r="N6" s="459">
        <v>3</v>
      </c>
      <c r="O6" s="459" t="s">
        <v>849</v>
      </c>
      <c r="P6" s="458"/>
      <c r="Q6" s="458"/>
      <c r="R6" s="458"/>
    </row>
    <row r="7" spans="1:18" ht="20.100000000000001" customHeight="1">
      <c r="A7" s="269">
        <v>5</v>
      </c>
      <c r="B7" s="575"/>
      <c r="C7" s="270" t="s">
        <v>829</v>
      </c>
      <c r="D7" s="270">
        <v>2500</v>
      </c>
      <c r="E7" s="270">
        <v>2200</v>
      </c>
      <c r="F7" s="269">
        <v>1</v>
      </c>
      <c r="G7" s="269">
        <v>4.5999999999999996</v>
      </c>
      <c r="H7" s="271">
        <f t="shared" si="0"/>
        <v>4.5999999999999996</v>
      </c>
      <c r="I7" s="271">
        <f>'MLC2522'!B371</f>
        <v>1223.98</v>
      </c>
      <c r="J7" s="271">
        <f t="shared" si="1"/>
        <v>5630.308</v>
      </c>
      <c r="K7" s="272"/>
      <c r="L7" s="272"/>
      <c r="N7" s="459">
        <v>4</v>
      </c>
      <c r="O7" s="459" t="s">
        <v>851</v>
      </c>
      <c r="P7" s="458">
        <f>SUM(H16:H22)</f>
        <v>18.38</v>
      </c>
      <c r="Q7" s="458">
        <f t="shared" si="2"/>
        <v>964</v>
      </c>
      <c r="R7" s="458">
        <f>SUM(J16:J22)</f>
        <v>17718.32</v>
      </c>
    </row>
    <row r="8" spans="1:18" ht="20.100000000000001" customHeight="1">
      <c r="A8" s="269">
        <v>6</v>
      </c>
      <c r="B8" s="574" t="s">
        <v>489</v>
      </c>
      <c r="C8" s="270" t="s">
        <v>490</v>
      </c>
      <c r="D8" s="270">
        <v>2000</v>
      </c>
      <c r="E8" s="270">
        <v>3000</v>
      </c>
      <c r="F8" s="269">
        <v>12</v>
      </c>
      <c r="G8" s="269">
        <v>5.57</v>
      </c>
      <c r="H8" s="271">
        <f t="shared" si="0"/>
        <v>66.84</v>
      </c>
      <c r="I8" s="271">
        <f>'C2330'!B371</f>
        <v>1501.59</v>
      </c>
      <c r="J8" s="271">
        <f t="shared" si="1"/>
        <v>100366.27559999999</v>
      </c>
      <c r="K8" s="272"/>
      <c r="L8" s="272"/>
      <c r="N8" s="459">
        <v>5</v>
      </c>
      <c r="O8" s="459" t="s">
        <v>854</v>
      </c>
      <c r="P8" s="458"/>
      <c r="Q8" s="458"/>
      <c r="R8" s="458"/>
    </row>
    <row r="9" spans="1:18" ht="20.100000000000001" customHeight="1">
      <c r="A9" s="269">
        <v>7</v>
      </c>
      <c r="B9" s="575"/>
      <c r="C9" s="270" t="s">
        <v>491</v>
      </c>
      <c r="D9" s="270">
        <v>2000</v>
      </c>
      <c r="E9" s="270" t="s">
        <v>596</v>
      </c>
      <c r="F9" s="269">
        <v>5</v>
      </c>
      <c r="G9" s="269">
        <v>7.17</v>
      </c>
      <c r="H9" s="271">
        <f t="shared" si="0"/>
        <v>35.85</v>
      </c>
      <c r="I9" s="271">
        <f>'C2330'!B371</f>
        <v>1501.59</v>
      </c>
      <c r="J9" s="271">
        <f t="shared" si="1"/>
        <v>53832.001499999998</v>
      </c>
      <c r="K9" s="272"/>
      <c r="L9" s="272"/>
      <c r="N9" s="459">
        <v>6</v>
      </c>
      <c r="O9" s="459" t="s">
        <v>485</v>
      </c>
      <c r="P9" s="458">
        <f>SUM(H23)</f>
        <v>123.81800000000001</v>
      </c>
      <c r="Q9" s="458"/>
      <c r="R9" s="458"/>
    </row>
    <row r="10" spans="1:18" ht="20.100000000000001" customHeight="1">
      <c r="A10" s="269">
        <v>8</v>
      </c>
      <c r="B10" s="575"/>
      <c r="C10" s="270" t="s">
        <v>830</v>
      </c>
      <c r="D10" s="270">
        <v>2300</v>
      </c>
      <c r="E10" s="270">
        <v>3000</v>
      </c>
      <c r="F10" s="269">
        <v>36</v>
      </c>
      <c r="G10" s="269">
        <v>6.33</v>
      </c>
      <c r="H10" s="271">
        <f t="shared" si="0"/>
        <v>227.88</v>
      </c>
      <c r="I10" s="271">
        <f>'C2330'!B371</f>
        <v>1501.59</v>
      </c>
      <c r="J10" s="271">
        <f t="shared" si="1"/>
        <v>342182.32919999998</v>
      </c>
      <c r="K10" s="272"/>
      <c r="L10" s="272"/>
      <c r="N10" s="459">
        <v>7</v>
      </c>
      <c r="O10" s="459" t="s">
        <v>486</v>
      </c>
      <c r="P10" s="458"/>
      <c r="Q10" s="458"/>
      <c r="R10" s="458"/>
    </row>
    <row r="11" spans="1:18" ht="20.100000000000001" customHeight="1">
      <c r="A11" s="269">
        <v>9</v>
      </c>
      <c r="B11" s="575"/>
      <c r="C11" s="270" t="s">
        <v>436</v>
      </c>
      <c r="D11" s="270">
        <v>2300</v>
      </c>
      <c r="E11" s="270">
        <v>3800</v>
      </c>
      <c r="F11" s="269">
        <v>18</v>
      </c>
      <c r="G11" s="269">
        <v>8.17</v>
      </c>
      <c r="H11" s="271">
        <f t="shared" si="0"/>
        <v>147.06</v>
      </c>
      <c r="I11" s="271">
        <f>'C2330'!B371</f>
        <v>1501.59</v>
      </c>
      <c r="J11" s="271">
        <f t="shared" si="1"/>
        <v>220823.8254</v>
      </c>
      <c r="K11" s="272"/>
      <c r="L11" s="272"/>
      <c r="N11" s="459">
        <v>8</v>
      </c>
      <c r="O11" s="459" t="s">
        <v>855</v>
      </c>
      <c r="P11" s="458"/>
      <c r="Q11" s="458"/>
      <c r="R11" s="458"/>
    </row>
    <row r="12" spans="1:18" ht="20.100000000000001" customHeight="1">
      <c r="A12" s="269">
        <v>10</v>
      </c>
      <c r="B12" s="575"/>
      <c r="C12" s="270" t="s">
        <v>492</v>
      </c>
      <c r="D12" s="270">
        <v>2000</v>
      </c>
      <c r="E12" s="270">
        <v>3800</v>
      </c>
      <c r="F12" s="269">
        <v>5</v>
      </c>
      <c r="G12" s="269">
        <v>7.17</v>
      </c>
      <c r="H12" s="271">
        <f t="shared" si="0"/>
        <v>35.85</v>
      </c>
      <c r="I12" s="271">
        <f>'C2330'!B371</f>
        <v>1501.59</v>
      </c>
      <c r="J12" s="271">
        <f t="shared" si="1"/>
        <v>53832.001499999998</v>
      </c>
      <c r="K12" s="272"/>
      <c r="L12" s="272"/>
      <c r="N12" s="459">
        <v>9</v>
      </c>
      <c r="O12" s="459"/>
      <c r="P12" s="458">
        <f>SUM(P4:P8)</f>
        <v>770.68</v>
      </c>
      <c r="Q12" s="458">
        <f>R12/P12</f>
        <v>1474.8182087247626</v>
      </c>
      <c r="R12" s="458">
        <f>SUM(R4:R7)</f>
        <v>1136612.8970999999</v>
      </c>
    </row>
    <row r="13" spans="1:18" ht="20.100000000000001" customHeight="1">
      <c r="A13" s="269">
        <v>11</v>
      </c>
      <c r="B13" s="576"/>
      <c r="C13" s="270" t="s">
        <v>493</v>
      </c>
      <c r="D13" s="270">
        <v>2300</v>
      </c>
      <c r="E13" s="270">
        <v>3800</v>
      </c>
      <c r="F13" s="269">
        <v>11</v>
      </c>
      <c r="G13" s="269">
        <v>8.17</v>
      </c>
      <c r="H13" s="271">
        <f t="shared" si="0"/>
        <v>89.87</v>
      </c>
      <c r="I13" s="271">
        <f>'C2330'!B371</f>
        <v>1501.59</v>
      </c>
      <c r="J13" s="271">
        <f t="shared" si="1"/>
        <v>134947.8933</v>
      </c>
      <c r="K13" s="272"/>
      <c r="L13" s="272"/>
      <c r="M13" s="314"/>
      <c r="N13" s="314"/>
    </row>
    <row r="14" spans="1:18" ht="20.100000000000001" customHeight="1">
      <c r="A14" s="269">
        <v>12</v>
      </c>
      <c r="B14" s="574" t="s">
        <v>495</v>
      </c>
      <c r="C14" s="270" t="s">
        <v>494</v>
      </c>
      <c r="D14" s="270">
        <v>1000</v>
      </c>
      <c r="E14" s="270">
        <v>1400</v>
      </c>
      <c r="F14" s="269">
        <v>30</v>
      </c>
      <c r="G14" s="269">
        <v>1.1000000000000001</v>
      </c>
      <c r="H14" s="271">
        <f t="shared" si="0"/>
        <v>33</v>
      </c>
      <c r="I14" s="271">
        <f>'C1014'!B371</f>
        <v>2372.44</v>
      </c>
      <c r="J14" s="271">
        <f t="shared" si="1"/>
        <v>78290.52</v>
      </c>
      <c r="K14" s="272"/>
      <c r="L14" s="272"/>
      <c r="N14" s="314"/>
    </row>
    <row r="15" spans="1:18" ht="20.100000000000001" customHeight="1">
      <c r="A15" s="269">
        <v>13</v>
      </c>
      <c r="B15" s="576"/>
      <c r="C15" s="270" t="s">
        <v>831</v>
      </c>
      <c r="D15" s="270">
        <v>2300</v>
      </c>
      <c r="E15" s="270">
        <v>3800</v>
      </c>
      <c r="F15" s="269">
        <v>1</v>
      </c>
      <c r="G15" s="269">
        <v>8.17</v>
      </c>
      <c r="H15" s="271">
        <f t="shared" si="0"/>
        <v>8.17</v>
      </c>
      <c r="I15" s="271">
        <f>'GDC2338'!B371</f>
        <v>844.84</v>
      </c>
      <c r="J15" s="271">
        <f t="shared" si="1"/>
        <v>6902.3428000000004</v>
      </c>
      <c r="K15" s="272"/>
      <c r="L15" s="272"/>
    </row>
    <row r="16" spans="1:18" ht="20.100000000000001" customHeight="1">
      <c r="A16" s="269">
        <v>14</v>
      </c>
      <c r="B16" s="582" t="s">
        <v>598</v>
      </c>
      <c r="C16" s="270" t="s">
        <v>496</v>
      </c>
      <c r="D16" s="270">
        <v>500</v>
      </c>
      <c r="E16" s="270">
        <v>700</v>
      </c>
      <c r="F16" s="269">
        <v>1</v>
      </c>
      <c r="G16" s="269">
        <f>0.5*0.7</f>
        <v>0.35</v>
      </c>
      <c r="H16" s="271">
        <f t="shared" si="0"/>
        <v>0.35</v>
      </c>
      <c r="I16" s="271">
        <f>'BYC0809'!G62</f>
        <v>964</v>
      </c>
      <c r="J16" s="271">
        <f t="shared" si="1"/>
        <v>337.4</v>
      </c>
      <c r="K16" s="272"/>
      <c r="L16" s="272"/>
    </row>
    <row r="17" spans="1:12" ht="20.100000000000001" customHeight="1">
      <c r="A17" s="269">
        <v>15</v>
      </c>
      <c r="B17" s="575"/>
      <c r="C17" s="270" t="s">
        <v>497</v>
      </c>
      <c r="D17" s="270">
        <v>800</v>
      </c>
      <c r="E17" s="270">
        <v>900</v>
      </c>
      <c r="F17" s="269">
        <v>1</v>
      </c>
      <c r="G17" s="269">
        <f>0.8*0.9</f>
        <v>0.72000000000000008</v>
      </c>
      <c r="H17" s="271">
        <f t="shared" si="0"/>
        <v>0.72000000000000008</v>
      </c>
      <c r="I17" s="271">
        <f>'BYC0809'!G62</f>
        <v>964</v>
      </c>
      <c r="J17" s="271">
        <f t="shared" si="1"/>
        <v>694.08</v>
      </c>
      <c r="K17" s="272"/>
      <c r="L17" s="272"/>
    </row>
    <row r="18" spans="1:12" ht="20.100000000000001" customHeight="1">
      <c r="A18" s="269">
        <v>16</v>
      </c>
      <c r="B18" s="575"/>
      <c r="C18" s="270" t="s">
        <v>498</v>
      </c>
      <c r="D18" s="270">
        <v>900</v>
      </c>
      <c r="E18" s="270">
        <v>700</v>
      </c>
      <c r="F18" s="269">
        <v>2</v>
      </c>
      <c r="G18" s="269">
        <f>0.9*0.7</f>
        <v>0.63</v>
      </c>
      <c r="H18" s="271">
        <f t="shared" si="0"/>
        <v>1.26</v>
      </c>
      <c r="I18" s="271">
        <f>'BYC0809'!G62</f>
        <v>964</v>
      </c>
      <c r="J18" s="271">
        <f t="shared" si="1"/>
        <v>1214.6400000000001</v>
      </c>
      <c r="K18" s="272"/>
      <c r="L18" s="272"/>
    </row>
    <row r="19" spans="1:12" ht="20.100000000000001" customHeight="1">
      <c r="A19" s="269">
        <v>17</v>
      </c>
      <c r="B19" s="575"/>
      <c r="C19" s="270" t="s">
        <v>499</v>
      </c>
      <c r="D19" s="270">
        <v>2000</v>
      </c>
      <c r="E19" s="270">
        <v>400</v>
      </c>
      <c r="F19" s="269">
        <v>5</v>
      </c>
      <c r="G19" s="269">
        <f>2*0.4</f>
        <v>0.8</v>
      </c>
      <c r="H19" s="271">
        <f t="shared" si="0"/>
        <v>4</v>
      </c>
      <c r="I19" s="271">
        <f>'BYC0809'!G62</f>
        <v>964</v>
      </c>
      <c r="J19" s="271">
        <f t="shared" si="1"/>
        <v>3856</v>
      </c>
      <c r="K19" s="272"/>
      <c r="L19" s="272"/>
    </row>
    <row r="20" spans="1:12" ht="20.100000000000001" customHeight="1">
      <c r="A20" s="269">
        <v>18</v>
      </c>
      <c r="B20" s="575"/>
      <c r="C20" s="270" t="s">
        <v>500</v>
      </c>
      <c r="D20" s="270">
        <v>230</v>
      </c>
      <c r="E20" s="270">
        <v>300</v>
      </c>
      <c r="F20" s="269">
        <v>5</v>
      </c>
      <c r="G20" s="269">
        <f>2.3*0.3</f>
        <v>0.69</v>
      </c>
      <c r="H20" s="271">
        <f t="shared" si="0"/>
        <v>3.4499999999999997</v>
      </c>
      <c r="I20" s="271">
        <f>'BYC0809'!G62</f>
        <v>964</v>
      </c>
      <c r="J20" s="271">
        <f t="shared" si="1"/>
        <v>3325.7999999999997</v>
      </c>
      <c r="K20" s="272"/>
      <c r="L20" s="272"/>
    </row>
    <row r="21" spans="1:12" ht="20.100000000000001" customHeight="1">
      <c r="A21" s="269">
        <v>19</v>
      </c>
      <c r="B21" s="575"/>
      <c r="C21" s="270" t="s">
        <v>501</v>
      </c>
      <c r="D21" s="270">
        <v>2800</v>
      </c>
      <c r="E21" s="270">
        <v>500</v>
      </c>
      <c r="F21" s="269">
        <v>2</v>
      </c>
      <c r="G21" s="269">
        <f>2.8*0.5</f>
        <v>1.4</v>
      </c>
      <c r="H21" s="271">
        <f t="shared" si="0"/>
        <v>2.8</v>
      </c>
      <c r="I21" s="271">
        <f>'BYC0809'!G62</f>
        <v>964</v>
      </c>
      <c r="J21" s="271">
        <f t="shared" si="1"/>
        <v>2699.2</v>
      </c>
      <c r="K21" s="272"/>
      <c r="L21" s="272"/>
    </row>
    <row r="22" spans="1:12" ht="20.100000000000001" customHeight="1">
      <c r="A22" s="269">
        <v>20</v>
      </c>
      <c r="B22" s="575"/>
      <c r="C22" s="270" t="s">
        <v>502</v>
      </c>
      <c r="D22" s="270">
        <v>2900</v>
      </c>
      <c r="E22" s="270">
        <v>500</v>
      </c>
      <c r="F22" s="269">
        <v>4</v>
      </c>
      <c r="G22" s="269">
        <f>2.9*0.5</f>
        <v>1.45</v>
      </c>
      <c r="H22" s="271">
        <f t="shared" si="0"/>
        <v>5.8</v>
      </c>
      <c r="I22" s="271">
        <f>'BYC0809'!G62</f>
        <v>964</v>
      </c>
      <c r="J22" s="271">
        <f t="shared" si="1"/>
        <v>5591.2</v>
      </c>
      <c r="K22" s="272"/>
      <c r="L22" s="272"/>
    </row>
    <row r="23" spans="1:12" ht="20.100000000000001" customHeight="1">
      <c r="A23" s="269">
        <v>21</v>
      </c>
      <c r="B23" s="275" t="s">
        <v>485</v>
      </c>
      <c r="C23" s="270"/>
      <c r="D23" s="270"/>
      <c r="E23" s="270"/>
      <c r="F23" s="269"/>
      <c r="G23" s="269">
        <v>0.4</v>
      </c>
      <c r="H23" s="271">
        <f>SUM(H6:H13)*20%</f>
        <v>123.81800000000001</v>
      </c>
      <c r="I23" s="271"/>
      <c r="J23" s="271">
        <f t="shared" si="1"/>
        <v>0</v>
      </c>
      <c r="K23" s="272"/>
      <c r="L23" s="269"/>
    </row>
    <row r="24" spans="1:12" ht="20.100000000000001" customHeight="1">
      <c r="A24" s="269">
        <v>22</v>
      </c>
      <c r="B24" s="577" t="s">
        <v>4</v>
      </c>
      <c r="C24" s="577"/>
      <c r="D24" s="577"/>
      <c r="E24" s="269"/>
      <c r="F24" s="269">
        <f>SUM(F3:F23)</f>
        <v>153</v>
      </c>
      <c r="G24" s="269"/>
      <c r="H24" s="271">
        <f>SUM(H3:H22)</f>
        <v>770.68000000000006</v>
      </c>
      <c r="I24" s="271">
        <f>J24/H24</f>
        <v>1474.8182087247621</v>
      </c>
      <c r="J24" s="271">
        <f>SUM(J3:J23)</f>
        <v>1136612.8970999997</v>
      </c>
      <c r="K24" s="272"/>
      <c r="L24" s="269"/>
    </row>
  </sheetData>
  <protectedRanges>
    <protectedRange sqref="L1:L24" name="区域1"/>
  </protectedRanges>
  <mergeCells count="7">
    <mergeCell ref="B16:B22"/>
    <mergeCell ref="B24:D24"/>
    <mergeCell ref="B14:B15"/>
    <mergeCell ref="A1:L1"/>
    <mergeCell ref="B3:B5"/>
    <mergeCell ref="B6:B7"/>
    <mergeCell ref="B8:B13"/>
  </mergeCells>
  <phoneticPr fontId="5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9DB37-81DB-485B-9886-00DE6CA650B3}">
  <dimension ref="A1:Q36"/>
  <sheetViews>
    <sheetView topLeftCell="A16" workbookViewId="0">
      <selection activeCell="M4" sqref="M4:Q13"/>
    </sheetView>
  </sheetViews>
  <sheetFormatPr defaultColWidth="9" defaultRowHeight="20.100000000000001" customHeight="1"/>
  <cols>
    <col min="1" max="1" width="9" style="268"/>
    <col min="2" max="9" width="14.25" style="268" customWidth="1"/>
    <col min="10" max="10" width="17.25" style="268" customWidth="1"/>
    <col min="11" max="11" width="14.25" style="268" customWidth="1"/>
    <col min="12" max="13" width="9" style="268"/>
    <col min="14" max="14" width="15.5" style="268" customWidth="1"/>
    <col min="15" max="15" width="11.625" style="268" bestFit="1" customWidth="1"/>
    <col min="16" max="16" width="12.375" style="268" customWidth="1"/>
    <col min="17" max="17" width="16.5" style="268" customWidth="1"/>
    <col min="18" max="16384" width="9" style="268"/>
  </cols>
  <sheetData>
    <row r="1" spans="1:17" ht="20.100000000000001" customHeight="1">
      <c r="A1" s="586" t="s">
        <v>503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</row>
    <row r="2" spans="1:17" ht="20.100000000000001" customHeight="1">
      <c r="A2" s="270" t="s">
        <v>0</v>
      </c>
      <c r="B2" s="270" t="s">
        <v>406</v>
      </c>
      <c r="C2" s="270" t="s">
        <v>407</v>
      </c>
      <c r="D2" s="269" t="s">
        <v>594</v>
      </c>
      <c r="E2" s="269" t="s">
        <v>595</v>
      </c>
      <c r="F2" s="270" t="s">
        <v>8</v>
      </c>
      <c r="G2" s="270" t="s">
        <v>460</v>
      </c>
      <c r="H2" s="270" t="s">
        <v>461</v>
      </c>
      <c r="I2" s="269" t="s">
        <v>456</v>
      </c>
      <c r="J2" s="269" t="s">
        <v>457</v>
      </c>
      <c r="K2" s="270" t="s">
        <v>1</v>
      </c>
    </row>
    <row r="3" spans="1:17" ht="20.100000000000001" customHeight="1">
      <c r="A3" s="270">
        <v>1</v>
      </c>
      <c r="B3" s="270" t="s">
        <v>504</v>
      </c>
      <c r="C3" s="270" t="s">
        <v>473</v>
      </c>
      <c r="D3" s="270">
        <v>300</v>
      </c>
      <c r="E3" s="270">
        <v>400</v>
      </c>
      <c r="F3" s="270">
        <v>6</v>
      </c>
      <c r="G3" s="270">
        <f>0.3*0.4</f>
        <v>0.12</v>
      </c>
      <c r="H3" s="279">
        <f t="shared" ref="H3:H35" si="0">F3*G3</f>
        <v>0.72</v>
      </c>
      <c r="I3" s="271">
        <f>'BYC0624'!G62</f>
        <v>1004</v>
      </c>
      <c r="J3" s="271">
        <f>I3*H3</f>
        <v>722.88</v>
      </c>
      <c r="K3" s="587" t="s">
        <v>832</v>
      </c>
    </row>
    <row r="4" spans="1:17" ht="20.100000000000001" customHeight="1">
      <c r="A4" s="270">
        <v>2</v>
      </c>
      <c r="B4" s="270" t="s">
        <v>504</v>
      </c>
      <c r="C4" s="270" t="s">
        <v>506</v>
      </c>
      <c r="D4" s="270">
        <v>300</v>
      </c>
      <c r="E4" s="270">
        <v>500</v>
      </c>
      <c r="F4" s="270">
        <v>2</v>
      </c>
      <c r="G4" s="270">
        <f>0.3*0.5</f>
        <v>0.15</v>
      </c>
      <c r="H4" s="279">
        <f t="shared" si="0"/>
        <v>0.3</v>
      </c>
      <c r="I4" s="279">
        <f>'BYC0624'!G62</f>
        <v>1004</v>
      </c>
      <c r="J4" s="271">
        <f t="shared" ref="J4:J32" si="1">I4*H4</f>
        <v>301.2</v>
      </c>
      <c r="K4" s="587"/>
      <c r="M4" s="459" t="s">
        <v>584</v>
      </c>
      <c r="N4" s="459" t="s">
        <v>841</v>
      </c>
      <c r="O4" s="459" t="s">
        <v>455</v>
      </c>
      <c r="P4" s="459" t="s">
        <v>456</v>
      </c>
      <c r="Q4" s="459" t="s">
        <v>457</v>
      </c>
    </row>
    <row r="5" spans="1:17" ht="20.100000000000001" customHeight="1">
      <c r="A5" s="270">
        <v>3</v>
      </c>
      <c r="B5" s="270" t="s">
        <v>504</v>
      </c>
      <c r="C5" s="270" t="s">
        <v>507</v>
      </c>
      <c r="D5" s="270">
        <v>400</v>
      </c>
      <c r="E5" s="270">
        <v>400</v>
      </c>
      <c r="F5" s="270">
        <v>3</v>
      </c>
      <c r="G5" s="270">
        <f>0.4*0.4</f>
        <v>0.16000000000000003</v>
      </c>
      <c r="H5" s="279">
        <f t="shared" si="0"/>
        <v>0.48000000000000009</v>
      </c>
      <c r="I5" s="279">
        <f>'BYC0624'!G62</f>
        <v>1004</v>
      </c>
      <c r="J5" s="271">
        <f t="shared" si="1"/>
        <v>481.92000000000007</v>
      </c>
      <c r="K5" s="587"/>
      <c r="M5" s="459">
        <v>1</v>
      </c>
      <c r="N5" s="459" t="s">
        <v>845</v>
      </c>
      <c r="O5" s="458">
        <f>SUM(H24:H26,H28:H32)</f>
        <v>1236.6049999999998</v>
      </c>
      <c r="P5" s="458">
        <f>Q5/O5</f>
        <v>1406.6720088468023</v>
      </c>
      <c r="Q5" s="458">
        <f>SUM(J24:J26,J28:J32)</f>
        <v>1739497.6394999998</v>
      </c>
    </row>
    <row r="6" spans="1:17" ht="20.100000000000001" customHeight="1">
      <c r="A6" s="270">
        <v>4</v>
      </c>
      <c r="B6" s="270" t="s">
        <v>504</v>
      </c>
      <c r="C6" s="270" t="s">
        <v>508</v>
      </c>
      <c r="D6" s="270">
        <v>700</v>
      </c>
      <c r="E6" s="270">
        <v>400</v>
      </c>
      <c r="F6" s="270">
        <v>44</v>
      </c>
      <c r="G6" s="270">
        <f>0.7*0.4</f>
        <v>0.27999999999999997</v>
      </c>
      <c r="H6" s="279">
        <f t="shared" si="0"/>
        <v>12.319999999999999</v>
      </c>
      <c r="I6" s="279">
        <f>'BYC0624'!G62</f>
        <v>1004</v>
      </c>
      <c r="J6" s="271">
        <f t="shared" si="1"/>
        <v>12369.279999999999</v>
      </c>
      <c r="K6" s="587"/>
      <c r="M6" s="459">
        <v>2</v>
      </c>
      <c r="N6" s="459" t="s">
        <v>847</v>
      </c>
      <c r="O6" s="458">
        <f>SUM(H16:H22)</f>
        <v>174.02999999999997</v>
      </c>
      <c r="P6" s="458">
        <f t="shared" ref="P6" si="2">Q6/O6</f>
        <v>1589.7680991783027</v>
      </c>
      <c r="Q6" s="458">
        <f>SUM(J16:J22)</f>
        <v>276667.34229999996</v>
      </c>
    </row>
    <row r="7" spans="1:17" ht="20.100000000000001" customHeight="1">
      <c r="A7" s="270">
        <v>5</v>
      </c>
      <c r="B7" s="270" t="s">
        <v>504</v>
      </c>
      <c r="C7" s="270" t="s">
        <v>509</v>
      </c>
      <c r="D7" s="270">
        <v>1200</v>
      </c>
      <c r="E7" s="270">
        <v>1200</v>
      </c>
      <c r="F7" s="270">
        <v>2</v>
      </c>
      <c r="G7" s="270">
        <f>1.2*1.2</f>
        <v>1.44</v>
      </c>
      <c r="H7" s="279">
        <f t="shared" si="0"/>
        <v>2.88</v>
      </c>
      <c r="I7" s="279">
        <f>'BYC0624'!G62</f>
        <v>1004</v>
      </c>
      <c r="J7" s="271">
        <f t="shared" si="1"/>
        <v>2891.52</v>
      </c>
      <c r="K7" s="587"/>
      <c r="M7" s="459">
        <v>3</v>
      </c>
      <c r="N7" s="459" t="s">
        <v>849</v>
      </c>
      <c r="O7" s="458">
        <f>SUM(H23,H27)</f>
        <v>211.68</v>
      </c>
      <c r="P7" s="458">
        <f>Q7/O7</f>
        <v>1118.645</v>
      </c>
      <c r="Q7" s="458">
        <f>SUM(J23,J27)</f>
        <v>236794.77360000001</v>
      </c>
    </row>
    <row r="8" spans="1:17" ht="20.100000000000001" customHeight="1">
      <c r="A8" s="270">
        <v>6</v>
      </c>
      <c r="B8" s="270" t="s">
        <v>504</v>
      </c>
      <c r="C8" s="270" t="s">
        <v>510</v>
      </c>
      <c r="D8" s="270">
        <v>1200</v>
      </c>
      <c r="E8" s="270">
        <v>400</v>
      </c>
      <c r="F8" s="270">
        <v>4</v>
      </c>
      <c r="G8" s="270">
        <f>1.2*0.4</f>
        <v>0.48</v>
      </c>
      <c r="H8" s="279">
        <f t="shared" si="0"/>
        <v>1.92</v>
      </c>
      <c r="I8" s="279">
        <f>'BYC0624'!G62</f>
        <v>1004</v>
      </c>
      <c r="J8" s="271">
        <f t="shared" si="1"/>
        <v>1927.6799999999998</v>
      </c>
      <c r="K8" s="587"/>
      <c r="M8" s="459">
        <v>4</v>
      </c>
      <c r="N8" s="459" t="s">
        <v>851</v>
      </c>
      <c r="O8" s="458">
        <f>SUM(H3:H15)</f>
        <v>329.84000000000003</v>
      </c>
      <c r="P8" s="458">
        <f>Q8/O8</f>
        <v>1004</v>
      </c>
      <c r="Q8" s="458">
        <f>SUM(J3:J15)</f>
        <v>331159.36000000004</v>
      </c>
    </row>
    <row r="9" spans="1:17" ht="20.100000000000001" customHeight="1">
      <c r="A9" s="270">
        <v>7</v>
      </c>
      <c r="B9" s="270" t="s">
        <v>504</v>
      </c>
      <c r="C9" s="270" t="s">
        <v>511</v>
      </c>
      <c r="D9" s="270">
        <v>400</v>
      </c>
      <c r="E9" s="270">
        <v>1000</v>
      </c>
      <c r="F9" s="270">
        <v>15</v>
      </c>
      <c r="G9" s="270">
        <f>0.4*1</f>
        <v>0.4</v>
      </c>
      <c r="H9" s="279">
        <f t="shared" si="0"/>
        <v>6</v>
      </c>
      <c r="I9" s="279">
        <f>'BYC0624'!G62</f>
        <v>1004</v>
      </c>
      <c r="J9" s="271">
        <f t="shared" si="1"/>
        <v>6024</v>
      </c>
      <c r="K9" s="587"/>
      <c r="M9" s="459">
        <v>5</v>
      </c>
      <c r="N9" s="459" t="s">
        <v>854</v>
      </c>
      <c r="O9" s="458"/>
      <c r="P9" s="458"/>
      <c r="Q9" s="458"/>
    </row>
    <row r="10" spans="1:17" ht="20.100000000000001" customHeight="1">
      <c r="A10" s="270">
        <v>8</v>
      </c>
      <c r="B10" s="270" t="s">
        <v>504</v>
      </c>
      <c r="C10" s="270" t="s">
        <v>512</v>
      </c>
      <c r="D10" s="270">
        <v>1700</v>
      </c>
      <c r="E10" s="270">
        <v>2000</v>
      </c>
      <c r="F10" s="270">
        <v>1</v>
      </c>
      <c r="G10" s="270">
        <f>1.7*2</f>
        <v>3.4</v>
      </c>
      <c r="H10" s="279">
        <f t="shared" si="0"/>
        <v>3.4</v>
      </c>
      <c r="I10" s="279">
        <f>'BYC0624'!G62</f>
        <v>1004</v>
      </c>
      <c r="J10" s="271">
        <f t="shared" si="1"/>
        <v>3413.6</v>
      </c>
      <c r="K10" s="587"/>
      <c r="M10" s="459">
        <v>6</v>
      </c>
      <c r="N10" s="459" t="s">
        <v>485</v>
      </c>
      <c r="O10" s="458">
        <f>SUM(H33)</f>
        <v>121.60000000000002</v>
      </c>
      <c r="P10" s="458"/>
      <c r="Q10" s="458"/>
    </row>
    <row r="11" spans="1:17" ht="20.100000000000001" customHeight="1">
      <c r="A11" s="270">
        <v>9</v>
      </c>
      <c r="B11" s="270" t="s">
        <v>504</v>
      </c>
      <c r="C11" s="270" t="s">
        <v>513</v>
      </c>
      <c r="D11" s="270">
        <v>2300</v>
      </c>
      <c r="E11" s="270">
        <v>3800</v>
      </c>
      <c r="F11" s="270">
        <v>2</v>
      </c>
      <c r="G11" s="270">
        <v>8.17</v>
      </c>
      <c r="H11" s="279">
        <f t="shared" si="0"/>
        <v>16.34</v>
      </c>
      <c r="I11" s="279">
        <f>'BYC0624'!G62</f>
        <v>1004</v>
      </c>
      <c r="J11" s="271">
        <f t="shared" si="1"/>
        <v>16405.36</v>
      </c>
      <c r="K11" s="587"/>
      <c r="M11" s="459">
        <v>7</v>
      </c>
      <c r="N11" s="459" t="s">
        <v>486</v>
      </c>
      <c r="O11" s="458">
        <f>SUM(H34)</f>
        <v>483.29999999999995</v>
      </c>
      <c r="P11" s="458"/>
      <c r="Q11" s="458"/>
    </row>
    <row r="12" spans="1:17" ht="20.100000000000001" customHeight="1">
      <c r="A12" s="270">
        <v>10</v>
      </c>
      <c r="B12" s="270" t="s">
        <v>504</v>
      </c>
      <c r="C12" s="270" t="s">
        <v>514</v>
      </c>
      <c r="D12" s="270">
        <v>1650</v>
      </c>
      <c r="E12" s="270">
        <v>2000</v>
      </c>
      <c r="F12" s="270">
        <v>1</v>
      </c>
      <c r="G12" s="270">
        <f>1.65*2</f>
        <v>3.3</v>
      </c>
      <c r="H12" s="279">
        <f t="shared" si="0"/>
        <v>3.3</v>
      </c>
      <c r="I12" s="279">
        <f>'BYC0624'!G62</f>
        <v>1004</v>
      </c>
      <c r="J12" s="271">
        <f t="shared" si="1"/>
        <v>3313.2</v>
      </c>
      <c r="K12" s="587"/>
      <c r="M12" s="459">
        <v>8</v>
      </c>
      <c r="N12" s="459" t="s">
        <v>855</v>
      </c>
      <c r="O12" s="458">
        <f>SUM(H35)</f>
        <v>135</v>
      </c>
      <c r="P12" s="458"/>
      <c r="Q12" s="458"/>
    </row>
    <row r="13" spans="1:17" ht="20.100000000000001" customHeight="1">
      <c r="A13" s="270">
        <v>11</v>
      </c>
      <c r="B13" s="270" t="s">
        <v>504</v>
      </c>
      <c r="C13" s="270" t="s">
        <v>515</v>
      </c>
      <c r="D13" s="270">
        <v>1500</v>
      </c>
      <c r="E13" s="270">
        <v>2200</v>
      </c>
      <c r="F13" s="270">
        <v>1</v>
      </c>
      <c r="G13" s="270">
        <f>1.5*2.2</f>
        <v>3.3000000000000003</v>
      </c>
      <c r="H13" s="279">
        <f t="shared" si="0"/>
        <v>3.3000000000000003</v>
      </c>
      <c r="I13" s="279">
        <f>'BYC0624'!G62</f>
        <v>1004</v>
      </c>
      <c r="J13" s="271">
        <f t="shared" si="1"/>
        <v>3313.2000000000003</v>
      </c>
      <c r="K13" s="587"/>
      <c r="M13" s="459">
        <v>9</v>
      </c>
      <c r="N13" s="459"/>
      <c r="O13" s="458">
        <f>SUM(O5:O9)</f>
        <v>1952.1549999999997</v>
      </c>
      <c r="P13" s="458">
        <f>Q13/O13</f>
        <v>1323.7264025653701</v>
      </c>
      <c r="Q13" s="458">
        <f>SUM(Q5:Q8)</f>
        <v>2584119.1153999995</v>
      </c>
    </row>
    <row r="14" spans="1:17" ht="20.100000000000001" customHeight="1">
      <c r="A14" s="270">
        <v>12</v>
      </c>
      <c r="B14" s="270" t="s">
        <v>504</v>
      </c>
      <c r="C14" s="270" t="s">
        <v>516</v>
      </c>
      <c r="D14" s="270">
        <v>2000</v>
      </c>
      <c r="E14" s="270">
        <v>1200</v>
      </c>
      <c r="F14" s="270">
        <v>1</v>
      </c>
      <c r="G14" s="270">
        <f>1.2*2</f>
        <v>2.4</v>
      </c>
      <c r="H14" s="279">
        <f t="shared" si="0"/>
        <v>2.4</v>
      </c>
      <c r="I14" s="279">
        <f>'BYC0624'!G62</f>
        <v>1004</v>
      </c>
      <c r="J14" s="271">
        <f t="shared" si="1"/>
        <v>2409.6</v>
      </c>
      <c r="K14" s="587"/>
    </row>
    <row r="15" spans="1:17" ht="20.100000000000001" customHeight="1">
      <c r="A15" s="270">
        <v>13</v>
      </c>
      <c r="B15" s="270" t="s">
        <v>517</v>
      </c>
      <c r="C15" s="270" t="s">
        <v>518</v>
      </c>
      <c r="D15" s="270">
        <v>600</v>
      </c>
      <c r="E15" s="270">
        <v>2400</v>
      </c>
      <c r="F15" s="270">
        <v>192</v>
      </c>
      <c r="G15" s="270">
        <f>0.6*2.4</f>
        <v>1.44</v>
      </c>
      <c r="H15" s="279">
        <f t="shared" si="0"/>
        <v>276.48</v>
      </c>
      <c r="I15" s="279">
        <f>'BYC0624'!G62</f>
        <v>1004</v>
      </c>
      <c r="J15" s="271">
        <f t="shared" si="1"/>
        <v>277585.92000000004</v>
      </c>
      <c r="K15" s="587"/>
    </row>
    <row r="16" spans="1:17" ht="20.100000000000001" customHeight="1">
      <c r="A16" s="270">
        <v>14</v>
      </c>
      <c r="B16" s="270" t="s">
        <v>425</v>
      </c>
      <c r="C16" s="270" t="s">
        <v>519</v>
      </c>
      <c r="D16" s="270">
        <v>400</v>
      </c>
      <c r="E16" s="270">
        <v>1000</v>
      </c>
      <c r="F16" s="270">
        <v>9</v>
      </c>
      <c r="G16" s="270">
        <f>0.4*1</f>
        <v>0.4</v>
      </c>
      <c r="H16" s="279">
        <f t="shared" si="0"/>
        <v>3.6</v>
      </c>
      <c r="I16" s="279">
        <f>'C0410'!B371</f>
        <v>1733.48</v>
      </c>
      <c r="J16" s="271">
        <f t="shared" si="1"/>
        <v>6240.5280000000002</v>
      </c>
      <c r="K16" s="270"/>
    </row>
    <row r="17" spans="1:12" ht="20.100000000000001" customHeight="1">
      <c r="A17" s="270">
        <v>15</v>
      </c>
      <c r="B17" s="270" t="s">
        <v>425</v>
      </c>
      <c r="C17" s="270" t="s">
        <v>520</v>
      </c>
      <c r="D17" s="270">
        <v>1200</v>
      </c>
      <c r="E17" s="270">
        <v>1200</v>
      </c>
      <c r="F17" s="270">
        <v>2</v>
      </c>
      <c r="G17" s="270">
        <f>1.2*1.2</f>
        <v>1.44</v>
      </c>
      <c r="H17" s="279">
        <f t="shared" si="0"/>
        <v>2.88</v>
      </c>
      <c r="I17" s="279">
        <f>'GDC1212'!B371</f>
        <v>800.5</v>
      </c>
      <c r="J17" s="271">
        <f t="shared" si="1"/>
        <v>2305.44</v>
      </c>
      <c r="K17" s="270"/>
    </row>
    <row r="18" spans="1:12" ht="20.100000000000001" customHeight="1">
      <c r="A18" s="270">
        <v>16</v>
      </c>
      <c r="B18" s="270" t="s">
        <v>425</v>
      </c>
      <c r="C18" s="270" t="s">
        <v>521</v>
      </c>
      <c r="D18" s="270">
        <v>1200</v>
      </c>
      <c r="E18" s="270">
        <v>1700</v>
      </c>
      <c r="F18" s="270">
        <v>2</v>
      </c>
      <c r="G18" s="270">
        <v>1.6</v>
      </c>
      <c r="H18" s="279">
        <f t="shared" si="0"/>
        <v>3.2</v>
      </c>
      <c r="I18" s="279">
        <f>'C1014'!B371</f>
        <v>2372.44</v>
      </c>
      <c r="J18" s="271">
        <f t="shared" si="1"/>
        <v>7591.8080000000009</v>
      </c>
      <c r="K18" s="270"/>
    </row>
    <row r="19" spans="1:12" ht="20.100000000000001" customHeight="1">
      <c r="A19" s="270">
        <v>17</v>
      </c>
      <c r="B19" s="270" t="s">
        <v>425</v>
      </c>
      <c r="C19" s="270" t="s">
        <v>522</v>
      </c>
      <c r="D19" s="270">
        <v>1900</v>
      </c>
      <c r="E19" s="270">
        <v>3800</v>
      </c>
      <c r="F19" s="270">
        <v>2</v>
      </c>
      <c r="G19" s="270">
        <v>6.83</v>
      </c>
      <c r="H19" s="279">
        <f t="shared" si="0"/>
        <v>13.66</v>
      </c>
      <c r="I19" s="279">
        <f>'C2330'!B371</f>
        <v>1501.59</v>
      </c>
      <c r="J19" s="271">
        <f t="shared" si="1"/>
        <v>20511.719399999998</v>
      </c>
      <c r="K19" s="270"/>
    </row>
    <row r="20" spans="1:12" ht="20.100000000000001" customHeight="1">
      <c r="A20" s="270">
        <v>18</v>
      </c>
      <c r="B20" s="270" t="s">
        <v>425</v>
      </c>
      <c r="C20" s="270" t="s">
        <v>523</v>
      </c>
      <c r="D20" s="270">
        <v>2300</v>
      </c>
      <c r="E20" s="270">
        <v>2650</v>
      </c>
      <c r="F20" s="270">
        <v>6</v>
      </c>
      <c r="G20" s="270">
        <f>2.3*2.65</f>
        <v>6.0949999999999998</v>
      </c>
      <c r="H20" s="279">
        <f t="shared" si="0"/>
        <v>36.57</v>
      </c>
      <c r="I20" s="279">
        <f>'C2327'!B371</f>
        <v>1662.65</v>
      </c>
      <c r="J20" s="271">
        <f t="shared" si="1"/>
        <v>60803.110500000003</v>
      </c>
      <c r="K20" s="270"/>
    </row>
    <row r="21" spans="1:12" ht="20.100000000000001" customHeight="1">
      <c r="A21" s="270">
        <v>19</v>
      </c>
      <c r="B21" s="270" t="s">
        <v>425</v>
      </c>
      <c r="C21" s="270" t="s">
        <v>524</v>
      </c>
      <c r="D21" s="270">
        <v>2300</v>
      </c>
      <c r="E21" s="270">
        <v>2650</v>
      </c>
      <c r="F21" s="270">
        <v>8</v>
      </c>
      <c r="G21" s="270">
        <f>2.3*2.65</f>
        <v>6.0949999999999998</v>
      </c>
      <c r="H21" s="279">
        <f t="shared" si="0"/>
        <v>48.76</v>
      </c>
      <c r="I21" s="279">
        <f>'C2327'!B371</f>
        <v>1662.65</v>
      </c>
      <c r="J21" s="271">
        <f>I21*H21</f>
        <v>81070.813999999998</v>
      </c>
      <c r="K21" s="270"/>
    </row>
    <row r="22" spans="1:12" ht="20.100000000000001" customHeight="1">
      <c r="A22" s="270">
        <v>20</v>
      </c>
      <c r="B22" s="270" t="s">
        <v>425</v>
      </c>
      <c r="C22" s="270" t="s">
        <v>436</v>
      </c>
      <c r="D22" s="270">
        <v>2300</v>
      </c>
      <c r="E22" s="270">
        <v>3800</v>
      </c>
      <c r="F22" s="270">
        <v>8</v>
      </c>
      <c r="G22" s="270">
        <v>8.17</v>
      </c>
      <c r="H22" s="279">
        <f t="shared" si="0"/>
        <v>65.36</v>
      </c>
      <c r="I22" s="279">
        <f>'C2330'!B371</f>
        <v>1501.59</v>
      </c>
      <c r="J22" s="271">
        <f t="shared" si="1"/>
        <v>98143.922399999996</v>
      </c>
      <c r="K22" s="270"/>
    </row>
    <row r="23" spans="1:12" ht="20.100000000000001" customHeight="1">
      <c r="A23" s="270">
        <v>21</v>
      </c>
      <c r="B23" s="270" t="s">
        <v>525</v>
      </c>
      <c r="C23" s="270" t="s">
        <v>852</v>
      </c>
      <c r="D23" s="270">
        <v>2300</v>
      </c>
      <c r="E23" s="270">
        <v>6000</v>
      </c>
      <c r="F23" s="270">
        <v>12</v>
      </c>
      <c r="G23" s="270">
        <v>13.23</v>
      </c>
      <c r="H23" s="279">
        <f t="shared" si="0"/>
        <v>158.76</v>
      </c>
      <c r="I23" s="279">
        <f>'C2360'!G126</f>
        <v>1096.81</v>
      </c>
      <c r="J23" s="271">
        <f t="shared" si="1"/>
        <v>174129.55559999999</v>
      </c>
      <c r="K23" s="270"/>
      <c r="L23" s="268" t="s">
        <v>694</v>
      </c>
    </row>
    <row r="24" spans="1:12" ht="20.100000000000001" customHeight="1">
      <c r="A24" s="270">
        <v>22</v>
      </c>
      <c r="B24" s="270" t="s">
        <v>450</v>
      </c>
      <c r="C24" s="270" t="s">
        <v>527</v>
      </c>
      <c r="D24" s="270">
        <v>2300</v>
      </c>
      <c r="E24" s="270">
        <v>2400</v>
      </c>
      <c r="F24" s="270">
        <v>190</v>
      </c>
      <c r="G24" s="270">
        <f>2.3*2.4</f>
        <v>5.52</v>
      </c>
      <c r="H24" s="279">
        <f t="shared" si="0"/>
        <v>1048.8</v>
      </c>
      <c r="I24" s="279">
        <f>'MLC2324'!B371</f>
        <v>1417.48</v>
      </c>
      <c r="J24" s="271">
        <f t="shared" si="1"/>
        <v>1486653.024</v>
      </c>
      <c r="K24" s="270"/>
    </row>
    <row r="25" spans="1:12" ht="20.100000000000001" customHeight="1">
      <c r="A25" s="270">
        <v>23</v>
      </c>
      <c r="B25" s="270" t="s">
        <v>450</v>
      </c>
      <c r="C25" s="270" t="s">
        <v>528</v>
      </c>
      <c r="D25" s="270">
        <v>2300</v>
      </c>
      <c r="E25" s="270">
        <v>2650</v>
      </c>
      <c r="F25" s="270">
        <v>11</v>
      </c>
      <c r="G25" s="270">
        <f>2.3*2.65</f>
        <v>6.0949999999999998</v>
      </c>
      <c r="H25" s="279">
        <f t="shared" si="0"/>
        <v>67.045000000000002</v>
      </c>
      <c r="I25" s="279">
        <f>'MLC2324'!B371</f>
        <v>1417.48</v>
      </c>
      <c r="J25" s="271">
        <f t="shared" si="1"/>
        <v>95034.94660000001</v>
      </c>
      <c r="K25" s="270"/>
    </row>
    <row r="26" spans="1:12" ht="20.100000000000001" customHeight="1">
      <c r="A26" s="270">
        <v>24</v>
      </c>
      <c r="B26" s="270" t="s">
        <v>450</v>
      </c>
      <c r="C26" s="270" t="s">
        <v>529</v>
      </c>
      <c r="D26" s="270">
        <v>2300</v>
      </c>
      <c r="E26" s="270">
        <v>2400</v>
      </c>
      <c r="F26" s="270">
        <v>2</v>
      </c>
      <c r="G26" s="270">
        <f>2.3*2.4</f>
        <v>5.52</v>
      </c>
      <c r="H26" s="279">
        <f t="shared" si="0"/>
        <v>11.04</v>
      </c>
      <c r="I26" s="279">
        <f>'MLC2324'!B371</f>
        <v>1417.48</v>
      </c>
      <c r="J26" s="271">
        <f t="shared" si="1"/>
        <v>15648.9792</v>
      </c>
      <c r="K26" s="270"/>
    </row>
    <row r="27" spans="1:12" ht="20.100000000000001" customHeight="1">
      <c r="A27" s="270">
        <v>25</v>
      </c>
      <c r="B27" s="270" t="s">
        <v>530</v>
      </c>
      <c r="C27" s="270" t="s">
        <v>853</v>
      </c>
      <c r="D27" s="270">
        <v>2300</v>
      </c>
      <c r="E27" s="270">
        <v>6000</v>
      </c>
      <c r="F27" s="270">
        <v>4</v>
      </c>
      <c r="G27" s="270">
        <v>13.23</v>
      </c>
      <c r="H27" s="279">
        <f t="shared" si="0"/>
        <v>52.92</v>
      </c>
      <c r="I27" s="279">
        <f>'MLC2360'!G126</f>
        <v>1184.1500000000001</v>
      </c>
      <c r="J27" s="271">
        <f t="shared" si="1"/>
        <v>62665.218000000008</v>
      </c>
      <c r="K27" s="270"/>
      <c r="L27" s="268" t="s">
        <v>694</v>
      </c>
    </row>
    <row r="28" spans="1:12" ht="20.100000000000001" customHeight="1">
      <c r="A28" s="270">
        <v>26</v>
      </c>
      <c r="B28" s="270" t="s">
        <v>408</v>
      </c>
      <c r="C28" s="270" t="s">
        <v>532</v>
      </c>
      <c r="D28" s="270">
        <v>1100</v>
      </c>
      <c r="E28" s="270">
        <v>2200</v>
      </c>
      <c r="F28" s="270">
        <v>3</v>
      </c>
      <c r="G28" s="270">
        <f>1.1*2.2</f>
        <v>2.4200000000000004</v>
      </c>
      <c r="H28" s="279">
        <f t="shared" si="0"/>
        <v>7.2600000000000016</v>
      </c>
      <c r="I28" s="279">
        <f>'WM1325'!B371</f>
        <v>1524.32</v>
      </c>
      <c r="J28" s="271">
        <f t="shared" si="1"/>
        <v>11066.563200000002</v>
      </c>
      <c r="K28" s="270"/>
    </row>
    <row r="29" spans="1:12" ht="20.100000000000001" customHeight="1">
      <c r="A29" s="270">
        <v>27</v>
      </c>
      <c r="B29" s="270" t="s">
        <v>408</v>
      </c>
      <c r="C29" s="270" t="s">
        <v>533</v>
      </c>
      <c r="D29" s="270">
        <v>1200</v>
      </c>
      <c r="E29" s="270">
        <v>2200</v>
      </c>
      <c r="F29" s="270">
        <v>2</v>
      </c>
      <c r="G29" s="270">
        <f>1.2*2.2</f>
        <v>2.64</v>
      </c>
      <c r="H29" s="279">
        <f t="shared" si="0"/>
        <v>5.28</v>
      </c>
      <c r="I29" s="279">
        <f>'WM1325'!B371</f>
        <v>1524.32</v>
      </c>
      <c r="J29" s="271">
        <f t="shared" si="1"/>
        <v>8048.4096</v>
      </c>
      <c r="K29" s="270"/>
    </row>
    <row r="30" spans="1:12" ht="20.100000000000001" customHeight="1">
      <c r="A30" s="270">
        <v>28</v>
      </c>
      <c r="B30" s="270" t="s">
        <v>408</v>
      </c>
      <c r="C30" s="270" t="s">
        <v>534</v>
      </c>
      <c r="D30" s="270">
        <v>1300</v>
      </c>
      <c r="E30" s="270">
        <v>2450</v>
      </c>
      <c r="F30" s="270">
        <v>2</v>
      </c>
      <c r="G30" s="270">
        <f>1.3*2.45</f>
        <v>3.1850000000000005</v>
      </c>
      <c r="H30" s="279">
        <f t="shared" si="0"/>
        <v>6.370000000000001</v>
      </c>
      <c r="I30" s="279">
        <f>'WM1325'!B371</f>
        <v>1524.32</v>
      </c>
      <c r="J30" s="271">
        <f t="shared" si="1"/>
        <v>9709.9184000000005</v>
      </c>
      <c r="K30" s="270"/>
    </row>
    <row r="31" spans="1:12" ht="20.100000000000001" customHeight="1">
      <c r="A31" s="270">
        <v>29</v>
      </c>
      <c r="B31" s="270" t="s">
        <v>408</v>
      </c>
      <c r="C31" s="270" t="s">
        <v>835</v>
      </c>
      <c r="D31" s="270">
        <v>1800</v>
      </c>
      <c r="E31" s="270">
        <v>2400</v>
      </c>
      <c r="F31" s="270">
        <v>4</v>
      </c>
      <c r="G31" s="270">
        <f>1.8*2.4</f>
        <v>4.32</v>
      </c>
      <c r="H31" s="279">
        <f t="shared" si="0"/>
        <v>17.28</v>
      </c>
      <c r="I31" s="279">
        <f>'WM1325'!B371</f>
        <v>1524.32</v>
      </c>
      <c r="J31" s="271">
        <f t="shared" si="1"/>
        <v>26340.249599999999</v>
      </c>
      <c r="K31" s="270"/>
    </row>
    <row r="32" spans="1:12" ht="20.100000000000001" customHeight="1">
      <c r="A32" s="270">
        <v>30</v>
      </c>
      <c r="B32" s="270" t="s">
        <v>408</v>
      </c>
      <c r="C32" s="270" t="s">
        <v>836</v>
      </c>
      <c r="D32" s="270">
        <v>2300</v>
      </c>
      <c r="E32" s="270">
        <v>3800</v>
      </c>
      <c r="F32" s="270">
        <v>9</v>
      </c>
      <c r="G32" s="270">
        <v>8.17</v>
      </c>
      <c r="H32" s="279">
        <f t="shared" si="0"/>
        <v>73.53</v>
      </c>
      <c r="I32" s="279">
        <f>'WM2338'!B371</f>
        <v>1183.1300000000001</v>
      </c>
      <c r="J32" s="271">
        <f t="shared" si="1"/>
        <v>86995.548900000009</v>
      </c>
      <c r="K32" s="270"/>
    </row>
    <row r="33" spans="1:11" ht="20.100000000000001" customHeight="1">
      <c r="A33" s="270">
        <v>31</v>
      </c>
      <c r="B33" s="275" t="s">
        <v>834</v>
      </c>
      <c r="C33" s="270" t="s">
        <v>833</v>
      </c>
      <c r="D33" s="270">
        <v>400</v>
      </c>
      <c r="E33" s="270">
        <v>800</v>
      </c>
      <c r="F33" s="270">
        <f>190*2</f>
        <v>380</v>
      </c>
      <c r="G33" s="270">
        <f>0.4*0.8</f>
        <v>0.32000000000000006</v>
      </c>
      <c r="H33" s="279">
        <f t="shared" si="0"/>
        <v>121.60000000000002</v>
      </c>
      <c r="I33" s="279"/>
      <c r="J33" s="279"/>
      <c r="K33" s="270"/>
    </row>
    <row r="34" spans="1:11" ht="20.100000000000001" customHeight="1">
      <c r="A34" s="270">
        <v>32</v>
      </c>
      <c r="B34" s="270" t="s">
        <v>826</v>
      </c>
      <c r="C34" s="270"/>
      <c r="D34" s="270"/>
      <c r="E34" s="270"/>
      <c r="F34" s="270">
        <v>3</v>
      </c>
      <c r="G34" s="270">
        <f>(160.55+81.1)*2/3</f>
        <v>161.1</v>
      </c>
      <c r="H34" s="279">
        <f t="shared" si="0"/>
        <v>483.29999999999995</v>
      </c>
      <c r="I34" s="279"/>
      <c r="J34" s="279"/>
      <c r="K34" s="270"/>
    </row>
    <row r="35" spans="1:11" ht="20.100000000000001" customHeight="1">
      <c r="A35" s="270">
        <v>33</v>
      </c>
      <c r="B35" s="270" t="str">
        <f>[29]工程量清单计价表!B129</f>
        <v>穿孔铝单板</v>
      </c>
      <c r="C35" s="270"/>
      <c r="D35" s="270"/>
      <c r="E35" s="270"/>
      <c r="F35" s="270">
        <v>18</v>
      </c>
      <c r="G35" s="270">
        <v>7.5</v>
      </c>
      <c r="H35" s="279">
        <f t="shared" si="0"/>
        <v>135</v>
      </c>
      <c r="I35" s="279"/>
      <c r="J35" s="279"/>
      <c r="K35" s="270"/>
    </row>
    <row r="36" spans="1:11" ht="20.100000000000001" customHeight="1">
      <c r="A36" s="270">
        <v>34</v>
      </c>
      <c r="B36" s="583" t="s">
        <v>4</v>
      </c>
      <c r="C36" s="584"/>
      <c r="D36" s="585"/>
      <c r="E36" s="282"/>
      <c r="F36" s="281">
        <f>SUM(F3:F32)</f>
        <v>550</v>
      </c>
      <c r="G36" s="270"/>
      <c r="H36" s="279">
        <f>SUM(H3:H32)</f>
        <v>1952.155</v>
      </c>
      <c r="I36" s="279">
        <f>J36/H36</f>
        <v>1323.7264025653699</v>
      </c>
      <c r="J36" s="279">
        <f>SUM(J3:J32)</f>
        <v>2584119.1153999995</v>
      </c>
      <c r="K36" s="270"/>
    </row>
  </sheetData>
  <mergeCells count="3">
    <mergeCell ref="B36:D36"/>
    <mergeCell ref="A1:K1"/>
    <mergeCell ref="K3:K15"/>
  </mergeCells>
  <phoneticPr fontId="5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FFFA6-80C8-4E0C-A64F-2DDF4AC8693B}">
  <dimension ref="A1:Q33"/>
  <sheetViews>
    <sheetView workbookViewId="0">
      <selection activeCell="O13" sqref="O13"/>
    </sheetView>
  </sheetViews>
  <sheetFormatPr defaultRowHeight="20.100000000000001" customHeight="1"/>
  <cols>
    <col min="1" max="1" width="9" style="268"/>
    <col min="2" max="9" width="13.125" style="268" customWidth="1"/>
    <col min="10" max="10" width="14.625" style="268" customWidth="1"/>
    <col min="11" max="11" width="21.5" style="268" customWidth="1"/>
    <col min="12" max="13" width="9" style="268"/>
    <col min="14" max="14" width="15.5" style="268" customWidth="1"/>
    <col min="15" max="15" width="11.625" style="268" bestFit="1" customWidth="1"/>
    <col min="16" max="16" width="12.375" style="268" customWidth="1"/>
    <col min="17" max="17" width="16.5" style="268" customWidth="1"/>
    <col min="18" max="16384" width="9" style="268"/>
  </cols>
  <sheetData>
    <row r="1" spans="1:17" ht="20.100000000000001" customHeight="1">
      <c r="A1" s="586" t="s">
        <v>535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</row>
    <row r="2" spans="1:17" ht="20.100000000000001" customHeight="1">
      <c r="A2" s="270" t="s">
        <v>0</v>
      </c>
      <c r="B2" s="270" t="s">
        <v>406</v>
      </c>
      <c r="C2" s="270" t="s">
        <v>407</v>
      </c>
      <c r="D2" s="269" t="s">
        <v>594</v>
      </c>
      <c r="E2" s="269" t="s">
        <v>595</v>
      </c>
      <c r="F2" s="270" t="s">
        <v>8</v>
      </c>
      <c r="G2" s="270" t="s">
        <v>460</v>
      </c>
      <c r="H2" s="270" t="s">
        <v>461</v>
      </c>
      <c r="I2" s="269" t="s">
        <v>456</v>
      </c>
      <c r="J2" s="269" t="s">
        <v>457</v>
      </c>
      <c r="K2" s="270" t="s">
        <v>1</v>
      </c>
    </row>
    <row r="3" spans="1:17" ht="20.100000000000001" customHeight="1">
      <c r="A3" s="270">
        <v>1</v>
      </c>
      <c r="B3" s="270" t="s">
        <v>504</v>
      </c>
      <c r="C3" s="270" t="s">
        <v>473</v>
      </c>
      <c r="D3" s="270">
        <v>300</v>
      </c>
      <c r="E3" s="270">
        <v>400</v>
      </c>
      <c r="F3" s="270">
        <v>14</v>
      </c>
      <c r="G3" s="270">
        <f>0.3*0.4</f>
        <v>0.12</v>
      </c>
      <c r="H3" s="279">
        <f t="shared" ref="H3:H32" si="0">F3*G3</f>
        <v>1.68</v>
      </c>
      <c r="I3" s="271">
        <f>'BYC0624'!G62</f>
        <v>1004</v>
      </c>
      <c r="J3" s="271">
        <f>I3*H3</f>
        <v>1686.72</v>
      </c>
      <c r="K3" s="587" t="s">
        <v>505</v>
      </c>
    </row>
    <row r="4" spans="1:17" ht="20.100000000000001" customHeight="1">
      <c r="A4" s="270">
        <v>2</v>
      </c>
      <c r="B4" s="270" t="s">
        <v>504</v>
      </c>
      <c r="C4" s="270" t="s">
        <v>536</v>
      </c>
      <c r="D4" s="270">
        <v>450</v>
      </c>
      <c r="E4" s="270">
        <v>400</v>
      </c>
      <c r="F4" s="270">
        <v>2</v>
      </c>
      <c r="G4" s="270">
        <f>0.45*0.4</f>
        <v>0.18000000000000002</v>
      </c>
      <c r="H4" s="279">
        <f t="shared" si="0"/>
        <v>0.36000000000000004</v>
      </c>
      <c r="I4" s="279">
        <f>'BYC0624'!G62</f>
        <v>1004</v>
      </c>
      <c r="J4" s="271">
        <f t="shared" ref="J4:J29" si="1">I4*H4</f>
        <v>361.44000000000005</v>
      </c>
      <c r="K4" s="587"/>
      <c r="M4" s="459" t="s">
        <v>584</v>
      </c>
      <c r="N4" s="459" t="s">
        <v>841</v>
      </c>
      <c r="O4" s="459" t="s">
        <v>455</v>
      </c>
      <c r="P4" s="459" t="s">
        <v>456</v>
      </c>
      <c r="Q4" s="459" t="s">
        <v>457</v>
      </c>
    </row>
    <row r="5" spans="1:17" ht="20.100000000000001" customHeight="1">
      <c r="A5" s="270">
        <v>3</v>
      </c>
      <c r="B5" s="270" t="s">
        <v>504</v>
      </c>
      <c r="C5" s="270" t="s">
        <v>508</v>
      </c>
      <c r="D5" s="270">
        <v>700</v>
      </c>
      <c r="E5" s="270">
        <v>400</v>
      </c>
      <c r="F5" s="270">
        <v>88</v>
      </c>
      <c r="G5" s="270">
        <f>0.7*0.4</f>
        <v>0.27999999999999997</v>
      </c>
      <c r="H5" s="279">
        <f t="shared" si="0"/>
        <v>24.639999999999997</v>
      </c>
      <c r="I5" s="279">
        <f>'BYC0624'!G62</f>
        <v>1004</v>
      </c>
      <c r="J5" s="271">
        <f t="shared" si="1"/>
        <v>24738.559999999998</v>
      </c>
      <c r="K5" s="587"/>
      <c r="M5" s="459">
        <v>1</v>
      </c>
      <c r="N5" s="459" t="s">
        <v>845</v>
      </c>
      <c r="O5" s="458">
        <f>SUM(H18:H28)</f>
        <v>2384.4299999999998</v>
      </c>
      <c r="P5" s="458">
        <f>Q5/O5</f>
        <v>1463.4744068813091</v>
      </c>
      <c r="Q5" s="458">
        <f>SUM(J18:J28)</f>
        <v>3489552.2799999993</v>
      </c>
    </row>
    <row r="6" spans="1:17" ht="20.100000000000001" customHeight="1">
      <c r="A6" s="270">
        <v>4</v>
      </c>
      <c r="B6" s="270" t="s">
        <v>504</v>
      </c>
      <c r="C6" s="270" t="s">
        <v>537</v>
      </c>
      <c r="D6" s="270">
        <v>950</v>
      </c>
      <c r="E6" s="270">
        <v>400</v>
      </c>
      <c r="F6" s="270">
        <v>2</v>
      </c>
      <c r="G6" s="270">
        <f>0.95*0.4</f>
        <v>0.38</v>
      </c>
      <c r="H6" s="279">
        <f t="shared" si="0"/>
        <v>0.76</v>
      </c>
      <c r="I6" s="279">
        <f>'BYC0624'!G62</f>
        <v>1004</v>
      </c>
      <c r="J6" s="271">
        <f t="shared" si="1"/>
        <v>763.04</v>
      </c>
      <c r="K6" s="587"/>
      <c r="M6" s="459">
        <v>2</v>
      </c>
      <c r="N6" s="459" t="s">
        <v>847</v>
      </c>
      <c r="O6" s="458">
        <f>SUM(H10:H16)</f>
        <v>393.89</v>
      </c>
      <c r="P6" s="458">
        <f t="shared" ref="P6" si="2">Q6/O6</f>
        <v>1594.5882467186268</v>
      </c>
      <c r="Q6" s="458">
        <f>SUM(J10:J16)</f>
        <v>628092.36449999991</v>
      </c>
    </row>
    <row r="7" spans="1:17" ht="20.100000000000001" customHeight="1">
      <c r="A7" s="270">
        <v>5</v>
      </c>
      <c r="B7" s="270" t="s">
        <v>504</v>
      </c>
      <c r="C7" s="270" t="s">
        <v>509</v>
      </c>
      <c r="D7" s="270">
        <v>1200</v>
      </c>
      <c r="E7" s="270">
        <v>1200</v>
      </c>
      <c r="F7" s="270">
        <v>4</v>
      </c>
      <c r="G7" s="270">
        <f>1.2*1.2</f>
        <v>1.44</v>
      </c>
      <c r="H7" s="279">
        <f t="shared" si="0"/>
        <v>5.76</v>
      </c>
      <c r="I7" s="279">
        <f>'BYC0624'!G62</f>
        <v>1004</v>
      </c>
      <c r="J7" s="271">
        <f t="shared" si="1"/>
        <v>5783.04</v>
      </c>
      <c r="K7" s="587"/>
      <c r="M7" s="459">
        <v>3</v>
      </c>
      <c r="N7" s="459" t="s">
        <v>849</v>
      </c>
      <c r="O7" s="458">
        <f>SUM(H17,H29)</f>
        <v>277.83</v>
      </c>
      <c r="P7" s="458">
        <f>Q7/O7</f>
        <v>1105.1280952380953</v>
      </c>
      <c r="Q7" s="458">
        <f>SUM(J17,J29)</f>
        <v>307037.73869999999</v>
      </c>
    </row>
    <row r="8" spans="1:17" ht="20.100000000000001" customHeight="1">
      <c r="A8" s="270">
        <v>6</v>
      </c>
      <c r="B8" s="270" t="s">
        <v>504</v>
      </c>
      <c r="C8" s="270" t="s">
        <v>538</v>
      </c>
      <c r="D8" s="270">
        <v>2200</v>
      </c>
      <c r="E8" s="270">
        <v>2000</v>
      </c>
      <c r="F8" s="270">
        <v>4</v>
      </c>
      <c r="G8" s="270">
        <f>2*2.2</f>
        <v>4.4000000000000004</v>
      </c>
      <c r="H8" s="279">
        <f t="shared" si="0"/>
        <v>17.600000000000001</v>
      </c>
      <c r="I8" s="279">
        <f>'BYC0624'!G62</f>
        <v>1004</v>
      </c>
      <c r="J8" s="271">
        <f t="shared" si="1"/>
        <v>17670.400000000001</v>
      </c>
      <c r="K8" s="587"/>
      <c r="M8" s="459">
        <v>4</v>
      </c>
      <c r="N8" s="459" t="s">
        <v>851</v>
      </c>
      <c r="O8" s="458">
        <f>SUM(H3:H9)</f>
        <v>603.76</v>
      </c>
      <c r="P8" s="458">
        <f>Q8/O8</f>
        <v>1004.0000000000001</v>
      </c>
      <c r="Q8" s="458">
        <f>SUM(J3:J9)</f>
        <v>606175.04</v>
      </c>
    </row>
    <row r="9" spans="1:17" ht="20.100000000000001" customHeight="1">
      <c r="A9" s="270">
        <v>7</v>
      </c>
      <c r="B9" s="270" t="s">
        <v>517</v>
      </c>
      <c r="C9" s="270" t="s">
        <v>539</v>
      </c>
      <c r="D9" s="270">
        <v>600</v>
      </c>
      <c r="E9" s="270">
        <v>2400</v>
      </c>
      <c r="F9" s="270">
        <v>384</v>
      </c>
      <c r="G9" s="270">
        <f>0.6*2.4</f>
        <v>1.44</v>
      </c>
      <c r="H9" s="279">
        <f t="shared" si="0"/>
        <v>552.96</v>
      </c>
      <c r="I9" s="279">
        <f>'BYC0624'!G62</f>
        <v>1004</v>
      </c>
      <c r="J9" s="271">
        <f t="shared" si="1"/>
        <v>555171.84000000008</v>
      </c>
      <c r="K9" s="587"/>
      <c r="M9" s="459">
        <v>5</v>
      </c>
      <c r="N9" s="459" t="s">
        <v>854</v>
      </c>
      <c r="O9" s="458"/>
      <c r="P9" s="458"/>
      <c r="Q9" s="458"/>
    </row>
    <row r="10" spans="1:17" ht="20.100000000000001" customHeight="1">
      <c r="A10" s="270">
        <v>8</v>
      </c>
      <c r="B10" s="270" t="s">
        <v>425</v>
      </c>
      <c r="C10" s="270" t="s">
        <v>519</v>
      </c>
      <c r="D10" s="270">
        <v>400</v>
      </c>
      <c r="E10" s="270">
        <v>1200</v>
      </c>
      <c r="F10" s="270">
        <v>15</v>
      </c>
      <c r="G10" s="270">
        <f>0.4*1.2</f>
        <v>0.48</v>
      </c>
      <c r="H10" s="279">
        <f t="shared" si="0"/>
        <v>7.1999999999999993</v>
      </c>
      <c r="I10" s="279">
        <f>'C0410'!B371</f>
        <v>1733.48</v>
      </c>
      <c r="J10" s="271">
        <f t="shared" si="1"/>
        <v>12481.055999999999</v>
      </c>
      <c r="K10" s="270"/>
      <c r="M10" s="459">
        <v>6</v>
      </c>
      <c r="N10" s="459" t="s">
        <v>485</v>
      </c>
      <c r="O10" s="458">
        <f>SUM(H30)</f>
        <v>128</v>
      </c>
      <c r="P10" s="458"/>
      <c r="Q10" s="458"/>
    </row>
    <row r="11" spans="1:17" ht="20.100000000000001" customHeight="1">
      <c r="A11" s="270">
        <v>9</v>
      </c>
      <c r="B11" s="270" t="s">
        <v>425</v>
      </c>
      <c r="C11" s="270" t="s">
        <v>540</v>
      </c>
      <c r="D11" s="270">
        <v>1200</v>
      </c>
      <c r="E11" s="270">
        <v>1200</v>
      </c>
      <c r="F11" s="270">
        <v>4</v>
      </c>
      <c r="G11" s="270">
        <f>1.2*1.2</f>
        <v>1.44</v>
      </c>
      <c r="H11" s="279">
        <f t="shared" si="0"/>
        <v>5.76</v>
      </c>
      <c r="I11" s="279">
        <f>'GDC1212'!B371</f>
        <v>800.5</v>
      </c>
      <c r="J11" s="271">
        <f t="shared" si="1"/>
        <v>4610.88</v>
      </c>
      <c r="K11" s="270"/>
      <c r="M11" s="459">
        <v>7</v>
      </c>
      <c r="N11" s="459" t="s">
        <v>486</v>
      </c>
      <c r="O11" s="458">
        <f>SUM(H31)</f>
        <v>985.8</v>
      </c>
      <c r="P11" s="458"/>
      <c r="Q11" s="458"/>
    </row>
    <row r="12" spans="1:17" ht="20.100000000000001" customHeight="1">
      <c r="A12" s="270">
        <v>10</v>
      </c>
      <c r="B12" s="270" t="s">
        <v>425</v>
      </c>
      <c r="C12" s="270" t="s">
        <v>521</v>
      </c>
      <c r="D12" s="270">
        <v>1200</v>
      </c>
      <c r="E12" s="270">
        <v>1700</v>
      </c>
      <c r="F12" s="270">
        <v>12</v>
      </c>
      <c r="G12" s="270">
        <v>1.6</v>
      </c>
      <c r="H12" s="279">
        <f t="shared" si="0"/>
        <v>19.200000000000003</v>
      </c>
      <c r="I12" s="279">
        <f>'C1014'!B371</f>
        <v>2372.44</v>
      </c>
      <c r="J12" s="271">
        <f t="shared" si="1"/>
        <v>45550.848000000005</v>
      </c>
      <c r="K12" s="270"/>
      <c r="M12" s="459">
        <v>8</v>
      </c>
      <c r="N12" s="459" t="s">
        <v>855</v>
      </c>
      <c r="O12" s="458">
        <f>SUM(H32)</f>
        <v>210</v>
      </c>
      <c r="P12" s="458"/>
      <c r="Q12" s="458"/>
    </row>
    <row r="13" spans="1:17" ht="20.100000000000001" customHeight="1">
      <c r="A13" s="270">
        <v>11</v>
      </c>
      <c r="B13" s="270" t="s">
        <v>425</v>
      </c>
      <c r="C13" s="270" t="s">
        <v>522</v>
      </c>
      <c r="D13" s="270">
        <v>1900</v>
      </c>
      <c r="E13" s="270">
        <v>3800</v>
      </c>
      <c r="F13" s="270">
        <v>4</v>
      </c>
      <c r="G13" s="270">
        <v>6.83</v>
      </c>
      <c r="H13" s="279">
        <f t="shared" si="0"/>
        <v>27.32</v>
      </c>
      <c r="I13" s="279">
        <f>'C2330'!B371</f>
        <v>1501.59</v>
      </c>
      <c r="J13" s="271">
        <f t="shared" si="1"/>
        <v>41023.438799999996</v>
      </c>
      <c r="K13" s="270"/>
      <c r="M13" s="459">
        <v>9</v>
      </c>
      <c r="N13" s="459"/>
      <c r="O13" s="458">
        <f>SUM(O5:O9)</f>
        <v>3659.91</v>
      </c>
      <c r="P13" s="458">
        <f>Q13/O13</f>
        <v>1374.5850097953225</v>
      </c>
      <c r="Q13" s="458">
        <f>SUM(Q5:Q8)</f>
        <v>5030857.4231999991</v>
      </c>
    </row>
    <row r="14" spans="1:17" ht="20.100000000000001" customHeight="1">
      <c r="A14" s="270">
        <v>12</v>
      </c>
      <c r="B14" s="270" t="s">
        <v>425</v>
      </c>
      <c r="C14" s="270" t="s">
        <v>541</v>
      </c>
      <c r="D14" s="270">
        <v>2100</v>
      </c>
      <c r="E14" s="270">
        <v>2650</v>
      </c>
      <c r="F14" s="270">
        <v>15</v>
      </c>
      <c r="G14" s="270">
        <f>2.1*2.65</f>
        <v>5.5650000000000004</v>
      </c>
      <c r="H14" s="279">
        <f t="shared" si="0"/>
        <v>83.475000000000009</v>
      </c>
      <c r="I14" s="279">
        <f>'C2327'!B371</f>
        <v>1662.65</v>
      </c>
      <c r="J14" s="271">
        <f t="shared" si="1"/>
        <v>138789.70875000002</v>
      </c>
      <c r="K14" s="270"/>
    </row>
    <row r="15" spans="1:17" ht="20.100000000000001" customHeight="1">
      <c r="A15" s="270">
        <v>13</v>
      </c>
      <c r="B15" s="270" t="s">
        <v>425</v>
      </c>
      <c r="C15" s="270" t="s">
        <v>524</v>
      </c>
      <c r="D15" s="270">
        <v>2300</v>
      </c>
      <c r="E15" s="270">
        <v>2650</v>
      </c>
      <c r="F15" s="270">
        <v>9</v>
      </c>
      <c r="G15" s="270">
        <f>2.3*2.65</f>
        <v>6.0949999999999998</v>
      </c>
      <c r="H15" s="279">
        <f t="shared" si="0"/>
        <v>54.854999999999997</v>
      </c>
      <c r="I15" s="279">
        <f>'C2327'!B371</f>
        <v>1662.65</v>
      </c>
      <c r="J15" s="271">
        <f t="shared" si="1"/>
        <v>91204.66575</v>
      </c>
      <c r="K15" s="270"/>
    </row>
    <row r="16" spans="1:17" ht="20.100000000000001" customHeight="1">
      <c r="A16" s="270">
        <v>14</v>
      </c>
      <c r="B16" s="270" t="s">
        <v>425</v>
      </c>
      <c r="C16" s="270" t="s">
        <v>436</v>
      </c>
      <c r="D16" s="270">
        <v>2300</v>
      </c>
      <c r="E16" s="270">
        <v>3800</v>
      </c>
      <c r="F16" s="270">
        <v>24</v>
      </c>
      <c r="G16" s="270">
        <v>8.17</v>
      </c>
      <c r="H16" s="279">
        <f t="shared" si="0"/>
        <v>196.07999999999998</v>
      </c>
      <c r="I16" s="279">
        <f>'C2330'!B371</f>
        <v>1501.59</v>
      </c>
      <c r="J16" s="271">
        <f t="shared" si="1"/>
        <v>294431.76719999994</v>
      </c>
      <c r="K16" s="270"/>
    </row>
    <row r="17" spans="1:12" ht="20.100000000000001" customHeight="1">
      <c r="A17" s="270">
        <v>15</v>
      </c>
      <c r="B17" s="270" t="s">
        <v>542</v>
      </c>
      <c r="C17" s="270" t="s">
        <v>526</v>
      </c>
      <c r="D17" s="270">
        <v>2300</v>
      </c>
      <c r="E17" s="270">
        <v>6000</v>
      </c>
      <c r="F17" s="270">
        <v>19</v>
      </c>
      <c r="G17" s="270">
        <v>13.23</v>
      </c>
      <c r="H17" s="279">
        <f t="shared" si="0"/>
        <v>251.37</v>
      </c>
      <c r="I17" s="279">
        <f>'C2360'!G126</f>
        <v>1096.81</v>
      </c>
      <c r="J17" s="271">
        <f t="shared" si="1"/>
        <v>275705.12969999999</v>
      </c>
      <c r="K17" s="270"/>
      <c r="L17" s="268" t="s">
        <v>694</v>
      </c>
    </row>
    <row r="18" spans="1:12" ht="20.100000000000001" customHeight="1">
      <c r="A18" s="270">
        <v>16</v>
      </c>
      <c r="B18" s="270" t="s">
        <v>408</v>
      </c>
      <c r="C18" s="270" t="s">
        <v>532</v>
      </c>
      <c r="D18" s="270">
        <v>1100</v>
      </c>
      <c r="E18" s="270">
        <v>2200</v>
      </c>
      <c r="F18" s="270">
        <v>4</v>
      </c>
      <c r="G18" s="270">
        <f>1.1*2.2</f>
        <v>2.4200000000000004</v>
      </c>
      <c r="H18" s="279">
        <f t="shared" si="0"/>
        <v>9.6800000000000015</v>
      </c>
      <c r="I18" s="279">
        <f>'WM1325'!B371</f>
        <v>1524.32</v>
      </c>
      <c r="J18" s="271">
        <f t="shared" si="1"/>
        <v>14755.417600000002</v>
      </c>
      <c r="K18" s="270"/>
    </row>
    <row r="19" spans="1:12" ht="20.100000000000001" customHeight="1">
      <c r="A19" s="270">
        <v>17</v>
      </c>
      <c r="B19" s="270" t="s">
        <v>408</v>
      </c>
      <c r="C19" s="270" t="s">
        <v>543</v>
      </c>
      <c r="D19" s="270">
        <v>1500</v>
      </c>
      <c r="E19" s="270">
        <v>2200</v>
      </c>
      <c r="F19" s="270">
        <v>2</v>
      </c>
      <c r="G19" s="270">
        <f>1.5*2.2</f>
        <v>3.3000000000000003</v>
      </c>
      <c r="H19" s="279">
        <f t="shared" si="0"/>
        <v>6.6000000000000005</v>
      </c>
      <c r="I19" s="279">
        <f>'WM1325'!B371</f>
        <v>1524.32</v>
      </c>
      <c r="J19" s="271">
        <f t="shared" si="1"/>
        <v>10060.512000000001</v>
      </c>
      <c r="K19" s="270"/>
    </row>
    <row r="20" spans="1:12" ht="20.100000000000001" customHeight="1">
      <c r="A20" s="270">
        <v>18</v>
      </c>
      <c r="B20" s="270" t="s">
        <v>408</v>
      </c>
      <c r="C20" s="270" t="s">
        <v>544</v>
      </c>
      <c r="D20" s="270">
        <v>2300</v>
      </c>
      <c r="E20" s="270">
        <v>2400</v>
      </c>
      <c r="F20" s="270">
        <v>2</v>
      </c>
      <c r="G20" s="270">
        <f t="shared" ref="G20:G24" si="3">2.3*2.4</f>
        <v>5.52</v>
      </c>
      <c r="H20" s="279">
        <f t="shared" si="0"/>
        <v>11.04</v>
      </c>
      <c r="I20" s="279">
        <f>'WM1325'!B371</f>
        <v>1524.32</v>
      </c>
      <c r="J20" s="271">
        <f t="shared" si="1"/>
        <v>16828.492799999996</v>
      </c>
      <c r="K20" s="270" t="s">
        <v>545</v>
      </c>
    </row>
    <row r="21" spans="1:12" ht="20.100000000000001" customHeight="1">
      <c r="A21" s="270">
        <v>19</v>
      </c>
      <c r="B21" s="270" t="s">
        <v>408</v>
      </c>
      <c r="C21" s="270" t="s">
        <v>416</v>
      </c>
      <c r="D21" s="270">
        <v>2300</v>
      </c>
      <c r="E21" s="270">
        <v>3800</v>
      </c>
      <c r="F21" s="270">
        <v>20</v>
      </c>
      <c r="G21" s="270">
        <v>8.17</v>
      </c>
      <c r="H21" s="279">
        <f t="shared" si="0"/>
        <v>163.4</v>
      </c>
      <c r="I21" s="279">
        <f>'WM2338'!B371</f>
        <v>1183.1300000000001</v>
      </c>
      <c r="J21" s="271">
        <f t="shared" si="1"/>
        <v>193323.44200000004</v>
      </c>
      <c r="K21" s="270"/>
    </row>
    <row r="22" spans="1:12" ht="20.100000000000001" customHeight="1">
      <c r="A22" s="270">
        <v>20</v>
      </c>
      <c r="B22" s="270" t="s">
        <v>450</v>
      </c>
      <c r="C22" s="270" t="s">
        <v>546</v>
      </c>
      <c r="D22" s="270">
        <v>2100</v>
      </c>
      <c r="E22" s="270">
        <v>2400</v>
      </c>
      <c r="F22" s="270">
        <v>160</v>
      </c>
      <c r="G22" s="270">
        <f>2.1*2.4</f>
        <v>5.04</v>
      </c>
      <c r="H22" s="279">
        <f t="shared" si="0"/>
        <v>806.4</v>
      </c>
      <c r="I22" s="279">
        <f>'MLC2124'!B371</f>
        <v>1599.79</v>
      </c>
      <c r="J22" s="271">
        <f t="shared" si="1"/>
        <v>1290070.656</v>
      </c>
      <c r="K22" s="270"/>
    </row>
    <row r="23" spans="1:12" ht="20.100000000000001" customHeight="1">
      <c r="A23" s="270">
        <v>21</v>
      </c>
      <c r="B23" s="270" t="s">
        <v>450</v>
      </c>
      <c r="C23" s="270" t="s">
        <v>527</v>
      </c>
      <c r="D23" s="270">
        <v>2300</v>
      </c>
      <c r="E23" s="270">
        <v>2400</v>
      </c>
      <c r="F23" s="270">
        <f>220-F24</f>
        <v>180</v>
      </c>
      <c r="G23" s="270">
        <f t="shared" si="3"/>
        <v>5.52</v>
      </c>
      <c r="H23" s="279">
        <f t="shared" si="0"/>
        <v>993.59999999999991</v>
      </c>
      <c r="I23" s="279">
        <f>MLC2324A!B371</f>
        <v>1415.54</v>
      </c>
      <c r="J23" s="271">
        <f t="shared" si="1"/>
        <v>1406480.5439999998</v>
      </c>
      <c r="K23" s="270"/>
    </row>
    <row r="24" spans="1:12" ht="20.100000000000001" customHeight="1">
      <c r="A24" s="270">
        <v>22</v>
      </c>
      <c r="B24" s="270" t="s">
        <v>450</v>
      </c>
      <c r="C24" s="270" t="s">
        <v>527</v>
      </c>
      <c r="D24" s="270">
        <v>2300</v>
      </c>
      <c r="E24" s="270">
        <v>2400</v>
      </c>
      <c r="F24" s="270">
        <v>40</v>
      </c>
      <c r="G24" s="270">
        <f t="shared" si="3"/>
        <v>5.52</v>
      </c>
      <c r="H24" s="279">
        <f t="shared" si="0"/>
        <v>220.79999999999998</v>
      </c>
      <c r="I24" s="279">
        <f>'MLC2324'!B371</f>
        <v>1417.48</v>
      </c>
      <c r="J24" s="271">
        <f t="shared" si="1"/>
        <v>312979.58399999997</v>
      </c>
      <c r="K24" s="270" t="s">
        <v>547</v>
      </c>
    </row>
    <row r="25" spans="1:12" ht="20.100000000000001" customHeight="1">
      <c r="A25" s="270">
        <v>23</v>
      </c>
      <c r="B25" s="270" t="s">
        <v>450</v>
      </c>
      <c r="C25" s="270" t="s">
        <v>548</v>
      </c>
      <c r="D25" s="270">
        <v>2100</v>
      </c>
      <c r="E25" s="270">
        <v>2650</v>
      </c>
      <c r="F25" s="270">
        <v>14</v>
      </c>
      <c r="G25" s="270">
        <f>2.1*2.65</f>
        <v>5.5650000000000004</v>
      </c>
      <c r="H25" s="279">
        <f t="shared" si="0"/>
        <v>77.910000000000011</v>
      </c>
      <c r="I25" s="279">
        <f>'MLC2324'!B371</f>
        <v>1417.48</v>
      </c>
      <c r="J25" s="271">
        <f t="shared" si="1"/>
        <v>110435.86680000002</v>
      </c>
      <c r="K25" s="270"/>
    </row>
    <row r="26" spans="1:12" ht="20.100000000000001" customHeight="1">
      <c r="A26" s="270">
        <v>24</v>
      </c>
      <c r="B26" s="270" t="s">
        <v>450</v>
      </c>
      <c r="C26" s="270" t="s">
        <v>528</v>
      </c>
      <c r="D26" s="270">
        <v>2300</v>
      </c>
      <c r="E26" s="270">
        <v>2650</v>
      </c>
      <c r="F26" s="270">
        <v>8</v>
      </c>
      <c r="G26" s="270">
        <f>2.3*2.65</f>
        <v>6.0949999999999998</v>
      </c>
      <c r="H26" s="279">
        <f t="shared" si="0"/>
        <v>48.76</v>
      </c>
      <c r="I26" s="279">
        <f>'MLC2324'!B371</f>
        <v>1417.48</v>
      </c>
      <c r="J26" s="271">
        <f t="shared" si="1"/>
        <v>69116.324800000002</v>
      </c>
      <c r="K26" s="270"/>
    </row>
    <row r="27" spans="1:12" ht="20.100000000000001" customHeight="1">
      <c r="A27" s="270">
        <v>25</v>
      </c>
      <c r="B27" s="270" t="s">
        <v>450</v>
      </c>
      <c r="C27" s="270" t="s">
        <v>529</v>
      </c>
      <c r="D27" s="270">
        <v>2300</v>
      </c>
      <c r="E27" s="270">
        <v>2400</v>
      </c>
      <c r="F27" s="270">
        <v>4</v>
      </c>
      <c r="G27" s="270">
        <f>2.3*2.4</f>
        <v>5.52</v>
      </c>
      <c r="H27" s="279">
        <f t="shared" si="0"/>
        <v>22.08</v>
      </c>
      <c r="I27" s="279">
        <f>MLC2324A!B371</f>
        <v>1415.54</v>
      </c>
      <c r="J27" s="271">
        <f t="shared" si="1"/>
        <v>31255.123199999998</v>
      </c>
      <c r="K27" s="270"/>
    </row>
    <row r="28" spans="1:12" ht="20.100000000000001" customHeight="1">
      <c r="A28" s="270">
        <v>26</v>
      </c>
      <c r="B28" s="270" t="s">
        <v>450</v>
      </c>
      <c r="C28" s="270" t="s">
        <v>549</v>
      </c>
      <c r="D28" s="270">
        <v>2300</v>
      </c>
      <c r="E28" s="270">
        <v>5500</v>
      </c>
      <c r="F28" s="270">
        <v>2</v>
      </c>
      <c r="G28" s="270">
        <v>12.08</v>
      </c>
      <c r="H28" s="279">
        <f t="shared" si="0"/>
        <v>24.16</v>
      </c>
      <c r="I28" s="279">
        <f>'MLC2324'!B371</f>
        <v>1417.48</v>
      </c>
      <c r="J28" s="271">
        <f t="shared" si="1"/>
        <v>34246.316800000001</v>
      </c>
      <c r="K28" s="270" t="s">
        <v>550</v>
      </c>
    </row>
    <row r="29" spans="1:12" ht="20.100000000000001" customHeight="1">
      <c r="A29" s="270">
        <v>27</v>
      </c>
      <c r="B29" s="270" t="s">
        <v>530</v>
      </c>
      <c r="C29" s="270" t="s">
        <v>531</v>
      </c>
      <c r="D29" s="270">
        <v>2300</v>
      </c>
      <c r="E29" s="270">
        <v>6000</v>
      </c>
      <c r="F29" s="270">
        <v>2</v>
      </c>
      <c r="G29" s="270">
        <v>13.23</v>
      </c>
      <c r="H29" s="279">
        <f t="shared" si="0"/>
        <v>26.46</v>
      </c>
      <c r="I29" s="279">
        <f>'MLC2360'!G126</f>
        <v>1184.1500000000001</v>
      </c>
      <c r="J29" s="271">
        <f t="shared" si="1"/>
        <v>31332.609000000004</v>
      </c>
      <c r="K29" s="270"/>
      <c r="L29" s="268" t="s">
        <v>694</v>
      </c>
    </row>
    <row r="30" spans="1:12" ht="20.100000000000001" customHeight="1">
      <c r="A30" s="270">
        <v>28</v>
      </c>
      <c r="B30" s="270" t="s">
        <v>485</v>
      </c>
      <c r="C30" s="270" t="s">
        <v>546</v>
      </c>
      <c r="D30" s="270">
        <v>500</v>
      </c>
      <c r="E30" s="270">
        <v>800</v>
      </c>
      <c r="F30" s="270">
        <f>160*2</f>
        <v>320</v>
      </c>
      <c r="G30" s="270">
        <f>0.5*0.8</f>
        <v>0.4</v>
      </c>
      <c r="H30" s="279">
        <f t="shared" si="0"/>
        <v>128</v>
      </c>
      <c r="I30" s="279"/>
      <c r="J30" s="279"/>
      <c r="K30" s="270"/>
    </row>
    <row r="31" spans="1:12" ht="20.100000000000001" customHeight="1">
      <c r="A31" s="270">
        <v>29</v>
      </c>
      <c r="B31" s="270" t="s">
        <v>486</v>
      </c>
      <c r="C31" s="270"/>
      <c r="D31" s="270"/>
      <c r="E31" s="270"/>
      <c r="F31" s="270">
        <v>3</v>
      </c>
      <c r="G31" s="270">
        <f>(329.24+163.66)*2/3</f>
        <v>328.59999999999997</v>
      </c>
      <c r="H31" s="279">
        <f t="shared" si="0"/>
        <v>985.8</v>
      </c>
      <c r="I31" s="279"/>
      <c r="J31" s="279"/>
      <c r="K31" s="270"/>
    </row>
    <row r="32" spans="1:12" ht="20.100000000000001" customHeight="1">
      <c r="A32" s="270">
        <v>30</v>
      </c>
      <c r="B32" s="270" t="str">
        <f>[29]工程量清单计价表!B161</f>
        <v>穿孔铝单板</v>
      </c>
      <c r="C32" s="270"/>
      <c r="D32" s="270"/>
      <c r="E32" s="270"/>
      <c r="F32" s="270">
        <v>28</v>
      </c>
      <c r="G32" s="270">
        <v>7.5</v>
      </c>
      <c r="H32" s="279">
        <f t="shared" si="0"/>
        <v>210</v>
      </c>
      <c r="I32" s="279"/>
      <c r="J32" s="279"/>
      <c r="K32" s="270"/>
    </row>
    <row r="33" spans="1:11" ht="20.100000000000001" customHeight="1">
      <c r="A33" s="270">
        <v>31</v>
      </c>
      <c r="B33" s="587" t="s">
        <v>4</v>
      </c>
      <c r="C33" s="587"/>
      <c r="D33" s="587"/>
      <c r="E33" s="270"/>
      <c r="F33" s="270">
        <f>SUM(F3:F29)</f>
        <v>1038</v>
      </c>
      <c r="G33" s="270"/>
      <c r="H33" s="279">
        <f>SUM(H3:H29)</f>
        <v>3659.91</v>
      </c>
      <c r="I33" s="279">
        <f>J33/H33</f>
        <v>1374.585009795323</v>
      </c>
      <c r="J33" s="279">
        <f>SUM(J3:J29)</f>
        <v>5030857.4232000001</v>
      </c>
      <c r="K33" s="270"/>
    </row>
  </sheetData>
  <mergeCells count="3">
    <mergeCell ref="B33:D33"/>
    <mergeCell ref="A1:K1"/>
    <mergeCell ref="K3:K9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12B31-302F-43C2-8F79-D64A139C8E61}">
  <dimension ref="A1:Q40"/>
  <sheetViews>
    <sheetView topLeftCell="A22" workbookViewId="0">
      <selection activeCell="I37" sqref="I37"/>
    </sheetView>
  </sheetViews>
  <sheetFormatPr defaultRowHeight="20.100000000000001" customHeight="1"/>
  <cols>
    <col min="1" max="2" width="9" style="268"/>
    <col min="3" max="3" width="11.375" style="268" customWidth="1"/>
    <col min="4" max="4" width="11.125" style="268" customWidth="1"/>
    <col min="5" max="5" width="12.375" style="268" customWidth="1"/>
    <col min="6" max="6" width="9" style="268"/>
    <col min="7" max="7" width="13.375" style="268" customWidth="1"/>
    <col min="8" max="9" width="11" style="268" customWidth="1"/>
    <col min="10" max="10" width="16.5" style="268" customWidth="1"/>
    <col min="11" max="11" width="14.25" style="268" customWidth="1"/>
    <col min="12" max="13" width="9" style="268"/>
    <col min="14" max="14" width="15.5" style="268" customWidth="1"/>
    <col min="15" max="15" width="11.625" style="268" bestFit="1" customWidth="1"/>
    <col min="16" max="16" width="12.375" style="268" customWidth="1"/>
    <col min="17" max="17" width="16.5" style="268" customWidth="1"/>
    <col min="18" max="16384" width="9" style="268"/>
  </cols>
  <sheetData>
    <row r="1" spans="1:17" ht="20.100000000000001" customHeight="1">
      <c r="A1" s="578" t="s">
        <v>551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</row>
    <row r="2" spans="1:17" ht="20.100000000000001" customHeight="1">
      <c r="A2" s="269" t="s">
        <v>0</v>
      </c>
      <c r="B2" s="269" t="s">
        <v>406</v>
      </c>
      <c r="C2" s="269" t="s">
        <v>407</v>
      </c>
      <c r="D2" s="269" t="s">
        <v>594</v>
      </c>
      <c r="E2" s="269" t="s">
        <v>595</v>
      </c>
      <c r="F2" s="269" t="s">
        <v>8</v>
      </c>
      <c r="G2" s="269" t="s">
        <v>460</v>
      </c>
      <c r="H2" s="269" t="s">
        <v>461</v>
      </c>
      <c r="I2" s="456" t="s">
        <v>456</v>
      </c>
      <c r="J2" s="456" t="s">
        <v>457</v>
      </c>
      <c r="K2" s="269" t="s">
        <v>1</v>
      </c>
    </row>
    <row r="3" spans="1:17" ht="20.100000000000001" customHeight="1">
      <c r="A3" s="269">
        <v>1</v>
      </c>
      <c r="B3" s="579" t="s">
        <v>408</v>
      </c>
      <c r="C3" s="270" t="s">
        <v>410</v>
      </c>
      <c r="D3" s="270">
        <v>1100</v>
      </c>
      <c r="E3" s="270">
        <v>2650</v>
      </c>
      <c r="F3" s="269">
        <v>4</v>
      </c>
      <c r="G3" s="269">
        <v>2.7850000000000001</v>
      </c>
      <c r="H3" s="271">
        <f t="shared" ref="H3:H37" si="0">F3*G3</f>
        <v>11.14</v>
      </c>
      <c r="I3" s="271">
        <f>'WM1127'!B371</f>
        <v>1663.91</v>
      </c>
      <c r="J3" s="271">
        <f>I3*H3</f>
        <v>18535.957400000003</v>
      </c>
      <c r="K3" s="272"/>
    </row>
    <row r="4" spans="1:17" ht="20.100000000000001" customHeight="1">
      <c r="A4" s="269">
        <v>2</v>
      </c>
      <c r="B4" s="580"/>
      <c r="C4" s="270" t="s">
        <v>552</v>
      </c>
      <c r="D4" s="270">
        <v>1100</v>
      </c>
      <c r="E4" s="270">
        <v>3000</v>
      </c>
      <c r="F4" s="269">
        <v>2</v>
      </c>
      <c r="G4" s="269">
        <v>3.17</v>
      </c>
      <c r="H4" s="271">
        <f t="shared" si="0"/>
        <v>6.34</v>
      </c>
      <c r="I4" s="457">
        <f>'WM1127'!B371</f>
        <v>1663.91</v>
      </c>
      <c r="J4" s="271">
        <f t="shared" ref="J4:J37" si="1">I4*H4</f>
        <v>10549.189400000001</v>
      </c>
      <c r="K4" s="272"/>
      <c r="M4" s="459" t="s">
        <v>584</v>
      </c>
      <c r="N4" s="459" t="s">
        <v>841</v>
      </c>
      <c r="O4" s="459" t="s">
        <v>455</v>
      </c>
      <c r="P4" s="459" t="s">
        <v>456</v>
      </c>
      <c r="Q4" s="459" t="s">
        <v>457</v>
      </c>
    </row>
    <row r="5" spans="1:17" ht="20.100000000000001" customHeight="1">
      <c r="A5" s="269">
        <v>3</v>
      </c>
      <c r="B5" s="580"/>
      <c r="C5" s="270" t="s">
        <v>553</v>
      </c>
      <c r="D5" s="270">
        <v>1200</v>
      </c>
      <c r="E5" s="270">
        <v>2400</v>
      </c>
      <c r="F5" s="269">
        <v>1</v>
      </c>
      <c r="G5" s="269">
        <f>1.2*2.4</f>
        <v>2.88</v>
      </c>
      <c r="H5" s="271">
        <f t="shared" si="0"/>
        <v>2.88</v>
      </c>
      <c r="I5" s="457">
        <f>'WM1127'!B371</f>
        <v>1663.91</v>
      </c>
      <c r="J5" s="271">
        <f t="shared" si="1"/>
        <v>4792.0608000000002</v>
      </c>
      <c r="K5" s="272"/>
      <c r="M5" s="459">
        <v>1</v>
      </c>
      <c r="N5" s="459" t="s">
        <v>845</v>
      </c>
      <c r="O5" s="458">
        <f>SUM(H3:H6)</f>
        <v>40.909999999999997</v>
      </c>
      <c r="P5" s="458">
        <f>Q5/O5</f>
        <v>1663.91</v>
      </c>
      <c r="Q5" s="458">
        <f>SUM(J3:J6)</f>
        <v>68070.558099999995</v>
      </c>
    </row>
    <row r="6" spans="1:17" ht="20.100000000000001" customHeight="1">
      <c r="A6" s="269">
        <v>4</v>
      </c>
      <c r="B6" s="580"/>
      <c r="C6" s="270" t="s">
        <v>554</v>
      </c>
      <c r="D6" s="270">
        <v>1800</v>
      </c>
      <c r="E6" s="270">
        <v>4000</v>
      </c>
      <c r="F6" s="269">
        <v>3</v>
      </c>
      <c r="G6" s="269">
        <v>6.85</v>
      </c>
      <c r="H6" s="271">
        <f t="shared" si="0"/>
        <v>20.549999999999997</v>
      </c>
      <c r="I6" s="457">
        <f>'WM1127'!B371</f>
        <v>1663.91</v>
      </c>
      <c r="J6" s="271">
        <f t="shared" si="1"/>
        <v>34193.3505</v>
      </c>
      <c r="K6" s="272"/>
      <c r="M6" s="459">
        <v>2</v>
      </c>
      <c r="N6" s="459" t="s">
        <v>847</v>
      </c>
      <c r="O6" s="458">
        <f>SUM(H16:H35)</f>
        <v>979.36</v>
      </c>
      <c r="P6" s="458">
        <f t="shared" ref="P6" si="2">Q6/O6</f>
        <v>1507.9928905611828</v>
      </c>
      <c r="Q6" s="458">
        <f>SUM(J16:J35)</f>
        <v>1476867.9173000001</v>
      </c>
    </row>
    <row r="7" spans="1:17" ht="20.100000000000001" customHeight="1">
      <c r="A7" s="269">
        <v>5</v>
      </c>
      <c r="B7" s="580"/>
      <c r="C7" s="270" t="s">
        <v>555</v>
      </c>
      <c r="D7" s="270">
        <v>2800</v>
      </c>
      <c r="E7" s="270">
        <v>8800</v>
      </c>
      <c r="F7" s="269">
        <v>4</v>
      </c>
      <c r="G7" s="269">
        <v>23.8</v>
      </c>
      <c r="H7" s="271">
        <f t="shared" si="0"/>
        <v>95.2</v>
      </c>
      <c r="I7" s="457">
        <f>'MLC2888'!G126</f>
        <v>1722.2</v>
      </c>
      <c r="J7" s="271">
        <f t="shared" si="1"/>
        <v>163953.44</v>
      </c>
      <c r="K7" s="272"/>
      <c r="L7" s="268" t="s">
        <v>694</v>
      </c>
      <c r="M7" s="459">
        <v>3</v>
      </c>
      <c r="N7" s="459" t="s">
        <v>849</v>
      </c>
      <c r="O7" s="458">
        <f>SUM(H7:H8)</f>
        <v>190.4</v>
      </c>
      <c r="P7" s="458">
        <f>Q7/O7</f>
        <v>1722.2</v>
      </c>
      <c r="Q7" s="458">
        <f>SUM(J7:J8)</f>
        <v>327906.88</v>
      </c>
    </row>
    <row r="8" spans="1:17" ht="20.100000000000001" customHeight="1">
      <c r="A8" s="269">
        <v>6</v>
      </c>
      <c r="B8" s="580"/>
      <c r="C8" s="270" t="s">
        <v>556</v>
      </c>
      <c r="D8" s="270">
        <v>2800</v>
      </c>
      <c r="E8" s="270">
        <v>8800</v>
      </c>
      <c r="F8" s="269">
        <v>4</v>
      </c>
      <c r="G8" s="269">
        <v>23.8</v>
      </c>
      <c r="H8" s="271">
        <f t="shared" si="0"/>
        <v>95.2</v>
      </c>
      <c r="I8" s="457">
        <f>'MLC2888'!G126</f>
        <v>1722.2</v>
      </c>
      <c r="J8" s="271">
        <f t="shared" si="1"/>
        <v>163953.44</v>
      </c>
      <c r="K8" s="272" t="s">
        <v>557</v>
      </c>
      <c r="L8" s="268" t="s">
        <v>694</v>
      </c>
      <c r="M8" s="459">
        <v>4</v>
      </c>
      <c r="N8" s="459" t="s">
        <v>851</v>
      </c>
      <c r="O8" s="458">
        <f>SUM(H9:H15)</f>
        <v>54.83</v>
      </c>
      <c r="P8" s="458">
        <f>Q8/O8</f>
        <v>794.00000000000011</v>
      </c>
      <c r="Q8" s="458">
        <f>SUM(J9:J15)</f>
        <v>43535.020000000004</v>
      </c>
    </row>
    <row r="9" spans="1:17" ht="20.100000000000001" customHeight="1">
      <c r="A9" s="269">
        <v>7</v>
      </c>
      <c r="B9" s="582" t="s">
        <v>599</v>
      </c>
      <c r="C9" s="270" t="s">
        <v>559</v>
      </c>
      <c r="D9" s="270">
        <v>800</v>
      </c>
      <c r="E9" s="270">
        <v>350</v>
      </c>
      <c r="F9" s="269">
        <v>4</v>
      </c>
      <c r="G9" s="269">
        <f>0.8*0.35</f>
        <v>0.27999999999999997</v>
      </c>
      <c r="H9" s="271">
        <f t="shared" si="0"/>
        <v>1.1199999999999999</v>
      </c>
      <c r="I9" s="457">
        <f>'BYC1610'!G62</f>
        <v>794</v>
      </c>
      <c r="J9" s="271">
        <f t="shared" si="1"/>
        <v>889.27999999999986</v>
      </c>
      <c r="K9" s="272"/>
      <c r="M9" s="459">
        <v>5</v>
      </c>
      <c r="N9" s="459" t="s">
        <v>854</v>
      </c>
      <c r="O9" s="458">
        <f>SUM(H36:H37)</f>
        <v>174.42</v>
      </c>
      <c r="P9" s="458">
        <f>Q9/O9</f>
        <v>1117.43</v>
      </c>
      <c r="Q9" s="458">
        <f>SUM(J36:J37)</f>
        <v>194902.14060000001</v>
      </c>
    </row>
    <row r="10" spans="1:17" ht="20.100000000000001" customHeight="1">
      <c r="A10" s="269">
        <v>8</v>
      </c>
      <c r="B10" s="575"/>
      <c r="C10" s="270" t="s">
        <v>560</v>
      </c>
      <c r="D10" s="270">
        <v>1100</v>
      </c>
      <c r="E10" s="270">
        <v>3000</v>
      </c>
      <c r="F10" s="269">
        <v>5</v>
      </c>
      <c r="G10" s="269">
        <v>3.17</v>
      </c>
      <c r="H10" s="271">
        <f t="shared" si="0"/>
        <v>15.85</v>
      </c>
      <c r="I10" s="457">
        <f>'BYC1610'!G62</f>
        <v>794</v>
      </c>
      <c r="J10" s="271">
        <f t="shared" si="1"/>
        <v>12584.9</v>
      </c>
      <c r="K10" s="272"/>
      <c r="M10" s="459">
        <v>6</v>
      </c>
      <c r="N10" s="459" t="s">
        <v>485</v>
      </c>
      <c r="O10" s="458">
        <f>SUM(H38)</f>
        <v>162.69000000000003</v>
      </c>
      <c r="P10" s="458"/>
      <c r="Q10" s="458"/>
    </row>
    <row r="11" spans="1:17" ht="20.100000000000001" customHeight="1">
      <c r="A11" s="269">
        <v>9</v>
      </c>
      <c r="B11" s="575"/>
      <c r="C11" s="270" t="s">
        <v>561</v>
      </c>
      <c r="D11" s="270">
        <v>1200</v>
      </c>
      <c r="E11" s="270">
        <v>900</v>
      </c>
      <c r="F11" s="269">
        <v>2</v>
      </c>
      <c r="G11" s="269">
        <f>1.2*0.9</f>
        <v>1.08</v>
      </c>
      <c r="H11" s="271">
        <f t="shared" si="0"/>
        <v>2.16</v>
      </c>
      <c r="I11" s="457">
        <f>'BYC1610'!G62</f>
        <v>794</v>
      </c>
      <c r="J11" s="271">
        <f t="shared" si="1"/>
        <v>1715.0400000000002</v>
      </c>
      <c r="K11" s="272"/>
      <c r="M11" s="459">
        <v>7</v>
      </c>
      <c r="N11" s="459" t="s">
        <v>486</v>
      </c>
      <c r="O11" s="458">
        <f>SUM(H39)</f>
        <v>168</v>
      </c>
      <c r="P11" s="458"/>
      <c r="Q11" s="458"/>
    </row>
    <row r="12" spans="1:17" ht="20.100000000000001" customHeight="1">
      <c r="A12" s="269">
        <v>10</v>
      </c>
      <c r="B12" s="575"/>
      <c r="C12" s="270" t="s">
        <v>562</v>
      </c>
      <c r="D12" s="270">
        <v>1500</v>
      </c>
      <c r="E12" s="270">
        <v>800</v>
      </c>
      <c r="F12" s="269">
        <v>1</v>
      </c>
      <c r="G12" s="269">
        <f>1.5*0.8</f>
        <v>1.2000000000000002</v>
      </c>
      <c r="H12" s="271">
        <f t="shared" si="0"/>
        <v>1.2000000000000002</v>
      </c>
      <c r="I12" s="457">
        <f>'BYC1610'!G62</f>
        <v>794</v>
      </c>
      <c r="J12" s="271">
        <f t="shared" si="1"/>
        <v>952.80000000000018</v>
      </c>
      <c r="K12" s="272"/>
      <c r="M12" s="459">
        <v>8</v>
      </c>
      <c r="N12" s="459" t="s">
        <v>855</v>
      </c>
      <c r="O12" s="458"/>
      <c r="P12" s="458"/>
      <c r="Q12" s="458"/>
    </row>
    <row r="13" spans="1:17" ht="20.100000000000001" customHeight="1">
      <c r="A13" s="269">
        <v>11</v>
      </c>
      <c r="B13" s="575"/>
      <c r="C13" s="270" t="s">
        <v>478</v>
      </c>
      <c r="D13" s="270">
        <v>1600</v>
      </c>
      <c r="E13" s="270">
        <v>1000</v>
      </c>
      <c r="F13" s="269">
        <v>1</v>
      </c>
      <c r="G13" s="269">
        <f>1.6*1</f>
        <v>1.6</v>
      </c>
      <c r="H13" s="271">
        <f t="shared" si="0"/>
        <v>1.6</v>
      </c>
      <c r="I13" s="457">
        <f>'BYC1610'!G62</f>
        <v>794</v>
      </c>
      <c r="J13" s="271">
        <f t="shared" si="1"/>
        <v>1270.4000000000001</v>
      </c>
      <c r="K13" s="272"/>
      <c r="M13" s="459">
        <v>9</v>
      </c>
      <c r="N13" s="459"/>
      <c r="O13" s="458">
        <f>SUM(O5:O9)</f>
        <v>1439.92</v>
      </c>
      <c r="P13" s="458">
        <f>Q13/O13</f>
        <v>1466.2498722151231</v>
      </c>
      <c r="Q13" s="458">
        <f>SUM(Q5:Q12)</f>
        <v>2111282.5160000003</v>
      </c>
    </row>
    <row r="14" spans="1:17" ht="20.100000000000001" customHeight="1">
      <c r="A14" s="269">
        <v>12</v>
      </c>
      <c r="B14" s="575"/>
      <c r="C14" s="270" t="s">
        <v>563</v>
      </c>
      <c r="D14" s="270">
        <v>2400</v>
      </c>
      <c r="E14" s="270">
        <v>3500</v>
      </c>
      <c r="F14" s="269">
        <v>2</v>
      </c>
      <c r="G14" s="269">
        <v>7.78</v>
      </c>
      <c r="H14" s="271">
        <f t="shared" si="0"/>
        <v>15.56</v>
      </c>
      <c r="I14" s="457">
        <f>'BYC1610'!G62</f>
        <v>794</v>
      </c>
      <c r="J14" s="271">
        <f t="shared" si="1"/>
        <v>12354.640000000001</v>
      </c>
      <c r="K14" s="272"/>
    </row>
    <row r="15" spans="1:17" ht="20.100000000000001" customHeight="1">
      <c r="A15" s="269">
        <v>13</v>
      </c>
      <c r="B15" s="575"/>
      <c r="C15" s="270" t="s">
        <v>564</v>
      </c>
      <c r="D15" s="270">
        <v>2700</v>
      </c>
      <c r="E15" s="270">
        <v>3500</v>
      </c>
      <c r="F15" s="269">
        <v>2</v>
      </c>
      <c r="G15" s="269">
        <v>8.67</v>
      </c>
      <c r="H15" s="271">
        <f t="shared" si="0"/>
        <v>17.34</v>
      </c>
      <c r="I15" s="457">
        <f>'BYC1610'!G62</f>
        <v>794</v>
      </c>
      <c r="J15" s="271">
        <f t="shared" si="1"/>
        <v>13767.96</v>
      </c>
      <c r="K15" s="272"/>
    </row>
    <row r="16" spans="1:17" ht="20.100000000000001" customHeight="1">
      <c r="A16" s="269">
        <v>14</v>
      </c>
      <c r="B16" s="574" t="s">
        <v>425</v>
      </c>
      <c r="C16" s="270" t="s">
        <v>426</v>
      </c>
      <c r="D16" s="270">
        <v>1000</v>
      </c>
      <c r="E16" s="270">
        <v>1400</v>
      </c>
      <c r="F16" s="269">
        <v>17</v>
      </c>
      <c r="G16" s="269">
        <v>1.1000000000000001</v>
      </c>
      <c r="H16" s="271">
        <f t="shared" si="0"/>
        <v>18.700000000000003</v>
      </c>
      <c r="I16" s="457">
        <f>'C1014'!B371</f>
        <v>2372.44</v>
      </c>
      <c r="J16" s="271">
        <f t="shared" si="1"/>
        <v>44364.628000000004</v>
      </c>
      <c r="K16" s="269" t="s">
        <v>837</v>
      </c>
    </row>
    <row r="17" spans="1:11" ht="20.100000000000001" customHeight="1">
      <c r="A17" s="269">
        <v>15</v>
      </c>
      <c r="B17" s="575"/>
      <c r="C17" s="270" t="s">
        <v>565</v>
      </c>
      <c r="D17" s="270">
        <v>1100</v>
      </c>
      <c r="E17" s="270">
        <v>2450</v>
      </c>
      <c r="F17" s="269">
        <v>8</v>
      </c>
      <c r="G17" s="269">
        <v>2.4550000000000001</v>
      </c>
      <c r="H17" s="271">
        <f t="shared" si="0"/>
        <v>19.64</v>
      </c>
      <c r="I17" s="457">
        <f>'C1127'!B371</f>
        <v>1558.89</v>
      </c>
      <c r="J17" s="271">
        <f t="shared" si="1"/>
        <v>30616.599600000001</v>
      </c>
      <c r="K17" s="269" t="s">
        <v>566</v>
      </c>
    </row>
    <row r="18" spans="1:11" ht="20.100000000000001" customHeight="1">
      <c r="A18" s="269">
        <v>16</v>
      </c>
      <c r="B18" s="575"/>
      <c r="C18" s="270" t="s">
        <v>431</v>
      </c>
      <c r="D18" s="270">
        <v>1100</v>
      </c>
      <c r="E18" s="270">
        <v>2650</v>
      </c>
      <c r="F18" s="269">
        <v>60</v>
      </c>
      <c r="G18" s="269">
        <v>2.7850000000000001</v>
      </c>
      <c r="H18" s="271">
        <f t="shared" si="0"/>
        <v>167.10000000000002</v>
      </c>
      <c r="I18" s="457">
        <f>'C1127'!B371</f>
        <v>1558.89</v>
      </c>
      <c r="J18" s="271">
        <f t="shared" si="1"/>
        <v>260490.51900000006</v>
      </c>
      <c r="K18" s="269" t="s">
        <v>566</v>
      </c>
    </row>
    <row r="19" spans="1:11" ht="20.100000000000001" customHeight="1">
      <c r="A19" s="269">
        <v>17</v>
      </c>
      <c r="B19" s="575"/>
      <c r="C19" s="270" t="s">
        <v>567</v>
      </c>
      <c r="D19" s="270">
        <v>1100</v>
      </c>
      <c r="E19" s="270">
        <v>3000</v>
      </c>
      <c r="F19" s="269">
        <v>41</v>
      </c>
      <c r="G19" s="269">
        <v>3.17</v>
      </c>
      <c r="H19" s="271">
        <f t="shared" si="0"/>
        <v>129.97</v>
      </c>
      <c r="I19" s="457">
        <f>'C1127'!B371</f>
        <v>1558.89</v>
      </c>
      <c r="J19" s="271">
        <f t="shared" si="1"/>
        <v>202608.9333</v>
      </c>
      <c r="K19" s="269" t="s">
        <v>566</v>
      </c>
    </row>
    <row r="20" spans="1:11" ht="20.100000000000001" customHeight="1">
      <c r="A20" s="269">
        <v>18</v>
      </c>
      <c r="B20" s="575"/>
      <c r="C20" s="270" t="s">
        <v>437</v>
      </c>
      <c r="D20" s="270">
        <v>2400</v>
      </c>
      <c r="E20" s="270">
        <v>3000</v>
      </c>
      <c r="F20" s="269">
        <v>2</v>
      </c>
      <c r="G20" s="269">
        <v>6.58</v>
      </c>
      <c r="H20" s="271">
        <f t="shared" si="0"/>
        <v>13.16</v>
      </c>
      <c r="I20" s="457">
        <f>'C2430'!B371</f>
        <v>1459.77</v>
      </c>
      <c r="J20" s="271">
        <f t="shared" si="1"/>
        <v>19210.573199999999</v>
      </c>
      <c r="K20" s="269" t="s">
        <v>566</v>
      </c>
    </row>
    <row r="21" spans="1:11" ht="20.100000000000001" customHeight="1">
      <c r="A21" s="269">
        <v>19</v>
      </c>
      <c r="B21" s="575"/>
      <c r="C21" s="270" t="s">
        <v>568</v>
      </c>
      <c r="D21" s="270">
        <v>2400</v>
      </c>
      <c r="E21" s="270">
        <v>3500</v>
      </c>
      <c r="F21" s="269">
        <v>3</v>
      </c>
      <c r="G21" s="269">
        <v>7.78</v>
      </c>
      <c r="H21" s="271">
        <f t="shared" si="0"/>
        <v>23.34</v>
      </c>
      <c r="I21" s="457">
        <f>'C2430'!B371</f>
        <v>1459.77</v>
      </c>
      <c r="J21" s="271">
        <f t="shared" si="1"/>
        <v>34071.031799999997</v>
      </c>
      <c r="K21" s="269" t="s">
        <v>566</v>
      </c>
    </row>
    <row r="22" spans="1:11" ht="20.100000000000001" customHeight="1">
      <c r="A22" s="269">
        <v>20</v>
      </c>
      <c r="B22" s="575"/>
      <c r="C22" s="270" t="s">
        <v>569</v>
      </c>
      <c r="D22" s="270">
        <v>2700</v>
      </c>
      <c r="E22" s="270">
        <v>2900</v>
      </c>
      <c r="F22" s="269">
        <v>1</v>
      </c>
      <c r="G22" s="269">
        <v>7.05</v>
      </c>
      <c r="H22" s="271">
        <f t="shared" si="0"/>
        <v>7.05</v>
      </c>
      <c r="I22" s="457">
        <f>'C2430'!B371</f>
        <v>1459.77</v>
      </c>
      <c r="J22" s="271">
        <f t="shared" si="1"/>
        <v>10291.378499999999</v>
      </c>
      <c r="K22" s="269" t="s">
        <v>566</v>
      </c>
    </row>
    <row r="23" spans="1:11" ht="20.100000000000001" customHeight="1">
      <c r="A23" s="269">
        <v>21</v>
      </c>
      <c r="B23" s="575"/>
      <c r="C23" s="270" t="s">
        <v>441</v>
      </c>
      <c r="D23" s="270">
        <v>2700</v>
      </c>
      <c r="E23" s="270">
        <v>3500</v>
      </c>
      <c r="F23" s="269">
        <v>27</v>
      </c>
      <c r="G23" s="269">
        <v>8.67</v>
      </c>
      <c r="H23" s="271">
        <f t="shared" si="0"/>
        <v>234.09</v>
      </c>
      <c r="I23" s="457">
        <f>'C2430'!B371</f>
        <v>1459.77</v>
      </c>
      <c r="J23" s="271">
        <f t="shared" si="1"/>
        <v>341717.55930000002</v>
      </c>
      <c r="K23" s="269" t="s">
        <v>566</v>
      </c>
    </row>
    <row r="24" spans="1:11" ht="20.100000000000001" customHeight="1">
      <c r="A24" s="269">
        <v>22</v>
      </c>
      <c r="B24" s="576"/>
      <c r="C24" s="270" t="s">
        <v>570</v>
      </c>
      <c r="D24" s="270">
        <v>2700</v>
      </c>
      <c r="E24" s="270">
        <v>4000</v>
      </c>
      <c r="F24" s="269">
        <v>20</v>
      </c>
      <c r="G24" s="269">
        <v>10.02</v>
      </c>
      <c r="H24" s="271">
        <f t="shared" si="0"/>
        <v>200.39999999999998</v>
      </c>
      <c r="I24" s="457">
        <f>'C2430'!B371</f>
        <v>1459.77</v>
      </c>
      <c r="J24" s="271">
        <f t="shared" si="1"/>
        <v>292537.90799999994</v>
      </c>
      <c r="K24" s="269" t="s">
        <v>566</v>
      </c>
    </row>
    <row r="25" spans="1:11" ht="20.100000000000001" customHeight="1">
      <c r="A25" s="269">
        <v>23</v>
      </c>
      <c r="B25" s="588" t="s">
        <v>838</v>
      </c>
      <c r="C25" s="270" t="s">
        <v>571</v>
      </c>
      <c r="D25" s="270">
        <v>1800</v>
      </c>
      <c r="E25" s="270">
        <v>1400</v>
      </c>
      <c r="F25" s="269">
        <v>1</v>
      </c>
      <c r="G25" s="269">
        <f>1.8*1.4</f>
        <v>2.52</v>
      </c>
      <c r="H25" s="271">
        <f t="shared" si="0"/>
        <v>2.52</v>
      </c>
      <c r="I25" s="457">
        <f>'GDC2338'!B371</f>
        <v>844.84</v>
      </c>
      <c r="J25" s="271">
        <f t="shared" si="1"/>
        <v>2128.9967999999999</v>
      </c>
      <c r="K25" s="272"/>
    </row>
    <row r="26" spans="1:11" ht="20.100000000000001" customHeight="1">
      <c r="A26" s="269">
        <v>24</v>
      </c>
      <c r="B26" s="588"/>
      <c r="C26" s="270" t="s">
        <v>572</v>
      </c>
      <c r="D26" s="270">
        <v>2400</v>
      </c>
      <c r="E26" s="270">
        <v>3800</v>
      </c>
      <c r="F26" s="269">
        <v>2</v>
      </c>
      <c r="G26" s="269">
        <v>8.5</v>
      </c>
      <c r="H26" s="271">
        <f t="shared" si="0"/>
        <v>17</v>
      </c>
      <c r="I26" s="457">
        <f>'GDC2338'!B371</f>
        <v>844.84</v>
      </c>
      <c r="J26" s="271">
        <f t="shared" si="1"/>
        <v>14362.28</v>
      </c>
      <c r="K26" s="272"/>
    </row>
    <row r="27" spans="1:11" ht="20.100000000000001" customHeight="1">
      <c r="A27" s="269">
        <v>25</v>
      </c>
      <c r="B27" s="588"/>
      <c r="C27" s="270" t="s">
        <v>443</v>
      </c>
      <c r="D27" s="270">
        <v>2700</v>
      </c>
      <c r="E27" s="270">
        <v>3500</v>
      </c>
      <c r="F27" s="269">
        <v>1</v>
      </c>
      <c r="G27" s="269">
        <v>8.67</v>
      </c>
      <c r="H27" s="271">
        <f t="shared" si="0"/>
        <v>8.67</v>
      </c>
      <c r="I27" s="457">
        <f>'GDC2338'!B371</f>
        <v>844.84</v>
      </c>
      <c r="J27" s="271">
        <f t="shared" si="1"/>
        <v>7324.7628000000004</v>
      </c>
      <c r="K27" s="272"/>
    </row>
    <row r="28" spans="1:11" ht="20.100000000000001" customHeight="1">
      <c r="A28" s="269">
        <v>26</v>
      </c>
      <c r="B28" s="588"/>
      <c r="C28" s="270" t="s">
        <v>573</v>
      </c>
      <c r="D28" s="270">
        <v>2700</v>
      </c>
      <c r="E28" s="270">
        <v>3800</v>
      </c>
      <c r="F28" s="269">
        <v>1</v>
      </c>
      <c r="G28" s="269">
        <v>9.48</v>
      </c>
      <c r="H28" s="271">
        <f t="shared" si="0"/>
        <v>9.48</v>
      </c>
      <c r="I28" s="457">
        <f>'GDC2338'!B371</f>
        <v>844.84</v>
      </c>
      <c r="J28" s="271">
        <f t="shared" si="1"/>
        <v>8009.0832000000009</v>
      </c>
      <c r="K28" s="272"/>
    </row>
    <row r="29" spans="1:11" ht="20.100000000000001" customHeight="1">
      <c r="A29" s="269">
        <v>27</v>
      </c>
      <c r="B29" s="589"/>
      <c r="C29" s="270" t="s">
        <v>574</v>
      </c>
      <c r="D29" s="270">
        <v>2700</v>
      </c>
      <c r="E29" s="270">
        <v>4000</v>
      </c>
      <c r="F29" s="269">
        <v>1</v>
      </c>
      <c r="G29" s="269">
        <v>10.02</v>
      </c>
      <c r="H29" s="271">
        <f t="shared" si="0"/>
        <v>10.02</v>
      </c>
      <c r="I29" s="457">
        <f>'GDC2338'!B371</f>
        <v>844.84</v>
      </c>
      <c r="J29" s="271">
        <f t="shared" si="1"/>
        <v>8465.2968000000001</v>
      </c>
      <c r="K29" s="272"/>
    </row>
    <row r="30" spans="1:11" ht="20.100000000000001" customHeight="1">
      <c r="A30" s="269">
        <v>28</v>
      </c>
      <c r="B30" s="575" t="s">
        <v>575</v>
      </c>
      <c r="C30" s="270" t="s">
        <v>839</v>
      </c>
      <c r="D30" s="270">
        <v>1950</v>
      </c>
      <c r="E30" s="270">
        <v>600</v>
      </c>
      <c r="F30" s="269">
        <v>31</v>
      </c>
      <c r="G30" s="269">
        <f>1.95*0.6</f>
        <v>1.17</v>
      </c>
      <c r="H30" s="271">
        <f t="shared" si="0"/>
        <v>36.269999999999996</v>
      </c>
      <c r="I30" s="457">
        <f>'GC2006'!B371</f>
        <v>2162.9</v>
      </c>
      <c r="J30" s="271">
        <f t="shared" si="1"/>
        <v>78448.383000000002</v>
      </c>
      <c r="K30" s="269" t="s">
        <v>837</v>
      </c>
    </row>
    <row r="31" spans="1:11" ht="20.100000000000001" customHeight="1">
      <c r="A31" s="269">
        <v>29</v>
      </c>
      <c r="B31" s="576"/>
      <c r="C31" s="270" t="s">
        <v>576</v>
      </c>
      <c r="D31" s="270">
        <v>1950</v>
      </c>
      <c r="E31" s="270">
        <v>900</v>
      </c>
      <c r="F31" s="269">
        <v>20</v>
      </c>
      <c r="G31" s="269">
        <f>1.95*0.9</f>
        <v>1.7549999999999999</v>
      </c>
      <c r="H31" s="271">
        <f t="shared" si="0"/>
        <v>35.099999999999994</v>
      </c>
      <c r="I31" s="457">
        <f>'GC2006'!B371</f>
        <v>2162.9</v>
      </c>
      <c r="J31" s="271">
        <f t="shared" si="1"/>
        <v>75917.789999999994</v>
      </c>
      <c r="K31" s="456" t="s">
        <v>837</v>
      </c>
    </row>
    <row r="32" spans="1:11" ht="20.100000000000001" customHeight="1">
      <c r="A32" s="269">
        <v>30</v>
      </c>
      <c r="B32" s="575" t="s">
        <v>495</v>
      </c>
      <c r="C32" s="270" t="s">
        <v>577</v>
      </c>
      <c r="D32" s="270">
        <v>1000</v>
      </c>
      <c r="E32" s="270">
        <v>1400</v>
      </c>
      <c r="F32" s="269">
        <v>4</v>
      </c>
      <c r="G32" s="269">
        <v>1.1000000000000001</v>
      </c>
      <c r="H32" s="271">
        <f t="shared" si="0"/>
        <v>4.4000000000000004</v>
      </c>
      <c r="I32" s="457">
        <f>'C1014'!B371</f>
        <v>2372.44</v>
      </c>
      <c r="J32" s="271">
        <f t="shared" si="1"/>
        <v>10438.736000000001</v>
      </c>
      <c r="K32" s="272"/>
    </row>
    <row r="33" spans="1:11" ht="20.100000000000001" customHeight="1">
      <c r="A33" s="269">
        <v>31</v>
      </c>
      <c r="B33" s="575"/>
      <c r="C33" s="270" t="s">
        <v>578</v>
      </c>
      <c r="D33" s="270">
        <v>1800</v>
      </c>
      <c r="E33" s="270">
        <v>3800</v>
      </c>
      <c r="F33" s="269">
        <v>1</v>
      </c>
      <c r="G33" s="269">
        <v>6.49</v>
      </c>
      <c r="H33" s="271">
        <f t="shared" si="0"/>
        <v>6.49</v>
      </c>
      <c r="I33" s="457">
        <f>'GDC2338'!B371</f>
        <v>844.84</v>
      </c>
      <c r="J33" s="271">
        <f t="shared" si="1"/>
        <v>5483.0116000000007</v>
      </c>
      <c r="K33" s="272"/>
    </row>
    <row r="34" spans="1:11" ht="20.100000000000001" customHeight="1">
      <c r="A34" s="269">
        <v>32</v>
      </c>
      <c r="B34" s="575"/>
      <c r="C34" s="270" t="s">
        <v>579</v>
      </c>
      <c r="D34" s="270">
        <v>2400</v>
      </c>
      <c r="E34" s="270">
        <v>3800</v>
      </c>
      <c r="F34" s="269">
        <v>2</v>
      </c>
      <c r="G34" s="269">
        <v>8.5</v>
      </c>
      <c r="H34" s="271">
        <f t="shared" si="0"/>
        <v>17</v>
      </c>
      <c r="I34" s="457">
        <f>'GDC2338'!B371</f>
        <v>844.84</v>
      </c>
      <c r="J34" s="271">
        <f t="shared" si="1"/>
        <v>14362.28</v>
      </c>
      <c r="K34" s="272"/>
    </row>
    <row r="35" spans="1:11" ht="20.100000000000001" customHeight="1">
      <c r="A35" s="269">
        <v>33</v>
      </c>
      <c r="B35" s="576"/>
      <c r="C35" s="270" t="s">
        <v>580</v>
      </c>
      <c r="D35" s="270">
        <v>2700</v>
      </c>
      <c r="E35" s="270">
        <v>3800</v>
      </c>
      <c r="F35" s="269">
        <v>2</v>
      </c>
      <c r="G35" s="269">
        <v>9.48</v>
      </c>
      <c r="H35" s="271">
        <f t="shared" si="0"/>
        <v>18.96</v>
      </c>
      <c r="I35" s="457">
        <f>'GDC2338'!B371</f>
        <v>844.84</v>
      </c>
      <c r="J35" s="271">
        <f t="shared" si="1"/>
        <v>16018.166400000002</v>
      </c>
      <c r="K35" s="272"/>
    </row>
    <row r="36" spans="1:11" ht="20.100000000000001" customHeight="1">
      <c r="A36" s="269">
        <v>34</v>
      </c>
      <c r="B36" s="590" t="s">
        <v>854</v>
      </c>
      <c r="C36" s="270" t="s">
        <v>582</v>
      </c>
      <c r="D36" s="270">
        <v>7600</v>
      </c>
      <c r="E36" s="270">
        <v>3800</v>
      </c>
      <c r="F36" s="269">
        <v>4</v>
      </c>
      <c r="G36" s="269">
        <f>7.6*3.8</f>
        <v>28.88</v>
      </c>
      <c r="H36" s="271">
        <f t="shared" si="0"/>
        <v>115.52</v>
      </c>
      <c r="I36" s="457">
        <f>'GSM7838'!B371</f>
        <v>1117.43</v>
      </c>
      <c r="J36" s="271">
        <f t="shared" si="1"/>
        <v>129085.51360000001</v>
      </c>
      <c r="K36" s="272"/>
    </row>
    <row r="37" spans="1:11" ht="20.100000000000001" customHeight="1">
      <c r="A37" s="269">
        <v>35</v>
      </c>
      <c r="B37" s="591"/>
      <c r="C37" s="270" t="s">
        <v>583</v>
      </c>
      <c r="D37" s="270">
        <v>7750</v>
      </c>
      <c r="E37" s="270">
        <v>3800</v>
      </c>
      <c r="F37" s="269">
        <v>2</v>
      </c>
      <c r="G37" s="269">
        <f>7.75*3.8</f>
        <v>29.45</v>
      </c>
      <c r="H37" s="271">
        <f t="shared" si="0"/>
        <v>58.9</v>
      </c>
      <c r="I37" s="457">
        <f>I36</f>
        <v>1117.43</v>
      </c>
      <c r="J37" s="271">
        <f t="shared" si="1"/>
        <v>65816.627000000008</v>
      </c>
      <c r="K37" s="272"/>
    </row>
    <row r="38" spans="1:11" ht="20.100000000000001" customHeight="1">
      <c r="A38" s="269">
        <v>36</v>
      </c>
      <c r="B38" s="275" t="s">
        <v>485</v>
      </c>
      <c r="C38" s="270"/>
      <c r="D38" s="270"/>
      <c r="E38" s="270"/>
      <c r="F38" s="269"/>
      <c r="G38" s="269">
        <v>0.48</v>
      </c>
      <c r="H38" s="271">
        <f>SUM(H16:H24)*20%</f>
        <v>162.69000000000003</v>
      </c>
      <c r="I38" s="457"/>
      <c r="J38" s="457"/>
      <c r="K38" s="272"/>
    </row>
    <row r="39" spans="1:11" ht="20.100000000000001" customHeight="1">
      <c r="A39" s="269">
        <v>37</v>
      </c>
      <c r="B39" s="270" t="s">
        <v>486</v>
      </c>
      <c r="C39" s="270"/>
      <c r="D39" s="270"/>
      <c r="E39" s="270"/>
      <c r="F39" s="270">
        <v>1</v>
      </c>
      <c r="G39" s="270">
        <f>(67.2+58.8)*2*2/3</f>
        <v>168</v>
      </c>
      <c r="H39" s="279">
        <f>F39*G39</f>
        <v>168</v>
      </c>
      <c r="I39" s="458"/>
      <c r="J39" s="458"/>
      <c r="K39" s="272"/>
    </row>
    <row r="40" spans="1:11" ht="20.100000000000001" customHeight="1">
      <c r="A40" s="269">
        <v>38</v>
      </c>
      <c r="B40" s="577" t="s">
        <v>4</v>
      </c>
      <c r="C40" s="577"/>
      <c r="D40" s="577"/>
      <c r="E40" s="269"/>
      <c r="F40" s="269">
        <f>SUM(F3:F37)</f>
        <v>286</v>
      </c>
      <c r="G40" s="269"/>
      <c r="H40" s="271">
        <f>SUM(H3:H37)</f>
        <v>1439.92</v>
      </c>
      <c r="I40" s="457"/>
      <c r="J40" s="457">
        <f>SUM(J3:J39)</f>
        <v>2111282.5159999998</v>
      </c>
      <c r="K40" s="272"/>
    </row>
  </sheetData>
  <mergeCells count="9">
    <mergeCell ref="B40:D40"/>
    <mergeCell ref="B25:B29"/>
    <mergeCell ref="B30:B31"/>
    <mergeCell ref="B32:B35"/>
    <mergeCell ref="A1:K1"/>
    <mergeCell ref="B3:B8"/>
    <mergeCell ref="B9:B15"/>
    <mergeCell ref="B16:B24"/>
    <mergeCell ref="B36:B37"/>
  </mergeCells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42491-E78B-40C0-8C53-BC2E110E3B03}">
  <sheetPr>
    <tabColor rgb="FF92D050"/>
  </sheetPr>
  <dimension ref="A1:N60"/>
  <sheetViews>
    <sheetView topLeftCell="A4" zoomScaleSheetLayoutView="100" workbookViewId="0">
      <selection activeCell="M18" sqref="M18"/>
    </sheetView>
  </sheetViews>
  <sheetFormatPr defaultColWidth="9" defaultRowHeight="14.25"/>
  <cols>
    <col min="1" max="1" width="7" style="470" customWidth="1"/>
    <col min="2" max="2" width="15.25" style="470" customWidth="1"/>
    <col min="3" max="3" width="27.25" style="470" customWidth="1"/>
    <col min="4" max="4" width="31.125" style="470" customWidth="1"/>
    <col min="5" max="5" width="20" style="470" customWidth="1"/>
    <col min="6" max="6" width="7" style="470" customWidth="1"/>
    <col min="7" max="7" width="15.375" style="470" customWidth="1"/>
    <col min="8" max="8" width="19.75" style="470" customWidth="1"/>
    <col min="9" max="9" width="14.5" style="470" customWidth="1"/>
    <col min="10" max="11" width="9" style="470"/>
    <col min="12" max="12" width="10.375" style="470" customWidth="1"/>
    <col min="13" max="259" width="9" style="470"/>
    <col min="260" max="260" width="28.5" style="470" customWidth="1"/>
    <col min="261" max="261" width="16.25" style="470" customWidth="1"/>
    <col min="262" max="265" width="9" style="470"/>
    <col min="266" max="266" width="30.125" style="470" customWidth="1"/>
    <col min="267" max="515" width="9" style="470"/>
    <col min="516" max="516" width="28.5" style="470" customWidth="1"/>
    <col min="517" max="517" width="16.25" style="470" customWidth="1"/>
    <col min="518" max="521" width="9" style="470"/>
    <col min="522" max="522" width="30.125" style="470" customWidth="1"/>
    <col min="523" max="771" width="9" style="470"/>
    <col min="772" max="772" width="28.5" style="470" customWidth="1"/>
    <col min="773" max="773" width="16.25" style="470" customWidth="1"/>
    <col min="774" max="777" width="9" style="470"/>
    <col min="778" max="778" width="30.125" style="470" customWidth="1"/>
    <col min="779" max="1027" width="9" style="470"/>
    <col min="1028" max="1028" width="28.5" style="470" customWidth="1"/>
    <col min="1029" max="1029" width="16.25" style="470" customWidth="1"/>
    <col min="1030" max="1033" width="9" style="470"/>
    <col min="1034" max="1034" width="30.125" style="470" customWidth="1"/>
    <col min="1035" max="1283" width="9" style="470"/>
    <col min="1284" max="1284" width="28.5" style="470" customWidth="1"/>
    <col min="1285" max="1285" width="16.25" style="470" customWidth="1"/>
    <col min="1286" max="1289" width="9" style="470"/>
    <col min="1290" max="1290" width="30.125" style="470" customWidth="1"/>
    <col min="1291" max="1539" width="9" style="470"/>
    <col min="1540" max="1540" width="28.5" style="470" customWidth="1"/>
    <col min="1541" max="1541" width="16.25" style="470" customWidth="1"/>
    <col min="1542" max="1545" width="9" style="470"/>
    <col min="1546" max="1546" width="30.125" style="470" customWidth="1"/>
    <col min="1547" max="1795" width="9" style="470"/>
    <col min="1796" max="1796" width="28.5" style="470" customWidth="1"/>
    <col min="1797" max="1797" width="16.25" style="470" customWidth="1"/>
    <col min="1798" max="1801" width="9" style="470"/>
    <col min="1802" max="1802" width="30.125" style="470" customWidth="1"/>
    <col min="1803" max="2051" width="9" style="470"/>
    <col min="2052" max="2052" width="28.5" style="470" customWidth="1"/>
    <col min="2053" max="2053" width="16.25" style="470" customWidth="1"/>
    <col min="2054" max="2057" width="9" style="470"/>
    <col min="2058" max="2058" width="30.125" style="470" customWidth="1"/>
    <col min="2059" max="2307" width="9" style="470"/>
    <col min="2308" max="2308" width="28.5" style="470" customWidth="1"/>
    <col min="2309" max="2309" width="16.25" style="470" customWidth="1"/>
    <col min="2310" max="2313" width="9" style="470"/>
    <col min="2314" max="2314" width="30.125" style="470" customWidth="1"/>
    <col min="2315" max="2563" width="9" style="470"/>
    <col min="2564" max="2564" width="28.5" style="470" customWidth="1"/>
    <col min="2565" max="2565" width="16.25" style="470" customWidth="1"/>
    <col min="2566" max="2569" width="9" style="470"/>
    <col min="2570" max="2570" width="30.125" style="470" customWidth="1"/>
    <col min="2571" max="2819" width="9" style="470"/>
    <col min="2820" max="2820" width="28.5" style="470" customWidth="1"/>
    <col min="2821" max="2821" width="16.25" style="470" customWidth="1"/>
    <col min="2822" max="2825" width="9" style="470"/>
    <col min="2826" max="2826" width="30.125" style="470" customWidth="1"/>
    <col min="2827" max="3075" width="9" style="470"/>
    <col min="3076" max="3076" width="28.5" style="470" customWidth="1"/>
    <col min="3077" max="3077" width="16.25" style="470" customWidth="1"/>
    <col min="3078" max="3081" width="9" style="470"/>
    <col min="3082" max="3082" width="30.125" style="470" customWidth="1"/>
    <col min="3083" max="3331" width="9" style="470"/>
    <col min="3332" max="3332" width="28.5" style="470" customWidth="1"/>
    <col min="3333" max="3333" width="16.25" style="470" customWidth="1"/>
    <col min="3334" max="3337" width="9" style="470"/>
    <col min="3338" max="3338" width="30.125" style="470" customWidth="1"/>
    <col min="3339" max="3587" width="9" style="470"/>
    <col min="3588" max="3588" width="28.5" style="470" customWidth="1"/>
    <col min="3589" max="3589" width="16.25" style="470" customWidth="1"/>
    <col min="3590" max="3593" width="9" style="470"/>
    <col min="3594" max="3594" width="30.125" style="470" customWidth="1"/>
    <col min="3595" max="3843" width="9" style="470"/>
    <col min="3844" max="3844" width="28.5" style="470" customWidth="1"/>
    <col min="3845" max="3845" width="16.25" style="470" customWidth="1"/>
    <col min="3846" max="3849" width="9" style="470"/>
    <col min="3850" max="3850" width="30.125" style="470" customWidth="1"/>
    <col min="3851" max="4099" width="9" style="470"/>
    <col min="4100" max="4100" width="28.5" style="470" customWidth="1"/>
    <col min="4101" max="4101" width="16.25" style="470" customWidth="1"/>
    <col min="4102" max="4105" width="9" style="470"/>
    <col min="4106" max="4106" width="30.125" style="470" customWidth="1"/>
    <col min="4107" max="4355" width="9" style="470"/>
    <col min="4356" max="4356" width="28.5" style="470" customWidth="1"/>
    <col min="4357" max="4357" width="16.25" style="470" customWidth="1"/>
    <col min="4358" max="4361" width="9" style="470"/>
    <col min="4362" max="4362" width="30.125" style="470" customWidth="1"/>
    <col min="4363" max="4611" width="9" style="470"/>
    <col min="4612" max="4612" width="28.5" style="470" customWidth="1"/>
    <col min="4613" max="4613" width="16.25" style="470" customWidth="1"/>
    <col min="4614" max="4617" width="9" style="470"/>
    <col min="4618" max="4618" width="30.125" style="470" customWidth="1"/>
    <col min="4619" max="4867" width="9" style="470"/>
    <col min="4868" max="4868" width="28.5" style="470" customWidth="1"/>
    <col min="4869" max="4869" width="16.25" style="470" customWidth="1"/>
    <col min="4870" max="4873" width="9" style="470"/>
    <col min="4874" max="4874" width="30.125" style="470" customWidth="1"/>
    <col min="4875" max="5123" width="9" style="470"/>
    <col min="5124" max="5124" width="28.5" style="470" customWidth="1"/>
    <col min="5125" max="5125" width="16.25" style="470" customWidth="1"/>
    <col min="5126" max="5129" width="9" style="470"/>
    <col min="5130" max="5130" width="30.125" style="470" customWidth="1"/>
    <col min="5131" max="5379" width="9" style="470"/>
    <col min="5380" max="5380" width="28.5" style="470" customWidth="1"/>
    <col min="5381" max="5381" width="16.25" style="470" customWidth="1"/>
    <col min="5382" max="5385" width="9" style="470"/>
    <col min="5386" max="5386" width="30.125" style="470" customWidth="1"/>
    <col min="5387" max="5635" width="9" style="470"/>
    <col min="5636" max="5636" width="28.5" style="470" customWidth="1"/>
    <col min="5637" max="5637" width="16.25" style="470" customWidth="1"/>
    <col min="5638" max="5641" width="9" style="470"/>
    <col min="5642" max="5642" width="30.125" style="470" customWidth="1"/>
    <col min="5643" max="5891" width="9" style="470"/>
    <col min="5892" max="5892" width="28.5" style="470" customWidth="1"/>
    <col min="5893" max="5893" width="16.25" style="470" customWidth="1"/>
    <col min="5894" max="5897" width="9" style="470"/>
    <col min="5898" max="5898" width="30.125" style="470" customWidth="1"/>
    <col min="5899" max="6147" width="9" style="470"/>
    <col min="6148" max="6148" width="28.5" style="470" customWidth="1"/>
    <col min="6149" max="6149" width="16.25" style="470" customWidth="1"/>
    <col min="6150" max="6153" width="9" style="470"/>
    <col min="6154" max="6154" width="30.125" style="470" customWidth="1"/>
    <col min="6155" max="6403" width="9" style="470"/>
    <col min="6404" max="6404" width="28.5" style="470" customWidth="1"/>
    <col min="6405" max="6405" width="16.25" style="470" customWidth="1"/>
    <col min="6406" max="6409" width="9" style="470"/>
    <col min="6410" max="6410" width="30.125" style="470" customWidth="1"/>
    <col min="6411" max="6659" width="9" style="470"/>
    <col min="6660" max="6660" width="28.5" style="470" customWidth="1"/>
    <col min="6661" max="6661" width="16.25" style="470" customWidth="1"/>
    <col min="6662" max="6665" width="9" style="470"/>
    <col min="6666" max="6666" width="30.125" style="470" customWidth="1"/>
    <col min="6667" max="6915" width="9" style="470"/>
    <col min="6916" max="6916" width="28.5" style="470" customWidth="1"/>
    <col min="6917" max="6917" width="16.25" style="470" customWidth="1"/>
    <col min="6918" max="6921" width="9" style="470"/>
    <col min="6922" max="6922" width="30.125" style="470" customWidth="1"/>
    <col min="6923" max="7171" width="9" style="470"/>
    <col min="7172" max="7172" width="28.5" style="470" customWidth="1"/>
    <col min="7173" max="7173" width="16.25" style="470" customWidth="1"/>
    <col min="7174" max="7177" width="9" style="470"/>
    <col min="7178" max="7178" width="30.125" style="470" customWidth="1"/>
    <col min="7179" max="7427" width="9" style="470"/>
    <col min="7428" max="7428" width="28.5" style="470" customWidth="1"/>
    <col min="7429" max="7429" width="16.25" style="470" customWidth="1"/>
    <col min="7430" max="7433" width="9" style="470"/>
    <col min="7434" max="7434" width="30.125" style="470" customWidth="1"/>
    <col min="7435" max="7683" width="9" style="470"/>
    <col min="7684" max="7684" width="28.5" style="470" customWidth="1"/>
    <col min="7685" max="7685" width="16.25" style="470" customWidth="1"/>
    <col min="7686" max="7689" width="9" style="470"/>
    <col min="7690" max="7690" width="30.125" style="470" customWidth="1"/>
    <col min="7691" max="7939" width="9" style="470"/>
    <col min="7940" max="7940" width="28.5" style="470" customWidth="1"/>
    <col min="7941" max="7941" width="16.25" style="470" customWidth="1"/>
    <col min="7942" max="7945" width="9" style="470"/>
    <col min="7946" max="7946" width="30.125" style="470" customWidth="1"/>
    <col min="7947" max="8195" width="9" style="470"/>
    <col min="8196" max="8196" width="28.5" style="470" customWidth="1"/>
    <col min="8197" max="8197" width="16.25" style="470" customWidth="1"/>
    <col min="8198" max="8201" width="9" style="470"/>
    <col min="8202" max="8202" width="30.125" style="470" customWidth="1"/>
    <col min="8203" max="8451" width="9" style="470"/>
    <col min="8452" max="8452" width="28.5" style="470" customWidth="1"/>
    <col min="8453" max="8453" width="16.25" style="470" customWidth="1"/>
    <col min="8454" max="8457" width="9" style="470"/>
    <col min="8458" max="8458" width="30.125" style="470" customWidth="1"/>
    <col min="8459" max="8707" width="9" style="470"/>
    <col min="8708" max="8708" width="28.5" style="470" customWidth="1"/>
    <col min="8709" max="8709" width="16.25" style="470" customWidth="1"/>
    <col min="8710" max="8713" width="9" style="470"/>
    <col min="8714" max="8714" width="30.125" style="470" customWidth="1"/>
    <col min="8715" max="8963" width="9" style="470"/>
    <col min="8964" max="8964" width="28.5" style="470" customWidth="1"/>
    <col min="8965" max="8965" width="16.25" style="470" customWidth="1"/>
    <col min="8966" max="8969" width="9" style="470"/>
    <col min="8970" max="8970" width="30.125" style="470" customWidth="1"/>
    <col min="8971" max="9219" width="9" style="470"/>
    <col min="9220" max="9220" width="28.5" style="470" customWidth="1"/>
    <col min="9221" max="9221" width="16.25" style="470" customWidth="1"/>
    <col min="9222" max="9225" width="9" style="470"/>
    <col min="9226" max="9226" width="30.125" style="470" customWidth="1"/>
    <col min="9227" max="9475" width="9" style="470"/>
    <col min="9476" max="9476" width="28.5" style="470" customWidth="1"/>
    <col min="9477" max="9477" width="16.25" style="470" customWidth="1"/>
    <col min="9478" max="9481" width="9" style="470"/>
    <col min="9482" max="9482" width="30.125" style="470" customWidth="1"/>
    <col min="9483" max="9731" width="9" style="470"/>
    <col min="9732" max="9732" width="28.5" style="470" customWidth="1"/>
    <col min="9733" max="9733" width="16.25" style="470" customWidth="1"/>
    <col min="9734" max="9737" width="9" style="470"/>
    <col min="9738" max="9738" width="30.125" style="470" customWidth="1"/>
    <col min="9739" max="9987" width="9" style="470"/>
    <col min="9988" max="9988" width="28.5" style="470" customWidth="1"/>
    <col min="9989" max="9989" width="16.25" style="470" customWidth="1"/>
    <col min="9990" max="9993" width="9" style="470"/>
    <col min="9994" max="9994" width="30.125" style="470" customWidth="1"/>
    <col min="9995" max="10243" width="9" style="470"/>
    <col min="10244" max="10244" width="28.5" style="470" customWidth="1"/>
    <col min="10245" max="10245" width="16.25" style="470" customWidth="1"/>
    <col min="10246" max="10249" width="9" style="470"/>
    <col min="10250" max="10250" width="30.125" style="470" customWidth="1"/>
    <col min="10251" max="10499" width="9" style="470"/>
    <col min="10500" max="10500" width="28.5" style="470" customWidth="1"/>
    <col min="10501" max="10501" width="16.25" style="470" customWidth="1"/>
    <col min="10502" max="10505" width="9" style="470"/>
    <col min="10506" max="10506" width="30.125" style="470" customWidth="1"/>
    <col min="10507" max="10755" width="9" style="470"/>
    <col min="10756" max="10756" width="28.5" style="470" customWidth="1"/>
    <col min="10757" max="10757" width="16.25" style="470" customWidth="1"/>
    <col min="10758" max="10761" width="9" style="470"/>
    <col min="10762" max="10762" width="30.125" style="470" customWidth="1"/>
    <col min="10763" max="11011" width="9" style="470"/>
    <col min="11012" max="11012" width="28.5" style="470" customWidth="1"/>
    <col min="11013" max="11013" width="16.25" style="470" customWidth="1"/>
    <col min="11014" max="11017" width="9" style="470"/>
    <col min="11018" max="11018" width="30.125" style="470" customWidth="1"/>
    <col min="11019" max="11267" width="9" style="470"/>
    <col min="11268" max="11268" width="28.5" style="470" customWidth="1"/>
    <col min="11269" max="11269" width="16.25" style="470" customWidth="1"/>
    <col min="11270" max="11273" width="9" style="470"/>
    <col min="11274" max="11274" width="30.125" style="470" customWidth="1"/>
    <col min="11275" max="11523" width="9" style="470"/>
    <col min="11524" max="11524" width="28.5" style="470" customWidth="1"/>
    <col min="11525" max="11525" width="16.25" style="470" customWidth="1"/>
    <col min="11526" max="11529" width="9" style="470"/>
    <col min="11530" max="11530" width="30.125" style="470" customWidth="1"/>
    <col min="11531" max="11779" width="9" style="470"/>
    <col min="11780" max="11780" width="28.5" style="470" customWidth="1"/>
    <col min="11781" max="11781" width="16.25" style="470" customWidth="1"/>
    <col min="11782" max="11785" width="9" style="470"/>
    <col min="11786" max="11786" width="30.125" style="470" customWidth="1"/>
    <col min="11787" max="12035" width="9" style="470"/>
    <col min="12036" max="12036" width="28.5" style="470" customWidth="1"/>
    <col min="12037" max="12037" width="16.25" style="470" customWidth="1"/>
    <col min="12038" max="12041" width="9" style="470"/>
    <col min="12042" max="12042" width="30.125" style="470" customWidth="1"/>
    <col min="12043" max="12291" width="9" style="470"/>
    <col min="12292" max="12292" width="28.5" style="470" customWidth="1"/>
    <col min="12293" max="12293" width="16.25" style="470" customWidth="1"/>
    <col min="12294" max="12297" width="9" style="470"/>
    <col min="12298" max="12298" width="30.125" style="470" customWidth="1"/>
    <col min="12299" max="12547" width="9" style="470"/>
    <col min="12548" max="12548" width="28.5" style="470" customWidth="1"/>
    <col min="12549" max="12549" width="16.25" style="470" customWidth="1"/>
    <col min="12550" max="12553" width="9" style="470"/>
    <col min="12554" max="12554" width="30.125" style="470" customWidth="1"/>
    <col min="12555" max="12803" width="9" style="470"/>
    <col min="12804" max="12804" width="28.5" style="470" customWidth="1"/>
    <col min="12805" max="12805" width="16.25" style="470" customWidth="1"/>
    <col min="12806" max="12809" width="9" style="470"/>
    <col min="12810" max="12810" width="30.125" style="470" customWidth="1"/>
    <col min="12811" max="13059" width="9" style="470"/>
    <col min="13060" max="13060" width="28.5" style="470" customWidth="1"/>
    <col min="13061" max="13061" width="16.25" style="470" customWidth="1"/>
    <col min="13062" max="13065" width="9" style="470"/>
    <col min="13066" max="13066" width="30.125" style="470" customWidth="1"/>
    <col min="13067" max="13315" width="9" style="470"/>
    <col min="13316" max="13316" width="28.5" style="470" customWidth="1"/>
    <col min="13317" max="13317" width="16.25" style="470" customWidth="1"/>
    <col min="13318" max="13321" width="9" style="470"/>
    <col min="13322" max="13322" width="30.125" style="470" customWidth="1"/>
    <col min="13323" max="13571" width="9" style="470"/>
    <col min="13572" max="13572" width="28.5" style="470" customWidth="1"/>
    <col min="13573" max="13573" width="16.25" style="470" customWidth="1"/>
    <col min="13574" max="13577" width="9" style="470"/>
    <col min="13578" max="13578" width="30.125" style="470" customWidth="1"/>
    <col min="13579" max="13827" width="9" style="470"/>
    <col min="13828" max="13828" width="28.5" style="470" customWidth="1"/>
    <col min="13829" max="13829" width="16.25" style="470" customWidth="1"/>
    <col min="13830" max="13833" width="9" style="470"/>
    <col min="13834" max="13834" width="30.125" style="470" customWidth="1"/>
    <col min="13835" max="14083" width="9" style="470"/>
    <col min="14084" max="14084" width="28.5" style="470" customWidth="1"/>
    <col min="14085" max="14085" width="16.25" style="470" customWidth="1"/>
    <col min="14086" max="14089" width="9" style="470"/>
    <col min="14090" max="14090" width="30.125" style="470" customWidth="1"/>
    <col min="14091" max="14339" width="9" style="470"/>
    <col min="14340" max="14340" width="28.5" style="470" customWidth="1"/>
    <col min="14341" max="14341" width="16.25" style="470" customWidth="1"/>
    <col min="14342" max="14345" width="9" style="470"/>
    <col min="14346" max="14346" width="30.125" style="470" customWidth="1"/>
    <col min="14347" max="14595" width="9" style="470"/>
    <col min="14596" max="14596" width="28.5" style="470" customWidth="1"/>
    <col min="14597" max="14597" width="16.25" style="470" customWidth="1"/>
    <col min="14598" max="14601" width="9" style="470"/>
    <col min="14602" max="14602" width="30.125" style="470" customWidth="1"/>
    <col min="14603" max="14851" width="9" style="470"/>
    <col min="14852" max="14852" width="28.5" style="470" customWidth="1"/>
    <col min="14853" max="14853" width="16.25" style="470" customWidth="1"/>
    <col min="14854" max="14857" width="9" style="470"/>
    <col min="14858" max="14858" width="30.125" style="470" customWidth="1"/>
    <col min="14859" max="15107" width="9" style="470"/>
    <col min="15108" max="15108" width="28.5" style="470" customWidth="1"/>
    <col min="15109" max="15109" width="16.25" style="470" customWidth="1"/>
    <col min="15110" max="15113" width="9" style="470"/>
    <col min="15114" max="15114" width="30.125" style="470" customWidth="1"/>
    <col min="15115" max="15363" width="9" style="470"/>
    <col min="15364" max="15364" width="28.5" style="470" customWidth="1"/>
    <col min="15365" max="15365" width="16.25" style="470" customWidth="1"/>
    <col min="15366" max="15369" width="9" style="470"/>
    <col min="15370" max="15370" width="30.125" style="470" customWidth="1"/>
    <col min="15371" max="15619" width="9" style="470"/>
    <col min="15620" max="15620" width="28.5" style="470" customWidth="1"/>
    <col min="15621" max="15621" width="16.25" style="470" customWidth="1"/>
    <col min="15622" max="15625" width="9" style="470"/>
    <col min="15626" max="15626" width="30.125" style="470" customWidth="1"/>
    <col min="15627" max="15875" width="9" style="470"/>
    <col min="15876" max="15876" width="28.5" style="470" customWidth="1"/>
    <col min="15877" max="15877" width="16.25" style="470" customWidth="1"/>
    <col min="15878" max="15881" width="9" style="470"/>
    <col min="15882" max="15882" width="30.125" style="470" customWidth="1"/>
    <col min="15883" max="16131" width="9" style="470"/>
    <col min="16132" max="16132" width="28.5" style="470" customWidth="1"/>
    <col min="16133" max="16133" width="16.25" style="470" customWidth="1"/>
    <col min="16134" max="16137" width="9" style="470"/>
    <col min="16138" max="16138" width="30.125" style="470" customWidth="1"/>
    <col min="16139" max="16384" width="9" style="470"/>
  </cols>
  <sheetData>
    <row r="1" spans="1:10" ht="20.25">
      <c r="A1" s="592" t="s">
        <v>863</v>
      </c>
      <c r="B1" s="592"/>
      <c r="C1" s="592"/>
      <c r="D1" s="592"/>
      <c r="E1" s="592"/>
      <c r="F1" s="592"/>
      <c r="G1" s="592"/>
      <c r="H1" s="592"/>
      <c r="I1" s="592"/>
      <c r="J1" s="592"/>
    </row>
    <row r="2" spans="1:10">
      <c r="A2" s="593" t="s">
        <v>864</v>
      </c>
      <c r="B2" s="593"/>
      <c r="C2" s="593"/>
      <c r="D2" s="593" t="s">
        <v>865</v>
      </c>
      <c r="E2" s="593"/>
      <c r="F2" s="593"/>
      <c r="G2" s="593"/>
      <c r="H2" s="593"/>
      <c r="I2" s="471" t="s">
        <v>866</v>
      </c>
      <c r="J2" s="472" t="s">
        <v>867</v>
      </c>
    </row>
    <row r="3" spans="1:10" ht="24">
      <c r="A3" s="473" t="s">
        <v>0</v>
      </c>
      <c r="B3" s="594" t="s">
        <v>279</v>
      </c>
      <c r="C3" s="595"/>
      <c r="D3" s="596"/>
      <c r="E3" s="474" t="s">
        <v>868</v>
      </c>
      <c r="F3" s="475" t="s">
        <v>269</v>
      </c>
      <c r="G3" s="474" t="s">
        <v>869</v>
      </c>
      <c r="H3" s="476" t="s">
        <v>642</v>
      </c>
      <c r="I3" s="477" t="s">
        <v>870</v>
      </c>
      <c r="J3" s="478" t="s">
        <v>1</v>
      </c>
    </row>
    <row r="4" spans="1:10">
      <c r="A4" s="597" t="s">
        <v>305</v>
      </c>
      <c r="B4" s="599" t="s">
        <v>315</v>
      </c>
      <c r="C4" s="597" t="s">
        <v>871</v>
      </c>
      <c r="D4" s="479" t="s">
        <v>865</v>
      </c>
      <c r="E4" s="480" t="str">
        <f>VLOOKUP(D4,[30]材料表!$B$4:$F$75,2,0)</f>
        <v>3.0mm，双面氟碳喷涂</v>
      </c>
      <c r="F4" s="480" t="str">
        <f>VLOOKUP(D4,[30]材料表!$B$4:$F$75,3,0)</f>
        <v>m2</v>
      </c>
      <c r="G4" s="477">
        <v>1.03</v>
      </c>
      <c r="H4" s="481">
        <v>320</v>
      </c>
      <c r="I4" s="473">
        <f t="shared" ref="I4:I13" si="0">G4*H4</f>
        <v>329.6</v>
      </c>
      <c r="J4" s="480"/>
    </row>
    <row r="5" spans="1:10">
      <c r="A5" s="597"/>
      <c r="B5" s="599"/>
      <c r="C5" s="597"/>
      <c r="D5" s="482" t="s">
        <v>872</v>
      </c>
      <c r="E5" s="480" t="str">
        <f>VLOOKUP(D5,[30]材料表!$B$4:$F$75,2,0)</f>
        <v>40*40*3</v>
      </c>
      <c r="F5" s="480" t="str">
        <f>VLOOKUP(D5,[30]材料表!$B$4:$F$75,3,0)</f>
        <v>kg</v>
      </c>
      <c r="G5" s="477">
        <v>1.36</v>
      </c>
      <c r="H5" s="481">
        <v>10</v>
      </c>
      <c r="I5" s="473">
        <f t="shared" si="0"/>
        <v>13.600000000000001</v>
      </c>
      <c r="J5" s="480"/>
    </row>
    <row r="6" spans="1:10">
      <c r="A6" s="597"/>
      <c r="B6" s="599"/>
      <c r="C6" s="597"/>
      <c r="D6" s="482" t="s">
        <v>873</v>
      </c>
      <c r="E6" s="480" t="str">
        <f>VLOOKUP(D6,[30]材料表!$B$4:$F$75,2,0)</f>
        <v>L40*4</v>
      </c>
      <c r="F6" s="480" t="str">
        <f>VLOOKUP(D6,[30]材料表!$B$4:$F$75,3,0)</f>
        <v>kg</v>
      </c>
      <c r="G6" s="477">
        <v>6.84</v>
      </c>
      <c r="H6" s="481">
        <v>10</v>
      </c>
      <c r="I6" s="473">
        <f t="shared" si="0"/>
        <v>68.400000000000006</v>
      </c>
      <c r="J6" s="480"/>
    </row>
    <row r="7" spans="1:10">
      <c r="A7" s="597"/>
      <c r="B7" s="599"/>
      <c r="C7" s="597"/>
      <c r="D7" s="482" t="s">
        <v>874</v>
      </c>
      <c r="E7" s="480" t="str">
        <f>VLOOKUP(D7,[30]材料表!$B$4:$F$75,2,0)</f>
        <v>L50*5</v>
      </c>
      <c r="F7" s="480" t="str">
        <f>VLOOKUP(D7,[30]材料表!$B$4:$F$75,3,0)</f>
        <v>kg</v>
      </c>
      <c r="G7" s="477">
        <v>4.3899999999999997</v>
      </c>
      <c r="H7" s="481">
        <v>10</v>
      </c>
      <c r="I7" s="473">
        <f t="shared" si="0"/>
        <v>43.9</v>
      </c>
      <c r="J7" s="480"/>
    </row>
    <row r="8" spans="1:10">
      <c r="A8" s="597"/>
      <c r="B8" s="599"/>
      <c r="C8" s="597"/>
      <c r="D8" s="482" t="s">
        <v>875</v>
      </c>
      <c r="E8" s="480" t="str">
        <f>VLOOKUP(D8,[30]材料表!$B$4:$F$75,2,0)</f>
        <v>160*80*8</v>
      </c>
      <c r="F8" s="480" t="str">
        <f>VLOOKUP(D8,[30]材料表!$B$4:$F$75,3,0)</f>
        <v>块</v>
      </c>
      <c r="G8" s="483">
        <v>1.86</v>
      </c>
      <c r="H8" s="481">
        <v>35</v>
      </c>
      <c r="I8" s="473">
        <f t="shared" si="0"/>
        <v>65.100000000000009</v>
      </c>
      <c r="J8" s="480"/>
    </row>
    <row r="9" spans="1:10">
      <c r="A9" s="597"/>
      <c r="B9" s="599"/>
      <c r="C9" s="597"/>
      <c r="D9" s="482" t="s">
        <v>876</v>
      </c>
      <c r="E9" s="480" t="str">
        <f>VLOOKUP(D9,[30]材料表!$B$4:$F$75,2,0)</f>
        <v>M12*160</v>
      </c>
      <c r="F9" s="480" t="str">
        <f>VLOOKUP(D9,[30]材料表!$B$4:$F$75,3,0)</f>
        <v>套</v>
      </c>
      <c r="G9" s="483">
        <v>1.95</v>
      </c>
      <c r="H9" s="481">
        <v>10</v>
      </c>
      <c r="I9" s="473">
        <f t="shared" si="0"/>
        <v>19.5</v>
      </c>
      <c r="J9" s="480"/>
    </row>
    <row r="10" spans="1:10">
      <c r="A10" s="597"/>
      <c r="B10" s="599"/>
      <c r="C10" s="597"/>
      <c r="D10" s="482" t="s">
        <v>877</v>
      </c>
      <c r="E10" s="480" t="str">
        <f>VLOOKUP(D10,[30]材料表!$B$4:$F$75,2,0)</f>
        <v>500ml/支</v>
      </c>
      <c r="F10" s="480" t="str">
        <f>VLOOKUP(D10,[30]材料表!$B$4:$F$75,3,0)</f>
        <v>支</v>
      </c>
      <c r="G10" s="483">
        <v>1.21</v>
      </c>
      <c r="H10" s="481">
        <v>16.5</v>
      </c>
      <c r="I10" s="473">
        <f t="shared" si="0"/>
        <v>19.965</v>
      </c>
      <c r="J10" s="480"/>
    </row>
    <row r="11" spans="1:10">
      <c r="A11" s="597"/>
      <c r="B11" s="599"/>
      <c r="C11" s="597"/>
      <c r="D11" s="482" t="s">
        <v>878</v>
      </c>
      <c r="E11" s="480"/>
      <c r="F11" s="480" t="str">
        <f>VLOOKUP(D11,[30]材料表!$B$4:$F$75,3,0)</f>
        <v>颗</v>
      </c>
      <c r="G11" s="483">
        <v>25</v>
      </c>
      <c r="H11" s="481">
        <v>0.01</v>
      </c>
      <c r="I11" s="473">
        <f t="shared" si="0"/>
        <v>0.25</v>
      </c>
      <c r="J11" s="480"/>
    </row>
    <row r="12" spans="1:10">
      <c r="A12" s="597"/>
      <c r="B12" s="599"/>
      <c r="C12" s="597"/>
      <c r="D12" s="482" t="s">
        <v>617</v>
      </c>
      <c r="E12" s="480"/>
      <c r="F12" s="480" t="str">
        <f>VLOOKUP(D12,[30]材料表!$B$4:$F$75,3,0)</f>
        <v>项</v>
      </c>
      <c r="G12" s="483">
        <v>1</v>
      </c>
      <c r="H12" s="481">
        <v>10</v>
      </c>
      <c r="I12" s="473">
        <f t="shared" si="0"/>
        <v>10</v>
      </c>
      <c r="J12" s="480"/>
    </row>
    <row r="13" spans="1:10">
      <c r="A13" s="597"/>
      <c r="B13" s="599"/>
      <c r="C13" s="597"/>
      <c r="D13" s="482" t="s">
        <v>879</v>
      </c>
      <c r="E13" s="480"/>
      <c r="F13" s="480" t="str">
        <f>VLOOKUP(D13,[30]材料表!$B$4:$F$75,3,0)</f>
        <v>项</v>
      </c>
      <c r="G13" s="483">
        <v>1</v>
      </c>
      <c r="H13" s="481">
        <v>5</v>
      </c>
      <c r="I13" s="473">
        <f t="shared" si="0"/>
        <v>5</v>
      </c>
      <c r="J13" s="480"/>
    </row>
    <row r="14" spans="1:10">
      <c r="A14" s="597"/>
      <c r="B14" s="599"/>
      <c r="C14" s="597"/>
      <c r="D14" s="484"/>
      <c r="E14" s="484"/>
      <c r="F14" s="484"/>
      <c r="G14" s="484"/>
      <c r="H14" s="484"/>
      <c r="I14" s="484"/>
      <c r="J14" s="484"/>
    </row>
    <row r="15" spans="1:10">
      <c r="A15" s="597"/>
      <c r="B15" s="599"/>
      <c r="C15" s="597"/>
      <c r="D15" s="482"/>
      <c r="E15" s="485"/>
      <c r="F15" s="485"/>
      <c r="G15" s="483"/>
      <c r="H15" s="486"/>
      <c r="I15" s="487"/>
      <c r="J15" s="488"/>
    </row>
    <row r="16" spans="1:10">
      <c r="A16" s="597"/>
      <c r="B16" s="599"/>
      <c r="C16" s="597"/>
      <c r="D16" s="482"/>
      <c r="E16" s="485"/>
      <c r="F16" s="485"/>
      <c r="G16" s="483"/>
      <c r="H16" s="486"/>
      <c r="I16" s="487"/>
      <c r="J16" s="488"/>
    </row>
    <row r="17" spans="1:10">
      <c r="A17" s="597"/>
      <c r="B17" s="599"/>
      <c r="C17" s="597"/>
      <c r="D17" s="482"/>
      <c r="E17" s="485"/>
      <c r="F17" s="485"/>
      <c r="G17" s="483"/>
      <c r="H17" s="486"/>
      <c r="I17" s="487"/>
      <c r="J17" s="488"/>
    </row>
    <row r="18" spans="1:10">
      <c r="A18" s="597"/>
      <c r="B18" s="599"/>
      <c r="C18" s="597"/>
      <c r="D18" s="482"/>
      <c r="E18" s="485"/>
      <c r="F18" s="485"/>
      <c r="G18" s="483"/>
      <c r="H18" s="486"/>
      <c r="I18" s="487"/>
      <c r="J18" s="488"/>
    </row>
    <row r="19" spans="1:10">
      <c r="A19" s="597"/>
      <c r="B19" s="599"/>
      <c r="C19" s="597"/>
      <c r="D19" s="479"/>
      <c r="E19" s="485"/>
      <c r="F19" s="485"/>
      <c r="G19" s="483"/>
      <c r="H19" s="486"/>
      <c r="I19" s="487"/>
      <c r="J19" s="488"/>
    </row>
    <row r="20" spans="1:10">
      <c r="A20" s="597"/>
      <c r="B20" s="599"/>
      <c r="C20" s="597"/>
      <c r="D20" s="479"/>
      <c r="E20" s="485"/>
      <c r="F20" s="485"/>
      <c r="G20" s="483"/>
      <c r="H20" s="486"/>
      <c r="I20" s="487"/>
      <c r="J20" s="488"/>
    </row>
    <row r="21" spans="1:10">
      <c r="A21" s="597"/>
      <c r="B21" s="599"/>
      <c r="C21" s="597"/>
      <c r="D21" s="482"/>
      <c r="E21" s="480"/>
      <c r="F21" s="480"/>
      <c r="G21" s="483"/>
      <c r="H21" s="481"/>
      <c r="I21" s="473"/>
      <c r="J21" s="489"/>
    </row>
    <row r="22" spans="1:10">
      <c r="A22" s="597"/>
      <c r="B22" s="599"/>
      <c r="C22" s="597"/>
      <c r="D22" s="482"/>
      <c r="E22" s="480"/>
      <c r="F22" s="480"/>
      <c r="G22" s="490"/>
      <c r="H22" s="481"/>
      <c r="I22" s="473"/>
      <c r="J22" s="489"/>
    </row>
    <row r="23" spans="1:10">
      <c r="A23" s="597"/>
      <c r="B23" s="599"/>
      <c r="C23" s="597"/>
      <c r="D23" s="482"/>
      <c r="E23" s="491"/>
      <c r="F23" s="480"/>
      <c r="G23" s="483"/>
      <c r="H23" s="481"/>
      <c r="I23" s="473"/>
      <c r="J23" s="489"/>
    </row>
    <row r="24" spans="1:10">
      <c r="A24" s="597"/>
      <c r="B24" s="599"/>
      <c r="C24" s="597"/>
      <c r="D24" s="492"/>
      <c r="E24" s="491"/>
      <c r="F24" s="480"/>
      <c r="G24" s="483"/>
      <c r="H24" s="481"/>
      <c r="I24" s="473"/>
      <c r="J24" s="493"/>
    </row>
    <row r="25" spans="1:10">
      <c r="A25" s="597"/>
      <c r="B25" s="599"/>
      <c r="C25" s="597"/>
      <c r="D25" s="482"/>
      <c r="E25" s="491"/>
      <c r="F25" s="480"/>
      <c r="G25" s="483"/>
      <c r="H25" s="481"/>
      <c r="I25" s="473"/>
      <c r="J25" s="493"/>
    </row>
    <row r="26" spans="1:10">
      <c r="A26" s="597"/>
      <c r="B26" s="599"/>
      <c r="C26" s="597"/>
      <c r="D26" s="482"/>
      <c r="E26" s="491"/>
      <c r="F26" s="480"/>
      <c r="G26" s="483"/>
      <c r="H26" s="481"/>
      <c r="I26" s="473"/>
      <c r="J26" s="493"/>
    </row>
    <row r="27" spans="1:10">
      <c r="A27" s="597"/>
      <c r="B27" s="599"/>
      <c r="C27" s="598"/>
      <c r="D27" s="494" t="s">
        <v>4</v>
      </c>
      <c r="E27" s="494"/>
      <c r="F27" s="494"/>
      <c r="G27" s="483"/>
      <c r="H27" s="483"/>
      <c r="I27" s="487">
        <f>SUM(I4:I26)</f>
        <v>575.31500000000005</v>
      </c>
      <c r="J27" s="493"/>
    </row>
    <row r="28" spans="1:10">
      <c r="A28" s="597"/>
      <c r="B28" s="599"/>
      <c r="C28" s="601" t="s">
        <v>314</v>
      </c>
      <c r="D28" s="602"/>
      <c r="E28" s="495"/>
      <c r="F28" s="495" t="s">
        <v>880</v>
      </c>
      <c r="G28" s="483"/>
      <c r="H28" s="483"/>
      <c r="I28" s="483">
        <v>95</v>
      </c>
      <c r="J28" s="493"/>
    </row>
    <row r="29" spans="1:10">
      <c r="A29" s="597"/>
      <c r="B29" s="600"/>
      <c r="C29" s="603" t="s">
        <v>290</v>
      </c>
      <c r="D29" s="604"/>
      <c r="E29" s="495"/>
      <c r="F29" s="495" t="s">
        <v>880</v>
      </c>
      <c r="G29" s="483"/>
      <c r="H29" s="483"/>
      <c r="I29" s="483">
        <v>10</v>
      </c>
      <c r="J29" s="493"/>
    </row>
    <row r="30" spans="1:10">
      <c r="A30" s="598"/>
      <c r="B30" s="603" t="s">
        <v>881</v>
      </c>
      <c r="C30" s="605"/>
      <c r="D30" s="604"/>
      <c r="E30" s="496"/>
      <c r="F30" s="495" t="s">
        <v>880</v>
      </c>
      <c r="G30" s="483"/>
      <c r="H30" s="483"/>
      <c r="I30" s="487">
        <f>SUM(I27:I29)</f>
        <v>680.31500000000005</v>
      </c>
      <c r="J30" s="493"/>
    </row>
    <row r="31" spans="1:10">
      <c r="A31" s="497" t="s">
        <v>306</v>
      </c>
      <c r="B31" s="601" t="s">
        <v>639</v>
      </c>
      <c r="C31" s="612"/>
      <c r="D31" s="602"/>
      <c r="E31" s="495" t="s">
        <v>882</v>
      </c>
      <c r="F31" s="495" t="s">
        <v>880</v>
      </c>
      <c r="G31" s="483"/>
      <c r="H31" s="483"/>
      <c r="I31" s="487">
        <f>I30*$K$2</f>
        <v>0</v>
      </c>
      <c r="J31" s="493"/>
    </row>
    <row r="32" spans="1:10">
      <c r="A32" s="497" t="s">
        <v>307</v>
      </c>
      <c r="B32" s="603" t="s">
        <v>638</v>
      </c>
      <c r="C32" s="605"/>
      <c r="D32" s="604"/>
      <c r="E32" s="495" t="s">
        <v>883</v>
      </c>
      <c r="F32" s="497" t="s">
        <v>880</v>
      </c>
      <c r="G32" s="483"/>
      <c r="H32" s="483"/>
      <c r="I32" s="487">
        <f>(I31+I30)*5%</f>
        <v>34.015750000000004</v>
      </c>
      <c r="J32" s="493"/>
    </row>
    <row r="33" spans="1:14">
      <c r="A33" s="497" t="s">
        <v>308</v>
      </c>
      <c r="B33" s="603" t="s">
        <v>637</v>
      </c>
      <c r="C33" s="605"/>
      <c r="D33" s="604"/>
      <c r="E33" s="495" t="s">
        <v>884</v>
      </c>
      <c r="F33" s="497" t="s">
        <v>880</v>
      </c>
      <c r="G33" s="483"/>
      <c r="H33" s="483"/>
      <c r="I33" s="487">
        <f>SUM(I30:I32)*$M$2</f>
        <v>0</v>
      </c>
      <c r="J33" s="493"/>
    </row>
    <row r="34" spans="1:14">
      <c r="A34" s="497" t="s">
        <v>309</v>
      </c>
      <c r="B34" s="613" t="s">
        <v>885</v>
      </c>
      <c r="C34" s="613"/>
      <c r="D34" s="613"/>
      <c r="E34" s="495" t="s">
        <v>886</v>
      </c>
      <c r="F34" s="497" t="s">
        <v>880</v>
      </c>
      <c r="G34" s="483"/>
      <c r="H34" s="483"/>
      <c r="I34" s="487">
        <f>SUM(I30:I33)</f>
        <v>714.33075000000008</v>
      </c>
      <c r="J34" s="493"/>
    </row>
    <row r="36" spans="1:14" ht="15">
      <c r="A36" s="614" t="s">
        <v>902</v>
      </c>
      <c r="B36" s="614"/>
      <c r="C36" s="614"/>
      <c r="D36" s="615"/>
      <c r="E36" s="614"/>
      <c r="F36" s="614"/>
      <c r="G36" s="614"/>
      <c r="H36" s="614"/>
      <c r="I36" s="614"/>
      <c r="J36" s="513"/>
      <c r="K36" s="514"/>
      <c r="L36" s="514"/>
      <c r="M36" s="514"/>
      <c r="N36" s="515"/>
    </row>
    <row r="37" spans="1:14" ht="17.25" thickBot="1">
      <c r="A37" s="516" t="s">
        <v>903</v>
      </c>
      <c r="B37" s="616" t="s">
        <v>904</v>
      </c>
      <c r="C37" s="617"/>
      <c r="D37" s="517"/>
      <c r="E37" s="518"/>
      <c r="F37" s="518"/>
      <c r="G37" s="519" t="s">
        <v>905</v>
      </c>
      <c r="H37" s="520">
        <f>H60</f>
        <v>854.5118859945901</v>
      </c>
      <c r="I37" s="521" t="s">
        <v>906</v>
      </c>
      <c r="J37" s="513"/>
      <c r="K37" s="514"/>
      <c r="L37" s="514"/>
      <c r="M37" s="514"/>
      <c r="N37" s="515"/>
    </row>
    <row r="38" spans="1:14" ht="16.5">
      <c r="A38" s="522" t="s">
        <v>907</v>
      </c>
      <c r="B38" s="523" t="s">
        <v>908</v>
      </c>
      <c r="C38" s="523" t="s">
        <v>909</v>
      </c>
      <c r="D38" s="524" t="s">
        <v>910</v>
      </c>
      <c r="E38" s="525" t="s">
        <v>911</v>
      </c>
      <c r="F38" s="525" t="s">
        <v>912</v>
      </c>
      <c r="G38" s="526" t="s">
        <v>913</v>
      </c>
      <c r="H38" s="527" t="s">
        <v>914</v>
      </c>
      <c r="I38" s="528" t="s">
        <v>915</v>
      </c>
      <c r="J38" s="513"/>
      <c r="K38" s="529" t="s">
        <v>7</v>
      </c>
      <c r="L38" s="529" t="s">
        <v>916</v>
      </c>
      <c r="M38" s="514"/>
      <c r="N38" s="514"/>
    </row>
    <row r="39" spans="1:14" ht="16.5">
      <c r="A39" s="606" t="s">
        <v>917</v>
      </c>
      <c r="B39" s="607" t="s">
        <v>918</v>
      </c>
      <c r="C39" s="530" t="s">
        <v>919</v>
      </c>
      <c r="D39" s="531">
        <v>1</v>
      </c>
      <c r="E39" s="532" t="s">
        <v>271</v>
      </c>
      <c r="F39" s="533">
        <v>1.03</v>
      </c>
      <c r="G39" s="534">
        <v>305</v>
      </c>
      <c r="H39" s="535">
        <f>D39*F39*G39</f>
        <v>314.15000000000003</v>
      </c>
      <c r="I39" s="536" t="s">
        <v>920</v>
      </c>
      <c r="J39" s="513"/>
      <c r="K39" s="537">
        <v>1.63</v>
      </c>
      <c r="L39" s="517">
        <f>1/K39</f>
        <v>0.61349693251533743</v>
      </c>
      <c r="M39" s="514"/>
      <c r="N39" s="514"/>
    </row>
    <row r="40" spans="1:14" ht="28.5">
      <c r="A40" s="606"/>
      <c r="B40" s="607"/>
      <c r="C40" s="530" t="s">
        <v>921</v>
      </c>
      <c r="D40" s="531">
        <f>L41*M41*L39</f>
        <v>12.932515337423313</v>
      </c>
      <c r="E40" s="532" t="s">
        <v>271</v>
      </c>
      <c r="F40" s="533">
        <v>1.03</v>
      </c>
      <c r="G40" s="534">
        <f>8.7*1.03</f>
        <v>8.9610000000000003</v>
      </c>
      <c r="H40" s="535">
        <f>D40*F40*G40</f>
        <v>119.36491803680983</v>
      </c>
      <c r="I40" s="538" t="s">
        <v>922</v>
      </c>
      <c r="J40" s="513"/>
      <c r="K40" s="539" t="s">
        <v>923</v>
      </c>
      <c r="L40" s="540" t="s">
        <v>924</v>
      </c>
      <c r="M40" s="529" t="s">
        <v>758</v>
      </c>
      <c r="N40" s="541" t="s">
        <v>925</v>
      </c>
    </row>
    <row r="41" spans="1:14" ht="16.5">
      <c r="A41" s="542"/>
      <c r="B41" s="543" t="s">
        <v>926</v>
      </c>
      <c r="C41" s="530"/>
      <c r="D41" s="531"/>
      <c r="E41" s="532"/>
      <c r="F41" s="532"/>
      <c r="G41" s="544"/>
      <c r="H41" s="545">
        <f>SUM(H39:H40)</f>
        <v>433.51491803680983</v>
      </c>
      <c r="I41" s="546"/>
      <c r="J41" s="514"/>
      <c r="K41" s="537">
        <v>2</v>
      </c>
      <c r="L41" s="537">
        <v>3.1</v>
      </c>
      <c r="M41" s="537">
        <v>6.8</v>
      </c>
      <c r="N41" s="547">
        <v>16</v>
      </c>
    </row>
    <row r="42" spans="1:14" ht="16.5">
      <c r="A42" s="608" t="s">
        <v>927</v>
      </c>
      <c r="B42" s="610" t="s">
        <v>928</v>
      </c>
      <c r="C42" s="530" t="s">
        <v>929</v>
      </c>
      <c r="D42" s="531">
        <f>N41*L39</f>
        <v>9.8159509202453989</v>
      </c>
      <c r="E42" s="548" t="s">
        <v>273</v>
      </c>
      <c r="F42" s="549">
        <v>1.03</v>
      </c>
      <c r="G42" s="550">
        <v>2.1</v>
      </c>
      <c r="H42" s="535">
        <f>D42*F42*G42</f>
        <v>21.231901840490799</v>
      </c>
      <c r="I42" s="546" t="s">
        <v>930</v>
      </c>
      <c r="J42" s="514"/>
      <c r="K42" s="514"/>
      <c r="L42" s="514"/>
      <c r="M42" s="514"/>
      <c r="N42" s="514"/>
    </row>
    <row r="43" spans="1:14" ht="16.5">
      <c r="A43" s="609"/>
      <c r="B43" s="611"/>
      <c r="C43" s="530" t="s">
        <v>931</v>
      </c>
      <c r="D43" s="531">
        <f>K43*1000000/500*L39</f>
        <v>1.4723926380368098</v>
      </c>
      <c r="E43" s="548" t="s">
        <v>278</v>
      </c>
      <c r="F43" s="549">
        <v>1.03</v>
      </c>
      <c r="G43" s="550">
        <v>20</v>
      </c>
      <c r="H43" s="535">
        <f>D43*F43*G43</f>
        <v>30.331288343558281</v>
      </c>
      <c r="I43" s="551" t="s">
        <v>932</v>
      </c>
      <c r="J43" s="514"/>
      <c r="K43" s="514">
        <v>1.1999999999999999E-3</v>
      </c>
      <c r="L43" s="537" t="s">
        <v>824</v>
      </c>
      <c r="M43" s="514"/>
      <c r="N43" s="514"/>
    </row>
    <row r="44" spans="1:14" ht="16.5">
      <c r="A44" s="609"/>
      <c r="B44" s="611"/>
      <c r="C44" s="530" t="s">
        <v>933</v>
      </c>
      <c r="D44" s="531">
        <f>K41*L39</f>
        <v>1.2269938650306749</v>
      </c>
      <c r="E44" s="548" t="s">
        <v>6</v>
      </c>
      <c r="F44" s="549">
        <v>1.03</v>
      </c>
      <c r="G44" s="544">
        <v>0.86</v>
      </c>
      <c r="H44" s="535">
        <f t="shared" ref="H44:H52" si="1">D44*F44*G44</f>
        <v>1.0868711656441719</v>
      </c>
      <c r="I44" s="546" t="s">
        <v>930</v>
      </c>
      <c r="J44" s="537">
        <v>1.03</v>
      </c>
      <c r="K44" s="537">
        <f>(O36+O37)*4</f>
        <v>0</v>
      </c>
      <c r="L44" s="514"/>
      <c r="M44" s="514"/>
      <c r="N44" s="514"/>
    </row>
    <row r="45" spans="1:14" ht="16.5">
      <c r="A45" s="609"/>
      <c r="B45" s="611"/>
      <c r="C45" s="530" t="s">
        <v>934</v>
      </c>
      <c r="D45" s="531">
        <v>1</v>
      </c>
      <c r="E45" s="548" t="s">
        <v>6</v>
      </c>
      <c r="F45" s="549">
        <v>1</v>
      </c>
      <c r="G45" s="544">
        <v>15</v>
      </c>
      <c r="H45" s="535">
        <f t="shared" si="1"/>
        <v>15</v>
      </c>
      <c r="I45" s="552"/>
      <c r="J45" s="537"/>
      <c r="K45" s="537"/>
      <c r="L45" s="514"/>
      <c r="M45" s="514"/>
      <c r="N45" s="514"/>
    </row>
    <row r="46" spans="1:14" ht="16.5">
      <c r="A46" s="609"/>
      <c r="B46" s="611"/>
      <c r="C46" s="530" t="s">
        <v>935</v>
      </c>
      <c r="D46" s="531">
        <v>1</v>
      </c>
      <c r="E46" s="548" t="s">
        <v>6</v>
      </c>
      <c r="F46" s="549">
        <v>1</v>
      </c>
      <c r="G46" s="544">
        <v>1.5</v>
      </c>
      <c r="H46" s="535">
        <f t="shared" si="1"/>
        <v>1.5</v>
      </c>
      <c r="I46" s="552"/>
      <c r="J46" s="514"/>
      <c r="K46" s="514"/>
      <c r="L46" s="514"/>
      <c r="M46" s="514"/>
      <c r="N46" s="514"/>
    </row>
    <row r="47" spans="1:14" ht="16.5">
      <c r="A47" s="609"/>
      <c r="B47" s="611"/>
      <c r="C47" s="530" t="s">
        <v>936</v>
      </c>
      <c r="D47" s="531">
        <v>1</v>
      </c>
      <c r="E47" s="548" t="s">
        <v>6</v>
      </c>
      <c r="F47" s="549">
        <v>1</v>
      </c>
      <c r="G47" s="544">
        <v>5</v>
      </c>
      <c r="H47" s="535">
        <f t="shared" si="1"/>
        <v>5</v>
      </c>
      <c r="I47" s="552"/>
      <c r="J47" s="514"/>
      <c r="K47" s="514"/>
      <c r="L47" s="514"/>
      <c r="M47" s="514"/>
      <c r="N47" s="514"/>
    </row>
    <row r="48" spans="1:14" ht="16.5">
      <c r="A48" s="609"/>
      <c r="B48" s="611"/>
      <c r="C48" s="530" t="s">
        <v>937</v>
      </c>
      <c r="D48" s="531">
        <v>1</v>
      </c>
      <c r="E48" s="548" t="s">
        <v>6</v>
      </c>
      <c r="F48" s="549">
        <v>1</v>
      </c>
      <c r="G48" s="544">
        <v>8</v>
      </c>
      <c r="H48" s="535">
        <f t="shared" si="1"/>
        <v>8</v>
      </c>
      <c r="I48" s="552"/>
      <c r="J48" s="514"/>
      <c r="K48" s="514"/>
      <c r="L48" s="514"/>
      <c r="M48" s="514"/>
      <c r="N48" s="514"/>
    </row>
    <row r="49" spans="1:14" ht="16.5">
      <c r="A49" s="609"/>
      <c r="B49" s="611"/>
      <c r="C49" s="530" t="s">
        <v>938</v>
      </c>
      <c r="D49" s="531">
        <v>1</v>
      </c>
      <c r="E49" s="548" t="s">
        <v>6</v>
      </c>
      <c r="F49" s="549">
        <v>1</v>
      </c>
      <c r="G49" s="544">
        <v>5</v>
      </c>
      <c r="H49" s="535">
        <f t="shared" si="1"/>
        <v>5</v>
      </c>
      <c r="I49" s="552"/>
      <c r="J49" s="514"/>
      <c r="K49" s="514"/>
      <c r="L49" s="514"/>
      <c r="M49" s="514"/>
      <c r="N49" s="514"/>
    </row>
    <row r="50" spans="1:14" ht="16.5">
      <c r="A50" s="609"/>
      <c r="B50" s="611"/>
      <c r="C50" s="530" t="s">
        <v>939</v>
      </c>
      <c r="D50" s="531">
        <v>1</v>
      </c>
      <c r="E50" s="548" t="s">
        <v>6</v>
      </c>
      <c r="F50" s="549">
        <v>1</v>
      </c>
      <c r="G50" s="550">
        <v>15</v>
      </c>
      <c r="H50" s="535">
        <f t="shared" si="1"/>
        <v>15</v>
      </c>
      <c r="I50" s="552"/>
      <c r="J50" s="514"/>
      <c r="K50" s="514"/>
      <c r="L50" s="514"/>
      <c r="M50" s="514"/>
      <c r="N50" s="514"/>
    </row>
    <row r="51" spans="1:14" ht="16.5">
      <c r="A51" s="609"/>
      <c r="B51" s="611"/>
      <c r="C51" s="530" t="s">
        <v>940</v>
      </c>
      <c r="D51" s="531">
        <v>1</v>
      </c>
      <c r="E51" s="548" t="s">
        <v>6</v>
      </c>
      <c r="F51" s="549">
        <v>1</v>
      </c>
      <c r="G51" s="550">
        <v>130</v>
      </c>
      <c r="H51" s="535">
        <f t="shared" si="1"/>
        <v>130</v>
      </c>
      <c r="I51" s="552"/>
      <c r="J51" s="514"/>
      <c r="K51" s="514"/>
      <c r="L51" s="514"/>
      <c r="M51" s="514"/>
      <c r="N51" s="514"/>
    </row>
    <row r="52" spans="1:14" ht="16.5">
      <c r="A52" s="609"/>
      <c r="B52" s="611"/>
      <c r="C52" s="530" t="s">
        <v>941</v>
      </c>
      <c r="D52" s="531">
        <v>1</v>
      </c>
      <c r="E52" s="548" t="s">
        <v>6</v>
      </c>
      <c r="F52" s="549">
        <v>1</v>
      </c>
      <c r="G52" s="550">
        <v>30</v>
      </c>
      <c r="H52" s="535">
        <f t="shared" si="1"/>
        <v>30</v>
      </c>
      <c r="I52" s="552"/>
      <c r="J52" s="514"/>
      <c r="K52" s="514"/>
      <c r="L52" s="514"/>
      <c r="M52" s="514"/>
      <c r="N52" s="514"/>
    </row>
    <row r="53" spans="1:14" ht="16.5">
      <c r="A53" s="609"/>
      <c r="B53" s="611"/>
      <c r="C53" s="530" t="s">
        <v>942</v>
      </c>
      <c r="D53" s="531">
        <v>1</v>
      </c>
      <c r="E53" s="548" t="s">
        <v>6</v>
      </c>
      <c r="F53" s="549">
        <v>1</v>
      </c>
      <c r="G53" s="544">
        <v>15</v>
      </c>
      <c r="H53" s="535">
        <f>G53*D53*F53</f>
        <v>15</v>
      </c>
      <c r="I53" s="552"/>
      <c r="J53" s="553">
        <f>SUM(H42:H48)+H41</f>
        <v>515.66497938650309</v>
      </c>
      <c r="K53" s="514"/>
      <c r="L53" s="514"/>
      <c r="M53" s="514"/>
      <c r="N53" s="514"/>
    </row>
    <row r="54" spans="1:14" ht="16.5">
      <c r="A54" s="542"/>
      <c r="B54" s="543" t="s">
        <v>943</v>
      </c>
      <c r="C54" s="530"/>
      <c r="D54" s="531"/>
      <c r="E54" s="532"/>
      <c r="F54" s="532"/>
      <c r="G54" s="544"/>
      <c r="H54" s="545">
        <f>SUM(H42:H53)</f>
        <v>277.15006134969326</v>
      </c>
      <c r="I54" s="552"/>
      <c r="J54" s="514"/>
      <c r="K54" s="514"/>
      <c r="L54" s="514"/>
      <c r="M54" s="514"/>
      <c r="N54" s="514"/>
    </row>
    <row r="55" spans="1:14" ht="16.5">
      <c r="A55" s="542" t="s">
        <v>944</v>
      </c>
      <c r="B55" s="533" t="s">
        <v>945</v>
      </c>
      <c r="C55" s="554"/>
      <c r="D55" s="555">
        <v>5</v>
      </c>
      <c r="E55" s="532" t="s">
        <v>946</v>
      </c>
      <c r="F55" s="532"/>
      <c r="G55" s="544">
        <f>H41+H54</f>
        <v>710.66497938650309</v>
      </c>
      <c r="H55" s="544">
        <f>D55*G55/100</f>
        <v>35.533248969325157</v>
      </c>
      <c r="I55" s="556"/>
      <c r="J55" s="514"/>
      <c r="K55" s="514"/>
      <c r="L55" s="514"/>
      <c r="M55" s="514"/>
      <c r="N55" s="514"/>
    </row>
    <row r="56" spans="1:14" ht="16.5">
      <c r="A56" s="542" t="s">
        <v>947</v>
      </c>
      <c r="B56" s="533" t="s">
        <v>948</v>
      </c>
      <c r="C56" s="554"/>
      <c r="D56" s="555">
        <v>3</v>
      </c>
      <c r="E56" s="532" t="s">
        <v>946</v>
      </c>
      <c r="F56" s="532"/>
      <c r="G56" s="544">
        <f>H41+H54+H55</f>
        <v>746.19822835582829</v>
      </c>
      <c r="H56" s="544">
        <f t="shared" ref="H56:H58" si="2">G56*D56/100</f>
        <v>22.385946850674848</v>
      </c>
      <c r="I56" s="556"/>
      <c r="J56" s="514"/>
      <c r="K56" s="514"/>
      <c r="L56" s="514"/>
      <c r="M56" s="514"/>
      <c r="N56" s="514"/>
    </row>
    <row r="57" spans="1:14" ht="16.5">
      <c r="A57" s="542" t="s">
        <v>949</v>
      </c>
      <c r="B57" s="533" t="s">
        <v>950</v>
      </c>
      <c r="C57" s="554"/>
      <c r="D57" s="555">
        <v>9</v>
      </c>
      <c r="E57" s="532" t="s">
        <v>946</v>
      </c>
      <c r="F57" s="532"/>
      <c r="G57" s="544">
        <f>H41+H54+H55+H56</f>
        <v>768.58417520650312</v>
      </c>
      <c r="H57" s="544">
        <f t="shared" si="2"/>
        <v>69.17257576858529</v>
      </c>
      <c r="I57" s="556"/>
      <c r="J57" s="514"/>
      <c r="K57" s="514"/>
      <c r="L57" s="514"/>
      <c r="M57" s="514"/>
      <c r="N57" s="514"/>
    </row>
    <row r="58" spans="1:14" ht="16.5">
      <c r="A58" s="542" t="s">
        <v>951</v>
      </c>
      <c r="B58" s="533" t="s">
        <v>952</v>
      </c>
      <c r="C58" s="554"/>
      <c r="D58" s="555">
        <v>2</v>
      </c>
      <c r="E58" s="532" t="s">
        <v>946</v>
      </c>
      <c r="F58" s="532"/>
      <c r="G58" s="544">
        <f>H41+H54+H55+H56+H57</f>
        <v>837.75675097508838</v>
      </c>
      <c r="H58" s="544">
        <f t="shared" si="2"/>
        <v>16.755135019501768</v>
      </c>
      <c r="I58" s="556"/>
      <c r="J58" s="514"/>
      <c r="K58" s="514"/>
      <c r="L58" s="514"/>
      <c r="M58" s="514"/>
      <c r="N58" s="514"/>
    </row>
    <row r="59" spans="1:14" ht="16.5">
      <c r="A59" s="542"/>
      <c r="B59" s="543" t="s">
        <v>953</v>
      </c>
      <c r="C59" s="530"/>
      <c r="D59" s="531"/>
      <c r="E59" s="532"/>
      <c r="F59" s="532"/>
      <c r="G59" s="544"/>
      <c r="H59" s="545">
        <f>SUM(H55:H58)</f>
        <v>143.84690660808707</v>
      </c>
      <c r="I59" s="552"/>
      <c r="J59" s="514"/>
      <c r="K59" s="514"/>
      <c r="L59" s="514"/>
      <c r="M59" s="514"/>
      <c r="N59" s="514"/>
    </row>
    <row r="60" spans="1:14" ht="17.25" thickBot="1">
      <c r="A60" s="557"/>
      <c r="B60" s="558"/>
      <c r="C60" s="559" t="s">
        <v>954</v>
      </c>
      <c r="D60" s="560"/>
      <c r="E60" s="561"/>
      <c r="F60" s="561"/>
      <c r="G60" s="562"/>
      <c r="H60" s="563">
        <f>+H41+H54+H59</f>
        <v>854.5118859945901</v>
      </c>
      <c r="I60" s="564"/>
      <c r="J60" s="514"/>
      <c r="K60" s="514"/>
      <c r="L60" s="514"/>
      <c r="M60" s="514"/>
      <c r="N60" s="514"/>
    </row>
  </sheetData>
  <mergeCells count="20">
    <mergeCell ref="A39:A40"/>
    <mergeCell ref="B39:B40"/>
    <mergeCell ref="A42:A53"/>
    <mergeCell ref="B42:B53"/>
    <mergeCell ref="B31:D31"/>
    <mergeCell ref="B32:D32"/>
    <mergeCell ref="B33:D33"/>
    <mergeCell ref="B34:D34"/>
    <mergeCell ref="A36:I36"/>
    <mergeCell ref="B37:C37"/>
    <mergeCell ref="A1:J1"/>
    <mergeCell ref="A2:C2"/>
    <mergeCell ref="D2:H2"/>
    <mergeCell ref="B3:D3"/>
    <mergeCell ref="A4:A30"/>
    <mergeCell ref="B4:B29"/>
    <mergeCell ref="C4:C27"/>
    <mergeCell ref="C28:D28"/>
    <mergeCell ref="C29:D29"/>
    <mergeCell ref="B30:D30"/>
  </mergeCells>
  <phoneticPr fontId="5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203CE-D0B4-4748-9BC2-0949D6F903DA}">
  <sheetPr>
    <tabColor rgb="FF92D050"/>
  </sheetPr>
  <dimension ref="A1:P35"/>
  <sheetViews>
    <sheetView zoomScaleSheetLayoutView="100" workbookViewId="0">
      <selection activeCell="B34" sqref="B34:D34"/>
    </sheetView>
  </sheetViews>
  <sheetFormatPr defaultColWidth="9" defaultRowHeight="14.25"/>
  <cols>
    <col min="1" max="3" width="9" style="470"/>
    <col min="4" max="4" width="17.375" style="470" customWidth="1"/>
    <col min="5" max="259" width="9" style="470"/>
    <col min="260" max="260" width="17.375" style="470" customWidth="1"/>
    <col min="261" max="515" width="9" style="470"/>
    <col min="516" max="516" width="17.375" style="470" customWidth="1"/>
    <col min="517" max="771" width="9" style="470"/>
    <col min="772" max="772" width="17.375" style="470" customWidth="1"/>
    <col min="773" max="1027" width="9" style="470"/>
    <col min="1028" max="1028" width="17.375" style="470" customWidth="1"/>
    <col min="1029" max="1283" width="9" style="470"/>
    <col min="1284" max="1284" width="17.375" style="470" customWidth="1"/>
    <col min="1285" max="1539" width="9" style="470"/>
    <col min="1540" max="1540" width="17.375" style="470" customWidth="1"/>
    <col min="1541" max="1795" width="9" style="470"/>
    <col min="1796" max="1796" width="17.375" style="470" customWidth="1"/>
    <col min="1797" max="2051" width="9" style="470"/>
    <col min="2052" max="2052" width="17.375" style="470" customWidth="1"/>
    <col min="2053" max="2307" width="9" style="470"/>
    <col min="2308" max="2308" width="17.375" style="470" customWidth="1"/>
    <col min="2309" max="2563" width="9" style="470"/>
    <col min="2564" max="2564" width="17.375" style="470" customWidth="1"/>
    <col min="2565" max="2819" width="9" style="470"/>
    <col min="2820" max="2820" width="17.375" style="470" customWidth="1"/>
    <col min="2821" max="3075" width="9" style="470"/>
    <col min="3076" max="3076" width="17.375" style="470" customWidth="1"/>
    <col min="3077" max="3331" width="9" style="470"/>
    <col min="3332" max="3332" width="17.375" style="470" customWidth="1"/>
    <col min="3333" max="3587" width="9" style="470"/>
    <col min="3588" max="3588" width="17.375" style="470" customWidth="1"/>
    <col min="3589" max="3843" width="9" style="470"/>
    <col min="3844" max="3844" width="17.375" style="470" customWidth="1"/>
    <col min="3845" max="4099" width="9" style="470"/>
    <col min="4100" max="4100" width="17.375" style="470" customWidth="1"/>
    <col min="4101" max="4355" width="9" style="470"/>
    <col min="4356" max="4356" width="17.375" style="470" customWidth="1"/>
    <col min="4357" max="4611" width="9" style="470"/>
    <col min="4612" max="4612" width="17.375" style="470" customWidth="1"/>
    <col min="4613" max="4867" width="9" style="470"/>
    <col min="4868" max="4868" width="17.375" style="470" customWidth="1"/>
    <col min="4869" max="5123" width="9" style="470"/>
    <col min="5124" max="5124" width="17.375" style="470" customWidth="1"/>
    <col min="5125" max="5379" width="9" style="470"/>
    <col min="5380" max="5380" width="17.375" style="470" customWidth="1"/>
    <col min="5381" max="5635" width="9" style="470"/>
    <col min="5636" max="5636" width="17.375" style="470" customWidth="1"/>
    <col min="5637" max="5891" width="9" style="470"/>
    <col min="5892" max="5892" width="17.375" style="470" customWidth="1"/>
    <col min="5893" max="6147" width="9" style="470"/>
    <col min="6148" max="6148" width="17.375" style="470" customWidth="1"/>
    <col min="6149" max="6403" width="9" style="470"/>
    <col min="6404" max="6404" width="17.375" style="470" customWidth="1"/>
    <col min="6405" max="6659" width="9" style="470"/>
    <col min="6660" max="6660" width="17.375" style="470" customWidth="1"/>
    <col min="6661" max="6915" width="9" style="470"/>
    <col min="6916" max="6916" width="17.375" style="470" customWidth="1"/>
    <col min="6917" max="7171" width="9" style="470"/>
    <col min="7172" max="7172" width="17.375" style="470" customWidth="1"/>
    <col min="7173" max="7427" width="9" style="470"/>
    <col min="7428" max="7428" width="17.375" style="470" customWidth="1"/>
    <col min="7429" max="7683" width="9" style="470"/>
    <col min="7684" max="7684" width="17.375" style="470" customWidth="1"/>
    <col min="7685" max="7939" width="9" style="470"/>
    <col min="7940" max="7940" width="17.375" style="470" customWidth="1"/>
    <col min="7941" max="8195" width="9" style="470"/>
    <col min="8196" max="8196" width="17.375" style="470" customWidth="1"/>
    <col min="8197" max="8451" width="9" style="470"/>
    <col min="8452" max="8452" width="17.375" style="470" customWidth="1"/>
    <col min="8453" max="8707" width="9" style="470"/>
    <col min="8708" max="8708" width="17.375" style="470" customWidth="1"/>
    <col min="8709" max="8963" width="9" style="470"/>
    <col min="8964" max="8964" width="17.375" style="470" customWidth="1"/>
    <col min="8965" max="9219" width="9" style="470"/>
    <col min="9220" max="9220" width="17.375" style="470" customWidth="1"/>
    <col min="9221" max="9475" width="9" style="470"/>
    <col min="9476" max="9476" width="17.375" style="470" customWidth="1"/>
    <col min="9477" max="9731" width="9" style="470"/>
    <col min="9732" max="9732" width="17.375" style="470" customWidth="1"/>
    <col min="9733" max="9987" width="9" style="470"/>
    <col min="9988" max="9988" width="17.375" style="470" customWidth="1"/>
    <col min="9989" max="10243" width="9" style="470"/>
    <col min="10244" max="10244" width="17.375" style="470" customWidth="1"/>
    <col min="10245" max="10499" width="9" style="470"/>
    <col min="10500" max="10500" width="17.375" style="470" customWidth="1"/>
    <col min="10501" max="10755" width="9" style="470"/>
    <col min="10756" max="10756" width="17.375" style="470" customWidth="1"/>
    <col min="10757" max="11011" width="9" style="470"/>
    <col min="11012" max="11012" width="17.375" style="470" customWidth="1"/>
    <col min="11013" max="11267" width="9" style="470"/>
    <col min="11268" max="11268" width="17.375" style="470" customWidth="1"/>
    <col min="11269" max="11523" width="9" style="470"/>
    <col min="11524" max="11524" width="17.375" style="470" customWidth="1"/>
    <col min="11525" max="11779" width="9" style="470"/>
    <col min="11780" max="11780" width="17.375" style="470" customWidth="1"/>
    <col min="11781" max="12035" width="9" style="470"/>
    <col min="12036" max="12036" width="17.375" style="470" customWidth="1"/>
    <col min="12037" max="12291" width="9" style="470"/>
    <col min="12292" max="12292" width="17.375" style="470" customWidth="1"/>
    <col min="12293" max="12547" width="9" style="470"/>
    <col min="12548" max="12548" width="17.375" style="470" customWidth="1"/>
    <col min="12549" max="12803" width="9" style="470"/>
    <col min="12804" max="12804" width="17.375" style="470" customWidth="1"/>
    <col min="12805" max="13059" width="9" style="470"/>
    <col min="13060" max="13060" width="17.375" style="470" customWidth="1"/>
    <col min="13061" max="13315" width="9" style="470"/>
    <col min="13316" max="13316" width="17.375" style="470" customWidth="1"/>
    <col min="13317" max="13571" width="9" style="470"/>
    <col min="13572" max="13572" width="17.375" style="470" customWidth="1"/>
    <col min="13573" max="13827" width="9" style="470"/>
    <col min="13828" max="13828" width="17.375" style="470" customWidth="1"/>
    <col min="13829" max="14083" width="9" style="470"/>
    <col min="14084" max="14084" width="17.375" style="470" customWidth="1"/>
    <col min="14085" max="14339" width="9" style="470"/>
    <col min="14340" max="14340" width="17.375" style="470" customWidth="1"/>
    <col min="14341" max="14595" width="9" style="470"/>
    <col min="14596" max="14596" width="17.375" style="470" customWidth="1"/>
    <col min="14597" max="14851" width="9" style="470"/>
    <col min="14852" max="14852" width="17.375" style="470" customWidth="1"/>
    <col min="14853" max="15107" width="9" style="470"/>
    <col min="15108" max="15108" width="17.375" style="470" customWidth="1"/>
    <col min="15109" max="15363" width="9" style="470"/>
    <col min="15364" max="15364" width="17.375" style="470" customWidth="1"/>
    <col min="15365" max="15619" width="9" style="470"/>
    <col min="15620" max="15620" width="17.375" style="470" customWidth="1"/>
    <col min="15621" max="15875" width="9" style="470"/>
    <col min="15876" max="15876" width="17.375" style="470" customWidth="1"/>
    <col min="15877" max="16131" width="9" style="470"/>
    <col min="16132" max="16132" width="17.375" style="470" customWidth="1"/>
    <col min="16133" max="16384" width="9" style="470"/>
  </cols>
  <sheetData>
    <row r="1" spans="1:16" ht="20.25">
      <c r="A1" s="592" t="s">
        <v>887</v>
      </c>
      <c r="B1" s="592"/>
      <c r="C1" s="592"/>
      <c r="D1" s="592"/>
      <c r="E1" s="592"/>
      <c r="F1" s="592"/>
      <c r="G1" s="592"/>
      <c r="H1" s="592"/>
      <c r="I1" s="592"/>
      <c r="J1" s="592"/>
      <c r="K1" s="498"/>
      <c r="L1" s="498"/>
      <c r="M1" s="499"/>
      <c r="N1" s="500"/>
      <c r="O1" s="500"/>
      <c r="P1" s="500"/>
    </row>
    <row r="2" spans="1:16">
      <c r="A2" s="593" t="s">
        <v>864</v>
      </c>
      <c r="B2" s="593"/>
      <c r="C2" s="593"/>
      <c r="D2" s="593" t="s">
        <v>888</v>
      </c>
      <c r="E2" s="593"/>
      <c r="F2" s="593"/>
      <c r="G2" s="593"/>
      <c r="H2" s="593"/>
      <c r="I2" s="471" t="s">
        <v>866</v>
      </c>
      <c r="J2" s="472" t="s">
        <v>889</v>
      </c>
      <c r="K2" s="501"/>
      <c r="L2" s="502"/>
      <c r="M2" s="503"/>
      <c r="N2" s="504"/>
      <c r="O2" s="505"/>
      <c r="P2" s="506"/>
    </row>
    <row r="3" spans="1:16" ht="24">
      <c r="A3" s="473" t="s">
        <v>0</v>
      </c>
      <c r="B3" s="594" t="s">
        <v>279</v>
      </c>
      <c r="C3" s="595"/>
      <c r="D3" s="596"/>
      <c r="E3" s="474" t="s">
        <v>868</v>
      </c>
      <c r="F3" s="475" t="s">
        <v>269</v>
      </c>
      <c r="G3" s="474" t="s">
        <v>869</v>
      </c>
      <c r="H3" s="476" t="s">
        <v>642</v>
      </c>
      <c r="I3" s="477" t="s">
        <v>870</v>
      </c>
      <c r="J3" s="478" t="s">
        <v>1</v>
      </c>
      <c r="K3" s="507">
        <v>3.16</v>
      </c>
      <c r="L3" s="502"/>
      <c r="M3" s="507"/>
      <c r="N3" s="504"/>
      <c r="O3" s="505"/>
      <c r="P3" s="506"/>
    </row>
    <row r="4" spans="1:16" ht="24">
      <c r="A4" s="597" t="s">
        <v>305</v>
      </c>
      <c r="B4" s="599" t="s">
        <v>315</v>
      </c>
      <c r="C4" s="597" t="s">
        <v>871</v>
      </c>
      <c r="D4" s="482" t="s">
        <v>890</v>
      </c>
      <c r="E4" s="480"/>
      <c r="F4" s="480" t="s">
        <v>271</v>
      </c>
      <c r="G4" s="477">
        <f>K4*1.06</f>
        <v>0.85753999999999997</v>
      </c>
      <c r="H4" s="508">
        <f>VLOOKUP(D4,[31]材料表!$B$4:$G$80,4,0)</f>
        <v>33.5</v>
      </c>
      <c r="I4" s="473">
        <f t="shared" ref="I4:I14" si="0">G4*H4</f>
        <v>28.727589999999999</v>
      </c>
      <c r="J4" s="489"/>
      <c r="K4" s="501">
        <f>0.38+0.429</f>
        <v>0.80899999999999994</v>
      </c>
      <c r="L4" s="504"/>
      <c r="M4" s="505"/>
      <c r="N4" s="501"/>
      <c r="O4" s="509"/>
      <c r="P4" s="506"/>
    </row>
    <row r="5" spans="1:16" ht="24">
      <c r="A5" s="597"/>
      <c r="B5" s="599"/>
      <c r="C5" s="597"/>
      <c r="D5" s="482" t="s">
        <v>891</v>
      </c>
      <c r="E5" s="480"/>
      <c r="F5" s="480" t="s">
        <v>271</v>
      </c>
      <c r="G5" s="477">
        <f>M5/K3*1.06</f>
        <v>7.1557966772151911</v>
      </c>
      <c r="H5" s="508">
        <f>VLOOKUP(D5,[31]材料表!$B$4:$G$80,4,0)</f>
        <v>33.5</v>
      </c>
      <c r="I5" s="473">
        <f t="shared" si="0"/>
        <v>239.71918868670889</v>
      </c>
      <c r="J5" s="489"/>
      <c r="K5" s="507">
        <v>0.78500000000000003</v>
      </c>
      <c r="L5" s="504">
        <f>1*22+1.035*5</f>
        <v>27.175000000000001</v>
      </c>
      <c r="M5" s="505">
        <f>K5*L5</f>
        <v>21.332375000000003</v>
      </c>
      <c r="N5" s="506"/>
      <c r="O5" s="509"/>
      <c r="P5" s="506"/>
    </row>
    <row r="6" spans="1:16" ht="24">
      <c r="A6" s="597"/>
      <c r="B6" s="599"/>
      <c r="C6" s="597"/>
      <c r="D6" s="482" t="s">
        <v>892</v>
      </c>
      <c r="E6" s="480"/>
      <c r="F6" s="480" t="s">
        <v>271</v>
      </c>
      <c r="G6" s="477">
        <f t="shared" ref="G6:G7" si="1">K6*1.06</f>
        <v>0.80984</v>
      </c>
      <c r="H6" s="508">
        <f>VLOOKUP(D6,[31]材料表!$B$4:$G$80,4,0)</f>
        <v>33.5</v>
      </c>
      <c r="I6" s="473">
        <f t="shared" si="0"/>
        <v>27.129639999999998</v>
      </c>
      <c r="J6" s="489"/>
      <c r="K6" s="507">
        <f>0.61+0.154</f>
        <v>0.76400000000000001</v>
      </c>
      <c r="L6" s="504"/>
      <c r="M6" s="505"/>
      <c r="N6" s="506"/>
      <c r="O6" s="509"/>
      <c r="P6" s="506"/>
    </row>
    <row r="7" spans="1:16" ht="24">
      <c r="A7" s="597"/>
      <c r="B7" s="599"/>
      <c r="C7" s="597"/>
      <c r="D7" s="482" t="s">
        <v>893</v>
      </c>
      <c r="E7" s="480"/>
      <c r="F7" s="480" t="s">
        <v>271</v>
      </c>
      <c r="G7" s="477">
        <f t="shared" si="1"/>
        <v>2.3669800000000003</v>
      </c>
      <c r="H7" s="508">
        <f>VLOOKUP(D7,[31]材料表!$B$4:$G$80,4,0)</f>
        <v>33.5</v>
      </c>
      <c r="I7" s="473">
        <f t="shared" si="0"/>
        <v>79.293830000000014</v>
      </c>
      <c r="J7" s="489"/>
      <c r="K7" s="507">
        <f>2.233</f>
        <v>2.2330000000000001</v>
      </c>
      <c r="L7" s="504"/>
      <c r="M7" s="505"/>
      <c r="N7" s="506"/>
      <c r="O7" s="509"/>
      <c r="P7" s="506"/>
    </row>
    <row r="8" spans="1:16">
      <c r="A8" s="597"/>
      <c r="B8" s="599"/>
      <c r="C8" s="597"/>
      <c r="D8" s="482" t="s">
        <v>894</v>
      </c>
      <c r="E8" s="480" t="str">
        <f>VLOOKUP(D8,[31]材料表!$B$4:$G$80,2,0)</f>
        <v>200*80*8</v>
      </c>
      <c r="F8" s="480" t="str">
        <f>VLOOKUP(D8,[31]材料表!$B$4:$G$80,3,0)</f>
        <v>块</v>
      </c>
      <c r="G8" s="477">
        <f>K8/K3</f>
        <v>1.5822784810126582</v>
      </c>
      <c r="H8" s="508">
        <f>VLOOKUP(D8,[31]材料表!$B$4:$G$80,4,0)</f>
        <v>7.5</v>
      </c>
      <c r="I8" s="473">
        <f t="shared" si="0"/>
        <v>11.867088607594937</v>
      </c>
      <c r="J8" s="489">
        <f>VLOOKUP(D8,[31]材料表!$B$4:$G$80,5,0)</f>
        <v>6.5</v>
      </c>
      <c r="K8" s="507">
        <v>5</v>
      </c>
      <c r="L8" s="504"/>
      <c r="M8" s="505"/>
      <c r="N8" s="506"/>
      <c r="O8" s="509"/>
      <c r="P8" s="506"/>
    </row>
    <row r="9" spans="1:16">
      <c r="A9" s="597"/>
      <c r="B9" s="599"/>
      <c r="C9" s="597"/>
      <c r="D9" s="482" t="s">
        <v>876</v>
      </c>
      <c r="E9" s="480" t="str">
        <f>VLOOKUP(D9,[31]材料表!$B$4:$G$80,2,0)</f>
        <v>M12*160</v>
      </c>
      <c r="F9" s="480" t="str">
        <f>VLOOKUP(D9,[31]材料表!$B$4:$G$80,3,0)</f>
        <v>套</v>
      </c>
      <c r="G9" s="477">
        <f>G8*2*1.05</f>
        <v>3.3227848101265822</v>
      </c>
      <c r="H9" s="508">
        <f>VLOOKUP(D9,[31]材料表!$B$4:$G$80,4,0)</f>
        <v>3.5</v>
      </c>
      <c r="I9" s="473">
        <f t="shared" si="0"/>
        <v>11.629746835443038</v>
      </c>
      <c r="J9" s="489">
        <f>VLOOKUP(D9,[31]材料表!$B$4:$G$80,5,0)</f>
        <v>3.5</v>
      </c>
      <c r="K9" s="507"/>
      <c r="L9" s="504"/>
      <c r="M9" s="505"/>
      <c r="N9" s="506"/>
      <c r="O9" s="509"/>
      <c r="P9" s="506"/>
    </row>
    <row r="10" spans="1:16">
      <c r="A10" s="597"/>
      <c r="B10" s="599"/>
      <c r="C10" s="597"/>
      <c r="D10" s="482" t="s">
        <v>895</v>
      </c>
      <c r="E10" s="484"/>
      <c r="F10" s="484" t="s">
        <v>273</v>
      </c>
      <c r="G10" s="477">
        <f>K10/K3*1.05</f>
        <v>3.3227848101265822</v>
      </c>
      <c r="H10" s="508">
        <v>1.7</v>
      </c>
      <c r="I10" s="473">
        <f t="shared" si="0"/>
        <v>5.6487341772151893</v>
      </c>
      <c r="J10" s="489"/>
      <c r="K10" s="507">
        <f>2*5</f>
        <v>10</v>
      </c>
      <c r="L10" s="504"/>
      <c r="M10" s="505"/>
      <c r="N10" s="506"/>
      <c r="O10" s="509"/>
      <c r="P10" s="506"/>
    </row>
    <row r="11" spans="1:16">
      <c r="A11" s="597"/>
      <c r="B11" s="599"/>
      <c r="C11" s="597"/>
      <c r="D11" s="482" t="s">
        <v>896</v>
      </c>
      <c r="E11" s="485"/>
      <c r="F11" s="484" t="s">
        <v>273</v>
      </c>
      <c r="G11" s="477">
        <f>G10</f>
        <v>3.3227848101265822</v>
      </c>
      <c r="H11" s="510">
        <v>1</v>
      </c>
      <c r="I11" s="473">
        <f t="shared" si="0"/>
        <v>3.3227848101265822</v>
      </c>
      <c r="J11" s="489"/>
      <c r="K11" s="507"/>
      <c r="L11" s="504"/>
      <c r="M11" s="505"/>
      <c r="N11" s="506"/>
      <c r="O11" s="509"/>
      <c r="P11" s="506"/>
    </row>
    <row r="12" spans="1:16">
      <c r="A12" s="597"/>
      <c r="B12" s="599"/>
      <c r="C12" s="597"/>
      <c r="D12" s="482" t="s">
        <v>897</v>
      </c>
      <c r="E12" s="485"/>
      <c r="F12" s="484" t="s">
        <v>273</v>
      </c>
      <c r="G12" s="477">
        <f>G8</f>
        <v>1.5822784810126582</v>
      </c>
      <c r="H12" s="510">
        <v>3.5</v>
      </c>
      <c r="I12" s="473">
        <f t="shared" si="0"/>
        <v>5.537974683544304</v>
      </c>
      <c r="J12" s="489"/>
      <c r="K12" s="507"/>
      <c r="L12" s="504"/>
      <c r="M12" s="505"/>
      <c r="N12" s="506"/>
      <c r="O12" s="509"/>
      <c r="P12" s="506"/>
    </row>
    <row r="13" spans="1:16">
      <c r="A13" s="597"/>
      <c r="B13" s="599"/>
      <c r="C13" s="597"/>
      <c r="D13" s="482" t="s">
        <v>898</v>
      </c>
      <c r="E13" s="484"/>
      <c r="F13" s="484" t="s">
        <v>899</v>
      </c>
      <c r="G13" s="477">
        <f>22/K3</f>
        <v>6.962025316455696</v>
      </c>
      <c r="H13" s="511">
        <v>1.25</v>
      </c>
      <c r="I13" s="487">
        <f t="shared" si="0"/>
        <v>8.7025316455696196</v>
      </c>
      <c r="J13" s="488"/>
      <c r="K13" s="512">
        <f>462.31*0.00785</f>
        <v>3.6291334999999996</v>
      </c>
      <c r="L13" s="504">
        <v>0.05</v>
      </c>
      <c r="M13" s="505">
        <f>K13*L13</f>
        <v>0.18145667499999998</v>
      </c>
      <c r="N13" s="506">
        <f>M13*8</f>
        <v>1.4516533999999999</v>
      </c>
      <c r="O13" s="509"/>
      <c r="P13" s="506"/>
    </row>
    <row r="14" spans="1:16">
      <c r="A14" s="597"/>
      <c r="B14" s="599"/>
      <c r="C14" s="597"/>
      <c r="D14" s="482" t="s">
        <v>617</v>
      </c>
      <c r="E14" s="485"/>
      <c r="F14" s="485" t="str">
        <f>VLOOKUP(D14,[31]材料表!$B$4:$G$80,3,0)</f>
        <v>项</v>
      </c>
      <c r="G14" s="483">
        <v>1</v>
      </c>
      <c r="H14" s="510">
        <f>VLOOKUP(D14,[31]材料表!$B$4:$G$80,4,0)</f>
        <v>5</v>
      </c>
      <c r="I14" s="487">
        <f t="shared" si="0"/>
        <v>5</v>
      </c>
      <c r="J14" s="489"/>
      <c r="K14" s="507"/>
      <c r="L14" s="504"/>
      <c r="M14" s="505"/>
      <c r="N14" s="506"/>
      <c r="O14" s="509"/>
      <c r="P14" s="506"/>
    </row>
    <row r="15" spans="1:16">
      <c r="A15" s="597"/>
      <c r="B15" s="599"/>
      <c r="C15" s="597"/>
      <c r="D15" s="492"/>
      <c r="E15" s="485"/>
      <c r="F15" s="485"/>
      <c r="G15" s="483"/>
      <c r="H15" s="486"/>
      <c r="I15" s="487"/>
      <c r="J15" s="489"/>
      <c r="K15" s="507"/>
      <c r="L15" s="504"/>
      <c r="M15" s="505"/>
      <c r="N15" s="506"/>
      <c r="O15" s="509"/>
      <c r="P15" s="506"/>
    </row>
    <row r="16" spans="1:16">
      <c r="A16" s="597"/>
      <c r="B16" s="599"/>
      <c r="C16" s="597"/>
      <c r="D16" s="492"/>
      <c r="E16" s="480"/>
      <c r="F16" s="480"/>
      <c r="G16" s="483"/>
      <c r="H16" s="481"/>
      <c r="I16" s="473"/>
      <c r="J16" s="489"/>
      <c r="K16" s="507"/>
      <c r="L16" s="504"/>
      <c r="M16" s="505"/>
      <c r="N16" s="506"/>
      <c r="O16" s="509"/>
      <c r="P16" s="506"/>
    </row>
    <row r="17" spans="1:16">
      <c r="A17" s="597"/>
      <c r="B17" s="599"/>
      <c r="C17" s="597"/>
      <c r="D17" s="482"/>
      <c r="E17" s="480"/>
      <c r="F17" s="480"/>
      <c r="G17" s="483"/>
      <c r="H17" s="481"/>
      <c r="I17" s="473"/>
      <c r="J17" s="489"/>
      <c r="K17" s="507"/>
      <c r="L17" s="504"/>
      <c r="M17" s="505"/>
      <c r="N17" s="506"/>
      <c r="O17" s="509"/>
      <c r="P17" s="506"/>
    </row>
    <row r="18" spans="1:16">
      <c r="A18" s="597"/>
      <c r="B18" s="599"/>
      <c r="C18" s="597"/>
      <c r="D18" s="482"/>
      <c r="E18" s="480"/>
      <c r="F18" s="480"/>
      <c r="G18" s="483"/>
      <c r="H18" s="481"/>
      <c r="I18" s="473"/>
      <c r="J18" s="489"/>
      <c r="K18" s="507"/>
      <c r="L18" s="504"/>
      <c r="M18" s="505"/>
      <c r="N18" s="506"/>
      <c r="O18" s="509"/>
      <c r="P18" s="506"/>
    </row>
    <row r="19" spans="1:16">
      <c r="A19" s="597"/>
      <c r="B19" s="599"/>
      <c r="C19" s="597"/>
      <c r="D19" s="482"/>
      <c r="E19" s="480"/>
      <c r="F19" s="480"/>
      <c r="G19" s="483"/>
      <c r="H19" s="481"/>
      <c r="I19" s="473"/>
      <c r="J19" s="489"/>
      <c r="K19" s="507"/>
      <c r="L19" s="504"/>
      <c r="M19" s="505"/>
      <c r="N19" s="506"/>
      <c r="O19" s="509"/>
      <c r="P19" s="506"/>
    </row>
    <row r="20" spans="1:16">
      <c r="A20" s="597"/>
      <c r="B20" s="599"/>
      <c r="C20" s="597"/>
      <c r="D20" s="482"/>
      <c r="E20" s="480"/>
      <c r="F20" s="480"/>
      <c r="G20" s="483"/>
      <c r="H20" s="481"/>
      <c r="I20" s="473"/>
      <c r="J20" s="489"/>
      <c r="K20" s="507"/>
      <c r="L20" s="504"/>
      <c r="M20" s="505"/>
      <c r="N20" s="506"/>
      <c r="O20" s="509"/>
      <c r="P20" s="506"/>
    </row>
    <row r="21" spans="1:16">
      <c r="A21" s="597"/>
      <c r="B21" s="599"/>
      <c r="C21" s="597"/>
      <c r="D21" s="482"/>
      <c r="E21" s="480"/>
      <c r="F21" s="480"/>
      <c r="G21" s="483"/>
      <c r="H21" s="481"/>
      <c r="I21" s="473"/>
      <c r="J21" s="489"/>
      <c r="K21" s="505"/>
      <c r="L21" s="504"/>
      <c r="M21" s="505"/>
      <c r="N21" s="506"/>
      <c r="O21" s="509"/>
      <c r="P21" s="506"/>
    </row>
    <row r="22" spans="1:16">
      <c r="A22" s="597"/>
      <c r="B22" s="599"/>
      <c r="C22" s="597"/>
      <c r="D22" s="482"/>
      <c r="E22" s="480"/>
      <c r="F22" s="480"/>
      <c r="G22" s="483"/>
      <c r="H22" s="481"/>
      <c r="I22" s="473"/>
      <c r="J22" s="489"/>
      <c r="K22" s="505"/>
      <c r="L22" s="505"/>
      <c r="M22" s="505"/>
      <c r="N22" s="506"/>
      <c r="O22" s="509"/>
      <c r="P22" s="506"/>
    </row>
    <row r="23" spans="1:16">
      <c r="A23" s="597"/>
      <c r="B23" s="599"/>
      <c r="C23" s="597"/>
      <c r="D23" s="482"/>
      <c r="E23" s="480"/>
      <c r="F23" s="480"/>
      <c r="G23" s="490"/>
      <c r="H23" s="481"/>
      <c r="I23" s="473"/>
      <c r="J23" s="489"/>
      <c r="K23" s="504"/>
      <c r="L23" s="504"/>
      <c r="M23" s="505"/>
      <c r="N23" s="506"/>
      <c r="O23" s="509"/>
      <c r="P23" s="506"/>
    </row>
    <row r="24" spans="1:16">
      <c r="A24" s="597"/>
      <c r="B24" s="599"/>
      <c r="C24" s="597"/>
      <c r="D24" s="482"/>
      <c r="E24" s="491"/>
      <c r="F24" s="480"/>
      <c r="G24" s="483"/>
      <c r="H24" s="481"/>
      <c r="I24" s="473"/>
      <c r="J24" s="489"/>
      <c r="K24" s="501"/>
      <c r="L24" s="501"/>
      <c r="M24" s="501"/>
      <c r="N24" s="501"/>
      <c r="O24" s="501"/>
      <c r="P24" s="501"/>
    </row>
    <row r="25" spans="1:16">
      <c r="A25" s="597"/>
      <c r="B25" s="599"/>
      <c r="C25" s="597"/>
      <c r="D25" s="492"/>
      <c r="E25" s="491"/>
      <c r="F25" s="480"/>
      <c r="G25" s="483"/>
      <c r="H25" s="481"/>
      <c r="I25" s="473"/>
      <c r="J25" s="493"/>
      <c r="K25" s="501"/>
      <c r="L25" s="501"/>
      <c r="M25" s="501"/>
      <c r="N25" s="501"/>
      <c r="O25" s="501"/>
      <c r="P25" s="501"/>
    </row>
    <row r="26" spans="1:16">
      <c r="A26" s="597"/>
      <c r="B26" s="599"/>
      <c r="C26" s="597"/>
      <c r="D26" s="482"/>
      <c r="E26" s="491"/>
      <c r="F26" s="480"/>
      <c r="G26" s="483"/>
      <c r="H26" s="481"/>
      <c r="I26" s="473"/>
      <c r="J26" s="493"/>
      <c r="K26" s="501"/>
      <c r="L26" s="501"/>
      <c r="M26" s="501"/>
      <c r="N26" s="501"/>
      <c r="O26" s="501"/>
      <c r="P26" s="501"/>
    </row>
    <row r="27" spans="1:16">
      <c r="A27" s="597"/>
      <c r="B27" s="599"/>
      <c r="C27" s="597"/>
      <c r="D27" s="482"/>
      <c r="E27" s="491"/>
      <c r="F27" s="480"/>
      <c r="G27" s="483"/>
      <c r="H27" s="481"/>
      <c r="I27" s="473"/>
      <c r="J27" s="493"/>
      <c r="K27" s="501"/>
      <c r="L27" s="501"/>
      <c r="M27" s="501"/>
      <c r="N27" s="501"/>
      <c r="O27" s="501"/>
      <c r="P27" s="501"/>
    </row>
    <row r="28" spans="1:16">
      <c r="A28" s="597"/>
      <c r="B28" s="599"/>
      <c r="C28" s="598"/>
      <c r="D28" s="494" t="s">
        <v>4</v>
      </c>
      <c r="E28" s="494"/>
      <c r="F28" s="494"/>
      <c r="G28" s="483"/>
      <c r="H28" s="483"/>
      <c r="I28" s="487">
        <f>SUM(I4:I27)</f>
        <v>426.57910944620255</v>
      </c>
      <c r="J28" s="493"/>
      <c r="K28" s="501"/>
      <c r="L28" s="501"/>
      <c r="M28" s="501"/>
      <c r="N28" s="501"/>
      <c r="O28" s="501"/>
      <c r="P28" s="501"/>
    </row>
    <row r="29" spans="1:16">
      <c r="A29" s="597"/>
      <c r="B29" s="599"/>
      <c r="C29" s="601" t="s">
        <v>314</v>
      </c>
      <c r="D29" s="602"/>
      <c r="E29" s="495"/>
      <c r="F29" s="495" t="s">
        <v>880</v>
      </c>
      <c r="G29" s="483"/>
      <c r="H29" s="483"/>
      <c r="I29" s="483">
        <v>70</v>
      </c>
      <c r="J29" s="493"/>
      <c r="K29" s="501"/>
      <c r="L29" s="501"/>
      <c r="M29" s="501"/>
      <c r="N29" s="501"/>
      <c r="O29" s="501"/>
      <c r="P29" s="501"/>
    </row>
    <row r="30" spans="1:16">
      <c r="A30" s="597"/>
      <c r="B30" s="600"/>
      <c r="C30" s="603" t="s">
        <v>290</v>
      </c>
      <c r="D30" s="604"/>
      <c r="E30" s="495"/>
      <c r="F30" s="495" t="s">
        <v>880</v>
      </c>
      <c r="G30" s="483"/>
      <c r="H30" s="483"/>
      <c r="I30" s="483">
        <v>5</v>
      </c>
      <c r="J30" s="493"/>
      <c r="K30" s="501"/>
      <c r="L30" s="501"/>
      <c r="M30" s="501"/>
      <c r="N30" s="501"/>
      <c r="O30" s="501"/>
      <c r="P30" s="501"/>
    </row>
    <row r="31" spans="1:16">
      <c r="A31" s="598"/>
      <c r="B31" s="603" t="s">
        <v>881</v>
      </c>
      <c r="C31" s="605"/>
      <c r="D31" s="604"/>
      <c r="E31" s="496"/>
      <c r="F31" s="495" t="s">
        <v>880</v>
      </c>
      <c r="G31" s="483"/>
      <c r="H31" s="483"/>
      <c r="I31" s="487">
        <f>SUM(I28:I30)</f>
        <v>501.57910944620255</v>
      </c>
      <c r="J31" s="493"/>
      <c r="K31" s="501"/>
      <c r="L31" s="501"/>
      <c r="M31" s="501"/>
      <c r="N31" s="501"/>
      <c r="O31" s="501"/>
      <c r="P31" s="501"/>
    </row>
    <row r="32" spans="1:16">
      <c r="A32" s="497" t="s">
        <v>306</v>
      </c>
      <c r="B32" s="601" t="s">
        <v>639</v>
      </c>
      <c r="C32" s="612"/>
      <c r="D32" s="602"/>
      <c r="E32" s="495" t="s">
        <v>882</v>
      </c>
      <c r="F32" s="495" t="s">
        <v>880</v>
      </c>
      <c r="G32" s="483"/>
      <c r="H32" s="483"/>
      <c r="I32" s="487">
        <f>I31*$K$2</f>
        <v>0</v>
      </c>
      <c r="J32" s="493"/>
      <c r="K32" s="501"/>
      <c r="L32" s="501"/>
      <c r="M32" s="501"/>
      <c r="N32" s="501"/>
      <c r="O32" s="501"/>
      <c r="P32" s="501"/>
    </row>
    <row r="33" spans="1:16" ht="24">
      <c r="A33" s="497" t="s">
        <v>307</v>
      </c>
      <c r="B33" s="603" t="s">
        <v>638</v>
      </c>
      <c r="C33" s="605"/>
      <c r="D33" s="604"/>
      <c r="E33" s="495" t="s">
        <v>883</v>
      </c>
      <c r="F33" s="497" t="s">
        <v>880</v>
      </c>
      <c r="G33" s="483"/>
      <c r="H33" s="483"/>
      <c r="I33" s="487">
        <f>(I32+I31)*5%</f>
        <v>25.078955472310128</v>
      </c>
      <c r="J33" s="493"/>
      <c r="K33" s="501"/>
      <c r="L33" s="501"/>
      <c r="M33" s="501"/>
      <c r="N33" s="501"/>
      <c r="O33" s="501"/>
      <c r="P33" s="501"/>
    </row>
    <row r="34" spans="1:16" ht="36">
      <c r="A34" s="497" t="s">
        <v>308</v>
      </c>
      <c r="B34" s="603" t="s">
        <v>637</v>
      </c>
      <c r="C34" s="605"/>
      <c r="D34" s="604"/>
      <c r="E34" s="495" t="s">
        <v>884</v>
      </c>
      <c r="F34" s="497" t="s">
        <v>880</v>
      </c>
      <c r="G34" s="483"/>
      <c r="H34" s="483"/>
      <c r="I34" s="487">
        <f>SUM(I31:I33)*$M$2</f>
        <v>0</v>
      </c>
      <c r="J34" s="493"/>
      <c r="K34" s="501"/>
      <c r="L34" s="501"/>
      <c r="M34" s="501"/>
      <c r="N34" s="501"/>
      <c r="O34" s="501"/>
      <c r="P34" s="501"/>
    </row>
    <row r="35" spans="1:16" ht="24">
      <c r="A35" s="497" t="s">
        <v>309</v>
      </c>
      <c r="B35" s="613" t="s">
        <v>885</v>
      </c>
      <c r="C35" s="613"/>
      <c r="D35" s="613"/>
      <c r="E35" s="495" t="s">
        <v>886</v>
      </c>
      <c r="F35" s="497" t="s">
        <v>880</v>
      </c>
      <c r="G35" s="483"/>
      <c r="H35" s="483"/>
      <c r="I35" s="487">
        <f>SUM(I31:I34)</f>
        <v>526.65806491851265</v>
      </c>
      <c r="J35" s="493"/>
      <c r="K35" s="501"/>
      <c r="L35" s="501"/>
      <c r="M35" s="501"/>
      <c r="N35" s="501"/>
      <c r="O35" s="501"/>
      <c r="P35" s="501"/>
    </row>
  </sheetData>
  <mergeCells count="14">
    <mergeCell ref="B32:D32"/>
    <mergeCell ref="B33:D33"/>
    <mergeCell ref="B34:D34"/>
    <mergeCell ref="B35:D35"/>
    <mergeCell ref="A1:J1"/>
    <mergeCell ref="A2:C2"/>
    <mergeCell ref="D2:H2"/>
    <mergeCell ref="B3:D3"/>
    <mergeCell ref="A4:A31"/>
    <mergeCell ref="B4:B30"/>
    <mergeCell ref="C4:C28"/>
    <mergeCell ref="C29:D29"/>
    <mergeCell ref="C30:D30"/>
    <mergeCell ref="B31:D31"/>
  </mergeCells>
  <phoneticPr fontId="5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F3E99-932C-4549-9A56-E183CF9E5653}">
  <sheetPr>
    <tabColor rgb="FF7030A0"/>
    <pageSetUpPr fitToPage="1"/>
  </sheetPr>
  <dimension ref="A1:L1"/>
  <sheetViews>
    <sheetView showZeros="0" zoomScaleNormal="100" workbookViewId="0">
      <selection activeCell="K28" sqref="K28"/>
    </sheetView>
  </sheetViews>
  <sheetFormatPr defaultColWidth="10.625" defaultRowHeight="13.5"/>
  <cols>
    <col min="1" max="8" width="10.625" style="102"/>
    <col min="9" max="12" width="10.625" style="43"/>
    <col min="13" max="16384" width="10.625" style="255"/>
  </cols>
  <sheetData/>
  <phoneticPr fontId="5" type="noConversion"/>
  <pageMargins left="0.19685039370078741" right="0.19685039370078741" top="0.74803149606299213" bottom="0.74803149606299213" header="0.31496062992125984" footer="0.31496062992125984"/>
  <pageSetup paperSize="9" scale="1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57B27-75F4-4AAB-AD79-9F34703096F5}">
  <sheetPr>
    <tabColor rgb="FF7030A0"/>
    <pageSetUpPr fitToPage="1"/>
  </sheetPr>
  <dimension ref="A1:V464"/>
  <sheetViews>
    <sheetView showZeros="0" topLeftCell="C363" zoomScaleNormal="100" workbookViewId="0">
      <selection activeCell="C372" sqref="C372"/>
    </sheetView>
  </sheetViews>
  <sheetFormatPr defaultColWidth="25.25" defaultRowHeight="13.5"/>
  <cols>
    <col min="1" max="1" width="0.5" style="1" customWidth="1"/>
    <col min="2" max="2" width="25.25" style="102" customWidth="1"/>
    <col min="3" max="3" width="14.75" style="102" customWidth="1"/>
    <col min="4" max="4" width="11.5" style="102" customWidth="1"/>
    <col min="5" max="5" width="11.25" style="102" customWidth="1"/>
    <col min="6" max="6" width="12.25" style="102" customWidth="1"/>
    <col min="7" max="7" width="10" style="102" customWidth="1"/>
    <col min="8" max="8" width="9.875" style="102" customWidth="1"/>
    <col min="9" max="9" width="26.875" style="102" customWidth="1"/>
    <col min="10" max="10" width="11.125" style="43" customWidth="1"/>
    <col min="11" max="11" width="7.875" style="43" customWidth="1"/>
    <col min="12" max="12" width="7.25" style="43" customWidth="1"/>
    <col min="13" max="13" width="9.125" style="43" customWidth="1"/>
    <col min="14" max="14" width="15.125" style="4" customWidth="1"/>
    <col min="15" max="15" width="13.125" style="4" customWidth="1"/>
    <col min="16" max="16" width="24.375" style="4" customWidth="1"/>
    <col min="17" max="17" width="13.75" style="4" customWidth="1"/>
    <col min="18" max="18" width="11.25" style="4" customWidth="1"/>
    <col min="19" max="19" width="10.75" style="4" customWidth="1"/>
    <col min="20" max="20" width="10" style="4" customWidth="1"/>
    <col min="21" max="21" width="9.875" style="4" customWidth="1"/>
    <col min="22" max="22" width="26.125" style="4" customWidth="1"/>
    <col min="23" max="23" width="11.125" style="4" customWidth="1"/>
    <col min="24" max="24" width="7.875" style="4" customWidth="1"/>
    <col min="25" max="25" width="7.25" style="4" customWidth="1"/>
    <col min="26" max="26" width="9.125" style="4" customWidth="1"/>
    <col min="27" max="27" width="15.125" style="4" customWidth="1"/>
    <col min="28" max="28" width="7.75" style="4" customWidth="1"/>
    <col min="29" max="29" width="7.125" style="4" customWidth="1"/>
    <col min="30" max="30" width="12.125" style="4" customWidth="1"/>
    <col min="31" max="31" width="8.25" style="4" customWidth="1"/>
    <col min="32" max="33" width="10.375" style="4" customWidth="1"/>
    <col min="34" max="34" width="15.625" style="4" customWidth="1"/>
    <col min="35" max="35" width="15.875" style="4" customWidth="1"/>
    <col min="36" max="36" width="8.125" style="4" customWidth="1"/>
    <col min="37" max="40" width="10.375" style="4" customWidth="1"/>
    <col min="41" max="41" width="7.25" style="4" customWidth="1"/>
    <col min="42" max="42" width="7.125" style="4" customWidth="1"/>
    <col min="43" max="43" width="9.5" style="4" customWidth="1"/>
    <col min="44" max="45" width="9" style="4" customWidth="1"/>
    <col min="46" max="46" width="16.125" style="4" customWidth="1"/>
    <col min="47" max="77" width="9" style="4" customWidth="1"/>
    <col min="78" max="237" width="25.25" style="4"/>
    <col min="238" max="267" width="9" style="4" customWidth="1"/>
    <col min="268" max="268" width="0.5" style="4" customWidth="1"/>
    <col min="269" max="269" width="25.25" style="4"/>
    <col min="270" max="270" width="0.5" style="4" customWidth="1"/>
    <col min="271" max="271" width="25.25" style="4"/>
    <col min="272" max="272" width="14.75" style="4" customWidth="1"/>
    <col min="273" max="273" width="11.5" style="4" customWidth="1"/>
    <col min="274" max="274" width="11.25" style="4" customWidth="1"/>
    <col min="275" max="275" width="10.75" style="4" customWidth="1"/>
    <col min="276" max="276" width="10" style="4" customWidth="1"/>
    <col min="277" max="277" width="9.875" style="4" customWidth="1"/>
    <col min="278" max="278" width="26.125" style="4" customWidth="1"/>
    <col min="279" max="279" width="11.125" style="4" customWidth="1"/>
    <col min="280" max="280" width="7.875" style="4" customWidth="1"/>
    <col min="281" max="281" width="7.25" style="4" customWidth="1"/>
    <col min="282" max="282" width="9.125" style="4" customWidth="1"/>
    <col min="283" max="283" width="15.125" style="4" customWidth="1"/>
    <col min="284" max="284" width="7.75" style="4" customWidth="1"/>
    <col min="285" max="285" width="7.125" style="4" customWidth="1"/>
    <col min="286" max="286" width="12.125" style="4" customWidth="1"/>
    <col min="287" max="287" width="8.25" style="4" customWidth="1"/>
    <col min="288" max="289" width="10.375" style="4" customWidth="1"/>
    <col min="290" max="290" width="15.625" style="4" customWidth="1"/>
    <col min="291" max="291" width="15.875" style="4" customWidth="1"/>
    <col min="292" max="292" width="8.125" style="4" customWidth="1"/>
    <col min="293" max="296" width="10.375" style="4" customWidth="1"/>
    <col min="297" max="297" width="7.25" style="4" customWidth="1"/>
    <col min="298" max="298" width="7.125" style="4" customWidth="1"/>
    <col min="299" max="299" width="9.5" style="4" customWidth="1"/>
    <col min="300" max="301" width="9" style="4" customWidth="1"/>
    <col min="302" max="302" width="16.125" style="4" customWidth="1"/>
    <col min="303" max="333" width="9" style="4" customWidth="1"/>
    <col min="334" max="493" width="25.25" style="4"/>
    <col min="494" max="523" width="9" style="4" customWidth="1"/>
    <col min="524" max="524" width="0.5" style="4" customWidth="1"/>
    <col min="525" max="525" width="25.25" style="4"/>
    <col min="526" max="526" width="0.5" style="4" customWidth="1"/>
    <col min="527" max="527" width="25.25" style="4"/>
    <col min="528" max="528" width="14.75" style="4" customWidth="1"/>
    <col min="529" max="529" width="11.5" style="4" customWidth="1"/>
    <col min="530" max="530" width="11.25" style="4" customWidth="1"/>
    <col min="531" max="531" width="10.75" style="4" customWidth="1"/>
    <col min="532" max="532" width="10" style="4" customWidth="1"/>
    <col min="533" max="533" width="9.875" style="4" customWidth="1"/>
    <col min="534" max="534" width="26.125" style="4" customWidth="1"/>
    <col min="535" max="535" width="11.125" style="4" customWidth="1"/>
    <col min="536" max="536" width="7.875" style="4" customWidth="1"/>
    <col min="537" max="537" width="7.25" style="4" customWidth="1"/>
    <col min="538" max="538" width="9.125" style="4" customWidth="1"/>
    <col min="539" max="539" width="15.125" style="4" customWidth="1"/>
    <col min="540" max="540" width="7.75" style="4" customWidth="1"/>
    <col min="541" max="541" width="7.125" style="4" customWidth="1"/>
    <col min="542" max="542" width="12.125" style="4" customWidth="1"/>
    <col min="543" max="543" width="8.25" style="4" customWidth="1"/>
    <col min="544" max="545" width="10.375" style="4" customWidth="1"/>
    <col min="546" max="546" width="15.625" style="4" customWidth="1"/>
    <col min="547" max="547" width="15.875" style="4" customWidth="1"/>
    <col min="548" max="548" width="8.125" style="4" customWidth="1"/>
    <col min="549" max="552" width="10.375" style="4" customWidth="1"/>
    <col min="553" max="553" width="7.25" style="4" customWidth="1"/>
    <col min="554" max="554" width="7.125" style="4" customWidth="1"/>
    <col min="555" max="555" width="9.5" style="4" customWidth="1"/>
    <col min="556" max="557" width="9" style="4" customWidth="1"/>
    <col min="558" max="558" width="16.125" style="4" customWidth="1"/>
    <col min="559" max="589" width="9" style="4" customWidth="1"/>
    <col min="590" max="749" width="25.25" style="4"/>
    <col min="750" max="779" width="9" style="4" customWidth="1"/>
    <col min="780" max="780" width="0.5" style="4" customWidth="1"/>
    <col min="781" max="781" width="25.25" style="4"/>
    <col min="782" max="782" width="0.5" style="4" customWidth="1"/>
    <col min="783" max="783" width="25.25" style="4"/>
    <col min="784" max="784" width="14.75" style="4" customWidth="1"/>
    <col min="785" max="785" width="11.5" style="4" customWidth="1"/>
    <col min="786" max="786" width="11.25" style="4" customWidth="1"/>
    <col min="787" max="787" width="10.75" style="4" customWidth="1"/>
    <col min="788" max="788" width="10" style="4" customWidth="1"/>
    <col min="789" max="789" width="9.875" style="4" customWidth="1"/>
    <col min="790" max="790" width="26.125" style="4" customWidth="1"/>
    <col min="791" max="791" width="11.125" style="4" customWidth="1"/>
    <col min="792" max="792" width="7.875" style="4" customWidth="1"/>
    <col min="793" max="793" width="7.25" style="4" customWidth="1"/>
    <col min="794" max="794" width="9.125" style="4" customWidth="1"/>
    <col min="795" max="795" width="15.125" style="4" customWidth="1"/>
    <col min="796" max="796" width="7.75" style="4" customWidth="1"/>
    <col min="797" max="797" width="7.125" style="4" customWidth="1"/>
    <col min="798" max="798" width="12.125" style="4" customWidth="1"/>
    <col min="799" max="799" width="8.25" style="4" customWidth="1"/>
    <col min="800" max="801" width="10.375" style="4" customWidth="1"/>
    <col min="802" max="802" width="15.625" style="4" customWidth="1"/>
    <col min="803" max="803" width="15.875" style="4" customWidth="1"/>
    <col min="804" max="804" width="8.125" style="4" customWidth="1"/>
    <col min="805" max="808" width="10.375" style="4" customWidth="1"/>
    <col min="809" max="809" width="7.25" style="4" customWidth="1"/>
    <col min="810" max="810" width="7.125" style="4" customWidth="1"/>
    <col min="811" max="811" width="9.5" style="4" customWidth="1"/>
    <col min="812" max="813" width="9" style="4" customWidth="1"/>
    <col min="814" max="814" width="16.125" style="4" customWidth="1"/>
    <col min="815" max="845" width="9" style="4" customWidth="1"/>
    <col min="846" max="1005" width="25.25" style="4"/>
    <col min="1006" max="1035" width="9" style="4" customWidth="1"/>
    <col min="1036" max="1036" width="0.5" style="4" customWidth="1"/>
    <col min="1037" max="1037" width="25.25" style="4"/>
    <col min="1038" max="1038" width="0.5" style="4" customWidth="1"/>
    <col min="1039" max="1039" width="25.25" style="4"/>
    <col min="1040" max="1040" width="14.75" style="4" customWidth="1"/>
    <col min="1041" max="1041" width="11.5" style="4" customWidth="1"/>
    <col min="1042" max="1042" width="11.25" style="4" customWidth="1"/>
    <col min="1043" max="1043" width="10.75" style="4" customWidth="1"/>
    <col min="1044" max="1044" width="10" style="4" customWidth="1"/>
    <col min="1045" max="1045" width="9.875" style="4" customWidth="1"/>
    <col min="1046" max="1046" width="26.125" style="4" customWidth="1"/>
    <col min="1047" max="1047" width="11.125" style="4" customWidth="1"/>
    <col min="1048" max="1048" width="7.875" style="4" customWidth="1"/>
    <col min="1049" max="1049" width="7.25" style="4" customWidth="1"/>
    <col min="1050" max="1050" width="9.125" style="4" customWidth="1"/>
    <col min="1051" max="1051" width="15.125" style="4" customWidth="1"/>
    <col min="1052" max="1052" width="7.75" style="4" customWidth="1"/>
    <col min="1053" max="1053" width="7.125" style="4" customWidth="1"/>
    <col min="1054" max="1054" width="12.125" style="4" customWidth="1"/>
    <col min="1055" max="1055" width="8.25" style="4" customWidth="1"/>
    <col min="1056" max="1057" width="10.375" style="4" customWidth="1"/>
    <col min="1058" max="1058" width="15.625" style="4" customWidth="1"/>
    <col min="1059" max="1059" width="15.875" style="4" customWidth="1"/>
    <col min="1060" max="1060" width="8.125" style="4" customWidth="1"/>
    <col min="1061" max="1064" width="10.375" style="4" customWidth="1"/>
    <col min="1065" max="1065" width="7.25" style="4" customWidth="1"/>
    <col min="1066" max="1066" width="7.125" style="4" customWidth="1"/>
    <col min="1067" max="1067" width="9.5" style="4" customWidth="1"/>
    <col min="1068" max="1069" width="9" style="4" customWidth="1"/>
    <col min="1070" max="1070" width="16.125" style="4" customWidth="1"/>
    <col min="1071" max="1101" width="9" style="4" customWidth="1"/>
    <col min="1102" max="1261" width="25.25" style="4"/>
    <col min="1262" max="1291" width="9" style="4" customWidth="1"/>
    <col min="1292" max="1292" width="0.5" style="4" customWidth="1"/>
    <col min="1293" max="1293" width="25.25" style="4"/>
    <col min="1294" max="1294" width="0.5" style="4" customWidth="1"/>
    <col min="1295" max="1295" width="25.25" style="4"/>
    <col min="1296" max="1296" width="14.75" style="4" customWidth="1"/>
    <col min="1297" max="1297" width="11.5" style="4" customWidth="1"/>
    <col min="1298" max="1298" width="11.25" style="4" customWidth="1"/>
    <col min="1299" max="1299" width="10.75" style="4" customWidth="1"/>
    <col min="1300" max="1300" width="10" style="4" customWidth="1"/>
    <col min="1301" max="1301" width="9.875" style="4" customWidth="1"/>
    <col min="1302" max="1302" width="26.125" style="4" customWidth="1"/>
    <col min="1303" max="1303" width="11.125" style="4" customWidth="1"/>
    <col min="1304" max="1304" width="7.875" style="4" customWidth="1"/>
    <col min="1305" max="1305" width="7.25" style="4" customWidth="1"/>
    <col min="1306" max="1306" width="9.125" style="4" customWidth="1"/>
    <col min="1307" max="1307" width="15.125" style="4" customWidth="1"/>
    <col min="1308" max="1308" width="7.75" style="4" customWidth="1"/>
    <col min="1309" max="1309" width="7.125" style="4" customWidth="1"/>
    <col min="1310" max="1310" width="12.125" style="4" customWidth="1"/>
    <col min="1311" max="1311" width="8.25" style="4" customWidth="1"/>
    <col min="1312" max="1313" width="10.375" style="4" customWidth="1"/>
    <col min="1314" max="1314" width="15.625" style="4" customWidth="1"/>
    <col min="1315" max="1315" width="15.875" style="4" customWidth="1"/>
    <col min="1316" max="1316" width="8.125" style="4" customWidth="1"/>
    <col min="1317" max="1320" width="10.375" style="4" customWidth="1"/>
    <col min="1321" max="1321" width="7.25" style="4" customWidth="1"/>
    <col min="1322" max="1322" width="7.125" style="4" customWidth="1"/>
    <col min="1323" max="1323" width="9.5" style="4" customWidth="1"/>
    <col min="1324" max="1325" width="9" style="4" customWidth="1"/>
    <col min="1326" max="1326" width="16.125" style="4" customWidth="1"/>
    <col min="1327" max="1357" width="9" style="4" customWidth="1"/>
    <col min="1358" max="1517" width="25.25" style="4"/>
    <col min="1518" max="1547" width="9" style="4" customWidth="1"/>
    <col min="1548" max="1548" width="0.5" style="4" customWidth="1"/>
    <col min="1549" max="1549" width="25.25" style="4"/>
    <col min="1550" max="1550" width="0.5" style="4" customWidth="1"/>
    <col min="1551" max="1551" width="25.25" style="4"/>
    <col min="1552" max="1552" width="14.75" style="4" customWidth="1"/>
    <col min="1553" max="1553" width="11.5" style="4" customWidth="1"/>
    <col min="1554" max="1554" width="11.25" style="4" customWidth="1"/>
    <col min="1555" max="1555" width="10.75" style="4" customWidth="1"/>
    <col min="1556" max="1556" width="10" style="4" customWidth="1"/>
    <col min="1557" max="1557" width="9.875" style="4" customWidth="1"/>
    <col min="1558" max="1558" width="26.125" style="4" customWidth="1"/>
    <col min="1559" max="1559" width="11.125" style="4" customWidth="1"/>
    <col min="1560" max="1560" width="7.875" style="4" customWidth="1"/>
    <col min="1561" max="1561" width="7.25" style="4" customWidth="1"/>
    <col min="1562" max="1562" width="9.125" style="4" customWidth="1"/>
    <col min="1563" max="1563" width="15.125" style="4" customWidth="1"/>
    <col min="1564" max="1564" width="7.75" style="4" customWidth="1"/>
    <col min="1565" max="1565" width="7.125" style="4" customWidth="1"/>
    <col min="1566" max="1566" width="12.125" style="4" customWidth="1"/>
    <col min="1567" max="1567" width="8.25" style="4" customWidth="1"/>
    <col min="1568" max="1569" width="10.375" style="4" customWidth="1"/>
    <col min="1570" max="1570" width="15.625" style="4" customWidth="1"/>
    <col min="1571" max="1571" width="15.875" style="4" customWidth="1"/>
    <col min="1572" max="1572" width="8.125" style="4" customWidth="1"/>
    <col min="1573" max="1576" width="10.375" style="4" customWidth="1"/>
    <col min="1577" max="1577" width="7.25" style="4" customWidth="1"/>
    <col min="1578" max="1578" width="7.125" style="4" customWidth="1"/>
    <col min="1579" max="1579" width="9.5" style="4" customWidth="1"/>
    <col min="1580" max="1581" width="9" style="4" customWidth="1"/>
    <col min="1582" max="1582" width="16.125" style="4" customWidth="1"/>
    <col min="1583" max="1613" width="9" style="4" customWidth="1"/>
    <col min="1614" max="1773" width="25.25" style="4"/>
    <col min="1774" max="1803" width="9" style="4" customWidth="1"/>
    <col min="1804" max="1804" width="0.5" style="4" customWidth="1"/>
    <col min="1805" max="1805" width="25.25" style="4"/>
    <col min="1806" max="1806" width="0.5" style="4" customWidth="1"/>
    <col min="1807" max="1807" width="25.25" style="4"/>
    <col min="1808" max="1808" width="14.75" style="4" customWidth="1"/>
    <col min="1809" max="1809" width="11.5" style="4" customWidth="1"/>
    <col min="1810" max="1810" width="11.25" style="4" customWidth="1"/>
    <col min="1811" max="1811" width="10.75" style="4" customWidth="1"/>
    <col min="1812" max="1812" width="10" style="4" customWidth="1"/>
    <col min="1813" max="1813" width="9.875" style="4" customWidth="1"/>
    <col min="1814" max="1814" width="26.125" style="4" customWidth="1"/>
    <col min="1815" max="1815" width="11.125" style="4" customWidth="1"/>
    <col min="1816" max="1816" width="7.875" style="4" customWidth="1"/>
    <col min="1817" max="1817" width="7.25" style="4" customWidth="1"/>
    <col min="1818" max="1818" width="9.125" style="4" customWidth="1"/>
    <col min="1819" max="1819" width="15.125" style="4" customWidth="1"/>
    <col min="1820" max="1820" width="7.75" style="4" customWidth="1"/>
    <col min="1821" max="1821" width="7.125" style="4" customWidth="1"/>
    <col min="1822" max="1822" width="12.125" style="4" customWidth="1"/>
    <col min="1823" max="1823" width="8.25" style="4" customWidth="1"/>
    <col min="1824" max="1825" width="10.375" style="4" customWidth="1"/>
    <col min="1826" max="1826" width="15.625" style="4" customWidth="1"/>
    <col min="1827" max="1827" width="15.875" style="4" customWidth="1"/>
    <col min="1828" max="1828" width="8.125" style="4" customWidth="1"/>
    <col min="1829" max="1832" width="10.375" style="4" customWidth="1"/>
    <col min="1833" max="1833" width="7.25" style="4" customWidth="1"/>
    <col min="1834" max="1834" width="7.125" style="4" customWidth="1"/>
    <col min="1835" max="1835" width="9.5" style="4" customWidth="1"/>
    <col min="1836" max="1837" width="9" style="4" customWidth="1"/>
    <col min="1838" max="1838" width="16.125" style="4" customWidth="1"/>
    <col min="1839" max="1869" width="9" style="4" customWidth="1"/>
    <col min="1870" max="2029" width="25.25" style="4"/>
    <col min="2030" max="2059" width="9" style="4" customWidth="1"/>
    <col min="2060" max="2060" width="0.5" style="4" customWidth="1"/>
    <col min="2061" max="2061" width="25.25" style="4"/>
    <col min="2062" max="2062" width="0.5" style="4" customWidth="1"/>
    <col min="2063" max="2063" width="25.25" style="4"/>
    <col min="2064" max="2064" width="14.75" style="4" customWidth="1"/>
    <col min="2065" max="2065" width="11.5" style="4" customWidth="1"/>
    <col min="2066" max="2066" width="11.25" style="4" customWidth="1"/>
    <col min="2067" max="2067" width="10.75" style="4" customWidth="1"/>
    <col min="2068" max="2068" width="10" style="4" customWidth="1"/>
    <col min="2069" max="2069" width="9.875" style="4" customWidth="1"/>
    <col min="2070" max="2070" width="26.125" style="4" customWidth="1"/>
    <col min="2071" max="2071" width="11.125" style="4" customWidth="1"/>
    <col min="2072" max="2072" width="7.875" style="4" customWidth="1"/>
    <col min="2073" max="2073" width="7.25" style="4" customWidth="1"/>
    <col min="2074" max="2074" width="9.125" style="4" customWidth="1"/>
    <col min="2075" max="2075" width="15.125" style="4" customWidth="1"/>
    <col min="2076" max="2076" width="7.75" style="4" customWidth="1"/>
    <col min="2077" max="2077" width="7.125" style="4" customWidth="1"/>
    <col min="2078" max="2078" width="12.125" style="4" customWidth="1"/>
    <col min="2079" max="2079" width="8.25" style="4" customWidth="1"/>
    <col min="2080" max="2081" width="10.375" style="4" customWidth="1"/>
    <col min="2082" max="2082" width="15.625" style="4" customWidth="1"/>
    <col min="2083" max="2083" width="15.875" style="4" customWidth="1"/>
    <col min="2084" max="2084" width="8.125" style="4" customWidth="1"/>
    <col min="2085" max="2088" width="10.375" style="4" customWidth="1"/>
    <col min="2089" max="2089" width="7.25" style="4" customWidth="1"/>
    <col min="2090" max="2090" width="7.125" style="4" customWidth="1"/>
    <col min="2091" max="2091" width="9.5" style="4" customWidth="1"/>
    <col min="2092" max="2093" width="9" style="4" customWidth="1"/>
    <col min="2094" max="2094" width="16.125" style="4" customWidth="1"/>
    <col min="2095" max="2125" width="9" style="4" customWidth="1"/>
    <col min="2126" max="2285" width="25.25" style="4"/>
    <col min="2286" max="2315" width="9" style="4" customWidth="1"/>
    <col min="2316" max="2316" width="0.5" style="4" customWidth="1"/>
    <col min="2317" max="2317" width="25.25" style="4"/>
    <col min="2318" max="2318" width="0.5" style="4" customWidth="1"/>
    <col min="2319" max="2319" width="25.25" style="4"/>
    <col min="2320" max="2320" width="14.75" style="4" customWidth="1"/>
    <col min="2321" max="2321" width="11.5" style="4" customWidth="1"/>
    <col min="2322" max="2322" width="11.25" style="4" customWidth="1"/>
    <col min="2323" max="2323" width="10.75" style="4" customWidth="1"/>
    <col min="2324" max="2324" width="10" style="4" customWidth="1"/>
    <col min="2325" max="2325" width="9.875" style="4" customWidth="1"/>
    <col min="2326" max="2326" width="26.125" style="4" customWidth="1"/>
    <col min="2327" max="2327" width="11.125" style="4" customWidth="1"/>
    <col min="2328" max="2328" width="7.875" style="4" customWidth="1"/>
    <col min="2329" max="2329" width="7.25" style="4" customWidth="1"/>
    <col min="2330" max="2330" width="9.125" style="4" customWidth="1"/>
    <col min="2331" max="2331" width="15.125" style="4" customWidth="1"/>
    <col min="2332" max="2332" width="7.75" style="4" customWidth="1"/>
    <col min="2333" max="2333" width="7.125" style="4" customWidth="1"/>
    <col min="2334" max="2334" width="12.125" style="4" customWidth="1"/>
    <col min="2335" max="2335" width="8.25" style="4" customWidth="1"/>
    <col min="2336" max="2337" width="10.375" style="4" customWidth="1"/>
    <col min="2338" max="2338" width="15.625" style="4" customWidth="1"/>
    <col min="2339" max="2339" width="15.875" style="4" customWidth="1"/>
    <col min="2340" max="2340" width="8.125" style="4" customWidth="1"/>
    <col min="2341" max="2344" width="10.375" style="4" customWidth="1"/>
    <col min="2345" max="2345" width="7.25" style="4" customWidth="1"/>
    <col min="2346" max="2346" width="7.125" style="4" customWidth="1"/>
    <col min="2347" max="2347" width="9.5" style="4" customWidth="1"/>
    <col min="2348" max="2349" width="9" style="4" customWidth="1"/>
    <col min="2350" max="2350" width="16.125" style="4" customWidth="1"/>
    <col min="2351" max="2381" width="9" style="4" customWidth="1"/>
    <col min="2382" max="2541" width="25.25" style="4"/>
    <col min="2542" max="2571" width="9" style="4" customWidth="1"/>
    <col min="2572" max="2572" width="0.5" style="4" customWidth="1"/>
    <col min="2573" max="2573" width="25.25" style="4"/>
    <col min="2574" max="2574" width="0.5" style="4" customWidth="1"/>
    <col min="2575" max="2575" width="25.25" style="4"/>
    <col min="2576" max="2576" width="14.75" style="4" customWidth="1"/>
    <col min="2577" max="2577" width="11.5" style="4" customWidth="1"/>
    <col min="2578" max="2578" width="11.25" style="4" customWidth="1"/>
    <col min="2579" max="2579" width="10.75" style="4" customWidth="1"/>
    <col min="2580" max="2580" width="10" style="4" customWidth="1"/>
    <col min="2581" max="2581" width="9.875" style="4" customWidth="1"/>
    <col min="2582" max="2582" width="26.125" style="4" customWidth="1"/>
    <col min="2583" max="2583" width="11.125" style="4" customWidth="1"/>
    <col min="2584" max="2584" width="7.875" style="4" customWidth="1"/>
    <col min="2585" max="2585" width="7.25" style="4" customWidth="1"/>
    <col min="2586" max="2586" width="9.125" style="4" customWidth="1"/>
    <col min="2587" max="2587" width="15.125" style="4" customWidth="1"/>
    <col min="2588" max="2588" width="7.75" style="4" customWidth="1"/>
    <col min="2589" max="2589" width="7.125" style="4" customWidth="1"/>
    <col min="2590" max="2590" width="12.125" style="4" customWidth="1"/>
    <col min="2591" max="2591" width="8.25" style="4" customWidth="1"/>
    <col min="2592" max="2593" width="10.375" style="4" customWidth="1"/>
    <col min="2594" max="2594" width="15.625" style="4" customWidth="1"/>
    <col min="2595" max="2595" width="15.875" style="4" customWidth="1"/>
    <col min="2596" max="2596" width="8.125" style="4" customWidth="1"/>
    <col min="2597" max="2600" width="10.375" style="4" customWidth="1"/>
    <col min="2601" max="2601" width="7.25" style="4" customWidth="1"/>
    <col min="2602" max="2602" width="7.125" style="4" customWidth="1"/>
    <col min="2603" max="2603" width="9.5" style="4" customWidth="1"/>
    <col min="2604" max="2605" width="9" style="4" customWidth="1"/>
    <col min="2606" max="2606" width="16.125" style="4" customWidth="1"/>
    <col min="2607" max="2637" width="9" style="4" customWidth="1"/>
    <col min="2638" max="2797" width="25.25" style="4"/>
    <col min="2798" max="2827" width="9" style="4" customWidth="1"/>
    <col min="2828" max="2828" width="0.5" style="4" customWidth="1"/>
    <col min="2829" max="2829" width="25.25" style="4"/>
    <col min="2830" max="2830" width="0.5" style="4" customWidth="1"/>
    <col min="2831" max="2831" width="25.25" style="4"/>
    <col min="2832" max="2832" width="14.75" style="4" customWidth="1"/>
    <col min="2833" max="2833" width="11.5" style="4" customWidth="1"/>
    <col min="2834" max="2834" width="11.25" style="4" customWidth="1"/>
    <col min="2835" max="2835" width="10.75" style="4" customWidth="1"/>
    <col min="2836" max="2836" width="10" style="4" customWidth="1"/>
    <col min="2837" max="2837" width="9.875" style="4" customWidth="1"/>
    <col min="2838" max="2838" width="26.125" style="4" customWidth="1"/>
    <col min="2839" max="2839" width="11.125" style="4" customWidth="1"/>
    <col min="2840" max="2840" width="7.875" style="4" customWidth="1"/>
    <col min="2841" max="2841" width="7.25" style="4" customWidth="1"/>
    <col min="2842" max="2842" width="9.125" style="4" customWidth="1"/>
    <col min="2843" max="2843" width="15.125" style="4" customWidth="1"/>
    <col min="2844" max="2844" width="7.75" style="4" customWidth="1"/>
    <col min="2845" max="2845" width="7.125" style="4" customWidth="1"/>
    <col min="2846" max="2846" width="12.125" style="4" customWidth="1"/>
    <col min="2847" max="2847" width="8.25" style="4" customWidth="1"/>
    <col min="2848" max="2849" width="10.375" style="4" customWidth="1"/>
    <col min="2850" max="2850" width="15.625" style="4" customWidth="1"/>
    <col min="2851" max="2851" width="15.875" style="4" customWidth="1"/>
    <col min="2852" max="2852" width="8.125" style="4" customWidth="1"/>
    <col min="2853" max="2856" width="10.375" style="4" customWidth="1"/>
    <col min="2857" max="2857" width="7.25" style="4" customWidth="1"/>
    <col min="2858" max="2858" width="7.125" style="4" customWidth="1"/>
    <col min="2859" max="2859" width="9.5" style="4" customWidth="1"/>
    <col min="2860" max="2861" width="9" style="4" customWidth="1"/>
    <col min="2862" max="2862" width="16.125" style="4" customWidth="1"/>
    <col min="2863" max="2893" width="9" style="4" customWidth="1"/>
    <col min="2894" max="3053" width="25.25" style="4"/>
    <col min="3054" max="3083" width="9" style="4" customWidth="1"/>
    <col min="3084" max="3084" width="0.5" style="4" customWidth="1"/>
    <col min="3085" max="3085" width="25.25" style="4"/>
    <col min="3086" max="3086" width="0.5" style="4" customWidth="1"/>
    <col min="3087" max="3087" width="25.25" style="4"/>
    <col min="3088" max="3088" width="14.75" style="4" customWidth="1"/>
    <col min="3089" max="3089" width="11.5" style="4" customWidth="1"/>
    <col min="3090" max="3090" width="11.25" style="4" customWidth="1"/>
    <col min="3091" max="3091" width="10.75" style="4" customWidth="1"/>
    <col min="3092" max="3092" width="10" style="4" customWidth="1"/>
    <col min="3093" max="3093" width="9.875" style="4" customWidth="1"/>
    <col min="3094" max="3094" width="26.125" style="4" customWidth="1"/>
    <col min="3095" max="3095" width="11.125" style="4" customWidth="1"/>
    <col min="3096" max="3096" width="7.875" style="4" customWidth="1"/>
    <col min="3097" max="3097" width="7.25" style="4" customWidth="1"/>
    <col min="3098" max="3098" width="9.125" style="4" customWidth="1"/>
    <col min="3099" max="3099" width="15.125" style="4" customWidth="1"/>
    <col min="3100" max="3100" width="7.75" style="4" customWidth="1"/>
    <col min="3101" max="3101" width="7.125" style="4" customWidth="1"/>
    <col min="3102" max="3102" width="12.125" style="4" customWidth="1"/>
    <col min="3103" max="3103" width="8.25" style="4" customWidth="1"/>
    <col min="3104" max="3105" width="10.375" style="4" customWidth="1"/>
    <col min="3106" max="3106" width="15.625" style="4" customWidth="1"/>
    <col min="3107" max="3107" width="15.875" style="4" customWidth="1"/>
    <col min="3108" max="3108" width="8.125" style="4" customWidth="1"/>
    <col min="3109" max="3112" width="10.375" style="4" customWidth="1"/>
    <col min="3113" max="3113" width="7.25" style="4" customWidth="1"/>
    <col min="3114" max="3114" width="7.125" style="4" customWidth="1"/>
    <col min="3115" max="3115" width="9.5" style="4" customWidth="1"/>
    <col min="3116" max="3117" width="9" style="4" customWidth="1"/>
    <col min="3118" max="3118" width="16.125" style="4" customWidth="1"/>
    <col min="3119" max="3149" width="9" style="4" customWidth="1"/>
    <col min="3150" max="3309" width="25.25" style="4"/>
    <col min="3310" max="3339" width="9" style="4" customWidth="1"/>
    <col min="3340" max="3340" width="0.5" style="4" customWidth="1"/>
    <col min="3341" max="3341" width="25.25" style="4"/>
    <col min="3342" max="3342" width="0.5" style="4" customWidth="1"/>
    <col min="3343" max="3343" width="25.25" style="4"/>
    <col min="3344" max="3344" width="14.75" style="4" customWidth="1"/>
    <col min="3345" max="3345" width="11.5" style="4" customWidth="1"/>
    <col min="3346" max="3346" width="11.25" style="4" customWidth="1"/>
    <col min="3347" max="3347" width="10.75" style="4" customWidth="1"/>
    <col min="3348" max="3348" width="10" style="4" customWidth="1"/>
    <col min="3349" max="3349" width="9.875" style="4" customWidth="1"/>
    <col min="3350" max="3350" width="26.125" style="4" customWidth="1"/>
    <col min="3351" max="3351" width="11.125" style="4" customWidth="1"/>
    <col min="3352" max="3352" width="7.875" style="4" customWidth="1"/>
    <col min="3353" max="3353" width="7.25" style="4" customWidth="1"/>
    <col min="3354" max="3354" width="9.125" style="4" customWidth="1"/>
    <col min="3355" max="3355" width="15.125" style="4" customWidth="1"/>
    <col min="3356" max="3356" width="7.75" style="4" customWidth="1"/>
    <col min="3357" max="3357" width="7.125" style="4" customWidth="1"/>
    <col min="3358" max="3358" width="12.125" style="4" customWidth="1"/>
    <col min="3359" max="3359" width="8.25" style="4" customWidth="1"/>
    <col min="3360" max="3361" width="10.375" style="4" customWidth="1"/>
    <col min="3362" max="3362" width="15.625" style="4" customWidth="1"/>
    <col min="3363" max="3363" width="15.875" style="4" customWidth="1"/>
    <col min="3364" max="3364" width="8.125" style="4" customWidth="1"/>
    <col min="3365" max="3368" width="10.375" style="4" customWidth="1"/>
    <col min="3369" max="3369" width="7.25" style="4" customWidth="1"/>
    <col min="3370" max="3370" width="7.125" style="4" customWidth="1"/>
    <col min="3371" max="3371" width="9.5" style="4" customWidth="1"/>
    <col min="3372" max="3373" width="9" style="4" customWidth="1"/>
    <col min="3374" max="3374" width="16.125" style="4" customWidth="1"/>
    <col min="3375" max="3405" width="9" style="4" customWidth="1"/>
    <col min="3406" max="3565" width="25.25" style="4"/>
    <col min="3566" max="3595" width="9" style="4" customWidth="1"/>
    <col min="3596" max="3596" width="0.5" style="4" customWidth="1"/>
    <col min="3597" max="3597" width="25.25" style="4"/>
    <col min="3598" max="3598" width="0.5" style="4" customWidth="1"/>
    <col min="3599" max="3599" width="25.25" style="4"/>
    <col min="3600" max="3600" width="14.75" style="4" customWidth="1"/>
    <col min="3601" max="3601" width="11.5" style="4" customWidth="1"/>
    <col min="3602" max="3602" width="11.25" style="4" customWidth="1"/>
    <col min="3603" max="3603" width="10.75" style="4" customWidth="1"/>
    <col min="3604" max="3604" width="10" style="4" customWidth="1"/>
    <col min="3605" max="3605" width="9.875" style="4" customWidth="1"/>
    <col min="3606" max="3606" width="26.125" style="4" customWidth="1"/>
    <col min="3607" max="3607" width="11.125" style="4" customWidth="1"/>
    <col min="3608" max="3608" width="7.875" style="4" customWidth="1"/>
    <col min="3609" max="3609" width="7.25" style="4" customWidth="1"/>
    <col min="3610" max="3610" width="9.125" style="4" customWidth="1"/>
    <col min="3611" max="3611" width="15.125" style="4" customWidth="1"/>
    <col min="3612" max="3612" width="7.75" style="4" customWidth="1"/>
    <col min="3613" max="3613" width="7.125" style="4" customWidth="1"/>
    <col min="3614" max="3614" width="12.125" style="4" customWidth="1"/>
    <col min="3615" max="3615" width="8.25" style="4" customWidth="1"/>
    <col min="3616" max="3617" width="10.375" style="4" customWidth="1"/>
    <col min="3618" max="3618" width="15.625" style="4" customWidth="1"/>
    <col min="3619" max="3619" width="15.875" style="4" customWidth="1"/>
    <col min="3620" max="3620" width="8.125" style="4" customWidth="1"/>
    <col min="3621" max="3624" width="10.375" style="4" customWidth="1"/>
    <col min="3625" max="3625" width="7.25" style="4" customWidth="1"/>
    <col min="3626" max="3626" width="7.125" style="4" customWidth="1"/>
    <col min="3627" max="3627" width="9.5" style="4" customWidth="1"/>
    <col min="3628" max="3629" width="9" style="4" customWidth="1"/>
    <col min="3630" max="3630" width="16.125" style="4" customWidth="1"/>
    <col min="3631" max="3661" width="9" style="4" customWidth="1"/>
    <col min="3662" max="3821" width="25.25" style="4"/>
    <col min="3822" max="3851" width="9" style="4" customWidth="1"/>
    <col min="3852" max="3852" width="0.5" style="4" customWidth="1"/>
    <col min="3853" max="3853" width="25.25" style="4"/>
    <col min="3854" max="3854" width="0.5" style="4" customWidth="1"/>
    <col min="3855" max="3855" width="25.25" style="4"/>
    <col min="3856" max="3856" width="14.75" style="4" customWidth="1"/>
    <col min="3857" max="3857" width="11.5" style="4" customWidth="1"/>
    <col min="3858" max="3858" width="11.25" style="4" customWidth="1"/>
    <col min="3859" max="3859" width="10.75" style="4" customWidth="1"/>
    <col min="3860" max="3860" width="10" style="4" customWidth="1"/>
    <col min="3861" max="3861" width="9.875" style="4" customWidth="1"/>
    <col min="3862" max="3862" width="26.125" style="4" customWidth="1"/>
    <col min="3863" max="3863" width="11.125" style="4" customWidth="1"/>
    <col min="3864" max="3864" width="7.875" style="4" customWidth="1"/>
    <col min="3865" max="3865" width="7.25" style="4" customWidth="1"/>
    <col min="3866" max="3866" width="9.125" style="4" customWidth="1"/>
    <col min="3867" max="3867" width="15.125" style="4" customWidth="1"/>
    <col min="3868" max="3868" width="7.75" style="4" customWidth="1"/>
    <col min="3869" max="3869" width="7.125" style="4" customWidth="1"/>
    <col min="3870" max="3870" width="12.125" style="4" customWidth="1"/>
    <col min="3871" max="3871" width="8.25" style="4" customWidth="1"/>
    <col min="3872" max="3873" width="10.375" style="4" customWidth="1"/>
    <col min="3874" max="3874" width="15.625" style="4" customWidth="1"/>
    <col min="3875" max="3875" width="15.875" style="4" customWidth="1"/>
    <col min="3876" max="3876" width="8.125" style="4" customWidth="1"/>
    <col min="3877" max="3880" width="10.375" style="4" customWidth="1"/>
    <col min="3881" max="3881" width="7.25" style="4" customWidth="1"/>
    <col min="3882" max="3882" width="7.125" style="4" customWidth="1"/>
    <col min="3883" max="3883" width="9.5" style="4" customWidth="1"/>
    <col min="3884" max="3885" width="9" style="4" customWidth="1"/>
    <col min="3886" max="3886" width="16.125" style="4" customWidth="1"/>
    <col min="3887" max="3917" width="9" style="4" customWidth="1"/>
    <col min="3918" max="4077" width="25.25" style="4"/>
    <col min="4078" max="4107" width="9" style="4" customWidth="1"/>
    <col min="4108" max="4108" width="0.5" style="4" customWidth="1"/>
    <col min="4109" max="4109" width="25.25" style="4"/>
    <col min="4110" max="4110" width="0.5" style="4" customWidth="1"/>
    <col min="4111" max="4111" width="25.25" style="4"/>
    <col min="4112" max="4112" width="14.75" style="4" customWidth="1"/>
    <col min="4113" max="4113" width="11.5" style="4" customWidth="1"/>
    <col min="4114" max="4114" width="11.25" style="4" customWidth="1"/>
    <col min="4115" max="4115" width="10.75" style="4" customWidth="1"/>
    <col min="4116" max="4116" width="10" style="4" customWidth="1"/>
    <col min="4117" max="4117" width="9.875" style="4" customWidth="1"/>
    <col min="4118" max="4118" width="26.125" style="4" customWidth="1"/>
    <col min="4119" max="4119" width="11.125" style="4" customWidth="1"/>
    <col min="4120" max="4120" width="7.875" style="4" customWidth="1"/>
    <col min="4121" max="4121" width="7.25" style="4" customWidth="1"/>
    <col min="4122" max="4122" width="9.125" style="4" customWidth="1"/>
    <col min="4123" max="4123" width="15.125" style="4" customWidth="1"/>
    <col min="4124" max="4124" width="7.75" style="4" customWidth="1"/>
    <col min="4125" max="4125" width="7.125" style="4" customWidth="1"/>
    <col min="4126" max="4126" width="12.125" style="4" customWidth="1"/>
    <col min="4127" max="4127" width="8.25" style="4" customWidth="1"/>
    <col min="4128" max="4129" width="10.375" style="4" customWidth="1"/>
    <col min="4130" max="4130" width="15.625" style="4" customWidth="1"/>
    <col min="4131" max="4131" width="15.875" style="4" customWidth="1"/>
    <col min="4132" max="4132" width="8.125" style="4" customWidth="1"/>
    <col min="4133" max="4136" width="10.375" style="4" customWidth="1"/>
    <col min="4137" max="4137" width="7.25" style="4" customWidth="1"/>
    <col min="4138" max="4138" width="7.125" style="4" customWidth="1"/>
    <col min="4139" max="4139" width="9.5" style="4" customWidth="1"/>
    <col min="4140" max="4141" width="9" style="4" customWidth="1"/>
    <col min="4142" max="4142" width="16.125" style="4" customWidth="1"/>
    <col min="4143" max="4173" width="9" style="4" customWidth="1"/>
    <col min="4174" max="4333" width="25.25" style="4"/>
    <col min="4334" max="4363" width="9" style="4" customWidth="1"/>
    <col min="4364" max="4364" width="0.5" style="4" customWidth="1"/>
    <col min="4365" max="4365" width="25.25" style="4"/>
    <col min="4366" max="4366" width="0.5" style="4" customWidth="1"/>
    <col min="4367" max="4367" width="25.25" style="4"/>
    <col min="4368" max="4368" width="14.75" style="4" customWidth="1"/>
    <col min="4369" max="4369" width="11.5" style="4" customWidth="1"/>
    <col min="4370" max="4370" width="11.25" style="4" customWidth="1"/>
    <col min="4371" max="4371" width="10.75" style="4" customWidth="1"/>
    <col min="4372" max="4372" width="10" style="4" customWidth="1"/>
    <col min="4373" max="4373" width="9.875" style="4" customWidth="1"/>
    <col min="4374" max="4374" width="26.125" style="4" customWidth="1"/>
    <col min="4375" max="4375" width="11.125" style="4" customWidth="1"/>
    <col min="4376" max="4376" width="7.875" style="4" customWidth="1"/>
    <col min="4377" max="4377" width="7.25" style="4" customWidth="1"/>
    <col min="4378" max="4378" width="9.125" style="4" customWidth="1"/>
    <col min="4379" max="4379" width="15.125" style="4" customWidth="1"/>
    <col min="4380" max="4380" width="7.75" style="4" customWidth="1"/>
    <col min="4381" max="4381" width="7.125" style="4" customWidth="1"/>
    <col min="4382" max="4382" width="12.125" style="4" customWidth="1"/>
    <col min="4383" max="4383" width="8.25" style="4" customWidth="1"/>
    <col min="4384" max="4385" width="10.375" style="4" customWidth="1"/>
    <col min="4386" max="4386" width="15.625" style="4" customWidth="1"/>
    <col min="4387" max="4387" width="15.875" style="4" customWidth="1"/>
    <col min="4388" max="4388" width="8.125" style="4" customWidth="1"/>
    <col min="4389" max="4392" width="10.375" style="4" customWidth="1"/>
    <col min="4393" max="4393" width="7.25" style="4" customWidth="1"/>
    <col min="4394" max="4394" width="7.125" style="4" customWidth="1"/>
    <col min="4395" max="4395" width="9.5" style="4" customWidth="1"/>
    <col min="4396" max="4397" width="9" style="4" customWidth="1"/>
    <col min="4398" max="4398" width="16.125" style="4" customWidth="1"/>
    <col min="4399" max="4429" width="9" style="4" customWidth="1"/>
    <col min="4430" max="4589" width="25.25" style="4"/>
    <col min="4590" max="4619" width="9" style="4" customWidth="1"/>
    <col min="4620" max="4620" width="0.5" style="4" customWidth="1"/>
    <col min="4621" max="4621" width="25.25" style="4"/>
    <col min="4622" max="4622" width="0.5" style="4" customWidth="1"/>
    <col min="4623" max="4623" width="25.25" style="4"/>
    <col min="4624" max="4624" width="14.75" style="4" customWidth="1"/>
    <col min="4625" max="4625" width="11.5" style="4" customWidth="1"/>
    <col min="4626" max="4626" width="11.25" style="4" customWidth="1"/>
    <col min="4627" max="4627" width="10.75" style="4" customWidth="1"/>
    <col min="4628" max="4628" width="10" style="4" customWidth="1"/>
    <col min="4629" max="4629" width="9.875" style="4" customWidth="1"/>
    <col min="4630" max="4630" width="26.125" style="4" customWidth="1"/>
    <col min="4631" max="4631" width="11.125" style="4" customWidth="1"/>
    <col min="4632" max="4632" width="7.875" style="4" customWidth="1"/>
    <col min="4633" max="4633" width="7.25" style="4" customWidth="1"/>
    <col min="4634" max="4634" width="9.125" style="4" customWidth="1"/>
    <col min="4635" max="4635" width="15.125" style="4" customWidth="1"/>
    <col min="4636" max="4636" width="7.75" style="4" customWidth="1"/>
    <col min="4637" max="4637" width="7.125" style="4" customWidth="1"/>
    <col min="4638" max="4638" width="12.125" style="4" customWidth="1"/>
    <col min="4639" max="4639" width="8.25" style="4" customWidth="1"/>
    <col min="4640" max="4641" width="10.375" style="4" customWidth="1"/>
    <col min="4642" max="4642" width="15.625" style="4" customWidth="1"/>
    <col min="4643" max="4643" width="15.875" style="4" customWidth="1"/>
    <col min="4644" max="4644" width="8.125" style="4" customWidth="1"/>
    <col min="4645" max="4648" width="10.375" style="4" customWidth="1"/>
    <col min="4649" max="4649" width="7.25" style="4" customWidth="1"/>
    <col min="4650" max="4650" width="7.125" style="4" customWidth="1"/>
    <col min="4651" max="4651" width="9.5" style="4" customWidth="1"/>
    <col min="4652" max="4653" width="9" style="4" customWidth="1"/>
    <col min="4654" max="4654" width="16.125" style="4" customWidth="1"/>
    <col min="4655" max="4685" width="9" style="4" customWidth="1"/>
    <col min="4686" max="4845" width="25.25" style="4"/>
    <col min="4846" max="4875" width="9" style="4" customWidth="1"/>
    <col min="4876" max="4876" width="0.5" style="4" customWidth="1"/>
    <col min="4877" max="4877" width="25.25" style="4"/>
    <col min="4878" max="4878" width="0.5" style="4" customWidth="1"/>
    <col min="4879" max="4879" width="25.25" style="4"/>
    <col min="4880" max="4880" width="14.75" style="4" customWidth="1"/>
    <col min="4881" max="4881" width="11.5" style="4" customWidth="1"/>
    <col min="4882" max="4882" width="11.25" style="4" customWidth="1"/>
    <col min="4883" max="4883" width="10.75" style="4" customWidth="1"/>
    <col min="4884" max="4884" width="10" style="4" customWidth="1"/>
    <col min="4885" max="4885" width="9.875" style="4" customWidth="1"/>
    <col min="4886" max="4886" width="26.125" style="4" customWidth="1"/>
    <col min="4887" max="4887" width="11.125" style="4" customWidth="1"/>
    <col min="4888" max="4888" width="7.875" style="4" customWidth="1"/>
    <col min="4889" max="4889" width="7.25" style="4" customWidth="1"/>
    <col min="4890" max="4890" width="9.125" style="4" customWidth="1"/>
    <col min="4891" max="4891" width="15.125" style="4" customWidth="1"/>
    <col min="4892" max="4892" width="7.75" style="4" customWidth="1"/>
    <col min="4893" max="4893" width="7.125" style="4" customWidth="1"/>
    <col min="4894" max="4894" width="12.125" style="4" customWidth="1"/>
    <col min="4895" max="4895" width="8.25" style="4" customWidth="1"/>
    <col min="4896" max="4897" width="10.375" style="4" customWidth="1"/>
    <col min="4898" max="4898" width="15.625" style="4" customWidth="1"/>
    <col min="4899" max="4899" width="15.875" style="4" customWidth="1"/>
    <col min="4900" max="4900" width="8.125" style="4" customWidth="1"/>
    <col min="4901" max="4904" width="10.375" style="4" customWidth="1"/>
    <col min="4905" max="4905" width="7.25" style="4" customWidth="1"/>
    <col min="4906" max="4906" width="7.125" style="4" customWidth="1"/>
    <col min="4907" max="4907" width="9.5" style="4" customWidth="1"/>
    <col min="4908" max="4909" width="9" style="4" customWidth="1"/>
    <col min="4910" max="4910" width="16.125" style="4" customWidth="1"/>
    <col min="4911" max="4941" width="9" style="4" customWidth="1"/>
    <col min="4942" max="5101" width="25.25" style="4"/>
    <col min="5102" max="5131" width="9" style="4" customWidth="1"/>
    <col min="5132" max="5132" width="0.5" style="4" customWidth="1"/>
    <col min="5133" max="5133" width="25.25" style="4"/>
    <col min="5134" max="5134" width="0.5" style="4" customWidth="1"/>
    <col min="5135" max="5135" width="25.25" style="4"/>
    <col min="5136" max="5136" width="14.75" style="4" customWidth="1"/>
    <col min="5137" max="5137" width="11.5" style="4" customWidth="1"/>
    <col min="5138" max="5138" width="11.25" style="4" customWidth="1"/>
    <col min="5139" max="5139" width="10.75" style="4" customWidth="1"/>
    <col min="5140" max="5140" width="10" style="4" customWidth="1"/>
    <col min="5141" max="5141" width="9.875" style="4" customWidth="1"/>
    <col min="5142" max="5142" width="26.125" style="4" customWidth="1"/>
    <col min="5143" max="5143" width="11.125" style="4" customWidth="1"/>
    <col min="5144" max="5144" width="7.875" style="4" customWidth="1"/>
    <col min="5145" max="5145" width="7.25" style="4" customWidth="1"/>
    <col min="5146" max="5146" width="9.125" style="4" customWidth="1"/>
    <col min="5147" max="5147" width="15.125" style="4" customWidth="1"/>
    <col min="5148" max="5148" width="7.75" style="4" customWidth="1"/>
    <col min="5149" max="5149" width="7.125" style="4" customWidth="1"/>
    <col min="5150" max="5150" width="12.125" style="4" customWidth="1"/>
    <col min="5151" max="5151" width="8.25" style="4" customWidth="1"/>
    <col min="5152" max="5153" width="10.375" style="4" customWidth="1"/>
    <col min="5154" max="5154" width="15.625" style="4" customWidth="1"/>
    <col min="5155" max="5155" width="15.875" style="4" customWidth="1"/>
    <col min="5156" max="5156" width="8.125" style="4" customWidth="1"/>
    <col min="5157" max="5160" width="10.375" style="4" customWidth="1"/>
    <col min="5161" max="5161" width="7.25" style="4" customWidth="1"/>
    <col min="5162" max="5162" width="7.125" style="4" customWidth="1"/>
    <col min="5163" max="5163" width="9.5" style="4" customWidth="1"/>
    <col min="5164" max="5165" width="9" style="4" customWidth="1"/>
    <col min="5166" max="5166" width="16.125" style="4" customWidth="1"/>
    <col min="5167" max="5197" width="9" style="4" customWidth="1"/>
    <col min="5198" max="5357" width="25.25" style="4"/>
    <col min="5358" max="5387" width="9" style="4" customWidth="1"/>
    <col min="5388" max="5388" width="0.5" style="4" customWidth="1"/>
    <col min="5389" max="5389" width="25.25" style="4"/>
    <col min="5390" max="5390" width="0.5" style="4" customWidth="1"/>
    <col min="5391" max="5391" width="25.25" style="4"/>
    <col min="5392" max="5392" width="14.75" style="4" customWidth="1"/>
    <col min="5393" max="5393" width="11.5" style="4" customWidth="1"/>
    <col min="5394" max="5394" width="11.25" style="4" customWidth="1"/>
    <col min="5395" max="5395" width="10.75" style="4" customWidth="1"/>
    <col min="5396" max="5396" width="10" style="4" customWidth="1"/>
    <col min="5397" max="5397" width="9.875" style="4" customWidth="1"/>
    <col min="5398" max="5398" width="26.125" style="4" customWidth="1"/>
    <col min="5399" max="5399" width="11.125" style="4" customWidth="1"/>
    <col min="5400" max="5400" width="7.875" style="4" customWidth="1"/>
    <col min="5401" max="5401" width="7.25" style="4" customWidth="1"/>
    <col min="5402" max="5402" width="9.125" style="4" customWidth="1"/>
    <col min="5403" max="5403" width="15.125" style="4" customWidth="1"/>
    <col min="5404" max="5404" width="7.75" style="4" customWidth="1"/>
    <col min="5405" max="5405" width="7.125" style="4" customWidth="1"/>
    <col min="5406" max="5406" width="12.125" style="4" customWidth="1"/>
    <col min="5407" max="5407" width="8.25" style="4" customWidth="1"/>
    <col min="5408" max="5409" width="10.375" style="4" customWidth="1"/>
    <col min="5410" max="5410" width="15.625" style="4" customWidth="1"/>
    <col min="5411" max="5411" width="15.875" style="4" customWidth="1"/>
    <col min="5412" max="5412" width="8.125" style="4" customWidth="1"/>
    <col min="5413" max="5416" width="10.375" style="4" customWidth="1"/>
    <col min="5417" max="5417" width="7.25" style="4" customWidth="1"/>
    <col min="5418" max="5418" width="7.125" style="4" customWidth="1"/>
    <col min="5419" max="5419" width="9.5" style="4" customWidth="1"/>
    <col min="5420" max="5421" width="9" style="4" customWidth="1"/>
    <col min="5422" max="5422" width="16.125" style="4" customWidth="1"/>
    <col min="5423" max="5453" width="9" style="4" customWidth="1"/>
    <col min="5454" max="5613" width="25.25" style="4"/>
    <col min="5614" max="5643" width="9" style="4" customWidth="1"/>
    <col min="5644" max="5644" width="0.5" style="4" customWidth="1"/>
    <col min="5645" max="5645" width="25.25" style="4"/>
    <col min="5646" max="5646" width="0.5" style="4" customWidth="1"/>
    <col min="5647" max="5647" width="25.25" style="4"/>
    <col min="5648" max="5648" width="14.75" style="4" customWidth="1"/>
    <col min="5649" max="5649" width="11.5" style="4" customWidth="1"/>
    <col min="5650" max="5650" width="11.25" style="4" customWidth="1"/>
    <col min="5651" max="5651" width="10.75" style="4" customWidth="1"/>
    <col min="5652" max="5652" width="10" style="4" customWidth="1"/>
    <col min="5653" max="5653" width="9.875" style="4" customWidth="1"/>
    <col min="5654" max="5654" width="26.125" style="4" customWidth="1"/>
    <col min="5655" max="5655" width="11.125" style="4" customWidth="1"/>
    <col min="5656" max="5656" width="7.875" style="4" customWidth="1"/>
    <col min="5657" max="5657" width="7.25" style="4" customWidth="1"/>
    <col min="5658" max="5658" width="9.125" style="4" customWidth="1"/>
    <col min="5659" max="5659" width="15.125" style="4" customWidth="1"/>
    <col min="5660" max="5660" width="7.75" style="4" customWidth="1"/>
    <col min="5661" max="5661" width="7.125" style="4" customWidth="1"/>
    <col min="5662" max="5662" width="12.125" style="4" customWidth="1"/>
    <col min="5663" max="5663" width="8.25" style="4" customWidth="1"/>
    <col min="5664" max="5665" width="10.375" style="4" customWidth="1"/>
    <col min="5666" max="5666" width="15.625" style="4" customWidth="1"/>
    <col min="5667" max="5667" width="15.875" style="4" customWidth="1"/>
    <col min="5668" max="5668" width="8.125" style="4" customWidth="1"/>
    <col min="5669" max="5672" width="10.375" style="4" customWidth="1"/>
    <col min="5673" max="5673" width="7.25" style="4" customWidth="1"/>
    <col min="5674" max="5674" width="7.125" style="4" customWidth="1"/>
    <col min="5675" max="5675" width="9.5" style="4" customWidth="1"/>
    <col min="5676" max="5677" width="9" style="4" customWidth="1"/>
    <col min="5678" max="5678" width="16.125" style="4" customWidth="1"/>
    <col min="5679" max="5709" width="9" style="4" customWidth="1"/>
    <col min="5710" max="5869" width="25.25" style="4"/>
    <col min="5870" max="5899" width="9" style="4" customWidth="1"/>
    <col min="5900" max="5900" width="0.5" style="4" customWidth="1"/>
    <col min="5901" max="5901" width="25.25" style="4"/>
    <col min="5902" max="5902" width="0.5" style="4" customWidth="1"/>
    <col min="5903" max="5903" width="25.25" style="4"/>
    <col min="5904" max="5904" width="14.75" style="4" customWidth="1"/>
    <col min="5905" max="5905" width="11.5" style="4" customWidth="1"/>
    <col min="5906" max="5906" width="11.25" style="4" customWidth="1"/>
    <col min="5907" max="5907" width="10.75" style="4" customWidth="1"/>
    <col min="5908" max="5908" width="10" style="4" customWidth="1"/>
    <col min="5909" max="5909" width="9.875" style="4" customWidth="1"/>
    <col min="5910" max="5910" width="26.125" style="4" customWidth="1"/>
    <col min="5911" max="5911" width="11.125" style="4" customWidth="1"/>
    <col min="5912" max="5912" width="7.875" style="4" customWidth="1"/>
    <col min="5913" max="5913" width="7.25" style="4" customWidth="1"/>
    <col min="5914" max="5914" width="9.125" style="4" customWidth="1"/>
    <col min="5915" max="5915" width="15.125" style="4" customWidth="1"/>
    <col min="5916" max="5916" width="7.75" style="4" customWidth="1"/>
    <col min="5917" max="5917" width="7.125" style="4" customWidth="1"/>
    <col min="5918" max="5918" width="12.125" style="4" customWidth="1"/>
    <col min="5919" max="5919" width="8.25" style="4" customWidth="1"/>
    <col min="5920" max="5921" width="10.375" style="4" customWidth="1"/>
    <col min="5922" max="5922" width="15.625" style="4" customWidth="1"/>
    <col min="5923" max="5923" width="15.875" style="4" customWidth="1"/>
    <col min="5924" max="5924" width="8.125" style="4" customWidth="1"/>
    <col min="5925" max="5928" width="10.375" style="4" customWidth="1"/>
    <col min="5929" max="5929" width="7.25" style="4" customWidth="1"/>
    <col min="5930" max="5930" width="7.125" style="4" customWidth="1"/>
    <col min="5931" max="5931" width="9.5" style="4" customWidth="1"/>
    <col min="5932" max="5933" width="9" style="4" customWidth="1"/>
    <col min="5934" max="5934" width="16.125" style="4" customWidth="1"/>
    <col min="5935" max="5965" width="9" style="4" customWidth="1"/>
    <col min="5966" max="6125" width="25.25" style="4"/>
    <col min="6126" max="6155" width="9" style="4" customWidth="1"/>
    <col min="6156" max="6156" width="0.5" style="4" customWidth="1"/>
    <col min="6157" max="6157" width="25.25" style="4"/>
    <col min="6158" max="6158" width="0.5" style="4" customWidth="1"/>
    <col min="6159" max="6159" width="25.25" style="4"/>
    <col min="6160" max="6160" width="14.75" style="4" customWidth="1"/>
    <col min="6161" max="6161" width="11.5" style="4" customWidth="1"/>
    <col min="6162" max="6162" width="11.25" style="4" customWidth="1"/>
    <col min="6163" max="6163" width="10.75" style="4" customWidth="1"/>
    <col min="6164" max="6164" width="10" style="4" customWidth="1"/>
    <col min="6165" max="6165" width="9.875" style="4" customWidth="1"/>
    <col min="6166" max="6166" width="26.125" style="4" customWidth="1"/>
    <col min="6167" max="6167" width="11.125" style="4" customWidth="1"/>
    <col min="6168" max="6168" width="7.875" style="4" customWidth="1"/>
    <col min="6169" max="6169" width="7.25" style="4" customWidth="1"/>
    <col min="6170" max="6170" width="9.125" style="4" customWidth="1"/>
    <col min="6171" max="6171" width="15.125" style="4" customWidth="1"/>
    <col min="6172" max="6172" width="7.75" style="4" customWidth="1"/>
    <col min="6173" max="6173" width="7.125" style="4" customWidth="1"/>
    <col min="6174" max="6174" width="12.125" style="4" customWidth="1"/>
    <col min="6175" max="6175" width="8.25" style="4" customWidth="1"/>
    <col min="6176" max="6177" width="10.375" style="4" customWidth="1"/>
    <col min="6178" max="6178" width="15.625" style="4" customWidth="1"/>
    <col min="6179" max="6179" width="15.875" style="4" customWidth="1"/>
    <col min="6180" max="6180" width="8.125" style="4" customWidth="1"/>
    <col min="6181" max="6184" width="10.375" style="4" customWidth="1"/>
    <col min="6185" max="6185" width="7.25" style="4" customWidth="1"/>
    <col min="6186" max="6186" width="7.125" style="4" customWidth="1"/>
    <col min="6187" max="6187" width="9.5" style="4" customWidth="1"/>
    <col min="6188" max="6189" width="9" style="4" customWidth="1"/>
    <col min="6190" max="6190" width="16.125" style="4" customWidth="1"/>
    <col min="6191" max="6221" width="9" style="4" customWidth="1"/>
    <col min="6222" max="6381" width="25.25" style="4"/>
    <col min="6382" max="6411" width="9" style="4" customWidth="1"/>
    <col min="6412" max="6412" width="0.5" style="4" customWidth="1"/>
    <col min="6413" max="6413" width="25.25" style="4"/>
    <col min="6414" max="6414" width="0.5" style="4" customWidth="1"/>
    <col min="6415" max="6415" width="25.25" style="4"/>
    <col min="6416" max="6416" width="14.75" style="4" customWidth="1"/>
    <col min="6417" max="6417" width="11.5" style="4" customWidth="1"/>
    <col min="6418" max="6418" width="11.25" style="4" customWidth="1"/>
    <col min="6419" max="6419" width="10.75" style="4" customWidth="1"/>
    <col min="6420" max="6420" width="10" style="4" customWidth="1"/>
    <col min="6421" max="6421" width="9.875" style="4" customWidth="1"/>
    <col min="6422" max="6422" width="26.125" style="4" customWidth="1"/>
    <col min="6423" max="6423" width="11.125" style="4" customWidth="1"/>
    <col min="6424" max="6424" width="7.875" style="4" customWidth="1"/>
    <col min="6425" max="6425" width="7.25" style="4" customWidth="1"/>
    <col min="6426" max="6426" width="9.125" style="4" customWidth="1"/>
    <col min="6427" max="6427" width="15.125" style="4" customWidth="1"/>
    <col min="6428" max="6428" width="7.75" style="4" customWidth="1"/>
    <col min="6429" max="6429" width="7.125" style="4" customWidth="1"/>
    <col min="6430" max="6430" width="12.125" style="4" customWidth="1"/>
    <col min="6431" max="6431" width="8.25" style="4" customWidth="1"/>
    <col min="6432" max="6433" width="10.375" style="4" customWidth="1"/>
    <col min="6434" max="6434" width="15.625" style="4" customWidth="1"/>
    <col min="6435" max="6435" width="15.875" style="4" customWidth="1"/>
    <col min="6436" max="6436" width="8.125" style="4" customWidth="1"/>
    <col min="6437" max="6440" width="10.375" style="4" customWidth="1"/>
    <col min="6441" max="6441" width="7.25" style="4" customWidth="1"/>
    <col min="6442" max="6442" width="7.125" style="4" customWidth="1"/>
    <col min="6443" max="6443" width="9.5" style="4" customWidth="1"/>
    <col min="6444" max="6445" width="9" style="4" customWidth="1"/>
    <col min="6446" max="6446" width="16.125" style="4" customWidth="1"/>
    <col min="6447" max="6477" width="9" style="4" customWidth="1"/>
    <col min="6478" max="6637" width="25.25" style="4"/>
    <col min="6638" max="6667" width="9" style="4" customWidth="1"/>
    <col min="6668" max="6668" width="0.5" style="4" customWidth="1"/>
    <col min="6669" max="6669" width="25.25" style="4"/>
    <col min="6670" max="6670" width="0.5" style="4" customWidth="1"/>
    <col min="6671" max="6671" width="25.25" style="4"/>
    <col min="6672" max="6672" width="14.75" style="4" customWidth="1"/>
    <col min="6673" max="6673" width="11.5" style="4" customWidth="1"/>
    <col min="6674" max="6674" width="11.25" style="4" customWidth="1"/>
    <col min="6675" max="6675" width="10.75" style="4" customWidth="1"/>
    <col min="6676" max="6676" width="10" style="4" customWidth="1"/>
    <col min="6677" max="6677" width="9.875" style="4" customWidth="1"/>
    <col min="6678" max="6678" width="26.125" style="4" customWidth="1"/>
    <col min="6679" max="6679" width="11.125" style="4" customWidth="1"/>
    <col min="6680" max="6680" width="7.875" style="4" customWidth="1"/>
    <col min="6681" max="6681" width="7.25" style="4" customWidth="1"/>
    <col min="6682" max="6682" width="9.125" style="4" customWidth="1"/>
    <col min="6683" max="6683" width="15.125" style="4" customWidth="1"/>
    <col min="6684" max="6684" width="7.75" style="4" customWidth="1"/>
    <col min="6685" max="6685" width="7.125" style="4" customWidth="1"/>
    <col min="6686" max="6686" width="12.125" style="4" customWidth="1"/>
    <col min="6687" max="6687" width="8.25" style="4" customWidth="1"/>
    <col min="6688" max="6689" width="10.375" style="4" customWidth="1"/>
    <col min="6690" max="6690" width="15.625" style="4" customWidth="1"/>
    <col min="6691" max="6691" width="15.875" style="4" customWidth="1"/>
    <col min="6692" max="6692" width="8.125" style="4" customWidth="1"/>
    <col min="6693" max="6696" width="10.375" style="4" customWidth="1"/>
    <col min="6697" max="6697" width="7.25" style="4" customWidth="1"/>
    <col min="6698" max="6698" width="7.125" style="4" customWidth="1"/>
    <col min="6699" max="6699" width="9.5" style="4" customWidth="1"/>
    <col min="6700" max="6701" width="9" style="4" customWidth="1"/>
    <col min="6702" max="6702" width="16.125" style="4" customWidth="1"/>
    <col min="6703" max="6733" width="9" style="4" customWidth="1"/>
    <col min="6734" max="6893" width="25.25" style="4"/>
    <col min="6894" max="6923" width="9" style="4" customWidth="1"/>
    <col min="6924" max="6924" width="0.5" style="4" customWidth="1"/>
    <col min="6925" max="6925" width="25.25" style="4"/>
    <col min="6926" max="6926" width="0.5" style="4" customWidth="1"/>
    <col min="6927" max="6927" width="25.25" style="4"/>
    <col min="6928" max="6928" width="14.75" style="4" customWidth="1"/>
    <col min="6929" max="6929" width="11.5" style="4" customWidth="1"/>
    <col min="6930" max="6930" width="11.25" style="4" customWidth="1"/>
    <col min="6931" max="6931" width="10.75" style="4" customWidth="1"/>
    <col min="6932" max="6932" width="10" style="4" customWidth="1"/>
    <col min="6933" max="6933" width="9.875" style="4" customWidth="1"/>
    <col min="6934" max="6934" width="26.125" style="4" customWidth="1"/>
    <col min="6935" max="6935" width="11.125" style="4" customWidth="1"/>
    <col min="6936" max="6936" width="7.875" style="4" customWidth="1"/>
    <col min="6937" max="6937" width="7.25" style="4" customWidth="1"/>
    <col min="6938" max="6938" width="9.125" style="4" customWidth="1"/>
    <col min="6939" max="6939" width="15.125" style="4" customWidth="1"/>
    <col min="6940" max="6940" width="7.75" style="4" customWidth="1"/>
    <col min="6941" max="6941" width="7.125" style="4" customWidth="1"/>
    <col min="6942" max="6942" width="12.125" style="4" customWidth="1"/>
    <col min="6943" max="6943" width="8.25" style="4" customWidth="1"/>
    <col min="6944" max="6945" width="10.375" style="4" customWidth="1"/>
    <col min="6946" max="6946" width="15.625" style="4" customWidth="1"/>
    <col min="6947" max="6947" width="15.875" style="4" customWidth="1"/>
    <col min="6948" max="6948" width="8.125" style="4" customWidth="1"/>
    <col min="6949" max="6952" width="10.375" style="4" customWidth="1"/>
    <col min="6953" max="6953" width="7.25" style="4" customWidth="1"/>
    <col min="6954" max="6954" width="7.125" style="4" customWidth="1"/>
    <col min="6955" max="6955" width="9.5" style="4" customWidth="1"/>
    <col min="6956" max="6957" width="9" style="4" customWidth="1"/>
    <col min="6958" max="6958" width="16.125" style="4" customWidth="1"/>
    <col min="6959" max="6989" width="9" style="4" customWidth="1"/>
    <col min="6990" max="7149" width="25.25" style="4"/>
    <col min="7150" max="7179" width="9" style="4" customWidth="1"/>
    <col min="7180" max="7180" width="0.5" style="4" customWidth="1"/>
    <col min="7181" max="7181" width="25.25" style="4"/>
    <col min="7182" max="7182" width="0.5" style="4" customWidth="1"/>
    <col min="7183" max="7183" width="25.25" style="4"/>
    <col min="7184" max="7184" width="14.75" style="4" customWidth="1"/>
    <col min="7185" max="7185" width="11.5" style="4" customWidth="1"/>
    <col min="7186" max="7186" width="11.25" style="4" customWidth="1"/>
    <col min="7187" max="7187" width="10.75" style="4" customWidth="1"/>
    <col min="7188" max="7188" width="10" style="4" customWidth="1"/>
    <col min="7189" max="7189" width="9.875" style="4" customWidth="1"/>
    <col min="7190" max="7190" width="26.125" style="4" customWidth="1"/>
    <col min="7191" max="7191" width="11.125" style="4" customWidth="1"/>
    <col min="7192" max="7192" width="7.875" style="4" customWidth="1"/>
    <col min="7193" max="7193" width="7.25" style="4" customWidth="1"/>
    <col min="7194" max="7194" width="9.125" style="4" customWidth="1"/>
    <col min="7195" max="7195" width="15.125" style="4" customWidth="1"/>
    <col min="7196" max="7196" width="7.75" style="4" customWidth="1"/>
    <col min="7197" max="7197" width="7.125" style="4" customWidth="1"/>
    <col min="7198" max="7198" width="12.125" style="4" customWidth="1"/>
    <col min="7199" max="7199" width="8.25" style="4" customWidth="1"/>
    <col min="7200" max="7201" width="10.375" style="4" customWidth="1"/>
    <col min="7202" max="7202" width="15.625" style="4" customWidth="1"/>
    <col min="7203" max="7203" width="15.875" style="4" customWidth="1"/>
    <col min="7204" max="7204" width="8.125" style="4" customWidth="1"/>
    <col min="7205" max="7208" width="10.375" style="4" customWidth="1"/>
    <col min="7209" max="7209" width="7.25" style="4" customWidth="1"/>
    <col min="7210" max="7210" width="7.125" style="4" customWidth="1"/>
    <col min="7211" max="7211" width="9.5" style="4" customWidth="1"/>
    <col min="7212" max="7213" width="9" style="4" customWidth="1"/>
    <col min="7214" max="7214" width="16.125" style="4" customWidth="1"/>
    <col min="7215" max="7245" width="9" style="4" customWidth="1"/>
    <col min="7246" max="7405" width="25.25" style="4"/>
    <col min="7406" max="7435" width="9" style="4" customWidth="1"/>
    <col min="7436" max="7436" width="0.5" style="4" customWidth="1"/>
    <col min="7437" max="7437" width="25.25" style="4"/>
    <col min="7438" max="7438" width="0.5" style="4" customWidth="1"/>
    <col min="7439" max="7439" width="25.25" style="4"/>
    <col min="7440" max="7440" width="14.75" style="4" customWidth="1"/>
    <col min="7441" max="7441" width="11.5" style="4" customWidth="1"/>
    <col min="7442" max="7442" width="11.25" style="4" customWidth="1"/>
    <col min="7443" max="7443" width="10.75" style="4" customWidth="1"/>
    <col min="7444" max="7444" width="10" style="4" customWidth="1"/>
    <col min="7445" max="7445" width="9.875" style="4" customWidth="1"/>
    <col min="7446" max="7446" width="26.125" style="4" customWidth="1"/>
    <col min="7447" max="7447" width="11.125" style="4" customWidth="1"/>
    <col min="7448" max="7448" width="7.875" style="4" customWidth="1"/>
    <col min="7449" max="7449" width="7.25" style="4" customWidth="1"/>
    <col min="7450" max="7450" width="9.125" style="4" customWidth="1"/>
    <col min="7451" max="7451" width="15.125" style="4" customWidth="1"/>
    <col min="7452" max="7452" width="7.75" style="4" customWidth="1"/>
    <col min="7453" max="7453" width="7.125" style="4" customWidth="1"/>
    <col min="7454" max="7454" width="12.125" style="4" customWidth="1"/>
    <col min="7455" max="7455" width="8.25" style="4" customWidth="1"/>
    <col min="7456" max="7457" width="10.375" style="4" customWidth="1"/>
    <col min="7458" max="7458" width="15.625" style="4" customWidth="1"/>
    <col min="7459" max="7459" width="15.875" style="4" customWidth="1"/>
    <col min="7460" max="7460" width="8.125" style="4" customWidth="1"/>
    <col min="7461" max="7464" width="10.375" style="4" customWidth="1"/>
    <col min="7465" max="7465" width="7.25" style="4" customWidth="1"/>
    <col min="7466" max="7466" width="7.125" style="4" customWidth="1"/>
    <col min="7467" max="7467" width="9.5" style="4" customWidth="1"/>
    <col min="7468" max="7469" width="9" style="4" customWidth="1"/>
    <col min="7470" max="7470" width="16.125" style="4" customWidth="1"/>
    <col min="7471" max="7501" width="9" style="4" customWidth="1"/>
    <col min="7502" max="7661" width="25.25" style="4"/>
    <col min="7662" max="7691" width="9" style="4" customWidth="1"/>
    <col min="7692" max="7692" width="0.5" style="4" customWidth="1"/>
    <col min="7693" max="7693" width="25.25" style="4"/>
    <col min="7694" max="7694" width="0.5" style="4" customWidth="1"/>
    <col min="7695" max="7695" width="25.25" style="4"/>
    <col min="7696" max="7696" width="14.75" style="4" customWidth="1"/>
    <col min="7697" max="7697" width="11.5" style="4" customWidth="1"/>
    <col min="7698" max="7698" width="11.25" style="4" customWidth="1"/>
    <col min="7699" max="7699" width="10.75" style="4" customWidth="1"/>
    <col min="7700" max="7700" width="10" style="4" customWidth="1"/>
    <col min="7701" max="7701" width="9.875" style="4" customWidth="1"/>
    <col min="7702" max="7702" width="26.125" style="4" customWidth="1"/>
    <col min="7703" max="7703" width="11.125" style="4" customWidth="1"/>
    <col min="7704" max="7704" width="7.875" style="4" customWidth="1"/>
    <col min="7705" max="7705" width="7.25" style="4" customWidth="1"/>
    <col min="7706" max="7706" width="9.125" style="4" customWidth="1"/>
    <col min="7707" max="7707" width="15.125" style="4" customWidth="1"/>
    <col min="7708" max="7708" width="7.75" style="4" customWidth="1"/>
    <col min="7709" max="7709" width="7.125" style="4" customWidth="1"/>
    <col min="7710" max="7710" width="12.125" style="4" customWidth="1"/>
    <col min="7711" max="7711" width="8.25" style="4" customWidth="1"/>
    <col min="7712" max="7713" width="10.375" style="4" customWidth="1"/>
    <col min="7714" max="7714" width="15.625" style="4" customWidth="1"/>
    <col min="7715" max="7715" width="15.875" style="4" customWidth="1"/>
    <col min="7716" max="7716" width="8.125" style="4" customWidth="1"/>
    <col min="7717" max="7720" width="10.375" style="4" customWidth="1"/>
    <col min="7721" max="7721" width="7.25" style="4" customWidth="1"/>
    <col min="7722" max="7722" width="7.125" style="4" customWidth="1"/>
    <col min="7723" max="7723" width="9.5" style="4" customWidth="1"/>
    <col min="7724" max="7725" width="9" style="4" customWidth="1"/>
    <col min="7726" max="7726" width="16.125" style="4" customWidth="1"/>
    <col min="7727" max="7757" width="9" style="4" customWidth="1"/>
    <col min="7758" max="7917" width="25.25" style="4"/>
    <col min="7918" max="7947" width="9" style="4" customWidth="1"/>
    <col min="7948" max="7948" width="0.5" style="4" customWidth="1"/>
    <col min="7949" max="7949" width="25.25" style="4"/>
    <col min="7950" max="7950" width="0.5" style="4" customWidth="1"/>
    <col min="7951" max="7951" width="25.25" style="4"/>
    <col min="7952" max="7952" width="14.75" style="4" customWidth="1"/>
    <col min="7953" max="7953" width="11.5" style="4" customWidth="1"/>
    <col min="7954" max="7954" width="11.25" style="4" customWidth="1"/>
    <col min="7955" max="7955" width="10.75" style="4" customWidth="1"/>
    <col min="7956" max="7956" width="10" style="4" customWidth="1"/>
    <col min="7957" max="7957" width="9.875" style="4" customWidth="1"/>
    <col min="7958" max="7958" width="26.125" style="4" customWidth="1"/>
    <col min="7959" max="7959" width="11.125" style="4" customWidth="1"/>
    <col min="7960" max="7960" width="7.875" style="4" customWidth="1"/>
    <col min="7961" max="7961" width="7.25" style="4" customWidth="1"/>
    <col min="7962" max="7962" width="9.125" style="4" customWidth="1"/>
    <col min="7963" max="7963" width="15.125" style="4" customWidth="1"/>
    <col min="7964" max="7964" width="7.75" style="4" customWidth="1"/>
    <col min="7965" max="7965" width="7.125" style="4" customWidth="1"/>
    <col min="7966" max="7966" width="12.125" style="4" customWidth="1"/>
    <col min="7967" max="7967" width="8.25" style="4" customWidth="1"/>
    <col min="7968" max="7969" width="10.375" style="4" customWidth="1"/>
    <col min="7970" max="7970" width="15.625" style="4" customWidth="1"/>
    <col min="7971" max="7971" width="15.875" style="4" customWidth="1"/>
    <col min="7972" max="7972" width="8.125" style="4" customWidth="1"/>
    <col min="7973" max="7976" width="10.375" style="4" customWidth="1"/>
    <col min="7977" max="7977" width="7.25" style="4" customWidth="1"/>
    <col min="7978" max="7978" width="7.125" style="4" customWidth="1"/>
    <col min="7979" max="7979" width="9.5" style="4" customWidth="1"/>
    <col min="7980" max="7981" width="9" style="4" customWidth="1"/>
    <col min="7982" max="7982" width="16.125" style="4" customWidth="1"/>
    <col min="7983" max="8013" width="9" style="4" customWidth="1"/>
    <col min="8014" max="8173" width="25.25" style="4"/>
    <col min="8174" max="8203" width="9" style="4" customWidth="1"/>
    <col min="8204" max="8204" width="0.5" style="4" customWidth="1"/>
    <col min="8205" max="8205" width="25.25" style="4"/>
    <col min="8206" max="8206" width="0.5" style="4" customWidth="1"/>
    <col min="8207" max="8207" width="25.25" style="4"/>
    <col min="8208" max="8208" width="14.75" style="4" customWidth="1"/>
    <col min="8209" max="8209" width="11.5" style="4" customWidth="1"/>
    <col min="8210" max="8210" width="11.25" style="4" customWidth="1"/>
    <col min="8211" max="8211" width="10.75" style="4" customWidth="1"/>
    <col min="8212" max="8212" width="10" style="4" customWidth="1"/>
    <col min="8213" max="8213" width="9.875" style="4" customWidth="1"/>
    <col min="8214" max="8214" width="26.125" style="4" customWidth="1"/>
    <col min="8215" max="8215" width="11.125" style="4" customWidth="1"/>
    <col min="8216" max="8216" width="7.875" style="4" customWidth="1"/>
    <col min="8217" max="8217" width="7.25" style="4" customWidth="1"/>
    <col min="8218" max="8218" width="9.125" style="4" customWidth="1"/>
    <col min="8219" max="8219" width="15.125" style="4" customWidth="1"/>
    <col min="8220" max="8220" width="7.75" style="4" customWidth="1"/>
    <col min="8221" max="8221" width="7.125" style="4" customWidth="1"/>
    <col min="8222" max="8222" width="12.125" style="4" customWidth="1"/>
    <col min="8223" max="8223" width="8.25" style="4" customWidth="1"/>
    <col min="8224" max="8225" width="10.375" style="4" customWidth="1"/>
    <col min="8226" max="8226" width="15.625" style="4" customWidth="1"/>
    <col min="8227" max="8227" width="15.875" style="4" customWidth="1"/>
    <col min="8228" max="8228" width="8.125" style="4" customWidth="1"/>
    <col min="8229" max="8232" width="10.375" style="4" customWidth="1"/>
    <col min="8233" max="8233" width="7.25" style="4" customWidth="1"/>
    <col min="8234" max="8234" width="7.125" style="4" customWidth="1"/>
    <col min="8235" max="8235" width="9.5" style="4" customWidth="1"/>
    <col min="8236" max="8237" width="9" style="4" customWidth="1"/>
    <col min="8238" max="8238" width="16.125" style="4" customWidth="1"/>
    <col min="8239" max="8269" width="9" style="4" customWidth="1"/>
    <col min="8270" max="8429" width="25.25" style="4"/>
    <col min="8430" max="8459" width="9" style="4" customWidth="1"/>
    <col min="8460" max="8460" width="0.5" style="4" customWidth="1"/>
    <col min="8461" max="8461" width="25.25" style="4"/>
    <col min="8462" max="8462" width="0.5" style="4" customWidth="1"/>
    <col min="8463" max="8463" width="25.25" style="4"/>
    <col min="8464" max="8464" width="14.75" style="4" customWidth="1"/>
    <col min="8465" max="8465" width="11.5" style="4" customWidth="1"/>
    <col min="8466" max="8466" width="11.25" style="4" customWidth="1"/>
    <col min="8467" max="8467" width="10.75" style="4" customWidth="1"/>
    <col min="8468" max="8468" width="10" style="4" customWidth="1"/>
    <col min="8469" max="8469" width="9.875" style="4" customWidth="1"/>
    <col min="8470" max="8470" width="26.125" style="4" customWidth="1"/>
    <col min="8471" max="8471" width="11.125" style="4" customWidth="1"/>
    <col min="8472" max="8472" width="7.875" style="4" customWidth="1"/>
    <col min="8473" max="8473" width="7.25" style="4" customWidth="1"/>
    <col min="8474" max="8474" width="9.125" style="4" customWidth="1"/>
    <col min="8475" max="8475" width="15.125" style="4" customWidth="1"/>
    <col min="8476" max="8476" width="7.75" style="4" customWidth="1"/>
    <col min="8477" max="8477" width="7.125" style="4" customWidth="1"/>
    <col min="8478" max="8478" width="12.125" style="4" customWidth="1"/>
    <col min="8479" max="8479" width="8.25" style="4" customWidth="1"/>
    <col min="8480" max="8481" width="10.375" style="4" customWidth="1"/>
    <col min="8482" max="8482" width="15.625" style="4" customWidth="1"/>
    <col min="8483" max="8483" width="15.875" style="4" customWidth="1"/>
    <col min="8484" max="8484" width="8.125" style="4" customWidth="1"/>
    <col min="8485" max="8488" width="10.375" style="4" customWidth="1"/>
    <col min="8489" max="8489" width="7.25" style="4" customWidth="1"/>
    <col min="8490" max="8490" width="7.125" style="4" customWidth="1"/>
    <col min="8491" max="8491" width="9.5" style="4" customWidth="1"/>
    <col min="8492" max="8493" width="9" style="4" customWidth="1"/>
    <col min="8494" max="8494" width="16.125" style="4" customWidth="1"/>
    <col min="8495" max="8525" width="9" style="4" customWidth="1"/>
    <col min="8526" max="8685" width="25.25" style="4"/>
    <col min="8686" max="8715" width="9" style="4" customWidth="1"/>
    <col min="8716" max="8716" width="0.5" style="4" customWidth="1"/>
    <col min="8717" max="8717" width="25.25" style="4"/>
    <col min="8718" max="8718" width="0.5" style="4" customWidth="1"/>
    <col min="8719" max="8719" width="25.25" style="4"/>
    <col min="8720" max="8720" width="14.75" style="4" customWidth="1"/>
    <col min="8721" max="8721" width="11.5" style="4" customWidth="1"/>
    <col min="8722" max="8722" width="11.25" style="4" customWidth="1"/>
    <col min="8723" max="8723" width="10.75" style="4" customWidth="1"/>
    <col min="8724" max="8724" width="10" style="4" customWidth="1"/>
    <col min="8725" max="8725" width="9.875" style="4" customWidth="1"/>
    <col min="8726" max="8726" width="26.125" style="4" customWidth="1"/>
    <col min="8727" max="8727" width="11.125" style="4" customWidth="1"/>
    <col min="8728" max="8728" width="7.875" style="4" customWidth="1"/>
    <col min="8729" max="8729" width="7.25" style="4" customWidth="1"/>
    <col min="8730" max="8730" width="9.125" style="4" customWidth="1"/>
    <col min="8731" max="8731" width="15.125" style="4" customWidth="1"/>
    <col min="8732" max="8732" width="7.75" style="4" customWidth="1"/>
    <col min="8733" max="8733" width="7.125" style="4" customWidth="1"/>
    <col min="8734" max="8734" width="12.125" style="4" customWidth="1"/>
    <col min="8735" max="8735" width="8.25" style="4" customWidth="1"/>
    <col min="8736" max="8737" width="10.375" style="4" customWidth="1"/>
    <col min="8738" max="8738" width="15.625" style="4" customWidth="1"/>
    <col min="8739" max="8739" width="15.875" style="4" customWidth="1"/>
    <col min="8740" max="8740" width="8.125" style="4" customWidth="1"/>
    <col min="8741" max="8744" width="10.375" style="4" customWidth="1"/>
    <col min="8745" max="8745" width="7.25" style="4" customWidth="1"/>
    <col min="8746" max="8746" width="7.125" style="4" customWidth="1"/>
    <col min="8747" max="8747" width="9.5" style="4" customWidth="1"/>
    <col min="8748" max="8749" width="9" style="4" customWidth="1"/>
    <col min="8750" max="8750" width="16.125" style="4" customWidth="1"/>
    <col min="8751" max="8781" width="9" style="4" customWidth="1"/>
    <col min="8782" max="8941" width="25.25" style="4"/>
    <col min="8942" max="8971" width="9" style="4" customWidth="1"/>
    <col min="8972" max="8972" width="0.5" style="4" customWidth="1"/>
    <col min="8973" max="8973" width="25.25" style="4"/>
    <col min="8974" max="8974" width="0.5" style="4" customWidth="1"/>
    <col min="8975" max="8975" width="25.25" style="4"/>
    <col min="8976" max="8976" width="14.75" style="4" customWidth="1"/>
    <col min="8977" max="8977" width="11.5" style="4" customWidth="1"/>
    <col min="8978" max="8978" width="11.25" style="4" customWidth="1"/>
    <col min="8979" max="8979" width="10.75" style="4" customWidth="1"/>
    <col min="8980" max="8980" width="10" style="4" customWidth="1"/>
    <col min="8981" max="8981" width="9.875" style="4" customWidth="1"/>
    <col min="8982" max="8982" width="26.125" style="4" customWidth="1"/>
    <col min="8983" max="8983" width="11.125" style="4" customWidth="1"/>
    <col min="8984" max="8984" width="7.875" style="4" customWidth="1"/>
    <col min="8985" max="8985" width="7.25" style="4" customWidth="1"/>
    <col min="8986" max="8986" width="9.125" style="4" customWidth="1"/>
    <col min="8987" max="8987" width="15.125" style="4" customWidth="1"/>
    <col min="8988" max="8988" width="7.75" style="4" customWidth="1"/>
    <col min="8989" max="8989" width="7.125" style="4" customWidth="1"/>
    <col min="8990" max="8990" width="12.125" style="4" customWidth="1"/>
    <col min="8991" max="8991" width="8.25" style="4" customWidth="1"/>
    <col min="8992" max="8993" width="10.375" style="4" customWidth="1"/>
    <col min="8994" max="8994" width="15.625" style="4" customWidth="1"/>
    <col min="8995" max="8995" width="15.875" style="4" customWidth="1"/>
    <col min="8996" max="8996" width="8.125" style="4" customWidth="1"/>
    <col min="8997" max="9000" width="10.375" style="4" customWidth="1"/>
    <col min="9001" max="9001" width="7.25" style="4" customWidth="1"/>
    <col min="9002" max="9002" width="7.125" style="4" customWidth="1"/>
    <col min="9003" max="9003" width="9.5" style="4" customWidth="1"/>
    <col min="9004" max="9005" width="9" style="4" customWidth="1"/>
    <col min="9006" max="9006" width="16.125" style="4" customWidth="1"/>
    <col min="9007" max="9037" width="9" style="4" customWidth="1"/>
    <col min="9038" max="9197" width="25.25" style="4"/>
    <col min="9198" max="9227" width="9" style="4" customWidth="1"/>
    <col min="9228" max="9228" width="0.5" style="4" customWidth="1"/>
    <col min="9229" max="9229" width="25.25" style="4"/>
    <col min="9230" max="9230" width="0.5" style="4" customWidth="1"/>
    <col min="9231" max="9231" width="25.25" style="4"/>
    <col min="9232" max="9232" width="14.75" style="4" customWidth="1"/>
    <col min="9233" max="9233" width="11.5" style="4" customWidth="1"/>
    <col min="9234" max="9234" width="11.25" style="4" customWidth="1"/>
    <col min="9235" max="9235" width="10.75" style="4" customWidth="1"/>
    <col min="9236" max="9236" width="10" style="4" customWidth="1"/>
    <col min="9237" max="9237" width="9.875" style="4" customWidth="1"/>
    <col min="9238" max="9238" width="26.125" style="4" customWidth="1"/>
    <col min="9239" max="9239" width="11.125" style="4" customWidth="1"/>
    <col min="9240" max="9240" width="7.875" style="4" customWidth="1"/>
    <col min="9241" max="9241" width="7.25" style="4" customWidth="1"/>
    <col min="9242" max="9242" width="9.125" style="4" customWidth="1"/>
    <col min="9243" max="9243" width="15.125" style="4" customWidth="1"/>
    <col min="9244" max="9244" width="7.75" style="4" customWidth="1"/>
    <col min="9245" max="9245" width="7.125" style="4" customWidth="1"/>
    <col min="9246" max="9246" width="12.125" style="4" customWidth="1"/>
    <col min="9247" max="9247" width="8.25" style="4" customWidth="1"/>
    <col min="9248" max="9249" width="10.375" style="4" customWidth="1"/>
    <col min="9250" max="9250" width="15.625" style="4" customWidth="1"/>
    <col min="9251" max="9251" width="15.875" style="4" customWidth="1"/>
    <col min="9252" max="9252" width="8.125" style="4" customWidth="1"/>
    <col min="9253" max="9256" width="10.375" style="4" customWidth="1"/>
    <col min="9257" max="9257" width="7.25" style="4" customWidth="1"/>
    <col min="9258" max="9258" width="7.125" style="4" customWidth="1"/>
    <col min="9259" max="9259" width="9.5" style="4" customWidth="1"/>
    <col min="9260" max="9261" width="9" style="4" customWidth="1"/>
    <col min="9262" max="9262" width="16.125" style="4" customWidth="1"/>
    <col min="9263" max="9293" width="9" style="4" customWidth="1"/>
    <col min="9294" max="9453" width="25.25" style="4"/>
    <col min="9454" max="9483" width="9" style="4" customWidth="1"/>
    <col min="9484" max="9484" width="0.5" style="4" customWidth="1"/>
    <col min="9485" max="9485" width="25.25" style="4"/>
    <col min="9486" max="9486" width="0.5" style="4" customWidth="1"/>
    <col min="9487" max="9487" width="25.25" style="4"/>
    <col min="9488" max="9488" width="14.75" style="4" customWidth="1"/>
    <col min="9489" max="9489" width="11.5" style="4" customWidth="1"/>
    <col min="9490" max="9490" width="11.25" style="4" customWidth="1"/>
    <col min="9491" max="9491" width="10.75" style="4" customWidth="1"/>
    <col min="9492" max="9492" width="10" style="4" customWidth="1"/>
    <col min="9493" max="9493" width="9.875" style="4" customWidth="1"/>
    <col min="9494" max="9494" width="26.125" style="4" customWidth="1"/>
    <col min="9495" max="9495" width="11.125" style="4" customWidth="1"/>
    <col min="9496" max="9496" width="7.875" style="4" customWidth="1"/>
    <col min="9497" max="9497" width="7.25" style="4" customWidth="1"/>
    <col min="9498" max="9498" width="9.125" style="4" customWidth="1"/>
    <col min="9499" max="9499" width="15.125" style="4" customWidth="1"/>
    <col min="9500" max="9500" width="7.75" style="4" customWidth="1"/>
    <col min="9501" max="9501" width="7.125" style="4" customWidth="1"/>
    <col min="9502" max="9502" width="12.125" style="4" customWidth="1"/>
    <col min="9503" max="9503" width="8.25" style="4" customWidth="1"/>
    <col min="9504" max="9505" width="10.375" style="4" customWidth="1"/>
    <col min="9506" max="9506" width="15.625" style="4" customWidth="1"/>
    <col min="9507" max="9507" width="15.875" style="4" customWidth="1"/>
    <col min="9508" max="9508" width="8.125" style="4" customWidth="1"/>
    <col min="9509" max="9512" width="10.375" style="4" customWidth="1"/>
    <col min="9513" max="9513" width="7.25" style="4" customWidth="1"/>
    <col min="9514" max="9514" width="7.125" style="4" customWidth="1"/>
    <col min="9515" max="9515" width="9.5" style="4" customWidth="1"/>
    <col min="9516" max="9517" width="9" style="4" customWidth="1"/>
    <col min="9518" max="9518" width="16.125" style="4" customWidth="1"/>
    <col min="9519" max="9549" width="9" style="4" customWidth="1"/>
    <col min="9550" max="9709" width="25.25" style="4"/>
    <col min="9710" max="9739" width="9" style="4" customWidth="1"/>
    <col min="9740" max="9740" width="0.5" style="4" customWidth="1"/>
    <col min="9741" max="9741" width="25.25" style="4"/>
    <col min="9742" max="9742" width="0.5" style="4" customWidth="1"/>
    <col min="9743" max="9743" width="25.25" style="4"/>
    <col min="9744" max="9744" width="14.75" style="4" customWidth="1"/>
    <col min="9745" max="9745" width="11.5" style="4" customWidth="1"/>
    <col min="9746" max="9746" width="11.25" style="4" customWidth="1"/>
    <col min="9747" max="9747" width="10.75" style="4" customWidth="1"/>
    <col min="9748" max="9748" width="10" style="4" customWidth="1"/>
    <col min="9749" max="9749" width="9.875" style="4" customWidth="1"/>
    <col min="9750" max="9750" width="26.125" style="4" customWidth="1"/>
    <col min="9751" max="9751" width="11.125" style="4" customWidth="1"/>
    <col min="9752" max="9752" width="7.875" style="4" customWidth="1"/>
    <col min="9753" max="9753" width="7.25" style="4" customWidth="1"/>
    <col min="9754" max="9754" width="9.125" style="4" customWidth="1"/>
    <col min="9755" max="9755" width="15.125" style="4" customWidth="1"/>
    <col min="9756" max="9756" width="7.75" style="4" customWidth="1"/>
    <col min="9757" max="9757" width="7.125" style="4" customWidth="1"/>
    <col min="9758" max="9758" width="12.125" style="4" customWidth="1"/>
    <col min="9759" max="9759" width="8.25" style="4" customWidth="1"/>
    <col min="9760" max="9761" width="10.375" style="4" customWidth="1"/>
    <col min="9762" max="9762" width="15.625" style="4" customWidth="1"/>
    <col min="9763" max="9763" width="15.875" style="4" customWidth="1"/>
    <col min="9764" max="9764" width="8.125" style="4" customWidth="1"/>
    <col min="9765" max="9768" width="10.375" style="4" customWidth="1"/>
    <col min="9769" max="9769" width="7.25" style="4" customWidth="1"/>
    <col min="9770" max="9770" width="7.125" style="4" customWidth="1"/>
    <col min="9771" max="9771" width="9.5" style="4" customWidth="1"/>
    <col min="9772" max="9773" width="9" style="4" customWidth="1"/>
    <col min="9774" max="9774" width="16.125" style="4" customWidth="1"/>
    <col min="9775" max="9805" width="9" style="4" customWidth="1"/>
    <col min="9806" max="9965" width="25.25" style="4"/>
    <col min="9966" max="9995" width="9" style="4" customWidth="1"/>
    <col min="9996" max="9996" width="0.5" style="4" customWidth="1"/>
    <col min="9997" max="9997" width="25.25" style="4"/>
    <col min="9998" max="9998" width="0.5" style="4" customWidth="1"/>
    <col min="9999" max="9999" width="25.25" style="4"/>
    <col min="10000" max="10000" width="14.75" style="4" customWidth="1"/>
    <col min="10001" max="10001" width="11.5" style="4" customWidth="1"/>
    <col min="10002" max="10002" width="11.25" style="4" customWidth="1"/>
    <col min="10003" max="10003" width="10.75" style="4" customWidth="1"/>
    <col min="10004" max="10004" width="10" style="4" customWidth="1"/>
    <col min="10005" max="10005" width="9.875" style="4" customWidth="1"/>
    <col min="10006" max="10006" width="26.125" style="4" customWidth="1"/>
    <col min="10007" max="10007" width="11.125" style="4" customWidth="1"/>
    <col min="10008" max="10008" width="7.875" style="4" customWidth="1"/>
    <col min="10009" max="10009" width="7.25" style="4" customWidth="1"/>
    <col min="10010" max="10010" width="9.125" style="4" customWidth="1"/>
    <col min="10011" max="10011" width="15.125" style="4" customWidth="1"/>
    <col min="10012" max="10012" width="7.75" style="4" customWidth="1"/>
    <col min="10013" max="10013" width="7.125" style="4" customWidth="1"/>
    <col min="10014" max="10014" width="12.125" style="4" customWidth="1"/>
    <col min="10015" max="10015" width="8.25" style="4" customWidth="1"/>
    <col min="10016" max="10017" width="10.375" style="4" customWidth="1"/>
    <col min="10018" max="10018" width="15.625" style="4" customWidth="1"/>
    <col min="10019" max="10019" width="15.875" style="4" customWidth="1"/>
    <col min="10020" max="10020" width="8.125" style="4" customWidth="1"/>
    <col min="10021" max="10024" width="10.375" style="4" customWidth="1"/>
    <col min="10025" max="10025" width="7.25" style="4" customWidth="1"/>
    <col min="10026" max="10026" width="7.125" style="4" customWidth="1"/>
    <col min="10027" max="10027" width="9.5" style="4" customWidth="1"/>
    <col min="10028" max="10029" width="9" style="4" customWidth="1"/>
    <col min="10030" max="10030" width="16.125" style="4" customWidth="1"/>
    <col min="10031" max="10061" width="9" style="4" customWidth="1"/>
    <col min="10062" max="10221" width="25.25" style="4"/>
    <col min="10222" max="10251" width="9" style="4" customWidth="1"/>
    <col min="10252" max="10252" width="0.5" style="4" customWidth="1"/>
    <col min="10253" max="10253" width="25.25" style="4"/>
    <col min="10254" max="10254" width="0.5" style="4" customWidth="1"/>
    <col min="10255" max="10255" width="25.25" style="4"/>
    <col min="10256" max="10256" width="14.75" style="4" customWidth="1"/>
    <col min="10257" max="10257" width="11.5" style="4" customWidth="1"/>
    <col min="10258" max="10258" width="11.25" style="4" customWidth="1"/>
    <col min="10259" max="10259" width="10.75" style="4" customWidth="1"/>
    <col min="10260" max="10260" width="10" style="4" customWidth="1"/>
    <col min="10261" max="10261" width="9.875" style="4" customWidth="1"/>
    <col min="10262" max="10262" width="26.125" style="4" customWidth="1"/>
    <col min="10263" max="10263" width="11.125" style="4" customWidth="1"/>
    <col min="10264" max="10264" width="7.875" style="4" customWidth="1"/>
    <col min="10265" max="10265" width="7.25" style="4" customWidth="1"/>
    <col min="10266" max="10266" width="9.125" style="4" customWidth="1"/>
    <col min="10267" max="10267" width="15.125" style="4" customWidth="1"/>
    <col min="10268" max="10268" width="7.75" style="4" customWidth="1"/>
    <col min="10269" max="10269" width="7.125" style="4" customWidth="1"/>
    <col min="10270" max="10270" width="12.125" style="4" customWidth="1"/>
    <col min="10271" max="10271" width="8.25" style="4" customWidth="1"/>
    <col min="10272" max="10273" width="10.375" style="4" customWidth="1"/>
    <col min="10274" max="10274" width="15.625" style="4" customWidth="1"/>
    <col min="10275" max="10275" width="15.875" style="4" customWidth="1"/>
    <col min="10276" max="10276" width="8.125" style="4" customWidth="1"/>
    <col min="10277" max="10280" width="10.375" style="4" customWidth="1"/>
    <col min="10281" max="10281" width="7.25" style="4" customWidth="1"/>
    <col min="10282" max="10282" width="7.125" style="4" customWidth="1"/>
    <col min="10283" max="10283" width="9.5" style="4" customWidth="1"/>
    <col min="10284" max="10285" width="9" style="4" customWidth="1"/>
    <col min="10286" max="10286" width="16.125" style="4" customWidth="1"/>
    <col min="10287" max="10317" width="9" style="4" customWidth="1"/>
    <col min="10318" max="10477" width="25.25" style="4"/>
    <col min="10478" max="10507" width="9" style="4" customWidth="1"/>
    <col min="10508" max="10508" width="0.5" style="4" customWidth="1"/>
    <col min="10509" max="10509" width="25.25" style="4"/>
    <col min="10510" max="10510" width="0.5" style="4" customWidth="1"/>
    <col min="10511" max="10511" width="25.25" style="4"/>
    <col min="10512" max="10512" width="14.75" style="4" customWidth="1"/>
    <col min="10513" max="10513" width="11.5" style="4" customWidth="1"/>
    <col min="10514" max="10514" width="11.25" style="4" customWidth="1"/>
    <col min="10515" max="10515" width="10.75" style="4" customWidth="1"/>
    <col min="10516" max="10516" width="10" style="4" customWidth="1"/>
    <col min="10517" max="10517" width="9.875" style="4" customWidth="1"/>
    <col min="10518" max="10518" width="26.125" style="4" customWidth="1"/>
    <col min="10519" max="10519" width="11.125" style="4" customWidth="1"/>
    <col min="10520" max="10520" width="7.875" style="4" customWidth="1"/>
    <col min="10521" max="10521" width="7.25" style="4" customWidth="1"/>
    <col min="10522" max="10522" width="9.125" style="4" customWidth="1"/>
    <col min="10523" max="10523" width="15.125" style="4" customWidth="1"/>
    <col min="10524" max="10524" width="7.75" style="4" customWidth="1"/>
    <col min="10525" max="10525" width="7.125" style="4" customWidth="1"/>
    <col min="10526" max="10526" width="12.125" style="4" customWidth="1"/>
    <col min="10527" max="10527" width="8.25" style="4" customWidth="1"/>
    <col min="10528" max="10529" width="10.375" style="4" customWidth="1"/>
    <col min="10530" max="10530" width="15.625" style="4" customWidth="1"/>
    <col min="10531" max="10531" width="15.875" style="4" customWidth="1"/>
    <col min="10532" max="10532" width="8.125" style="4" customWidth="1"/>
    <col min="10533" max="10536" width="10.375" style="4" customWidth="1"/>
    <col min="10537" max="10537" width="7.25" style="4" customWidth="1"/>
    <col min="10538" max="10538" width="7.125" style="4" customWidth="1"/>
    <col min="10539" max="10539" width="9.5" style="4" customWidth="1"/>
    <col min="10540" max="10541" width="9" style="4" customWidth="1"/>
    <col min="10542" max="10542" width="16.125" style="4" customWidth="1"/>
    <col min="10543" max="10573" width="9" style="4" customWidth="1"/>
    <col min="10574" max="10733" width="25.25" style="4"/>
    <col min="10734" max="10763" width="9" style="4" customWidth="1"/>
    <col min="10764" max="10764" width="0.5" style="4" customWidth="1"/>
    <col min="10765" max="10765" width="25.25" style="4"/>
    <col min="10766" max="10766" width="0.5" style="4" customWidth="1"/>
    <col min="10767" max="10767" width="25.25" style="4"/>
    <col min="10768" max="10768" width="14.75" style="4" customWidth="1"/>
    <col min="10769" max="10769" width="11.5" style="4" customWidth="1"/>
    <col min="10770" max="10770" width="11.25" style="4" customWidth="1"/>
    <col min="10771" max="10771" width="10.75" style="4" customWidth="1"/>
    <col min="10772" max="10772" width="10" style="4" customWidth="1"/>
    <col min="10773" max="10773" width="9.875" style="4" customWidth="1"/>
    <col min="10774" max="10774" width="26.125" style="4" customWidth="1"/>
    <col min="10775" max="10775" width="11.125" style="4" customWidth="1"/>
    <col min="10776" max="10776" width="7.875" style="4" customWidth="1"/>
    <col min="10777" max="10777" width="7.25" style="4" customWidth="1"/>
    <col min="10778" max="10778" width="9.125" style="4" customWidth="1"/>
    <col min="10779" max="10779" width="15.125" style="4" customWidth="1"/>
    <col min="10780" max="10780" width="7.75" style="4" customWidth="1"/>
    <col min="10781" max="10781" width="7.125" style="4" customWidth="1"/>
    <col min="10782" max="10782" width="12.125" style="4" customWidth="1"/>
    <col min="10783" max="10783" width="8.25" style="4" customWidth="1"/>
    <col min="10784" max="10785" width="10.375" style="4" customWidth="1"/>
    <col min="10786" max="10786" width="15.625" style="4" customWidth="1"/>
    <col min="10787" max="10787" width="15.875" style="4" customWidth="1"/>
    <col min="10788" max="10788" width="8.125" style="4" customWidth="1"/>
    <col min="10789" max="10792" width="10.375" style="4" customWidth="1"/>
    <col min="10793" max="10793" width="7.25" style="4" customWidth="1"/>
    <col min="10794" max="10794" width="7.125" style="4" customWidth="1"/>
    <col min="10795" max="10795" width="9.5" style="4" customWidth="1"/>
    <col min="10796" max="10797" width="9" style="4" customWidth="1"/>
    <col min="10798" max="10798" width="16.125" style="4" customWidth="1"/>
    <col min="10799" max="10829" width="9" style="4" customWidth="1"/>
    <col min="10830" max="10989" width="25.25" style="4"/>
    <col min="10990" max="11019" width="9" style="4" customWidth="1"/>
    <col min="11020" max="11020" width="0.5" style="4" customWidth="1"/>
    <col min="11021" max="11021" width="25.25" style="4"/>
    <col min="11022" max="11022" width="0.5" style="4" customWidth="1"/>
    <col min="11023" max="11023" width="25.25" style="4"/>
    <col min="11024" max="11024" width="14.75" style="4" customWidth="1"/>
    <col min="11025" max="11025" width="11.5" style="4" customWidth="1"/>
    <col min="11026" max="11026" width="11.25" style="4" customWidth="1"/>
    <col min="11027" max="11027" width="10.75" style="4" customWidth="1"/>
    <col min="11028" max="11028" width="10" style="4" customWidth="1"/>
    <col min="11029" max="11029" width="9.875" style="4" customWidth="1"/>
    <col min="11030" max="11030" width="26.125" style="4" customWidth="1"/>
    <col min="11031" max="11031" width="11.125" style="4" customWidth="1"/>
    <col min="11032" max="11032" width="7.875" style="4" customWidth="1"/>
    <col min="11033" max="11033" width="7.25" style="4" customWidth="1"/>
    <col min="11034" max="11034" width="9.125" style="4" customWidth="1"/>
    <col min="11035" max="11035" width="15.125" style="4" customWidth="1"/>
    <col min="11036" max="11036" width="7.75" style="4" customWidth="1"/>
    <col min="11037" max="11037" width="7.125" style="4" customWidth="1"/>
    <col min="11038" max="11038" width="12.125" style="4" customWidth="1"/>
    <col min="11039" max="11039" width="8.25" style="4" customWidth="1"/>
    <col min="11040" max="11041" width="10.375" style="4" customWidth="1"/>
    <col min="11042" max="11042" width="15.625" style="4" customWidth="1"/>
    <col min="11043" max="11043" width="15.875" style="4" customWidth="1"/>
    <col min="11044" max="11044" width="8.125" style="4" customWidth="1"/>
    <col min="11045" max="11048" width="10.375" style="4" customWidth="1"/>
    <col min="11049" max="11049" width="7.25" style="4" customWidth="1"/>
    <col min="11050" max="11050" width="7.125" style="4" customWidth="1"/>
    <col min="11051" max="11051" width="9.5" style="4" customWidth="1"/>
    <col min="11052" max="11053" width="9" style="4" customWidth="1"/>
    <col min="11054" max="11054" width="16.125" style="4" customWidth="1"/>
    <col min="11055" max="11085" width="9" style="4" customWidth="1"/>
    <col min="11086" max="11245" width="25.25" style="4"/>
    <col min="11246" max="11275" width="9" style="4" customWidth="1"/>
    <col min="11276" max="11276" width="0.5" style="4" customWidth="1"/>
    <col min="11277" max="11277" width="25.25" style="4"/>
    <col min="11278" max="11278" width="0.5" style="4" customWidth="1"/>
    <col min="11279" max="11279" width="25.25" style="4"/>
    <col min="11280" max="11280" width="14.75" style="4" customWidth="1"/>
    <col min="11281" max="11281" width="11.5" style="4" customWidth="1"/>
    <col min="11282" max="11282" width="11.25" style="4" customWidth="1"/>
    <col min="11283" max="11283" width="10.75" style="4" customWidth="1"/>
    <col min="11284" max="11284" width="10" style="4" customWidth="1"/>
    <col min="11285" max="11285" width="9.875" style="4" customWidth="1"/>
    <col min="11286" max="11286" width="26.125" style="4" customWidth="1"/>
    <col min="11287" max="11287" width="11.125" style="4" customWidth="1"/>
    <col min="11288" max="11288" width="7.875" style="4" customWidth="1"/>
    <col min="11289" max="11289" width="7.25" style="4" customWidth="1"/>
    <col min="11290" max="11290" width="9.125" style="4" customWidth="1"/>
    <col min="11291" max="11291" width="15.125" style="4" customWidth="1"/>
    <col min="11292" max="11292" width="7.75" style="4" customWidth="1"/>
    <col min="11293" max="11293" width="7.125" style="4" customWidth="1"/>
    <col min="11294" max="11294" width="12.125" style="4" customWidth="1"/>
    <col min="11295" max="11295" width="8.25" style="4" customWidth="1"/>
    <col min="11296" max="11297" width="10.375" style="4" customWidth="1"/>
    <col min="11298" max="11298" width="15.625" style="4" customWidth="1"/>
    <col min="11299" max="11299" width="15.875" style="4" customWidth="1"/>
    <col min="11300" max="11300" width="8.125" style="4" customWidth="1"/>
    <col min="11301" max="11304" width="10.375" style="4" customWidth="1"/>
    <col min="11305" max="11305" width="7.25" style="4" customWidth="1"/>
    <col min="11306" max="11306" width="7.125" style="4" customWidth="1"/>
    <col min="11307" max="11307" width="9.5" style="4" customWidth="1"/>
    <col min="11308" max="11309" width="9" style="4" customWidth="1"/>
    <col min="11310" max="11310" width="16.125" style="4" customWidth="1"/>
    <col min="11311" max="11341" width="9" style="4" customWidth="1"/>
    <col min="11342" max="11501" width="25.25" style="4"/>
    <col min="11502" max="11531" width="9" style="4" customWidth="1"/>
    <col min="11532" max="11532" width="0.5" style="4" customWidth="1"/>
    <col min="11533" max="11533" width="25.25" style="4"/>
    <col min="11534" max="11534" width="0.5" style="4" customWidth="1"/>
    <col min="11535" max="11535" width="25.25" style="4"/>
    <col min="11536" max="11536" width="14.75" style="4" customWidth="1"/>
    <col min="11537" max="11537" width="11.5" style="4" customWidth="1"/>
    <col min="11538" max="11538" width="11.25" style="4" customWidth="1"/>
    <col min="11539" max="11539" width="10.75" style="4" customWidth="1"/>
    <col min="11540" max="11540" width="10" style="4" customWidth="1"/>
    <col min="11541" max="11541" width="9.875" style="4" customWidth="1"/>
    <col min="11542" max="11542" width="26.125" style="4" customWidth="1"/>
    <col min="11543" max="11543" width="11.125" style="4" customWidth="1"/>
    <col min="11544" max="11544" width="7.875" style="4" customWidth="1"/>
    <col min="11545" max="11545" width="7.25" style="4" customWidth="1"/>
    <col min="11546" max="11546" width="9.125" style="4" customWidth="1"/>
    <col min="11547" max="11547" width="15.125" style="4" customWidth="1"/>
    <col min="11548" max="11548" width="7.75" style="4" customWidth="1"/>
    <col min="11549" max="11549" width="7.125" style="4" customWidth="1"/>
    <col min="11550" max="11550" width="12.125" style="4" customWidth="1"/>
    <col min="11551" max="11551" width="8.25" style="4" customWidth="1"/>
    <col min="11552" max="11553" width="10.375" style="4" customWidth="1"/>
    <col min="11554" max="11554" width="15.625" style="4" customWidth="1"/>
    <col min="11555" max="11555" width="15.875" style="4" customWidth="1"/>
    <col min="11556" max="11556" width="8.125" style="4" customWidth="1"/>
    <col min="11557" max="11560" width="10.375" style="4" customWidth="1"/>
    <col min="11561" max="11561" width="7.25" style="4" customWidth="1"/>
    <col min="11562" max="11562" width="7.125" style="4" customWidth="1"/>
    <col min="11563" max="11563" width="9.5" style="4" customWidth="1"/>
    <col min="11564" max="11565" width="9" style="4" customWidth="1"/>
    <col min="11566" max="11566" width="16.125" style="4" customWidth="1"/>
    <col min="11567" max="11597" width="9" style="4" customWidth="1"/>
    <col min="11598" max="11757" width="25.25" style="4"/>
    <col min="11758" max="11787" width="9" style="4" customWidth="1"/>
    <col min="11788" max="11788" width="0.5" style="4" customWidth="1"/>
    <col min="11789" max="11789" width="25.25" style="4"/>
    <col min="11790" max="11790" width="0.5" style="4" customWidth="1"/>
    <col min="11791" max="11791" width="25.25" style="4"/>
    <col min="11792" max="11792" width="14.75" style="4" customWidth="1"/>
    <col min="11793" max="11793" width="11.5" style="4" customWidth="1"/>
    <col min="11794" max="11794" width="11.25" style="4" customWidth="1"/>
    <col min="11795" max="11795" width="10.75" style="4" customWidth="1"/>
    <col min="11796" max="11796" width="10" style="4" customWidth="1"/>
    <col min="11797" max="11797" width="9.875" style="4" customWidth="1"/>
    <col min="11798" max="11798" width="26.125" style="4" customWidth="1"/>
    <col min="11799" max="11799" width="11.125" style="4" customWidth="1"/>
    <col min="11800" max="11800" width="7.875" style="4" customWidth="1"/>
    <col min="11801" max="11801" width="7.25" style="4" customWidth="1"/>
    <col min="11802" max="11802" width="9.125" style="4" customWidth="1"/>
    <col min="11803" max="11803" width="15.125" style="4" customWidth="1"/>
    <col min="11804" max="11804" width="7.75" style="4" customWidth="1"/>
    <col min="11805" max="11805" width="7.125" style="4" customWidth="1"/>
    <col min="11806" max="11806" width="12.125" style="4" customWidth="1"/>
    <col min="11807" max="11807" width="8.25" style="4" customWidth="1"/>
    <col min="11808" max="11809" width="10.375" style="4" customWidth="1"/>
    <col min="11810" max="11810" width="15.625" style="4" customWidth="1"/>
    <col min="11811" max="11811" width="15.875" style="4" customWidth="1"/>
    <col min="11812" max="11812" width="8.125" style="4" customWidth="1"/>
    <col min="11813" max="11816" width="10.375" style="4" customWidth="1"/>
    <col min="11817" max="11817" width="7.25" style="4" customWidth="1"/>
    <col min="11818" max="11818" width="7.125" style="4" customWidth="1"/>
    <col min="11819" max="11819" width="9.5" style="4" customWidth="1"/>
    <col min="11820" max="11821" width="9" style="4" customWidth="1"/>
    <col min="11822" max="11822" width="16.125" style="4" customWidth="1"/>
    <col min="11823" max="11853" width="9" style="4" customWidth="1"/>
    <col min="11854" max="12013" width="25.25" style="4"/>
    <col min="12014" max="12043" width="9" style="4" customWidth="1"/>
    <col min="12044" max="12044" width="0.5" style="4" customWidth="1"/>
    <col min="12045" max="12045" width="25.25" style="4"/>
    <col min="12046" max="12046" width="0.5" style="4" customWidth="1"/>
    <col min="12047" max="12047" width="25.25" style="4"/>
    <col min="12048" max="12048" width="14.75" style="4" customWidth="1"/>
    <col min="12049" max="12049" width="11.5" style="4" customWidth="1"/>
    <col min="12050" max="12050" width="11.25" style="4" customWidth="1"/>
    <col min="12051" max="12051" width="10.75" style="4" customWidth="1"/>
    <col min="12052" max="12052" width="10" style="4" customWidth="1"/>
    <col min="12053" max="12053" width="9.875" style="4" customWidth="1"/>
    <col min="12054" max="12054" width="26.125" style="4" customWidth="1"/>
    <col min="12055" max="12055" width="11.125" style="4" customWidth="1"/>
    <col min="12056" max="12056" width="7.875" style="4" customWidth="1"/>
    <col min="12057" max="12057" width="7.25" style="4" customWidth="1"/>
    <col min="12058" max="12058" width="9.125" style="4" customWidth="1"/>
    <col min="12059" max="12059" width="15.125" style="4" customWidth="1"/>
    <col min="12060" max="12060" width="7.75" style="4" customWidth="1"/>
    <col min="12061" max="12061" width="7.125" style="4" customWidth="1"/>
    <col min="12062" max="12062" width="12.125" style="4" customWidth="1"/>
    <col min="12063" max="12063" width="8.25" style="4" customWidth="1"/>
    <col min="12064" max="12065" width="10.375" style="4" customWidth="1"/>
    <col min="12066" max="12066" width="15.625" style="4" customWidth="1"/>
    <col min="12067" max="12067" width="15.875" style="4" customWidth="1"/>
    <col min="12068" max="12068" width="8.125" style="4" customWidth="1"/>
    <col min="12069" max="12072" width="10.375" style="4" customWidth="1"/>
    <col min="12073" max="12073" width="7.25" style="4" customWidth="1"/>
    <col min="12074" max="12074" width="7.125" style="4" customWidth="1"/>
    <col min="12075" max="12075" width="9.5" style="4" customWidth="1"/>
    <col min="12076" max="12077" width="9" style="4" customWidth="1"/>
    <col min="12078" max="12078" width="16.125" style="4" customWidth="1"/>
    <col min="12079" max="12109" width="9" style="4" customWidth="1"/>
    <col min="12110" max="12269" width="25.25" style="4"/>
    <col min="12270" max="12299" width="9" style="4" customWidth="1"/>
    <col min="12300" max="12300" width="0.5" style="4" customWidth="1"/>
    <col min="12301" max="12301" width="25.25" style="4"/>
    <col min="12302" max="12302" width="0.5" style="4" customWidth="1"/>
    <col min="12303" max="12303" width="25.25" style="4"/>
    <col min="12304" max="12304" width="14.75" style="4" customWidth="1"/>
    <col min="12305" max="12305" width="11.5" style="4" customWidth="1"/>
    <col min="12306" max="12306" width="11.25" style="4" customWidth="1"/>
    <col min="12307" max="12307" width="10.75" style="4" customWidth="1"/>
    <col min="12308" max="12308" width="10" style="4" customWidth="1"/>
    <col min="12309" max="12309" width="9.875" style="4" customWidth="1"/>
    <col min="12310" max="12310" width="26.125" style="4" customWidth="1"/>
    <col min="12311" max="12311" width="11.125" style="4" customWidth="1"/>
    <col min="12312" max="12312" width="7.875" style="4" customWidth="1"/>
    <col min="12313" max="12313" width="7.25" style="4" customWidth="1"/>
    <col min="12314" max="12314" width="9.125" style="4" customWidth="1"/>
    <col min="12315" max="12315" width="15.125" style="4" customWidth="1"/>
    <col min="12316" max="12316" width="7.75" style="4" customWidth="1"/>
    <col min="12317" max="12317" width="7.125" style="4" customWidth="1"/>
    <col min="12318" max="12318" width="12.125" style="4" customWidth="1"/>
    <col min="12319" max="12319" width="8.25" style="4" customWidth="1"/>
    <col min="12320" max="12321" width="10.375" style="4" customWidth="1"/>
    <col min="12322" max="12322" width="15.625" style="4" customWidth="1"/>
    <col min="12323" max="12323" width="15.875" style="4" customWidth="1"/>
    <col min="12324" max="12324" width="8.125" style="4" customWidth="1"/>
    <col min="12325" max="12328" width="10.375" style="4" customWidth="1"/>
    <col min="12329" max="12329" width="7.25" style="4" customWidth="1"/>
    <col min="12330" max="12330" width="7.125" style="4" customWidth="1"/>
    <col min="12331" max="12331" width="9.5" style="4" customWidth="1"/>
    <col min="12332" max="12333" width="9" style="4" customWidth="1"/>
    <col min="12334" max="12334" width="16.125" style="4" customWidth="1"/>
    <col min="12335" max="12365" width="9" style="4" customWidth="1"/>
    <col min="12366" max="12525" width="25.25" style="4"/>
    <col min="12526" max="12555" width="9" style="4" customWidth="1"/>
    <col min="12556" max="12556" width="0.5" style="4" customWidth="1"/>
    <col min="12557" max="12557" width="25.25" style="4"/>
    <col min="12558" max="12558" width="0.5" style="4" customWidth="1"/>
    <col min="12559" max="12559" width="25.25" style="4"/>
    <col min="12560" max="12560" width="14.75" style="4" customWidth="1"/>
    <col min="12561" max="12561" width="11.5" style="4" customWidth="1"/>
    <col min="12562" max="12562" width="11.25" style="4" customWidth="1"/>
    <col min="12563" max="12563" width="10.75" style="4" customWidth="1"/>
    <col min="12564" max="12564" width="10" style="4" customWidth="1"/>
    <col min="12565" max="12565" width="9.875" style="4" customWidth="1"/>
    <col min="12566" max="12566" width="26.125" style="4" customWidth="1"/>
    <col min="12567" max="12567" width="11.125" style="4" customWidth="1"/>
    <col min="12568" max="12568" width="7.875" style="4" customWidth="1"/>
    <col min="12569" max="12569" width="7.25" style="4" customWidth="1"/>
    <col min="12570" max="12570" width="9.125" style="4" customWidth="1"/>
    <col min="12571" max="12571" width="15.125" style="4" customWidth="1"/>
    <col min="12572" max="12572" width="7.75" style="4" customWidth="1"/>
    <col min="12573" max="12573" width="7.125" style="4" customWidth="1"/>
    <col min="12574" max="12574" width="12.125" style="4" customWidth="1"/>
    <col min="12575" max="12575" width="8.25" style="4" customWidth="1"/>
    <col min="12576" max="12577" width="10.375" style="4" customWidth="1"/>
    <col min="12578" max="12578" width="15.625" style="4" customWidth="1"/>
    <col min="12579" max="12579" width="15.875" style="4" customWidth="1"/>
    <col min="12580" max="12580" width="8.125" style="4" customWidth="1"/>
    <col min="12581" max="12584" width="10.375" style="4" customWidth="1"/>
    <col min="12585" max="12585" width="7.25" style="4" customWidth="1"/>
    <col min="12586" max="12586" width="7.125" style="4" customWidth="1"/>
    <col min="12587" max="12587" width="9.5" style="4" customWidth="1"/>
    <col min="12588" max="12589" width="9" style="4" customWidth="1"/>
    <col min="12590" max="12590" width="16.125" style="4" customWidth="1"/>
    <col min="12591" max="12621" width="9" style="4" customWidth="1"/>
    <col min="12622" max="12781" width="25.25" style="4"/>
    <col min="12782" max="12811" width="9" style="4" customWidth="1"/>
    <col min="12812" max="12812" width="0.5" style="4" customWidth="1"/>
    <col min="12813" max="12813" width="25.25" style="4"/>
    <col min="12814" max="12814" width="0.5" style="4" customWidth="1"/>
    <col min="12815" max="12815" width="25.25" style="4"/>
    <col min="12816" max="12816" width="14.75" style="4" customWidth="1"/>
    <col min="12817" max="12817" width="11.5" style="4" customWidth="1"/>
    <col min="12818" max="12818" width="11.25" style="4" customWidth="1"/>
    <col min="12819" max="12819" width="10.75" style="4" customWidth="1"/>
    <col min="12820" max="12820" width="10" style="4" customWidth="1"/>
    <col min="12821" max="12821" width="9.875" style="4" customWidth="1"/>
    <col min="12822" max="12822" width="26.125" style="4" customWidth="1"/>
    <col min="12823" max="12823" width="11.125" style="4" customWidth="1"/>
    <col min="12824" max="12824" width="7.875" style="4" customWidth="1"/>
    <col min="12825" max="12825" width="7.25" style="4" customWidth="1"/>
    <col min="12826" max="12826" width="9.125" style="4" customWidth="1"/>
    <col min="12827" max="12827" width="15.125" style="4" customWidth="1"/>
    <col min="12828" max="12828" width="7.75" style="4" customWidth="1"/>
    <col min="12829" max="12829" width="7.125" style="4" customWidth="1"/>
    <col min="12830" max="12830" width="12.125" style="4" customWidth="1"/>
    <col min="12831" max="12831" width="8.25" style="4" customWidth="1"/>
    <col min="12832" max="12833" width="10.375" style="4" customWidth="1"/>
    <col min="12834" max="12834" width="15.625" style="4" customWidth="1"/>
    <col min="12835" max="12835" width="15.875" style="4" customWidth="1"/>
    <col min="12836" max="12836" width="8.125" style="4" customWidth="1"/>
    <col min="12837" max="12840" width="10.375" style="4" customWidth="1"/>
    <col min="12841" max="12841" width="7.25" style="4" customWidth="1"/>
    <col min="12842" max="12842" width="7.125" style="4" customWidth="1"/>
    <col min="12843" max="12843" width="9.5" style="4" customWidth="1"/>
    <col min="12844" max="12845" width="9" style="4" customWidth="1"/>
    <col min="12846" max="12846" width="16.125" style="4" customWidth="1"/>
    <col min="12847" max="12877" width="9" style="4" customWidth="1"/>
    <col min="12878" max="13037" width="25.25" style="4"/>
    <col min="13038" max="13067" width="9" style="4" customWidth="1"/>
    <col min="13068" max="13068" width="0.5" style="4" customWidth="1"/>
    <col min="13069" max="13069" width="25.25" style="4"/>
    <col min="13070" max="13070" width="0.5" style="4" customWidth="1"/>
    <col min="13071" max="13071" width="25.25" style="4"/>
    <col min="13072" max="13072" width="14.75" style="4" customWidth="1"/>
    <col min="13073" max="13073" width="11.5" style="4" customWidth="1"/>
    <col min="13074" max="13074" width="11.25" style="4" customWidth="1"/>
    <col min="13075" max="13075" width="10.75" style="4" customWidth="1"/>
    <col min="13076" max="13076" width="10" style="4" customWidth="1"/>
    <col min="13077" max="13077" width="9.875" style="4" customWidth="1"/>
    <col min="13078" max="13078" width="26.125" style="4" customWidth="1"/>
    <col min="13079" max="13079" width="11.125" style="4" customWidth="1"/>
    <col min="13080" max="13080" width="7.875" style="4" customWidth="1"/>
    <col min="13081" max="13081" width="7.25" style="4" customWidth="1"/>
    <col min="13082" max="13082" width="9.125" style="4" customWidth="1"/>
    <col min="13083" max="13083" width="15.125" style="4" customWidth="1"/>
    <col min="13084" max="13084" width="7.75" style="4" customWidth="1"/>
    <col min="13085" max="13085" width="7.125" style="4" customWidth="1"/>
    <col min="13086" max="13086" width="12.125" style="4" customWidth="1"/>
    <col min="13087" max="13087" width="8.25" style="4" customWidth="1"/>
    <col min="13088" max="13089" width="10.375" style="4" customWidth="1"/>
    <col min="13090" max="13090" width="15.625" style="4" customWidth="1"/>
    <col min="13091" max="13091" width="15.875" style="4" customWidth="1"/>
    <col min="13092" max="13092" width="8.125" style="4" customWidth="1"/>
    <col min="13093" max="13096" width="10.375" style="4" customWidth="1"/>
    <col min="13097" max="13097" width="7.25" style="4" customWidth="1"/>
    <col min="13098" max="13098" width="7.125" style="4" customWidth="1"/>
    <col min="13099" max="13099" width="9.5" style="4" customWidth="1"/>
    <col min="13100" max="13101" width="9" style="4" customWidth="1"/>
    <col min="13102" max="13102" width="16.125" style="4" customWidth="1"/>
    <col min="13103" max="13133" width="9" style="4" customWidth="1"/>
    <col min="13134" max="13293" width="25.25" style="4"/>
    <col min="13294" max="13323" width="9" style="4" customWidth="1"/>
    <col min="13324" max="13324" width="0.5" style="4" customWidth="1"/>
    <col min="13325" max="13325" width="25.25" style="4"/>
    <col min="13326" max="13326" width="0.5" style="4" customWidth="1"/>
    <col min="13327" max="13327" width="25.25" style="4"/>
    <col min="13328" max="13328" width="14.75" style="4" customWidth="1"/>
    <col min="13329" max="13329" width="11.5" style="4" customWidth="1"/>
    <col min="13330" max="13330" width="11.25" style="4" customWidth="1"/>
    <col min="13331" max="13331" width="10.75" style="4" customWidth="1"/>
    <col min="13332" max="13332" width="10" style="4" customWidth="1"/>
    <col min="13333" max="13333" width="9.875" style="4" customWidth="1"/>
    <col min="13334" max="13334" width="26.125" style="4" customWidth="1"/>
    <col min="13335" max="13335" width="11.125" style="4" customWidth="1"/>
    <col min="13336" max="13336" width="7.875" style="4" customWidth="1"/>
    <col min="13337" max="13337" width="7.25" style="4" customWidth="1"/>
    <col min="13338" max="13338" width="9.125" style="4" customWidth="1"/>
    <col min="13339" max="13339" width="15.125" style="4" customWidth="1"/>
    <col min="13340" max="13340" width="7.75" style="4" customWidth="1"/>
    <col min="13341" max="13341" width="7.125" style="4" customWidth="1"/>
    <col min="13342" max="13342" width="12.125" style="4" customWidth="1"/>
    <col min="13343" max="13343" width="8.25" style="4" customWidth="1"/>
    <col min="13344" max="13345" width="10.375" style="4" customWidth="1"/>
    <col min="13346" max="13346" width="15.625" style="4" customWidth="1"/>
    <col min="13347" max="13347" width="15.875" style="4" customWidth="1"/>
    <col min="13348" max="13348" width="8.125" style="4" customWidth="1"/>
    <col min="13349" max="13352" width="10.375" style="4" customWidth="1"/>
    <col min="13353" max="13353" width="7.25" style="4" customWidth="1"/>
    <col min="13354" max="13354" width="7.125" style="4" customWidth="1"/>
    <col min="13355" max="13355" width="9.5" style="4" customWidth="1"/>
    <col min="13356" max="13357" width="9" style="4" customWidth="1"/>
    <col min="13358" max="13358" width="16.125" style="4" customWidth="1"/>
    <col min="13359" max="13389" width="9" style="4" customWidth="1"/>
    <col min="13390" max="13549" width="25.25" style="4"/>
    <col min="13550" max="13579" width="9" style="4" customWidth="1"/>
    <col min="13580" max="13580" width="0.5" style="4" customWidth="1"/>
    <col min="13581" max="13581" width="25.25" style="4"/>
    <col min="13582" max="13582" width="0.5" style="4" customWidth="1"/>
    <col min="13583" max="13583" width="25.25" style="4"/>
    <col min="13584" max="13584" width="14.75" style="4" customWidth="1"/>
    <col min="13585" max="13585" width="11.5" style="4" customWidth="1"/>
    <col min="13586" max="13586" width="11.25" style="4" customWidth="1"/>
    <col min="13587" max="13587" width="10.75" style="4" customWidth="1"/>
    <col min="13588" max="13588" width="10" style="4" customWidth="1"/>
    <col min="13589" max="13589" width="9.875" style="4" customWidth="1"/>
    <col min="13590" max="13590" width="26.125" style="4" customWidth="1"/>
    <col min="13591" max="13591" width="11.125" style="4" customWidth="1"/>
    <col min="13592" max="13592" width="7.875" style="4" customWidth="1"/>
    <col min="13593" max="13593" width="7.25" style="4" customWidth="1"/>
    <col min="13594" max="13594" width="9.125" style="4" customWidth="1"/>
    <col min="13595" max="13595" width="15.125" style="4" customWidth="1"/>
    <col min="13596" max="13596" width="7.75" style="4" customWidth="1"/>
    <col min="13597" max="13597" width="7.125" style="4" customWidth="1"/>
    <col min="13598" max="13598" width="12.125" style="4" customWidth="1"/>
    <col min="13599" max="13599" width="8.25" style="4" customWidth="1"/>
    <col min="13600" max="13601" width="10.375" style="4" customWidth="1"/>
    <col min="13602" max="13602" width="15.625" style="4" customWidth="1"/>
    <col min="13603" max="13603" width="15.875" style="4" customWidth="1"/>
    <col min="13604" max="13604" width="8.125" style="4" customWidth="1"/>
    <col min="13605" max="13608" width="10.375" style="4" customWidth="1"/>
    <col min="13609" max="13609" width="7.25" style="4" customWidth="1"/>
    <col min="13610" max="13610" width="7.125" style="4" customWidth="1"/>
    <col min="13611" max="13611" width="9.5" style="4" customWidth="1"/>
    <col min="13612" max="13613" width="9" style="4" customWidth="1"/>
    <col min="13614" max="13614" width="16.125" style="4" customWidth="1"/>
    <col min="13615" max="13645" width="9" style="4" customWidth="1"/>
    <col min="13646" max="13805" width="25.25" style="4"/>
    <col min="13806" max="13835" width="9" style="4" customWidth="1"/>
    <col min="13836" max="13836" width="0.5" style="4" customWidth="1"/>
    <col min="13837" max="13837" width="25.25" style="4"/>
    <col min="13838" max="13838" width="0.5" style="4" customWidth="1"/>
    <col min="13839" max="13839" width="25.25" style="4"/>
    <col min="13840" max="13840" width="14.75" style="4" customWidth="1"/>
    <col min="13841" max="13841" width="11.5" style="4" customWidth="1"/>
    <col min="13842" max="13842" width="11.25" style="4" customWidth="1"/>
    <col min="13843" max="13843" width="10.75" style="4" customWidth="1"/>
    <col min="13844" max="13844" width="10" style="4" customWidth="1"/>
    <col min="13845" max="13845" width="9.875" style="4" customWidth="1"/>
    <col min="13846" max="13846" width="26.125" style="4" customWidth="1"/>
    <col min="13847" max="13847" width="11.125" style="4" customWidth="1"/>
    <col min="13848" max="13848" width="7.875" style="4" customWidth="1"/>
    <col min="13849" max="13849" width="7.25" style="4" customWidth="1"/>
    <col min="13850" max="13850" width="9.125" style="4" customWidth="1"/>
    <col min="13851" max="13851" width="15.125" style="4" customWidth="1"/>
    <col min="13852" max="13852" width="7.75" style="4" customWidth="1"/>
    <col min="13853" max="13853" width="7.125" style="4" customWidth="1"/>
    <col min="13854" max="13854" width="12.125" style="4" customWidth="1"/>
    <col min="13855" max="13855" width="8.25" style="4" customWidth="1"/>
    <col min="13856" max="13857" width="10.375" style="4" customWidth="1"/>
    <col min="13858" max="13858" width="15.625" style="4" customWidth="1"/>
    <col min="13859" max="13859" width="15.875" style="4" customWidth="1"/>
    <col min="13860" max="13860" width="8.125" style="4" customWidth="1"/>
    <col min="13861" max="13864" width="10.375" style="4" customWidth="1"/>
    <col min="13865" max="13865" width="7.25" style="4" customWidth="1"/>
    <col min="13866" max="13866" width="7.125" style="4" customWidth="1"/>
    <col min="13867" max="13867" width="9.5" style="4" customWidth="1"/>
    <col min="13868" max="13869" width="9" style="4" customWidth="1"/>
    <col min="13870" max="13870" width="16.125" style="4" customWidth="1"/>
    <col min="13871" max="13901" width="9" style="4" customWidth="1"/>
    <col min="13902" max="14061" width="25.25" style="4"/>
    <col min="14062" max="14091" width="9" style="4" customWidth="1"/>
    <col min="14092" max="14092" width="0.5" style="4" customWidth="1"/>
    <col min="14093" max="14093" width="25.25" style="4"/>
    <col min="14094" max="14094" width="0.5" style="4" customWidth="1"/>
    <col min="14095" max="14095" width="25.25" style="4"/>
    <col min="14096" max="14096" width="14.75" style="4" customWidth="1"/>
    <col min="14097" max="14097" width="11.5" style="4" customWidth="1"/>
    <col min="14098" max="14098" width="11.25" style="4" customWidth="1"/>
    <col min="14099" max="14099" width="10.75" style="4" customWidth="1"/>
    <col min="14100" max="14100" width="10" style="4" customWidth="1"/>
    <col min="14101" max="14101" width="9.875" style="4" customWidth="1"/>
    <col min="14102" max="14102" width="26.125" style="4" customWidth="1"/>
    <col min="14103" max="14103" width="11.125" style="4" customWidth="1"/>
    <col min="14104" max="14104" width="7.875" style="4" customWidth="1"/>
    <col min="14105" max="14105" width="7.25" style="4" customWidth="1"/>
    <col min="14106" max="14106" width="9.125" style="4" customWidth="1"/>
    <col min="14107" max="14107" width="15.125" style="4" customWidth="1"/>
    <col min="14108" max="14108" width="7.75" style="4" customWidth="1"/>
    <col min="14109" max="14109" width="7.125" style="4" customWidth="1"/>
    <col min="14110" max="14110" width="12.125" style="4" customWidth="1"/>
    <col min="14111" max="14111" width="8.25" style="4" customWidth="1"/>
    <col min="14112" max="14113" width="10.375" style="4" customWidth="1"/>
    <col min="14114" max="14114" width="15.625" style="4" customWidth="1"/>
    <col min="14115" max="14115" width="15.875" style="4" customWidth="1"/>
    <col min="14116" max="14116" width="8.125" style="4" customWidth="1"/>
    <col min="14117" max="14120" width="10.375" style="4" customWidth="1"/>
    <col min="14121" max="14121" width="7.25" style="4" customWidth="1"/>
    <col min="14122" max="14122" width="7.125" style="4" customWidth="1"/>
    <col min="14123" max="14123" width="9.5" style="4" customWidth="1"/>
    <col min="14124" max="14125" width="9" style="4" customWidth="1"/>
    <col min="14126" max="14126" width="16.125" style="4" customWidth="1"/>
    <col min="14127" max="14157" width="9" style="4" customWidth="1"/>
    <col min="14158" max="14317" width="25.25" style="4"/>
    <col min="14318" max="14347" width="9" style="4" customWidth="1"/>
    <col min="14348" max="14348" width="0.5" style="4" customWidth="1"/>
    <col min="14349" max="14349" width="25.25" style="4"/>
    <col min="14350" max="14350" width="0.5" style="4" customWidth="1"/>
    <col min="14351" max="14351" width="25.25" style="4"/>
    <col min="14352" max="14352" width="14.75" style="4" customWidth="1"/>
    <col min="14353" max="14353" width="11.5" style="4" customWidth="1"/>
    <col min="14354" max="14354" width="11.25" style="4" customWidth="1"/>
    <col min="14355" max="14355" width="10.75" style="4" customWidth="1"/>
    <col min="14356" max="14356" width="10" style="4" customWidth="1"/>
    <col min="14357" max="14357" width="9.875" style="4" customWidth="1"/>
    <col min="14358" max="14358" width="26.125" style="4" customWidth="1"/>
    <col min="14359" max="14359" width="11.125" style="4" customWidth="1"/>
    <col min="14360" max="14360" width="7.875" style="4" customWidth="1"/>
    <col min="14361" max="14361" width="7.25" style="4" customWidth="1"/>
    <col min="14362" max="14362" width="9.125" style="4" customWidth="1"/>
    <col min="14363" max="14363" width="15.125" style="4" customWidth="1"/>
    <col min="14364" max="14364" width="7.75" style="4" customWidth="1"/>
    <col min="14365" max="14365" width="7.125" style="4" customWidth="1"/>
    <col min="14366" max="14366" width="12.125" style="4" customWidth="1"/>
    <col min="14367" max="14367" width="8.25" style="4" customWidth="1"/>
    <col min="14368" max="14369" width="10.375" style="4" customWidth="1"/>
    <col min="14370" max="14370" width="15.625" style="4" customWidth="1"/>
    <col min="14371" max="14371" width="15.875" style="4" customWidth="1"/>
    <col min="14372" max="14372" width="8.125" style="4" customWidth="1"/>
    <col min="14373" max="14376" width="10.375" style="4" customWidth="1"/>
    <col min="14377" max="14377" width="7.25" style="4" customWidth="1"/>
    <col min="14378" max="14378" width="7.125" style="4" customWidth="1"/>
    <col min="14379" max="14379" width="9.5" style="4" customWidth="1"/>
    <col min="14380" max="14381" width="9" style="4" customWidth="1"/>
    <col min="14382" max="14382" width="16.125" style="4" customWidth="1"/>
    <col min="14383" max="14413" width="9" style="4" customWidth="1"/>
    <col min="14414" max="14573" width="25.25" style="4"/>
    <col min="14574" max="14603" width="9" style="4" customWidth="1"/>
    <col min="14604" max="14604" width="0.5" style="4" customWidth="1"/>
    <col min="14605" max="14605" width="25.25" style="4"/>
    <col min="14606" max="14606" width="0.5" style="4" customWidth="1"/>
    <col min="14607" max="14607" width="25.25" style="4"/>
    <col min="14608" max="14608" width="14.75" style="4" customWidth="1"/>
    <col min="14609" max="14609" width="11.5" style="4" customWidth="1"/>
    <col min="14610" max="14610" width="11.25" style="4" customWidth="1"/>
    <col min="14611" max="14611" width="10.75" style="4" customWidth="1"/>
    <col min="14612" max="14612" width="10" style="4" customWidth="1"/>
    <col min="14613" max="14613" width="9.875" style="4" customWidth="1"/>
    <col min="14614" max="14614" width="26.125" style="4" customWidth="1"/>
    <col min="14615" max="14615" width="11.125" style="4" customWidth="1"/>
    <col min="14616" max="14616" width="7.875" style="4" customWidth="1"/>
    <col min="14617" max="14617" width="7.25" style="4" customWidth="1"/>
    <col min="14618" max="14618" width="9.125" style="4" customWidth="1"/>
    <col min="14619" max="14619" width="15.125" style="4" customWidth="1"/>
    <col min="14620" max="14620" width="7.75" style="4" customWidth="1"/>
    <col min="14621" max="14621" width="7.125" style="4" customWidth="1"/>
    <col min="14622" max="14622" width="12.125" style="4" customWidth="1"/>
    <col min="14623" max="14623" width="8.25" style="4" customWidth="1"/>
    <col min="14624" max="14625" width="10.375" style="4" customWidth="1"/>
    <col min="14626" max="14626" width="15.625" style="4" customWidth="1"/>
    <col min="14627" max="14627" width="15.875" style="4" customWidth="1"/>
    <col min="14628" max="14628" width="8.125" style="4" customWidth="1"/>
    <col min="14629" max="14632" width="10.375" style="4" customWidth="1"/>
    <col min="14633" max="14633" width="7.25" style="4" customWidth="1"/>
    <col min="14634" max="14634" width="7.125" style="4" customWidth="1"/>
    <col min="14635" max="14635" width="9.5" style="4" customWidth="1"/>
    <col min="14636" max="14637" width="9" style="4" customWidth="1"/>
    <col min="14638" max="14638" width="16.125" style="4" customWidth="1"/>
    <col min="14639" max="14669" width="9" style="4" customWidth="1"/>
    <col min="14670" max="14829" width="25.25" style="4"/>
    <col min="14830" max="14859" width="9" style="4" customWidth="1"/>
    <col min="14860" max="14860" width="0.5" style="4" customWidth="1"/>
    <col min="14861" max="14861" width="25.25" style="4"/>
    <col min="14862" max="14862" width="0.5" style="4" customWidth="1"/>
    <col min="14863" max="14863" width="25.25" style="4"/>
    <col min="14864" max="14864" width="14.75" style="4" customWidth="1"/>
    <col min="14865" max="14865" width="11.5" style="4" customWidth="1"/>
    <col min="14866" max="14866" width="11.25" style="4" customWidth="1"/>
    <col min="14867" max="14867" width="10.75" style="4" customWidth="1"/>
    <col min="14868" max="14868" width="10" style="4" customWidth="1"/>
    <col min="14869" max="14869" width="9.875" style="4" customWidth="1"/>
    <col min="14870" max="14870" width="26.125" style="4" customWidth="1"/>
    <col min="14871" max="14871" width="11.125" style="4" customWidth="1"/>
    <col min="14872" max="14872" width="7.875" style="4" customWidth="1"/>
    <col min="14873" max="14873" width="7.25" style="4" customWidth="1"/>
    <col min="14874" max="14874" width="9.125" style="4" customWidth="1"/>
    <col min="14875" max="14875" width="15.125" style="4" customWidth="1"/>
    <col min="14876" max="14876" width="7.75" style="4" customWidth="1"/>
    <col min="14877" max="14877" width="7.125" style="4" customWidth="1"/>
    <col min="14878" max="14878" width="12.125" style="4" customWidth="1"/>
    <col min="14879" max="14879" width="8.25" style="4" customWidth="1"/>
    <col min="14880" max="14881" width="10.375" style="4" customWidth="1"/>
    <col min="14882" max="14882" width="15.625" style="4" customWidth="1"/>
    <col min="14883" max="14883" width="15.875" style="4" customWidth="1"/>
    <col min="14884" max="14884" width="8.125" style="4" customWidth="1"/>
    <col min="14885" max="14888" width="10.375" style="4" customWidth="1"/>
    <col min="14889" max="14889" width="7.25" style="4" customWidth="1"/>
    <col min="14890" max="14890" width="7.125" style="4" customWidth="1"/>
    <col min="14891" max="14891" width="9.5" style="4" customWidth="1"/>
    <col min="14892" max="14893" width="9" style="4" customWidth="1"/>
    <col min="14894" max="14894" width="16.125" style="4" customWidth="1"/>
    <col min="14895" max="14925" width="9" style="4" customWidth="1"/>
    <col min="14926" max="15085" width="25.25" style="4"/>
    <col min="15086" max="15115" width="9" style="4" customWidth="1"/>
    <col min="15116" max="15116" width="0.5" style="4" customWidth="1"/>
    <col min="15117" max="15117" width="25.25" style="4"/>
    <col min="15118" max="15118" width="0.5" style="4" customWidth="1"/>
    <col min="15119" max="15119" width="25.25" style="4"/>
    <col min="15120" max="15120" width="14.75" style="4" customWidth="1"/>
    <col min="15121" max="15121" width="11.5" style="4" customWidth="1"/>
    <col min="15122" max="15122" width="11.25" style="4" customWidth="1"/>
    <col min="15123" max="15123" width="10.75" style="4" customWidth="1"/>
    <col min="15124" max="15124" width="10" style="4" customWidth="1"/>
    <col min="15125" max="15125" width="9.875" style="4" customWidth="1"/>
    <col min="15126" max="15126" width="26.125" style="4" customWidth="1"/>
    <col min="15127" max="15127" width="11.125" style="4" customWidth="1"/>
    <col min="15128" max="15128" width="7.875" style="4" customWidth="1"/>
    <col min="15129" max="15129" width="7.25" style="4" customWidth="1"/>
    <col min="15130" max="15130" width="9.125" style="4" customWidth="1"/>
    <col min="15131" max="15131" width="15.125" style="4" customWidth="1"/>
    <col min="15132" max="15132" width="7.75" style="4" customWidth="1"/>
    <col min="15133" max="15133" width="7.125" style="4" customWidth="1"/>
    <col min="15134" max="15134" width="12.125" style="4" customWidth="1"/>
    <col min="15135" max="15135" width="8.25" style="4" customWidth="1"/>
    <col min="15136" max="15137" width="10.375" style="4" customWidth="1"/>
    <col min="15138" max="15138" width="15.625" style="4" customWidth="1"/>
    <col min="15139" max="15139" width="15.875" style="4" customWidth="1"/>
    <col min="15140" max="15140" width="8.125" style="4" customWidth="1"/>
    <col min="15141" max="15144" width="10.375" style="4" customWidth="1"/>
    <col min="15145" max="15145" width="7.25" style="4" customWidth="1"/>
    <col min="15146" max="15146" width="7.125" style="4" customWidth="1"/>
    <col min="15147" max="15147" width="9.5" style="4" customWidth="1"/>
    <col min="15148" max="15149" width="9" style="4" customWidth="1"/>
    <col min="15150" max="15150" width="16.125" style="4" customWidth="1"/>
    <col min="15151" max="15181" width="9" style="4" customWidth="1"/>
    <col min="15182" max="15341" width="25.25" style="4"/>
    <col min="15342" max="15371" width="9" style="4" customWidth="1"/>
    <col min="15372" max="15372" width="0.5" style="4" customWidth="1"/>
    <col min="15373" max="15373" width="25.25" style="4"/>
    <col min="15374" max="15374" width="0.5" style="4" customWidth="1"/>
    <col min="15375" max="15375" width="25.25" style="4"/>
    <col min="15376" max="15376" width="14.75" style="4" customWidth="1"/>
    <col min="15377" max="15377" width="11.5" style="4" customWidth="1"/>
    <col min="15378" max="15378" width="11.25" style="4" customWidth="1"/>
    <col min="15379" max="15379" width="10.75" style="4" customWidth="1"/>
    <col min="15380" max="15380" width="10" style="4" customWidth="1"/>
    <col min="15381" max="15381" width="9.875" style="4" customWidth="1"/>
    <col min="15382" max="15382" width="26.125" style="4" customWidth="1"/>
    <col min="15383" max="15383" width="11.125" style="4" customWidth="1"/>
    <col min="15384" max="15384" width="7.875" style="4" customWidth="1"/>
    <col min="15385" max="15385" width="7.25" style="4" customWidth="1"/>
    <col min="15386" max="15386" width="9.125" style="4" customWidth="1"/>
    <col min="15387" max="15387" width="15.125" style="4" customWidth="1"/>
    <col min="15388" max="15388" width="7.75" style="4" customWidth="1"/>
    <col min="15389" max="15389" width="7.125" style="4" customWidth="1"/>
    <col min="15390" max="15390" width="12.125" style="4" customWidth="1"/>
    <col min="15391" max="15391" width="8.25" style="4" customWidth="1"/>
    <col min="15392" max="15393" width="10.375" style="4" customWidth="1"/>
    <col min="15394" max="15394" width="15.625" style="4" customWidth="1"/>
    <col min="15395" max="15395" width="15.875" style="4" customWidth="1"/>
    <col min="15396" max="15396" width="8.125" style="4" customWidth="1"/>
    <col min="15397" max="15400" width="10.375" style="4" customWidth="1"/>
    <col min="15401" max="15401" width="7.25" style="4" customWidth="1"/>
    <col min="15402" max="15402" width="7.125" style="4" customWidth="1"/>
    <col min="15403" max="15403" width="9.5" style="4" customWidth="1"/>
    <col min="15404" max="15405" width="9" style="4" customWidth="1"/>
    <col min="15406" max="15406" width="16.125" style="4" customWidth="1"/>
    <col min="15407" max="15437" width="9" style="4" customWidth="1"/>
    <col min="15438" max="15597" width="25.25" style="4"/>
    <col min="15598" max="15627" width="9" style="4" customWidth="1"/>
    <col min="15628" max="15628" width="0.5" style="4" customWidth="1"/>
    <col min="15629" max="15629" width="25.25" style="4"/>
    <col min="15630" max="15630" width="0.5" style="4" customWidth="1"/>
    <col min="15631" max="15631" width="25.25" style="4"/>
    <col min="15632" max="15632" width="14.75" style="4" customWidth="1"/>
    <col min="15633" max="15633" width="11.5" style="4" customWidth="1"/>
    <col min="15634" max="15634" width="11.25" style="4" customWidth="1"/>
    <col min="15635" max="15635" width="10.75" style="4" customWidth="1"/>
    <col min="15636" max="15636" width="10" style="4" customWidth="1"/>
    <col min="15637" max="15637" width="9.875" style="4" customWidth="1"/>
    <col min="15638" max="15638" width="26.125" style="4" customWidth="1"/>
    <col min="15639" max="15639" width="11.125" style="4" customWidth="1"/>
    <col min="15640" max="15640" width="7.875" style="4" customWidth="1"/>
    <col min="15641" max="15641" width="7.25" style="4" customWidth="1"/>
    <col min="15642" max="15642" width="9.125" style="4" customWidth="1"/>
    <col min="15643" max="15643" width="15.125" style="4" customWidth="1"/>
    <col min="15644" max="15644" width="7.75" style="4" customWidth="1"/>
    <col min="15645" max="15645" width="7.125" style="4" customWidth="1"/>
    <col min="15646" max="15646" width="12.125" style="4" customWidth="1"/>
    <col min="15647" max="15647" width="8.25" style="4" customWidth="1"/>
    <col min="15648" max="15649" width="10.375" style="4" customWidth="1"/>
    <col min="15650" max="15650" width="15.625" style="4" customWidth="1"/>
    <col min="15651" max="15651" width="15.875" style="4" customWidth="1"/>
    <col min="15652" max="15652" width="8.125" style="4" customWidth="1"/>
    <col min="15653" max="15656" width="10.375" style="4" customWidth="1"/>
    <col min="15657" max="15657" width="7.25" style="4" customWidth="1"/>
    <col min="15658" max="15658" width="7.125" style="4" customWidth="1"/>
    <col min="15659" max="15659" width="9.5" style="4" customWidth="1"/>
    <col min="15660" max="15661" width="9" style="4" customWidth="1"/>
    <col min="15662" max="15662" width="16.125" style="4" customWidth="1"/>
    <col min="15663" max="15693" width="9" style="4" customWidth="1"/>
    <col min="15694" max="15853" width="25.25" style="4"/>
    <col min="15854" max="15883" width="9" style="4" customWidth="1"/>
    <col min="15884" max="15884" width="0.5" style="4" customWidth="1"/>
    <col min="15885" max="15885" width="25.25" style="4"/>
    <col min="15886" max="15886" width="0.5" style="4" customWidth="1"/>
    <col min="15887" max="15887" width="25.25" style="4"/>
    <col min="15888" max="15888" width="14.75" style="4" customWidth="1"/>
    <col min="15889" max="15889" width="11.5" style="4" customWidth="1"/>
    <col min="15890" max="15890" width="11.25" style="4" customWidth="1"/>
    <col min="15891" max="15891" width="10.75" style="4" customWidth="1"/>
    <col min="15892" max="15892" width="10" style="4" customWidth="1"/>
    <col min="15893" max="15893" width="9.875" style="4" customWidth="1"/>
    <col min="15894" max="15894" width="26.125" style="4" customWidth="1"/>
    <col min="15895" max="15895" width="11.125" style="4" customWidth="1"/>
    <col min="15896" max="15896" width="7.875" style="4" customWidth="1"/>
    <col min="15897" max="15897" width="7.25" style="4" customWidth="1"/>
    <col min="15898" max="15898" width="9.125" style="4" customWidth="1"/>
    <col min="15899" max="15899" width="15.125" style="4" customWidth="1"/>
    <col min="15900" max="15900" width="7.75" style="4" customWidth="1"/>
    <col min="15901" max="15901" width="7.125" style="4" customWidth="1"/>
    <col min="15902" max="15902" width="12.125" style="4" customWidth="1"/>
    <col min="15903" max="15903" width="8.25" style="4" customWidth="1"/>
    <col min="15904" max="15905" width="10.375" style="4" customWidth="1"/>
    <col min="15906" max="15906" width="15.625" style="4" customWidth="1"/>
    <col min="15907" max="15907" width="15.875" style="4" customWidth="1"/>
    <col min="15908" max="15908" width="8.125" style="4" customWidth="1"/>
    <col min="15909" max="15912" width="10.375" style="4" customWidth="1"/>
    <col min="15913" max="15913" width="7.25" style="4" customWidth="1"/>
    <col min="15914" max="15914" width="7.125" style="4" customWidth="1"/>
    <col min="15915" max="15915" width="9.5" style="4" customWidth="1"/>
    <col min="15916" max="15917" width="9" style="4" customWidth="1"/>
    <col min="15918" max="15918" width="16.125" style="4" customWidth="1"/>
    <col min="15919" max="15949" width="9" style="4" customWidth="1"/>
    <col min="15950" max="16109" width="25.25" style="4"/>
    <col min="16110" max="16139" width="9" style="4" customWidth="1"/>
    <col min="16140" max="16140" width="0.5" style="4" customWidth="1"/>
    <col min="16141" max="16384" width="25.25" style="4"/>
  </cols>
  <sheetData>
    <row r="1" spans="1:16" ht="14.25" thickBot="1"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1"/>
      <c r="O1" s="1"/>
      <c r="P1" s="1"/>
    </row>
    <row r="2" spans="1:16" ht="18" customHeight="1">
      <c r="A2" s="5"/>
      <c r="B2" s="6" t="s">
        <v>402</v>
      </c>
      <c r="C2" s="7"/>
      <c r="D2" s="7" t="s">
        <v>9</v>
      </c>
      <c r="E2" s="7" t="s">
        <v>10</v>
      </c>
      <c r="F2" s="661" t="s">
        <v>11</v>
      </c>
      <c r="G2" s="661"/>
      <c r="H2" s="661"/>
      <c r="I2" s="662" t="s">
        <v>12</v>
      </c>
      <c r="J2" s="664" t="s">
        <v>13</v>
      </c>
      <c r="K2" s="665"/>
      <c r="L2" s="665"/>
      <c r="M2" s="666"/>
      <c r="N2" s="8"/>
      <c r="O2" s="8"/>
      <c r="P2" s="8"/>
    </row>
    <row r="3" spans="1:16" ht="18" customHeight="1">
      <c r="B3" s="9" t="s">
        <v>14</v>
      </c>
      <c r="C3" s="10" t="s">
        <v>15</v>
      </c>
      <c r="D3" s="10" t="s">
        <v>16</v>
      </c>
      <c r="E3" s="10" t="s">
        <v>17</v>
      </c>
      <c r="F3" s="10" t="s">
        <v>7</v>
      </c>
      <c r="G3" s="10" t="s">
        <v>5</v>
      </c>
      <c r="H3" s="10" t="s">
        <v>18</v>
      </c>
      <c r="I3" s="663"/>
      <c r="J3" s="11" t="s">
        <v>19</v>
      </c>
      <c r="K3" s="12" t="s">
        <v>20</v>
      </c>
      <c r="L3" s="12" t="s">
        <v>21</v>
      </c>
      <c r="M3" s="13" t="s">
        <v>22</v>
      </c>
      <c r="N3" s="14"/>
      <c r="P3" s="15"/>
    </row>
    <row r="4" spans="1:16" ht="18" customHeight="1">
      <c r="B4" s="667" t="str">
        <f ca="1">MID(CELL("filename",Q13),FIND("]",CELL("filename",Q13))+1,30)</f>
        <v>WM1127</v>
      </c>
      <c r="C4" s="17" t="s">
        <v>23</v>
      </c>
      <c r="D4" s="17">
        <v>1100</v>
      </c>
      <c r="E4" s="17">
        <v>2650</v>
      </c>
      <c r="F4" s="18">
        <v>2.7850000000000001</v>
      </c>
      <c r="G4" s="17">
        <v>1</v>
      </c>
      <c r="H4" s="17">
        <f>F4*G4</f>
        <v>2.7850000000000001</v>
      </c>
      <c r="I4" s="663"/>
      <c r="J4" s="19">
        <v>40</v>
      </c>
      <c r="K4" s="20">
        <v>20</v>
      </c>
      <c r="L4" s="21">
        <v>1.5</v>
      </c>
      <c r="M4" s="22">
        <f t="shared" ref="M4:M11" si="0">ROUND(((J4*K4)-(J4-2*L4)*(K4-2*L4))*7.8/1000,3)</f>
        <v>1.3340000000000001</v>
      </c>
    </row>
    <row r="5" spans="1:16" ht="18" customHeight="1">
      <c r="B5" s="668"/>
      <c r="C5" s="221" t="s">
        <v>299</v>
      </c>
      <c r="D5" s="221">
        <f>D4-70</f>
        <v>1030</v>
      </c>
      <c r="E5" s="221">
        <f>E4-70</f>
        <v>2580</v>
      </c>
      <c r="F5" s="222">
        <f>D5*E5/10^6</f>
        <v>2.6574</v>
      </c>
      <c r="G5" s="221">
        <v>1</v>
      </c>
      <c r="H5" s="222">
        <f>F5*G5</f>
        <v>2.6574</v>
      </c>
      <c r="I5" s="663"/>
      <c r="J5" s="19">
        <v>40</v>
      </c>
      <c r="K5" s="20">
        <v>20</v>
      </c>
      <c r="L5" s="21">
        <v>2</v>
      </c>
      <c r="M5" s="22">
        <f t="shared" ref="M5" si="1">ROUND(((J5*K5)-(J5-2*L5)*(K5-2*L5))*7.8/1000,3)</f>
        <v>1.7470000000000001</v>
      </c>
    </row>
    <row r="6" spans="1:16" ht="18" customHeight="1">
      <c r="B6" s="669"/>
      <c r="C6" s="17" t="s">
        <v>24</v>
      </c>
      <c r="D6" s="17">
        <f>D4-80</f>
        <v>1020</v>
      </c>
      <c r="E6" s="17">
        <f>E4-80</f>
        <v>2570</v>
      </c>
      <c r="F6" s="18">
        <f>D6*E6/10^6</f>
        <v>2.6214</v>
      </c>
      <c r="G6" s="17">
        <v>1</v>
      </c>
      <c r="H6" s="18">
        <f>F6*G6</f>
        <v>2.6214</v>
      </c>
      <c r="I6" s="663"/>
      <c r="J6" s="19">
        <v>40</v>
      </c>
      <c r="K6" s="20">
        <v>20</v>
      </c>
      <c r="L6" s="21">
        <v>2</v>
      </c>
      <c r="M6" s="22">
        <f t="shared" si="0"/>
        <v>1.7470000000000001</v>
      </c>
    </row>
    <row r="7" spans="1:16" ht="18" customHeight="1">
      <c r="B7" s="23" t="s">
        <v>25</v>
      </c>
      <c r="C7" s="24" t="s">
        <v>16</v>
      </c>
      <c r="D7" s="24" t="s">
        <v>26</v>
      </c>
      <c r="E7" s="24" t="s">
        <v>17</v>
      </c>
      <c r="F7" s="24" t="s">
        <v>27</v>
      </c>
      <c r="G7" s="24" t="s">
        <v>22</v>
      </c>
      <c r="H7" s="24" t="s">
        <v>28</v>
      </c>
      <c r="I7" s="25" t="s">
        <v>29</v>
      </c>
      <c r="J7" s="19">
        <v>80</v>
      </c>
      <c r="K7" s="20">
        <v>40</v>
      </c>
      <c r="L7" s="21">
        <v>2</v>
      </c>
      <c r="M7" s="22">
        <f t="shared" si="0"/>
        <v>3.6190000000000002</v>
      </c>
    </row>
    <row r="8" spans="1:16" ht="18" customHeight="1">
      <c r="B8" s="26" t="s">
        <v>30</v>
      </c>
      <c r="C8" s="27">
        <f>D4-30</f>
        <v>1070</v>
      </c>
      <c r="D8" s="27">
        <v>2</v>
      </c>
      <c r="E8" s="27">
        <f>E4-30</f>
        <v>2620</v>
      </c>
      <c r="F8" s="27">
        <v>2</v>
      </c>
      <c r="G8" s="28">
        <v>1.7470000000000001</v>
      </c>
      <c r="H8" s="29">
        <f>材料价格!B3</f>
        <v>7.5</v>
      </c>
      <c r="I8" s="30">
        <f>ROUND((C8*D8+E8*F8)*G8*H8/1000*1.1,2)</f>
        <v>106.37</v>
      </c>
      <c r="J8" s="19">
        <v>40</v>
      </c>
      <c r="K8" s="20">
        <v>20</v>
      </c>
      <c r="L8" s="21">
        <v>1.4</v>
      </c>
      <c r="M8" s="22">
        <f>ROUND(((J8*K8)-(J8-2*L8)*(K8-2*L8))*2.71/1000,3)</f>
        <v>0.434</v>
      </c>
    </row>
    <row r="9" spans="1:16" ht="18" customHeight="1">
      <c r="B9" s="26" t="s">
        <v>30</v>
      </c>
      <c r="C9" s="31"/>
      <c r="D9" s="31"/>
      <c r="E9" s="31"/>
      <c r="F9" s="31"/>
      <c r="G9" s="28">
        <v>1.7470000000000001</v>
      </c>
      <c r="H9" s="32">
        <f>H8</f>
        <v>7.5</v>
      </c>
      <c r="I9" s="30">
        <f>ROUND((C9*D9+E9*F9)*G9*H9/1000*1.1,2)</f>
        <v>0</v>
      </c>
      <c r="J9" s="19"/>
      <c r="K9" s="20"/>
      <c r="L9" s="21"/>
      <c r="M9" s="22">
        <f t="shared" si="0"/>
        <v>0</v>
      </c>
    </row>
    <row r="10" spans="1:16" ht="18" customHeight="1">
      <c r="B10" s="26" t="s">
        <v>31</v>
      </c>
      <c r="C10" s="31"/>
      <c r="D10" s="31"/>
      <c r="E10" s="31"/>
      <c r="F10" s="31"/>
      <c r="G10" s="28">
        <v>3.6190000000000002</v>
      </c>
      <c r="H10" s="32">
        <f>H9</f>
        <v>7.5</v>
      </c>
      <c r="I10" s="30">
        <f>ROUND((C10*D10+E10*F10)*G10*H10/1000*1.1,2)</f>
        <v>0</v>
      </c>
      <c r="J10" s="19"/>
      <c r="K10" s="20"/>
      <c r="L10" s="12"/>
      <c r="M10" s="22">
        <f t="shared" si="0"/>
        <v>0</v>
      </c>
    </row>
    <row r="11" spans="1:16" ht="18" customHeight="1" thickBot="1">
      <c r="B11" s="26" t="s">
        <v>32</v>
      </c>
      <c r="C11" s="31"/>
      <c r="D11" s="31"/>
      <c r="E11" s="31"/>
      <c r="F11" s="31"/>
      <c r="G11" s="28">
        <v>2.9950000000000001</v>
      </c>
      <c r="H11" s="32">
        <f>H10</f>
        <v>7.5</v>
      </c>
      <c r="I11" s="30">
        <f>ROUND((C11*D11+E11*F11)*G11*H11/1000*1.1,2)</f>
        <v>0</v>
      </c>
      <c r="J11" s="33"/>
      <c r="K11" s="34"/>
      <c r="L11" s="35"/>
      <c r="M11" s="36">
        <f t="shared" si="0"/>
        <v>0</v>
      </c>
    </row>
    <row r="12" spans="1:16" ht="18" customHeight="1">
      <c r="B12" s="37" t="s">
        <v>33</v>
      </c>
      <c r="C12" s="38">
        <f>((I9+I10+I8+I11)/H8)/F4</f>
        <v>5.0925194494314781</v>
      </c>
      <c r="D12" s="39" t="s">
        <v>34</v>
      </c>
      <c r="E12" s="38">
        <f>(I9+I10+I8+I11)/F4</f>
        <v>38.193895870736085</v>
      </c>
      <c r="F12" s="40" t="s">
        <v>35</v>
      </c>
      <c r="G12" s="39"/>
      <c r="H12" s="39">
        <f>ROUND(SUM(I8:I11)/H8,2)</f>
        <v>14.18</v>
      </c>
      <c r="I12" s="41">
        <f>SUM(I8:I11)</f>
        <v>106.37</v>
      </c>
      <c r="J12" s="42"/>
    </row>
    <row r="13" spans="1:16" ht="18" customHeight="1">
      <c r="B13" s="23" t="s">
        <v>36</v>
      </c>
      <c r="C13" s="24" t="s">
        <v>14</v>
      </c>
      <c r="D13" s="24" t="s">
        <v>37</v>
      </c>
      <c r="E13" s="24" t="s">
        <v>38</v>
      </c>
      <c r="F13" s="24" t="s">
        <v>39</v>
      </c>
      <c r="G13" s="24" t="s">
        <v>8</v>
      </c>
      <c r="H13" s="24" t="s">
        <v>22</v>
      </c>
      <c r="I13" s="25" t="s">
        <v>40</v>
      </c>
    </row>
    <row r="14" spans="1:16" ht="18" customHeight="1">
      <c r="B14" s="648" t="s">
        <v>41</v>
      </c>
      <c r="C14" s="649" t="s">
        <v>404</v>
      </c>
      <c r="D14" s="31">
        <f>D6</f>
        <v>1020</v>
      </c>
      <c r="E14" s="31">
        <f>E6-E108</f>
        <v>520</v>
      </c>
      <c r="F14" s="44">
        <f>ROUND((D14+E14)*2/1000,4)</f>
        <v>3.08</v>
      </c>
      <c r="G14" s="31">
        <v>1</v>
      </c>
      <c r="H14" s="31">
        <v>1.47</v>
      </c>
      <c r="I14" s="284">
        <f>ROUND(F14*G14*H14,3)*1.5</f>
        <v>6.7919999999999998</v>
      </c>
      <c r="J14" s="42"/>
      <c r="K14" s="46"/>
      <c r="L14" s="46"/>
      <c r="M14" s="42"/>
    </row>
    <row r="15" spans="1:16" ht="18" customHeight="1">
      <c r="B15" s="648"/>
      <c r="C15" s="650"/>
      <c r="D15" s="31"/>
      <c r="E15" s="31"/>
      <c r="F15" s="44">
        <f t="shared" ref="F15:F21" si="2">ROUND((D15+E15)*2/1000,4)</f>
        <v>0</v>
      </c>
      <c r="G15" s="31"/>
      <c r="H15" s="31">
        <f t="shared" ref="H15:H21" si="3">H14</f>
        <v>1.47</v>
      </c>
      <c r="I15" s="45">
        <f t="shared" ref="I15:I21" si="4">ROUND(F15*G15*H15,3)</f>
        <v>0</v>
      </c>
      <c r="K15" s="47"/>
      <c r="M15" s="4"/>
    </row>
    <row r="16" spans="1:16" ht="18" customHeight="1">
      <c r="B16" s="648"/>
      <c r="C16" s="650"/>
      <c r="D16" s="31"/>
      <c r="E16" s="31"/>
      <c r="F16" s="44">
        <f t="shared" si="2"/>
        <v>0</v>
      </c>
      <c r="G16" s="31"/>
      <c r="H16" s="31">
        <f t="shared" si="3"/>
        <v>1.47</v>
      </c>
      <c r="I16" s="45">
        <f t="shared" si="4"/>
        <v>0</v>
      </c>
      <c r="K16" s="47"/>
      <c r="L16" s="46"/>
      <c r="M16" s="42"/>
    </row>
    <row r="17" spans="2:15" ht="18" customHeight="1">
      <c r="B17" s="648"/>
      <c r="C17" s="650"/>
      <c r="D17" s="31"/>
      <c r="E17" s="31"/>
      <c r="F17" s="44">
        <f t="shared" si="2"/>
        <v>0</v>
      </c>
      <c r="G17" s="31"/>
      <c r="H17" s="31">
        <f t="shared" si="3"/>
        <v>1.47</v>
      </c>
      <c r="I17" s="45">
        <f t="shared" si="4"/>
        <v>0</v>
      </c>
      <c r="K17" s="47"/>
      <c r="M17" s="42"/>
    </row>
    <row r="18" spans="2:15" ht="18" customHeight="1">
      <c r="B18" s="648"/>
      <c r="C18" s="650"/>
      <c r="D18" s="31"/>
      <c r="E18" s="31"/>
      <c r="F18" s="44">
        <f t="shared" si="2"/>
        <v>0</v>
      </c>
      <c r="G18" s="31"/>
      <c r="H18" s="31">
        <f t="shared" si="3"/>
        <v>1.47</v>
      </c>
      <c r="I18" s="45">
        <f t="shared" si="4"/>
        <v>0</v>
      </c>
      <c r="M18" s="42"/>
    </row>
    <row r="19" spans="2:15" ht="18" customHeight="1">
      <c r="B19" s="648"/>
      <c r="C19" s="650"/>
      <c r="D19" s="31"/>
      <c r="E19" s="31"/>
      <c r="F19" s="44">
        <f t="shared" si="2"/>
        <v>0</v>
      </c>
      <c r="G19" s="31"/>
      <c r="H19" s="31">
        <f t="shared" si="3"/>
        <v>1.47</v>
      </c>
      <c r="I19" s="45">
        <f t="shared" si="4"/>
        <v>0</v>
      </c>
      <c r="M19" s="42"/>
    </row>
    <row r="20" spans="2:15" ht="18" customHeight="1">
      <c r="B20" s="648"/>
      <c r="C20" s="650"/>
      <c r="D20" s="31"/>
      <c r="E20" s="31"/>
      <c r="F20" s="44">
        <f t="shared" si="2"/>
        <v>0</v>
      </c>
      <c r="G20" s="31"/>
      <c r="H20" s="31">
        <f t="shared" si="3"/>
        <v>1.47</v>
      </c>
      <c r="I20" s="45">
        <f t="shared" si="4"/>
        <v>0</v>
      </c>
      <c r="K20" s="47"/>
      <c r="M20" s="42"/>
    </row>
    <row r="21" spans="2:15" ht="18" customHeight="1">
      <c r="B21" s="648"/>
      <c r="C21" s="651"/>
      <c r="D21" s="31"/>
      <c r="E21" s="31"/>
      <c r="F21" s="44">
        <f t="shared" si="2"/>
        <v>0</v>
      </c>
      <c r="G21" s="31"/>
      <c r="H21" s="31">
        <f t="shared" si="3"/>
        <v>1.47</v>
      </c>
      <c r="I21" s="45">
        <f t="shared" si="4"/>
        <v>0</v>
      </c>
    </row>
    <row r="22" spans="2:15" ht="18" customHeight="1">
      <c r="B22" s="48" t="s">
        <v>42</v>
      </c>
      <c r="C22" s="49">
        <f>SUMPRODUCT(F14:F21*G14:G21)</f>
        <v>3.08</v>
      </c>
      <c r="D22" s="50" t="s">
        <v>43</v>
      </c>
      <c r="E22" s="49">
        <f>SUM(I14:I21)*1.1</f>
        <v>7.4712000000000005</v>
      </c>
      <c r="F22" s="50" t="s">
        <v>44</v>
      </c>
      <c r="G22" s="51">
        <f>(C$218+C$219)/1000</f>
        <v>46.081499999999998</v>
      </c>
      <c r="H22" s="52" t="s">
        <v>45</v>
      </c>
      <c r="I22" s="53">
        <f>ROUND(E22*G22,2)</f>
        <v>344.28</v>
      </c>
      <c r="J22" s="243">
        <f>SUM(G14:G21)</f>
        <v>1</v>
      </c>
    </row>
    <row r="23" spans="2:15" ht="18" customHeight="1">
      <c r="B23" s="48" t="s">
        <v>46</v>
      </c>
      <c r="C23" s="50">
        <v>207.36</v>
      </c>
      <c r="D23" s="50" t="s">
        <v>47</v>
      </c>
      <c r="E23" s="49">
        <f>ROUND(C22*(C23/1000),2)</f>
        <v>0.64</v>
      </c>
      <c r="F23" s="50" t="s">
        <v>48</v>
      </c>
      <c r="G23" s="50">
        <v>10</v>
      </c>
      <c r="H23" s="52" t="s">
        <v>49</v>
      </c>
      <c r="I23" s="53">
        <f>E23*G23</f>
        <v>6.4</v>
      </c>
    </row>
    <row r="24" spans="2:15" ht="18" customHeight="1" thickBot="1">
      <c r="B24" s="48" t="s">
        <v>50</v>
      </c>
      <c r="C24" s="50">
        <v>169.96</v>
      </c>
      <c r="D24" s="50" t="s">
        <v>51</v>
      </c>
      <c r="E24" s="49">
        <f>ROUND(C22*(C24/1000),2)</f>
        <v>0.52</v>
      </c>
      <c r="F24" s="50" t="s">
        <v>48</v>
      </c>
      <c r="G24" s="50">
        <v>10</v>
      </c>
      <c r="H24" s="52" t="s">
        <v>49</v>
      </c>
      <c r="I24" s="53">
        <f>E24*G24</f>
        <v>5.2</v>
      </c>
    </row>
    <row r="25" spans="2:15" ht="18" customHeight="1">
      <c r="B25" s="23" t="s">
        <v>36</v>
      </c>
      <c r="C25" s="24" t="s">
        <v>14</v>
      </c>
      <c r="D25" s="24" t="s">
        <v>37</v>
      </c>
      <c r="E25" s="24" t="s">
        <v>38</v>
      </c>
      <c r="F25" s="24" t="s">
        <v>39</v>
      </c>
      <c r="G25" s="24" t="s">
        <v>8</v>
      </c>
      <c r="H25" s="24" t="s">
        <v>22</v>
      </c>
      <c r="I25" s="25" t="s">
        <v>40</v>
      </c>
      <c r="J25" s="54" t="s">
        <v>2</v>
      </c>
      <c r="K25" s="55" t="s">
        <v>3</v>
      </c>
      <c r="L25" s="55" t="s">
        <v>52</v>
      </c>
      <c r="M25" s="55" t="s">
        <v>53</v>
      </c>
      <c r="N25" s="56" t="s">
        <v>14</v>
      </c>
    </row>
    <row r="26" spans="2:15" ht="18" customHeight="1">
      <c r="B26" s="648" t="s">
        <v>54</v>
      </c>
      <c r="C26" s="649" t="s">
        <v>55</v>
      </c>
      <c r="D26" s="57">
        <f>J26-IF(L26=1,44,IF(L26=2,30,IF(L26=3,16,0)))</f>
        <v>0</v>
      </c>
      <c r="E26" s="57">
        <f>K26-IF(M26=1,44,IF(M26=2,30,IF(M26=3,16,0)))</f>
        <v>0</v>
      </c>
      <c r="F26" s="44">
        <f>ROUND((D26+E26)*2/1000,4)</f>
        <v>0</v>
      </c>
      <c r="G26" s="31"/>
      <c r="H26" s="58">
        <v>1.62</v>
      </c>
      <c r="I26" s="59">
        <f>IF(AND(D26&gt;0,E26&gt;0,F26&gt;0),F26*G26*H26,0)</f>
        <v>0</v>
      </c>
      <c r="J26" s="60"/>
      <c r="K26" s="61"/>
      <c r="L26" s="61"/>
      <c r="M26" s="61"/>
      <c r="N26" s="62" t="s">
        <v>56</v>
      </c>
      <c r="O26" s="63" t="s">
        <v>57</v>
      </c>
    </row>
    <row r="27" spans="2:15" ht="18" customHeight="1">
      <c r="B27" s="648"/>
      <c r="C27" s="650"/>
      <c r="D27" s="57">
        <f t="shared" ref="D27:D30" si="5">J27-IF(L27=1,44,IF(L27=2,30,IF(L27=3,16,0)))</f>
        <v>0</v>
      </c>
      <c r="E27" s="57">
        <f t="shared" ref="E27:E30" si="6">K27-IF(M27=1,44,IF(M27=2,30,IF(M27=3,16,0)))</f>
        <v>0</v>
      </c>
      <c r="F27" s="44">
        <f>ROUND((D27+E27)*2/1000,4)</f>
        <v>0</v>
      </c>
      <c r="G27" s="31"/>
      <c r="H27" s="58">
        <f>H26</f>
        <v>1.62</v>
      </c>
      <c r="I27" s="59">
        <f>IF(AND(D27&gt;0,E27&gt;0,F27&gt;0),F27*G27*H27,0)</f>
        <v>0</v>
      </c>
      <c r="J27" s="60"/>
      <c r="K27" s="61"/>
      <c r="L27" s="61"/>
      <c r="M27" s="61"/>
      <c r="N27" s="62" t="s">
        <v>58</v>
      </c>
      <c r="O27" s="63" t="s">
        <v>59</v>
      </c>
    </row>
    <row r="28" spans="2:15" ht="18" customHeight="1">
      <c r="B28" s="648"/>
      <c r="C28" s="650"/>
      <c r="D28" s="57">
        <f t="shared" si="5"/>
        <v>0</v>
      </c>
      <c r="E28" s="57">
        <f t="shared" si="6"/>
        <v>0</v>
      </c>
      <c r="F28" s="44">
        <f>ROUND((D28+E28)*2/1000,4)</f>
        <v>0</v>
      </c>
      <c r="G28" s="31"/>
      <c r="H28" s="58">
        <f>H27</f>
        <v>1.62</v>
      </c>
      <c r="I28" s="59">
        <f>IF(AND(D28&gt;0,E28&gt;0,F28&gt;0),F28*G28*H28,0)</f>
        <v>0</v>
      </c>
      <c r="J28" s="60"/>
      <c r="K28" s="61"/>
      <c r="L28" s="61"/>
      <c r="M28" s="61"/>
      <c r="N28" s="62" t="s">
        <v>60</v>
      </c>
      <c r="O28" s="63" t="s">
        <v>59</v>
      </c>
    </row>
    <row r="29" spans="2:15" ht="18" customHeight="1">
      <c r="B29" s="648"/>
      <c r="C29" s="650"/>
      <c r="D29" s="57">
        <f t="shared" si="5"/>
        <v>0</v>
      </c>
      <c r="E29" s="57">
        <f t="shared" si="6"/>
        <v>0</v>
      </c>
      <c r="F29" s="44">
        <f>ROUND((D29+E29)*2/1000,4)</f>
        <v>0</v>
      </c>
      <c r="G29" s="31"/>
      <c r="H29" s="58">
        <f>H28</f>
        <v>1.62</v>
      </c>
      <c r="I29" s="59">
        <f>IF(AND(D29&gt;0,E29&gt;0,F29&gt;0),F29*G29*H29,0)</f>
        <v>0</v>
      </c>
      <c r="J29" s="60"/>
      <c r="K29" s="61"/>
      <c r="L29" s="61"/>
      <c r="M29" s="61"/>
      <c r="N29" s="62"/>
    </row>
    <row r="30" spans="2:15" ht="18" customHeight="1" thickBot="1">
      <c r="B30" s="648"/>
      <c r="C30" s="651"/>
      <c r="D30" s="57">
        <f t="shared" si="5"/>
        <v>0</v>
      </c>
      <c r="E30" s="57">
        <f t="shared" si="6"/>
        <v>0</v>
      </c>
      <c r="F30" s="44">
        <f>ROUND((D30+E30)*2/1000,4)</f>
        <v>0</v>
      </c>
      <c r="G30" s="31"/>
      <c r="H30" s="58">
        <f>H29</f>
        <v>1.62</v>
      </c>
      <c r="I30" s="59">
        <f>IF(AND(D30&gt;0,E30&gt;0,F30&gt;0),F30*G30*H30,0)</f>
        <v>0</v>
      </c>
      <c r="J30" s="64"/>
      <c r="K30" s="65"/>
      <c r="L30" s="65"/>
      <c r="M30" s="65"/>
      <c r="N30" s="66"/>
    </row>
    <row r="31" spans="2:15" ht="18" customHeight="1">
      <c r="B31" s="48" t="s">
        <v>42</v>
      </c>
      <c r="C31" s="49">
        <f>SUMPRODUCT(F26:F30*G26:G30)</f>
        <v>0</v>
      </c>
      <c r="D31" s="50" t="s">
        <v>43</v>
      </c>
      <c r="E31" s="49">
        <f>SUM(I26:I30)*1.1</f>
        <v>0</v>
      </c>
      <c r="F31" s="50" t="s">
        <v>44</v>
      </c>
      <c r="G31" s="51">
        <f>(C$218+C$221)/1000</f>
        <v>46.081499999999998</v>
      </c>
      <c r="H31" s="52" t="s">
        <v>45</v>
      </c>
      <c r="I31" s="53">
        <f>ROUND(E31*G31,2)</f>
        <v>0</v>
      </c>
      <c r="J31" s="243">
        <f>SUM(G26:G30)</f>
        <v>0</v>
      </c>
    </row>
    <row r="32" spans="2:15" ht="18" customHeight="1">
      <c r="B32" s="48" t="s">
        <v>46</v>
      </c>
      <c r="C32" s="50">
        <v>183.32</v>
      </c>
      <c r="D32" s="50" t="s">
        <v>47</v>
      </c>
      <c r="E32" s="49">
        <f>ROUND(C31*(C32/1000),2)</f>
        <v>0</v>
      </c>
      <c r="F32" s="50" t="s">
        <v>48</v>
      </c>
      <c r="G32" s="50">
        <f>G$23</f>
        <v>10</v>
      </c>
      <c r="H32" s="52" t="s">
        <v>49</v>
      </c>
      <c r="I32" s="53">
        <f>E32*G32</f>
        <v>0</v>
      </c>
    </row>
    <row r="33" spans="2:14" ht="18" customHeight="1" thickBot="1">
      <c r="B33" s="48" t="s">
        <v>50</v>
      </c>
      <c r="C33" s="50">
        <v>257.82</v>
      </c>
      <c r="D33" s="50" t="s">
        <v>51</v>
      </c>
      <c r="E33" s="49">
        <f>ROUND(C31*(C33/1000),2)</f>
        <v>0</v>
      </c>
      <c r="F33" s="50" t="s">
        <v>48</v>
      </c>
      <c r="G33" s="50">
        <f>G$24</f>
        <v>10</v>
      </c>
      <c r="H33" s="52" t="s">
        <v>49</v>
      </c>
      <c r="I33" s="53">
        <f>E33*G33</f>
        <v>0</v>
      </c>
    </row>
    <row r="34" spans="2:14" ht="18" customHeight="1" thickBot="1">
      <c r="B34" s="67" t="s">
        <v>36</v>
      </c>
      <c r="C34" s="68" t="s">
        <v>14</v>
      </c>
      <c r="D34" s="68" t="s">
        <v>37</v>
      </c>
      <c r="E34" s="68" t="s">
        <v>38</v>
      </c>
      <c r="F34" s="68" t="s">
        <v>39</v>
      </c>
      <c r="G34" s="68" t="s">
        <v>8</v>
      </c>
      <c r="H34" s="68" t="s">
        <v>22</v>
      </c>
      <c r="I34" s="69" t="s">
        <v>40</v>
      </c>
      <c r="J34" s="54" t="s">
        <v>2</v>
      </c>
      <c r="K34" s="55" t="s">
        <v>3</v>
      </c>
      <c r="L34" s="55" t="s">
        <v>61</v>
      </c>
      <c r="M34" s="55" t="s">
        <v>62</v>
      </c>
      <c r="N34" s="70" t="s">
        <v>14</v>
      </c>
    </row>
    <row r="35" spans="2:14" ht="18" customHeight="1">
      <c r="B35" s="648" t="s">
        <v>63</v>
      </c>
      <c r="C35" s="649" t="s">
        <v>64</v>
      </c>
      <c r="D35" s="57">
        <f t="shared" ref="D35:E37" si="7">J35-IF(L35=1,44,IF(L35=2,30,IF(L35=3,16,IF(L35=11,118,IF(L35=12,100,IF(L35=13,76.8,0))))))</f>
        <v>0</v>
      </c>
      <c r="E35" s="57">
        <f t="shared" si="7"/>
        <v>0</v>
      </c>
      <c r="F35" s="31">
        <f>ROUND((D35+E35)*2/1000,4)</f>
        <v>0</v>
      </c>
      <c r="G35" s="31"/>
      <c r="H35" s="58">
        <v>1.8140000000000001</v>
      </c>
      <c r="I35" s="59">
        <f>ROUND(F35*G35*H35,3)</f>
        <v>0</v>
      </c>
      <c r="J35" s="60"/>
      <c r="K35" s="61"/>
      <c r="L35" s="61"/>
      <c r="M35" s="61"/>
      <c r="N35" s="71" t="s">
        <v>56</v>
      </c>
    </row>
    <row r="36" spans="2:14" ht="18" customHeight="1">
      <c r="B36" s="660"/>
      <c r="C36" s="650"/>
      <c r="D36" s="57">
        <f t="shared" si="7"/>
        <v>0</v>
      </c>
      <c r="E36" s="57">
        <f t="shared" si="7"/>
        <v>0</v>
      </c>
      <c r="F36" s="31">
        <f>ROUND((D36+E36)*2/1000,4)</f>
        <v>0</v>
      </c>
      <c r="G36" s="31"/>
      <c r="H36" s="58">
        <f>H35</f>
        <v>1.8140000000000001</v>
      </c>
      <c r="I36" s="59">
        <f>ROUND(F36*G36*H36,3)</f>
        <v>0</v>
      </c>
      <c r="J36" s="60"/>
      <c r="K36" s="61"/>
      <c r="L36" s="61"/>
      <c r="M36" s="61"/>
      <c r="N36" s="72" t="s">
        <v>58</v>
      </c>
    </row>
    <row r="37" spans="2:14" ht="18" customHeight="1">
      <c r="B37" s="660"/>
      <c r="C37" s="651"/>
      <c r="D37" s="57">
        <f t="shared" si="7"/>
        <v>0</v>
      </c>
      <c r="E37" s="57">
        <f t="shared" si="7"/>
        <v>0</v>
      </c>
      <c r="F37" s="31">
        <f>ROUND((D37+E37)*2/1000,4)</f>
        <v>0</v>
      </c>
      <c r="G37" s="31"/>
      <c r="H37" s="58">
        <f>H36</f>
        <v>1.8140000000000001</v>
      </c>
      <c r="I37" s="59">
        <f>ROUND(F37*G37*H37,3)</f>
        <v>0</v>
      </c>
      <c r="J37" s="60"/>
      <c r="K37" s="61"/>
      <c r="L37" s="61"/>
      <c r="M37" s="61"/>
      <c r="N37" s="72" t="s">
        <v>60</v>
      </c>
    </row>
    <row r="38" spans="2:14" ht="18" customHeight="1">
      <c r="B38" s="48" t="s">
        <v>42</v>
      </c>
      <c r="C38" s="49">
        <f>SUMPRODUCT(F35:F37*G35:G37)</f>
        <v>0</v>
      </c>
      <c r="D38" s="50" t="s">
        <v>43</v>
      </c>
      <c r="E38" s="49">
        <f>SUM(I35:I37)*1.1</f>
        <v>0</v>
      </c>
      <c r="F38" s="50" t="s">
        <v>44</v>
      </c>
      <c r="G38" s="51">
        <f>(C$218+C$219)/1000</f>
        <v>46.081499999999998</v>
      </c>
      <c r="H38" s="52" t="s">
        <v>45</v>
      </c>
      <c r="I38" s="53">
        <f>ROUND(E38*G38,2)</f>
        <v>0</v>
      </c>
      <c r="J38" s="243">
        <f>SUM(G35:G37)</f>
        <v>0</v>
      </c>
      <c r="K38" s="4"/>
      <c r="L38" s="4"/>
      <c r="M38" s="4"/>
      <c r="N38" s="73" t="s">
        <v>65</v>
      </c>
    </row>
    <row r="39" spans="2:14" ht="18" customHeight="1">
      <c r="B39" s="48" t="s">
        <v>46</v>
      </c>
      <c r="C39" s="50">
        <v>320.14</v>
      </c>
      <c r="D39" s="50" t="s">
        <v>47</v>
      </c>
      <c r="E39" s="49">
        <f>ROUND(C38*(C39/1000),2)</f>
        <v>0</v>
      </c>
      <c r="F39" s="50" t="s">
        <v>48</v>
      </c>
      <c r="G39" s="50">
        <f>G$23</f>
        <v>10</v>
      </c>
      <c r="H39" s="52" t="s">
        <v>49</v>
      </c>
      <c r="I39" s="53">
        <f>E39*G39</f>
        <v>0</v>
      </c>
      <c r="J39" s="4"/>
      <c r="K39" s="4"/>
      <c r="L39" s="4"/>
      <c r="M39" s="4"/>
      <c r="N39" s="73" t="s">
        <v>66</v>
      </c>
    </row>
    <row r="40" spans="2:14" ht="18" customHeight="1" thickBot="1">
      <c r="B40" s="48" t="s">
        <v>50</v>
      </c>
      <c r="C40" s="50">
        <v>156.99</v>
      </c>
      <c r="D40" s="50" t="s">
        <v>51</v>
      </c>
      <c r="E40" s="49">
        <f>ROUND(C38*(C40/1000),2)</f>
        <v>0</v>
      </c>
      <c r="F40" s="50" t="s">
        <v>48</v>
      </c>
      <c r="G40" s="50">
        <f>G$24</f>
        <v>10</v>
      </c>
      <c r="H40" s="52" t="s">
        <v>49</v>
      </c>
      <c r="I40" s="53">
        <f>E40*G40</f>
        <v>0</v>
      </c>
      <c r="J40" s="4"/>
      <c r="K40" s="4"/>
      <c r="L40" s="4"/>
      <c r="M40" s="4"/>
      <c r="N40" s="74" t="s">
        <v>67</v>
      </c>
    </row>
    <row r="41" spans="2:14" ht="18" customHeight="1" thickBot="1">
      <c r="B41" s="23" t="s">
        <v>36</v>
      </c>
      <c r="C41" s="24" t="s">
        <v>14</v>
      </c>
      <c r="D41" s="24" t="s">
        <v>37</v>
      </c>
      <c r="E41" s="24" t="s">
        <v>38</v>
      </c>
      <c r="F41" s="24" t="s">
        <v>39</v>
      </c>
      <c r="G41" s="24" t="s">
        <v>8</v>
      </c>
      <c r="H41" s="24" t="s">
        <v>22</v>
      </c>
      <c r="I41" s="25" t="s">
        <v>40</v>
      </c>
      <c r="J41" s="54" t="s">
        <v>2</v>
      </c>
      <c r="K41" s="55" t="s">
        <v>3</v>
      </c>
      <c r="L41" s="55" t="s">
        <v>61</v>
      </c>
      <c r="M41" s="55" t="s">
        <v>62</v>
      </c>
      <c r="N41" s="70" t="s">
        <v>14</v>
      </c>
    </row>
    <row r="42" spans="2:14" ht="18" customHeight="1">
      <c r="B42" s="648" t="s">
        <v>68</v>
      </c>
      <c r="C42" s="649" t="s">
        <v>69</v>
      </c>
      <c r="D42" s="57">
        <f>J42-IF(L42=1,46,IF(L42=2,34.5,IF(L42=3,23)))</f>
        <v>0</v>
      </c>
      <c r="E42" s="57">
        <f>K42-IF(M42=1,46,IF(M42=2,34.5,IF(M42=3,23)))</f>
        <v>0</v>
      </c>
      <c r="F42" s="31">
        <f t="shared" ref="F42:F47" si="8">ROUND((D42+E42)*2/1000,4)</f>
        <v>0</v>
      </c>
      <c r="G42" s="31"/>
      <c r="H42" s="31">
        <v>1.26</v>
      </c>
      <c r="I42" s="59">
        <f t="shared" ref="I42:I47" si="9">ROUND(F42*G42*H42,3)</f>
        <v>0</v>
      </c>
      <c r="J42" s="60"/>
      <c r="K42" s="61"/>
      <c r="L42" s="61"/>
      <c r="M42" s="61"/>
      <c r="N42" s="71" t="s">
        <v>56</v>
      </c>
    </row>
    <row r="43" spans="2:14" ht="18" customHeight="1">
      <c r="B43" s="648"/>
      <c r="C43" s="650"/>
      <c r="D43" s="57">
        <f t="shared" ref="D43:D47" si="10">J43-IF(L43=1,46,IF(L43=2,34.5,IF(L43=3,23)))</f>
        <v>0</v>
      </c>
      <c r="E43" s="57">
        <f t="shared" ref="E43:E47" si="11">K43-IF(M43=1,46,IF(M43=2,34.5,IF(M43=3,23)))</f>
        <v>0</v>
      </c>
      <c r="F43" s="31">
        <f t="shared" si="8"/>
        <v>0</v>
      </c>
      <c r="G43" s="31"/>
      <c r="H43" s="31">
        <f>H42</f>
        <v>1.26</v>
      </c>
      <c r="I43" s="59">
        <f t="shared" si="9"/>
        <v>0</v>
      </c>
      <c r="J43" s="60"/>
      <c r="K43" s="61"/>
      <c r="L43" s="61"/>
      <c r="M43" s="61"/>
      <c r="N43" s="72" t="s">
        <v>58</v>
      </c>
    </row>
    <row r="44" spans="2:14" ht="18" customHeight="1">
      <c r="B44" s="648"/>
      <c r="C44" s="651"/>
      <c r="D44" s="57">
        <f t="shared" si="10"/>
        <v>0</v>
      </c>
      <c r="E44" s="57">
        <f t="shared" si="11"/>
        <v>0</v>
      </c>
      <c r="F44" s="31">
        <f t="shared" si="8"/>
        <v>0</v>
      </c>
      <c r="G44" s="31"/>
      <c r="H44" s="31">
        <f>H43</f>
        <v>1.26</v>
      </c>
      <c r="I44" s="59">
        <f t="shared" si="9"/>
        <v>0</v>
      </c>
      <c r="J44" s="60"/>
      <c r="K44" s="61"/>
      <c r="L44" s="61"/>
      <c r="M44" s="61"/>
      <c r="N44" s="72" t="s">
        <v>60</v>
      </c>
    </row>
    <row r="45" spans="2:14" ht="18" customHeight="1">
      <c r="B45" s="648"/>
      <c r="C45" s="649" t="s">
        <v>70</v>
      </c>
      <c r="D45" s="57">
        <f t="shared" si="10"/>
        <v>0</v>
      </c>
      <c r="E45" s="57">
        <f t="shared" si="11"/>
        <v>0</v>
      </c>
      <c r="F45" s="31">
        <f t="shared" si="8"/>
        <v>0</v>
      </c>
      <c r="G45" s="31"/>
      <c r="H45" s="31">
        <f>H44</f>
        <v>1.26</v>
      </c>
      <c r="I45" s="59">
        <f t="shared" si="9"/>
        <v>0</v>
      </c>
      <c r="J45" s="60"/>
      <c r="K45" s="61"/>
      <c r="L45" s="61"/>
      <c r="M45" s="61"/>
      <c r="N45" s="71" t="s">
        <v>56</v>
      </c>
    </row>
    <row r="46" spans="2:14" ht="18" customHeight="1">
      <c r="B46" s="648"/>
      <c r="C46" s="650"/>
      <c r="D46" s="57">
        <f t="shared" si="10"/>
        <v>0</v>
      </c>
      <c r="E46" s="57">
        <f t="shared" si="11"/>
        <v>0</v>
      </c>
      <c r="F46" s="31">
        <f t="shared" si="8"/>
        <v>0</v>
      </c>
      <c r="G46" s="31"/>
      <c r="H46" s="31">
        <f>H45</f>
        <v>1.26</v>
      </c>
      <c r="I46" s="59">
        <f t="shared" si="9"/>
        <v>0</v>
      </c>
      <c r="J46" s="60"/>
      <c r="K46" s="61"/>
      <c r="L46" s="61"/>
      <c r="M46" s="61"/>
      <c r="N46" s="72" t="s">
        <v>58</v>
      </c>
    </row>
    <row r="47" spans="2:14" ht="18" customHeight="1" thickBot="1">
      <c r="B47" s="648"/>
      <c r="C47" s="651"/>
      <c r="D47" s="57">
        <f t="shared" si="10"/>
        <v>0</v>
      </c>
      <c r="E47" s="57">
        <f t="shared" si="11"/>
        <v>0</v>
      </c>
      <c r="F47" s="31">
        <f t="shared" si="8"/>
        <v>0</v>
      </c>
      <c r="G47" s="31"/>
      <c r="H47" s="31">
        <f>H46</f>
        <v>1.26</v>
      </c>
      <c r="I47" s="59">
        <f t="shared" si="9"/>
        <v>0</v>
      </c>
      <c r="J47" s="64"/>
      <c r="K47" s="65"/>
      <c r="L47" s="65"/>
      <c r="M47" s="65"/>
      <c r="N47" s="75" t="s">
        <v>60</v>
      </c>
    </row>
    <row r="48" spans="2:14" ht="18" customHeight="1">
      <c r="B48" s="48" t="s">
        <v>42</v>
      </c>
      <c r="C48" s="49">
        <f>SUMPRODUCT(F42:F47*G42:G47)</f>
        <v>0</v>
      </c>
      <c r="D48" s="50" t="s">
        <v>43</v>
      </c>
      <c r="E48" s="49">
        <f>SUM(I42:I47)*1.1</f>
        <v>0</v>
      </c>
      <c r="F48" s="50" t="s">
        <v>44</v>
      </c>
      <c r="G48" s="51">
        <f>(C$218+C$219)/1000</f>
        <v>46.081499999999998</v>
      </c>
      <c r="H48" s="52" t="s">
        <v>45</v>
      </c>
      <c r="I48" s="53">
        <f>ROUND(E48*G48,2)</f>
        <v>0</v>
      </c>
      <c r="J48" s="243">
        <f>SUM(G42:G47)</f>
        <v>0</v>
      </c>
      <c r="K48" s="4"/>
      <c r="L48" s="4"/>
      <c r="M48" s="4"/>
    </row>
    <row r="49" spans="2:14" ht="18" customHeight="1">
      <c r="B49" s="48" t="s">
        <v>46</v>
      </c>
      <c r="C49" s="50">
        <v>132.47999999999999</v>
      </c>
      <c r="D49" s="50" t="s">
        <v>47</v>
      </c>
      <c r="E49" s="49">
        <f>ROUND(C48*(C49/1000),2)</f>
        <v>0</v>
      </c>
      <c r="F49" s="50" t="s">
        <v>48</v>
      </c>
      <c r="G49" s="50">
        <f>G$23</f>
        <v>10</v>
      </c>
      <c r="H49" s="52" t="s">
        <v>49</v>
      </c>
      <c r="I49" s="53">
        <f>E49*G49</f>
        <v>0</v>
      </c>
      <c r="J49" s="4"/>
      <c r="K49" s="4"/>
      <c r="L49" s="4"/>
      <c r="M49" s="4"/>
    </row>
    <row r="50" spans="2:14" ht="18" customHeight="1" thickBot="1">
      <c r="B50" s="48" t="s">
        <v>50</v>
      </c>
      <c r="C50" s="50">
        <v>202.06</v>
      </c>
      <c r="D50" s="50" t="s">
        <v>51</v>
      </c>
      <c r="E50" s="49">
        <f>ROUND(C48*(C50/1000),2)</f>
        <v>0</v>
      </c>
      <c r="F50" s="50" t="s">
        <v>48</v>
      </c>
      <c r="G50" s="50">
        <f>G$24</f>
        <v>10</v>
      </c>
      <c r="H50" s="52" t="s">
        <v>49</v>
      </c>
      <c r="I50" s="53">
        <f>E50*G50</f>
        <v>0</v>
      </c>
      <c r="J50" s="4"/>
    </row>
    <row r="51" spans="2:14" ht="18" customHeight="1" thickBot="1">
      <c r="B51" s="23" t="s">
        <v>36</v>
      </c>
      <c r="C51" s="24" t="s">
        <v>14</v>
      </c>
      <c r="D51" s="24" t="s">
        <v>37</v>
      </c>
      <c r="E51" s="24" t="s">
        <v>71</v>
      </c>
      <c r="F51" s="24" t="s">
        <v>38</v>
      </c>
      <c r="G51" s="24" t="s">
        <v>72</v>
      </c>
      <c r="H51" s="24" t="s">
        <v>22</v>
      </c>
      <c r="I51" s="25" t="s">
        <v>40</v>
      </c>
      <c r="J51" s="54" t="s">
        <v>2</v>
      </c>
      <c r="K51" s="55" t="s">
        <v>3</v>
      </c>
      <c r="L51" s="55" t="s">
        <v>61</v>
      </c>
      <c r="M51" s="55" t="s">
        <v>62</v>
      </c>
      <c r="N51" s="70" t="s">
        <v>14</v>
      </c>
    </row>
    <row r="52" spans="2:14" ht="18" customHeight="1">
      <c r="B52" s="648" t="s">
        <v>73</v>
      </c>
      <c r="C52" s="649" t="s">
        <v>405</v>
      </c>
      <c r="D52" s="57">
        <f>J52-IF(L52=1,46,IF(L52=2,32,IF(L52=3,18,0)))</f>
        <v>0</v>
      </c>
      <c r="E52" s="57"/>
      <c r="F52" s="57">
        <f>K52-IF(M52=1,46,IF(M52=2,32,IF(M52=3,118,0)))</f>
        <v>0</v>
      </c>
      <c r="G52" s="31"/>
      <c r="H52" s="31">
        <v>1.6379999999999999</v>
      </c>
      <c r="I52" s="59">
        <f>ROUND((D52*E52+F52*G52)/1000*H52,3)</f>
        <v>0</v>
      </c>
      <c r="J52" s="60"/>
      <c r="K52" s="61"/>
      <c r="L52" s="61"/>
      <c r="M52" s="61"/>
      <c r="N52" s="76" t="s">
        <v>56</v>
      </c>
    </row>
    <row r="53" spans="2:14" ht="18" customHeight="1">
      <c r="B53" s="648"/>
      <c r="C53" s="650"/>
      <c r="D53" s="57">
        <f t="shared" ref="D53:D55" si="12">J53-IF(L53=1,46,IF(L53=2,32,IF(L53=3,18,0)))</f>
        <v>0</v>
      </c>
      <c r="E53" s="57"/>
      <c r="F53" s="57">
        <f t="shared" ref="F53:F55" si="13">K53-IF(M53=1,46,IF(M53=2,32,IF(M53=3,118,0)))</f>
        <v>0</v>
      </c>
      <c r="G53" s="31"/>
      <c r="H53" s="31">
        <f>H52</f>
        <v>1.6379999999999999</v>
      </c>
      <c r="I53" s="59">
        <f>ROUND((D53*E53+F53*G53)/1000*H53,3)</f>
        <v>0</v>
      </c>
      <c r="J53" s="60"/>
      <c r="K53" s="61"/>
      <c r="L53" s="61"/>
      <c r="M53" s="61"/>
      <c r="N53" s="76" t="s">
        <v>58</v>
      </c>
    </row>
    <row r="54" spans="2:14" ht="18" customHeight="1">
      <c r="B54" s="648"/>
      <c r="C54" s="650"/>
      <c r="D54" s="57">
        <f t="shared" si="12"/>
        <v>0</v>
      </c>
      <c r="E54" s="57"/>
      <c r="F54" s="57">
        <f t="shared" si="13"/>
        <v>0</v>
      </c>
      <c r="G54" s="31"/>
      <c r="H54" s="31">
        <f>H53</f>
        <v>1.6379999999999999</v>
      </c>
      <c r="I54" s="59">
        <f>ROUND((D54*E54+F54*G54)/1000*H54,3)</f>
        <v>0</v>
      </c>
      <c r="J54" s="60"/>
      <c r="K54" s="61"/>
      <c r="L54" s="61"/>
      <c r="M54" s="61"/>
      <c r="N54" s="76" t="s">
        <v>60</v>
      </c>
    </row>
    <row r="55" spans="2:14" ht="18" customHeight="1" thickBot="1">
      <c r="B55" s="648"/>
      <c r="C55" s="651"/>
      <c r="D55" s="57">
        <f t="shared" si="12"/>
        <v>0</v>
      </c>
      <c r="E55" s="57"/>
      <c r="F55" s="57">
        <f t="shared" si="13"/>
        <v>0</v>
      </c>
      <c r="G55" s="31"/>
      <c r="H55" s="77">
        <f>H54</f>
        <v>1.6379999999999999</v>
      </c>
      <c r="I55" s="59">
        <f>ROUND((D55*E55+F55*G55)/1000*H55,3)</f>
        <v>0</v>
      </c>
      <c r="J55" s="78"/>
      <c r="K55" s="79"/>
      <c r="L55" s="79"/>
      <c r="M55" s="79"/>
      <c r="N55" s="80"/>
    </row>
    <row r="56" spans="2:14" ht="18" customHeight="1">
      <c r="B56" s="48" t="s">
        <v>42</v>
      </c>
      <c r="C56" s="49">
        <f>SUMPRODUCT(D52:D55*E52:E55+F52:F55*G52:G55)/1000</f>
        <v>0</v>
      </c>
      <c r="D56" s="50" t="s">
        <v>43</v>
      </c>
      <c r="E56" s="49">
        <f>SUM(I52:I55)*1.1</f>
        <v>0</v>
      </c>
      <c r="F56" s="50" t="s">
        <v>44</v>
      </c>
      <c r="G56" s="51">
        <f>(C$218+C$219)/1000</f>
        <v>46.081499999999998</v>
      </c>
      <c r="H56" s="52" t="s">
        <v>45</v>
      </c>
      <c r="I56" s="53">
        <f>ROUND(E56*G56,2)</f>
        <v>0</v>
      </c>
      <c r="J56" s="243">
        <f>SUM(E52:E55)+SUM(G52:G55)</f>
        <v>0</v>
      </c>
    </row>
    <row r="57" spans="2:14" ht="18" customHeight="1">
      <c r="B57" s="48" t="s">
        <v>46</v>
      </c>
      <c r="C57" s="50">
        <v>265.52999999999997</v>
      </c>
      <c r="D57" s="50" t="s">
        <v>47</v>
      </c>
      <c r="E57" s="49">
        <f>ROUND(C56*(C57/1000),2)</f>
        <v>0</v>
      </c>
      <c r="F57" s="50" t="s">
        <v>48</v>
      </c>
      <c r="G57" s="50">
        <f>G$23</f>
        <v>10</v>
      </c>
      <c r="H57" s="52" t="s">
        <v>49</v>
      </c>
      <c r="I57" s="53">
        <f>E57*G57</f>
        <v>0</v>
      </c>
      <c r="L57" s="47"/>
    </row>
    <row r="58" spans="2:14" ht="18" customHeight="1">
      <c r="B58" s="48" t="s">
        <v>50</v>
      </c>
      <c r="C58" s="50">
        <v>173.62</v>
      </c>
      <c r="D58" s="50" t="s">
        <v>51</v>
      </c>
      <c r="E58" s="49">
        <f>ROUND(C56*(C58/1000),2)</f>
        <v>0</v>
      </c>
      <c r="F58" s="50" t="s">
        <v>48</v>
      </c>
      <c r="G58" s="50">
        <f>G$24</f>
        <v>10</v>
      </c>
      <c r="H58" s="52" t="s">
        <v>49</v>
      </c>
      <c r="I58" s="53">
        <f>E58*G58</f>
        <v>0</v>
      </c>
      <c r="L58" s="47"/>
    </row>
    <row r="59" spans="2:14" ht="18" customHeight="1">
      <c r="B59" s="23" t="s">
        <v>36</v>
      </c>
      <c r="C59" s="24" t="s">
        <v>14</v>
      </c>
      <c r="D59" s="652" t="s">
        <v>74</v>
      </c>
      <c r="E59" s="652"/>
      <c r="F59" s="652"/>
      <c r="G59" s="24" t="s">
        <v>75</v>
      </c>
      <c r="H59" s="24" t="s">
        <v>22</v>
      </c>
      <c r="I59" s="25" t="s">
        <v>40</v>
      </c>
      <c r="L59" s="47"/>
    </row>
    <row r="60" spans="2:14" ht="18" customHeight="1">
      <c r="B60" s="648" t="s">
        <v>76</v>
      </c>
      <c r="C60" s="649" t="s">
        <v>77</v>
      </c>
      <c r="D60" s="646"/>
      <c r="E60" s="646"/>
      <c r="F60" s="646"/>
      <c r="G60" s="31"/>
      <c r="H60" s="31">
        <v>1.9339999999999999</v>
      </c>
      <c r="I60" s="59">
        <f>ROUND(D60*G60*H60/1000,3)</f>
        <v>0</v>
      </c>
      <c r="L60" s="47"/>
    </row>
    <row r="61" spans="2:14" ht="18" customHeight="1">
      <c r="B61" s="648"/>
      <c r="C61" s="651"/>
      <c r="D61" s="646"/>
      <c r="E61" s="646"/>
      <c r="F61" s="646"/>
      <c r="G61" s="31"/>
      <c r="H61" s="31">
        <v>1.9339999999999999</v>
      </c>
      <c r="I61" s="59">
        <f>ROUND(D61*G61*H61/1000,3)</f>
        <v>0</v>
      </c>
    </row>
    <row r="62" spans="2:14" ht="18" customHeight="1">
      <c r="B62" s="648"/>
      <c r="C62" s="649" t="s">
        <v>78</v>
      </c>
      <c r="D62" s="646"/>
      <c r="E62" s="646"/>
      <c r="F62" s="646"/>
      <c r="G62" s="31"/>
      <c r="H62" s="31">
        <v>2.3130000000000002</v>
      </c>
      <c r="I62" s="59">
        <f>ROUND(D62*G62*H62/1000,3)</f>
        <v>0</v>
      </c>
    </row>
    <row r="63" spans="2:14" ht="18" customHeight="1">
      <c r="B63" s="648"/>
      <c r="C63" s="651"/>
      <c r="D63" s="646"/>
      <c r="E63" s="646"/>
      <c r="F63" s="646"/>
      <c r="G63" s="31"/>
      <c r="H63" s="31">
        <v>2.3130000000000002</v>
      </c>
      <c r="I63" s="59">
        <f>ROUND(D63*G63*H63/1000,3)</f>
        <v>0</v>
      </c>
    </row>
    <row r="64" spans="2:14" ht="18" customHeight="1">
      <c r="B64" s="48" t="s">
        <v>42</v>
      </c>
      <c r="C64" s="49">
        <f>SUMPRODUCT(D60:F63*G60:G63)/1000</f>
        <v>0</v>
      </c>
      <c r="D64" s="50" t="s">
        <v>43</v>
      </c>
      <c r="E64" s="49">
        <f>SUM(I60:I63)*1.1</f>
        <v>0</v>
      </c>
      <c r="F64" s="50" t="s">
        <v>44</v>
      </c>
      <c r="G64" s="51">
        <f>(C$218+C$219)/1000</f>
        <v>46.081499999999998</v>
      </c>
      <c r="H64" s="52" t="s">
        <v>45</v>
      </c>
      <c r="I64" s="53">
        <f>ROUND(E64*G64,2)</f>
        <v>0</v>
      </c>
      <c r="J64" s="43">
        <f>SUM(G60:G63)</f>
        <v>0</v>
      </c>
    </row>
    <row r="65" spans="2:14" ht="18" customHeight="1">
      <c r="B65" s="48" t="s">
        <v>46</v>
      </c>
      <c r="C65" s="50">
        <v>337.92</v>
      </c>
      <c r="D65" s="50" t="s">
        <v>47</v>
      </c>
      <c r="E65" s="49">
        <f>ROUND(C64*(C65/1000),2)</f>
        <v>0</v>
      </c>
      <c r="F65" s="50" t="s">
        <v>48</v>
      </c>
      <c r="G65" s="50">
        <f>G$23</f>
        <v>10</v>
      </c>
      <c r="H65" s="52" t="s">
        <v>49</v>
      </c>
      <c r="I65" s="53">
        <f>E65*G65</f>
        <v>0</v>
      </c>
    </row>
    <row r="66" spans="2:14" ht="18" customHeight="1" thickBot="1">
      <c r="B66" s="48" t="s">
        <v>50</v>
      </c>
      <c r="C66" s="50">
        <v>175.93</v>
      </c>
      <c r="D66" s="50" t="s">
        <v>51</v>
      </c>
      <c r="E66" s="49">
        <f>ROUND(C64*(C66/1000),2)</f>
        <v>0</v>
      </c>
      <c r="F66" s="50" t="s">
        <v>48</v>
      </c>
      <c r="G66" s="50">
        <f>G$24</f>
        <v>10</v>
      </c>
      <c r="H66" s="52" t="s">
        <v>49</v>
      </c>
      <c r="I66" s="53">
        <f>E66*G66</f>
        <v>0</v>
      </c>
    </row>
    <row r="67" spans="2:14" ht="18" customHeight="1" thickBot="1">
      <c r="B67" s="23" t="s">
        <v>36</v>
      </c>
      <c r="C67" s="24" t="s">
        <v>14</v>
      </c>
      <c r="D67" s="24" t="s">
        <v>37</v>
      </c>
      <c r="E67" s="24" t="s">
        <v>38</v>
      </c>
      <c r="F67" s="24" t="s">
        <v>39</v>
      </c>
      <c r="G67" s="24" t="s">
        <v>8</v>
      </c>
      <c r="H67" s="24" t="s">
        <v>22</v>
      </c>
      <c r="I67" s="25" t="s">
        <v>40</v>
      </c>
      <c r="J67" s="54" t="s">
        <v>2</v>
      </c>
      <c r="K67" s="55" t="s">
        <v>3</v>
      </c>
      <c r="L67" s="55" t="s">
        <v>52</v>
      </c>
      <c r="M67" s="55" t="s">
        <v>53</v>
      </c>
      <c r="N67" s="70" t="s">
        <v>14</v>
      </c>
    </row>
    <row r="68" spans="2:14" ht="18" customHeight="1">
      <c r="B68" s="648" t="s">
        <v>79</v>
      </c>
      <c r="C68" s="649" t="s">
        <v>323</v>
      </c>
      <c r="D68" s="81">
        <f>J68-IF(L68=1,72,IF(L68=2,54,IF(L68=3,26,IF(L68=11,102.8,IF(L68=12,88.8,IF(L68=13,74.8,0))))))</f>
        <v>948</v>
      </c>
      <c r="E68" s="81">
        <f>K68-IF(M68=1,72,IF(M68=2,24,IF(M68=3,26,IF(M68=11,102.8,IF(M68=12,88.8,IF(M68=13,74.8,0))))))</f>
        <v>448</v>
      </c>
      <c r="F68" s="81">
        <f>2*(D68+E68)/1000</f>
        <v>2.7919999999999998</v>
      </c>
      <c r="G68" s="82">
        <v>1</v>
      </c>
      <c r="H68" s="31">
        <v>0.224</v>
      </c>
      <c r="I68" s="283">
        <f>ROUND(F68*G68*H68,3)*1.5</f>
        <v>0.9375</v>
      </c>
      <c r="J68" s="83">
        <f>D14</f>
        <v>1020</v>
      </c>
      <c r="K68" s="83">
        <f>E14</f>
        <v>520</v>
      </c>
      <c r="L68" s="84">
        <v>1</v>
      </c>
      <c r="M68" s="84">
        <v>1</v>
      </c>
      <c r="N68" s="71" t="s">
        <v>56</v>
      </c>
    </row>
    <row r="69" spans="2:14" ht="18" customHeight="1">
      <c r="B69" s="648"/>
      <c r="C69" s="650"/>
      <c r="D69" s="81">
        <f t="shared" ref="D69:D87" si="14">J69-IF(L69=1,72,IF(L69=2,54,IF(L69=3,26,IF(L69=11,102.8,IF(L69=12,88.8,IF(L69=13,74.8,0))))))</f>
        <v>0</v>
      </c>
      <c r="E69" s="81">
        <f t="shared" ref="E69:E87" si="15">K69-IF(M69=1,72,IF(M69=2,24,IF(M69=3,26,IF(M69=11,102.8,IF(M69=12,88.8,IF(M69=13,74.8,0))))))</f>
        <v>0</v>
      </c>
      <c r="F69" s="81">
        <f t="shared" ref="F69:F87" si="16">2*(D69+E69)/1000</f>
        <v>0</v>
      </c>
      <c r="G69" s="82"/>
      <c r="H69" s="31">
        <f>H68</f>
        <v>0.224</v>
      </c>
      <c r="I69" s="59">
        <f t="shared" ref="I69:I87" si="17">ROUND(F69*G69*H69,3)</f>
        <v>0</v>
      </c>
      <c r="J69" s="83"/>
      <c r="K69" s="84"/>
      <c r="L69" s="84"/>
      <c r="M69" s="84"/>
      <c r="N69" s="72" t="s">
        <v>58</v>
      </c>
    </row>
    <row r="70" spans="2:14" ht="18" customHeight="1">
      <c r="B70" s="648"/>
      <c r="C70" s="650"/>
      <c r="D70" s="81">
        <f t="shared" si="14"/>
        <v>0</v>
      </c>
      <c r="E70" s="81">
        <f t="shared" si="15"/>
        <v>0</v>
      </c>
      <c r="F70" s="81">
        <f t="shared" si="16"/>
        <v>0</v>
      </c>
      <c r="G70" s="82"/>
      <c r="H70" s="31">
        <f>H69</f>
        <v>0.224</v>
      </c>
      <c r="I70" s="59">
        <f t="shared" si="17"/>
        <v>0</v>
      </c>
      <c r="J70" s="83"/>
      <c r="K70" s="84"/>
      <c r="L70" s="84"/>
      <c r="M70" s="84"/>
      <c r="N70" s="72" t="s">
        <v>60</v>
      </c>
    </row>
    <row r="71" spans="2:14" ht="18" customHeight="1">
      <c r="B71" s="648"/>
      <c r="C71" s="650"/>
      <c r="D71" s="81">
        <f t="shared" si="14"/>
        <v>0</v>
      </c>
      <c r="E71" s="81">
        <f t="shared" si="15"/>
        <v>0</v>
      </c>
      <c r="F71" s="81">
        <f t="shared" si="16"/>
        <v>0</v>
      </c>
      <c r="G71" s="82"/>
      <c r="H71" s="77">
        <f>H70</f>
        <v>0.224</v>
      </c>
      <c r="I71" s="59">
        <f t="shared" si="17"/>
        <v>0</v>
      </c>
      <c r="J71" s="85"/>
      <c r="K71" s="86"/>
      <c r="L71" s="86"/>
      <c r="M71" s="86"/>
      <c r="N71" s="72" t="s">
        <v>65</v>
      </c>
    </row>
    <row r="72" spans="2:14" ht="18" customHeight="1">
      <c r="B72" s="648"/>
      <c r="C72" s="650"/>
      <c r="D72" s="81">
        <f t="shared" si="14"/>
        <v>0</v>
      </c>
      <c r="E72" s="81">
        <f t="shared" si="15"/>
        <v>0</v>
      </c>
      <c r="F72" s="81">
        <f t="shared" si="16"/>
        <v>0</v>
      </c>
      <c r="G72" s="82"/>
      <c r="H72" s="77">
        <f>H71</f>
        <v>0.224</v>
      </c>
      <c r="I72" s="87">
        <f t="shared" si="17"/>
        <v>0</v>
      </c>
      <c r="J72" s="85"/>
      <c r="K72" s="86"/>
      <c r="L72" s="86"/>
      <c r="M72" s="86"/>
      <c r="N72" s="72" t="s">
        <v>66</v>
      </c>
    </row>
    <row r="73" spans="2:14" ht="18" customHeight="1">
      <c r="B73" s="648"/>
      <c r="C73" s="650"/>
      <c r="D73" s="81">
        <f t="shared" si="14"/>
        <v>0</v>
      </c>
      <c r="E73" s="81">
        <f t="shared" si="15"/>
        <v>0</v>
      </c>
      <c r="F73" s="81">
        <f t="shared" si="16"/>
        <v>0</v>
      </c>
      <c r="G73" s="82"/>
      <c r="H73" s="31">
        <f>H70</f>
        <v>0.224</v>
      </c>
      <c r="I73" s="87">
        <f t="shared" si="17"/>
        <v>0</v>
      </c>
      <c r="J73" s="83"/>
      <c r="K73" s="84"/>
      <c r="L73" s="84"/>
      <c r="M73" s="84"/>
      <c r="N73" s="72" t="s">
        <v>67</v>
      </c>
    </row>
    <row r="74" spans="2:14" ht="18" customHeight="1">
      <c r="B74" s="648"/>
      <c r="C74" s="651"/>
      <c r="D74" s="81">
        <f t="shared" si="14"/>
        <v>0</v>
      </c>
      <c r="E74" s="81">
        <f t="shared" si="15"/>
        <v>0</v>
      </c>
      <c r="F74" s="81">
        <f t="shared" si="16"/>
        <v>0</v>
      </c>
      <c r="G74" s="82"/>
      <c r="H74" s="31">
        <f>H73</f>
        <v>0.224</v>
      </c>
      <c r="I74" s="87">
        <f t="shared" si="17"/>
        <v>0</v>
      </c>
      <c r="J74" s="83"/>
      <c r="K74" s="84"/>
      <c r="L74" s="84"/>
      <c r="M74" s="84"/>
      <c r="N74" s="88"/>
    </row>
    <row r="75" spans="2:14" ht="18" customHeight="1">
      <c r="B75" s="648"/>
      <c r="C75" s="649" t="s">
        <v>324</v>
      </c>
      <c r="D75" s="89">
        <f t="shared" si="14"/>
        <v>0</v>
      </c>
      <c r="E75" s="89">
        <f t="shared" si="15"/>
        <v>0</v>
      </c>
      <c r="F75" s="89">
        <f t="shared" si="16"/>
        <v>0</v>
      </c>
      <c r="G75" s="90"/>
      <c r="H75" s="91">
        <f>H74</f>
        <v>0.224</v>
      </c>
      <c r="I75" s="92">
        <f t="shared" si="17"/>
        <v>0</v>
      </c>
      <c r="J75" s="83"/>
      <c r="K75" s="84"/>
      <c r="L75" s="84"/>
      <c r="M75" s="84"/>
      <c r="N75" s="93" t="s">
        <v>80</v>
      </c>
    </row>
    <row r="76" spans="2:14" ht="18" customHeight="1">
      <c r="B76" s="648"/>
      <c r="C76" s="650"/>
      <c r="D76" s="89">
        <f t="shared" si="14"/>
        <v>0</v>
      </c>
      <c r="E76" s="89">
        <f t="shared" si="15"/>
        <v>0</v>
      </c>
      <c r="F76" s="89">
        <f t="shared" si="16"/>
        <v>0</v>
      </c>
      <c r="G76" s="90"/>
      <c r="H76" s="91">
        <f>H72</f>
        <v>0.224</v>
      </c>
      <c r="I76" s="92">
        <f t="shared" si="17"/>
        <v>0</v>
      </c>
      <c r="J76" s="83"/>
      <c r="K76" s="84"/>
      <c r="L76" s="84"/>
      <c r="M76" s="84"/>
      <c r="N76" s="93" t="s">
        <v>80</v>
      </c>
    </row>
    <row r="77" spans="2:14" ht="18" customHeight="1">
      <c r="B77" s="648"/>
      <c r="C77" s="650"/>
      <c r="D77" s="89">
        <f t="shared" si="14"/>
        <v>0</v>
      </c>
      <c r="E77" s="89">
        <f t="shared" si="15"/>
        <v>0</v>
      </c>
      <c r="F77" s="89">
        <f t="shared" si="16"/>
        <v>0</v>
      </c>
      <c r="G77" s="90"/>
      <c r="H77" s="91">
        <f t="shared" ref="H77:H87" si="18">H76</f>
        <v>0.224</v>
      </c>
      <c r="I77" s="92">
        <f t="shared" si="17"/>
        <v>0</v>
      </c>
      <c r="J77" s="83"/>
      <c r="K77" s="84"/>
      <c r="L77" s="84"/>
      <c r="M77" s="84"/>
      <c r="N77" s="93" t="s">
        <v>80</v>
      </c>
    </row>
    <row r="78" spans="2:14" ht="18" customHeight="1">
      <c r="B78" s="648"/>
      <c r="C78" s="650"/>
      <c r="D78" s="89">
        <f t="shared" si="14"/>
        <v>0</v>
      </c>
      <c r="E78" s="89">
        <f t="shared" si="15"/>
        <v>0</v>
      </c>
      <c r="F78" s="89">
        <f t="shared" si="16"/>
        <v>0</v>
      </c>
      <c r="G78" s="90"/>
      <c r="H78" s="91">
        <f t="shared" si="18"/>
        <v>0.224</v>
      </c>
      <c r="I78" s="92">
        <f t="shared" si="17"/>
        <v>0</v>
      </c>
      <c r="J78" s="83"/>
      <c r="K78" s="84"/>
      <c r="L78" s="84"/>
      <c r="M78" s="84"/>
      <c r="N78" s="93" t="s">
        <v>80</v>
      </c>
    </row>
    <row r="79" spans="2:14" ht="18" customHeight="1">
      <c r="B79" s="648"/>
      <c r="C79" s="650"/>
      <c r="D79" s="89">
        <f t="shared" si="14"/>
        <v>0</v>
      </c>
      <c r="E79" s="89">
        <f t="shared" si="15"/>
        <v>0</v>
      </c>
      <c r="F79" s="89">
        <f t="shared" si="16"/>
        <v>0</v>
      </c>
      <c r="G79" s="90"/>
      <c r="H79" s="91">
        <f t="shared" si="18"/>
        <v>0.224</v>
      </c>
      <c r="I79" s="94">
        <f t="shared" si="17"/>
        <v>0</v>
      </c>
      <c r="J79" s="83"/>
      <c r="K79" s="84"/>
      <c r="L79" s="84"/>
      <c r="M79" s="84"/>
      <c r="N79" s="93" t="s">
        <v>80</v>
      </c>
    </row>
    <row r="80" spans="2:14" ht="18" customHeight="1">
      <c r="B80" s="648"/>
      <c r="C80" s="650"/>
      <c r="D80" s="89">
        <f t="shared" si="14"/>
        <v>0</v>
      </c>
      <c r="E80" s="89">
        <f t="shared" si="15"/>
        <v>0</v>
      </c>
      <c r="F80" s="89">
        <f t="shared" si="16"/>
        <v>0</v>
      </c>
      <c r="G80" s="90"/>
      <c r="H80" s="91">
        <f t="shared" si="18"/>
        <v>0.224</v>
      </c>
      <c r="I80" s="94">
        <f t="shared" si="17"/>
        <v>0</v>
      </c>
      <c r="J80" s="83"/>
      <c r="K80" s="84"/>
      <c r="L80" s="84"/>
      <c r="M80" s="84"/>
      <c r="N80" s="93" t="s">
        <v>80</v>
      </c>
    </row>
    <row r="81" spans="2:14" ht="18" customHeight="1">
      <c r="B81" s="648"/>
      <c r="C81" s="651"/>
      <c r="D81" s="89">
        <f t="shared" si="14"/>
        <v>0</v>
      </c>
      <c r="E81" s="89">
        <f t="shared" si="15"/>
        <v>0</v>
      </c>
      <c r="F81" s="89">
        <f t="shared" si="16"/>
        <v>0</v>
      </c>
      <c r="G81" s="90"/>
      <c r="H81" s="91">
        <f t="shared" si="18"/>
        <v>0.224</v>
      </c>
      <c r="I81" s="94">
        <f t="shared" si="17"/>
        <v>0</v>
      </c>
      <c r="J81" s="95"/>
      <c r="K81" s="96"/>
      <c r="L81" s="96"/>
      <c r="M81" s="96"/>
      <c r="N81" s="93" t="s">
        <v>81</v>
      </c>
    </row>
    <row r="82" spans="2:14" ht="18" customHeight="1">
      <c r="B82" s="648"/>
      <c r="C82" s="639" t="s">
        <v>325</v>
      </c>
      <c r="D82" s="81">
        <f t="shared" si="14"/>
        <v>0</v>
      </c>
      <c r="E82" s="81">
        <f t="shared" si="15"/>
        <v>0</v>
      </c>
      <c r="F82" s="81">
        <f t="shared" si="16"/>
        <v>0</v>
      </c>
      <c r="G82" s="82"/>
      <c r="H82" s="31">
        <f t="shared" si="18"/>
        <v>0.224</v>
      </c>
      <c r="I82" s="59">
        <f t="shared" si="17"/>
        <v>0</v>
      </c>
      <c r="J82" s="83"/>
      <c r="K82" s="84"/>
      <c r="L82" s="84"/>
      <c r="M82" s="84"/>
      <c r="N82" s="88"/>
    </row>
    <row r="83" spans="2:14" ht="18" customHeight="1">
      <c r="B83" s="648"/>
      <c r="C83" s="645"/>
      <c r="D83" s="81">
        <f t="shared" si="14"/>
        <v>0</v>
      </c>
      <c r="E83" s="81">
        <f t="shared" si="15"/>
        <v>0</v>
      </c>
      <c r="F83" s="81">
        <f t="shared" si="16"/>
        <v>0</v>
      </c>
      <c r="G83" s="82"/>
      <c r="H83" s="31">
        <f t="shared" si="18"/>
        <v>0.224</v>
      </c>
      <c r="I83" s="59">
        <f t="shared" si="17"/>
        <v>0</v>
      </c>
      <c r="J83" s="83"/>
      <c r="K83" s="84"/>
      <c r="L83" s="84"/>
      <c r="M83" s="84"/>
      <c r="N83" s="88"/>
    </row>
    <row r="84" spans="2:14" ht="18" customHeight="1">
      <c r="B84" s="648"/>
      <c r="C84" s="645"/>
      <c r="D84" s="81">
        <f t="shared" si="14"/>
        <v>0</v>
      </c>
      <c r="E84" s="81">
        <f t="shared" si="15"/>
        <v>0</v>
      </c>
      <c r="F84" s="81">
        <f t="shared" si="16"/>
        <v>0</v>
      </c>
      <c r="G84" s="82"/>
      <c r="H84" s="31">
        <f t="shared" si="18"/>
        <v>0.224</v>
      </c>
      <c r="I84" s="59">
        <f t="shared" si="17"/>
        <v>0</v>
      </c>
      <c r="J84" s="83"/>
      <c r="K84" s="84"/>
      <c r="L84" s="84"/>
      <c r="M84" s="84"/>
      <c r="N84" s="76"/>
    </row>
    <row r="85" spans="2:14" ht="18" customHeight="1">
      <c r="B85" s="648"/>
      <c r="C85" s="645"/>
      <c r="D85" s="81">
        <f t="shared" si="14"/>
        <v>0</v>
      </c>
      <c r="E85" s="81">
        <f t="shared" si="15"/>
        <v>0</v>
      </c>
      <c r="F85" s="81">
        <f t="shared" si="16"/>
        <v>0</v>
      </c>
      <c r="G85" s="82"/>
      <c r="H85" s="31">
        <f t="shared" si="18"/>
        <v>0.224</v>
      </c>
      <c r="I85" s="59">
        <f t="shared" si="17"/>
        <v>0</v>
      </c>
      <c r="J85" s="83"/>
      <c r="K85" s="84"/>
      <c r="L85" s="84"/>
      <c r="M85" s="84"/>
      <c r="N85" s="76"/>
    </row>
    <row r="86" spans="2:14" ht="18" customHeight="1">
      <c r="B86" s="648"/>
      <c r="C86" s="645"/>
      <c r="D86" s="81">
        <f t="shared" si="14"/>
        <v>0</v>
      </c>
      <c r="E86" s="81">
        <f t="shared" si="15"/>
        <v>0</v>
      </c>
      <c r="F86" s="81">
        <f t="shared" si="16"/>
        <v>0</v>
      </c>
      <c r="G86" s="82"/>
      <c r="H86" s="31">
        <f t="shared" si="18"/>
        <v>0.224</v>
      </c>
      <c r="I86" s="59">
        <f t="shared" si="17"/>
        <v>0</v>
      </c>
      <c r="J86" s="85"/>
      <c r="K86" s="86"/>
      <c r="L86" s="86"/>
      <c r="M86" s="86"/>
      <c r="N86" s="76"/>
    </row>
    <row r="87" spans="2:14" ht="18" customHeight="1" thickBot="1">
      <c r="B87" s="648"/>
      <c r="C87" s="640"/>
      <c r="D87" s="81">
        <f t="shared" si="14"/>
        <v>0</v>
      </c>
      <c r="E87" s="81">
        <f t="shared" si="15"/>
        <v>0</v>
      </c>
      <c r="F87" s="81">
        <f t="shared" si="16"/>
        <v>0</v>
      </c>
      <c r="G87" s="82"/>
      <c r="H87" s="31">
        <f t="shared" si="18"/>
        <v>0.224</v>
      </c>
      <c r="I87" s="59">
        <f t="shared" si="17"/>
        <v>0</v>
      </c>
      <c r="J87" s="97"/>
      <c r="K87" s="98"/>
      <c r="L87" s="98"/>
      <c r="M87" s="98"/>
      <c r="N87" s="80"/>
    </row>
    <row r="88" spans="2:14" ht="18" customHeight="1">
      <c r="B88" s="48" t="s">
        <v>42</v>
      </c>
      <c r="C88" s="49">
        <f>SUMPRODUCT(F68:F87*G68:G87)</f>
        <v>2.7919999999999998</v>
      </c>
      <c r="D88" s="50" t="s">
        <v>43</v>
      </c>
      <c r="E88" s="49">
        <f>SUM(I68:I87)*1.1</f>
        <v>1.03125</v>
      </c>
      <c r="F88" s="50" t="s">
        <v>44</v>
      </c>
      <c r="G88" s="51">
        <f>(C$218+C$222)/1000</f>
        <v>39.781500000000001</v>
      </c>
      <c r="H88" s="52" t="s">
        <v>45</v>
      </c>
      <c r="I88" s="53">
        <f>ROUND(E88*G88,2)</f>
        <v>41.02</v>
      </c>
      <c r="J88" s="4"/>
      <c r="K88" s="4"/>
      <c r="L88" s="4"/>
      <c r="M88" s="4"/>
    </row>
    <row r="89" spans="2:14" ht="18" customHeight="1">
      <c r="B89" s="48" t="s">
        <v>46</v>
      </c>
      <c r="C89" s="50">
        <v>181.72</v>
      </c>
      <c r="D89" s="50" t="s">
        <v>47</v>
      </c>
      <c r="E89" s="49">
        <f>ROUND(C88*(C89/1000),2)</f>
        <v>0.51</v>
      </c>
      <c r="F89" s="50" t="s">
        <v>48</v>
      </c>
      <c r="G89" s="50">
        <f>G$23</f>
        <v>10</v>
      </c>
      <c r="H89" s="52" t="s">
        <v>49</v>
      </c>
      <c r="I89" s="53">
        <f>E89*G89</f>
        <v>5.0999999999999996</v>
      </c>
      <c r="J89" s="4"/>
      <c r="K89" s="4"/>
      <c r="L89" s="4"/>
      <c r="M89" s="4"/>
    </row>
    <row r="90" spans="2:14" ht="18" customHeight="1">
      <c r="B90" s="48" t="s">
        <v>50</v>
      </c>
      <c r="C90" s="50"/>
      <c r="D90" s="50" t="s">
        <v>51</v>
      </c>
      <c r="E90" s="49">
        <f>ROUND(C88*(C90/1000),2)</f>
        <v>0</v>
      </c>
      <c r="F90" s="50" t="s">
        <v>48</v>
      </c>
      <c r="G90" s="50">
        <f>G$24</f>
        <v>10</v>
      </c>
      <c r="H90" s="52" t="s">
        <v>49</v>
      </c>
      <c r="I90" s="53">
        <f>E90*G90</f>
        <v>0</v>
      </c>
      <c r="J90" s="4"/>
      <c r="K90" s="4"/>
      <c r="L90" s="4"/>
      <c r="M90" s="4"/>
    </row>
    <row r="91" spans="2:14" ht="18" customHeight="1">
      <c r="B91" s="23" t="s">
        <v>36</v>
      </c>
      <c r="C91" s="24" t="s">
        <v>14</v>
      </c>
      <c r="D91" s="24" t="s">
        <v>37</v>
      </c>
      <c r="E91" s="24" t="s">
        <v>38</v>
      </c>
      <c r="F91" s="24" t="s">
        <v>39</v>
      </c>
      <c r="G91" s="24" t="s">
        <v>8</v>
      </c>
      <c r="H91" s="24" t="s">
        <v>22</v>
      </c>
      <c r="I91" s="25" t="s">
        <v>40</v>
      </c>
      <c r="J91" s="4"/>
      <c r="K91" s="4"/>
      <c r="L91" s="4"/>
      <c r="M91" s="4"/>
    </row>
    <row r="92" spans="2:14" ht="18" customHeight="1">
      <c r="B92" s="648" t="s">
        <v>82</v>
      </c>
      <c r="C92" s="653" t="s">
        <v>326</v>
      </c>
      <c r="D92" s="57">
        <f>D26-90</f>
        <v>-90</v>
      </c>
      <c r="E92" s="57">
        <f>E26-90</f>
        <v>-90</v>
      </c>
      <c r="F92" s="57">
        <f>2*(D92+E92)/1000</f>
        <v>-0.36</v>
      </c>
      <c r="G92" s="31">
        <f>G26</f>
        <v>0</v>
      </c>
      <c r="H92" s="31">
        <v>0.27100000000000002</v>
      </c>
      <c r="I92" s="59">
        <f>ROUND(F92*G92*H92,3)</f>
        <v>0</v>
      </c>
    </row>
    <row r="93" spans="2:14" ht="18" customHeight="1">
      <c r="B93" s="648"/>
      <c r="C93" s="658"/>
      <c r="D93" s="57">
        <f t="shared" ref="D93:E96" si="19">D27-90</f>
        <v>-90</v>
      </c>
      <c r="E93" s="57">
        <f t="shared" si="19"/>
        <v>-90</v>
      </c>
      <c r="F93" s="57">
        <f>2*(D93+E93)/1000</f>
        <v>-0.36</v>
      </c>
      <c r="G93" s="31">
        <f>G27</f>
        <v>0</v>
      </c>
      <c r="H93" s="31">
        <f>H92</f>
        <v>0.27100000000000002</v>
      </c>
      <c r="I93" s="59">
        <f>ROUND(F93*G93*H93,3)</f>
        <v>0</v>
      </c>
      <c r="M93" s="42"/>
    </row>
    <row r="94" spans="2:14" ht="18" customHeight="1">
      <c r="B94" s="648"/>
      <c r="C94" s="658"/>
      <c r="D94" s="57">
        <f t="shared" si="19"/>
        <v>-90</v>
      </c>
      <c r="E94" s="57">
        <f t="shared" si="19"/>
        <v>-90</v>
      </c>
      <c r="F94" s="57">
        <f>2*(D94+E94)/1000</f>
        <v>-0.36</v>
      </c>
      <c r="G94" s="31">
        <f>G28</f>
        <v>0</v>
      </c>
      <c r="H94" s="31">
        <f>H93</f>
        <v>0.27100000000000002</v>
      </c>
      <c r="I94" s="59">
        <f>ROUND(F94*G94*H94,3)</f>
        <v>0</v>
      </c>
    </row>
    <row r="95" spans="2:14" ht="18" customHeight="1">
      <c r="B95" s="648"/>
      <c r="C95" s="658"/>
      <c r="D95" s="57">
        <f t="shared" si="19"/>
        <v>-90</v>
      </c>
      <c r="E95" s="57">
        <f t="shared" si="19"/>
        <v>-90</v>
      </c>
      <c r="F95" s="57">
        <f>2*(D95+E95)/1000</f>
        <v>-0.36</v>
      </c>
      <c r="G95" s="31">
        <f>G29</f>
        <v>0</v>
      </c>
      <c r="H95" s="31">
        <f>H94</f>
        <v>0.27100000000000002</v>
      </c>
      <c r="I95" s="59">
        <f>ROUND(F95*G95*H95,3)</f>
        <v>0</v>
      </c>
    </row>
    <row r="96" spans="2:14" ht="18" customHeight="1">
      <c r="B96" s="648"/>
      <c r="C96" s="659"/>
      <c r="D96" s="57">
        <f t="shared" si="19"/>
        <v>-90</v>
      </c>
      <c r="E96" s="57">
        <f t="shared" si="19"/>
        <v>-90</v>
      </c>
      <c r="F96" s="57">
        <f>2*(D96+E96)/1000</f>
        <v>-0.36</v>
      </c>
      <c r="G96" s="31">
        <f>G30</f>
        <v>0</v>
      </c>
      <c r="H96" s="31">
        <f>H95</f>
        <v>0.27100000000000002</v>
      </c>
      <c r="I96" s="59">
        <f>ROUND(F96*G96*H96,3)</f>
        <v>0</v>
      </c>
    </row>
    <row r="97" spans="2:13" ht="18" customHeight="1">
      <c r="B97" s="48" t="s">
        <v>42</v>
      </c>
      <c r="C97" s="49">
        <f>SUMPRODUCT(F92:F96*G92:G96)</f>
        <v>0</v>
      </c>
      <c r="D97" s="50" t="s">
        <v>43</v>
      </c>
      <c r="E97" s="49">
        <f>SUM(I92:I96)*1.1</f>
        <v>0</v>
      </c>
      <c r="F97" s="50" t="s">
        <v>44</v>
      </c>
      <c r="G97" s="51">
        <f>(C$218+C$222)/1000</f>
        <v>39.781500000000001</v>
      </c>
      <c r="H97" s="52" t="s">
        <v>45</v>
      </c>
      <c r="I97" s="53">
        <f>ROUND(E97*G97,2)</f>
        <v>0</v>
      </c>
    </row>
    <row r="98" spans="2:13" ht="18" customHeight="1">
      <c r="B98" s="48" t="s">
        <v>46</v>
      </c>
      <c r="C98" s="50">
        <v>186.72</v>
      </c>
      <c r="D98" s="50" t="s">
        <v>47</v>
      </c>
      <c r="E98" s="49">
        <f>ROUND(C97*(C98/1000),2)</f>
        <v>0</v>
      </c>
      <c r="F98" s="50" t="s">
        <v>48</v>
      </c>
      <c r="G98" s="50">
        <f>G$23</f>
        <v>10</v>
      </c>
      <c r="H98" s="52" t="s">
        <v>49</v>
      </c>
      <c r="I98" s="53">
        <f>E98*G98</f>
        <v>0</v>
      </c>
    </row>
    <row r="99" spans="2:13" ht="18" customHeight="1">
      <c r="B99" s="48" t="s">
        <v>50</v>
      </c>
      <c r="C99" s="50">
        <v>0</v>
      </c>
      <c r="D99" s="50" t="s">
        <v>51</v>
      </c>
      <c r="E99" s="49">
        <f>ROUND(C97*(C99/1000),2)</f>
        <v>0</v>
      </c>
      <c r="F99" s="50" t="s">
        <v>48</v>
      </c>
      <c r="G99" s="50">
        <f>G$24</f>
        <v>10</v>
      </c>
      <c r="H99" s="52" t="s">
        <v>49</v>
      </c>
      <c r="I99" s="53">
        <f>E99*G99</f>
        <v>0</v>
      </c>
    </row>
    <row r="100" spans="2:13" ht="18" customHeight="1">
      <c r="B100" s="23" t="s">
        <v>36</v>
      </c>
      <c r="C100" s="24" t="s">
        <v>14</v>
      </c>
      <c r="D100" s="24" t="s">
        <v>37</v>
      </c>
      <c r="E100" s="24" t="s">
        <v>38</v>
      </c>
      <c r="F100" s="24" t="s">
        <v>39</v>
      </c>
      <c r="G100" s="24" t="s">
        <v>8</v>
      </c>
      <c r="H100" s="24" t="s">
        <v>22</v>
      </c>
      <c r="I100" s="25" t="s">
        <v>40</v>
      </c>
    </row>
    <row r="101" spans="2:13" ht="18" customHeight="1">
      <c r="B101" s="648" t="s">
        <v>84</v>
      </c>
      <c r="C101" s="653" t="str">
        <f>C92</f>
        <v>SDL2281</v>
      </c>
      <c r="D101" s="57">
        <f>D35-122</f>
        <v>-122</v>
      </c>
      <c r="E101" s="57">
        <f t="shared" ref="D101:E103" si="20">E35-122</f>
        <v>-122</v>
      </c>
      <c r="F101" s="57">
        <f>2*(D101+E101)/1000</f>
        <v>-0.48799999999999999</v>
      </c>
      <c r="G101" s="31">
        <f>G35</f>
        <v>0</v>
      </c>
      <c r="H101" s="31">
        <f>H96</f>
        <v>0.27100000000000002</v>
      </c>
      <c r="I101" s="59">
        <f>ROUND(F101*G101*H101,3)</f>
        <v>0</v>
      </c>
    </row>
    <row r="102" spans="2:13" ht="18" customHeight="1">
      <c r="B102" s="648"/>
      <c r="C102" s="650"/>
      <c r="D102" s="57">
        <f t="shared" si="20"/>
        <v>-122</v>
      </c>
      <c r="E102" s="57">
        <f t="shared" si="20"/>
        <v>-122</v>
      </c>
      <c r="F102" s="57">
        <f>2*(D102+E102)/1000</f>
        <v>-0.48799999999999999</v>
      </c>
      <c r="G102" s="31">
        <f>G36</f>
        <v>0</v>
      </c>
      <c r="H102" s="31">
        <f>H101</f>
        <v>0.27100000000000002</v>
      </c>
      <c r="I102" s="59">
        <f>ROUND(F102*G102*H102,3)</f>
        <v>0</v>
      </c>
      <c r="K102" s="99"/>
      <c r="M102" s="99"/>
    </row>
    <row r="103" spans="2:13" ht="18" customHeight="1">
      <c r="B103" s="648"/>
      <c r="C103" s="651"/>
      <c r="D103" s="57">
        <f t="shared" si="20"/>
        <v>-122</v>
      </c>
      <c r="E103" s="57">
        <f t="shared" si="20"/>
        <v>-122</v>
      </c>
      <c r="F103" s="57">
        <f>2*(D103+E103)/1000</f>
        <v>-0.48799999999999999</v>
      </c>
      <c r="G103" s="31">
        <f>G37</f>
        <v>0</v>
      </c>
      <c r="H103" s="31">
        <f>H102</f>
        <v>0.27100000000000002</v>
      </c>
      <c r="I103" s="59">
        <f>ROUND(F103*G103*H103,3)</f>
        <v>0</v>
      </c>
      <c r="M103" s="99"/>
    </row>
    <row r="104" spans="2:13" ht="18" customHeight="1">
      <c r="B104" s="48" t="s">
        <v>42</v>
      </c>
      <c r="C104" s="49">
        <f>SUMPRODUCT(F101:F103*G101:G103)</f>
        <v>0</v>
      </c>
      <c r="D104" s="50" t="s">
        <v>43</v>
      </c>
      <c r="E104" s="49">
        <f>SUM(I101:I103)*1.1</f>
        <v>0</v>
      </c>
      <c r="F104" s="50" t="s">
        <v>44</v>
      </c>
      <c r="G104" s="51">
        <f>(C$218+C$222)/1000</f>
        <v>39.781500000000001</v>
      </c>
      <c r="H104" s="52" t="s">
        <v>45</v>
      </c>
      <c r="I104" s="53">
        <f>ROUND(E104*G104,2)</f>
        <v>0</v>
      </c>
    </row>
    <row r="105" spans="2:13" ht="18" customHeight="1">
      <c r="B105" s="48" t="s">
        <v>46</v>
      </c>
      <c r="C105" s="50">
        <v>186.72</v>
      </c>
      <c r="D105" s="50" t="s">
        <v>47</v>
      </c>
      <c r="E105" s="49">
        <f>ROUND(C104*(C105/1000),2)</f>
        <v>0</v>
      </c>
      <c r="F105" s="50" t="s">
        <v>48</v>
      </c>
      <c r="G105" s="50">
        <f>G$23</f>
        <v>10</v>
      </c>
      <c r="H105" s="52" t="s">
        <v>49</v>
      </c>
      <c r="I105" s="53">
        <f>ROUND(E105*G105,2)</f>
        <v>0</v>
      </c>
    </row>
    <row r="106" spans="2:13" ht="18" customHeight="1">
      <c r="B106" s="48" t="s">
        <v>50</v>
      </c>
      <c r="C106" s="50">
        <v>0</v>
      </c>
      <c r="D106" s="50" t="s">
        <v>51</v>
      </c>
      <c r="E106" s="49">
        <f>ROUND(C104*(C106/1000),2)</f>
        <v>0</v>
      </c>
      <c r="F106" s="50" t="s">
        <v>48</v>
      </c>
      <c r="G106" s="50">
        <f>G$24</f>
        <v>10</v>
      </c>
      <c r="H106" s="52" t="s">
        <v>49</v>
      </c>
      <c r="I106" s="53">
        <f>ROUND(E106*G106,2)</f>
        <v>0</v>
      </c>
    </row>
    <row r="107" spans="2:13" ht="18" customHeight="1">
      <c r="B107" s="23" t="s">
        <v>36</v>
      </c>
      <c r="C107" s="24" t="s">
        <v>14</v>
      </c>
      <c r="D107" s="24" t="s">
        <v>37</v>
      </c>
      <c r="E107" s="24" t="s">
        <v>38</v>
      </c>
      <c r="F107" s="24" t="s">
        <v>39</v>
      </c>
      <c r="G107" s="24" t="s">
        <v>8</v>
      </c>
      <c r="H107" s="24" t="s">
        <v>22</v>
      </c>
      <c r="I107" s="25" t="s">
        <v>40</v>
      </c>
    </row>
    <row r="108" spans="2:13" ht="18" customHeight="1">
      <c r="B108" s="648" t="s">
        <v>85</v>
      </c>
      <c r="C108" s="655" t="s">
        <v>86</v>
      </c>
      <c r="D108" s="31">
        <f>D6</f>
        <v>1020</v>
      </c>
      <c r="E108" s="31">
        <v>2050</v>
      </c>
      <c r="F108" s="31">
        <f>ROUND((D108+E108)*2/1000,4)</f>
        <v>6.14</v>
      </c>
      <c r="G108" s="31">
        <v>1</v>
      </c>
      <c r="H108" s="31">
        <v>1.857</v>
      </c>
      <c r="I108" s="59">
        <f>ROUND(F108*G108*H108,3)</f>
        <v>11.401999999999999</v>
      </c>
    </row>
    <row r="109" spans="2:13" ht="18" customHeight="1">
      <c r="B109" s="648"/>
      <c r="C109" s="656"/>
      <c r="D109" s="31"/>
      <c r="E109" s="31"/>
      <c r="F109" s="31">
        <f>ROUND((D109+E109)*2/1000,4)</f>
        <v>0</v>
      </c>
      <c r="G109" s="31"/>
      <c r="H109" s="31">
        <f>H108</f>
        <v>1.857</v>
      </c>
      <c r="I109" s="59">
        <f>ROUND(F109*G109*H109,3)</f>
        <v>0</v>
      </c>
      <c r="K109" s="42"/>
      <c r="L109" s="42"/>
      <c r="M109" s="42"/>
    </row>
    <row r="110" spans="2:13" ht="18" customHeight="1">
      <c r="B110" s="648"/>
      <c r="C110" s="656"/>
      <c r="D110" s="31"/>
      <c r="E110" s="31"/>
      <c r="F110" s="31">
        <f>ROUND((D110+E110)*2/1000,4)</f>
        <v>0</v>
      </c>
      <c r="G110" s="31"/>
      <c r="H110" s="31">
        <f>H109</f>
        <v>1.857</v>
      </c>
      <c r="I110" s="59">
        <f>ROUND(F110*G110*H110,3)</f>
        <v>0</v>
      </c>
      <c r="K110" s="42"/>
      <c r="L110" s="42"/>
      <c r="M110" s="42"/>
    </row>
    <row r="111" spans="2:13" ht="18" customHeight="1">
      <c r="B111" s="648"/>
      <c r="C111" s="657"/>
      <c r="D111" s="31"/>
      <c r="E111" s="31"/>
      <c r="F111" s="31">
        <f>ROUND((D111+E111)*2/1000,4)</f>
        <v>0</v>
      </c>
      <c r="G111" s="31"/>
      <c r="H111" s="31">
        <f>H110</f>
        <v>1.857</v>
      </c>
      <c r="I111" s="59">
        <f>ROUND(F111*G111*H111,3)</f>
        <v>0</v>
      </c>
      <c r="K111" s="42"/>
      <c r="L111" s="42"/>
      <c r="M111" s="42"/>
    </row>
    <row r="112" spans="2:13" ht="18" customHeight="1">
      <c r="B112" s="48" t="s">
        <v>42</v>
      </c>
      <c r="C112" s="49">
        <f>SUMPRODUCT(F108:F111*G108:G111)</f>
        <v>6.14</v>
      </c>
      <c r="D112" s="50" t="s">
        <v>43</v>
      </c>
      <c r="E112" s="49">
        <f>SUM(I108:I111)*1.1</f>
        <v>12.542199999999999</v>
      </c>
      <c r="F112" s="50" t="s">
        <v>44</v>
      </c>
      <c r="G112" s="51">
        <f>(C$218+C$219)/1000</f>
        <v>46.081499999999998</v>
      </c>
      <c r="H112" s="52" t="s">
        <v>45</v>
      </c>
      <c r="I112" s="53">
        <f>ROUND(E112*G112,2)</f>
        <v>577.96</v>
      </c>
      <c r="J112" s="243">
        <f>SUM(G108:G111)</f>
        <v>1</v>
      </c>
      <c r="K112" s="42"/>
      <c r="L112" s="42"/>
      <c r="M112" s="42"/>
    </row>
    <row r="113" spans="2:14" ht="18" customHeight="1">
      <c r="B113" s="48" t="s">
        <v>46</v>
      </c>
      <c r="C113" s="50">
        <v>241.03</v>
      </c>
      <c r="D113" s="50" t="s">
        <v>47</v>
      </c>
      <c r="E113" s="49">
        <f>ROUND(C112*(C113/1000),2)</f>
        <v>1.48</v>
      </c>
      <c r="F113" s="50" t="s">
        <v>48</v>
      </c>
      <c r="G113" s="50">
        <f>G$23</f>
        <v>10</v>
      </c>
      <c r="H113" s="52" t="s">
        <v>49</v>
      </c>
      <c r="I113" s="53">
        <f>E113*G113</f>
        <v>14.8</v>
      </c>
      <c r="K113" s="42"/>
      <c r="L113" s="42"/>
      <c r="M113" s="42"/>
    </row>
    <row r="114" spans="2:14" ht="18" customHeight="1" thickBot="1">
      <c r="B114" s="48" t="s">
        <v>50</v>
      </c>
      <c r="C114" s="50">
        <v>204.38</v>
      </c>
      <c r="D114" s="50" t="s">
        <v>51</v>
      </c>
      <c r="E114" s="49">
        <f>ROUND(C112*(C114/1000),2)</f>
        <v>1.25</v>
      </c>
      <c r="F114" s="50" t="s">
        <v>48</v>
      </c>
      <c r="G114" s="50">
        <f>G$24</f>
        <v>10</v>
      </c>
      <c r="H114" s="52" t="s">
        <v>49</v>
      </c>
      <c r="I114" s="53">
        <f>E114*G114</f>
        <v>12.5</v>
      </c>
    </row>
    <row r="115" spans="2:14" ht="18" customHeight="1" thickBot="1">
      <c r="B115" s="23" t="s">
        <v>36</v>
      </c>
      <c r="C115" s="24" t="s">
        <v>14</v>
      </c>
      <c r="D115" s="24" t="s">
        <v>37</v>
      </c>
      <c r="E115" s="24" t="s">
        <v>38</v>
      </c>
      <c r="F115" s="24" t="s">
        <v>39</v>
      </c>
      <c r="G115" s="24" t="s">
        <v>8</v>
      </c>
      <c r="H115" s="24" t="s">
        <v>22</v>
      </c>
      <c r="I115" s="25" t="s">
        <v>40</v>
      </c>
      <c r="J115" s="54" t="s">
        <v>2</v>
      </c>
      <c r="K115" s="55" t="s">
        <v>3</v>
      </c>
      <c r="L115" s="55" t="s">
        <v>61</v>
      </c>
      <c r="M115" s="55" t="s">
        <v>62</v>
      </c>
      <c r="N115" s="70" t="s">
        <v>14</v>
      </c>
    </row>
    <row r="116" spans="2:14" ht="18" customHeight="1">
      <c r="B116" s="648" t="s">
        <v>87</v>
      </c>
      <c r="C116" s="649" t="s">
        <v>88</v>
      </c>
      <c r="D116" s="57">
        <f t="shared" ref="D116:E118" si="21">J116-IF(L116=1,78,IF(L116=2,55.5,IF(L116=3,41,0)))</f>
        <v>469</v>
      </c>
      <c r="E116" s="57">
        <f t="shared" si="21"/>
        <v>1972</v>
      </c>
      <c r="F116" s="31">
        <f>ROUND((D116+E116)*2/1000,4)</f>
        <v>4.8819999999999997</v>
      </c>
      <c r="G116" s="31">
        <v>2</v>
      </c>
      <c r="H116" s="58">
        <v>2.456</v>
      </c>
      <c r="I116" s="59">
        <f>ROUND(F116*G116*H116,3)</f>
        <v>23.98</v>
      </c>
      <c r="J116" s="60">
        <f>D108/2</f>
        <v>510</v>
      </c>
      <c r="K116" s="61">
        <f>E108</f>
        <v>2050</v>
      </c>
      <c r="L116" s="61">
        <v>3</v>
      </c>
      <c r="M116" s="61">
        <v>1</v>
      </c>
      <c r="N116" s="76" t="s">
        <v>56</v>
      </c>
    </row>
    <row r="117" spans="2:14" ht="18" customHeight="1">
      <c r="B117" s="648"/>
      <c r="C117" s="650"/>
      <c r="D117" s="57">
        <f t="shared" si="21"/>
        <v>0</v>
      </c>
      <c r="E117" s="57">
        <f t="shared" si="21"/>
        <v>0</v>
      </c>
      <c r="F117" s="31">
        <f>ROUND((D117+E117)*2/1000,4)</f>
        <v>0</v>
      </c>
      <c r="G117" s="31">
        <v>0</v>
      </c>
      <c r="H117" s="58">
        <f>H116</f>
        <v>2.456</v>
      </c>
      <c r="I117" s="59">
        <f>ROUND(F117*G117*H117,3)</f>
        <v>0</v>
      </c>
      <c r="J117" s="60"/>
      <c r="K117" s="61"/>
      <c r="L117" s="61"/>
      <c r="M117" s="61"/>
      <c r="N117" s="76" t="s">
        <v>58</v>
      </c>
    </row>
    <row r="118" spans="2:14" ht="18" customHeight="1" thickBot="1">
      <c r="B118" s="648"/>
      <c r="C118" s="651"/>
      <c r="D118" s="57">
        <f t="shared" si="21"/>
        <v>0</v>
      </c>
      <c r="E118" s="57">
        <f t="shared" si="21"/>
        <v>0</v>
      </c>
      <c r="F118" s="31">
        <f>ROUND((D118+E118)*2/1000,4)</f>
        <v>0</v>
      </c>
      <c r="G118" s="31">
        <v>0</v>
      </c>
      <c r="H118" s="58">
        <f>H117</f>
        <v>2.456</v>
      </c>
      <c r="I118" s="59">
        <f>ROUND(F118*G118*H118,3)</f>
        <v>0</v>
      </c>
      <c r="J118" s="64"/>
      <c r="K118" s="65"/>
      <c r="L118" s="65"/>
      <c r="M118" s="65"/>
      <c r="N118" s="80" t="s">
        <v>89</v>
      </c>
    </row>
    <row r="119" spans="2:14" ht="18" customHeight="1">
      <c r="B119" s="48" t="s">
        <v>42</v>
      </c>
      <c r="C119" s="49">
        <f>SUMPRODUCT(F116:F118*G116:G118)</f>
        <v>9.7639999999999993</v>
      </c>
      <c r="D119" s="100" t="s">
        <v>43</v>
      </c>
      <c r="E119" s="100">
        <f>SUM(I116:I118)*1.1</f>
        <v>26.378000000000004</v>
      </c>
      <c r="F119" s="50" t="s">
        <v>44</v>
      </c>
      <c r="G119" s="51">
        <f>(C$218+C$219)/1000</f>
        <v>46.081499999999998</v>
      </c>
      <c r="H119" s="52" t="s">
        <v>45</v>
      </c>
      <c r="I119" s="53">
        <f>ROUND(E119*G119,2)</f>
        <v>1215.54</v>
      </c>
      <c r="J119" s="243">
        <f>SUM(G116:G118)</f>
        <v>2</v>
      </c>
      <c r="K119" s="4"/>
      <c r="L119" s="4"/>
      <c r="M119" s="4"/>
    </row>
    <row r="120" spans="2:14" ht="18" customHeight="1">
      <c r="B120" s="48" t="s">
        <v>46</v>
      </c>
      <c r="C120" s="50">
        <v>350.56</v>
      </c>
      <c r="D120" s="100" t="s">
        <v>47</v>
      </c>
      <c r="E120" s="100">
        <f>ROUND(C119*(C120/1000),2)</f>
        <v>3.42</v>
      </c>
      <c r="F120" s="50" t="s">
        <v>48</v>
      </c>
      <c r="G120" s="50">
        <f>G$23</f>
        <v>10</v>
      </c>
      <c r="H120" s="52" t="s">
        <v>49</v>
      </c>
      <c r="I120" s="53">
        <f>E120*G120</f>
        <v>34.200000000000003</v>
      </c>
      <c r="J120" s="4"/>
      <c r="K120" s="4"/>
      <c r="L120" s="4"/>
      <c r="M120" s="4"/>
    </row>
    <row r="121" spans="2:14" ht="18" customHeight="1" thickBot="1">
      <c r="B121" s="48" t="s">
        <v>50</v>
      </c>
      <c r="C121" s="50">
        <v>189.03</v>
      </c>
      <c r="D121" s="100" t="s">
        <v>51</v>
      </c>
      <c r="E121" s="100">
        <f>ROUND(C119*(C121/1000),2)</f>
        <v>1.85</v>
      </c>
      <c r="F121" s="50" t="s">
        <v>48</v>
      </c>
      <c r="G121" s="50">
        <f>G$24</f>
        <v>10</v>
      </c>
      <c r="H121" s="52" t="s">
        <v>49</v>
      </c>
      <c r="I121" s="53">
        <f>E121*G121</f>
        <v>18.5</v>
      </c>
      <c r="J121" s="4"/>
    </row>
    <row r="122" spans="2:14" ht="18" customHeight="1" thickBot="1">
      <c r="B122" s="23" t="s">
        <v>36</v>
      </c>
      <c r="C122" s="24" t="s">
        <v>14</v>
      </c>
      <c r="D122" s="101" t="s">
        <v>37</v>
      </c>
      <c r="E122" s="101" t="s">
        <v>38</v>
      </c>
      <c r="F122" s="24" t="s">
        <v>39</v>
      </c>
      <c r="G122" s="24" t="s">
        <v>8</v>
      </c>
      <c r="H122" s="24" t="s">
        <v>22</v>
      </c>
      <c r="I122" s="25" t="s">
        <v>40</v>
      </c>
      <c r="J122" s="54" t="s">
        <v>2</v>
      </c>
      <c r="K122" s="55" t="s">
        <v>3</v>
      </c>
      <c r="L122" s="55" t="s">
        <v>61</v>
      </c>
      <c r="M122" s="55" t="s">
        <v>62</v>
      </c>
      <c r="N122" s="70" t="s">
        <v>14</v>
      </c>
    </row>
    <row r="123" spans="2:14" ht="18" customHeight="1">
      <c r="B123" s="648" t="s">
        <v>90</v>
      </c>
      <c r="C123" s="649" t="s">
        <v>91</v>
      </c>
      <c r="D123" s="57">
        <f t="shared" ref="D123:E125" si="22">J123-IF(L123=1,78,IF(L123=2,55.5,IF(L123=3,41,0)))</f>
        <v>0</v>
      </c>
      <c r="E123" s="57">
        <f t="shared" si="22"/>
        <v>0</v>
      </c>
      <c r="F123" s="31">
        <f>ROUND((D123+E123)*2/1000,4)</f>
        <v>0</v>
      </c>
      <c r="G123" s="31"/>
      <c r="H123" s="58">
        <v>2.4710000000000001</v>
      </c>
      <c r="I123" s="59">
        <f>ROUND(F123*G123*H123,3)</f>
        <v>0</v>
      </c>
      <c r="J123" s="60"/>
      <c r="K123" s="61"/>
      <c r="L123" s="61"/>
      <c r="M123" s="61"/>
      <c r="N123" s="76" t="s">
        <v>56</v>
      </c>
    </row>
    <row r="124" spans="2:14" ht="18" customHeight="1">
      <c r="B124" s="648"/>
      <c r="C124" s="650"/>
      <c r="D124" s="57">
        <f t="shared" si="22"/>
        <v>0</v>
      </c>
      <c r="E124" s="57">
        <f t="shared" si="22"/>
        <v>0</v>
      </c>
      <c r="F124" s="31">
        <f>ROUND((D124+E124)*2/1000,4)</f>
        <v>0</v>
      </c>
      <c r="G124" s="31"/>
      <c r="H124" s="58">
        <f>H123</f>
        <v>2.4710000000000001</v>
      </c>
      <c r="I124" s="59">
        <f>ROUND(F124*G124*H124,3)</f>
        <v>0</v>
      </c>
      <c r="J124" s="60"/>
      <c r="K124" s="61"/>
      <c r="L124" s="61"/>
      <c r="M124" s="61"/>
      <c r="N124" s="76" t="s">
        <v>58</v>
      </c>
    </row>
    <row r="125" spans="2:14" ht="18" customHeight="1" thickBot="1">
      <c r="B125" s="648"/>
      <c r="C125" s="651"/>
      <c r="D125" s="57">
        <f t="shared" si="22"/>
        <v>0</v>
      </c>
      <c r="E125" s="57">
        <f t="shared" si="22"/>
        <v>0</v>
      </c>
      <c r="F125" s="31">
        <f>ROUND((D125+E125)*2/1000,4)</f>
        <v>0</v>
      </c>
      <c r="G125" s="31"/>
      <c r="H125" s="58">
        <f>H124</f>
        <v>2.4710000000000001</v>
      </c>
      <c r="I125" s="59">
        <f>ROUND(F125*G125*H125,3)</f>
        <v>0</v>
      </c>
      <c r="J125" s="64"/>
      <c r="K125" s="65"/>
      <c r="L125" s="65"/>
      <c r="M125" s="65"/>
      <c r="N125" s="80" t="s">
        <v>89</v>
      </c>
    </row>
    <row r="126" spans="2:14" ht="18" customHeight="1">
      <c r="B126" s="48" t="s">
        <v>42</v>
      </c>
      <c r="C126" s="49">
        <f>SUMPRODUCT(F123:F125*G123:G125)</f>
        <v>0</v>
      </c>
      <c r="D126" s="50" t="s">
        <v>43</v>
      </c>
      <c r="E126" s="49">
        <f>SUM(I123:I125)*1.1</f>
        <v>0</v>
      </c>
      <c r="F126" s="50" t="s">
        <v>44</v>
      </c>
      <c r="G126" s="51">
        <f>(C$218+C$221)/1000</f>
        <v>46.081499999999998</v>
      </c>
      <c r="H126" s="52" t="s">
        <v>45</v>
      </c>
      <c r="I126" s="53">
        <f>ROUND(E126*G126,2)</f>
        <v>0</v>
      </c>
      <c r="J126" s="243">
        <f>SUM(G123:G125)</f>
        <v>0</v>
      </c>
      <c r="K126" s="4"/>
      <c r="L126" s="4"/>
      <c r="M126" s="4"/>
    </row>
    <row r="127" spans="2:14" ht="18" customHeight="1">
      <c r="B127" s="48" t="s">
        <v>46</v>
      </c>
      <c r="C127" s="50">
        <v>236.53</v>
      </c>
      <c r="D127" s="50" t="s">
        <v>47</v>
      </c>
      <c r="E127" s="49">
        <f>ROUND(C126*(C127/1000),2)</f>
        <v>0</v>
      </c>
      <c r="F127" s="50" t="s">
        <v>48</v>
      </c>
      <c r="G127" s="50">
        <f>G$23</f>
        <v>10</v>
      </c>
      <c r="H127" s="52" t="s">
        <v>49</v>
      </c>
      <c r="I127" s="53">
        <f>E127*G127</f>
        <v>0</v>
      </c>
      <c r="J127" s="4"/>
      <c r="K127" s="4"/>
      <c r="L127" s="4"/>
      <c r="M127" s="4"/>
    </row>
    <row r="128" spans="2:14" ht="18" customHeight="1" thickBot="1">
      <c r="B128" s="48" t="s">
        <v>50</v>
      </c>
      <c r="C128" s="50">
        <v>311.02999999999997</v>
      </c>
      <c r="D128" s="50" t="s">
        <v>51</v>
      </c>
      <c r="E128" s="49">
        <f>ROUND(C126*(C128/1000),2)</f>
        <v>0</v>
      </c>
      <c r="F128" s="50" t="s">
        <v>48</v>
      </c>
      <c r="G128" s="50">
        <f>G$24</f>
        <v>10</v>
      </c>
      <c r="H128" s="52" t="s">
        <v>49</v>
      </c>
      <c r="I128" s="53">
        <f>E128*G128</f>
        <v>0</v>
      </c>
      <c r="J128" s="4"/>
    </row>
    <row r="129" spans="2:14" ht="18" customHeight="1" thickBot="1">
      <c r="B129" s="23" t="s">
        <v>36</v>
      </c>
      <c r="C129" s="24" t="s">
        <v>14</v>
      </c>
      <c r="D129" s="24" t="s">
        <v>37</v>
      </c>
      <c r="E129" s="24" t="s">
        <v>71</v>
      </c>
      <c r="F129" s="24" t="s">
        <v>38</v>
      </c>
      <c r="G129" s="24" t="s">
        <v>72</v>
      </c>
      <c r="H129" s="24" t="s">
        <v>22</v>
      </c>
      <c r="I129" s="25" t="s">
        <v>40</v>
      </c>
      <c r="J129" s="54" t="s">
        <v>2</v>
      </c>
      <c r="K129" s="55" t="s">
        <v>3</v>
      </c>
      <c r="L129" s="55" t="s">
        <v>61</v>
      </c>
      <c r="M129" s="55" t="s">
        <v>62</v>
      </c>
      <c r="N129" s="70" t="s">
        <v>14</v>
      </c>
    </row>
    <row r="130" spans="2:14" ht="18" customHeight="1">
      <c r="B130" s="648" t="s">
        <v>92</v>
      </c>
      <c r="C130" s="649" t="s">
        <v>93</v>
      </c>
      <c r="D130" s="57">
        <f>J130-IF(L130=1,81,IF(L130=2,58.5,IF(L130=3,36,0)))</f>
        <v>0</v>
      </c>
      <c r="E130" s="57">
        <v>0</v>
      </c>
      <c r="F130" s="57">
        <f>K130-IF(M130=1,81,IF(M130=2,58.5,IF(M130=3,36,0)))</f>
        <v>0</v>
      </c>
      <c r="G130" s="31">
        <v>0</v>
      </c>
      <c r="H130" s="31">
        <v>2.0489999999999999</v>
      </c>
      <c r="I130" s="59">
        <f>ROUND((D130*E130+F130*G130)/1000*H130,3)</f>
        <v>0</v>
      </c>
      <c r="J130" s="60"/>
      <c r="K130" s="61"/>
      <c r="L130" s="61"/>
      <c r="M130" s="61"/>
      <c r="N130" s="76" t="s">
        <v>56</v>
      </c>
    </row>
    <row r="131" spans="2:14" ht="18" customHeight="1">
      <c r="B131" s="648"/>
      <c r="C131" s="650"/>
      <c r="D131" s="57">
        <f>J131-IF(L131=1,81,IF(L131=2,58.5,IF(L131=3,36,0)))</f>
        <v>0</v>
      </c>
      <c r="E131" s="57">
        <v>0</v>
      </c>
      <c r="F131" s="57">
        <f>K131-IF(M131=1,81,IF(M131=2,58.5,IF(M131=3,36,0)))</f>
        <v>0</v>
      </c>
      <c r="G131" s="31"/>
      <c r="H131" s="31">
        <f>H130</f>
        <v>2.0489999999999999</v>
      </c>
      <c r="I131" s="59">
        <f>ROUND((D131*E131+F131*G131)/1000*H131,3)</f>
        <v>0</v>
      </c>
      <c r="J131" s="60"/>
      <c r="K131" s="61"/>
      <c r="L131" s="61"/>
      <c r="M131" s="61"/>
      <c r="N131" s="76" t="s">
        <v>58</v>
      </c>
    </row>
    <row r="132" spans="2:14" ht="18" customHeight="1" thickBot="1">
      <c r="B132" s="648"/>
      <c r="C132" s="651"/>
      <c r="D132" s="57">
        <f>J132-IF(L132=1,81,IF(L132=2,58.5,IF(L132=3,36,0)))</f>
        <v>0</v>
      </c>
      <c r="E132" s="57"/>
      <c r="F132" s="57">
        <f>K132-IF(M132=1,81,IF(M132=2,58.5,IF(M132=3,36,0)))</f>
        <v>0</v>
      </c>
      <c r="G132" s="31"/>
      <c r="H132" s="31">
        <f>H131</f>
        <v>2.0489999999999999</v>
      </c>
      <c r="I132" s="59">
        <f>ROUND((D132*E132+F132*G132)/1000*H132,3)</f>
        <v>0</v>
      </c>
      <c r="J132" s="64"/>
      <c r="K132" s="65"/>
      <c r="L132" s="65"/>
      <c r="M132" s="65"/>
      <c r="N132" s="80" t="s">
        <v>89</v>
      </c>
    </row>
    <row r="133" spans="2:14" ht="18" customHeight="1">
      <c r="B133" s="48" t="s">
        <v>42</v>
      </c>
      <c r="C133" s="49">
        <f>SUMPRODUCT(D130:D132*E130:E132+F130:F132*G130:G132)/1000</f>
        <v>0</v>
      </c>
      <c r="D133" s="50" t="s">
        <v>43</v>
      </c>
      <c r="E133" s="49">
        <f>SUM(I130:I132)*1.1</f>
        <v>0</v>
      </c>
      <c r="F133" s="50" t="s">
        <v>44</v>
      </c>
      <c r="G133" s="51">
        <f>(C$218+C$219)/1000</f>
        <v>46.081499999999998</v>
      </c>
      <c r="H133" s="52" t="s">
        <v>45</v>
      </c>
      <c r="I133" s="53">
        <f>ROUND(E133*G133,2)</f>
        <v>0</v>
      </c>
      <c r="J133" s="243">
        <f>SUM(G130:G132)+SUM(E130:E132)</f>
        <v>0</v>
      </c>
    </row>
    <row r="134" spans="2:14" ht="18" customHeight="1">
      <c r="B134" s="48" t="s">
        <v>46</v>
      </c>
      <c r="C134" s="50">
        <v>298.42</v>
      </c>
      <c r="D134" s="50" t="s">
        <v>47</v>
      </c>
      <c r="E134" s="49">
        <f>ROUND(C133*(C134/1000),2)</f>
        <v>0</v>
      </c>
      <c r="F134" s="50" t="s">
        <v>48</v>
      </c>
      <c r="G134" s="50">
        <f>G$23</f>
        <v>10</v>
      </c>
      <c r="H134" s="52" t="s">
        <v>49</v>
      </c>
      <c r="I134" s="53">
        <f>ROUND(E134*G134,2)</f>
        <v>0</v>
      </c>
    </row>
    <row r="135" spans="2:14" ht="18" customHeight="1">
      <c r="B135" s="48" t="s">
        <v>50</v>
      </c>
      <c r="C135" s="50">
        <v>208.08</v>
      </c>
      <c r="D135" s="50" t="s">
        <v>51</v>
      </c>
      <c r="E135" s="49">
        <f>ROUND(C133*(C135/1000),2)</f>
        <v>0</v>
      </c>
      <c r="F135" s="50" t="s">
        <v>48</v>
      </c>
      <c r="G135" s="50">
        <f>G$24</f>
        <v>10</v>
      </c>
      <c r="H135" s="52" t="s">
        <v>49</v>
      </c>
      <c r="I135" s="53">
        <f>ROUND(E135*G135,2)</f>
        <v>0</v>
      </c>
    </row>
    <row r="136" spans="2:14" ht="18" customHeight="1">
      <c r="B136" s="23" t="s">
        <v>36</v>
      </c>
      <c r="C136" s="24" t="s">
        <v>14</v>
      </c>
      <c r="D136" s="652" t="s">
        <v>38</v>
      </c>
      <c r="E136" s="652"/>
      <c r="F136" s="652"/>
      <c r="G136" s="24" t="s">
        <v>72</v>
      </c>
      <c r="H136" s="24" t="s">
        <v>22</v>
      </c>
      <c r="I136" s="25" t="s">
        <v>40</v>
      </c>
    </row>
    <row r="137" spans="2:14" ht="18" customHeight="1">
      <c r="B137" s="648" t="s">
        <v>94</v>
      </c>
      <c r="C137" s="649" t="s">
        <v>95</v>
      </c>
      <c r="D137" s="654">
        <f>E116</f>
        <v>1972</v>
      </c>
      <c r="E137" s="646"/>
      <c r="F137" s="646"/>
      <c r="G137" s="31">
        <v>1</v>
      </c>
      <c r="H137" s="31">
        <v>1.3360000000000001</v>
      </c>
      <c r="I137" s="59">
        <f>ROUND(D137*H137*G137/1000,3)</f>
        <v>2.6349999999999998</v>
      </c>
    </row>
    <row r="138" spans="2:14" ht="18" customHeight="1">
      <c r="B138" s="648"/>
      <c r="C138" s="651"/>
      <c r="D138" s="654"/>
      <c r="E138" s="646"/>
      <c r="F138" s="646"/>
      <c r="G138" s="31"/>
      <c r="H138" s="31">
        <f>H137</f>
        <v>1.3360000000000001</v>
      </c>
      <c r="I138" s="59">
        <f>ROUND(D138*H138*G138/1000,3)</f>
        <v>0</v>
      </c>
    </row>
    <row r="139" spans="2:14" ht="18" customHeight="1">
      <c r="B139" s="48" t="s">
        <v>42</v>
      </c>
      <c r="C139" s="49">
        <f>SUMPRODUCT(D137:F138*G137:G138)/1000</f>
        <v>1.972</v>
      </c>
      <c r="D139" s="50" t="s">
        <v>43</v>
      </c>
      <c r="E139" s="49">
        <f>SUM(I137:I138)*1.1</f>
        <v>2.8984999999999999</v>
      </c>
      <c r="F139" s="50" t="s">
        <v>44</v>
      </c>
      <c r="G139" s="51">
        <f>(C$218+C$219)/1000</f>
        <v>46.081499999999998</v>
      </c>
      <c r="H139" s="52" t="s">
        <v>45</v>
      </c>
      <c r="I139" s="53">
        <f>ROUND(E139*G139,2)</f>
        <v>133.57</v>
      </c>
    </row>
    <row r="140" spans="2:14" ht="18" customHeight="1">
      <c r="B140" s="48" t="s">
        <v>46</v>
      </c>
      <c r="C140" s="50">
        <v>143.24</v>
      </c>
      <c r="D140" s="50" t="s">
        <v>47</v>
      </c>
      <c r="E140" s="49">
        <f>ROUND(C139*(C140/1000),2)</f>
        <v>0.28000000000000003</v>
      </c>
      <c r="F140" s="50" t="s">
        <v>48</v>
      </c>
      <c r="G140" s="50">
        <f>G$23</f>
        <v>10</v>
      </c>
      <c r="H140" s="52" t="s">
        <v>49</v>
      </c>
      <c r="I140" s="53">
        <f>E140*G140</f>
        <v>2.8000000000000003</v>
      </c>
    </row>
    <row r="141" spans="2:14" ht="18" customHeight="1">
      <c r="B141" s="48" t="s">
        <v>50</v>
      </c>
      <c r="C141" s="50">
        <v>85.04</v>
      </c>
      <c r="D141" s="50" t="s">
        <v>51</v>
      </c>
      <c r="E141" s="49">
        <f>ROUND(C139*(C141/1000),2)</f>
        <v>0.17</v>
      </c>
      <c r="F141" s="50" t="s">
        <v>48</v>
      </c>
      <c r="G141" s="50">
        <f>G$24</f>
        <v>10</v>
      </c>
      <c r="H141" s="52" t="s">
        <v>49</v>
      </c>
      <c r="I141" s="53">
        <f>E141*G141</f>
        <v>1.7000000000000002</v>
      </c>
    </row>
    <row r="142" spans="2:14" ht="18" customHeight="1">
      <c r="B142" s="23" t="s">
        <v>36</v>
      </c>
      <c r="C142" s="24" t="s">
        <v>14</v>
      </c>
      <c r="D142" s="24" t="s">
        <v>37</v>
      </c>
      <c r="E142" s="24" t="s">
        <v>38</v>
      </c>
      <c r="F142" s="24" t="s">
        <v>39</v>
      </c>
      <c r="G142" s="24" t="s">
        <v>8</v>
      </c>
      <c r="H142" s="24" t="s">
        <v>22</v>
      </c>
      <c r="I142" s="25" t="s">
        <v>40</v>
      </c>
    </row>
    <row r="143" spans="2:14" ht="18" customHeight="1">
      <c r="B143" s="648" t="s">
        <v>96</v>
      </c>
      <c r="C143" s="653" t="s">
        <v>83</v>
      </c>
      <c r="D143" s="57">
        <f t="shared" ref="D143:E145" si="23">D116-154</f>
        <v>315</v>
      </c>
      <c r="E143" s="57">
        <f t="shared" si="23"/>
        <v>1818</v>
      </c>
      <c r="F143" s="57">
        <f>(D143+E143)*2/1000</f>
        <v>4.266</v>
      </c>
      <c r="G143" s="31">
        <f>G116</f>
        <v>2</v>
      </c>
      <c r="H143" s="31">
        <v>0.27100000000000002</v>
      </c>
      <c r="I143" s="59">
        <f>ROUND((F143*G143)*H143,3)</f>
        <v>2.3119999999999998</v>
      </c>
    </row>
    <row r="144" spans="2:14" ht="18" customHeight="1">
      <c r="B144" s="648"/>
      <c r="C144" s="650"/>
      <c r="D144" s="57">
        <f t="shared" si="23"/>
        <v>-154</v>
      </c>
      <c r="E144" s="57">
        <f t="shared" si="23"/>
        <v>-154</v>
      </c>
      <c r="F144" s="57">
        <f>(D144+E144)*2/1000</f>
        <v>-0.61599999999999999</v>
      </c>
      <c r="G144" s="31">
        <f>G117</f>
        <v>0</v>
      </c>
      <c r="H144" s="31">
        <f>H143</f>
        <v>0.27100000000000002</v>
      </c>
      <c r="I144" s="59">
        <f>ROUND((F144*G144)*H144,3)</f>
        <v>0</v>
      </c>
    </row>
    <row r="145" spans="2:14" ht="18" customHeight="1">
      <c r="B145" s="648"/>
      <c r="C145" s="651"/>
      <c r="D145" s="57">
        <f t="shared" si="23"/>
        <v>-154</v>
      </c>
      <c r="E145" s="57">
        <f t="shared" si="23"/>
        <v>-154</v>
      </c>
      <c r="F145" s="57">
        <f>(D145+E145)*2/1000</f>
        <v>-0.61599999999999999</v>
      </c>
      <c r="G145" s="31">
        <f>G118</f>
        <v>0</v>
      </c>
      <c r="H145" s="31">
        <f>H144</f>
        <v>0.27100000000000002</v>
      </c>
      <c r="I145" s="59">
        <f>ROUND((F145*G145)*H145,3)</f>
        <v>0</v>
      </c>
    </row>
    <row r="146" spans="2:14" ht="18" customHeight="1">
      <c r="B146" s="48" t="s">
        <v>42</v>
      </c>
      <c r="C146" s="49">
        <f>SUMPRODUCT(F143:F145*G143:G145)</f>
        <v>8.532</v>
      </c>
      <c r="D146" s="50" t="s">
        <v>43</v>
      </c>
      <c r="E146" s="49">
        <f>SUM(I143:I145)*1.1</f>
        <v>2.5432000000000001</v>
      </c>
      <c r="F146" s="50" t="s">
        <v>44</v>
      </c>
      <c r="G146" s="51">
        <f>(C$218+C$222)/1000</f>
        <v>39.781500000000001</v>
      </c>
      <c r="H146" s="52" t="s">
        <v>45</v>
      </c>
      <c r="I146" s="53">
        <f>ROUND(E146*G146,2)</f>
        <v>101.17</v>
      </c>
    </row>
    <row r="147" spans="2:14" ht="18" customHeight="1">
      <c r="B147" s="48" t="s">
        <v>46</v>
      </c>
      <c r="C147" s="50">
        <v>186.72</v>
      </c>
      <c r="D147" s="50" t="s">
        <v>47</v>
      </c>
      <c r="E147" s="49">
        <f>ROUND(C146*(C147/1000),2)</f>
        <v>1.59</v>
      </c>
      <c r="F147" s="50" t="s">
        <v>48</v>
      </c>
      <c r="G147" s="50">
        <f>G$23</f>
        <v>10</v>
      </c>
      <c r="H147" s="52" t="s">
        <v>49</v>
      </c>
      <c r="I147" s="53">
        <f>E147*G147</f>
        <v>15.9</v>
      </c>
      <c r="K147" s="42"/>
      <c r="L147" s="42"/>
      <c r="M147" s="42"/>
    </row>
    <row r="148" spans="2:14" ht="18" customHeight="1">
      <c r="B148" s="48" t="s">
        <v>50</v>
      </c>
      <c r="C148" s="50">
        <v>0</v>
      </c>
      <c r="D148" s="50" t="s">
        <v>51</v>
      </c>
      <c r="E148" s="49">
        <f>ROUND(C146*(C148/1000),2)</f>
        <v>0</v>
      </c>
      <c r="F148" s="50" t="s">
        <v>48</v>
      </c>
      <c r="G148" s="50">
        <f>G$24</f>
        <v>10</v>
      </c>
      <c r="H148" s="52" t="s">
        <v>49</v>
      </c>
      <c r="I148" s="53">
        <f>E148*G148</f>
        <v>0</v>
      </c>
      <c r="K148" s="42"/>
      <c r="L148" s="42"/>
      <c r="M148" s="42"/>
    </row>
    <row r="149" spans="2:14" ht="18" customHeight="1">
      <c r="B149" s="23" t="s">
        <v>36</v>
      </c>
      <c r="C149" s="24" t="s">
        <v>14</v>
      </c>
      <c r="D149" s="24" t="s">
        <v>37</v>
      </c>
      <c r="E149" s="24" t="s">
        <v>38</v>
      </c>
      <c r="F149" s="24" t="s">
        <v>39</v>
      </c>
      <c r="G149" s="24" t="s">
        <v>8</v>
      </c>
      <c r="H149" s="24" t="s">
        <v>22</v>
      </c>
      <c r="I149" s="25" t="s">
        <v>40</v>
      </c>
      <c r="K149" s="42"/>
      <c r="L149" s="42"/>
      <c r="M149" s="42"/>
    </row>
    <row r="150" spans="2:14" ht="18" customHeight="1">
      <c r="B150" s="648" t="s">
        <v>97</v>
      </c>
      <c r="C150" s="653" t="s">
        <v>83</v>
      </c>
      <c r="D150" s="57">
        <f t="shared" ref="D150:E152" si="24">D123-160</f>
        <v>-160</v>
      </c>
      <c r="E150" s="57">
        <f t="shared" si="24"/>
        <v>-160</v>
      </c>
      <c r="F150" s="57">
        <f>(D150+E150)*2/1000</f>
        <v>-0.64</v>
      </c>
      <c r="G150" s="31">
        <f>G123</f>
        <v>0</v>
      </c>
      <c r="H150" s="31">
        <f>H145</f>
        <v>0.27100000000000002</v>
      </c>
      <c r="I150" s="59">
        <f>ROUND((F150*G150)*H150,3)</f>
        <v>0</v>
      </c>
      <c r="K150" s="42"/>
      <c r="L150" s="42"/>
      <c r="M150" s="42"/>
    </row>
    <row r="151" spans="2:14" ht="18" customHeight="1">
      <c r="B151" s="648"/>
      <c r="C151" s="650"/>
      <c r="D151" s="57">
        <f t="shared" si="24"/>
        <v>-160</v>
      </c>
      <c r="E151" s="57">
        <f t="shared" si="24"/>
        <v>-160</v>
      </c>
      <c r="F151" s="57">
        <f>(D151+E151)*2/1000</f>
        <v>-0.64</v>
      </c>
      <c r="G151" s="31">
        <f>G124</f>
        <v>0</v>
      </c>
      <c r="H151" s="31">
        <f>H150</f>
        <v>0.27100000000000002</v>
      </c>
      <c r="I151" s="59">
        <f>ROUND((F151*G151)*H151,3)</f>
        <v>0</v>
      </c>
      <c r="K151" s="42"/>
      <c r="L151" s="42"/>
      <c r="M151" s="42"/>
    </row>
    <row r="152" spans="2:14" ht="18" customHeight="1">
      <c r="B152" s="648"/>
      <c r="C152" s="651"/>
      <c r="D152" s="57">
        <f t="shared" si="24"/>
        <v>-160</v>
      </c>
      <c r="E152" s="57">
        <f t="shared" si="24"/>
        <v>-160</v>
      </c>
      <c r="F152" s="57">
        <f>(D152+E152)*2/1000</f>
        <v>-0.64</v>
      </c>
      <c r="G152" s="31">
        <f>G125</f>
        <v>0</v>
      </c>
      <c r="H152" s="31">
        <f>H151</f>
        <v>0.27100000000000002</v>
      </c>
      <c r="I152" s="59">
        <f>ROUND((F152*G152)*H152,3)</f>
        <v>0</v>
      </c>
      <c r="K152" s="42"/>
      <c r="L152" s="42"/>
      <c r="M152" s="42"/>
    </row>
    <row r="153" spans="2:14" ht="18" customHeight="1">
      <c r="B153" s="48" t="s">
        <v>42</v>
      </c>
      <c r="C153" s="49">
        <f>SUMPRODUCT(F150:F152*G150:G152)</f>
        <v>0</v>
      </c>
      <c r="D153" s="50" t="s">
        <v>43</v>
      </c>
      <c r="E153" s="49">
        <f>SUM(I150:I152)*1.1</f>
        <v>0</v>
      </c>
      <c r="F153" s="50" t="s">
        <v>44</v>
      </c>
      <c r="G153" s="51">
        <f>(C$218+C$222)/1000</f>
        <v>39.781500000000001</v>
      </c>
      <c r="H153" s="52" t="s">
        <v>45</v>
      </c>
      <c r="I153" s="53">
        <f>ROUND(E153*G153,2)</f>
        <v>0</v>
      </c>
      <c r="K153" s="42"/>
      <c r="L153" s="42"/>
      <c r="M153" s="42"/>
    </row>
    <row r="154" spans="2:14" ht="18" customHeight="1">
      <c r="B154" s="48" t="s">
        <v>46</v>
      </c>
      <c r="C154" s="50">
        <v>186.72</v>
      </c>
      <c r="D154" s="50" t="s">
        <v>47</v>
      </c>
      <c r="E154" s="49">
        <f>ROUND(C153*(C154/1000),2)</f>
        <v>0</v>
      </c>
      <c r="F154" s="50" t="s">
        <v>48</v>
      </c>
      <c r="G154" s="50">
        <f>G$23</f>
        <v>10</v>
      </c>
      <c r="H154" s="52" t="s">
        <v>49</v>
      </c>
      <c r="I154" s="53">
        <f>E154*G154</f>
        <v>0</v>
      </c>
    </row>
    <row r="155" spans="2:14" ht="18" customHeight="1" thickBot="1">
      <c r="B155" s="48" t="s">
        <v>50</v>
      </c>
      <c r="C155" s="50">
        <v>0</v>
      </c>
      <c r="D155" s="50" t="s">
        <v>51</v>
      </c>
      <c r="E155" s="49">
        <f>ROUND(C153*(C155/1000),2)</f>
        <v>0</v>
      </c>
      <c r="F155" s="50" t="s">
        <v>48</v>
      </c>
      <c r="G155" s="50">
        <f>G$24</f>
        <v>10</v>
      </c>
      <c r="H155" s="52" t="s">
        <v>49</v>
      </c>
      <c r="I155" s="53">
        <f>E155*G155</f>
        <v>0</v>
      </c>
    </row>
    <row r="156" spans="2:14" ht="18" customHeight="1" thickBot="1">
      <c r="B156" s="23" t="s">
        <v>36</v>
      </c>
      <c r="C156" s="24" t="s">
        <v>14</v>
      </c>
      <c r="D156" s="24" t="s">
        <v>37</v>
      </c>
      <c r="E156" s="24" t="s">
        <v>38</v>
      </c>
      <c r="F156" s="24" t="s">
        <v>39</v>
      </c>
      <c r="G156" s="24" t="s">
        <v>8</v>
      </c>
      <c r="H156" s="24" t="s">
        <v>22</v>
      </c>
      <c r="I156" s="25" t="s">
        <v>40</v>
      </c>
      <c r="J156" s="54" t="s">
        <v>2</v>
      </c>
      <c r="K156" s="55" t="s">
        <v>3</v>
      </c>
      <c r="L156" s="55" t="s">
        <v>61</v>
      </c>
      <c r="M156" s="55" t="s">
        <v>62</v>
      </c>
      <c r="N156" s="70" t="s">
        <v>14</v>
      </c>
    </row>
    <row r="157" spans="2:14" ht="18" customHeight="1">
      <c r="B157" s="648" t="s">
        <v>98</v>
      </c>
      <c r="C157" s="649" t="s">
        <v>99</v>
      </c>
      <c r="D157" s="57">
        <f t="shared" ref="D157:E162" si="25">J157-IF(L157=1,90,IF(L157=2,67.5,IF(L157=3,45,0)))</f>
        <v>0</v>
      </c>
      <c r="E157" s="57">
        <f t="shared" si="25"/>
        <v>0</v>
      </c>
      <c r="F157" s="57">
        <f t="shared" ref="F157:F162" si="26">2*(D157+E157)/1000</f>
        <v>0</v>
      </c>
      <c r="G157" s="31">
        <v>0</v>
      </c>
      <c r="H157" s="31">
        <f>H68</f>
        <v>0.224</v>
      </c>
      <c r="I157" s="59">
        <f t="shared" ref="I157:I162" si="27">ROUND((F157*G157)*H157,3)</f>
        <v>0</v>
      </c>
      <c r="J157" s="60"/>
      <c r="K157" s="61"/>
      <c r="L157" s="61"/>
      <c r="M157" s="61"/>
      <c r="N157" s="76" t="s">
        <v>56</v>
      </c>
    </row>
    <row r="158" spans="2:14" ht="18" customHeight="1">
      <c r="B158" s="648"/>
      <c r="C158" s="650"/>
      <c r="D158" s="57">
        <f t="shared" si="25"/>
        <v>0</v>
      </c>
      <c r="E158" s="57">
        <f t="shared" si="25"/>
        <v>0</v>
      </c>
      <c r="F158" s="57">
        <f t="shared" si="26"/>
        <v>0</v>
      </c>
      <c r="G158" s="31"/>
      <c r="H158" s="31">
        <f>H157</f>
        <v>0.224</v>
      </c>
      <c r="I158" s="59">
        <f t="shared" si="27"/>
        <v>0</v>
      </c>
      <c r="J158" s="60"/>
      <c r="K158" s="61"/>
      <c r="L158" s="61"/>
      <c r="M158" s="61"/>
      <c r="N158" s="76" t="s">
        <v>58</v>
      </c>
    </row>
    <row r="159" spans="2:14" ht="18" customHeight="1">
      <c r="B159" s="648"/>
      <c r="C159" s="650"/>
      <c r="D159" s="57">
        <f t="shared" si="25"/>
        <v>0</v>
      </c>
      <c r="E159" s="57">
        <f t="shared" si="25"/>
        <v>0</v>
      </c>
      <c r="F159" s="57">
        <f t="shared" si="26"/>
        <v>0</v>
      </c>
      <c r="G159" s="31"/>
      <c r="H159" s="31">
        <f>H158</f>
        <v>0.224</v>
      </c>
      <c r="I159" s="59">
        <f t="shared" si="27"/>
        <v>0</v>
      </c>
      <c r="J159" s="60"/>
      <c r="K159" s="61"/>
      <c r="L159" s="61"/>
      <c r="M159" s="61"/>
      <c r="N159" s="76" t="s">
        <v>60</v>
      </c>
    </row>
    <row r="160" spans="2:14" ht="18" customHeight="1">
      <c r="B160" s="648"/>
      <c r="C160" s="650"/>
      <c r="D160" s="57">
        <f t="shared" si="25"/>
        <v>0</v>
      </c>
      <c r="E160" s="57">
        <f t="shared" si="25"/>
        <v>0</v>
      </c>
      <c r="F160" s="57">
        <f t="shared" si="26"/>
        <v>0</v>
      </c>
      <c r="G160" s="31">
        <v>0</v>
      </c>
      <c r="H160" s="77">
        <f>H159</f>
        <v>0.224</v>
      </c>
      <c r="I160" s="59">
        <f t="shared" si="27"/>
        <v>0</v>
      </c>
      <c r="J160" s="60"/>
      <c r="K160" s="61"/>
      <c r="L160" s="61"/>
      <c r="M160" s="61"/>
      <c r="N160" s="76"/>
    </row>
    <row r="161" spans="2:16" ht="18" customHeight="1">
      <c r="B161" s="648"/>
      <c r="C161" s="650"/>
      <c r="D161" s="57">
        <f t="shared" si="25"/>
        <v>0</v>
      </c>
      <c r="E161" s="57">
        <f t="shared" si="25"/>
        <v>0</v>
      </c>
      <c r="F161" s="57">
        <f t="shared" si="26"/>
        <v>0</v>
      </c>
      <c r="G161" s="31"/>
      <c r="H161" s="31">
        <f>H160</f>
        <v>0.224</v>
      </c>
      <c r="I161" s="59">
        <f t="shared" si="27"/>
        <v>0</v>
      </c>
      <c r="J161" s="60"/>
      <c r="K161" s="61"/>
      <c r="L161" s="61"/>
      <c r="M161" s="61"/>
      <c r="N161" s="76"/>
    </row>
    <row r="162" spans="2:16" ht="18" customHeight="1" thickBot="1">
      <c r="B162" s="648"/>
      <c r="C162" s="651"/>
      <c r="D162" s="57">
        <f t="shared" si="25"/>
        <v>0</v>
      </c>
      <c r="E162" s="57">
        <f t="shared" si="25"/>
        <v>0</v>
      </c>
      <c r="F162" s="57">
        <f t="shared" si="26"/>
        <v>0</v>
      </c>
      <c r="G162" s="31"/>
      <c r="H162" s="31">
        <f>H160</f>
        <v>0.224</v>
      </c>
      <c r="I162" s="59">
        <f t="shared" si="27"/>
        <v>0</v>
      </c>
      <c r="J162" s="64"/>
      <c r="K162" s="65"/>
      <c r="L162" s="65"/>
      <c r="M162" s="65"/>
      <c r="N162" s="80"/>
    </row>
    <row r="163" spans="2:16" ht="18" customHeight="1">
      <c r="B163" s="48" t="s">
        <v>42</v>
      </c>
      <c r="C163" s="49">
        <f>SUMPRODUCT(F157:F162*G157:G162)</f>
        <v>0</v>
      </c>
      <c r="D163" s="50" t="s">
        <v>43</v>
      </c>
      <c r="E163" s="49">
        <f>SUM(I157:I162)*1.1</f>
        <v>0</v>
      </c>
      <c r="F163" s="50" t="s">
        <v>44</v>
      </c>
      <c r="G163" s="51">
        <f>(C$218+C$222)/1000</f>
        <v>39.781500000000001</v>
      </c>
      <c r="H163" s="52" t="s">
        <v>45</v>
      </c>
      <c r="I163" s="53">
        <f>ROUND(E163*G163,2)</f>
        <v>0</v>
      </c>
      <c r="J163" s="102"/>
      <c r="K163" s="102"/>
      <c r="L163" s="102"/>
      <c r="M163" s="102"/>
      <c r="O163" s="102"/>
      <c r="P163" s="102"/>
    </row>
    <row r="164" spans="2:16" ht="18" customHeight="1">
      <c r="B164" s="48" t="s">
        <v>46</v>
      </c>
      <c r="C164" s="50">
        <v>181.72</v>
      </c>
      <c r="D164" s="50" t="s">
        <v>47</v>
      </c>
      <c r="E164" s="49">
        <f>ROUND(C163*(C164/1000),2)</f>
        <v>0</v>
      </c>
      <c r="F164" s="50" t="s">
        <v>48</v>
      </c>
      <c r="G164" s="50">
        <f>G$23</f>
        <v>10</v>
      </c>
      <c r="H164" s="52" t="s">
        <v>49</v>
      </c>
      <c r="I164" s="53">
        <f>E164*G164</f>
        <v>0</v>
      </c>
      <c r="J164" s="102"/>
      <c r="K164" s="102"/>
      <c r="L164" s="102"/>
      <c r="M164" s="102"/>
      <c r="O164" s="102"/>
      <c r="P164" s="102"/>
    </row>
    <row r="165" spans="2:16" ht="18" customHeight="1">
      <c r="B165" s="48" t="s">
        <v>50</v>
      </c>
      <c r="C165" s="50"/>
      <c r="D165" s="50" t="s">
        <v>51</v>
      </c>
      <c r="E165" s="49">
        <f>ROUND(C163*(C165/1000),2)</f>
        <v>0</v>
      </c>
      <c r="F165" s="50" t="s">
        <v>48</v>
      </c>
      <c r="G165" s="50">
        <f>G$24</f>
        <v>10</v>
      </c>
      <c r="H165" s="52" t="s">
        <v>49</v>
      </c>
      <c r="I165" s="53">
        <f>E165*G165</f>
        <v>0</v>
      </c>
      <c r="K165" s="43">
        <f>J165*E165</f>
        <v>0</v>
      </c>
    </row>
    <row r="166" spans="2:16" ht="18" customHeight="1">
      <c r="B166" s="23" t="s">
        <v>36</v>
      </c>
      <c r="C166" s="24" t="s">
        <v>14</v>
      </c>
      <c r="D166" s="24" t="s">
        <v>37</v>
      </c>
      <c r="E166" s="24" t="s">
        <v>71</v>
      </c>
      <c r="F166" s="24" t="s">
        <v>38</v>
      </c>
      <c r="G166" s="24" t="s">
        <v>72</v>
      </c>
      <c r="H166" s="24" t="s">
        <v>22</v>
      </c>
      <c r="I166" s="25" t="s">
        <v>40</v>
      </c>
    </row>
    <row r="167" spans="2:16" ht="18" customHeight="1">
      <c r="B167" s="648" t="s">
        <v>100</v>
      </c>
      <c r="C167" s="649" t="s">
        <v>101</v>
      </c>
      <c r="D167" s="31"/>
      <c r="E167" s="31"/>
      <c r="F167" s="31"/>
      <c r="G167" s="31"/>
      <c r="H167" s="28">
        <v>6.3E-2</v>
      </c>
      <c r="I167" s="59">
        <f>ROUND((D167*E167+F167*G167)/1000*H167,3)</f>
        <v>0</v>
      </c>
    </row>
    <row r="168" spans="2:16" ht="18" customHeight="1">
      <c r="B168" s="648"/>
      <c r="C168" s="650"/>
      <c r="D168" s="31"/>
      <c r="E168" s="31"/>
      <c r="F168" s="31"/>
      <c r="G168" s="31"/>
      <c r="H168" s="28">
        <f>H167</f>
        <v>6.3E-2</v>
      </c>
      <c r="I168" s="59">
        <f>ROUND((D168*E168+F168*G168)/1000*H168,3)</f>
        <v>0</v>
      </c>
    </row>
    <row r="169" spans="2:16" ht="18" customHeight="1">
      <c r="B169" s="648"/>
      <c r="C169" s="651"/>
      <c r="D169" s="31"/>
      <c r="E169" s="31"/>
      <c r="F169" s="31"/>
      <c r="G169" s="31"/>
      <c r="H169" s="28">
        <f>H168</f>
        <v>6.3E-2</v>
      </c>
      <c r="I169" s="59">
        <f>ROUND((D169*E169+F169*G169)/1000*H169,3)</f>
        <v>0</v>
      </c>
    </row>
    <row r="170" spans="2:16" ht="18" customHeight="1">
      <c r="B170" s="48" t="s">
        <v>42</v>
      </c>
      <c r="C170" s="49">
        <f>SUMPRODUCT(D167:D169*E167:E169+F167:F169*G167:G169)/1000</f>
        <v>0</v>
      </c>
      <c r="D170" s="50" t="s">
        <v>43</v>
      </c>
      <c r="E170" s="49">
        <f>SUM(I167:I169)*1.1</f>
        <v>0</v>
      </c>
      <c r="F170" s="50" t="s">
        <v>44</v>
      </c>
      <c r="G170" s="51">
        <f>(C$218+$C$222)/1000</f>
        <v>39.781500000000001</v>
      </c>
      <c r="H170" s="52" t="s">
        <v>45</v>
      </c>
      <c r="I170" s="53">
        <f>ROUND(E170*G170,2)</f>
        <v>0</v>
      </c>
    </row>
    <row r="171" spans="2:16" ht="18" customHeight="1">
      <c r="B171" s="48" t="s">
        <v>46</v>
      </c>
      <c r="C171" s="50">
        <v>105.66</v>
      </c>
      <c r="D171" s="50" t="s">
        <v>47</v>
      </c>
      <c r="E171" s="49">
        <f>ROUND(C170*(C171/1000),2)</f>
        <v>0</v>
      </c>
      <c r="F171" s="50" t="s">
        <v>48</v>
      </c>
      <c r="G171" s="50">
        <f>G$23</f>
        <v>10</v>
      </c>
      <c r="H171" s="52" t="s">
        <v>49</v>
      </c>
      <c r="I171" s="53">
        <f>E171*G171</f>
        <v>0</v>
      </c>
    </row>
    <row r="172" spans="2:16" ht="18" customHeight="1">
      <c r="B172" s="48" t="s">
        <v>50</v>
      </c>
      <c r="C172" s="50">
        <v>125.66</v>
      </c>
      <c r="D172" s="50" t="s">
        <v>51</v>
      </c>
      <c r="E172" s="49">
        <f>ROUND(C170*(C172/1000),2)</f>
        <v>0</v>
      </c>
      <c r="F172" s="50" t="s">
        <v>48</v>
      </c>
      <c r="G172" s="50">
        <f>G$24</f>
        <v>10</v>
      </c>
      <c r="H172" s="52" t="s">
        <v>49</v>
      </c>
      <c r="I172" s="53">
        <f>E172*G172</f>
        <v>0</v>
      </c>
    </row>
    <row r="173" spans="2:16" ht="18" customHeight="1">
      <c r="B173" s="23" t="s">
        <v>36</v>
      </c>
      <c r="C173" s="24" t="s">
        <v>14</v>
      </c>
      <c r="D173" s="24" t="s">
        <v>37</v>
      </c>
      <c r="E173" s="24" t="s">
        <v>71</v>
      </c>
      <c r="F173" s="24" t="s">
        <v>38</v>
      </c>
      <c r="G173" s="24" t="s">
        <v>72</v>
      </c>
      <c r="H173" s="24" t="s">
        <v>22</v>
      </c>
      <c r="I173" s="25" t="s">
        <v>40</v>
      </c>
    </row>
    <row r="174" spans="2:16" ht="18" customHeight="1">
      <c r="B174" s="648" t="s">
        <v>102</v>
      </c>
      <c r="C174" s="649" t="s">
        <v>103</v>
      </c>
      <c r="D174" s="31"/>
      <c r="E174" s="31"/>
      <c r="F174" s="31"/>
      <c r="G174" s="31"/>
      <c r="H174" s="28">
        <v>1.0980000000000001</v>
      </c>
      <c r="I174" s="59">
        <f>ROUND((D174*E174+F174*G174)/1000*H174,3)</f>
        <v>0</v>
      </c>
    </row>
    <row r="175" spans="2:16" ht="18" customHeight="1">
      <c r="B175" s="648"/>
      <c r="C175" s="650"/>
      <c r="D175" s="31"/>
      <c r="E175" s="31"/>
      <c r="F175" s="31"/>
      <c r="G175" s="31"/>
      <c r="H175" s="28">
        <f>H174</f>
        <v>1.0980000000000001</v>
      </c>
      <c r="I175" s="59">
        <f>ROUND((D175*E175+F175*G175)/1000*H175,3)</f>
        <v>0</v>
      </c>
    </row>
    <row r="176" spans="2:16" ht="18" customHeight="1">
      <c r="B176" s="648"/>
      <c r="C176" s="651"/>
      <c r="D176" s="31"/>
      <c r="E176" s="31"/>
      <c r="F176" s="31"/>
      <c r="G176" s="31"/>
      <c r="H176" s="28">
        <f>H175</f>
        <v>1.0980000000000001</v>
      </c>
      <c r="I176" s="59">
        <f>ROUND((D176*E176+F176*G176)/1000*H176,3)</f>
        <v>0</v>
      </c>
    </row>
    <row r="177" spans="2:9" ht="18" customHeight="1">
      <c r="B177" s="48" t="s">
        <v>42</v>
      </c>
      <c r="C177" s="49">
        <f>SUMPRODUCT(D174:D176*E174:E176+F174:F176*G174:G176)/1000</f>
        <v>0</v>
      </c>
      <c r="D177" s="50" t="s">
        <v>43</v>
      </c>
      <c r="E177" s="49">
        <f>SUM(I174:I176)*1.1</f>
        <v>0</v>
      </c>
      <c r="F177" s="50" t="s">
        <v>44</v>
      </c>
      <c r="G177" s="51">
        <f>(C$218+C$219)/1000</f>
        <v>46.081499999999998</v>
      </c>
      <c r="H177" s="52" t="s">
        <v>45</v>
      </c>
      <c r="I177" s="53">
        <f>ROUND(E177*G177,2)</f>
        <v>0</v>
      </c>
    </row>
    <row r="178" spans="2:9" ht="18" customHeight="1">
      <c r="B178" s="48" t="s">
        <v>46</v>
      </c>
      <c r="C178" s="50">
        <v>105.66</v>
      </c>
      <c r="D178" s="50" t="s">
        <v>47</v>
      </c>
      <c r="E178" s="49">
        <f>ROUND(C177*(C178/1000),2)</f>
        <v>0</v>
      </c>
      <c r="F178" s="50" t="s">
        <v>48</v>
      </c>
      <c r="G178" s="50">
        <f>G$23</f>
        <v>10</v>
      </c>
      <c r="H178" s="52" t="s">
        <v>49</v>
      </c>
      <c r="I178" s="53">
        <f>E178*G178</f>
        <v>0</v>
      </c>
    </row>
    <row r="179" spans="2:9" ht="18" customHeight="1">
      <c r="B179" s="48" t="s">
        <v>50</v>
      </c>
      <c r="C179" s="50">
        <v>125.66</v>
      </c>
      <c r="D179" s="50" t="s">
        <v>51</v>
      </c>
      <c r="E179" s="49">
        <f>ROUND(C177*(C179/1000),2)</f>
        <v>0</v>
      </c>
      <c r="F179" s="50" t="s">
        <v>48</v>
      </c>
      <c r="G179" s="50">
        <f>G$24</f>
        <v>10</v>
      </c>
      <c r="H179" s="52" t="s">
        <v>49</v>
      </c>
      <c r="I179" s="53">
        <f>E179*G179</f>
        <v>0</v>
      </c>
    </row>
    <row r="180" spans="2:9" ht="18" customHeight="1">
      <c r="B180" s="23" t="s">
        <v>36</v>
      </c>
      <c r="C180" s="24" t="s">
        <v>14</v>
      </c>
      <c r="D180" s="24" t="s">
        <v>37</v>
      </c>
      <c r="E180" s="24" t="s">
        <v>71</v>
      </c>
      <c r="F180" s="24" t="s">
        <v>38</v>
      </c>
      <c r="G180" s="24" t="s">
        <v>72</v>
      </c>
      <c r="H180" s="24" t="s">
        <v>22</v>
      </c>
      <c r="I180" s="25" t="s">
        <v>40</v>
      </c>
    </row>
    <row r="181" spans="2:9" ht="18" customHeight="1">
      <c r="B181" s="648" t="s">
        <v>104</v>
      </c>
      <c r="C181" s="649" t="s">
        <v>105</v>
      </c>
      <c r="D181" s="31">
        <f>D6</f>
        <v>1020</v>
      </c>
      <c r="E181" s="31">
        <v>1</v>
      </c>
      <c r="F181" s="31"/>
      <c r="G181" s="31"/>
      <c r="H181" s="28">
        <v>1.5629999999999999</v>
      </c>
      <c r="I181" s="59">
        <f>ROUND((D181*E181+F181*G181)/1000*H181,3)</f>
        <v>1.5940000000000001</v>
      </c>
    </row>
    <row r="182" spans="2:9" ht="18" customHeight="1">
      <c r="B182" s="648"/>
      <c r="C182" s="650"/>
      <c r="D182" s="31"/>
      <c r="E182" s="31"/>
      <c r="F182" s="31"/>
      <c r="G182" s="31"/>
      <c r="H182" s="28">
        <f>H181</f>
        <v>1.5629999999999999</v>
      </c>
      <c r="I182" s="59">
        <f>ROUND((D182*E182+F182*G182)/1000*H182,3)</f>
        <v>0</v>
      </c>
    </row>
    <row r="183" spans="2:9" ht="18" customHeight="1">
      <c r="B183" s="648"/>
      <c r="C183" s="651"/>
      <c r="D183" s="31"/>
      <c r="E183" s="31"/>
      <c r="F183" s="31"/>
      <c r="G183" s="31"/>
      <c r="H183" s="28">
        <f>H182</f>
        <v>1.5629999999999999</v>
      </c>
      <c r="I183" s="59">
        <f>ROUND((D183*E183+F183*G183)/1000*H183,3)</f>
        <v>0</v>
      </c>
    </row>
    <row r="184" spans="2:9" ht="18" customHeight="1">
      <c r="B184" s="48" t="s">
        <v>42</v>
      </c>
      <c r="C184" s="49">
        <f>SUMPRODUCT(D181:D183*E181:E183+F181:F183*G181:G183)/1000</f>
        <v>1.02</v>
      </c>
      <c r="D184" s="50" t="s">
        <v>43</v>
      </c>
      <c r="E184" s="49">
        <f>SUM(I181:I183)*1.1</f>
        <v>1.7534000000000003</v>
      </c>
      <c r="F184" s="50" t="s">
        <v>44</v>
      </c>
      <c r="G184" s="51">
        <f>(C$218+C$219)/1000</f>
        <v>46.081499999999998</v>
      </c>
      <c r="H184" s="52" t="s">
        <v>45</v>
      </c>
      <c r="I184" s="53">
        <f>ROUND(E184*G184,2)</f>
        <v>80.8</v>
      </c>
    </row>
    <row r="185" spans="2:9" ht="18" customHeight="1">
      <c r="B185" s="48" t="s">
        <v>46</v>
      </c>
      <c r="C185" s="50">
        <v>105.66</v>
      </c>
      <c r="D185" s="50" t="s">
        <v>47</v>
      </c>
      <c r="E185" s="49">
        <f>ROUND(C184*(C185/1000),2)</f>
        <v>0.11</v>
      </c>
      <c r="F185" s="50" t="s">
        <v>48</v>
      </c>
      <c r="G185" s="50">
        <f>G$23</f>
        <v>10</v>
      </c>
      <c r="H185" s="52" t="s">
        <v>49</v>
      </c>
      <c r="I185" s="53">
        <f>E185*G185</f>
        <v>1.1000000000000001</v>
      </c>
    </row>
    <row r="186" spans="2:9" ht="18" customHeight="1">
      <c r="B186" s="48" t="s">
        <v>50</v>
      </c>
      <c r="C186" s="50">
        <v>125.66</v>
      </c>
      <c r="D186" s="50" t="s">
        <v>51</v>
      </c>
      <c r="E186" s="49">
        <f>ROUND(C184*(C186/1000),2)</f>
        <v>0.13</v>
      </c>
      <c r="F186" s="50" t="s">
        <v>48</v>
      </c>
      <c r="G186" s="50">
        <f>G$24</f>
        <v>10</v>
      </c>
      <c r="H186" s="52" t="s">
        <v>49</v>
      </c>
      <c r="I186" s="53">
        <f>E186*G186</f>
        <v>1.3</v>
      </c>
    </row>
    <row r="187" spans="2:9" ht="18" customHeight="1">
      <c r="B187" s="23" t="s">
        <v>36</v>
      </c>
      <c r="C187" s="24" t="s">
        <v>14</v>
      </c>
      <c r="D187" s="24" t="s">
        <v>37</v>
      </c>
      <c r="E187" s="24" t="s">
        <v>71</v>
      </c>
      <c r="F187" s="24" t="s">
        <v>38</v>
      </c>
      <c r="G187" s="24" t="s">
        <v>72</v>
      </c>
      <c r="H187" s="24" t="s">
        <v>22</v>
      </c>
      <c r="I187" s="25" t="s">
        <v>40</v>
      </c>
    </row>
    <row r="188" spans="2:9" ht="18" customHeight="1">
      <c r="B188" s="648" t="s">
        <v>106</v>
      </c>
      <c r="C188" s="649" t="s">
        <v>107</v>
      </c>
      <c r="D188" s="31"/>
      <c r="E188" s="31"/>
      <c r="F188" s="31"/>
      <c r="G188" s="31"/>
      <c r="H188" s="28">
        <v>1.732</v>
      </c>
      <c r="I188" s="59">
        <f>ROUND((D188*E188+F188*G188)/1000*H188,3)</f>
        <v>0</v>
      </c>
    </row>
    <row r="189" spans="2:9" ht="18" customHeight="1">
      <c r="B189" s="648"/>
      <c r="C189" s="650"/>
      <c r="D189" s="31"/>
      <c r="E189" s="31"/>
      <c r="F189" s="31"/>
      <c r="G189" s="31"/>
      <c r="H189" s="28">
        <f>H188</f>
        <v>1.732</v>
      </c>
      <c r="I189" s="59">
        <f>ROUND((D189*E189+F189*G189)/1000*H189,3)</f>
        <v>0</v>
      </c>
    </row>
    <row r="190" spans="2:9" ht="18" customHeight="1">
      <c r="B190" s="648"/>
      <c r="C190" s="651"/>
      <c r="D190" s="31"/>
      <c r="E190" s="31"/>
      <c r="F190" s="31">
        <f>E6</f>
        <v>2570</v>
      </c>
      <c r="G190" s="31"/>
      <c r="H190" s="28">
        <f>H189</f>
        <v>1.732</v>
      </c>
      <c r="I190" s="59">
        <f>ROUND((D190*E190+F190*G190)/1000*H190,3)</f>
        <v>0</v>
      </c>
    </row>
    <row r="191" spans="2:9" ht="18" customHeight="1">
      <c r="B191" s="48" t="s">
        <v>42</v>
      </c>
      <c r="C191" s="49">
        <f>SUMPRODUCT(D188:D190*E188:E190+F188:F190*G188:G190)/1000</f>
        <v>0</v>
      </c>
      <c r="D191" s="50" t="s">
        <v>43</v>
      </c>
      <c r="E191" s="49">
        <f>SUM(I188:I190)*1.1</f>
        <v>0</v>
      </c>
      <c r="F191" s="50" t="s">
        <v>44</v>
      </c>
      <c r="G191" s="51">
        <f>(C$218+C$219)/1000</f>
        <v>46.081499999999998</v>
      </c>
      <c r="H191" s="52" t="s">
        <v>45</v>
      </c>
      <c r="I191" s="53">
        <f>ROUND(E191*G191,2)</f>
        <v>0</v>
      </c>
    </row>
    <row r="192" spans="2:9" ht="18" customHeight="1">
      <c r="B192" s="48" t="s">
        <v>46</v>
      </c>
      <c r="C192" s="50">
        <v>105.66</v>
      </c>
      <c r="D192" s="50" t="s">
        <v>47</v>
      </c>
      <c r="E192" s="49">
        <f>ROUND(C191*(C192/1000),2)</f>
        <v>0</v>
      </c>
      <c r="F192" s="50" t="s">
        <v>48</v>
      </c>
      <c r="G192" s="50">
        <f>G$23</f>
        <v>10</v>
      </c>
      <c r="H192" s="52" t="s">
        <v>49</v>
      </c>
      <c r="I192" s="53">
        <f>E192*G192</f>
        <v>0</v>
      </c>
    </row>
    <row r="193" spans="2:15" ht="18" customHeight="1">
      <c r="B193" s="48" t="s">
        <v>50</v>
      </c>
      <c r="C193" s="50">
        <v>125.66</v>
      </c>
      <c r="D193" s="50" t="s">
        <v>51</v>
      </c>
      <c r="E193" s="49">
        <f>ROUND(C191*(C193/1000),2)</f>
        <v>0</v>
      </c>
      <c r="F193" s="50" t="s">
        <v>48</v>
      </c>
      <c r="G193" s="50">
        <f>G$24</f>
        <v>10</v>
      </c>
      <c r="H193" s="52" t="s">
        <v>49</v>
      </c>
      <c r="I193" s="53">
        <f>E193*G193</f>
        <v>0</v>
      </c>
    </row>
    <row r="194" spans="2:15" ht="18" customHeight="1">
      <c r="B194" s="23" t="s">
        <v>36</v>
      </c>
      <c r="C194" s="24" t="s">
        <v>14</v>
      </c>
      <c r="D194" s="652" t="s">
        <v>38</v>
      </c>
      <c r="E194" s="652"/>
      <c r="F194" s="652"/>
      <c r="G194" s="24" t="s">
        <v>72</v>
      </c>
      <c r="H194" s="24" t="s">
        <v>22</v>
      </c>
      <c r="I194" s="25" t="s">
        <v>40</v>
      </c>
    </row>
    <row r="195" spans="2:15" ht="18" customHeight="1">
      <c r="B195" s="643" t="s">
        <v>108</v>
      </c>
      <c r="C195" s="645" t="s">
        <v>109</v>
      </c>
      <c r="D195" s="646"/>
      <c r="E195" s="646"/>
      <c r="F195" s="646"/>
      <c r="G195" s="31"/>
      <c r="H195" s="31">
        <v>1.796</v>
      </c>
      <c r="I195" s="59">
        <f>ROUND((D195*G195*H195)/1000,3)</f>
        <v>0</v>
      </c>
    </row>
    <row r="196" spans="2:15" ht="18" customHeight="1">
      <c r="B196" s="644"/>
      <c r="C196" s="640"/>
      <c r="D196" s="646"/>
      <c r="E196" s="646"/>
      <c r="F196" s="646"/>
      <c r="G196" s="31"/>
      <c r="H196" s="31">
        <f>H195</f>
        <v>1.796</v>
      </c>
      <c r="I196" s="59">
        <f>ROUND((D196*G196*H196)/1000,3)</f>
        <v>0</v>
      </c>
    </row>
    <row r="197" spans="2:15" ht="18" customHeight="1">
      <c r="B197" s="643" t="s">
        <v>110</v>
      </c>
      <c r="C197" s="645" t="s">
        <v>111</v>
      </c>
      <c r="D197" s="646"/>
      <c r="E197" s="646"/>
      <c r="F197" s="646"/>
      <c r="G197" s="31"/>
      <c r="H197" s="31">
        <v>1.355</v>
      </c>
      <c r="I197" s="59"/>
    </row>
    <row r="198" spans="2:15" ht="18" customHeight="1">
      <c r="B198" s="644"/>
      <c r="C198" s="640"/>
      <c r="D198" s="646"/>
      <c r="E198" s="646"/>
      <c r="F198" s="646"/>
      <c r="G198" s="31"/>
      <c r="H198" s="31">
        <f>H197</f>
        <v>1.355</v>
      </c>
      <c r="I198" s="59"/>
    </row>
    <row r="199" spans="2:15" ht="18" customHeight="1">
      <c r="B199" s="48" t="s">
        <v>42</v>
      </c>
      <c r="C199" s="49">
        <f>SUMPRODUCT(D195:F198*G195:G198)/1000</f>
        <v>0</v>
      </c>
      <c r="D199" s="50" t="s">
        <v>43</v>
      </c>
      <c r="E199" s="49">
        <f>SUM(I195:I198)*1.1</f>
        <v>0</v>
      </c>
      <c r="F199" s="50" t="s">
        <v>44</v>
      </c>
      <c r="G199" s="51">
        <f>(C$218+C$219)/1000</f>
        <v>46.081499999999998</v>
      </c>
      <c r="H199" s="52" t="s">
        <v>45</v>
      </c>
      <c r="I199" s="53">
        <f>ROUND(E199*G199,2)</f>
        <v>0</v>
      </c>
    </row>
    <row r="200" spans="2:15" ht="18" customHeight="1">
      <c r="B200" s="48" t="s">
        <v>46</v>
      </c>
      <c r="C200" s="50">
        <v>267.77999999999997</v>
      </c>
      <c r="D200" s="50" t="s">
        <v>47</v>
      </c>
      <c r="E200" s="49">
        <f>ROUND(C199*(C200/1000),2)</f>
        <v>0</v>
      </c>
      <c r="F200" s="50" t="s">
        <v>48</v>
      </c>
      <c r="G200" s="50">
        <f>G$23</f>
        <v>10</v>
      </c>
      <c r="H200" s="52" t="s">
        <v>49</v>
      </c>
      <c r="I200" s="53">
        <f>E200*G200</f>
        <v>0</v>
      </c>
    </row>
    <row r="201" spans="2:15" ht="18" customHeight="1">
      <c r="B201" s="48" t="s">
        <v>50</v>
      </c>
      <c r="C201" s="50">
        <v>104.29</v>
      </c>
      <c r="D201" s="50" t="s">
        <v>51</v>
      </c>
      <c r="E201" s="49">
        <f>ROUND(C199*(C201/1000),2)</f>
        <v>0</v>
      </c>
      <c r="F201" s="50" t="s">
        <v>48</v>
      </c>
      <c r="G201" s="50">
        <f>G$24</f>
        <v>10</v>
      </c>
      <c r="H201" s="52" t="s">
        <v>49</v>
      </c>
      <c r="I201" s="53">
        <f>E201*G201</f>
        <v>0</v>
      </c>
    </row>
    <row r="202" spans="2:15" ht="18" customHeight="1">
      <c r="B202" s="103" t="s">
        <v>112</v>
      </c>
      <c r="C202" s="104" t="s">
        <v>113</v>
      </c>
      <c r="D202" s="104" t="s">
        <v>28</v>
      </c>
      <c r="E202" s="104" t="s">
        <v>8</v>
      </c>
      <c r="F202" s="104" t="s">
        <v>112</v>
      </c>
      <c r="G202" s="104" t="s">
        <v>113</v>
      </c>
      <c r="H202" s="104" t="s">
        <v>28</v>
      </c>
      <c r="I202" s="105" t="s">
        <v>8</v>
      </c>
      <c r="N202" s="106"/>
      <c r="O202" s="102"/>
    </row>
    <row r="203" spans="2:15" ht="18" customHeight="1">
      <c r="B203" s="26" t="s">
        <v>327</v>
      </c>
      <c r="C203" s="107" t="s">
        <v>114</v>
      </c>
      <c r="D203" s="108">
        <v>2.15</v>
      </c>
      <c r="E203" s="57">
        <f>SUM(G14:G21)*4</f>
        <v>4</v>
      </c>
      <c r="F203" s="647" t="s">
        <v>115</v>
      </c>
      <c r="G203" s="107" t="s">
        <v>116</v>
      </c>
      <c r="H203" s="108">
        <v>2.46</v>
      </c>
      <c r="I203" s="45">
        <f>SUM(G108:G111)*4</f>
        <v>4</v>
      </c>
      <c r="J203" s="42"/>
      <c r="N203" s="106"/>
      <c r="O203" s="102"/>
    </row>
    <row r="204" spans="2:15" ht="18" customHeight="1">
      <c r="B204" s="26" t="s">
        <v>328</v>
      </c>
      <c r="C204" s="107" t="s">
        <v>117</v>
      </c>
      <c r="D204" s="108">
        <v>1.72</v>
      </c>
      <c r="E204" s="57">
        <f>E203</f>
        <v>4</v>
      </c>
      <c r="F204" s="646"/>
      <c r="G204" s="107" t="s">
        <v>118</v>
      </c>
      <c r="H204" s="108">
        <v>3.11</v>
      </c>
      <c r="I204" s="45">
        <f>I203</f>
        <v>4</v>
      </c>
      <c r="J204" s="42"/>
      <c r="N204" s="106"/>
      <c r="O204" s="102"/>
    </row>
    <row r="205" spans="2:15" ht="18" customHeight="1">
      <c r="B205" s="109" t="s">
        <v>330</v>
      </c>
      <c r="C205" s="107" t="s">
        <v>119</v>
      </c>
      <c r="D205" s="108">
        <v>2.68</v>
      </c>
      <c r="E205" s="57">
        <f>SUM(G26:G30)*4</f>
        <v>0</v>
      </c>
      <c r="F205" s="110" t="s">
        <v>120</v>
      </c>
      <c r="G205" s="107" t="s">
        <v>121</v>
      </c>
      <c r="H205" s="111">
        <v>4.76</v>
      </c>
      <c r="I205" s="45">
        <f>SUM(G123:G125)*4</f>
        <v>0</v>
      </c>
      <c r="J205" s="42"/>
      <c r="N205" s="106"/>
      <c r="O205" s="102"/>
    </row>
    <row r="206" spans="2:15" ht="18" customHeight="1">
      <c r="B206" s="109" t="s">
        <v>329</v>
      </c>
      <c r="C206" s="107" t="s">
        <v>122</v>
      </c>
      <c r="D206" s="108">
        <v>1.27</v>
      </c>
      <c r="E206" s="57">
        <f>E205</f>
        <v>0</v>
      </c>
      <c r="F206" s="110" t="s">
        <v>123</v>
      </c>
      <c r="G206" s="107" t="s">
        <v>124</v>
      </c>
      <c r="H206" s="111">
        <v>3.85</v>
      </c>
      <c r="I206" s="45">
        <f>I205</f>
        <v>0</v>
      </c>
      <c r="J206" s="42"/>
      <c r="N206" s="106"/>
      <c r="O206" s="102"/>
    </row>
    <row r="207" spans="2:15" ht="18" customHeight="1">
      <c r="B207" s="109" t="s">
        <v>331</v>
      </c>
      <c r="C207" s="107" t="s">
        <v>125</v>
      </c>
      <c r="D207" s="111" t="s">
        <v>126</v>
      </c>
      <c r="E207" s="57">
        <f>SUM(G35:G37)*4</f>
        <v>0</v>
      </c>
      <c r="F207" s="110" t="s">
        <v>127</v>
      </c>
      <c r="G207" s="107" t="s">
        <v>128</v>
      </c>
      <c r="H207" s="111">
        <v>4.29</v>
      </c>
      <c r="I207" s="45">
        <f>SUM(G116:G118)*4</f>
        <v>8</v>
      </c>
      <c r="J207" s="42"/>
      <c r="N207" s="106"/>
      <c r="O207" s="102"/>
    </row>
    <row r="208" spans="2:15" ht="18" customHeight="1">
      <c r="B208" s="109" t="s">
        <v>332</v>
      </c>
      <c r="C208" s="107" t="s">
        <v>129</v>
      </c>
      <c r="D208" s="111" t="s">
        <v>130</v>
      </c>
      <c r="E208" s="57">
        <f>E207</f>
        <v>0</v>
      </c>
      <c r="F208" s="110" t="s">
        <v>131</v>
      </c>
      <c r="G208" s="107" t="s">
        <v>132</v>
      </c>
      <c r="H208" s="111">
        <v>4.5</v>
      </c>
      <c r="I208" s="45">
        <f>I207</f>
        <v>8</v>
      </c>
      <c r="J208" s="42"/>
      <c r="N208" s="106"/>
      <c r="O208" s="102"/>
    </row>
    <row r="209" spans="2:15" ht="18" customHeight="1">
      <c r="B209" s="223" t="s">
        <v>333</v>
      </c>
      <c r="C209" s="31">
        <v>12.6</v>
      </c>
      <c r="D209" s="111">
        <v>1.32</v>
      </c>
      <c r="E209" s="57">
        <f>SUM(G42:G47)*4</f>
        <v>0</v>
      </c>
      <c r="F209" s="639"/>
      <c r="G209" s="107"/>
      <c r="H209" s="28"/>
      <c r="I209" s="45"/>
      <c r="N209" s="106"/>
      <c r="O209" s="102"/>
    </row>
    <row r="210" spans="2:15" ht="18" customHeight="1">
      <c r="B210" s="223" t="s">
        <v>334</v>
      </c>
      <c r="C210" s="31">
        <v>15.8</v>
      </c>
      <c r="D210" s="111">
        <v>1.18</v>
      </c>
      <c r="E210" s="57">
        <f>E209</f>
        <v>0</v>
      </c>
      <c r="F210" s="640"/>
      <c r="G210" s="107"/>
      <c r="H210" s="28"/>
      <c r="I210" s="231"/>
      <c r="N210" s="106"/>
      <c r="O210" s="102"/>
    </row>
    <row r="211" spans="2:15" ht="18" customHeight="1">
      <c r="B211" s="26" t="s">
        <v>335</v>
      </c>
      <c r="C211" s="107" t="s">
        <v>337</v>
      </c>
      <c r="D211" s="111">
        <v>2.81</v>
      </c>
      <c r="E211" s="31">
        <f>SUM(E52+E53+E54+E55+G52+G53+G54+G55+G60+G61+G62+G63)*2</f>
        <v>0</v>
      </c>
      <c r="F211" s="641" t="s">
        <v>133</v>
      </c>
      <c r="G211" s="111">
        <f>SUMPRODUCT(D35:D37,G35:G37)/1000</f>
        <v>0</v>
      </c>
      <c r="H211" s="28">
        <v>0.16</v>
      </c>
      <c r="I211" s="232">
        <f>G211*H211</f>
        <v>0</v>
      </c>
      <c r="N211" s="106"/>
      <c r="O211" s="102"/>
    </row>
    <row r="212" spans="2:15" ht="18" customHeight="1">
      <c r="B212" s="26" t="s">
        <v>336</v>
      </c>
      <c r="C212" s="107" t="s">
        <v>338</v>
      </c>
      <c r="D212" s="111">
        <v>3.51</v>
      </c>
      <c r="E212" s="31">
        <f>E211</f>
        <v>0</v>
      </c>
      <c r="F212" s="641"/>
      <c r="G212" s="111">
        <f>SUMPRODUCT(D26:D30,G26:G30)/1000</f>
        <v>0</v>
      </c>
      <c r="H212" s="28">
        <v>0.16</v>
      </c>
      <c r="I212" s="232">
        <f>G212*H212</f>
        <v>0</v>
      </c>
      <c r="N212" s="106"/>
      <c r="O212" s="102"/>
    </row>
    <row r="213" spans="2:15" ht="18" customHeight="1">
      <c r="B213" s="26" t="s">
        <v>134</v>
      </c>
      <c r="C213" s="31">
        <v>30.6</v>
      </c>
      <c r="D213" s="111">
        <v>2.81</v>
      </c>
      <c r="E213" s="57">
        <f>SUM(+E130+E131+E132+G130+G131+G132)*2</f>
        <v>0</v>
      </c>
      <c r="F213" s="641" t="s">
        <v>135</v>
      </c>
      <c r="G213" s="111">
        <f>SUMPRODUCT(E26:E30,G26:G30)/1000</f>
        <v>0</v>
      </c>
      <c r="H213" s="28">
        <v>0.16</v>
      </c>
      <c r="I213" s="232">
        <f>G213*H213</f>
        <v>0</v>
      </c>
      <c r="N213" s="106"/>
      <c r="O213" s="102"/>
    </row>
    <row r="214" spans="2:15" ht="18" customHeight="1">
      <c r="B214" s="26" t="s">
        <v>136</v>
      </c>
      <c r="C214" s="31">
        <v>30.6</v>
      </c>
      <c r="D214" s="111">
        <v>3.51</v>
      </c>
      <c r="E214" s="57">
        <f>E213</f>
        <v>0</v>
      </c>
      <c r="F214" s="641"/>
      <c r="G214" s="111">
        <f>SUMPRODUCT(E35:E37,G35:G37)/1000</f>
        <v>0</v>
      </c>
      <c r="H214" s="28">
        <v>0.16</v>
      </c>
      <c r="I214" s="232">
        <f>G214*H214</f>
        <v>0</v>
      </c>
      <c r="N214" s="106"/>
      <c r="O214" s="102"/>
    </row>
    <row r="215" spans="2:15" ht="18" customHeight="1">
      <c r="B215" s="52" t="s">
        <v>137</v>
      </c>
      <c r="C215" s="112" cm="1">
        <f t="array" ref="C215">SUMPRODUCT(D203:D214*E203:E214)+SUMPRODUCT(H203:H210*I203:I210)</f>
        <v>108.08</v>
      </c>
      <c r="D215" s="52"/>
      <c r="E215" s="52"/>
      <c r="F215" s="52"/>
      <c r="G215" s="52" t="s">
        <v>138</v>
      </c>
      <c r="H215" s="52" cm="1">
        <f t="array" ref="H215">SUMPRODUCT(G211:G214*H211:H214)</f>
        <v>0</v>
      </c>
      <c r="I215" s="233">
        <f>H215*1.08</f>
        <v>0</v>
      </c>
      <c r="N215" s="106"/>
      <c r="O215" s="102"/>
    </row>
    <row r="216" spans="2:15" ht="18" customHeight="1">
      <c r="B216" s="23" t="s">
        <v>139</v>
      </c>
      <c r="C216" s="24" t="s">
        <v>14</v>
      </c>
      <c r="D216" s="24" t="s">
        <v>22</v>
      </c>
      <c r="E216" s="24" t="s">
        <v>8</v>
      </c>
      <c r="F216" s="24" t="s">
        <v>113</v>
      </c>
      <c r="G216" s="24" t="s">
        <v>40</v>
      </c>
      <c r="H216" s="24" t="s">
        <v>28</v>
      </c>
      <c r="I216" s="25" t="s">
        <v>29</v>
      </c>
      <c r="N216" s="106"/>
      <c r="O216" s="102"/>
    </row>
    <row r="217" spans="2:15" ht="18" customHeight="1">
      <c r="B217" s="48" t="s">
        <v>140</v>
      </c>
      <c r="C217" s="52" t="s">
        <v>141</v>
      </c>
      <c r="D217" s="50">
        <v>0.14199999999999999</v>
      </c>
      <c r="E217" s="50">
        <v>1</v>
      </c>
      <c r="F217" s="50">
        <f>D6</f>
        <v>1020</v>
      </c>
      <c r="G217" s="128">
        <f>D217*F217*E217/1000*1.1</f>
        <v>0.15932399999999997</v>
      </c>
      <c r="H217" s="52">
        <f>(C218+C222)/1000</f>
        <v>39.781500000000001</v>
      </c>
      <c r="I217" s="193">
        <f>G217*H217</f>
        <v>6.3381477059999991</v>
      </c>
      <c r="N217" s="106"/>
      <c r="O217" s="102"/>
    </row>
    <row r="218" spans="2:15" ht="18" customHeight="1">
      <c r="B218" s="37" t="s">
        <v>142</v>
      </c>
      <c r="C218" s="113">
        <f>材料价格!B4</f>
        <v>22081.5</v>
      </c>
      <c r="D218" s="39" t="s">
        <v>143</v>
      </c>
      <c r="E218" s="114">
        <f>E139+E133+E126+E119+E112+E199+E177+E64+E56+E48+E38+E31+E22+E184+E191</f>
        <v>51.043300000000002</v>
      </c>
      <c r="F218" s="39" t="s">
        <v>144</v>
      </c>
      <c r="G218" s="115">
        <f>I218/E218-C218/1000</f>
        <v>23.99996416865681</v>
      </c>
      <c r="H218" s="39" t="s">
        <v>145</v>
      </c>
      <c r="I218" s="116">
        <f>I22+I31+I38+I48+I56+I64+I199+I112+I119+I126+I133+I139+I177+I184+I191</f>
        <v>2352.15</v>
      </c>
      <c r="N218" s="106"/>
      <c r="O218" s="102"/>
    </row>
    <row r="219" spans="2:15" ht="18" customHeight="1">
      <c r="B219" s="117" t="s">
        <v>146</v>
      </c>
      <c r="C219" s="118">
        <f>材料价格!B5</f>
        <v>24000</v>
      </c>
      <c r="D219" s="39" t="s">
        <v>147</v>
      </c>
      <c r="E219" s="114">
        <f>E163+E153+E146+E104+E97+E88+G217+E170</f>
        <v>3.7337739999999999</v>
      </c>
      <c r="F219" s="39" t="s">
        <v>148</v>
      </c>
      <c r="G219" s="119">
        <f>I219/E219-C218/1000</f>
        <v>17.698129861368152</v>
      </c>
      <c r="H219" s="39" t="s">
        <v>149</v>
      </c>
      <c r="I219" s="116">
        <f>I88+I97+I104+I146+I153+I163+I217+I170</f>
        <v>148.528147706</v>
      </c>
      <c r="N219" s="106"/>
      <c r="O219" s="102"/>
    </row>
    <row r="220" spans="2:15" ht="18" customHeight="1">
      <c r="B220" s="117" t="s">
        <v>150</v>
      </c>
      <c r="C220" s="118">
        <f>C219</f>
        <v>24000</v>
      </c>
      <c r="D220" s="39" t="s">
        <v>151</v>
      </c>
      <c r="E220" s="120">
        <f>I215</f>
        <v>0</v>
      </c>
      <c r="F220" s="39" t="s">
        <v>152</v>
      </c>
      <c r="G220" s="119" t="e">
        <f>I220/E220-C218/1000</f>
        <v>#DIV/0!</v>
      </c>
      <c r="H220" s="39" t="s">
        <v>153</v>
      </c>
      <c r="I220" s="116">
        <f>ROUND(E220*(C218+C223)/1000,2)</f>
        <v>0</v>
      </c>
      <c r="N220" s="106"/>
      <c r="O220" s="102"/>
    </row>
    <row r="221" spans="2:15" ht="18" customHeight="1">
      <c r="B221" s="117" t="s">
        <v>154</v>
      </c>
      <c r="C221" s="121">
        <f>C220</f>
        <v>24000</v>
      </c>
      <c r="D221" s="39" t="s">
        <v>155</v>
      </c>
      <c r="E221" s="39"/>
      <c r="F221" s="39" t="s">
        <v>156</v>
      </c>
      <c r="G221" s="39"/>
      <c r="H221" s="39" t="s">
        <v>49</v>
      </c>
      <c r="I221" s="116">
        <f>E221*G221</f>
        <v>0</v>
      </c>
      <c r="J221" s="42"/>
      <c r="K221" s="4"/>
    </row>
    <row r="222" spans="2:15" ht="18" customHeight="1">
      <c r="B222" s="117" t="s">
        <v>148</v>
      </c>
      <c r="C222" s="122">
        <f>材料价格!B6</f>
        <v>17700</v>
      </c>
      <c r="D222" s="39" t="s">
        <v>157</v>
      </c>
      <c r="E222" s="39"/>
      <c r="F222" s="39" t="s">
        <v>156</v>
      </c>
      <c r="G222" s="39"/>
      <c r="H222" s="39" t="s">
        <v>49</v>
      </c>
      <c r="I222" s="116">
        <f>E222*G222</f>
        <v>0</v>
      </c>
      <c r="J222" s="123"/>
      <c r="K222" s="123"/>
      <c r="L222" s="123"/>
    </row>
    <row r="223" spans="2:15" ht="18" customHeight="1">
      <c r="B223" s="117" t="s">
        <v>152</v>
      </c>
      <c r="C223" s="122">
        <f>材料价格!B9</f>
        <v>2900</v>
      </c>
      <c r="D223" s="39" t="s">
        <v>158</v>
      </c>
      <c r="E223" s="114">
        <f>SUM(E218:E220)</f>
        <v>54.777073999999999</v>
      </c>
      <c r="F223" s="39"/>
      <c r="G223" s="39" t="s">
        <v>339</v>
      </c>
      <c r="H223" s="39"/>
      <c r="I223" s="234">
        <f>SUM(I218:I222)+C215</f>
        <v>2608.7581477059998</v>
      </c>
      <c r="J223" s="123"/>
      <c r="K223" s="123"/>
      <c r="L223" s="123"/>
    </row>
    <row r="224" spans="2:15" ht="18" customHeight="1">
      <c r="B224" s="23" t="s">
        <v>159</v>
      </c>
      <c r="C224" s="24" t="s">
        <v>113</v>
      </c>
      <c r="D224" s="24" t="s">
        <v>16</v>
      </c>
      <c r="E224" s="24" t="s">
        <v>7</v>
      </c>
      <c r="F224" s="24" t="s">
        <v>8</v>
      </c>
      <c r="G224" s="24" t="s">
        <v>28</v>
      </c>
      <c r="H224" s="24" t="s">
        <v>160</v>
      </c>
      <c r="I224" s="25" t="s">
        <v>1</v>
      </c>
      <c r="J224" s="4"/>
      <c r="K224" s="4"/>
      <c r="L224" s="4"/>
      <c r="M224" s="4"/>
    </row>
    <row r="225" spans="2:13" ht="18" customHeight="1">
      <c r="B225" s="124" t="str">
        <f>材料价格!A10</f>
        <v>6单银Low-E+12A+6</v>
      </c>
      <c r="C225" s="57">
        <f t="shared" ref="C225:D229" si="28">D92</f>
        <v>-90</v>
      </c>
      <c r="D225" s="57">
        <f t="shared" si="28"/>
        <v>-90</v>
      </c>
      <c r="E225" s="32">
        <f>C225*D225/10^6</f>
        <v>8.0999999999999996E-3</v>
      </c>
      <c r="F225" s="31">
        <f>G26</f>
        <v>0</v>
      </c>
      <c r="G225" s="125">
        <f>材料价格!B10</f>
        <v>148</v>
      </c>
      <c r="H225" s="31">
        <f>ROUND(E225*G225*F225,2)</f>
        <v>0</v>
      </c>
      <c r="I225" s="45" t="s">
        <v>161</v>
      </c>
      <c r="J225" s="4"/>
      <c r="K225" s="4"/>
      <c r="L225" s="4"/>
      <c r="M225" s="4"/>
    </row>
    <row r="226" spans="2:13" ht="18" customHeight="1">
      <c r="B226" s="124" t="str">
        <f t="shared" ref="B226:B232" si="29">B225</f>
        <v>6单银Low-E+12A+6</v>
      </c>
      <c r="C226" s="57">
        <f t="shared" si="28"/>
        <v>-90</v>
      </c>
      <c r="D226" s="57">
        <f t="shared" si="28"/>
        <v>-90</v>
      </c>
      <c r="E226" s="32">
        <f t="shared" ref="E226:E284" si="30">C226*D226/10^6</f>
        <v>8.0999999999999996E-3</v>
      </c>
      <c r="F226" s="31">
        <f>G27</f>
        <v>0</v>
      </c>
      <c r="G226" s="126">
        <f t="shared" ref="G226:G232" si="31">G225</f>
        <v>148</v>
      </c>
      <c r="H226" s="31">
        <f t="shared" ref="H226:H241" si="32">ROUND(E226*G226*F226,2)</f>
        <v>0</v>
      </c>
      <c r="I226" s="45" t="s">
        <v>162</v>
      </c>
      <c r="J226" s="4"/>
      <c r="K226" s="4"/>
      <c r="L226" s="4"/>
      <c r="M226" s="4"/>
    </row>
    <row r="227" spans="2:13" ht="18" customHeight="1">
      <c r="B227" s="124" t="str">
        <f t="shared" si="29"/>
        <v>6单银Low-E+12A+6</v>
      </c>
      <c r="C227" s="57">
        <f t="shared" si="28"/>
        <v>-90</v>
      </c>
      <c r="D227" s="57">
        <f t="shared" si="28"/>
        <v>-90</v>
      </c>
      <c r="E227" s="32">
        <f t="shared" si="30"/>
        <v>8.0999999999999996E-3</v>
      </c>
      <c r="F227" s="31">
        <f>G28</f>
        <v>0</v>
      </c>
      <c r="G227" s="126">
        <f t="shared" si="31"/>
        <v>148</v>
      </c>
      <c r="H227" s="31">
        <f t="shared" si="32"/>
        <v>0</v>
      </c>
      <c r="I227" s="45" t="s">
        <v>162</v>
      </c>
      <c r="J227" s="4"/>
      <c r="K227" s="4"/>
      <c r="L227" s="4"/>
      <c r="M227" s="4"/>
    </row>
    <row r="228" spans="2:13" ht="18" customHeight="1">
      <c r="B228" s="124" t="str">
        <f t="shared" si="29"/>
        <v>6单银Low-E+12A+6</v>
      </c>
      <c r="C228" s="57">
        <f t="shared" si="28"/>
        <v>-90</v>
      </c>
      <c r="D228" s="57">
        <f t="shared" si="28"/>
        <v>-90</v>
      </c>
      <c r="E228" s="32">
        <f t="shared" si="30"/>
        <v>8.0999999999999996E-3</v>
      </c>
      <c r="F228" s="31">
        <f>G29</f>
        <v>0</v>
      </c>
      <c r="G228" s="126">
        <f t="shared" si="31"/>
        <v>148</v>
      </c>
      <c r="H228" s="31">
        <f t="shared" si="32"/>
        <v>0</v>
      </c>
      <c r="I228" s="45" t="s">
        <v>162</v>
      </c>
      <c r="J228" s="4"/>
      <c r="K228" s="4"/>
      <c r="L228" s="4"/>
      <c r="M228" s="4"/>
    </row>
    <row r="229" spans="2:13" ht="18" customHeight="1">
      <c r="B229" s="124" t="str">
        <f t="shared" si="29"/>
        <v>6单银Low-E+12A+6</v>
      </c>
      <c r="C229" s="57">
        <f t="shared" si="28"/>
        <v>-90</v>
      </c>
      <c r="D229" s="57">
        <f t="shared" si="28"/>
        <v>-90</v>
      </c>
      <c r="E229" s="32">
        <f t="shared" si="30"/>
        <v>8.0999999999999996E-3</v>
      </c>
      <c r="F229" s="31">
        <f>G30</f>
        <v>0</v>
      </c>
      <c r="G229" s="126">
        <f t="shared" si="31"/>
        <v>148</v>
      </c>
      <c r="H229" s="31">
        <f t="shared" si="32"/>
        <v>0</v>
      </c>
      <c r="I229" s="45" t="s">
        <v>162</v>
      </c>
      <c r="J229" s="123"/>
      <c r="K229" s="123"/>
      <c r="L229" s="123"/>
    </row>
    <row r="230" spans="2:13" ht="18" customHeight="1">
      <c r="B230" s="124" t="str">
        <f t="shared" si="29"/>
        <v>6单银Low-E+12A+6</v>
      </c>
      <c r="C230" s="57">
        <f t="shared" ref="C230:D232" si="33">D101</f>
        <v>-122</v>
      </c>
      <c r="D230" s="57">
        <f t="shared" si="33"/>
        <v>-122</v>
      </c>
      <c r="E230" s="32">
        <f t="shared" si="30"/>
        <v>1.4884E-2</v>
      </c>
      <c r="F230" s="31">
        <f>G101</f>
        <v>0</v>
      </c>
      <c r="G230" s="126">
        <f t="shared" si="31"/>
        <v>148</v>
      </c>
      <c r="H230" s="31">
        <f t="shared" si="32"/>
        <v>0</v>
      </c>
      <c r="I230" s="127" t="s">
        <v>163</v>
      </c>
      <c r="J230" s="123"/>
      <c r="K230" s="123"/>
      <c r="L230" s="123"/>
    </row>
    <row r="231" spans="2:13" ht="18" customHeight="1">
      <c r="B231" s="124" t="str">
        <f t="shared" si="29"/>
        <v>6单银Low-E+12A+6</v>
      </c>
      <c r="C231" s="57">
        <f t="shared" si="33"/>
        <v>-122</v>
      </c>
      <c r="D231" s="57">
        <f t="shared" si="33"/>
        <v>-122</v>
      </c>
      <c r="E231" s="32">
        <f t="shared" si="30"/>
        <v>1.4884E-2</v>
      </c>
      <c r="F231" s="31">
        <f>G102</f>
        <v>0</v>
      </c>
      <c r="G231" s="126">
        <f t="shared" si="31"/>
        <v>148</v>
      </c>
      <c r="H231" s="31">
        <f t="shared" si="32"/>
        <v>0</v>
      </c>
      <c r="I231" s="127" t="s">
        <v>163</v>
      </c>
    </row>
    <row r="232" spans="2:13" ht="18" customHeight="1">
      <c r="B232" s="124" t="str">
        <f t="shared" si="29"/>
        <v>6单银Low-E+12A+6</v>
      </c>
      <c r="C232" s="57">
        <f t="shared" si="33"/>
        <v>-122</v>
      </c>
      <c r="D232" s="57">
        <f t="shared" si="33"/>
        <v>-122</v>
      </c>
      <c r="E232" s="32">
        <f t="shared" si="30"/>
        <v>1.4884E-2</v>
      </c>
      <c r="F232" s="31">
        <f>G103</f>
        <v>0</v>
      </c>
      <c r="G232" s="126">
        <f t="shared" si="31"/>
        <v>148</v>
      </c>
      <c r="H232" s="31">
        <f t="shared" si="32"/>
        <v>0</v>
      </c>
      <c r="I232" s="127" t="s">
        <v>163</v>
      </c>
    </row>
    <row r="233" spans="2:13" ht="18" customHeight="1">
      <c r="B233" s="48" t="s">
        <v>164</v>
      </c>
      <c r="C233" s="52"/>
      <c r="D233" s="50"/>
      <c r="E233" s="128"/>
      <c r="F233" s="50">
        <f>SUM(F225:F232)</f>
        <v>0</v>
      </c>
      <c r="G233" s="50"/>
      <c r="H233" s="52">
        <f>SUM(H225:H232)</f>
        <v>0</v>
      </c>
      <c r="I233" s="53">
        <f>ROUND((E225*F225+E226*F226+E227*F227+E228*F228+E229*F229+E230*F230+E231*F231+E232*F232),2)</f>
        <v>0</v>
      </c>
    </row>
    <row r="234" spans="2:13" ht="18" customHeight="1">
      <c r="B234" s="124" t="str">
        <f>B232</f>
        <v>6单银Low-E+12A+6</v>
      </c>
      <c r="C234" s="57">
        <f>C225</f>
        <v>-90</v>
      </c>
      <c r="D234" s="57">
        <f>D225</f>
        <v>-90</v>
      </c>
      <c r="E234" s="32">
        <f t="shared" si="30"/>
        <v>8.0999999999999996E-3</v>
      </c>
      <c r="F234" s="31">
        <f>IF(F225=0,G26,0)</f>
        <v>0</v>
      </c>
      <c r="G234" s="126">
        <f>G232</f>
        <v>148</v>
      </c>
      <c r="H234" s="31">
        <f t="shared" si="32"/>
        <v>0</v>
      </c>
      <c r="I234" s="45" t="s">
        <v>165</v>
      </c>
      <c r="J234" s="129"/>
    </row>
    <row r="235" spans="2:13" ht="18" customHeight="1">
      <c r="B235" s="124" t="str">
        <f t="shared" ref="B235:B241" si="34">B234</f>
        <v>6单银Low-E+12A+6</v>
      </c>
      <c r="C235" s="57">
        <f t="shared" ref="C235:D241" si="35">C226</f>
        <v>-90</v>
      </c>
      <c r="D235" s="57">
        <f t="shared" si="35"/>
        <v>-90</v>
      </c>
      <c r="E235" s="32">
        <f t="shared" si="30"/>
        <v>8.0999999999999996E-3</v>
      </c>
      <c r="F235" s="31">
        <f>IF(F226=0,G27,0)</f>
        <v>0</v>
      </c>
      <c r="G235" s="126">
        <f>G234</f>
        <v>148</v>
      </c>
      <c r="H235" s="31">
        <f t="shared" si="32"/>
        <v>0</v>
      </c>
      <c r="I235" s="45" t="s">
        <v>165</v>
      </c>
      <c r="J235" s="129"/>
    </row>
    <row r="236" spans="2:13" ht="18" customHeight="1">
      <c r="B236" s="124" t="str">
        <f t="shared" si="34"/>
        <v>6单银Low-E+12A+6</v>
      </c>
      <c r="C236" s="57">
        <f t="shared" si="35"/>
        <v>-90</v>
      </c>
      <c r="D236" s="57">
        <f t="shared" si="35"/>
        <v>-90</v>
      </c>
      <c r="E236" s="32">
        <f t="shared" si="30"/>
        <v>8.0999999999999996E-3</v>
      </c>
      <c r="F236" s="31">
        <f>IF(F227=0,G28,0)</f>
        <v>0</v>
      </c>
      <c r="G236" s="126">
        <f t="shared" ref="G236:G241" si="36">G234</f>
        <v>148</v>
      </c>
      <c r="H236" s="31">
        <f t="shared" si="32"/>
        <v>0</v>
      </c>
      <c r="I236" s="45" t="s">
        <v>165</v>
      </c>
      <c r="J236" s="129"/>
    </row>
    <row r="237" spans="2:13" ht="18" customHeight="1">
      <c r="B237" s="124" t="str">
        <f t="shared" si="34"/>
        <v>6单银Low-E+12A+6</v>
      </c>
      <c r="C237" s="57">
        <f t="shared" si="35"/>
        <v>-90</v>
      </c>
      <c r="D237" s="57">
        <f t="shared" si="35"/>
        <v>-90</v>
      </c>
      <c r="E237" s="32">
        <f t="shared" si="30"/>
        <v>8.0999999999999996E-3</v>
      </c>
      <c r="F237" s="31">
        <f>IF(F228=0,G29,0)</f>
        <v>0</v>
      </c>
      <c r="G237" s="126">
        <f t="shared" si="36"/>
        <v>148</v>
      </c>
      <c r="H237" s="31">
        <f t="shared" si="32"/>
        <v>0</v>
      </c>
      <c r="I237" s="45" t="s">
        <v>165</v>
      </c>
      <c r="J237" s="129"/>
    </row>
    <row r="238" spans="2:13" ht="18" customHeight="1">
      <c r="B238" s="124" t="str">
        <f t="shared" si="34"/>
        <v>6单银Low-E+12A+6</v>
      </c>
      <c r="C238" s="57">
        <f t="shared" si="35"/>
        <v>-90</v>
      </c>
      <c r="D238" s="57">
        <f t="shared" si="35"/>
        <v>-90</v>
      </c>
      <c r="E238" s="32">
        <f t="shared" si="30"/>
        <v>8.0999999999999996E-3</v>
      </c>
      <c r="F238" s="31">
        <f>IF(F229=0,G30,0)</f>
        <v>0</v>
      </c>
      <c r="G238" s="126">
        <f t="shared" si="36"/>
        <v>148</v>
      </c>
      <c r="H238" s="31">
        <f t="shared" si="32"/>
        <v>0</v>
      </c>
      <c r="I238" s="45" t="s">
        <v>165</v>
      </c>
      <c r="J238" s="129"/>
    </row>
    <row r="239" spans="2:13" ht="18" customHeight="1">
      <c r="B239" s="124" t="str">
        <f t="shared" si="34"/>
        <v>6单银Low-E+12A+6</v>
      </c>
      <c r="C239" s="57">
        <f t="shared" si="35"/>
        <v>-122</v>
      </c>
      <c r="D239" s="57">
        <f t="shared" si="35"/>
        <v>-122</v>
      </c>
      <c r="E239" s="32">
        <f t="shared" si="30"/>
        <v>1.4884E-2</v>
      </c>
      <c r="F239" s="31">
        <f>IF(F230=0,G35,0)</f>
        <v>0</v>
      </c>
      <c r="G239" s="126">
        <f t="shared" si="36"/>
        <v>148</v>
      </c>
      <c r="H239" s="31">
        <f t="shared" si="32"/>
        <v>0</v>
      </c>
      <c r="I239" s="127" t="s">
        <v>166</v>
      </c>
      <c r="J239" s="129"/>
    </row>
    <row r="240" spans="2:13" ht="18" customHeight="1">
      <c r="B240" s="124" t="str">
        <f t="shared" si="34"/>
        <v>6单银Low-E+12A+6</v>
      </c>
      <c r="C240" s="57">
        <f t="shared" si="35"/>
        <v>-122</v>
      </c>
      <c r="D240" s="57">
        <f t="shared" si="35"/>
        <v>-122</v>
      </c>
      <c r="E240" s="32">
        <f t="shared" si="30"/>
        <v>1.4884E-2</v>
      </c>
      <c r="F240" s="31">
        <f>IF(F231=0,G36,0)</f>
        <v>0</v>
      </c>
      <c r="G240" s="126">
        <f t="shared" si="36"/>
        <v>148</v>
      </c>
      <c r="H240" s="31">
        <f t="shared" si="32"/>
        <v>0</v>
      </c>
      <c r="I240" s="127" t="s">
        <v>166</v>
      </c>
      <c r="J240" s="129"/>
    </row>
    <row r="241" spans="1:16" ht="18" customHeight="1">
      <c r="B241" s="124" t="str">
        <f t="shared" si="34"/>
        <v>6单银Low-E+12A+6</v>
      </c>
      <c r="C241" s="57">
        <f t="shared" si="35"/>
        <v>-122</v>
      </c>
      <c r="D241" s="57">
        <f t="shared" si="35"/>
        <v>-122</v>
      </c>
      <c r="E241" s="32">
        <f t="shared" si="30"/>
        <v>1.4884E-2</v>
      </c>
      <c r="F241" s="31">
        <f>IF(F232=0,G37,0)</f>
        <v>0</v>
      </c>
      <c r="G241" s="126">
        <f t="shared" si="36"/>
        <v>148</v>
      </c>
      <c r="H241" s="31">
        <f t="shared" si="32"/>
        <v>0</v>
      </c>
      <c r="I241" s="127" t="s">
        <v>166</v>
      </c>
      <c r="J241" s="129"/>
    </row>
    <row r="242" spans="1:16" s="43" customFormat="1" ht="18" customHeight="1">
      <c r="A242" s="1"/>
      <c r="B242" s="48" t="s">
        <v>167</v>
      </c>
      <c r="C242" s="52"/>
      <c r="D242" s="50"/>
      <c r="E242" s="128"/>
      <c r="F242" s="50">
        <f>SUM(F234:F241)</f>
        <v>0</v>
      </c>
      <c r="G242" s="50"/>
      <c r="H242" s="52">
        <f>SUM(H234:H241)</f>
        <v>0</v>
      </c>
      <c r="I242" s="53">
        <f>ROUND(SUMPRODUCT(E234:E241*F234:F241),2)</f>
        <v>0</v>
      </c>
      <c r="J242" s="129"/>
      <c r="N242" s="4"/>
      <c r="O242" s="4"/>
      <c r="P242" s="4"/>
    </row>
    <row r="243" spans="1:16" s="43" customFormat="1" ht="18" customHeight="1">
      <c r="A243" s="1"/>
      <c r="B243" s="124" t="str">
        <f>B240</f>
        <v>6单银Low-E+12A+6</v>
      </c>
      <c r="C243" s="57">
        <f t="shared" ref="C243:D249" si="37">D68-12</f>
        <v>936</v>
      </c>
      <c r="D243" s="57">
        <f t="shared" si="37"/>
        <v>436</v>
      </c>
      <c r="E243" s="32">
        <f t="shared" si="30"/>
        <v>0.40809600000000001</v>
      </c>
      <c r="F243" s="82">
        <f t="shared" ref="F243:F249" si="38">G68</f>
        <v>1</v>
      </c>
      <c r="G243" s="130">
        <f>G241</f>
        <v>148</v>
      </c>
      <c r="H243" s="31">
        <f t="shared" ref="H243:H249" si="39">ROUND(E243*G243*F243,2)</f>
        <v>60.4</v>
      </c>
      <c r="I243" s="45" t="s">
        <v>168</v>
      </c>
      <c r="J243" s="129"/>
      <c r="N243" s="4"/>
      <c r="O243" s="4"/>
      <c r="P243" s="4"/>
    </row>
    <row r="244" spans="1:16" s="43" customFormat="1" ht="18" customHeight="1">
      <c r="A244" s="1"/>
      <c r="B244" s="124" t="str">
        <f t="shared" ref="B244:B249" si="40">B243</f>
        <v>6单银Low-E+12A+6</v>
      </c>
      <c r="C244" s="57">
        <f t="shared" si="37"/>
        <v>-12</v>
      </c>
      <c r="D244" s="57">
        <f t="shared" si="37"/>
        <v>-12</v>
      </c>
      <c r="E244" s="32">
        <f t="shared" si="30"/>
        <v>1.44E-4</v>
      </c>
      <c r="F244" s="82">
        <f t="shared" si="38"/>
        <v>0</v>
      </c>
      <c r="G244" s="130">
        <f t="shared" ref="G244:G249" si="41">G243</f>
        <v>148</v>
      </c>
      <c r="H244" s="31">
        <f t="shared" si="39"/>
        <v>0</v>
      </c>
      <c r="I244" s="45" t="s">
        <v>168</v>
      </c>
      <c r="J244" s="129"/>
      <c r="N244" s="4"/>
      <c r="O244" s="4"/>
      <c r="P244" s="4"/>
    </row>
    <row r="245" spans="1:16" s="43" customFormat="1" ht="18" customHeight="1">
      <c r="A245" s="1"/>
      <c r="B245" s="124" t="str">
        <f t="shared" si="40"/>
        <v>6单银Low-E+12A+6</v>
      </c>
      <c r="C245" s="57">
        <f t="shared" si="37"/>
        <v>-12</v>
      </c>
      <c r="D245" s="57">
        <f t="shared" si="37"/>
        <v>-12</v>
      </c>
      <c r="E245" s="32">
        <f t="shared" si="30"/>
        <v>1.44E-4</v>
      </c>
      <c r="F245" s="82">
        <f t="shared" si="38"/>
        <v>0</v>
      </c>
      <c r="G245" s="130">
        <f t="shared" si="41"/>
        <v>148</v>
      </c>
      <c r="H245" s="31">
        <f t="shared" si="39"/>
        <v>0</v>
      </c>
      <c r="I245" s="45" t="s">
        <v>168</v>
      </c>
      <c r="J245" s="129"/>
      <c r="N245" s="4"/>
      <c r="O245" s="4"/>
      <c r="P245" s="4"/>
    </row>
    <row r="246" spans="1:16" s="43" customFormat="1" ht="18" customHeight="1">
      <c r="A246" s="1"/>
      <c r="B246" s="124" t="str">
        <f t="shared" si="40"/>
        <v>6单银Low-E+12A+6</v>
      </c>
      <c r="C246" s="57">
        <f t="shared" si="37"/>
        <v>-12</v>
      </c>
      <c r="D246" s="57">
        <f t="shared" si="37"/>
        <v>-12</v>
      </c>
      <c r="E246" s="32">
        <f t="shared" si="30"/>
        <v>1.44E-4</v>
      </c>
      <c r="F246" s="82">
        <f t="shared" si="38"/>
        <v>0</v>
      </c>
      <c r="G246" s="130">
        <f t="shared" si="41"/>
        <v>148</v>
      </c>
      <c r="H246" s="31">
        <f t="shared" si="39"/>
        <v>0</v>
      </c>
      <c r="I246" s="45" t="s">
        <v>168</v>
      </c>
      <c r="J246" s="129"/>
      <c r="N246" s="4"/>
      <c r="O246" s="4"/>
      <c r="P246" s="4"/>
    </row>
    <row r="247" spans="1:16" s="43" customFormat="1" ht="18" customHeight="1">
      <c r="A247" s="1"/>
      <c r="B247" s="124" t="str">
        <f t="shared" si="40"/>
        <v>6单银Low-E+12A+6</v>
      </c>
      <c r="C247" s="57">
        <f t="shared" si="37"/>
        <v>-12</v>
      </c>
      <c r="D247" s="57">
        <f t="shared" si="37"/>
        <v>-12</v>
      </c>
      <c r="E247" s="32">
        <f t="shared" si="30"/>
        <v>1.44E-4</v>
      </c>
      <c r="F247" s="82">
        <f t="shared" si="38"/>
        <v>0</v>
      </c>
      <c r="G247" s="130">
        <f t="shared" si="41"/>
        <v>148</v>
      </c>
      <c r="H247" s="31">
        <f t="shared" si="39"/>
        <v>0</v>
      </c>
      <c r="I247" s="45" t="s">
        <v>168</v>
      </c>
      <c r="J247" s="129"/>
      <c r="N247" s="4"/>
      <c r="O247" s="4"/>
      <c r="P247" s="4"/>
    </row>
    <row r="248" spans="1:16" s="43" customFormat="1" ht="18" customHeight="1">
      <c r="A248" s="1"/>
      <c r="B248" s="124" t="str">
        <f t="shared" si="40"/>
        <v>6单银Low-E+12A+6</v>
      </c>
      <c r="C248" s="57">
        <f t="shared" si="37"/>
        <v>-12</v>
      </c>
      <c r="D248" s="57">
        <f t="shared" si="37"/>
        <v>-12</v>
      </c>
      <c r="E248" s="32">
        <f t="shared" si="30"/>
        <v>1.44E-4</v>
      </c>
      <c r="F248" s="82">
        <f t="shared" si="38"/>
        <v>0</v>
      </c>
      <c r="G248" s="130">
        <f t="shared" si="41"/>
        <v>148</v>
      </c>
      <c r="H248" s="31">
        <f t="shared" si="39"/>
        <v>0</v>
      </c>
      <c r="I248" s="45" t="s">
        <v>168</v>
      </c>
      <c r="J248" s="129"/>
      <c r="N248" s="4"/>
      <c r="O248" s="4"/>
      <c r="P248" s="4"/>
    </row>
    <row r="249" spans="1:16" s="43" customFormat="1" ht="18" customHeight="1">
      <c r="A249" s="1"/>
      <c r="B249" s="124" t="str">
        <f t="shared" si="40"/>
        <v>6单银Low-E+12A+6</v>
      </c>
      <c r="C249" s="57">
        <f t="shared" si="37"/>
        <v>-12</v>
      </c>
      <c r="D249" s="57">
        <f t="shared" si="37"/>
        <v>-12</v>
      </c>
      <c r="E249" s="32">
        <f t="shared" si="30"/>
        <v>1.44E-4</v>
      </c>
      <c r="F249" s="82">
        <f t="shared" si="38"/>
        <v>0</v>
      </c>
      <c r="G249" s="130">
        <f t="shared" si="41"/>
        <v>148</v>
      </c>
      <c r="H249" s="31">
        <f t="shared" si="39"/>
        <v>0</v>
      </c>
      <c r="I249" s="45" t="s">
        <v>168</v>
      </c>
      <c r="J249" s="129"/>
      <c r="N249" s="4"/>
      <c r="O249" s="4"/>
      <c r="P249" s="4"/>
    </row>
    <row r="250" spans="1:16" s="43" customFormat="1" ht="18" customHeight="1">
      <c r="A250" s="1"/>
      <c r="B250" s="131" t="str">
        <f>B246</f>
        <v>6单银Low-E+12A+6</v>
      </c>
      <c r="C250" s="52"/>
      <c r="D250" s="50"/>
      <c r="E250" s="128"/>
      <c r="F250" s="50">
        <f>SUM(F243:F249)</f>
        <v>1</v>
      </c>
      <c r="G250" s="50"/>
      <c r="H250" s="52">
        <f>SUM(H243:H249)</f>
        <v>60.4</v>
      </c>
      <c r="I250" s="53">
        <f>ROUND((E243*F243+E244*F244+E245*F245+E246*F246+E247*F247+E248*F248+E249*F249),2)</f>
        <v>0.41</v>
      </c>
      <c r="J250" s="43">
        <f>(I242+I258+I273+I280)</f>
        <v>0</v>
      </c>
      <c r="N250" s="4"/>
      <c r="O250" s="4"/>
      <c r="P250" s="4"/>
    </row>
    <row r="251" spans="1:16" s="43" customFormat="1" ht="18" customHeight="1">
      <c r="A251" s="1"/>
      <c r="B251" s="124" t="str">
        <f>B249</f>
        <v>6单银Low-E+12A+6</v>
      </c>
      <c r="C251" s="57">
        <f t="shared" ref="C251:D257" si="42">D75-12</f>
        <v>-12</v>
      </c>
      <c r="D251" s="57">
        <f t="shared" si="42"/>
        <v>-12</v>
      </c>
      <c r="E251" s="32">
        <f t="shared" si="30"/>
        <v>1.44E-4</v>
      </c>
      <c r="F251" s="82">
        <f t="shared" ref="F251:F257" si="43">G75</f>
        <v>0</v>
      </c>
      <c r="G251" s="130">
        <f>G249</f>
        <v>148</v>
      </c>
      <c r="H251" s="31">
        <f>ROUND(E251*G251*F251,2)</f>
        <v>0</v>
      </c>
      <c r="I251" s="132" t="s">
        <v>169</v>
      </c>
      <c r="N251" s="4"/>
      <c r="O251" s="4"/>
      <c r="P251" s="4"/>
    </row>
    <row r="252" spans="1:16" s="43" customFormat="1" ht="18" customHeight="1">
      <c r="A252" s="1"/>
      <c r="B252" s="124" t="str">
        <f t="shared" ref="B252:B257" si="44">B251</f>
        <v>6单银Low-E+12A+6</v>
      </c>
      <c r="C252" s="57">
        <f t="shared" si="42"/>
        <v>-12</v>
      </c>
      <c r="D252" s="57">
        <f t="shared" si="42"/>
        <v>-12</v>
      </c>
      <c r="E252" s="32">
        <f t="shared" si="30"/>
        <v>1.44E-4</v>
      </c>
      <c r="F252" s="82">
        <f t="shared" si="43"/>
        <v>0</v>
      </c>
      <c r="G252" s="130">
        <f t="shared" ref="G252:G257" si="45">G251</f>
        <v>148</v>
      </c>
      <c r="H252" s="31">
        <f t="shared" ref="H252:H264" si="46">ROUND(E252*G252*F252,2)</f>
        <v>0</v>
      </c>
      <c r="I252" s="132" t="str">
        <f t="shared" ref="I252:I257" si="47">I251</f>
        <v>固定钢化中空</v>
      </c>
      <c r="N252" s="4"/>
      <c r="O252" s="4"/>
      <c r="P252" s="4"/>
    </row>
    <row r="253" spans="1:16" s="43" customFormat="1" ht="18" customHeight="1">
      <c r="A253" s="1"/>
      <c r="B253" s="124" t="str">
        <f t="shared" si="44"/>
        <v>6单银Low-E+12A+6</v>
      </c>
      <c r="C253" s="57">
        <f t="shared" si="42"/>
        <v>-12</v>
      </c>
      <c r="D253" s="57">
        <f t="shared" si="42"/>
        <v>-12</v>
      </c>
      <c r="E253" s="32">
        <f t="shared" si="30"/>
        <v>1.44E-4</v>
      </c>
      <c r="F253" s="82">
        <f t="shared" si="43"/>
        <v>0</v>
      </c>
      <c r="G253" s="130">
        <f t="shared" si="45"/>
        <v>148</v>
      </c>
      <c r="H253" s="31">
        <f t="shared" si="46"/>
        <v>0</v>
      </c>
      <c r="I253" s="132" t="str">
        <f t="shared" si="47"/>
        <v>固定钢化中空</v>
      </c>
      <c r="N253" s="4"/>
      <c r="O253" s="4"/>
      <c r="P253" s="4"/>
    </row>
    <row r="254" spans="1:16" s="43" customFormat="1" ht="18" customHeight="1">
      <c r="A254" s="1"/>
      <c r="B254" s="124" t="str">
        <f t="shared" si="44"/>
        <v>6单银Low-E+12A+6</v>
      </c>
      <c r="C254" s="57">
        <f t="shared" si="42"/>
        <v>-12</v>
      </c>
      <c r="D254" s="57">
        <f t="shared" si="42"/>
        <v>-12</v>
      </c>
      <c r="E254" s="32">
        <f t="shared" si="30"/>
        <v>1.44E-4</v>
      </c>
      <c r="F254" s="82">
        <f t="shared" si="43"/>
        <v>0</v>
      </c>
      <c r="G254" s="130">
        <f t="shared" si="45"/>
        <v>148</v>
      </c>
      <c r="H254" s="31">
        <f t="shared" si="46"/>
        <v>0</v>
      </c>
      <c r="I254" s="132" t="str">
        <f t="shared" si="47"/>
        <v>固定钢化中空</v>
      </c>
      <c r="J254" s="42"/>
      <c r="N254" s="4"/>
      <c r="O254" s="4"/>
      <c r="P254" s="4"/>
    </row>
    <row r="255" spans="1:16" s="43" customFormat="1" ht="18" customHeight="1">
      <c r="A255" s="1"/>
      <c r="B255" s="124" t="str">
        <f t="shared" si="44"/>
        <v>6单银Low-E+12A+6</v>
      </c>
      <c r="C255" s="57">
        <f t="shared" si="42"/>
        <v>-12</v>
      </c>
      <c r="D255" s="57">
        <f t="shared" si="42"/>
        <v>-12</v>
      </c>
      <c r="E255" s="32">
        <f t="shared" si="30"/>
        <v>1.44E-4</v>
      </c>
      <c r="F255" s="82">
        <f t="shared" si="43"/>
        <v>0</v>
      </c>
      <c r="G255" s="130">
        <f t="shared" si="45"/>
        <v>148</v>
      </c>
      <c r="H255" s="31">
        <f t="shared" si="46"/>
        <v>0</v>
      </c>
      <c r="I255" s="132" t="str">
        <f t="shared" si="47"/>
        <v>固定钢化中空</v>
      </c>
      <c r="N255" s="4"/>
      <c r="O255" s="4"/>
      <c r="P255" s="4"/>
    </row>
    <row r="256" spans="1:16" s="43" customFormat="1" ht="18" customHeight="1">
      <c r="A256" s="1"/>
      <c r="B256" s="124" t="str">
        <f t="shared" si="44"/>
        <v>6单银Low-E+12A+6</v>
      </c>
      <c r="C256" s="57">
        <f t="shared" si="42"/>
        <v>-12</v>
      </c>
      <c r="D256" s="57">
        <f t="shared" si="42"/>
        <v>-12</v>
      </c>
      <c r="E256" s="32">
        <f t="shared" si="30"/>
        <v>1.44E-4</v>
      </c>
      <c r="F256" s="82">
        <f t="shared" si="43"/>
        <v>0</v>
      </c>
      <c r="G256" s="130">
        <f t="shared" si="45"/>
        <v>148</v>
      </c>
      <c r="H256" s="31">
        <f t="shared" si="46"/>
        <v>0</v>
      </c>
      <c r="I256" s="132" t="str">
        <f t="shared" si="47"/>
        <v>固定钢化中空</v>
      </c>
      <c r="N256" s="4"/>
      <c r="O256" s="4"/>
      <c r="P256" s="4"/>
    </row>
    <row r="257" spans="1:16" s="43" customFormat="1" ht="18" customHeight="1">
      <c r="A257" s="1"/>
      <c r="B257" s="124" t="str">
        <f t="shared" si="44"/>
        <v>6单银Low-E+12A+6</v>
      </c>
      <c r="C257" s="57">
        <f t="shared" si="42"/>
        <v>-12</v>
      </c>
      <c r="D257" s="57">
        <f t="shared" si="42"/>
        <v>-12</v>
      </c>
      <c r="E257" s="32">
        <f t="shared" si="30"/>
        <v>1.44E-4</v>
      </c>
      <c r="F257" s="82">
        <f t="shared" si="43"/>
        <v>0</v>
      </c>
      <c r="G257" s="130">
        <f t="shared" si="45"/>
        <v>148</v>
      </c>
      <c r="H257" s="31">
        <f t="shared" si="46"/>
        <v>0</v>
      </c>
      <c r="I257" s="132" t="str">
        <f t="shared" si="47"/>
        <v>固定钢化中空</v>
      </c>
      <c r="N257" s="4"/>
      <c r="O257" s="4"/>
      <c r="P257" s="4"/>
    </row>
    <row r="258" spans="1:16" s="43" customFormat="1" ht="18" customHeight="1">
      <c r="A258" s="1"/>
      <c r="B258" s="48" t="s">
        <v>170</v>
      </c>
      <c r="C258" s="52"/>
      <c r="D258" s="50"/>
      <c r="E258" s="128"/>
      <c r="F258" s="50">
        <f>SUM(F251:F257)</f>
        <v>0</v>
      </c>
      <c r="G258" s="50"/>
      <c r="H258" s="52">
        <f>SUM(H251:H257)</f>
        <v>0</v>
      </c>
      <c r="I258" s="53">
        <f>ROUND((E251*F251+E252*F252+E253*F253+E254*F254+E255*F255+E256*F256+E257*F257),2)</f>
        <v>0</v>
      </c>
      <c r="N258" s="4"/>
      <c r="O258" s="4"/>
      <c r="P258" s="4"/>
    </row>
    <row r="259" spans="1:16" s="43" customFormat="1" ht="18" customHeight="1">
      <c r="A259" s="1"/>
      <c r="B259" s="124" t="str">
        <f>B257</f>
        <v>6单银Low-E+12A+6</v>
      </c>
      <c r="C259" s="57">
        <f t="shared" ref="C259:D264" si="48">D82-12</f>
        <v>-12</v>
      </c>
      <c r="D259" s="57">
        <f t="shared" si="48"/>
        <v>-12</v>
      </c>
      <c r="E259" s="32">
        <f t="shared" si="30"/>
        <v>1.44E-4</v>
      </c>
      <c r="F259" s="82">
        <f t="shared" ref="F259:F264" si="49">G82</f>
        <v>0</v>
      </c>
      <c r="G259" s="130">
        <f>G257</f>
        <v>148</v>
      </c>
      <c r="H259" s="31">
        <f t="shared" si="46"/>
        <v>0</v>
      </c>
      <c r="I259" s="45" t="s">
        <v>171</v>
      </c>
      <c r="N259" s="4"/>
      <c r="O259" s="4"/>
      <c r="P259" s="4"/>
    </row>
    <row r="260" spans="1:16" s="43" customFormat="1" ht="18" customHeight="1">
      <c r="A260" s="1"/>
      <c r="B260" s="124" t="str">
        <f>B259</f>
        <v>6单银Low-E+12A+6</v>
      </c>
      <c r="C260" s="57">
        <f t="shared" si="48"/>
        <v>-12</v>
      </c>
      <c r="D260" s="57">
        <f t="shared" si="48"/>
        <v>-12</v>
      </c>
      <c r="E260" s="32">
        <f t="shared" si="30"/>
        <v>1.44E-4</v>
      </c>
      <c r="F260" s="82">
        <f t="shared" si="49"/>
        <v>0</v>
      </c>
      <c r="G260" s="130">
        <f>G259</f>
        <v>148</v>
      </c>
      <c r="H260" s="31">
        <f t="shared" si="46"/>
        <v>0</v>
      </c>
      <c r="I260" s="45" t="s">
        <v>171</v>
      </c>
      <c r="N260" s="4"/>
      <c r="O260" s="4"/>
      <c r="P260" s="4"/>
    </row>
    <row r="261" spans="1:16" s="43" customFormat="1" ht="18" customHeight="1">
      <c r="A261" s="1"/>
      <c r="B261" s="124" t="str">
        <f>B260</f>
        <v>6单银Low-E+12A+6</v>
      </c>
      <c r="C261" s="57">
        <f t="shared" si="48"/>
        <v>-12</v>
      </c>
      <c r="D261" s="57">
        <f t="shared" si="48"/>
        <v>-12</v>
      </c>
      <c r="E261" s="32">
        <f t="shared" si="30"/>
        <v>1.44E-4</v>
      </c>
      <c r="F261" s="82">
        <f t="shared" si="49"/>
        <v>0</v>
      </c>
      <c r="G261" s="130">
        <f>G260</f>
        <v>148</v>
      </c>
      <c r="H261" s="31">
        <f t="shared" si="46"/>
        <v>0</v>
      </c>
      <c r="I261" s="45" t="s">
        <v>171</v>
      </c>
      <c r="N261" s="4"/>
      <c r="O261" s="4"/>
      <c r="P261" s="4"/>
    </row>
    <row r="262" spans="1:16" s="43" customFormat="1" ht="18" customHeight="1">
      <c r="A262" s="1"/>
      <c r="B262" s="124" t="str">
        <f>B261</f>
        <v>6单银Low-E+12A+6</v>
      </c>
      <c r="C262" s="57">
        <f t="shared" si="48"/>
        <v>-12</v>
      </c>
      <c r="D262" s="57">
        <f t="shared" si="48"/>
        <v>-12</v>
      </c>
      <c r="E262" s="32">
        <f t="shared" si="30"/>
        <v>1.44E-4</v>
      </c>
      <c r="F262" s="82">
        <f t="shared" si="49"/>
        <v>0</v>
      </c>
      <c r="G262" s="130">
        <f>G261</f>
        <v>148</v>
      </c>
      <c r="H262" s="31">
        <f t="shared" si="46"/>
        <v>0</v>
      </c>
      <c r="I262" s="45" t="s">
        <v>171</v>
      </c>
      <c r="N262" s="4"/>
      <c r="O262" s="4"/>
      <c r="P262" s="4"/>
    </row>
    <row r="263" spans="1:16" s="43" customFormat="1" ht="18" customHeight="1">
      <c r="A263" s="1"/>
      <c r="B263" s="124" t="str">
        <f>B262</f>
        <v>6单银Low-E+12A+6</v>
      </c>
      <c r="C263" s="57">
        <f t="shared" si="48"/>
        <v>-12</v>
      </c>
      <c r="D263" s="57">
        <f t="shared" si="48"/>
        <v>-12</v>
      </c>
      <c r="E263" s="32">
        <f t="shared" si="30"/>
        <v>1.44E-4</v>
      </c>
      <c r="F263" s="82">
        <f t="shared" si="49"/>
        <v>0</v>
      </c>
      <c r="G263" s="130">
        <f>G262</f>
        <v>148</v>
      </c>
      <c r="H263" s="31">
        <f t="shared" si="46"/>
        <v>0</v>
      </c>
      <c r="I263" s="45" t="s">
        <v>171</v>
      </c>
      <c r="N263" s="4"/>
      <c r="O263" s="4"/>
      <c r="P263" s="4"/>
    </row>
    <row r="264" spans="1:16" s="43" customFormat="1" ht="18" customHeight="1">
      <c r="A264" s="1"/>
      <c r="B264" s="124" t="str">
        <f>B263</f>
        <v>6单银Low-E+12A+6</v>
      </c>
      <c r="C264" s="57">
        <f t="shared" si="48"/>
        <v>-12</v>
      </c>
      <c r="D264" s="57">
        <f t="shared" si="48"/>
        <v>-12</v>
      </c>
      <c r="E264" s="32">
        <f t="shared" si="30"/>
        <v>1.44E-4</v>
      </c>
      <c r="F264" s="82">
        <f t="shared" si="49"/>
        <v>0</v>
      </c>
      <c r="G264" s="130">
        <f>G263</f>
        <v>148</v>
      </c>
      <c r="H264" s="31">
        <f t="shared" si="46"/>
        <v>0</v>
      </c>
      <c r="I264" s="45" t="s">
        <v>171</v>
      </c>
      <c r="N264" s="4"/>
      <c r="O264" s="4"/>
      <c r="P264" s="4"/>
    </row>
    <row r="265" spans="1:16" s="43" customFormat="1" ht="18" customHeight="1">
      <c r="A265" s="1"/>
      <c r="B265" s="48" t="s">
        <v>172</v>
      </c>
      <c r="C265" s="52"/>
      <c r="D265" s="50"/>
      <c r="E265" s="128"/>
      <c r="F265" s="50">
        <f>SUM(F259:F264)</f>
        <v>0</v>
      </c>
      <c r="G265" s="50"/>
      <c r="H265" s="52">
        <f>SUM(H259:H264)</f>
        <v>0</v>
      </c>
      <c r="I265" s="53">
        <f>ROUND(SUMPRODUCT(E259:E264*F259:F264),2)</f>
        <v>0</v>
      </c>
      <c r="N265" s="4"/>
      <c r="O265" s="4"/>
      <c r="P265" s="4"/>
    </row>
    <row r="266" spans="1:16" s="43" customFormat="1" ht="18" customHeight="1">
      <c r="A266" s="1"/>
      <c r="B266" s="124" t="str">
        <f>B264</f>
        <v>6单银Low-E+12A+6</v>
      </c>
      <c r="C266" s="133">
        <f t="shared" ref="C266:D268" si="50">D143</f>
        <v>315</v>
      </c>
      <c r="D266" s="133">
        <f t="shared" si="50"/>
        <v>1818</v>
      </c>
      <c r="E266" s="32">
        <f t="shared" si="30"/>
        <v>0.57267000000000001</v>
      </c>
      <c r="F266" s="134">
        <f>G143</f>
        <v>2</v>
      </c>
      <c r="G266" s="135">
        <f>G264</f>
        <v>148</v>
      </c>
      <c r="H266" s="134">
        <f>ROUND(E266*G266*F266,2)</f>
        <v>169.51</v>
      </c>
      <c r="I266" s="136" t="s">
        <v>173</v>
      </c>
      <c r="N266" s="4"/>
      <c r="O266" s="4"/>
      <c r="P266" s="4"/>
    </row>
    <row r="267" spans="1:16" s="43" customFormat="1" ht="18" customHeight="1">
      <c r="A267" s="1"/>
      <c r="B267" s="124" t="str">
        <f>B264</f>
        <v>6单银Low-E+12A+6</v>
      </c>
      <c r="C267" s="133">
        <f t="shared" si="50"/>
        <v>-154</v>
      </c>
      <c r="D267" s="133">
        <f t="shared" si="50"/>
        <v>-154</v>
      </c>
      <c r="E267" s="32">
        <f t="shared" si="30"/>
        <v>2.3716000000000001E-2</v>
      </c>
      <c r="F267" s="134">
        <f>G144</f>
        <v>0</v>
      </c>
      <c r="G267" s="135">
        <f>G266</f>
        <v>148</v>
      </c>
      <c r="H267" s="134">
        <f>ROUND(E267*G267*F267,2)</f>
        <v>0</v>
      </c>
      <c r="I267" s="136" t="s">
        <v>173</v>
      </c>
      <c r="N267" s="4"/>
      <c r="O267" s="4"/>
      <c r="P267" s="4"/>
    </row>
    <row r="268" spans="1:16" s="43" customFormat="1" ht="18" customHeight="1">
      <c r="A268" s="1"/>
      <c r="B268" s="124" t="str">
        <f>B267</f>
        <v>6单银Low-E+12A+6</v>
      </c>
      <c r="C268" s="133">
        <f t="shared" si="50"/>
        <v>-154</v>
      </c>
      <c r="D268" s="133">
        <f t="shared" si="50"/>
        <v>-154</v>
      </c>
      <c r="E268" s="32">
        <f t="shared" si="30"/>
        <v>2.3716000000000001E-2</v>
      </c>
      <c r="F268" s="134">
        <f>G145</f>
        <v>0</v>
      </c>
      <c r="G268" s="135">
        <f>G267</f>
        <v>148</v>
      </c>
      <c r="H268" s="134">
        <f>ROUND(E268*G268*F268,2)</f>
        <v>0</v>
      </c>
      <c r="I268" s="136" t="s">
        <v>173</v>
      </c>
      <c r="N268" s="4"/>
      <c r="O268" s="4"/>
      <c r="P268" s="4"/>
    </row>
    <row r="269" spans="1:16" s="43" customFormat="1" ht="18" customHeight="1">
      <c r="A269" s="1"/>
      <c r="B269" s="48" t="s">
        <v>174</v>
      </c>
      <c r="C269" s="52"/>
      <c r="D269" s="50"/>
      <c r="E269" s="128"/>
      <c r="F269" s="50">
        <f>SUM(F266:F268)</f>
        <v>2</v>
      </c>
      <c r="G269" s="50"/>
      <c r="H269" s="52">
        <f>SUM(H266:H268)</f>
        <v>169.51</v>
      </c>
      <c r="I269" s="53">
        <f>ROUND((E266*F266+E267*F267+E268*F268),2)</f>
        <v>1.1499999999999999</v>
      </c>
      <c r="N269" s="4"/>
      <c r="O269" s="4"/>
      <c r="P269" s="4"/>
    </row>
    <row r="270" spans="1:16" s="43" customFormat="1" ht="18" customHeight="1">
      <c r="A270" s="1"/>
      <c r="B270" s="124" t="str">
        <f>B268</f>
        <v>6单银Low-E+12A+6</v>
      </c>
      <c r="C270" s="133">
        <f t="shared" ref="C270:D272" si="51">D150</f>
        <v>-160</v>
      </c>
      <c r="D270" s="133">
        <f t="shared" si="51"/>
        <v>-160</v>
      </c>
      <c r="E270" s="32">
        <f t="shared" si="30"/>
        <v>2.5600000000000001E-2</v>
      </c>
      <c r="F270" s="134">
        <f>G150</f>
        <v>0</v>
      </c>
      <c r="G270" s="135">
        <f>G268</f>
        <v>148</v>
      </c>
      <c r="H270" s="134">
        <f>ROUND(E270*G270*F270,2)</f>
        <v>0</v>
      </c>
      <c r="I270" s="136" t="s">
        <v>173</v>
      </c>
      <c r="N270" s="4"/>
      <c r="O270" s="4"/>
      <c r="P270" s="4"/>
    </row>
    <row r="271" spans="1:16" s="43" customFormat="1" ht="18" customHeight="1">
      <c r="A271" s="1"/>
      <c r="B271" s="124" t="str">
        <f>B270</f>
        <v>6单银Low-E+12A+6</v>
      </c>
      <c r="C271" s="133">
        <f t="shared" si="51"/>
        <v>-160</v>
      </c>
      <c r="D271" s="133">
        <f t="shared" si="51"/>
        <v>-160</v>
      </c>
      <c r="E271" s="32">
        <f t="shared" si="30"/>
        <v>2.5600000000000001E-2</v>
      </c>
      <c r="F271" s="134">
        <f>G151</f>
        <v>0</v>
      </c>
      <c r="G271" s="135">
        <f>G270</f>
        <v>148</v>
      </c>
      <c r="H271" s="134">
        <f>ROUND(E271*G271*F271,2)</f>
        <v>0</v>
      </c>
      <c r="I271" s="136" t="s">
        <v>173</v>
      </c>
      <c r="N271" s="4"/>
      <c r="O271" s="4"/>
      <c r="P271" s="4"/>
    </row>
    <row r="272" spans="1:16" s="43" customFormat="1" ht="18" customHeight="1">
      <c r="A272" s="1"/>
      <c r="B272" s="124" t="str">
        <f>B271</f>
        <v>6单银Low-E+12A+6</v>
      </c>
      <c r="C272" s="133">
        <f t="shared" si="51"/>
        <v>-160</v>
      </c>
      <c r="D272" s="133">
        <f t="shared" si="51"/>
        <v>-160</v>
      </c>
      <c r="E272" s="32">
        <f t="shared" si="30"/>
        <v>2.5600000000000001E-2</v>
      </c>
      <c r="F272" s="134">
        <f>G152</f>
        <v>0</v>
      </c>
      <c r="G272" s="135">
        <f>G271</f>
        <v>148</v>
      </c>
      <c r="H272" s="134">
        <f>ROUND(E272*G272*F272,2)</f>
        <v>0</v>
      </c>
      <c r="I272" s="136" t="s">
        <v>173</v>
      </c>
      <c r="N272" s="4"/>
      <c r="O272" s="4"/>
      <c r="P272" s="4"/>
    </row>
    <row r="273" spans="1:16" s="43" customFormat="1" ht="18" customHeight="1">
      <c r="A273" s="1"/>
      <c r="B273" s="48" t="s">
        <v>175</v>
      </c>
      <c r="C273" s="52"/>
      <c r="D273" s="50"/>
      <c r="E273" s="128"/>
      <c r="F273" s="50">
        <f>SUM(F270:F272)</f>
        <v>0</v>
      </c>
      <c r="G273" s="50"/>
      <c r="H273" s="52">
        <f>SUM(H270:H272)</f>
        <v>0</v>
      </c>
      <c r="I273" s="53">
        <f>ROUND((E270*F270+E271*F271+E272*F272),2)</f>
        <v>0</v>
      </c>
      <c r="N273" s="4"/>
      <c r="O273" s="4"/>
      <c r="P273" s="4"/>
    </row>
    <row r="274" spans="1:16" ht="18" customHeight="1">
      <c r="B274" s="124" t="str">
        <f>B272</f>
        <v>6单银Low-E+12A+6</v>
      </c>
      <c r="C274" s="133">
        <f t="shared" ref="C274:D279" si="52">D157-12</f>
        <v>-12</v>
      </c>
      <c r="D274" s="133">
        <f t="shared" si="52"/>
        <v>-12</v>
      </c>
      <c r="E274" s="32">
        <f t="shared" si="30"/>
        <v>1.44E-4</v>
      </c>
      <c r="F274" s="134">
        <f t="shared" ref="F274:F279" si="53">G157</f>
        <v>0</v>
      </c>
      <c r="G274" s="135">
        <f>G272</f>
        <v>148</v>
      </c>
      <c r="H274" s="134">
        <f t="shared" ref="H274:H279" si="54">ROUND(E274*G274*F274,2)</f>
        <v>0</v>
      </c>
      <c r="I274" s="136" t="s">
        <v>176</v>
      </c>
    </row>
    <row r="275" spans="1:16" ht="18" customHeight="1">
      <c r="B275" s="124" t="str">
        <f>B274</f>
        <v>6单银Low-E+12A+6</v>
      </c>
      <c r="C275" s="133">
        <f t="shared" si="52"/>
        <v>-12</v>
      </c>
      <c r="D275" s="133">
        <f t="shared" si="52"/>
        <v>-12</v>
      </c>
      <c r="E275" s="32">
        <f t="shared" si="30"/>
        <v>1.44E-4</v>
      </c>
      <c r="F275" s="134">
        <f t="shared" si="53"/>
        <v>0</v>
      </c>
      <c r="G275" s="135">
        <f>G274</f>
        <v>148</v>
      </c>
      <c r="H275" s="134">
        <f t="shared" si="54"/>
        <v>0</v>
      </c>
      <c r="I275" s="136" t="str">
        <f>I274</f>
        <v>门钢化中空玻璃</v>
      </c>
      <c r="K275" s="43" t="s">
        <v>177</v>
      </c>
    </row>
    <row r="276" spans="1:16" ht="18" customHeight="1">
      <c r="B276" s="124" t="str">
        <f>B275</f>
        <v>6单银Low-E+12A+6</v>
      </c>
      <c r="C276" s="133">
        <f t="shared" si="52"/>
        <v>-12</v>
      </c>
      <c r="D276" s="133">
        <f t="shared" si="52"/>
        <v>-12</v>
      </c>
      <c r="E276" s="32">
        <f t="shared" si="30"/>
        <v>1.44E-4</v>
      </c>
      <c r="F276" s="134">
        <f t="shared" si="53"/>
        <v>0</v>
      </c>
      <c r="G276" s="135">
        <f>G275</f>
        <v>148</v>
      </c>
      <c r="H276" s="134">
        <f t="shared" si="54"/>
        <v>0</v>
      </c>
      <c r="I276" s="136" t="str">
        <f>I275</f>
        <v>门钢化中空玻璃</v>
      </c>
    </row>
    <row r="277" spans="1:16" ht="18" customHeight="1">
      <c r="B277" s="124" t="str">
        <f>B276</f>
        <v>6单银Low-E+12A+6</v>
      </c>
      <c r="C277" s="133">
        <f t="shared" si="52"/>
        <v>-12</v>
      </c>
      <c r="D277" s="133">
        <f t="shared" si="52"/>
        <v>-12</v>
      </c>
      <c r="E277" s="32">
        <f t="shared" si="30"/>
        <v>1.44E-4</v>
      </c>
      <c r="F277" s="134">
        <f t="shared" si="53"/>
        <v>0</v>
      </c>
      <c r="G277" s="135">
        <f>G276</f>
        <v>148</v>
      </c>
      <c r="H277" s="134">
        <f t="shared" si="54"/>
        <v>0</v>
      </c>
      <c r="I277" s="136" t="str">
        <f>I276</f>
        <v>门钢化中空玻璃</v>
      </c>
    </row>
    <row r="278" spans="1:16" ht="18" customHeight="1">
      <c r="B278" s="124" t="str">
        <f>B277</f>
        <v>6单银Low-E+12A+6</v>
      </c>
      <c r="C278" s="133">
        <f t="shared" si="52"/>
        <v>-12</v>
      </c>
      <c r="D278" s="133">
        <f t="shared" si="52"/>
        <v>-12</v>
      </c>
      <c r="E278" s="32">
        <f t="shared" si="30"/>
        <v>1.44E-4</v>
      </c>
      <c r="F278" s="134">
        <f t="shared" si="53"/>
        <v>0</v>
      </c>
      <c r="G278" s="135">
        <f>G277</f>
        <v>148</v>
      </c>
      <c r="H278" s="134">
        <f t="shared" si="54"/>
        <v>0</v>
      </c>
      <c r="I278" s="136" t="str">
        <f>I277</f>
        <v>门钢化中空玻璃</v>
      </c>
    </row>
    <row r="279" spans="1:16" ht="18" customHeight="1">
      <c r="B279" s="124" t="str">
        <f>B278</f>
        <v>6单银Low-E+12A+6</v>
      </c>
      <c r="C279" s="133">
        <f t="shared" si="52"/>
        <v>-12</v>
      </c>
      <c r="D279" s="133">
        <f t="shared" si="52"/>
        <v>-12</v>
      </c>
      <c r="E279" s="32">
        <f t="shared" si="30"/>
        <v>1.44E-4</v>
      </c>
      <c r="F279" s="134">
        <f t="shared" si="53"/>
        <v>0</v>
      </c>
      <c r="G279" s="135">
        <f>G278</f>
        <v>148</v>
      </c>
      <c r="H279" s="134">
        <f t="shared" si="54"/>
        <v>0</v>
      </c>
      <c r="I279" s="136" t="str">
        <f>I278</f>
        <v>门钢化中空玻璃</v>
      </c>
    </row>
    <row r="280" spans="1:16" ht="18" customHeight="1">
      <c r="B280" s="48" t="s">
        <v>178</v>
      </c>
      <c r="C280" s="52"/>
      <c r="D280" s="50"/>
      <c r="E280" s="128"/>
      <c r="F280" s="50">
        <f>SUM(F274:F279)</f>
        <v>0</v>
      </c>
      <c r="G280" s="50"/>
      <c r="H280" s="52">
        <f>SUM(H274:H279)</f>
        <v>0</v>
      </c>
      <c r="I280" s="53">
        <f>ROUND(SUMPRODUCT(E274:E279*F274:F279),2)</f>
        <v>0</v>
      </c>
    </row>
    <row r="281" spans="1:16" ht="18" customHeight="1">
      <c r="B281" s="124" t="str">
        <f>材料价格!A10</f>
        <v>6单银Low-E+12A+6</v>
      </c>
      <c r="C281" s="133">
        <f>C252</f>
        <v>-12</v>
      </c>
      <c r="D281" s="133">
        <f>D252</f>
        <v>-12</v>
      </c>
      <c r="E281" s="32">
        <f t="shared" si="30"/>
        <v>1.44E-4</v>
      </c>
      <c r="F281" s="134"/>
      <c r="G281" s="137">
        <f>材料价格!B10</f>
        <v>148</v>
      </c>
      <c r="H281" s="134">
        <f>ROUND(E281*G281*F281,2)</f>
        <v>0</v>
      </c>
      <c r="I281" s="45" t="s">
        <v>179</v>
      </c>
    </row>
    <row r="282" spans="1:16" ht="18" customHeight="1">
      <c r="B282" s="124" t="str">
        <f>B281</f>
        <v>6单银Low-E+12A+6</v>
      </c>
      <c r="C282" s="133">
        <f>C253</f>
        <v>-12</v>
      </c>
      <c r="D282" s="133">
        <f>D253</f>
        <v>-12</v>
      </c>
      <c r="E282" s="32">
        <f t="shared" si="30"/>
        <v>1.44E-4</v>
      </c>
      <c r="F282" s="134"/>
      <c r="G282" s="135">
        <f>G281</f>
        <v>148</v>
      </c>
      <c r="H282" s="134">
        <f>ROUND(E282*G282*F282,2)</f>
        <v>0</v>
      </c>
      <c r="I282" s="45" t="s">
        <v>179</v>
      </c>
      <c r="J282" s="4"/>
      <c r="K282" s="4"/>
      <c r="L282" s="4"/>
      <c r="M282" s="4"/>
    </row>
    <row r="283" spans="1:16" ht="18" customHeight="1">
      <c r="B283" s="124" t="str">
        <f>B282</f>
        <v>6单银Low-E+12A+6</v>
      </c>
      <c r="C283" s="133">
        <f>D84-12</f>
        <v>-12</v>
      </c>
      <c r="D283" s="133">
        <f>E84-12</f>
        <v>-12</v>
      </c>
      <c r="E283" s="32">
        <f t="shared" si="30"/>
        <v>1.44E-4</v>
      </c>
      <c r="F283" s="134">
        <f>G84</f>
        <v>0</v>
      </c>
      <c r="G283" s="135">
        <f>G282</f>
        <v>148</v>
      </c>
      <c r="H283" s="134">
        <f>ROUND(E283*G283*F283,2)</f>
        <v>0</v>
      </c>
      <c r="I283" s="45" t="s">
        <v>179</v>
      </c>
      <c r="J283" s="4"/>
      <c r="K283" s="4"/>
      <c r="L283" s="4"/>
      <c r="M283" s="4"/>
    </row>
    <row r="284" spans="1:16" ht="18" customHeight="1">
      <c r="B284" s="124" t="str">
        <f>B283</f>
        <v>6单银Low-E+12A+6</v>
      </c>
      <c r="C284" s="133">
        <f>D85-12</f>
        <v>-12</v>
      </c>
      <c r="D284" s="133">
        <f>E85-12</f>
        <v>-12</v>
      </c>
      <c r="E284" s="32">
        <f t="shared" si="30"/>
        <v>1.44E-4</v>
      </c>
      <c r="F284" s="134">
        <f>G85</f>
        <v>0</v>
      </c>
      <c r="G284" s="135">
        <f>G283</f>
        <v>148</v>
      </c>
      <c r="H284" s="134">
        <f>ROUND(E284*G284*F284,2)</f>
        <v>0</v>
      </c>
      <c r="I284" s="45" t="s">
        <v>179</v>
      </c>
      <c r="J284" s="4"/>
      <c r="K284" s="4"/>
      <c r="L284" s="4"/>
      <c r="M284" s="4"/>
    </row>
    <row r="285" spans="1:16" ht="18" customHeight="1">
      <c r="B285" s="48" t="s">
        <v>180</v>
      </c>
      <c r="C285" s="52"/>
      <c r="D285" s="50"/>
      <c r="E285" s="50"/>
      <c r="F285" s="50">
        <f>SUM(F281:F284)</f>
        <v>0</v>
      </c>
      <c r="G285" s="50"/>
      <c r="H285" s="52">
        <f>SUM(H281:H284)</f>
        <v>0</v>
      </c>
      <c r="I285" s="53">
        <f>ROUND((E281*F281+E282*F282+E283*F283+E284*F284),2)</f>
        <v>0</v>
      </c>
      <c r="J285" s="4"/>
      <c r="K285" s="4"/>
      <c r="L285" s="4"/>
      <c r="M285" s="4"/>
    </row>
    <row r="286" spans="1:16" ht="18" customHeight="1">
      <c r="B286" s="124" t="str">
        <f>材料价格!A11</f>
        <v>8单银Low-E+12Ar+8+12A+8mm</v>
      </c>
      <c r="C286" s="133"/>
      <c r="D286" s="133"/>
      <c r="E286" s="32">
        <f>C286*D286/10^6</f>
        <v>0</v>
      </c>
      <c r="F286" s="134"/>
      <c r="G286" s="137">
        <f>材料价格!B11</f>
        <v>312</v>
      </c>
      <c r="H286" s="134">
        <f>ROUND(E286*G286*F286,2)</f>
        <v>0</v>
      </c>
      <c r="I286" s="45" t="s">
        <v>181</v>
      </c>
      <c r="J286" s="4"/>
      <c r="K286" s="4"/>
      <c r="L286" s="4"/>
      <c r="M286" s="4"/>
    </row>
    <row r="287" spans="1:16" ht="18" customHeight="1">
      <c r="B287" s="124" t="str">
        <f>B286</f>
        <v>8单银Low-E+12Ar+8+12A+8mm</v>
      </c>
      <c r="C287" s="133"/>
      <c r="D287" s="133"/>
      <c r="E287" s="32">
        <f>C287*D287/10^6</f>
        <v>0</v>
      </c>
      <c r="F287" s="134"/>
      <c r="G287" s="135">
        <f>G286</f>
        <v>312</v>
      </c>
      <c r="H287" s="134">
        <f>ROUND(E287*G287*F287,2)</f>
        <v>0</v>
      </c>
      <c r="I287" s="45" t="s">
        <v>181</v>
      </c>
      <c r="J287" s="4"/>
      <c r="K287" s="4"/>
      <c r="L287" s="4"/>
      <c r="M287" s="4"/>
    </row>
    <row r="288" spans="1:16" ht="18" customHeight="1">
      <c r="B288" s="138" t="str">
        <f>材料价格!A12</f>
        <v>10单银Low-E+12Ar+10+12A+10mm</v>
      </c>
      <c r="C288" s="139"/>
      <c r="D288" s="139"/>
      <c r="E288" s="140">
        <f>C288*D288/10^6</f>
        <v>0</v>
      </c>
      <c r="F288" s="141"/>
      <c r="G288" s="142">
        <f>材料价格!B12</f>
        <v>395</v>
      </c>
      <c r="H288" s="141">
        <f>ROUND(E288*G288*F288,2)</f>
        <v>0</v>
      </c>
      <c r="I288" s="143" t="s">
        <v>181</v>
      </c>
      <c r="J288" s="4"/>
      <c r="K288" s="4"/>
      <c r="L288" s="4"/>
      <c r="M288" s="4"/>
    </row>
    <row r="289" spans="2:13" ht="18" customHeight="1">
      <c r="B289" s="138" t="str">
        <f>B288</f>
        <v>10单银Low-E+12Ar+10+12A+10mm</v>
      </c>
      <c r="C289" s="139"/>
      <c r="D289" s="139"/>
      <c r="E289" s="140">
        <f>C289*D289/10^6</f>
        <v>0</v>
      </c>
      <c r="F289" s="141"/>
      <c r="G289" s="142">
        <f>G288</f>
        <v>395</v>
      </c>
      <c r="H289" s="141">
        <f>ROUND(E289*G289*F289,2)</f>
        <v>0</v>
      </c>
      <c r="I289" s="143" t="s">
        <v>181</v>
      </c>
      <c r="J289" s="4"/>
      <c r="K289" s="4"/>
      <c r="L289" s="4"/>
      <c r="M289" s="4"/>
    </row>
    <row r="290" spans="2:13" ht="18" customHeight="1">
      <c r="B290" s="48" t="s">
        <v>180</v>
      </c>
      <c r="C290" s="52"/>
      <c r="D290" s="50"/>
      <c r="E290" s="50"/>
      <c r="F290" s="50">
        <f>SUM(F286:F289)</f>
        <v>0</v>
      </c>
      <c r="G290" s="50"/>
      <c r="H290" s="52">
        <f>SUM(H286:H289)</f>
        <v>0</v>
      </c>
      <c r="I290" s="53">
        <f>ROUND((E286*F286+E287*F287+E288*F288+E289*F289),2)</f>
        <v>0</v>
      </c>
      <c r="J290" s="4"/>
      <c r="K290" s="4"/>
      <c r="L290" s="4"/>
      <c r="M290" s="4"/>
    </row>
    <row r="291" spans="2:13" ht="18" customHeight="1">
      <c r="B291" s="642" t="s">
        <v>182</v>
      </c>
      <c r="C291" s="144" t="s">
        <v>183</v>
      </c>
      <c r="D291" s="144" cm="1">
        <f t="array" ref="D291">SUMPRODUCT(E225:E232*F225:F232)+SUMPRODUCT(E243:E249*F243:F249)</f>
        <v>0.40809600000000001</v>
      </c>
      <c r="E291" s="144" t="s">
        <v>184</v>
      </c>
      <c r="F291" s="145">
        <f>F233+F250</f>
        <v>1</v>
      </c>
      <c r="G291" s="145" t="s">
        <v>185</v>
      </c>
      <c r="H291" s="144">
        <f>H233+H250</f>
        <v>60.4</v>
      </c>
      <c r="I291" s="146">
        <f>H291/F366</f>
        <v>22.728983216677957</v>
      </c>
      <c r="J291" s="4"/>
      <c r="K291" s="4"/>
      <c r="L291" s="4"/>
      <c r="M291" s="4"/>
    </row>
    <row r="292" spans="2:13" ht="18" customHeight="1">
      <c r="B292" s="642"/>
      <c r="C292" s="144" t="s">
        <v>186</v>
      </c>
      <c r="D292" s="144">
        <f>SUMPRODUCT(E234:E241*F234:F241)+SUMPRODUCT(E251:E257*F251:F257)+SUMPRODUCT(E259:E264*F259:F264)+SUMPRODUCT(E266:E268*F266:F268)+SUMPRODUCT(E270:E272*F270:F272)+SUMPRODUCT(E281:E284*F281:F284)+SUMPRODUCT(E286:E289*F286:F289)+SUMPRODUCT(E274:E279*F274:F279)</f>
        <v>1.14534</v>
      </c>
      <c r="E292" s="144" t="s">
        <v>186</v>
      </c>
      <c r="F292" s="145">
        <f>F242+F258+F265+F269+F273+F285+F290+F280</f>
        <v>2</v>
      </c>
      <c r="G292" s="145" t="s">
        <v>185</v>
      </c>
      <c r="H292" s="144">
        <f>H242+H258+H265+H269+H273+H280+H285+H290</f>
        <v>169.51</v>
      </c>
      <c r="I292" s="146">
        <f>H292/F366</f>
        <v>63.787912997666886</v>
      </c>
      <c r="J292" s="4"/>
      <c r="K292" s="4"/>
      <c r="L292" s="4"/>
      <c r="M292" s="4"/>
    </row>
    <row r="293" spans="2:13" ht="18" customHeight="1">
      <c r="B293" s="23" t="s">
        <v>187</v>
      </c>
      <c r="C293" s="24" t="s">
        <v>188</v>
      </c>
      <c r="D293" s="68" t="s">
        <v>189</v>
      </c>
      <c r="E293" s="24" t="s">
        <v>8</v>
      </c>
      <c r="F293" s="24" t="s">
        <v>190</v>
      </c>
      <c r="G293" s="24" t="s">
        <v>191</v>
      </c>
      <c r="H293" s="24" t="s">
        <v>160</v>
      </c>
      <c r="I293" s="25" t="s">
        <v>1</v>
      </c>
      <c r="J293" s="4"/>
      <c r="K293" s="4"/>
      <c r="L293" s="4"/>
      <c r="M293" s="4"/>
    </row>
    <row r="294" spans="2:13" ht="18" customHeight="1">
      <c r="B294" s="629" t="s">
        <v>192</v>
      </c>
      <c r="C294" s="57">
        <f>D26</f>
        <v>0</v>
      </c>
      <c r="D294" s="31"/>
      <c r="E294" s="31"/>
      <c r="F294" s="31" t="s">
        <v>193</v>
      </c>
      <c r="G294" s="108">
        <f>材料价格!B14</f>
        <v>153</v>
      </c>
      <c r="H294" s="147">
        <f>E294*G294</f>
        <v>0</v>
      </c>
      <c r="I294" s="632" t="s">
        <v>194</v>
      </c>
      <c r="J294" s="4"/>
      <c r="K294" s="4"/>
      <c r="L294" s="4"/>
      <c r="M294" s="4"/>
    </row>
    <row r="295" spans="2:13" ht="18" customHeight="1">
      <c r="B295" s="629"/>
      <c r="C295" s="57"/>
      <c r="D295" s="31"/>
      <c r="E295" s="31"/>
      <c r="F295" s="31"/>
      <c r="G295" s="108"/>
      <c r="H295" s="147">
        <f t="shared" ref="H295:H303" si="55">E295*G295</f>
        <v>0</v>
      </c>
      <c r="I295" s="633"/>
      <c r="J295" s="4"/>
      <c r="K295" s="4"/>
      <c r="L295" s="4"/>
      <c r="M295" s="4"/>
    </row>
    <row r="296" spans="2:13" ht="18" customHeight="1">
      <c r="B296" s="629" t="s">
        <v>195</v>
      </c>
      <c r="C296" s="57"/>
      <c r="D296" s="148"/>
      <c r="E296" s="31"/>
      <c r="F296" s="31" t="str">
        <f>F294</f>
        <v>坚朗</v>
      </c>
      <c r="G296" s="108">
        <f>材料价格!B15</f>
        <v>80</v>
      </c>
      <c r="H296" s="147">
        <f t="shared" si="55"/>
        <v>0</v>
      </c>
      <c r="I296" s="632" t="s">
        <v>196</v>
      </c>
      <c r="J296" s="4"/>
      <c r="K296" s="4"/>
      <c r="L296" s="4"/>
      <c r="M296" s="4"/>
    </row>
    <row r="297" spans="2:13" ht="18" customHeight="1">
      <c r="B297" s="629"/>
      <c r="C297" s="57"/>
      <c r="D297" s="148"/>
      <c r="E297" s="31"/>
      <c r="F297" s="31"/>
      <c r="G297" s="108"/>
      <c r="H297" s="147">
        <f t="shared" si="55"/>
        <v>0</v>
      </c>
      <c r="I297" s="633"/>
      <c r="J297" s="4"/>
      <c r="K297" s="4"/>
      <c r="L297" s="4"/>
      <c r="M297" s="4"/>
    </row>
    <row r="298" spans="2:13" ht="18" customHeight="1">
      <c r="B298" s="629" t="s">
        <v>197</v>
      </c>
      <c r="C298" s="57"/>
      <c r="D298" s="148"/>
      <c r="E298" s="31"/>
      <c r="F298" s="31" t="str">
        <f>F296</f>
        <v>坚朗</v>
      </c>
      <c r="G298" s="108">
        <f>材料价格!B16</f>
        <v>88</v>
      </c>
      <c r="H298" s="147">
        <f t="shared" si="55"/>
        <v>0</v>
      </c>
      <c r="I298" s="633"/>
      <c r="J298" s="4"/>
      <c r="K298" s="4"/>
      <c r="L298" s="4"/>
      <c r="M298" s="4"/>
    </row>
    <row r="299" spans="2:13" ht="18" customHeight="1">
      <c r="B299" s="629"/>
      <c r="C299" s="57"/>
      <c r="D299" s="148"/>
      <c r="E299" s="31"/>
      <c r="F299" s="31"/>
      <c r="G299" s="108"/>
      <c r="H299" s="147">
        <f t="shared" si="55"/>
        <v>0</v>
      </c>
      <c r="I299" s="633"/>
      <c r="J299" s="4"/>
      <c r="K299" s="4"/>
      <c r="L299" s="4"/>
      <c r="M299" s="4"/>
    </row>
    <row r="300" spans="2:13" ht="18" customHeight="1">
      <c r="B300" s="629" t="s">
        <v>198</v>
      </c>
      <c r="C300" s="57">
        <f>D35</f>
        <v>0</v>
      </c>
      <c r="D300" s="148"/>
      <c r="E300" s="31"/>
      <c r="F300" s="31" t="str">
        <f>F298</f>
        <v>坚朗</v>
      </c>
      <c r="G300" s="108">
        <f>材料价格!B17</f>
        <v>115</v>
      </c>
      <c r="H300" s="147">
        <f t="shared" si="55"/>
        <v>0</v>
      </c>
      <c r="I300" s="149"/>
      <c r="J300" s="4"/>
      <c r="K300" s="4"/>
      <c r="L300" s="4"/>
      <c r="M300" s="4"/>
    </row>
    <row r="301" spans="2:13" ht="18" customHeight="1">
      <c r="B301" s="629"/>
      <c r="C301" s="57"/>
      <c r="D301" s="148"/>
      <c r="E301" s="31"/>
      <c r="F301" s="31"/>
      <c r="G301" s="108"/>
      <c r="H301" s="147">
        <f t="shared" si="55"/>
        <v>0</v>
      </c>
      <c r="I301" s="149"/>
      <c r="J301" s="4"/>
      <c r="K301" s="4"/>
      <c r="L301" s="4"/>
      <c r="M301" s="4"/>
    </row>
    <row r="302" spans="2:13" ht="18" customHeight="1">
      <c r="B302" s="629" t="s">
        <v>199</v>
      </c>
      <c r="C302" s="31" t="s">
        <v>200</v>
      </c>
      <c r="D302" s="148"/>
      <c r="E302" s="31"/>
      <c r="F302" s="31" t="str">
        <f>F300</f>
        <v>坚朗</v>
      </c>
      <c r="G302" s="108">
        <f>材料价格!B19</f>
        <v>230</v>
      </c>
      <c r="H302" s="147">
        <f t="shared" si="55"/>
        <v>0</v>
      </c>
      <c r="I302" s="45"/>
      <c r="J302" s="4"/>
      <c r="K302" s="4"/>
      <c r="L302" s="4"/>
      <c r="M302" s="4"/>
    </row>
    <row r="303" spans="2:13" ht="18" customHeight="1">
      <c r="B303" s="629"/>
      <c r="C303" s="31" t="s">
        <v>201</v>
      </c>
      <c r="D303" s="148"/>
      <c r="E303" s="31">
        <v>1</v>
      </c>
      <c r="F303" s="31" t="str">
        <f>F302</f>
        <v>坚朗</v>
      </c>
      <c r="G303" s="108">
        <f>材料价格!B20</f>
        <v>335</v>
      </c>
      <c r="H303" s="147">
        <f t="shared" si="55"/>
        <v>335</v>
      </c>
      <c r="I303" s="45"/>
      <c r="J303" s="4"/>
      <c r="K303" s="4"/>
      <c r="L303" s="4"/>
      <c r="M303" s="4"/>
    </row>
    <row r="304" spans="2:13" ht="18" customHeight="1">
      <c r="B304" s="150" t="s">
        <v>202</v>
      </c>
      <c r="C304" s="50"/>
      <c r="D304" s="50"/>
      <c r="E304" s="50">
        <f>SUM(E294:E303)</f>
        <v>1</v>
      </c>
      <c r="F304" s="50"/>
      <c r="G304" s="166"/>
      <c r="H304" s="151">
        <f>SUM(H294:H303)</f>
        <v>335</v>
      </c>
      <c r="I304" s="152"/>
      <c r="J304" s="42"/>
    </row>
    <row r="305" spans="1:16" ht="18" customHeight="1">
      <c r="B305" s="153" t="s">
        <v>300</v>
      </c>
      <c r="C305" s="31"/>
      <c r="D305" s="148"/>
      <c r="E305" s="57">
        <f>E294+E296</f>
        <v>0</v>
      </c>
      <c r="F305" s="148"/>
      <c r="G305" s="148">
        <f>材料价格!B27</f>
        <v>0</v>
      </c>
      <c r="H305" s="154">
        <f>E305*G305</f>
        <v>0</v>
      </c>
      <c r="I305" s="45" t="s">
        <v>203</v>
      </c>
    </row>
    <row r="306" spans="1:16" s="16" customFormat="1" ht="18" customHeight="1">
      <c r="A306" s="1"/>
      <c r="B306" s="153" t="s">
        <v>204</v>
      </c>
      <c r="C306" s="31"/>
      <c r="D306" s="148"/>
      <c r="E306" s="57">
        <f>E298+E299+E300+E301</f>
        <v>0</v>
      </c>
      <c r="F306" s="148"/>
      <c r="G306" s="148">
        <f>材料价格!B28</f>
        <v>118</v>
      </c>
      <c r="H306" s="154">
        <f>E306*G306</f>
        <v>0</v>
      </c>
      <c r="I306" s="45" t="s">
        <v>205</v>
      </c>
      <c r="J306" s="43"/>
      <c r="K306" s="43"/>
      <c r="L306" s="43"/>
      <c r="M306" s="43"/>
      <c r="N306" s="4"/>
      <c r="O306" s="4"/>
      <c r="P306" s="4"/>
    </row>
    <row r="307" spans="1:16" s="16" customFormat="1" ht="18" customHeight="1">
      <c r="A307" s="1"/>
      <c r="B307" s="153" t="s">
        <v>206</v>
      </c>
      <c r="C307" s="31"/>
      <c r="D307" s="148"/>
      <c r="E307" s="57"/>
      <c r="F307" s="148"/>
      <c r="G307" s="148"/>
      <c r="H307" s="154">
        <f>E307*G307</f>
        <v>0</v>
      </c>
      <c r="I307" s="45" t="s">
        <v>207</v>
      </c>
      <c r="J307" s="43"/>
      <c r="K307" s="43"/>
      <c r="L307" s="43"/>
      <c r="M307" s="43"/>
      <c r="N307" s="4"/>
      <c r="O307" s="4"/>
      <c r="P307" s="4"/>
    </row>
    <row r="308" spans="1:16" s="16" customFormat="1" ht="18" customHeight="1">
      <c r="A308" s="1"/>
      <c r="B308" s="150" t="s">
        <v>208</v>
      </c>
      <c r="C308" s="50"/>
      <c r="D308" s="50"/>
      <c r="E308" s="100">
        <f>SUM(E305:E307)</f>
        <v>0</v>
      </c>
      <c r="F308" s="50"/>
      <c r="G308" s="166"/>
      <c r="H308" s="155">
        <f>SUM(H305:H307)</f>
        <v>0</v>
      </c>
      <c r="I308" s="152"/>
      <c r="J308" s="43"/>
      <c r="K308" s="43"/>
      <c r="L308" s="43"/>
      <c r="M308" s="43"/>
      <c r="N308" s="4"/>
      <c r="O308" s="4"/>
      <c r="P308" s="4"/>
    </row>
    <row r="309" spans="1:16" s="16" customFormat="1" ht="18" customHeight="1">
      <c r="A309" s="1"/>
      <c r="B309" s="156" t="s">
        <v>209</v>
      </c>
      <c r="C309" s="157">
        <f>ROUND(IF(D4&lt;=200,4,0)+IF(D4&gt;200,(D4/200+1))+IF(E4&lt;=200,4,0)+IF(E4&gt;200,(E4/200+1)),0)</f>
        <v>21</v>
      </c>
      <c r="D309" s="148"/>
      <c r="E309" s="148"/>
      <c r="F309" s="148"/>
      <c r="G309" s="158">
        <v>0.5</v>
      </c>
      <c r="H309" s="159">
        <f>ROUND(C309*G309,2)</f>
        <v>10.5</v>
      </c>
      <c r="I309" s="45" t="s">
        <v>210</v>
      </c>
      <c r="J309" s="43"/>
      <c r="K309" s="43"/>
      <c r="L309" s="43"/>
      <c r="M309" s="43"/>
      <c r="N309" s="4"/>
      <c r="O309" s="4"/>
      <c r="P309" s="4"/>
    </row>
    <row r="310" spans="1:16" s="16" customFormat="1" ht="18" customHeight="1">
      <c r="A310" s="1"/>
      <c r="B310" s="156" t="s">
        <v>211</v>
      </c>
      <c r="C310" s="157">
        <f>C309*2</f>
        <v>42</v>
      </c>
      <c r="D310" s="148">
        <f>D309*2</f>
        <v>0</v>
      </c>
      <c r="E310" s="148"/>
      <c r="F310" s="148"/>
      <c r="G310" s="158">
        <v>0.3</v>
      </c>
      <c r="H310" s="159">
        <f>ROUND(C310*G310,2)</f>
        <v>12.6</v>
      </c>
      <c r="I310" s="45" t="s">
        <v>212</v>
      </c>
      <c r="J310" s="43"/>
      <c r="K310" s="43"/>
      <c r="L310" s="4"/>
      <c r="M310" s="4"/>
      <c r="N310" s="4"/>
      <c r="O310" s="4"/>
      <c r="P310" s="4"/>
    </row>
    <row r="311" spans="1:16" s="16" customFormat="1" ht="18" customHeight="1">
      <c r="A311" s="1"/>
      <c r="B311" s="160" t="s">
        <v>213</v>
      </c>
      <c r="C311" s="161">
        <f>F6</f>
        <v>2.6214</v>
      </c>
      <c r="D311" s="162"/>
      <c r="E311" s="162"/>
      <c r="F311" s="162"/>
      <c r="G311" s="163">
        <v>5</v>
      </c>
      <c r="H311" s="159">
        <f>ROUND(C311*G311,2)</f>
        <v>13.11</v>
      </c>
      <c r="I311" s="45"/>
      <c r="J311" s="43"/>
      <c r="K311" s="43"/>
      <c r="L311" s="4"/>
      <c r="M311" s="4"/>
      <c r="N311" s="4"/>
      <c r="O311" s="4"/>
      <c r="P311" s="4"/>
    </row>
    <row r="312" spans="1:16" s="16" customFormat="1" ht="18" customHeight="1">
      <c r="A312" s="1"/>
      <c r="B312" s="160" t="s">
        <v>214</v>
      </c>
      <c r="C312" s="161"/>
      <c r="D312" s="162"/>
      <c r="E312" s="162"/>
      <c r="F312" s="162"/>
      <c r="G312" s="163"/>
      <c r="H312" s="159">
        <f>ROUND(C312*G312,2)</f>
        <v>0</v>
      </c>
      <c r="I312" s="45"/>
      <c r="J312" s="43"/>
      <c r="K312" s="43"/>
      <c r="L312" s="4"/>
      <c r="M312" s="4"/>
      <c r="N312" s="4"/>
      <c r="O312" s="4"/>
      <c r="P312" s="4"/>
    </row>
    <row r="313" spans="1:16" s="16" customFormat="1" ht="18" customHeight="1">
      <c r="A313" s="1"/>
      <c r="B313" s="164" t="s">
        <v>397</v>
      </c>
      <c r="C313" s="161">
        <f>D291+D292</f>
        <v>1.553436</v>
      </c>
      <c r="D313" s="162"/>
      <c r="E313" s="162"/>
      <c r="F313" s="162"/>
      <c r="G313" s="163">
        <f>10+5</f>
        <v>15</v>
      </c>
      <c r="H313" s="159">
        <f>ROUND(C313*G313,2)</f>
        <v>23.3</v>
      </c>
      <c r="I313" s="45"/>
      <c r="J313" s="43"/>
      <c r="K313" s="43"/>
      <c r="L313" s="4"/>
      <c r="M313" s="4"/>
      <c r="N313" s="4"/>
      <c r="O313" s="4"/>
      <c r="P313" s="4"/>
    </row>
    <row r="314" spans="1:16" s="16" customFormat="1" ht="18" customHeight="1">
      <c r="A314" s="1"/>
      <c r="B314" s="150" t="s">
        <v>215</v>
      </c>
      <c r="C314" s="165"/>
      <c r="D314" s="50"/>
      <c r="E314" s="50"/>
      <c r="F314" s="50"/>
      <c r="G314" s="166"/>
      <c r="H314" s="155">
        <f>SUM(H309:H313)</f>
        <v>59.510000000000005</v>
      </c>
      <c r="I314" s="152"/>
      <c r="J314" s="43"/>
      <c r="K314" s="43"/>
      <c r="L314" s="4"/>
      <c r="M314" s="4"/>
      <c r="N314" s="4"/>
      <c r="O314" s="4"/>
      <c r="P314" s="4"/>
    </row>
    <row r="315" spans="1:16" s="16" customFormat="1" ht="18" customHeight="1">
      <c r="A315" s="1"/>
      <c r="B315" s="156" t="s">
        <v>216</v>
      </c>
      <c r="C315" s="167">
        <f>E203+E205+E207+I203+I205+E209+I207</f>
        <v>16</v>
      </c>
      <c r="D315" s="148"/>
      <c r="E315" s="148"/>
      <c r="F315" s="148"/>
      <c r="G315" s="168">
        <v>1.9</v>
      </c>
      <c r="H315" s="154">
        <f t="shared" ref="H315:H318" si="56">ROUND(C315*G315,2)</f>
        <v>30.4</v>
      </c>
      <c r="I315" s="224" t="s">
        <v>340</v>
      </c>
      <c r="J315" s="4"/>
      <c r="K315" s="43"/>
      <c r="L315" s="4"/>
      <c r="M315" s="4"/>
      <c r="N315" s="4"/>
      <c r="O315" s="4"/>
      <c r="P315" s="4"/>
    </row>
    <row r="316" spans="1:16" s="16" customFormat="1" ht="18" customHeight="1">
      <c r="A316" s="1"/>
      <c r="B316" s="156" t="s">
        <v>217</v>
      </c>
      <c r="C316" s="167">
        <f>ROUND((D4+E4)*2/1000,2)</f>
        <v>7.5</v>
      </c>
      <c r="D316" s="148"/>
      <c r="E316" s="238">
        <v>4</v>
      </c>
      <c r="F316" s="235">
        <f>材料价格!B25</f>
        <v>8.52</v>
      </c>
      <c r="G316" s="168">
        <f t="shared" ref="G316:G321" si="57">F316/E316</f>
        <v>2.13</v>
      </c>
      <c r="H316" s="154">
        <f t="shared" si="56"/>
        <v>15.98</v>
      </c>
      <c r="I316" s="169" t="s">
        <v>218</v>
      </c>
      <c r="J316" s="4"/>
      <c r="K316" s="43"/>
      <c r="L316" s="4"/>
      <c r="M316" s="4"/>
      <c r="N316" s="4"/>
      <c r="O316" s="4"/>
      <c r="P316" s="4"/>
    </row>
    <row r="317" spans="1:16" s="16" customFormat="1" ht="18" customHeight="1">
      <c r="A317" s="1"/>
      <c r="B317" s="156" t="s">
        <v>219</v>
      </c>
      <c r="C317" s="167">
        <f>C316</f>
        <v>7.5</v>
      </c>
      <c r="D317" s="148"/>
      <c r="E317" s="238">
        <v>3</v>
      </c>
      <c r="F317" s="235">
        <f>F316</f>
        <v>8.52</v>
      </c>
      <c r="G317" s="168">
        <f t="shared" si="57"/>
        <v>2.84</v>
      </c>
      <c r="H317" s="154">
        <f t="shared" si="56"/>
        <v>21.3</v>
      </c>
      <c r="I317" s="169" t="s">
        <v>220</v>
      </c>
      <c r="J317" s="4"/>
      <c r="K317" s="43"/>
      <c r="L317" s="4"/>
      <c r="M317" s="4"/>
      <c r="N317" s="4"/>
      <c r="O317" s="4"/>
      <c r="P317" s="4"/>
    </row>
    <row r="318" spans="1:16" s="16" customFormat="1" ht="18" customHeight="1">
      <c r="A318" s="1"/>
      <c r="B318" s="156" t="s">
        <v>221</v>
      </c>
      <c r="C318" s="167">
        <f>C316</f>
        <v>7.5</v>
      </c>
      <c r="D318" s="148"/>
      <c r="E318" s="238">
        <v>6.5</v>
      </c>
      <c r="F318" s="235">
        <f>材料价格!B26</f>
        <v>23</v>
      </c>
      <c r="G318" s="168">
        <f t="shared" si="57"/>
        <v>3.5384615384615383</v>
      </c>
      <c r="H318" s="154">
        <f t="shared" si="56"/>
        <v>26.54</v>
      </c>
      <c r="I318" s="224" t="s">
        <v>222</v>
      </c>
      <c r="J318" s="4"/>
      <c r="K318" s="43"/>
      <c r="L318" s="4"/>
      <c r="M318" s="4"/>
      <c r="N318" s="4"/>
      <c r="O318" s="4"/>
      <c r="P318" s="4"/>
    </row>
    <row r="319" spans="1:16" s="16" customFormat="1" ht="18" customHeight="1">
      <c r="A319" s="1"/>
      <c r="B319" s="156" t="s">
        <v>341</v>
      </c>
      <c r="C319" s="167">
        <f>ROUND((C97+C104+C88+C146+C153+C163)*1,2)</f>
        <v>11.32</v>
      </c>
      <c r="D319" s="77">
        <v>1</v>
      </c>
      <c r="E319" s="238">
        <f>10</f>
        <v>10</v>
      </c>
      <c r="F319" s="235">
        <f>F317</f>
        <v>8.52</v>
      </c>
      <c r="G319" s="168">
        <f>F319/E319</f>
        <v>0.85199999999999998</v>
      </c>
      <c r="H319" s="154">
        <f>ROUND(C319*G319,2)</f>
        <v>9.64</v>
      </c>
      <c r="I319" s="45" t="s">
        <v>223</v>
      </c>
      <c r="J319" s="4"/>
      <c r="K319" s="43"/>
      <c r="L319" s="4"/>
      <c r="M319" s="4"/>
      <c r="N319" s="4"/>
      <c r="O319" s="4"/>
      <c r="P319" s="4"/>
    </row>
    <row r="320" spans="1:16" s="16" customFormat="1" ht="18" customHeight="1">
      <c r="A320" s="1"/>
      <c r="B320" s="156" t="s">
        <v>342</v>
      </c>
      <c r="C320" s="167">
        <f>C319</f>
        <v>11.32</v>
      </c>
      <c r="D320" s="77">
        <v>1</v>
      </c>
      <c r="E320" s="238">
        <v>6</v>
      </c>
      <c r="F320" s="235">
        <f>F319</f>
        <v>8.52</v>
      </c>
      <c r="G320" s="168">
        <f t="shared" si="57"/>
        <v>1.42</v>
      </c>
      <c r="H320" s="154">
        <f>ROUND(C320*G320,2)</f>
        <v>16.07</v>
      </c>
      <c r="I320" s="45" t="s">
        <v>224</v>
      </c>
      <c r="J320" s="4"/>
      <c r="K320" s="170"/>
      <c r="L320" s="170"/>
      <c r="M320" s="170"/>
      <c r="N320" s="170"/>
      <c r="O320" s="170"/>
      <c r="P320" s="170"/>
    </row>
    <row r="321" spans="1:16" s="16" customFormat="1" ht="18" customHeight="1">
      <c r="A321" s="1"/>
      <c r="B321" s="156" t="s">
        <v>225</v>
      </c>
      <c r="C321" s="167">
        <f>C334*D334+C324*D324+C327*D327</f>
        <v>1.248</v>
      </c>
      <c r="D321" s="77">
        <v>1</v>
      </c>
      <c r="E321" s="238">
        <f>10</f>
        <v>10</v>
      </c>
      <c r="F321" s="235">
        <f>F317</f>
        <v>8.52</v>
      </c>
      <c r="G321" s="168">
        <f t="shared" si="57"/>
        <v>0.85199999999999998</v>
      </c>
      <c r="H321" s="154">
        <f>ROUND(C321*G321,2)</f>
        <v>1.06</v>
      </c>
      <c r="I321" s="45" t="s">
        <v>226</v>
      </c>
      <c r="J321" s="4"/>
      <c r="K321" s="170"/>
      <c r="L321" s="170"/>
      <c r="M321" s="170"/>
      <c r="N321" s="170"/>
      <c r="O321" s="170"/>
      <c r="P321" s="170"/>
    </row>
    <row r="322" spans="1:16" s="16" customFormat="1" ht="18" customHeight="1">
      <c r="A322" s="1"/>
      <c r="B322" s="150" t="s">
        <v>227</v>
      </c>
      <c r="C322" s="165"/>
      <c r="D322" s="50"/>
      <c r="E322" s="50"/>
      <c r="F322" s="50"/>
      <c r="G322" s="166" t="s">
        <v>396</v>
      </c>
      <c r="H322" s="155">
        <f>SUM(H315:H321)</f>
        <v>120.99000000000001</v>
      </c>
      <c r="I322" s="152"/>
      <c r="J322" s="244" t="s">
        <v>399</v>
      </c>
      <c r="K322" s="245" t="s">
        <v>379</v>
      </c>
      <c r="L322" s="170"/>
      <c r="M322" s="170"/>
      <c r="N322" s="170"/>
      <c r="O322" s="170"/>
      <c r="P322" s="170"/>
    </row>
    <row r="323" spans="1:16" s="16" customFormat="1" ht="18" customHeight="1">
      <c r="A323" s="1"/>
      <c r="B323" s="156" t="s">
        <v>356</v>
      </c>
      <c r="C323" s="167">
        <f>C31</f>
        <v>0</v>
      </c>
      <c r="D323" s="239">
        <v>1</v>
      </c>
      <c r="E323" s="148"/>
      <c r="F323" s="148"/>
      <c r="G323" s="236">
        <f>0.45+0.85</f>
        <v>1.3</v>
      </c>
      <c r="H323" s="154">
        <f>ROUND(C323*D323*G323,2)</f>
        <v>0</v>
      </c>
      <c r="I323" s="45" t="s">
        <v>345</v>
      </c>
      <c r="J323" s="244">
        <v>1.76</v>
      </c>
      <c r="K323" s="245" t="s">
        <v>400</v>
      </c>
      <c r="L323" s="170"/>
      <c r="M323" s="171"/>
      <c r="N323" s="170"/>
      <c r="O323" s="170"/>
      <c r="P323" s="170"/>
    </row>
    <row r="324" spans="1:16" s="16" customFormat="1" ht="18" customHeight="1">
      <c r="A324" s="1"/>
      <c r="B324" s="156" t="s">
        <v>347</v>
      </c>
      <c r="C324" s="167">
        <f>C323</f>
        <v>0</v>
      </c>
      <c r="D324" s="239">
        <v>1</v>
      </c>
      <c r="E324" s="148"/>
      <c r="F324" s="148"/>
      <c r="G324" s="236">
        <v>6.89</v>
      </c>
      <c r="H324" s="154">
        <f t="shared" ref="H324:H329" si="58">ROUND(C324*D324*G324,2)</f>
        <v>0</v>
      </c>
      <c r="I324" s="45" t="s">
        <v>346</v>
      </c>
      <c r="J324" s="244">
        <v>12.25</v>
      </c>
      <c r="K324" s="245" t="s">
        <v>376</v>
      </c>
      <c r="L324" s="170"/>
      <c r="M324" s="171"/>
      <c r="N324" s="170"/>
      <c r="O324" s="170"/>
      <c r="P324" s="170"/>
    </row>
    <row r="325" spans="1:16" s="16" customFormat="1" ht="18" customHeight="1">
      <c r="A325" s="1"/>
      <c r="B325" s="156" t="s">
        <v>357</v>
      </c>
      <c r="C325" s="167">
        <f>C38</f>
        <v>0</v>
      </c>
      <c r="D325" s="239">
        <v>1</v>
      </c>
      <c r="E325" s="148"/>
      <c r="F325" s="148"/>
      <c r="G325" s="236">
        <f>0.85+0.61</f>
        <v>1.46</v>
      </c>
      <c r="H325" s="154">
        <f t="shared" si="58"/>
        <v>0</v>
      </c>
      <c r="I325" s="45" t="s">
        <v>354</v>
      </c>
      <c r="J325" s="244">
        <v>1.76</v>
      </c>
      <c r="K325" s="245" t="s">
        <v>378</v>
      </c>
      <c r="L325" s="170"/>
      <c r="M325" s="171"/>
      <c r="N325" s="170"/>
      <c r="O325" s="170"/>
      <c r="P325" s="170"/>
    </row>
    <row r="326" spans="1:16" s="16" customFormat="1" ht="18" customHeight="1">
      <c r="A326" s="1"/>
      <c r="B326" s="156" t="s">
        <v>355</v>
      </c>
      <c r="C326" s="167">
        <f>C325</f>
        <v>0</v>
      </c>
      <c r="D326" s="239">
        <v>1</v>
      </c>
      <c r="E326" s="148"/>
      <c r="F326" s="148"/>
      <c r="G326" s="236">
        <v>3.27</v>
      </c>
      <c r="H326" s="154">
        <f>ROUND(C326*D326*G326,2)</f>
        <v>0</v>
      </c>
      <c r="I326" s="45" t="s">
        <v>358</v>
      </c>
      <c r="J326" s="244">
        <v>3.27</v>
      </c>
      <c r="K326" s="245" t="s">
        <v>358</v>
      </c>
      <c r="L326" s="170"/>
      <c r="M326" s="171"/>
      <c r="N326" s="170"/>
      <c r="O326" s="170"/>
      <c r="P326" s="170"/>
    </row>
    <row r="327" spans="1:16" s="16" customFormat="1" ht="18" customHeight="1">
      <c r="A327" s="1"/>
      <c r="B327" s="156" t="s">
        <v>228</v>
      </c>
      <c r="C327" s="167">
        <f>C126</f>
        <v>0</v>
      </c>
      <c r="D327" s="239">
        <v>1</v>
      </c>
      <c r="E327" s="110"/>
      <c r="F327" s="148"/>
      <c r="G327" s="236">
        <v>6.89</v>
      </c>
      <c r="H327" s="154">
        <f t="shared" si="58"/>
        <v>0</v>
      </c>
      <c r="I327" s="45" t="s">
        <v>346</v>
      </c>
      <c r="J327" s="244">
        <v>12.25</v>
      </c>
      <c r="K327" s="245" t="s">
        <v>346</v>
      </c>
      <c r="L327" s="170"/>
      <c r="M327" s="171"/>
      <c r="N327" s="170"/>
      <c r="O327" s="170"/>
      <c r="P327" s="170"/>
    </row>
    <row r="328" spans="1:16" s="16" customFormat="1" ht="18" customHeight="1">
      <c r="A328" s="1"/>
      <c r="B328" s="156" t="s">
        <v>229</v>
      </c>
      <c r="C328" s="167">
        <f>C327</f>
        <v>0</v>
      </c>
      <c r="D328" s="239">
        <v>1</v>
      </c>
      <c r="E328" s="110"/>
      <c r="F328" s="148"/>
      <c r="G328" s="236">
        <f>G3233</f>
        <v>0</v>
      </c>
      <c r="H328" s="154">
        <f t="shared" si="58"/>
        <v>0</v>
      </c>
      <c r="I328" s="45" t="s">
        <v>345</v>
      </c>
      <c r="J328" s="244">
        <v>0</v>
      </c>
      <c r="K328" s="245" t="s">
        <v>400</v>
      </c>
      <c r="L328" s="170"/>
      <c r="M328" s="171"/>
      <c r="N328" s="170"/>
      <c r="O328" s="170"/>
      <c r="P328" s="170"/>
    </row>
    <row r="329" spans="1:16" s="16" customFormat="1" ht="18" customHeight="1">
      <c r="A329" s="1"/>
      <c r="B329" s="156" t="s">
        <v>230</v>
      </c>
      <c r="C329" s="167">
        <f>C119</f>
        <v>9.7639999999999993</v>
      </c>
      <c r="D329" s="239">
        <v>1</v>
      </c>
      <c r="E329" s="148"/>
      <c r="F329" s="148"/>
      <c r="G329" s="236">
        <f>G3253</f>
        <v>0</v>
      </c>
      <c r="H329" s="154">
        <f t="shared" si="58"/>
        <v>0</v>
      </c>
      <c r="I329" s="45" t="s">
        <v>354</v>
      </c>
      <c r="J329" s="244">
        <v>0</v>
      </c>
      <c r="K329" s="245" t="s">
        <v>378</v>
      </c>
      <c r="L329" s="170"/>
      <c r="M329" s="171"/>
      <c r="N329" s="170"/>
      <c r="O329" s="170"/>
      <c r="P329" s="170"/>
    </row>
    <row r="330" spans="1:16" s="16" customFormat="1" ht="18" customHeight="1">
      <c r="A330" s="1"/>
      <c r="B330" s="156" t="s">
        <v>362</v>
      </c>
      <c r="C330" s="167">
        <f>C329</f>
        <v>9.7639999999999993</v>
      </c>
      <c r="D330" s="239">
        <v>1</v>
      </c>
      <c r="E330" s="148"/>
      <c r="F330" s="148"/>
      <c r="G330" s="236">
        <v>3.27</v>
      </c>
      <c r="H330" s="154">
        <f>ROUND(C330*D330*G330,2)</f>
        <v>31.93</v>
      </c>
      <c r="I330" s="45" t="s">
        <v>358</v>
      </c>
      <c r="J330" s="244">
        <v>3.27</v>
      </c>
      <c r="K330" s="245" t="s">
        <v>358</v>
      </c>
      <c r="L330" s="170"/>
      <c r="M330" s="171"/>
      <c r="N330" s="170"/>
      <c r="O330" s="170"/>
      <c r="P330" s="170"/>
    </row>
    <row r="331" spans="1:16" s="16" customFormat="1" ht="18" customHeight="1">
      <c r="A331" s="1"/>
      <c r="B331" s="156" t="s">
        <v>343</v>
      </c>
      <c r="C331" s="167">
        <f>C319</f>
        <v>11.32</v>
      </c>
      <c r="D331" s="239">
        <v>1</v>
      </c>
      <c r="E331" s="148"/>
      <c r="F331" s="148"/>
      <c r="G331" s="236">
        <v>1.25</v>
      </c>
      <c r="H331" s="154">
        <f>C331*D331*G331</f>
        <v>14.15</v>
      </c>
      <c r="I331" s="45" t="s">
        <v>344</v>
      </c>
      <c r="J331" s="244">
        <v>1.25</v>
      </c>
      <c r="K331" s="245" t="s">
        <v>344</v>
      </c>
      <c r="L331" s="170"/>
      <c r="M331" s="171"/>
      <c r="N331" s="170"/>
      <c r="O331" s="170"/>
      <c r="P331" s="170"/>
    </row>
    <row r="332" spans="1:16" s="16" customFormat="1" ht="18" customHeight="1">
      <c r="A332" s="1"/>
      <c r="B332" s="156" t="s">
        <v>350</v>
      </c>
      <c r="C332" s="167" cm="1">
        <f t="array" ref="C332">SUMPRODUCT(D26:D30*G26:G30)/1000</f>
        <v>0</v>
      </c>
      <c r="D332" s="239">
        <v>1</v>
      </c>
      <c r="E332" s="148"/>
      <c r="F332" s="148"/>
      <c r="G332" s="236">
        <v>0.41</v>
      </c>
      <c r="H332" s="154">
        <f>C332*D332*G332</f>
        <v>0</v>
      </c>
      <c r="I332" s="45" t="s">
        <v>348</v>
      </c>
      <c r="J332" s="244">
        <v>0.41</v>
      </c>
      <c r="K332" s="245" t="s">
        <v>348</v>
      </c>
      <c r="L332" s="170"/>
      <c r="M332" s="171"/>
      <c r="N332" s="170"/>
      <c r="O332" s="170"/>
      <c r="P332" s="170"/>
    </row>
    <row r="333" spans="1:16" s="16" customFormat="1" ht="18" customHeight="1">
      <c r="A333" s="1"/>
      <c r="B333" s="156" t="s">
        <v>349</v>
      </c>
      <c r="C333" s="167">
        <f>C88+C97+C104+C153+C163+C146</f>
        <v>11.324</v>
      </c>
      <c r="D333" s="239">
        <v>1</v>
      </c>
      <c r="E333" s="148"/>
      <c r="F333" s="148"/>
      <c r="G333" s="236">
        <v>0.49</v>
      </c>
      <c r="H333" s="154">
        <f>C333*D333*G333</f>
        <v>5.5487599999999997</v>
      </c>
      <c r="I333" s="45" t="s">
        <v>351</v>
      </c>
      <c r="J333" s="244">
        <v>0.49</v>
      </c>
      <c r="K333" s="245" t="s">
        <v>351</v>
      </c>
      <c r="L333" s="170"/>
      <c r="M333" s="171"/>
      <c r="N333" s="170"/>
      <c r="O333" s="170"/>
      <c r="P333" s="170"/>
    </row>
    <row r="334" spans="1:16" s="16" customFormat="1" ht="18" customHeight="1">
      <c r="A334" s="1"/>
      <c r="B334" s="156" t="s">
        <v>353</v>
      </c>
      <c r="C334" s="167">
        <f t="array" ref="C334">SUMPRODUCT(D157:D162*G157:G162)/1000+SUM(G157:G162)*0.3+SUMPRODUCT(D68:D87*G68:G87)/1000+SUM(G68:G87)*0.3</f>
        <v>1.248</v>
      </c>
      <c r="D334" s="239">
        <v>1</v>
      </c>
      <c r="E334" s="148"/>
      <c r="F334" s="148"/>
      <c r="G334" s="237">
        <v>5.36</v>
      </c>
      <c r="H334" s="154">
        <f>C334*G334</f>
        <v>6.6892800000000001</v>
      </c>
      <c r="I334" s="45" t="s">
        <v>352</v>
      </c>
      <c r="J334" s="244">
        <v>9.5500000000000007</v>
      </c>
      <c r="K334" s="245" t="s">
        <v>377</v>
      </c>
      <c r="L334" s="170"/>
      <c r="M334" s="171"/>
      <c r="N334" s="170"/>
      <c r="O334" s="170"/>
      <c r="P334" s="170"/>
    </row>
    <row r="335" spans="1:16" s="16" customFormat="1" ht="18" customHeight="1">
      <c r="A335" s="1"/>
      <c r="B335" s="156" t="s">
        <v>364</v>
      </c>
      <c r="C335" s="167">
        <f>C319</f>
        <v>11.32</v>
      </c>
      <c r="D335" s="239">
        <v>1</v>
      </c>
      <c r="E335" s="148"/>
      <c r="F335" s="148"/>
      <c r="G335" s="237">
        <v>1.25</v>
      </c>
      <c r="H335" s="154"/>
      <c r="I335" s="149" t="s">
        <v>363</v>
      </c>
      <c r="J335" s="244">
        <v>1.25</v>
      </c>
      <c r="K335" s="245" t="s">
        <v>363</v>
      </c>
      <c r="L335" s="170"/>
      <c r="M335" s="171"/>
      <c r="N335" s="170"/>
      <c r="O335" s="170"/>
      <c r="P335" s="170"/>
    </row>
    <row r="336" spans="1:16" s="16" customFormat="1" ht="18" customHeight="1">
      <c r="A336" s="1"/>
      <c r="B336" s="156" t="s">
        <v>365</v>
      </c>
      <c r="C336" s="167">
        <f>C320</f>
        <v>11.32</v>
      </c>
      <c r="D336" s="239">
        <v>1</v>
      </c>
      <c r="E336" s="148"/>
      <c r="F336" s="148"/>
      <c r="G336" s="237">
        <v>1.63</v>
      </c>
      <c r="H336" s="154"/>
      <c r="I336" s="149" t="s">
        <v>363</v>
      </c>
      <c r="J336" s="244">
        <v>1.63</v>
      </c>
      <c r="K336" s="245" t="s">
        <v>363</v>
      </c>
      <c r="L336" s="170"/>
      <c r="M336" s="171"/>
      <c r="N336" s="170"/>
      <c r="O336" s="170"/>
      <c r="P336" s="170"/>
    </row>
    <row r="337" spans="1:16" s="16" customFormat="1" ht="18" customHeight="1">
      <c r="A337" s="1"/>
      <c r="B337" s="150" t="s">
        <v>231</v>
      </c>
      <c r="C337" s="165"/>
      <c r="D337" s="50"/>
      <c r="E337" s="50"/>
      <c r="F337" s="50"/>
      <c r="G337" s="166"/>
      <c r="H337" s="155">
        <f>SUM(H323:H336)*1.05</f>
        <v>61.233941999999999</v>
      </c>
      <c r="I337" s="152"/>
      <c r="J337" s="172"/>
      <c r="K337" s="170"/>
      <c r="L337" s="170"/>
      <c r="M337" s="170"/>
      <c r="N337" s="170"/>
      <c r="O337" s="170"/>
      <c r="P337" s="170"/>
    </row>
    <row r="338" spans="1:16" s="16" customFormat="1" ht="18" customHeight="1">
      <c r="A338" s="1"/>
      <c r="B338" s="173" t="s">
        <v>366</v>
      </c>
      <c r="C338" s="174">
        <f>F250+F258+F265+F280+F285+F290</f>
        <v>1</v>
      </c>
      <c r="D338" s="175">
        <v>2</v>
      </c>
      <c r="E338" s="176"/>
      <c r="F338" s="176"/>
      <c r="G338" s="240">
        <v>0.5</v>
      </c>
      <c r="H338" s="177">
        <f t="shared" ref="H338:H343" si="59">D338*G338*C338</f>
        <v>1</v>
      </c>
      <c r="I338" s="178" t="s">
        <v>233</v>
      </c>
      <c r="J338" s="172"/>
      <c r="K338" s="170"/>
      <c r="L338" s="170"/>
      <c r="M338" s="170"/>
      <c r="N338" s="170"/>
      <c r="O338" s="170"/>
      <c r="P338" s="170"/>
    </row>
    <row r="339" spans="1:16" s="16" customFormat="1" ht="18" customHeight="1">
      <c r="A339" s="1"/>
      <c r="B339" s="173" t="s">
        <v>367</v>
      </c>
      <c r="C339" s="174">
        <f>F233+F242+F269+F273</f>
        <v>2</v>
      </c>
      <c r="D339" s="175">
        <v>4</v>
      </c>
      <c r="E339" s="176"/>
      <c r="F339" s="176"/>
      <c r="G339" s="240">
        <v>0.63</v>
      </c>
      <c r="H339" s="177">
        <f t="shared" si="59"/>
        <v>5.04</v>
      </c>
      <c r="I339" s="178" t="s">
        <v>234</v>
      </c>
      <c r="J339" s="172"/>
      <c r="K339" s="170"/>
      <c r="L339" s="170"/>
      <c r="M339" s="170"/>
      <c r="N339" s="170"/>
      <c r="O339" s="170"/>
      <c r="P339" s="170"/>
    </row>
    <row r="340" spans="1:16" s="16" customFormat="1" ht="18" customHeight="1">
      <c r="A340" s="1"/>
      <c r="B340" s="173" t="s">
        <v>366</v>
      </c>
      <c r="C340" s="174">
        <f>SUM(G157:G162)</f>
        <v>0</v>
      </c>
      <c r="D340" s="175">
        <f>IF(E113&gt;2200,2,0)</f>
        <v>0</v>
      </c>
      <c r="E340" s="176"/>
      <c r="F340" s="176"/>
      <c r="G340" s="240">
        <v>0.5</v>
      </c>
      <c r="H340" s="177">
        <f t="shared" si="59"/>
        <v>0</v>
      </c>
      <c r="I340" s="178" t="s">
        <v>235</v>
      </c>
      <c r="J340" s="172"/>
      <c r="K340" s="170"/>
      <c r="L340" s="170"/>
      <c r="M340" s="170"/>
      <c r="N340" s="170"/>
      <c r="O340" s="170"/>
      <c r="P340" s="170"/>
    </row>
    <row r="341" spans="1:16" s="16" customFormat="1" ht="18" customHeight="1">
      <c r="A341" s="1"/>
      <c r="B341" s="173" t="s">
        <v>367</v>
      </c>
      <c r="C341" s="174">
        <f>SUM(G116:G118)</f>
        <v>2</v>
      </c>
      <c r="D341" s="175">
        <v>4</v>
      </c>
      <c r="E341" s="176"/>
      <c r="F341" s="176"/>
      <c r="G341" s="240">
        <v>0.63</v>
      </c>
      <c r="H341" s="177">
        <f t="shared" si="59"/>
        <v>5.04</v>
      </c>
      <c r="I341" s="178" t="s">
        <v>236</v>
      </c>
      <c r="J341" s="172"/>
      <c r="K341" s="170"/>
      <c r="L341" s="170"/>
      <c r="M341" s="170"/>
      <c r="N341" s="170"/>
      <c r="O341" s="170"/>
      <c r="P341" s="170"/>
    </row>
    <row r="342" spans="1:16" ht="18" customHeight="1">
      <c r="B342" s="173" t="s">
        <v>237</v>
      </c>
      <c r="C342" s="174">
        <v>1</v>
      </c>
      <c r="D342" s="175">
        <f>(F291+F292)*10</f>
        <v>30</v>
      </c>
      <c r="E342" s="176"/>
      <c r="F342" s="176"/>
      <c r="G342" s="240">
        <v>0.37</v>
      </c>
      <c r="H342" s="177">
        <f t="shared" si="59"/>
        <v>11.1</v>
      </c>
      <c r="I342" s="178"/>
      <c r="J342" s="172"/>
      <c r="K342" s="172"/>
      <c r="L342" s="172"/>
      <c r="N342" s="43"/>
    </row>
    <row r="343" spans="1:16" ht="18" customHeight="1">
      <c r="B343" s="173" t="s">
        <v>232</v>
      </c>
      <c r="C343" s="174">
        <f>C338</f>
        <v>1</v>
      </c>
      <c r="D343" s="175">
        <v>0</v>
      </c>
      <c r="E343" s="176"/>
      <c r="F343" s="176"/>
      <c r="G343" s="240">
        <v>0.49</v>
      </c>
      <c r="H343" s="177">
        <f t="shared" si="59"/>
        <v>0</v>
      </c>
      <c r="I343" s="178" t="s">
        <v>238</v>
      </c>
      <c r="J343" s="172"/>
      <c r="K343" s="172"/>
      <c r="L343" s="172"/>
      <c r="N343" s="43"/>
    </row>
    <row r="344" spans="1:16" ht="18" customHeight="1">
      <c r="B344" s="156" t="s">
        <v>239</v>
      </c>
      <c r="C344" s="157"/>
      <c r="D344" s="31">
        <f>E203+E205*2+E207*2+I203+I205*2+I207*2</f>
        <v>24</v>
      </c>
      <c r="E344" s="148"/>
      <c r="F344" s="148"/>
      <c r="G344" s="148">
        <v>0.2</v>
      </c>
      <c r="H344" s="179">
        <f>D344*G344</f>
        <v>4.8000000000000007</v>
      </c>
      <c r="I344" s="45" t="s">
        <v>368</v>
      </c>
      <c r="J344" s="172"/>
      <c r="K344" s="172"/>
      <c r="L344" s="172"/>
    </row>
    <row r="345" spans="1:16" ht="18" customHeight="1">
      <c r="B345" s="156" t="s">
        <v>240</v>
      </c>
      <c r="C345" s="157"/>
      <c r="D345" s="31">
        <f>4*(E52+E53+E54+E55+G52+G53+G54+G55+G60+G61+G62+G63+E130+E131+E132+G130+G131+G132+G137+G138)</f>
        <v>4</v>
      </c>
      <c r="E345" s="148"/>
      <c r="F345" s="148"/>
      <c r="G345" s="148">
        <v>0.22</v>
      </c>
      <c r="H345" s="179">
        <f>D345*G345</f>
        <v>0.88</v>
      </c>
      <c r="I345" s="45" t="s">
        <v>241</v>
      </c>
      <c r="J345" s="172"/>
      <c r="K345" s="172"/>
      <c r="L345" s="172"/>
    </row>
    <row r="346" spans="1:16" ht="18" customHeight="1">
      <c r="B346" s="156" t="s">
        <v>242</v>
      </c>
      <c r="C346" s="157"/>
      <c r="D346" s="31">
        <f>D345/2</f>
        <v>2</v>
      </c>
      <c r="E346" s="148"/>
      <c r="F346" s="148"/>
      <c r="G346" s="148">
        <v>0.22</v>
      </c>
      <c r="H346" s="179">
        <f>ROUND(D346*G346,2)</f>
        <v>0.44</v>
      </c>
      <c r="I346" s="45" t="s">
        <v>243</v>
      </c>
      <c r="J346" s="172"/>
      <c r="K346" s="172"/>
      <c r="L346" s="172"/>
    </row>
    <row r="347" spans="1:16" ht="18" customHeight="1">
      <c r="B347" s="156" t="s">
        <v>369</v>
      </c>
      <c r="C347" s="157"/>
      <c r="D347" s="31">
        <f>D346</f>
        <v>2</v>
      </c>
      <c r="E347" s="148"/>
      <c r="F347" s="148"/>
      <c r="G347" s="148">
        <v>1.37</v>
      </c>
      <c r="H347" s="179">
        <f>ROUND(D347*G347,2)</f>
        <v>2.74</v>
      </c>
      <c r="I347" s="45" t="s">
        <v>370</v>
      </c>
      <c r="J347" s="172"/>
      <c r="K347" s="172"/>
      <c r="L347" s="172"/>
    </row>
    <row r="348" spans="1:16" ht="18" customHeight="1">
      <c r="B348" s="156" t="s">
        <v>244</v>
      </c>
      <c r="C348" s="157"/>
      <c r="D348" s="31">
        <f>(F291+F292)*2</f>
        <v>6</v>
      </c>
      <c r="E348" s="148"/>
      <c r="F348" s="148"/>
      <c r="G348" s="148">
        <v>0.48</v>
      </c>
      <c r="H348" s="179">
        <f>ROUND(D348*G348,2)</f>
        <v>2.88</v>
      </c>
      <c r="I348" s="45" t="s">
        <v>245</v>
      </c>
      <c r="J348" s="4"/>
    </row>
    <row r="349" spans="1:16" ht="18" customHeight="1">
      <c r="B349" s="156" t="s">
        <v>246</v>
      </c>
      <c r="C349" s="157"/>
      <c r="D349" s="31">
        <f>ROUND((D4+E4-240)*2/200+E217*F217/200,0)</f>
        <v>40</v>
      </c>
      <c r="E349" s="148"/>
      <c r="F349" s="148"/>
      <c r="G349" s="148">
        <v>0.05</v>
      </c>
      <c r="H349" s="179">
        <f>ROUND(D349*G349,2)</f>
        <v>2</v>
      </c>
      <c r="I349" s="45" t="s">
        <v>247</v>
      </c>
      <c r="J349" s="4"/>
    </row>
    <row r="350" spans="1:16" ht="18" customHeight="1">
      <c r="B350" s="150" t="s">
        <v>248</v>
      </c>
      <c r="C350" s="165"/>
      <c r="D350" s="50"/>
      <c r="E350" s="50"/>
      <c r="F350" s="50"/>
      <c r="G350" s="166"/>
      <c r="H350" s="155">
        <f>SUM(H338:H349)</f>
        <v>35.92</v>
      </c>
      <c r="I350" s="152"/>
    </row>
    <row r="351" spans="1:16" ht="18" customHeight="1">
      <c r="B351" s="156" t="s">
        <v>359</v>
      </c>
      <c r="C351" s="157"/>
      <c r="D351" s="31">
        <f>SUMPRODUCT(G26:G30)*8+SUMPRODUCT(G35:G37)*8+SUMPRODUCT(G116:G118)*8+SUMPRODUCT(G123:G125)*8</f>
        <v>16</v>
      </c>
      <c r="E351" s="148"/>
      <c r="F351" s="148"/>
      <c r="G351" s="148">
        <v>1.26</v>
      </c>
      <c r="H351" s="154">
        <f>ROUND(D351*G351,2)</f>
        <v>20.16</v>
      </c>
      <c r="I351" s="45" t="s">
        <v>386</v>
      </c>
    </row>
    <row r="352" spans="1:16" ht="18" customHeight="1">
      <c r="B352" s="156" t="s">
        <v>360</v>
      </c>
      <c r="C352" s="157"/>
      <c r="D352" s="31">
        <f>G26*4+G27*4+G28*4+G29*4+G30*4</f>
        <v>0</v>
      </c>
      <c r="E352" s="148"/>
      <c r="F352" s="148"/>
      <c r="G352" s="148">
        <v>2</v>
      </c>
      <c r="H352" s="154">
        <f>ROUND(D352*G352,2)</f>
        <v>0</v>
      </c>
      <c r="I352" s="45" t="s">
        <v>361</v>
      </c>
    </row>
    <row r="353" spans="1:22" ht="18" customHeight="1">
      <c r="B353" s="156" t="s">
        <v>249</v>
      </c>
      <c r="C353" s="157"/>
      <c r="D353" s="31"/>
      <c r="E353" s="148"/>
      <c r="F353" s="148"/>
      <c r="G353" s="148">
        <v>1.6</v>
      </c>
      <c r="H353" s="154"/>
      <c r="I353" s="45"/>
    </row>
    <row r="354" spans="1:22" ht="18" customHeight="1">
      <c r="B354" s="156" t="s">
        <v>250</v>
      </c>
      <c r="C354" s="157"/>
      <c r="D354" s="44">
        <f>C22+C31+C38+C48+C56+C64+C112+C119+C126+C133+C139+C199</f>
        <v>20.956</v>
      </c>
      <c r="E354" s="148"/>
      <c r="F354" s="148"/>
      <c r="G354" s="179">
        <v>4</v>
      </c>
      <c r="H354" s="154">
        <f t="shared" ref="H354:H356" si="60">ROUND(D354*G354,2)</f>
        <v>83.82</v>
      </c>
      <c r="I354" s="45"/>
    </row>
    <row r="355" spans="1:22" ht="18" customHeight="1">
      <c r="B355" s="156" t="s">
        <v>251</v>
      </c>
      <c r="C355" s="157" t="s">
        <v>252</v>
      </c>
      <c r="D355" s="44">
        <f>C88+C163</f>
        <v>2.7919999999999998</v>
      </c>
      <c r="E355" s="148"/>
      <c r="F355" s="148"/>
      <c r="G355" s="179">
        <v>3.15</v>
      </c>
      <c r="H355" s="154">
        <f t="shared" si="60"/>
        <v>8.7899999999999991</v>
      </c>
      <c r="I355" s="45"/>
    </row>
    <row r="356" spans="1:22" ht="18" customHeight="1">
      <c r="B356" s="156" t="s">
        <v>253</v>
      </c>
      <c r="C356" s="157" t="s">
        <v>254</v>
      </c>
      <c r="D356" s="44">
        <f>C97+C104+C146+C153</f>
        <v>8.532</v>
      </c>
      <c r="E356" s="148"/>
      <c r="F356" s="148"/>
      <c r="G356" s="179">
        <v>3.65</v>
      </c>
      <c r="H356" s="154">
        <f t="shared" si="60"/>
        <v>31.14</v>
      </c>
      <c r="I356" s="45"/>
    </row>
    <row r="357" spans="1:22" ht="18" customHeight="1">
      <c r="B357" s="156" t="s">
        <v>387</v>
      </c>
      <c r="C357" s="157"/>
      <c r="D357" s="44">
        <f>F291+F292</f>
        <v>3</v>
      </c>
      <c r="E357" s="148"/>
      <c r="F357" s="148"/>
      <c r="G357" s="179">
        <v>6</v>
      </c>
      <c r="H357" s="154"/>
      <c r="I357" s="45"/>
    </row>
    <row r="358" spans="1:22" ht="18" customHeight="1">
      <c r="B358" s="156" t="s">
        <v>255</v>
      </c>
      <c r="C358" s="157"/>
      <c r="D358" s="180">
        <f>D14*1.5/1000</f>
        <v>1.53</v>
      </c>
      <c r="E358" s="148"/>
      <c r="F358" s="148"/>
      <c r="G358" s="148">
        <v>70</v>
      </c>
      <c r="H358" s="154">
        <f>D358*G358</f>
        <v>107.10000000000001</v>
      </c>
      <c r="I358" s="45"/>
    </row>
    <row r="359" spans="1:22" s="255" customFormat="1" ht="18" customHeight="1">
      <c r="A359" s="1"/>
      <c r="B359" s="156" t="s">
        <v>858</v>
      </c>
      <c r="C359" s="157"/>
      <c r="D359" s="180">
        <f>D4/1000</f>
        <v>1.1000000000000001</v>
      </c>
      <c r="E359" s="148"/>
      <c r="F359" s="148"/>
      <c r="G359" s="148">
        <v>180</v>
      </c>
      <c r="H359" s="154">
        <f>D359*G359</f>
        <v>198.00000000000003</v>
      </c>
      <c r="I359" s="247"/>
      <c r="J359" s="43"/>
      <c r="K359" s="43"/>
      <c r="L359" s="43"/>
      <c r="M359" s="43"/>
    </row>
    <row r="360" spans="1:22" ht="18" customHeight="1">
      <c r="B360" s="156" t="s">
        <v>388</v>
      </c>
      <c r="C360" s="157"/>
      <c r="D360" s="31">
        <v>1</v>
      </c>
      <c r="E360" s="148"/>
      <c r="F360" s="148"/>
      <c r="G360" s="148">
        <v>9.6</v>
      </c>
      <c r="H360" s="154">
        <f>ROUND(D360*G360,2)</f>
        <v>9.6</v>
      </c>
      <c r="I360" s="45"/>
    </row>
    <row r="361" spans="1:22" s="255" customFormat="1" ht="18" customHeight="1">
      <c r="A361" s="1"/>
      <c r="B361" s="156" t="s">
        <v>901</v>
      </c>
      <c r="C361" s="157"/>
      <c r="D361" s="463">
        <f>(D4+E4)*2/1000</f>
        <v>7.5</v>
      </c>
      <c r="E361" s="148"/>
      <c r="F361" s="148"/>
      <c r="G361" s="148">
        <v>45</v>
      </c>
      <c r="H361" s="154">
        <f>ROUND(D361*G361,2)</f>
        <v>337.5</v>
      </c>
      <c r="I361" s="468"/>
      <c r="J361" s="43"/>
      <c r="K361" s="43"/>
      <c r="L361" s="43"/>
      <c r="M361" s="43"/>
    </row>
    <row r="362" spans="1:22" ht="18" customHeight="1">
      <c r="B362" s="181" t="s">
        <v>398</v>
      </c>
      <c r="C362" s="157"/>
      <c r="D362" s="182">
        <f>F366</f>
        <v>2.6574</v>
      </c>
      <c r="E362" s="148"/>
      <c r="F362" s="148"/>
      <c r="G362" s="148">
        <v>3</v>
      </c>
      <c r="H362" s="154">
        <f>D362*G362</f>
        <v>7.9722</v>
      </c>
      <c r="I362" s="45"/>
    </row>
    <row r="363" spans="1:22" ht="18" customHeight="1">
      <c r="B363" s="150" t="s">
        <v>256</v>
      </c>
      <c r="C363" s="50"/>
      <c r="D363" s="50"/>
      <c r="E363" s="50"/>
      <c r="F363" s="50"/>
      <c r="G363" s="166"/>
      <c r="H363" s="155">
        <f>SUM(H351:H362)</f>
        <v>804.08220000000006</v>
      </c>
      <c r="I363" s="183"/>
    </row>
    <row r="364" spans="1:22" ht="18" customHeight="1">
      <c r="B364" s="184" t="s">
        <v>257</v>
      </c>
      <c r="C364" s="185"/>
      <c r="D364" s="186"/>
      <c r="E364" s="185"/>
      <c r="F364" s="186"/>
      <c r="G364" s="186"/>
      <c r="H364" s="187">
        <f>SUM(H363,H350,H337,H322,H314,H308,H304)</f>
        <v>1416.736142</v>
      </c>
      <c r="I364" s="188"/>
    </row>
    <row r="365" spans="1:22" ht="18" customHeight="1">
      <c r="A365" s="189"/>
      <c r="B365" s="190" t="s">
        <v>258</v>
      </c>
      <c r="C365" s="10" t="s">
        <v>14</v>
      </c>
      <c r="D365" s="10" t="s">
        <v>16</v>
      </c>
      <c r="E365" s="10" t="s">
        <v>17</v>
      </c>
      <c r="F365" s="10" t="s">
        <v>7</v>
      </c>
      <c r="G365" s="10" t="s">
        <v>5</v>
      </c>
      <c r="H365" s="10" t="s">
        <v>18</v>
      </c>
      <c r="I365" s="191" t="s">
        <v>259</v>
      </c>
      <c r="L365" s="192"/>
      <c r="M365" s="192"/>
    </row>
    <row r="366" spans="1:22" ht="18" customHeight="1">
      <c r="B366" s="48">
        <f>ROUND(I366/F366,2)</f>
        <v>1641.37</v>
      </c>
      <c r="C366" s="50" t="s">
        <v>299</v>
      </c>
      <c r="D366" s="50">
        <f>D5</f>
        <v>1030</v>
      </c>
      <c r="E366" s="50">
        <f>E5</f>
        <v>2580</v>
      </c>
      <c r="F366" s="49">
        <f>E366*D366/1000000</f>
        <v>2.6574</v>
      </c>
      <c r="G366" s="50">
        <f>G4</f>
        <v>1</v>
      </c>
      <c r="H366" s="49">
        <f>F366</f>
        <v>2.6574</v>
      </c>
      <c r="I366" s="193">
        <f>H364+H291+H292+I223+I12</f>
        <v>4361.7742897059998</v>
      </c>
      <c r="K366" s="192"/>
    </row>
    <row r="367" spans="1:22" ht="18" customHeight="1">
      <c r="B367" s="194" t="s">
        <v>258</v>
      </c>
      <c r="C367" s="195" t="s">
        <v>260</v>
      </c>
      <c r="D367" s="195" t="s">
        <v>261</v>
      </c>
      <c r="E367" s="195" t="s">
        <v>262</v>
      </c>
      <c r="F367" s="195" t="s">
        <v>263</v>
      </c>
      <c r="G367" s="195" t="s">
        <v>264</v>
      </c>
      <c r="H367" s="195" t="s">
        <v>265</v>
      </c>
      <c r="I367" s="196" t="s">
        <v>266</v>
      </c>
    </row>
    <row r="368" spans="1:22" ht="30" customHeight="1" thickBot="1">
      <c r="B368" s="197">
        <f>ROUND(I366/H366,2)</f>
        <v>1641.37</v>
      </c>
      <c r="C368" s="198">
        <f>E294+E296+E298+E300+E302+E303+E297+E299</f>
        <v>1</v>
      </c>
      <c r="D368" s="199"/>
      <c r="E368" s="199"/>
      <c r="F368" s="200"/>
      <c r="G368" s="200"/>
      <c r="H368" s="200"/>
      <c r="I368" s="201"/>
      <c r="O368" s="631" t="s">
        <v>603</v>
      </c>
      <c r="P368" s="631"/>
      <c r="Q368" s="631"/>
      <c r="R368" s="631"/>
      <c r="S368" s="631"/>
      <c r="T368" s="631"/>
      <c r="U368" s="631"/>
      <c r="V368" s="631"/>
    </row>
    <row r="369" spans="2:22" ht="20.100000000000001" customHeight="1">
      <c r="B369" s="42"/>
      <c r="L369" s="202"/>
      <c r="M369" s="202"/>
      <c r="N369" s="202"/>
      <c r="O369" s="634" t="s">
        <v>604</v>
      </c>
      <c r="P369" s="634"/>
      <c r="Q369" s="634"/>
      <c r="R369" s="634"/>
      <c r="S369" s="634"/>
      <c r="T369" s="634"/>
      <c r="U369" s="634"/>
      <c r="V369" s="634"/>
    </row>
    <row r="370" spans="2:22" ht="20.100000000000001" customHeight="1">
      <c r="B370" s="102" t="s">
        <v>862</v>
      </c>
      <c r="C370" s="203"/>
      <c r="D370" s="203" t="s">
        <v>267</v>
      </c>
      <c r="E370" s="203"/>
      <c r="J370" s="102"/>
      <c r="O370" s="285" t="s">
        <v>279</v>
      </c>
      <c r="P370" s="624" t="s">
        <v>629</v>
      </c>
      <c r="Q370" s="625"/>
      <c r="R370" s="312" t="str">
        <f ca="1">B4</f>
        <v>WM1127</v>
      </c>
      <c r="S370" s="312"/>
      <c r="T370" s="313"/>
      <c r="U370" s="287" t="s">
        <v>605</v>
      </c>
      <c r="V370" s="288"/>
    </row>
    <row r="371" spans="2:22" ht="24.95" customHeight="1">
      <c r="B371" s="102">
        <f>ROUND(I366/F6,2)</f>
        <v>1663.91</v>
      </c>
      <c r="C371" s="203">
        <f>U392</f>
        <v>2049.566743715332</v>
      </c>
      <c r="D371" s="203">
        <f>E304</f>
        <v>1</v>
      </c>
      <c r="E371" s="203"/>
      <c r="J371" s="102"/>
      <c r="O371" s="635" t="s">
        <v>606</v>
      </c>
      <c r="P371" s="623" t="s">
        <v>626</v>
      </c>
      <c r="Q371" s="623"/>
      <c r="R371" s="623"/>
      <c r="S371" s="623"/>
      <c r="T371" s="637"/>
      <c r="U371" s="291" t="s">
        <v>607</v>
      </c>
      <c r="V371" s="292" t="s">
        <v>313</v>
      </c>
    </row>
    <row r="372" spans="2:22" ht="24.95" customHeight="1">
      <c r="L372" s="102"/>
      <c r="M372" s="102"/>
      <c r="N372" s="102"/>
      <c r="O372" s="636"/>
      <c r="P372" s="638"/>
      <c r="Q372" s="638"/>
      <c r="R372" s="638"/>
      <c r="S372" s="638"/>
      <c r="T372" s="638"/>
      <c r="U372" s="291" t="s">
        <v>268</v>
      </c>
      <c r="V372" s="293">
        <f>F4</f>
        <v>2.7850000000000001</v>
      </c>
    </row>
    <row r="373" spans="2:22" ht="24.95" customHeight="1">
      <c r="J373" s="102"/>
      <c r="K373" s="102"/>
      <c r="L373" s="102"/>
      <c r="M373" s="102"/>
      <c r="N373" s="102"/>
      <c r="O373" s="311" t="s">
        <v>0</v>
      </c>
      <c r="P373" s="289" t="s">
        <v>608</v>
      </c>
      <c r="Q373" s="289" t="s">
        <v>627</v>
      </c>
      <c r="R373" s="289" t="s">
        <v>269</v>
      </c>
      <c r="S373" s="294" t="s">
        <v>8</v>
      </c>
      <c r="T373" s="295" t="s">
        <v>609</v>
      </c>
      <c r="U373" s="296" t="s">
        <v>270</v>
      </c>
      <c r="V373" s="295" t="s">
        <v>610</v>
      </c>
    </row>
    <row r="374" spans="2:22" ht="20.100000000000001" customHeight="1">
      <c r="J374" s="102"/>
      <c r="K374" s="102"/>
      <c r="L374" s="102"/>
      <c r="M374" s="102"/>
      <c r="N374" s="102"/>
      <c r="O374" s="297" t="s">
        <v>305</v>
      </c>
      <c r="P374" s="298" t="s">
        <v>611</v>
      </c>
      <c r="Q374" s="298"/>
      <c r="R374" s="286"/>
      <c r="S374" s="299"/>
      <c r="T374" s="300"/>
      <c r="U374" s="301">
        <f>SUM(U375:U383)</f>
        <v>4255.402817706</v>
      </c>
      <c r="V374" s="286"/>
    </row>
    <row r="375" spans="2:22" ht="20.100000000000001" customHeight="1">
      <c r="J375" s="102"/>
      <c r="K375" s="102"/>
      <c r="L375" s="102"/>
      <c r="M375" s="102"/>
      <c r="N375" s="102"/>
      <c r="O375" s="286">
        <v>1</v>
      </c>
      <c r="P375" s="302" t="s">
        <v>612</v>
      </c>
      <c r="Q375" s="307"/>
      <c r="R375" s="286" t="s">
        <v>271</v>
      </c>
      <c r="S375" s="303">
        <f>E223</f>
        <v>54.777073999999999</v>
      </c>
      <c r="T375" s="304">
        <f>I223/E223</f>
        <v>47.624999971813025</v>
      </c>
      <c r="U375" s="305">
        <f t="shared" ref="U375:U383" si="61">T375*S375</f>
        <v>2608.7581477059998</v>
      </c>
      <c r="V375" s="306"/>
    </row>
    <row r="376" spans="2:22" ht="20.100000000000001" customHeight="1">
      <c r="J376" s="102"/>
      <c r="K376" s="102"/>
      <c r="L376" s="102"/>
      <c r="M376" s="102"/>
      <c r="N376" s="102"/>
      <c r="O376" s="286">
        <v>2</v>
      </c>
      <c r="P376" s="290" t="s">
        <v>613</v>
      </c>
      <c r="Q376" s="307"/>
      <c r="R376" s="286" t="s">
        <v>276</v>
      </c>
      <c r="S376" s="303">
        <f>D358</f>
        <v>1.53</v>
      </c>
      <c r="T376" s="304">
        <f>G358</f>
        <v>70</v>
      </c>
      <c r="U376" s="305">
        <f t="shared" si="61"/>
        <v>107.10000000000001</v>
      </c>
      <c r="V376" s="306"/>
    </row>
    <row r="377" spans="2:22" ht="20.100000000000001" customHeight="1">
      <c r="J377" s="102"/>
      <c r="K377" s="102"/>
      <c r="L377" s="102"/>
      <c r="M377" s="102"/>
      <c r="N377" s="102"/>
      <c r="O377" s="286">
        <v>3</v>
      </c>
      <c r="P377" s="302" t="s">
        <v>614</v>
      </c>
      <c r="Q377" s="302"/>
      <c r="R377" s="286" t="s">
        <v>312</v>
      </c>
      <c r="S377" s="303">
        <f>D291+D292</f>
        <v>1.553436</v>
      </c>
      <c r="T377" s="304">
        <f>材料价格!B10</f>
        <v>148</v>
      </c>
      <c r="U377" s="305">
        <f t="shared" si="61"/>
        <v>229.90852800000002</v>
      </c>
      <c r="V377" s="306"/>
    </row>
    <row r="378" spans="2:22" ht="20.100000000000001" customHeight="1">
      <c r="B378" s="630" t="s">
        <v>277</v>
      </c>
      <c r="C378" s="630"/>
      <c r="D378" s="630"/>
      <c r="E378" s="630"/>
      <c r="F378" s="630"/>
      <c r="G378" s="630"/>
      <c r="H378" s="630"/>
      <c r="I378" s="630"/>
      <c r="J378" s="102"/>
      <c r="K378" s="102"/>
      <c r="L378" s="102"/>
      <c r="M378" s="102"/>
      <c r="N378" s="102"/>
      <c r="O378" s="286">
        <v>4</v>
      </c>
      <c r="P378" s="302" t="s">
        <v>615</v>
      </c>
      <c r="Q378" s="306"/>
      <c r="R378" s="286" t="s">
        <v>278</v>
      </c>
      <c r="S378" s="303">
        <f>(H316+H317+H319+H320+H321)/F316</f>
        <v>7.517605633802817</v>
      </c>
      <c r="T378" s="304">
        <f>材料价格!B25</f>
        <v>8.52</v>
      </c>
      <c r="U378" s="305">
        <f t="shared" si="61"/>
        <v>64.05</v>
      </c>
      <c r="V378" s="306"/>
    </row>
    <row r="379" spans="2:22" ht="20.100000000000001" customHeight="1">
      <c r="B379" s="204" t="s">
        <v>279</v>
      </c>
      <c r="C379" s="205" t="s">
        <v>280</v>
      </c>
      <c r="D379" s="205" t="s">
        <v>281</v>
      </c>
      <c r="E379" s="205" t="s">
        <v>282</v>
      </c>
      <c r="F379" s="205" t="s">
        <v>379</v>
      </c>
      <c r="G379" s="205"/>
      <c r="H379" s="205" t="s">
        <v>28</v>
      </c>
      <c r="I379" s="205" t="s">
        <v>259</v>
      </c>
      <c r="J379" s="102"/>
      <c r="K379" s="102"/>
      <c r="L379" s="102"/>
      <c r="M379" s="102"/>
      <c r="N379" s="102"/>
      <c r="O379" s="286">
        <v>5</v>
      </c>
      <c r="P379" s="306" t="s">
        <v>616</v>
      </c>
      <c r="Q379" s="302"/>
      <c r="R379" s="286" t="s">
        <v>628</v>
      </c>
      <c r="S379" s="303">
        <f>H337/21</f>
        <v>2.915902</v>
      </c>
      <c r="T379" s="304">
        <v>21</v>
      </c>
      <c r="U379" s="305">
        <f t="shared" si="61"/>
        <v>61.233941999999999</v>
      </c>
      <c r="V379" s="306"/>
    </row>
    <row r="380" spans="2:22" ht="20.100000000000001" customHeight="1">
      <c r="B380" s="206" t="s">
        <v>284</v>
      </c>
      <c r="C380" s="208" t="s">
        <v>384</v>
      </c>
      <c r="D380" s="207">
        <f>C22+C31+C38+C48+C56+C112+C119+C126+C133+C139+C177+C184+C191+C199</f>
        <v>21.975999999999999</v>
      </c>
      <c r="E380" s="207" t="s">
        <v>383</v>
      </c>
      <c r="F380" s="206"/>
      <c r="G380" s="206"/>
      <c r="H380" s="241">
        <v>2.4</v>
      </c>
      <c r="I380" s="207"/>
      <c r="J380" s="102"/>
      <c r="K380" s="102"/>
      <c r="L380" s="102"/>
      <c r="M380" s="102"/>
      <c r="N380" s="102"/>
      <c r="O380" s="286">
        <v>6</v>
      </c>
      <c r="P380" s="302" t="s">
        <v>319</v>
      </c>
      <c r="Q380" s="302"/>
      <c r="R380" s="286" t="s">
        <v>273</v>
      </c>
      <c r="S380" s="303"/>
      <c r="T380" s="304"/>
      <c r="U380" s="305">
        <f t="shared" si="61"/>
        <v>0</v>
      </c>
      <c r="V380" s="306"/>
    </row>
    <row r="381" spans="2:22" ht="20.100000000000001" customHeight="1">
      <c r="B381" s="206" t="s">
        <v>286</v>
      </c>
      <c r="C381" s="206" t="s">
        <v>287</v>
      </c>
      <c r="D381" s="209">
        <f>(J22+J31+J38+J48+J112+J119+J126)*4+(J56+J133)*2</f>
        <v>16</v>
      </c>
      <c r="E381" s="207" t="s">
        <v>285</v>
      </c>
      <c r="F381" s="206"/>
      <c r="G381" s="206"/>
      <c r="H381" s="241">
        <v>0.5</v>
      </c>
      <c r="I381" s="207">
        <f>H381*D381</f>
        <v>8</v>
      </c>
      <c r="J381" s="102"/>
      <c r="K381" s="102"/>
      <c r="L381" s="102"/>
      <c r="M381" s="102"/>
      <c r="N381" s="102"/>
      <c r="O381" s="286">
        <v>7</v>
      </c>
      <c r="P381" s="302" t="s">
        <v>295</v>
      </c>
      <c r="Q381" s="302"/>
      <c r="R381" s="286" t="s">
        <v>273</v>
      </c>
      <c r="S381" s="303"/>
      <c r="T381" s="304">
        <f>材料价格!B19</f>
        <v>230</v>
      </c>
      <c r="U381" s="305">
        <f t="shared" si="61"/>
        <v>0</v>
      </c>
      <c r="V381" s="306"/>
    </row>
    <row r="382" spans="2:22" ht="20.100000000000001" customHeight="1">
      <c r="B382" s="206" t="s">
        <v>289</v>
      </c>
      <c r="C382" s="206"/>
      <c r="D382" s="210">
        <f>ROUND((C22+C56*2+C64*2+C112+C133*2+C139*2)/0.3,0)+2</f>
        <v>46</v>
      </c>
      <c r="E382" s="207" t="s">
        <v>285</v>
      </c>
      <c r="F382" s="206"/>
      <c r="G382" s="206"/>
      <c r="H382" s="241">
        <v>0.3</v>
      </c>
      <c r="I382" s="207">
        <f t="shared" ref="I382:I387" si="62">H382*D382</f>
        <v>13.799999999999999</v>
      </c>
      <c r="J382" s="102"/>
      <c r="K382" s="102"/>
      <c r="L382" s="102"/>
      <c r="M382" s="102"/>
      <c r="N382" s="102"/>
      <c r="O382" s="286">
        <v>8</v>
      </c>
      <c r="P382" s="302" t="s">
        <v>296</v>
      </c>
      <c r="Q382" s="302"/>
      <c r="R382" s="286" t="s">
        <v>273</v>
      </c>
      <c r="S382" s="303">
        <f>E303</f>
        <v>1</v>
      </c>
      <c r="T382" s="304">
        <f>材料价格!B20</f>
        <v>335</v>
      </c>
      <c r="U382" s="305">
        <f t="shared" si="61"/>
        <v>335</v>
      </c>
      <c r="V382" s="306"/>
    </row>
    <row r="383" spans="2:22" ht="20.100000000000001" customHeight="1">
      <c r="B383" s="206" t="s">
        <v>381</v>
      </c>
      <c r="C383" s="206" t="s">
        <v>389</v>
      </c>
      <c r="D383" s="211">
        <f>C22+C31+C38+C56*2+C64*2+C112+C119+C126+C133*2</f>
        <v>18.983999999999998</v>
      </c>
      <c r="E383" s="207" t="s">
        <v>285</v>
      </c>
      <c r="F383" s="206" t="s">
        <v>380</v>
      </c>
      <c r="G383" s="206"/>
      <c r="H383" s="241">
        <v>2.81</v>
      </c>
      <c r="I383" s="207">
        <f>H383*D383</f>
        <v>53.345039999999997</v>
      </c>
      <c r="J383" s="102"/>
      <c r="K383" s="102"/>
      <c r="L383" s="102"/>
      <c r="M383" s="102"/>
      <c r="N383" s="102"/>
      <c r="O383" s="286">
        <v>9</v>
      </c>
      <c r="P383" s="302" t="s">
        <v>617</v>
      </c>
      <c r="Q383" s="302"/>
      <c r="R383" s="286" t="s">
        <v>618</v>
      </c>
      <c r="S383" s="296">
        <v>1</v>
      </c>
      <c r="T383" s="304">
        <f>H363-H358+H350+H318+H315+H314</f>
        <v>849.35219999999993</v>
      </c>
      <c r="U383" s="305">
        <f t="shared" si="61"/>
        <v>849.35219999999993</v>
      </c>
      <c r="V383" s="306"/>
    </row>
    <row r="384" spans="2:22" ht="20.100000000000001" customHeight="1">
      <c r="B384" s="206" t="s">
        <v>390</v>
      </c>
      <c r="C384" s="206" t="s">
        <v>392</v>
      </c>
      <c r="D384" s="211">
        <f>C22+C88+C112+C163</f>
        <v>12.012</v>
      </c>
      <c r="E384" s="207" t="s">
        <v>285</v>
      </c>
      <c r="F384" s="206" t="s">
        <v>394</v>
      </c>
      <c r="G384" s="206"/>
      <c r="H384" s="241">
        <v>3.27</v>
      </c>
      <c r="I384" s="207">
        <f t="shared" ref="I384" si="63">H384*D384</f>
        <v>39.279240000000001</v>
      </c>
      <c r="J384" s="102"/>
      <c r="K384" s="102"/>
      <c r="L384" s="102"/>
      <c r="M384" s="102"/>
      <c r="N384" s="102"/>
      <c r="O384" s="297" t="s">
        <v>306</v>
      </c>
      <c r="P384" s="308" t="s">
        <v>314</v>
      </c>
      <c r="Q384" s="298"/>
      <c r="R384" s="286"/>
      <c r="S384" s="296"/>
      <c r="T384" s="309"/>
      <c r="U384" s="301">
        <f>SUM(U385:U386)</f>
        <v>445.6</v>
      </c>
      <c r="V384" s="286"/>
    </row>
    <row r="385" spans="2:22" ht="20.100000000000001" customHeight="1">
      <c r="B385" s="206" t="s">
        <v>391</v>
      </c>
      <c r="C385" s="206" t="s">
        <v>393</v>
      </c>
      <c r="D385" s="211">
        <f>(C97+C104+C119+C126)*2</f>
        <v>19.527999999999999</v>
      </c>
      <c r="E385" s="207" t="s">
        <v>285</v>
      </c>
      <c r="F385" s="206" t="s">
        <v>395</v>
      </c>
      <c r="G385" s="206"/>
      <c r="H385" s="241">
        <v>1.74</v>
      </c>
      <c r="I385" s="207">
        <f t="shared" si="62"/>
        <v>33.978719999999996</v>
      </c>
      <c r="J385" s="102"/>
      <c r="K385" s="102"/>
      <c r="L385" s="102"/>
      <c r="M385" s="102"/>
      <c r="N385" s="102"/>
      <c r="O385" s="286">
        <v>1</v>
      </c>
      <c r="P385" s="307" t="s">
        <v>619</v>
      </c>
      <c r="Q385" s="307"/>
      <c r="R385" s="300" t="s">
        <v>312</v>
      </c>
      <c r="S385" s="296">
        <f>V372</f>
        <v>2.7850000000000001</v>
      </c>
      <c r="T385" s="310">
        <v>60</v>
      </c>
      <c r="U385" s="305">
        <f>T385*S385</f>
        <v>167.10000000000002</v>
      </c>
      <c r="V385" s="286"/>
    </row>
    <row r="386" spans="2:22" ht="20.100000000000001" customHeight="1">
      <c r="B386" s="208" t="s">
        <v>382</v>
      </c>
      <c r="C386" s="206" t="s">
        <v>291</v>
      </c>
      <c r="D386" s="211">
        <f>D338+D339+D341</f>
        <v>10</v>
      </c>
      <c r="E386" s="207" t="s">
        <v>285</v>
      </c>
      <c r="F386" s="206"/>
      <c r="G386" s="206"/>
      <c r="H386" s="241">
        <v>0.56999999999999995</v>
      </c>
      <c r="I386" s="207">
        <f>H386*D386</f>
        <v>5.6999999999999993</v>
      </c>
      <c r="J386" s="102"/>
      <c r="K386" s="102"/>
      <c r="L386" s="102"/>
      <c r="M386" s="102"/>
      <c r="N386" s="102"/>
      <c r="O386" s="286">
        <v>2</v>
      </c>
      <c r="P386" s="307" t="s">
        <v>288</v>
      </c>
      <c r="Q386" s="307"/>
      <c r="R386" s="300" t="s">
        <v>312</v>
      </c>
      <c r="S386" s="296">
        <f>V372</f>
        <v>2.7850000000000001</v>
      </c>
      <c r="T386" s="310">
        <v>100</v>
      </c>
      <c r="U386" s="305">
        <f>T386*S386</f>
        <v>278.5</v>
      </c>
      <c r="V386" s="286"/>
    </row>
    <row r="387" spans="2:22" ht="20.100000000000001" customHeight="1">
      <c r="B387" s="206" t="s">
        <v>292</v>
      </c>
      <c r="C387" s="206"/>
      <c r="D387" s="211">
        <f>H366</f>
        <v>2.6574</v>
      </c>
      <c r="E387" s="207" t="s">
        <v>285</v>
      </c>
      <c r="F387" s="206"/>
      <c r="G387" s="206"/>
      <c r="H387" s="241">
        <v>20</v>
      </c>
      <c r="I387" s="207">
        <f t="shared" si="62"/>
        <v>53.147999999999996</v>
      </c>
      <c r="J387" s="102"/>
      <c r="K387" s="102"/>
      <c r="L387" s="102"/>
      <c r="M387" s="102"/>
      <c r="N387" s="102"/>
      <c r="O387" s="297" t="s">
        <v>307</v>
      </c>
      <c r="P387" s="308" t="s">
        <v>290</v>
      </c>
      <c r="Q387" s="298"/>
      <c r="R387" s="286"/>
      <c r="S387" s="296"/>
      <c r="T387" s="309"/>
      <c r="U387" s="301">
        <f>SUM(U388)</f>
        <v>55.7</v>
      </c>
      <c r="V387" s="286"/>
    </row>
    <row r="388" spans="2:22" ht="20.100000000000001" customHeight="1">
      <c r="B388" s="212" t="s">
        <v>4</v>
      </c>
      <c r="C388" s="213"/>
      <c r="D388" s="212"/>
      <c r="E388" s="212"/>
      <c r="F388" s="212"/>
      <c r="G388" s="212"/>
      <c r="H388" s="212"/>
      <c r="I388" s="213">
        <f>SUM(I380:I387)</f>
        <v>207.25099999999998</v>
      </c>
      <c r="J388" s="242"/>
      <c r="K388" s="102"/>
      <c r="L388" s="102"/>
      <c r="M388" s="102"/>
      <c r="N388" s="102"/>
      <c r="O388" s="286">
        <v>1</v>
      </c>
      <c r="P388" s="307" t="s">
        <v>290</v>
      </c>
      <c r="Q388" s="307"/>
      <c r="R388" s="300" t="s">
        <v>312</v>
      </c>
      <c r="S388" s="296">
        <f>V372</f>
        <v>2.7850000000000001</v>
      </c>
      <c r="T388" s="310">
        <v>20</v>
      </c>
      <c r="U388" s="305">
        <f>T388*S388</f>
        <v>55.7</v>
      </c>
      <c r="V388" s="286"/>
    </row>
    <row r="389" spans="2:22" ht="20.100000000000001" customHeight="1">
      <c r="J389" s="102"/>
      <c r="K389" s="102"/>
      <c r="L389" s="102"/>
      <c r="M389" s="102"/>
      <c r="N389" s="102"/>
      <c r="O389" s="286" t="s">
        <v>308</v>
      </c>
      <c r="P389" s="618" t="s">
        <v>620</v>
      </c>
      <c r="Q389" s="619"/>
      <c r="R389" s="620"/>
      <c r="S389" s="621"/>
      <c r="T389" s="622"/>
      <c r="U389" s="301">
        <f>U374+U384+U387</f>
        <v>4756.7028177060001</v>
      </c>
      <c r="V389" s="286"/>
    </row>
    <row r="390" spans="2:22" ht="20.100000000000001" customHeight="1">
      <c r="J390" s="102"/>
      <c r="K390" s="102"/>
      <c r="L390" s="102"/>
      <c r="M390" s="102"/>
      <c r="N390" s="102"/>
      <c r="O390" s="286" t="s">
        <v>309</v>
      </c>
      <c r="P390" s="618" t="s">
        <v>621</v>
      </c>
      <c r="Q390" s="619"/>
      <c r="R390" s="626">
        <v>0.2</v>
      </c>
      <c r="S390" s="627"/>
      <c r="T390" s="628"/>
      <c r="U390" s="301">
        <f>U389*R390</f>
        <v>951.34056354120003</v>
      </c>
      <c r="V390" s="286"/>
    </row>
    <row r="391" spans="2:22" ht="20.100000000000001" customHeight="1">
      <c r="J391" s="102"/>
      <c r="K391" s="102"/>
      <c r="L391" s="102"/>
      <c r="M391" s="102"/>
      <c r="N391" s="102"/>
      <c r="O391" s="286" t="s">
        <v>310</v>
      </c>
      <c r="P391" s="618" t="s">
        <v>622</v>
      </c>
      <c r="Q391" s="619"/>
      <c r="R391" s="620"/>
      <c r="S391" s="621"/>
      <c r="T391" s="622"/>
      <c r="U391" s="301">
        <f>U389+U390</f>
        <v>5708.0433812472002</v>
      </c>
      <c r="V391" s="286"/>
    </row>
    <row r="392" spans="2:22" ht="30" customHeight="1">
      <c r="L392" s="102"/>
      <c r="M392" s="102"/>
      <c r="N392" s="102"/>
      <c r="O392" s="297" t="s">
        <v>311</v>
      </c>
      <c r="P392" s="618" t="s">
        <v>623</v>
      </c>
      <c r="Q392" s="619"/>
      <c r="R392" s="620"/>
      <c r="S392" s="621"/>
      <c r="T392" s="622"/>
      <c r="U392" s="301">
        <f>U391/V372</f>
        <v>2049.566743715332</v>
      </c>
      <c r="V392" s="286" t="s">
        <v>624</v>
      </c>
    </row>
    <row r="393" spans="2:22" ht="45" customHeight="1">
      <c r="L393" s="102"/>
      <c r="M393" s="102"/>
      <c r="N393" s="102"/>
      <c r="O393" s="623" t="s">
        <v>625</v>
      </c>
      <c r="P393" s="623"/>
      <c r="Q393" s="623"/>
      <c r="R393" s="623"/>
      <c r="S393" s="623"/>
      <c r="T393" s="623"/>
      <c r="U393" s="623"/>
      <c r="V393" s="623"/>
    </row>
    <row r="394" spans="2:22" ht="18" customHeight="1">
      <c r="L394" s="102"/>
      <c r="M394" s="102"/>
      <c r="N394" s="102"/>
      <c r="O394" s="102"/>
      <c r="P394" s="102"/>
    </row>
    <row r="395" spans="2:22">
      <c r="L395" s="102"/>
      <c r="M395" s="102"/>
      <c r="N395" s="102"/>
      <c r="O395" s="102"/>
      <c r="P395" s="102"/>
    </row>
    <row r="396" spans="2:22">
      <c r="L396" s="102"/>
      <c r="M396" s="102"/>
      <c r="N396" s="102"/>
      <c r="O396" s="102"/>
      <c r="P396" s="102"/>
    </row>
    <row r="397" spans="2:22">
      <c r="L397" s="102"/>
      <c r="M397" s="102"/>
      <c r="N397" s="102"/>
      <c r="O397" s="102"/>
      <c r="P397" s="102"/>
    </row>
    <row r="398" spans="2:22">
      <c r="L398" s="102"/>
      <c r="M398" s="102"/>
      <c r="N398" s="102"/>
      <c r="O398" s="102"/>
      <c r="P398" s="102"/>
    </row>
    <row r="399" spans="2:22">
      <c r="L399" s="102"/>
      <c r="M399" s="102"/>
      <c r="N399" s="102"/>
      <c r="O399" s="102"/>
      <c r="P399" s="102"/>
    </row>
    <row r="400" spans="2:22">
      <c r="L400" s="102"/>
      <c r="M400" s="102"/>
      <c r="N400" s="102"/>
      <c r="O400" s="102"/>
      <c r="P400" s="102"/>
    </row>
    <row r="401" spans="12:16">
      <c r="L401" s="102"/>
      <c r="M401" s="102"/>
      <c r="N401" s="102"/>
      <c r="O401" s="102"/>
      <c r="P401" s="102"/>
    </row>
    <row r="402" spans="12:16">
      <c r="L402" s="102"/>
      <c r="M402" s="102"/>
      <c r="N402" s="102"/>
      <c r="O402" s="102"/>
      <c r="P402" s="102"/>
    </row>
    <row r="403" spans="12:16">
      <c r="L403" s="102"/>
      <c r="M403" s="102"/>
      <c r="N403" s="102"/>
      <c r="O403" s="102"/>
      <c r="P403" s="102"/>
    </row>
    <row r="404" spans="12:16">
      <c r="L404" s="102"/>
      <c r="M404" s="102"/>
      <c r="N404" s="102"/>
      <c r="O404" s="102"/>
      <c r="P404" s="102"/>
    </row>
    <row r="405" spans="12:16">
      <c r="L405" s="102"/>
      <c r="M405" s="102"/>
      <c r="N405" s="102"/>
      <c r="O405" s="102"/>
      <c r="P405" s="102"/>
    </row>
    <row r="406" spans="12:16">
      <c r="L406" s="102"/>
      <c r="M406" s="102"/>
      <c r="N406" s="102"/>
      <c r="O406" s="102"/>
      <c r="P406" s="102"/>
    </row>
    <row r="407" spans="12:16">
      <c r="L407" s="102"/>
      <c r="M407" s="102"/>
      <c r="N407" s="102"/>
      <c r="O407" s="102"/>
      <c r="P407" s="102"/>
    </row>
    <row r="408" spans="12:16">
      <c r="L408" s="102"/>
      <c r="M408" s="102"/>
      <c r="N408" s="102"/>
      <c r="O408" s="102"/>
      <c r="P408" s="102"/>
    </row>
    <row r="409" spans="12:16">
      <c r="L409" s="102"/>
      <c r="M409" s="102"/>
      <c r="N409" s="102"/>
      <c r="O409" s="102"/>
      <c r="P409" s="102"/>
    </row>
    <row r="410" spans="12:16">
      <c r="L410" s="102"/>
      <c r="M410" s="102"/>
      <c r="N410" s="102"/>
      <c r="O410" s="102"/>
      <c r="P410" s="102"/>
    </row>
    <row r="411" spans="12:16">
      <c r="L411" s="102"/>
      <c r="M411" s="102"/>
      <c r="N411" s="102"/>
      <c r="O411" s="102"/>
      <c r="P411" s="102"/>
    </row>
    <row r="412" spans="12:16">
      <c r="L412" s="102"/>
      <c r="M412" s="102"/>
      <c r="N412" s="102"/>
      <c r="O412" s="102"/>
      <c r="P412" s="102"/>
    </row>
    <row r="413" spans="12:16">
      <c r="L413" s="102"/>
      <c r="M413" s="102"/>
      <c r="N413" s="102"/>
      <c r="O413" s="102"/>
      <c r="P413" s="102"/>
    </row>
    <row r="414" spans="12:16">
      <c r="L414" s="102"/>
      <c r="M414" s="102"/>
      <c r="N414" s="102"/>
      <c r="O414" s="102"/>
      <c r="P414" s="102"/>
    </row>
    <row r="415" spans="12:16">
      <c r="L415" s="102"/>
      <c r="M415" s="102"/>
      <c r="N415" s="102"/>
      <c r="O415" s="102"/>
      <c r="P415" s="102"/>
    </row>
    <row r="416" spans="12:16">
      <c r="L416" s="102"/>
      <c r="M416" s="102"/>
      <c r="N416" s="102"/>
      <c r="O416" s="102"/>
      <c r="P416" s="102"/>
    </row>
    <row r="417" spans="10:16">
      <c r="L417" s="102"/>
      <c r="M417" s="102"/>
      <c r="N417" s="102"/>
      <c r="O417" s="102"/>
      <c r="P417" s="102"/>
    </row>
    <row r="418" spans="10:16">
      <c r="L418" s="102"/>
      <c r="M418" s="102"/>
      <c r="N418" s="102"/>
      <c r="O418" s="102"/>
      <c r="P418" s="102"/>
    </row>
    <row r="419" spans="10:16">
      <c r="L419" s="102"/>
      <c r="M419" s="102"/>
      <c r="N419" s="102"/>
      <c r="O419" s="102"/>
      <c r="P419" s="102"/>
    </row>
    <row r="420" spans="10:16">
      <c r="L420" s="102"/>
      <c r="M420" s="102"/>
      <c r="N420" s="102"/>
      <c r="O420" s="102"/>
      <c r="P420" s="102"/>
    </row>
    <row r="421" spans="10:16">
      <c r="L421" s="102"/>
      <c r="M421" s="102"/>
      <c r="N421" s="102"/>
      <c r="O421" s="102"/>
      <c r="P421" s="102"/>
    </row>
    <row r="422" spans="10:16">
      <c r="L422" s="102"/>
      <c r="M422" s="102"/>
      <c r="N422" s="102"/>
      <c r="O422" s="102"/>
      <c r="P422" s="102"/>
    </row>
    <row r="423" spans="10:16">
      <c r="L423" s="102"/>
      <c r="M423" s="102"/>
      <c r="N423" s="102"/>
      <c r="O423" s="102"/>
      <c r="P423" s="102"/>
    </row>
    <row r="424" spans="10:16">
      <c r="L424" s="102"/>
      <c r="M424" s="102"/>
      <c r="N424" s="102"/>
      <c r="O424" s="102"/>
      <c r="P424" s="102"/>
    </row>
    <row r="425" spans="10:16">
      <c r="L425" s="102"/>
      <c r="M425" s="102"/>
      <c r="N425" s="102"/>
      <c r="O425" s="102"/>
      <c r="P425" s="102"/>
    </row>
    <row r="426" spans="10:16">
      <c r="L426" s="102"/>
      <c r="M426" s="102"/>
      <c r="N426" s="102"/>
      <c r="O426" s="102"/>
      <c r="P426" s="102"/>
    </row>
    <row r="427" spans="10:16">
      <c r="J427" s="102"/>
      <c r="K427" s="102"/>
      <c r="L427" s="102"/>
      <c r="M427" s="102"/>
      <c r="N427" s="102"/>
      <c r="O427" s="102"/>
      <c r="P427" s="102"/>
    </row>
    <row r="428" spans="10:16">
      <c r="J428" s="102"/>
      <c r="K428" s="102"/>
      <c r="L428" s="102"/>
      <c r="M428" s="102"/>
      <c r="N428" s="102"/>
      <c r="O428" s="102"/>
      <c r="P428" s="102"/>
    </row>
    <row r="429" spans="10:16">
      <c r="J429" s="102"/>
      <c r="K429" s="102"/>
      <c r="L429" s="102"/>
      <c r="M429" s="102"/>
      <c r="N429" s="102"/>
      <c r="O429" s="102"/>
      <c r="P429" s="102"/>
    </row>
    <row r="430" spans="10:16">
      <c r="J430" s="102"/>
      <c r="K430" s="102"/>
      <c r="L430" s="102"/>
      <c r="M430" s="102"/>
      <c r="N430" s="102"/>
      <c r="O430" s="102"/>
      <c r="P430" s="102"/>
    </row>
    <row r="431" spans="10:16">
      <c r="J431" s="102"/>
      <c r="K431" s="102"/>
      <c r="L431" s="102"/>
      <c r="M431" s="102"/>
      <c r="N431" s="102"/>
      <c r="O431" s="102"/>
      <c r="P431" s="102"/>
    </row>
    <row r="432" spans="10:16">
      <c r="J432" s="102"/>
      <c r="K432" s="102"/>
      <c r="L432" s="102"/>
      <c r="M432" s="102"/>
      <c r="N432" s="102"/>
      <c r="O432" s="102"/>
      <c r="P432" s="102"/>
    </row>
    <row r="433" spans="10:16">
      <c r="J433" s="102"/>
      <c r="K433" s="102"/>
      <c r="L433" s="102"/>
      <c r="M433" s="102"/>
      <c r="N433" s="102"/>
      <c r="O433" s="102"/>
      <c r="P433" s="102"/>
    </row>
    <row r="434" spans="10:16">
      <c r="J434" s="102"/>
      <c r="K434" s="102"/>
      <c r="L434" s="102"/>
      <c r="M434" s="102"/>
      <c r="N434" s="102"/>
      <c r="O434" s="102"/>
      <c r="P434" s="102"/>
    </row>
    <row r="435" spans="10:16">
      <c r="J435" s="102"/>
      <c r="K435" s="102"/>
      <c r="L435" s="102"/>
      <c r="M435" s="102"/>
      <c r="N435" s="102"/>
      <c r="O435" s="102"/>
      <c r="P435" s="102"/>
    </row>
    <row r="436" spans="10:16">
      <c r="J436" s="102"/>
      <c r="K436" s="102"/>
      <c r="L436" s="102"/>
      <c r="M436" s="102"/>
      <c r="N436" s="102"/>
      <c r="O436" s="102"/>
      <c r="P436" s="102"/>
    </row>
    <row r="437" spans="10:16">
      <c r="J437" s="102"/>
      <c r="K437" s="102"/>
      <c r="L437" s="102"/>
      <c r="M437" s="102"/>
      <c r="N437" s="102"/>
      <c r="O437" s="102"/>
      <c r="P437" s="102"/>
    </row>
    <row r="438" spans="10:16">
      <c r="J438" s="102"/>
      <c r="K438" s="102"/>
      <c r="L438" s="102"/>
      <c r="M438" s="102"/>
      <c r="N438" s="102"/>
      <c r="O438" s="102"/>
      <c r="P438" s="102"/>
    </row>
    <row r="439" spans="10:16">
      <c r="J439" s="102"/>
      <c r="K439" s="102"/>
      <c r="L439" s="102"/>
      <c r="M439" s="102"/>
      <c r="N439" s="102"/>
      <c r="O439" s="102"/>
      <c r="P439" s="102"/>
    </row>
    <row r="440" spans="10:16">
      <c r="J440" s="102"/>
      <c r="K440" s="102"/>
      <c r="L440" s="102"/>
      <c r="M440" s="102"/>
      <c r="N440" s="102"/>
      <c r="O440" s="102"/>
      <c r="P440" s="102"/>
    </row>
    <row r="441" spans="10:16">
      <c r="J441" s="102"/>
      <c r="K441" s="102"/>
      <c r="L441" s="102"/>
      <c r="M441" s="102"/>
      <c r="N441" s="102"/>
      <c r="O441" s="102"/>
      <c r="P441" s="102"/>
    </row>
    <row r="442" spans="10:16">
      <c r="J442" s="102"/>
      <c r="K442" s="102"/>
      <c r="L442" s="102"/>
      <c r="M442" s="102"/>
      <c r="N442" s="102"/>
      <c r="O442" s="102"/>
      <c r="P442" s="102"/>
    </row>
    <row r="443" spans="10:16">
      <c r="J443" s="102"/>
      <c r="K443" s="102"/>
      <c r="L443" s="102"/>
      <c r="M443" s="102"/>
      <c r="N443" s="102"/>
      <c r="O443" s="102"/>
      <c r="P443" s="102"/>
    </row>
    <row r="444" spans="10:16">
      <c r="J444" s="102"/>
      <c r="K444" s="102"/>
      <c r="L444" s="102"/>
      <c r="M444" s="102"/>
      <c r="N444" s="102"/>
      <c r="O444" s="102"/>
      <c r="P444" s="102"/>
    </row>
    <row r="445" spans="10:16">
      <c r="J445" s="102"/>
      <c r="K445" s="102"/>
      <c r="L445" s="102"/>
      <c r="M445" s="102"/>
      <c r="N445" s="102"/>
      <c r="O445" s="102"/>
      <c r="P445" s="102"/>
    </row>
    <row r="446" spans="10:16">
      <c r="J446" s="102"/>
      <c r="K446" s="102"/>
      <c r="L446" s="102"/>
      <c r="M446" s="102"/>
      <c r="N446" s="102"/>
      <c r="O446" s="102"/>
      <c r="P446" s="102"/>
    </row>
    <row r="447" spans="10:16">
      <c r="J447" s="102"/>
      <c r="K447" s="102"/>
      <c r="L447" s="102"/>
      <c r="M447" s="102"/>
      <c r="N447" s="102"/>
      <c r="O447" s="102"/>
      <c r="P447" s="102"/>
    </row>
    <row r="448" spans="10:16">
      <c r="J448" s="102"/>
      <c r="K448" s="102"/>
      <c r="L448" s="102"/>
      <c r="M448" s="102"/>
      <c r="N448" s="102"/>
      <c r="O448" s="102"/>
      <c r="P448" s="102"/>
    </row>
    <row r="449" spans="10:16">
      <c r="J449" s="102"/>
      <c r="K449" s="102"/>
      <c r="L449" s="102"/>
      <c r="M449" s="102"/>
      <c r="N449" s="102"/>
      <c r="O449" s="102"/>
      <c r="P449" s="102"/>
    </row>
    <row r="450" spans="10:16">
      <c r="J450" s="102"/>
      <c r="K450" s="102"/>
      <c r="L450" s="102"/>
      <c r="M450" s="102"/>
      <c r="N450" s="102"/>
      <c r="O450" s="102"/>
      <c r="P450" s="102"/>
    </row>
    <row r="451" spans="10:16">
      <c r="J451" s="102"/>
      <c r="K451" s="102"/>
      <c r="L451" s="102"/>
      <c r="M451" s="102"/>
      <c r="N451" s="102"/>
      <c r="O451" s="102"/>
      <c r="P451" s="102"/>
    </row>
    <row r="452" spans="10:16">
      <c r="J452" s="102"/>
      <c r="K452" s="102"/>
      <c r="L452" s="102"/>
      <c r="M452" s="102"/>
      <c r="N452" s="102"/>
      <c r="O452" s="102"/>
      <c r="P452" s="102"/>
    </row>
    <row r="453" spans="10:16">
      <c r="J453" s="102"/>
      <c r="K453" s="102"/>
      <c r="L453" s="102"/>
      <c r="M453" s="102"/>
      <c r="N453" s="102"/>
      <c r="O453" s="102"/>
      <c r="P453" s="102"/>
    </row>
    <row r="454" spans="10:16">
      <c r="J454" s="102"/>
      <c r="K454" s="102"/>
      <c r="L454" s="102"/>
      <c r="M454" s="102"/>
      <c r="N454" s="102"/>
      <c r="O454" s="102"/>
      <c r="P454" s="102"/>
    </row>
    <row r="455" spans="10:16">
      <c r="J455" s="102"/>
      <c r="K455" s="102"/>
      <c r="L455" s="102"/>
      <c r="M455" s="102"/>
      <c r="N455" s="102"/>
      <c r="O455" s="102"/>
      <c r="P455" s="102"/>
    </row>
    <row r="456" spans="10:16">
      <c r="J456" s="102"/>
      <c r="K456" s="102"/>
      <c r="L456" s="102"/>
      <c r="M456" s="102"/>
      <c r="N456" s="102"/>
      <c r="O456" s="102"/>
      <c r="P456" s="102"/>
    </row>
    <row r="457" spans="10:16">
      <c r="J457" s="102"/>
      <c r="K457" s="102"/>
      <c r="L457" s="102"/>
      <c r="M457" s="102"/>
      <c r="N457" s="102"/>
      <c r="O457" s="102"/>
      <c r="P457" s="102"/>
    </row>
    <row r="458" spans="10:16">
      <c r="J458" s="102"/>
      <c r="K458" s="102"/>
      <c r="L458" s="102"/>
      <c r="M458" s="102"/>
      <c r="N458" s="102"/>
      <c r="O458" s="102"/>
      <c r="P458" s="102"/>
    </row>
    <row r="459" spans="10:16">
      <c r="J459" s="102"/>
      <c r="K459" s="102"/>
      <c r="L459" s="102"/>
      <c r="M459" s="102"/>
      <c r="N459" s="102"/>
      <c r="O459" s="102"/>
      <c r="P459" s="102"/>
    </row>
    <row r="460" spans="10:16">
      <c r="J460" s="102"/>
      <c r="K460" s="102"/>
      <c r="L460" s="102"/>
      <c r="M460" s="102"/>
      <c r="N460" s="102"/>
      <c r="O460" s="102"/>
      <c r="P460" s="102"/>
    </row>
    <row r="461" spans="10:16">
      <c r="J461" s="102"/>
      <c r="K461" s="102"/>
      <c r="L461" s="102"/>
      <c r="M461" s="102"/>
      <c r="N461" s="102"/>
      <c r="O461" s="102"/>
      <c r="P461" s="102"/>
    </row>
    <row r="462" spans="10:16">
      <c r="J462" s="102"/>
      <c r="K462" s="102"/>
      <c r="L462" s="102"/>
      <c r="M462" s="102"/>
      <c r="N462" s="102"/>
      <c r="O462" s="102"/>
      <c r="P462" s="102"/>
    </row>
    <row r="463" spans="10:16">
      <c r="J463" s="102"/>
      <c r="K463" s="102"/>
      <c r="L463" s="102"/>
      <c r="M463" s="102"/>
      <c r="N463" s="102"/>
      <c r="O463" s="102"/>
      <c r="P463" s="102"/>
    </row>
    <row r="464" spans="10:16">
      <c r="J464" s="102"/>
      <c r="K464" s="102"/>
      <c r="L464" s="102"/>
      <c r="M464" s="102"/>
      <c r="N464" s="102"/>
      <c r="O464" s="102"/>
      <c r="P464" s="102"/>
    </row>
  </sheetData>
  <mergeCells count="95">
    <mergeCell ref="F2:H2"/>
    <mergeCell ref="I2:I6"/>
    <mergeCell ref="J2:M2"/>
    <mergeCell ref="B4:B6"/>
    <mergeCell ref="B14:B21"/>
    <mergeCell ref="C14:C21"/>
    <mergeCell ref="B26:B30"/>
    <mergeCell ref="C26:C30"/>
    <mergeCell ref="B35:B37"/>
    <mergeCell ref="C35:C37"/>
    <mergeCell ref="B42:B47"/>
    <mergeCell ref="C42:C44"/>
    <mergeCell ref="C45:C47"/>
    <mergeCell ref="B52:B55"/>
    <mergeCell ref="C52:C55"/>
    <mergeCell ref="D59:F59"/>
    <mergeCell ref="B60:B63"/>
    <mergeCell ref="C60:C61"/>
    <mergeCell ref="D60:F60"/>
    <mergeCell ref="D61:F61"/>
    <mergeCell ref="C62:C63"/>
    <mergeCell ref="D62:F62"/>
    <mergeCell ref="D63:F63"/>
    <mergeCell ref="B68:B87"/>
    <mergeCell ref="C68:C74"/>
    <mergeCell ref="C75:C81"/>
    <mergeCell ref="C82:C87"/>
    <mergeCell ref="B92:B96"/>
    <mergeCell ref="C92:C96"/>
    <mergeCell ref="B137:B138"/>
    <mergeCell ref="C137:C138"/>
    <mergeCell ref="D137:F137"/>
    <mergeCell ref="D138:F138"/>
    <mergeCell ref="B101:B103"/>
    <mergeCell ref="C101:C103"/>
    <mergeCell ref="B108:B111"/>
    <mergeCell ref="C108:C111"/>
    <mergeCell ref="B116:B118"/>
    <mergeCell ref="C116:C118"/>
    <mergeCell ref="B123:B125"/>
    <mergeCell ref="C123:C125"/>
    <mergeCell ref="B130:B132"/>
    <mergeCell ref="C130:C132"/>
    <mergeCell ref="D136:F136"/>
    <mergeCell ref="B143:B145"/>
    <mergeCell ref="C143:C145"/>
    <mergeCell ref="B150:B152"/>
    <mergeCell ref="C150:C152"/>
    <mergeCell ref="B157:B162"/>
    <mergeCell ref="C157:C162"/>
    <mergeCell ref="B167:B169"/>
    <mergeCell ref="C167:C169"/>
    <mergeCell ref="B174:B176"/>
    <mergeCell ref="C174:C176"/>
    <mergeCell ref="B181:B183"/>
    <mergeCell ref="C181:C183"/>
    <mergeCell ref="B188:B190"/>
    <mergeCell ref="C188:C190"/>
    <mergeCell ref="D194:F194"/>
    <mergeCell ref="B195:B196"/>
    <mergeCell ref="C195:C196"/>
    <mergeCell ref="D195:F195"/>
    <mergeCell ref="D196:F196"/>
    <mergeCell ref="B197:B198"/>
    <mergeCell ref="C197:C198"/>
    <mergeCell ref="D197:F197"/>
    <mergeCell ref="D198:F198"/>
    <mergeCell ref="F203:F204"/>
    <mergeCell ref="F209:F210"/>
    <mergeCell ref="F211:F212"/>
    <mergeCell ref="F213:F214"/>
    <mergeCell ref="B291:B292"/>
    <mergeCell ref="B294:B295"/>
    <mergeCell ref="B302:B303"/>
    <mergeCell ref="B378:I378"/>
    <mergeCell ref="O368:V368"/>
    <mergeCell ref="I294:I295"/>
    <mergeCell ref="B296:B297"/>
    <mergeCell ref="I296:I297"/>
    <mergeCell ref="B298:B299"/>
    <mergeCell ref="I298:I299"/>
    <mergeCell ref="B300:B301"/>
    <mergeCell ref="O369:V369"/>
    <mergeCell ref="O371:O372"/>
    <mergeCell ref="P371:T372"/>
    <mergeCell ref="P389:Q389"/>
    <mergeCell ref="R389:T389"/>
    <mergeCell ref="O393:V393"/>
    <mergeCell ref="P370:Q370"/>
    <mergeCell ref="P390:Q390"/>
    <mergeCell ref="R390:T390"/>
    <mergeCell ref="P391:Q391"/>
    <mergeCell ref="R391:T391"/>
    <mergeCell ref="P392:Q392"/>
    <mergeCell ref="R392:T392"/>
  </mergeCells>
  <phoneticPr fontId="5" type="noConversion"/>
  <pageMargins left="0.19685039370078741" right="0.19685039370078741" top="0.74803149606299213" bottom="0.74803149606299213" header="0.31496062992125984" footer="0.31496062992125984"/>
  <pageSetup paperSize="9" scale="78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6E165-DDBB-4849-AA0D-CF80B76524D4}">
  <sheetPr>
    <tabColor rgb="FF7030A0"/>
    <pageSetUpPr fitToPage="1"/>
  </sheetPr>
  <dimension ref="A1:V464"/>
  <sheetViews>
    <sheetView showZeros="0" topLeftCell="A352" zoomScaleNormal="100" workbookViewId="0">
      <selection activeCell="C372" sqref="C372"/>
    </sheetView>
  </sheetViews>
  <sheetFormatPr defaultColWidth="25.25" defaultRowHeight="13.5"/>
  <cols>
    <col min="1" max="1" width="0.5" style="1" customWidth="1"/>
    <col min="2" max="2" width="25.25" style="102" customWidth="1"/>
    <col min="3" max="3" width="14.75" style="102" customWidth="1"/>
    <col min="4" max="4" width="11.5" style="102" customWidth="1"/>
    <col min="5" max="5" width="11.25" style="102" customWidth="1"/>
    <col min="6" max="6" width="12.25" style="102" customWidth="1"/>
    <col min="7" max="7" width="10" style="102" customWidth="1"/>
    <col min="8" max="8" width="9.875" style="102" customWidth="1"/>
    <col min="9" max="9" width="26.875" style="102" customWidth="1"/>
    <col min="10" max="10" width="11.125" style="43" customWidth="1"/>
    <col min="11" max="11" width="7.875" style="43" customWidth="1"/>
    <col min="12" max="12" width="7.25" style="43" customWidth="1"/>
    <col min="13" max="13" width="9.125" style="43" customWidth="1"/>
    <col min="14" max="14" width="15.125" style="255" customWidth="1"/>
    <col min="15" max="15" width="13.125" style="255" customWidth="1"/>
    <col min="16" max="16" width="24.375" style="255" customWidth="1"/>
    <col min="17" max="17" width="13.75" style="255" customWidth="1"/>
    <col min="18" max="18" width="11.25" style="255" customWidth="1"/>
    <col min="19" max="19" width="10.75" style="255" customWidth="1"/>
    <col min="20" max="20" width="10" style="255" customWidth="1"/>
    <col min="21" max="21" width="9.875" style="255" customWidth="1"/>
    <col min="22" max="22" width="26.125" style="255" customWidth="1"/>
    <col min="23" max="23" width="11.125" style="255" customWidth="1"/>
    <col min="24" max="24" width="7.875" style="255" customWidth="1"/>
    <col min="25" max="25" width="7.25" style="255" customWidth="1"/>
    <col min="26" max="26" width="9.125" style="255" customWidth="1"/>
    <col min="27" max="27" width="15.125" style="255" customWidth="1"/>
    <col min="28" max="28" width="7.75" style="255" customWidth="1"/>
    <col min="29" max="29" width="7.125" style="255" customWidth="1"/>
    <col min="30" max="30" width="12.125" style="255" customWidth="1"/>
    <col min="31" max="31" width="8.25" style="255" customWidth="1"/>
    <col min="32" max="33" width="10.375" style="255" customWidth="1"/>
    <col min="34" max="34" width="15.625" style="255" customWidth="1"/>
    <col min="35" max="35" width="15.875" style="255" customWidth="1"/>
    <col min="36" max="36" width="8.125" style="255" customWidth="1"/>
    <col min="37" max="40" width="10.375" style="255" customWidth="1"/>
    <col min="41" max="41" width="7.25" style="255" customWidth="1"/>
    <col min="42" max="42" width="7.125" style="255" customWidth="1"/>
    <col min="43" max="43" width="9.5" style="255" customWidth="1"/>
    <col min="44" max="45" width="9" style="255" customWidth="1"/>
    <col min="46" max="46" width="16.125" style="255" customWidth="1"/>
    <col min="47" max="77" width="9" style="255" customWidth="1"/>
    <col min="78" max="237" width="25.25" style="255"/>
    <col min="238" max="267" width="9" style="255" customWidth="1"/>
    <col min="268" max="268" width="0.5" style="255" customWidth="1"/>
    <col min="269" max="269" width="25.25" style="255"/>
    <col min="270" max="270" width="0.5" style="255" customWidth="1"/>
    <col min="271" max="271" width="25.25" style="255"/>
    <col min="272" max="272" width="14.75" style="255" customWidth="1"/>
    <col min="273" max="273" width="11.5" style="255" customWidth="1"/>
    <col min="274" max="274" width="11.25" style="255" customWidth="1"/>
    <col min="275" max="275" width="10.75" style="255" customWidth="1"/>
    <col min="276" max="276" width="10" style="255" customWidth="1"/>
    <col min="277" max="277" width="9.875" style="255" customWidth="1"/>
    <col min="278" max="278" width="26.125" style="255" customWidth="1"/>
    <col min="279" max="279" width="11.125" style="255" customWidth="1"/>
    <col min="280" max="280" width="7.875" style="255" customWidth="1"/>
    <col min="281" max="281" width="7.25" style="255" customWidth="1"/>
    <col min="282" max="282" width="9.125" style="255" customWidth="1"/>
    <col min="283" max="283" width="15.125" style="255" customWidth="1"/>
    <col min="284" max="284" width="7.75" style="255" customWidth="1"/>
    <col min="285" max="285" width="7.125" style="255" customWidth="1"/>
    <col min="286" max="286" width="12.125" style="255" customWidth="1"/>
    <col min="287" max="287" width="8.25" style="255" customWidth="1"/>
    <col min="288" max="289" width="10.375" style="255" customWidth="1"/>
    <col min="290" max="290" width="15.625" style="255" customWidth="1"/>
    <col min="291" max="291" width="15.875" style="255" customWidth="1"/>
    <col min="292" max="292" width="8.125" style="255" customWidth="1"/>
    <col min="293" max="296" width="10.375" style="255" customWidth="1"/>
    <col min="297" max="297" width="7.25" style="255" customWidth="1"/>
    <col min="298" max="298" width="7.125" style="255" customWidth="1"/>
    <col min="299" max="299" width="9.5" style="255" customWidth="1"/>
    <col min="300" max="301" width="9" style="255" customWidth="1"/>
    <col min="302" max="302" width="16.125" style="255" customWidth="1"/>
    <col min="303" max="333" width="9" style="255" customWidth="1"/>
    <col min="334" max="493" width="25.25" style="255"/>
    <col min="494" max="523" width="9" style="255" customWidth="1"/>
    <col min="524" max="524" width="0.5" style="255" customWidth="1"/>
    <col min="525" max="525" width="25.25" style="255"/>
    <col min="526" max="526" width="0.5" style="255" customWidth="1"/>
    <col min="527" max="527" width="25.25" style="255"/>
    <col min="528" max="528" width="14.75" style="255" customWidth="1"/>
    <col min="529" max="529" width="11.5" style="255" customWidth="1"/>
    <col min="530" max="530" width="11.25" style="255" customWidth="1"/>
    <col min="531" max="531" width="10.75" style="255" customWidth="1"/>
    <col min="532" max="532" width="10" style="255" customWidth="1"/>
    <col min="533" max="533" width="9.875" style="255" customWidth="1"/>
    <col min="534" max="534" width="26.125" style="255" customWidth="1"/>
    <col min="535" max="535" width="11.125" style="255" customWidth="1"/>
    <col min="536" max="536" width="7.875" style="255" customWidth="1"/>
    <col min="537" max="537" width="7.25" style="255" customWidth="1"/>
    <col min="538" max="538" width="9.125" style="255" customWidth="1"/>
    <col min="539" max="539" width="15.125" style="255" customWidth="1"/>
    <col min="540" max="540" width="7.75" style="255" customWidth="1"/>
    <col min="541" max="541" width="7.125" style="255" customWidth="1"/>
    <col min="542" max="542" width="12.125" style="255" customWidth="1"/>
    <col min="543" max="543" width="8.25" style="255" customWidth="1"/>
    <col min="544" max="545" width="10.375" style="255" customWidth="1"/>
    <col min="546" max="546" width="15.625" style="255" customWidth="1"/>
    <col min="547" max="547" width="15.875" style="255" customWidth="1"/>
    <col min="548" max="548" width="8.125" style="255" customWidth="1"/>
    <col min="549" max="552" width="10.375" style="255" customWidth="1"/>
    <col min="553" max="553" width="7.25" style="255" customWidth="1"/>
    <col min="554" max="554" width="7.125" style="255" customWidth="1"/>
    <col min="555" max="555" width="9.5" style="255" customWidth="1"/>
    <col min="556" max="557" width="9" style="255" customWidth="1"/>
    <col min="558" max="558" width="16.125" style="255" customWidth="1"/>
    <col min="559" max="589" width="9" style="255" customWidth="1"/>
    <col min="590" max="749" width="25.25" style="255"/>
    <col min="750" max="779" width="9" style="255" customWidth="1"/>
    <col min="780" max="780" width="0.5" style="255" customWidth="1"/>
    <col min="781" max="781" width="25.25" style="255"/>
    <col min="782" max="782" width="0.5" style="255" customWidth="1"/>
    <col min="783" max="783" width="25.25" style="255"/>
    <col min="784" max="784" width="14.75" style="255" customWidth="1"/>
    <col min="785" max="785" width="11.5" style="255" customWidth="1"/>
    <col min="786" max="786" width="11.25" style="255" customWidth="1"/>
    <col min="787" max="787" width="10.75" style="255" customWidth="1"/>
    <col min="788" max="788" width="10" style="255" customWidth="1"/>
    <col min="789" max="789" width="9.875" style="255" customWidth="1"/>
    <col min="790" max="790" width="26.125" style="255" customWidth="1"/>
    <col min="791" max="791" width="11.125" style="255" customWidth="1"/>
    <col min="792" max="792" width="7.875" style="255" customWidth="1"/>
    <col min="793" max="793" width="7.25" style="255" customWidth="1"/>
    <col min="794" max="794" width="9.125" style="255" customWidth="1"/>
    <col min="795" max="795" width="15.125" style="255" customWidth="1"/>
    <col min="796" max="796" width="7.75" style="255" customWidth="1"/>
    <col min="797" max="797" width="7.125" style="255" customWidth="1"/>
    <col min="798" max="798" width="12.125" style="255" customWidth="1"/>
    <col min="799" max="799" width="8.25" style="255" customWidth="1"/>
    <col min="800" max="801" width="10.375" style="255" customWidth="1"/>
    <col min="802" max="802" width="15.625" style="255" customWidth="1"/>
    <col min="803" max="803" width="15.875" style="255" customWidth="1"/>
    <col min="804" max="804" width="8.125" style="255" customWidth="1"/>
    <col min="805" max="808" width="10.375" style="255" customWidth="1"/>
    <col min="809" max="809" width="7.25" style="255" customWidth="1"/>
    <col min="810" max="810" width="7.125" style="255" customWidth="1"/>
    <col min="811" max="811" width="9.5" style="255" customWidth="1"/>
    <col min="812" max="813" width="9" style="255" customWidth="1"/>
    <col min="814" max="814" width="16.125" style="255" customWidth="1"/>
    <col min="815" max="845" width="9" style="255" customWidth="1"/>
    <col min="846" max="1005" width="25.25" style="255"/>
    <col min="1006" max="1035" width="9" style="255" customWidth="1"/>
    <col min="1036" max="1036" width="0.5" style="255" customWidth="1"/>
    <col min="1037" max="1037" width="25.25" style="255"/>
    <col min="1038" max="1038" width="0.5" style="255" customWidth="1"/>
    <col min="1039" max="1039" width="25.25" style="255"/>
    <col min="1040" max="1040" width="14.75" style="255" customWidth="1"/>
    <col min="1041" max="1041" width="11.5" style="255" customWidth="1"/>
    <col min="1042" max="1042" width="11.25" style="255" customWidth="1"/>
    <col min="1043" max="1043" width="10.75" style="255" customWidth="1"/>
    <col min="1044" max="1044" width="10" style="255" customWidth="1"/>
    <col min="1045" max="1045" width="9.875" style="255" customWidth="1"/>
    <col min="1046" max="1046" width="26.125" style="255" customWidth="1"/>
    <col min="1047" max="1047" width="11.125" style="255" customWidth="1"/>
    <col min="1048" max="1048" width="7.875" style="255" customWidth="1"/>
    <col min="1049" max="1049" width="7.25" style="255" customWidth="1"/>
    <col min="1050" max="1050" width="9.125" style="255" customWidth="1"/>
    <col min="1051" max="1051" width="15.125" style="255" customWidth="1"/>
    <col min="1052" max="1052" width="7.75" style="255" customWidth="1"/>
    <col min="1053" max="1053" width="7.125" style="255" customWidth="1"/>
    <col min="1054" max="1054" width="12.125" style="255" customWidth="1"/>
    <col min="1055" max="1055" width="8.25" style="255" customWidth="1"/>
    <col min="1056" max="1057" width="10.375" style="255" customWidth="1"/>
    <col min="1058" max="1058" width="15.625" style="255" customWidth="1"/>
    <col min="1059" max="1059" width="15.875" style="255" customWidth="1"/>
    <col min="1060" max="1060" width="8.125" style="255" customWidth="1"/>
    <col min="1061" max="1064" width="10.375" style="255" customWidth="1"/>
    <col min="1065" max="1065" width="7.25" style="255" customWidth="1"/>
    <col min="1066" max="1066" width="7.125" style="255" customWidth="1"/>
    <col min="1067" max="1067" width="9.5" style="255" customWidth="1"/>
    <col min="1068" max="1069" width="9" style="255" customWidth="1"/>
    <col min="1070" max="1070" width="16.125" style="255" customWidth="1"/>
    <col min="1071" max="1101" width="9" style="255" customWidth="1"/>
    <col min="1102" max="1261" width="25.25" style="255"/>
    <col min="1262" max="1291" width="9" style="255" customWidth="1"/>
    <col min="1292" max="1292" width="0.5" style="255" customWidth="1"/>
    <col min="1293" max="1293" width="25.25" style="255"/>
    <col min="1294" max="1294" width="0.5" style="255" customWidth="1"/>
    <col min="1295" max="1295" width="25.25" style="255"/>
    <col min="1296" max="1296" width="14.75" style="255" customWidth="1"/>
    <col min="1297" max="1297" width="11.5" style="255" customWidth="1"/>
    <col min="1298" max="1298" width="11.25" style="255" customWidth="1"/>
    <col min="1299" max="1299" width="10.75" style="255" customWidth="1"/>
    <col min="1300" max="1300" width="10" style="255" customWidth="1"/>
    <col min="1301" max="1301" width="9.875" style="255" customWidth="1"/>
    <col min="1302" max="1302" width="26.125" style="255" customWidth="1"/>
    <col min="1303" max="1303" width="11.125" style="255" customWidth="1"/>
    <col min="1304" max="1304" width="7.875" style="255" customWidth="1"/>
    <col min="1305" max="1305" width="7.25" style="255" customWidth="1"/>
    <col min="1306" max="1306" width="9.125" style="255" customWidth="1"/>
    <col min="1307" max="1307" width="15.125" style="255" customWidth="1"/>
    <col min="1308" max="1308" width="7.75" style="255" customWidth="1"/>
    <col min="1309" max="1309" width="7.125" style="255" customWidth="1"/>
    <col min="1310" max="1310" width="12.125" style="255" customWidth="1"/>
    <col min="1311" max="1311" width="8.25" style="255" customWidth="1"/>
    <col min="1312" max="1313" width="10.375" style="255" customWidth="1"/>
    <col min="1314" max="1314" width="15.625" style="255" customWidth="1"/>
    <col min="1315" max="1315" width="15.875" style="255" customWidth="1"/>
    <col min="1316" max="1316" width="8.125" style="255" customWidth="1"/>
    <col min="1317" max="1320" width="10.375" style="255" customWidth="1"/>
    <col min="1321" max="1321" width="7.25" style="255" customWidth="1"/>
    <col min="1322" max="1322" width="7.125" style="255" customWidth="1"/>
    <col min="1323" max="1323" width="9.5" style="255" customWidth="1"/>
    <col min="1324" max="1325" width="9" style="255" customWidth="1"/>
    <col min="1326" max="1326" width="16.125" style="255" customWidth="1"/>
    <col min="1327" max="1357" width="9" style="255" customWidth="1"/>
    <col min="1358" max="1517" width="25.25" style="255"/>
    <col min="1518" max="1547" width="9" style="255" customWidth="1"/>
    <col min="1548" max="1548" width="0.5" style="255" customWidth="1"/>
    <col min="1549" max="1549" width="25.25" style="255"/>
    <col min="1550" max="1550" width="0.5" style="255" customWidth="1"/>
    <col min="1551" max="1551" width="25.25" style="255"/>
    <col min="1552" max="1552" width="14.75" style="255" customWidth="1"/>
    <col min="1553" max="1553" width="11.5" style="255" customWidth="1"/>
    <col min="1554" max="1554" width="11.25" style="255" customWidth="1"/>
    <col min="1555" max="1555" width="10.75" style="255" customWidth="1"/>
    <col min="1556" max="1556" width="10" style="255" customWidth="1"/>
    <col min="1557" max="1557" width="9.875" style="255" customWidth="1"/>
    <col min="1558" max="1558" width="26.125" style="255" customWidth="1"/>
    <col min="1559" max="1559" width="11.125" style="255" customWidth="1"/>
    <col min="1560" max="1560" width="7.875" style="255" customWidth="1"/>
    <col min="1561" max="1561" width="7.25" style="255" customWidth="1"/>
    <col min="1562" max="1562" width="9.125" style="255" customWidth="1"/>
    <col min="1563" max="1563" width="15.125" style="255" customWidth="1"/>
    <col min="1564" max="1564" width="7.75" style="255" customWidth="1"/>
    <col min="1565" max="1565" width="7.125" style="255" customWidth="1"/>
    <col min="1566" max="1566" width="12.125" style="255" customWidth="1"/>
    <col min="1567" max="1567" width="8.25" style="255" customWidth="1"/>
    <col min="1568" max="1569" width="10.375" style="255" customWidth="1"/>
    <col min="1570" max="1570" width="15.625" style="255" customWidth="1"/>
    <col min="1571" max="1571" width="15.875" style="255" customWidth="1"/>
    <col min="1572" max="1572" width="8.125" style="255" customWidth="1"/>
    <col min="1573" max="1576" width="10.375" style="255" customWidth="1"/>
    <col min="1577" max="1577" width="7.25" style="255" customWidth="1"/>
    <col min="1578" max="1578" width="7.125" style="255" customWidth="1"/>
    <col min="1579" max="1579" width="9.5" style="255" customWidth="1"/>
    <col min="1580" max="1581" width="9" style="255" customWidth="1"/>
    <col min="1582" max="1582" width="16.125" style="255" customWidth="1"/>
    <col min="1583" max="1613" width="9" style="255" customWidth="1"/>
    <col min="1614" max="1773" width="25.25" style="255"/>
    <col min="1774" max="1803" width="9" style="255" customWidth="1"/>
    <col min="1804" max="1804" width="0.5" style="255" customWidth="1"/>
    <col min="1805" max="1805" width="25.25" style="255"/>
    <col min="1806" max="1806" width="0.5" style="255" customWidth="1"/>
    <col min="1807" max="1807" width="25.25" style="255"/>
    <col min="1808" max="1808" width="14.75" style="255" customWidth="1"/>
    <col min="1809" max="1809" width="11.5" style="255" customWidth="1"/>
    <col min="1810" max="1810" width="11.25" style="255" customWidth="1"/>
    <col min="1811" max="1811" width="10.75" style="255" customWidth="1"/>
    <col min="1812" max="1812" width="10" style="255" customWidth="1"/>
    <col min="1813" max="1813" width="9.875" style="255" customWidth="1"/>
    <col min="1814" max="1814" width="26.125" style="255" customWidth="1"/>
    <col min="1815" max="1815" width="11.125" style="255" customWidth="1"/>
    <col min="1816" max="1816" width="7.875" style="255" customWidth="1"/>
    <col min="1817" max="1817" width="7.25" style="255" customWidth="1"/>
    <col min="1818" max="1818" width="9.125" style="255" customWidth="1"/>
    <col min="1819" max="1819" width="15.125" style="255" customWidth="1"/>
    <col min="1820" max="1820" width="7.75" style="255" customWidth="1"/>
    <col min="1821" max="1821" width="7.125" style="255" customWidth="1"/>
    <col min="1822" max="1822" width="12.125" style="255" customWidth="1"/>
    <col min="1823" max="1823" width="8.25" style="255" customWidth="1"/>
    <col min="1824" max="1825" width="10.375" style="255" customWidth="1"/>
    <col min="1826" max="1826" width="15.625" style="255" customWidth="1"/>
    <col min="1827" max="1827" width="15.875" style="255" customWidth="1"/>
    <col min="1828" max="1828" width="8.125" style="255" customWidth="1"/>
    <col min="1829" max="1832" width="10.375" style="255" customWidth="1"/>
    <col min="1833" max="1833" width="7.25" style="255" customWidth="1"/>
    <col min="1834" max="1834" width="7.125" style="255" customWidth="1"/>
    <col min="1835" max="1835" width="9.5" style="255" customWidth="1"/>
    <col min="1836" max="1837" width="9" style="255" customWidth="1"/>
    <col min="1838" max="1838" width="16.125" style="255" customWidth="1"/>
    <col min="1839" max="1869" width="9" style="255" customWidth="1"/>
    <col min="1870" max="2029" width="25.25" style="255"/>
    <col min="2030" max="2059" width="9" style="255" customWidth="1"/>
    <col min="2060" max="2060" width="0.5" style="255" customWidth="1"/>
    <col min="2061" max="2061" width="25.25" style="255"/>
    <col min="2062" max="2062" width="0.5" style="255" customWidth="1"/>
    <col min="2063" max="2063" width="25.25" style="255"/>
    <col min="2064" max="2064" width="14.75" style="255" customWidth="1"/>
    <col min="2065" max="2065" width="11.5" style="255" customWidth="1"/>
    <col min="2066" max="2066" width="11.25" style="255" customWidth="1"/>
    <col min="2067" max="2067" width="10.75" style="255" customWidth="1"/>
    <col min="2068" max="2068" width="10" style="255" customWidth="1"/>
    <col min="2069" max="2069" width="9.875" style="255" customWidth="1"/>
    <col min="2070" max="2070" width="26.125" style="255" customWidth="1"/>
    <col min="2071" max="2071" width="11.125" style="255" customWidth="1"/>
    <col min="2072" max="2072" width="7.875" style="255" customWidth="1"/>
    <col min="2073" max="2073" width="7.25" style="255" customWidth="1"/>
    <col min="2074" max="2074" width="9.125" style="255" customWidth="1"/>
    <col min="2075" max="2075" width="15.125" style="255" customWidth="1"/>
    <col min="2076" max="2076" width="7.75" style="255" customWidth="1"/>
    <col min="2077" max="2077" width="7.125" style="255" customWidth="1"/>
    <col min="2078" max="2078" width="12.125" style="255" customWidth="1"/>
    <col min="2079" max="2079" width="8.25" style="255" customWidth="1"/>
    <col min="2080" max="2081" width="10.375" style="255" customWidth="1"/>
    <col min="2082" max="2082" width="15.625" style="255" customWidth="1"/>
    <col min="2083" max="2083" width="15.875" style="255" customWidth="1"/>
    <col min="2084" max="2084" width="8.125" style="255" customWidth="1"/>
    <col min="2085" max="2088" width="10.375" style="255" customWidth="1"/>
    <col min="2089" max="2089" width="7.25" style="255" customWidth="1"/>
    <col min="2090" max="2090" width="7.125" style="255" customWidth="1"/>
    <col min="2091" max="2091" width="9.5" style="255" customWidth="1"/>
    <col min="2092" max="2093" width="9" style="255" customWidth="1"/>
    <col min="2094" max="2094" width="16.125" style="255" customWidth="1"/>
    <col min="2095" max="2125" width="9" style="255" customWidth="1"/>
    <col min="2126" max="2285" width="25.25" style="255"/>
    <col min="2286" max="2315" width="9" style="255" customWidth="1"/>
    <col min="2316" max="2316" width="0.5" style="255" customWidth="1"/>
    <col min="2317" max="2317" width="25.25" style="255"/>
    <col min="2318" max="2318" width="0.5" style="255" customWidth="1"/>
    <col min="2319" max="2319" width="25.25" style="255"/>
    <col min="2320" max="2320" width="14.75" style="255" customWidth="1"/>
    <col min="2321" max="2321" width="11.5" style="255" customWidth="1"/>
    <col min="2322" max="2322" width="11.25" style="255" customWidth="1"/>
    <col min="2323" max="2323" width="10.75" style="255" customWidth="1"/>
    <col min="2324" max="2324" width="10" style="255" customWidth="1"/>
    <col min="2325" max="2325" width="9.875" style="255" customWidth="1"/>
    <col min="2326" max="2326" width="26.125" style="255" customWidth="1"/>
    <col min="2327" max="2327" width="11.125" style="255" customWidth="1"/>
    <col min="2328" max="2328" width="7.875" style="255" customWidth="1"/>
    <col min="2329" max="2329" width="7.25" style="255" customWidth="1"/>
    <col min="2330" max="2330" width="9.125" style="255" customWidth="1"/>
    <col min="2331" max="2331" width="15.125" style="255" customWidth="1"/>
    <col min="2332" max="2332" width="7.75" style="255" customWidth="1"/>
    <col min="2333" max="2333" width="7.125" style="255" customWidth="1"/>
    <col min="2334" max="2334" width="12.125" style="255" customWidth="1"/>
    <col min="2335" max="2335" width="8.25" style="255" customWidth="1"/>
    <col min="2336" max="2337" width="10.375" style="255" customWidth="1"/>
    <col min="2338" max="2338" width="15.625" style="255" customWidth="1"/>
    <col min="2339" max="2339" width="15.875" style="255" customWidth="1"/>
    <col min="2340" max="2340" width="8.125" style="255" customWidth="1"/>
    <col min="2341" max="2344" width="10.375" style="255" customWidth="1"/>
    <col min="2345" max="2345" width="7.25" style="255" customWidth="1"/>
    <col min="2346" max="2346" width="7.125" style="255" customWidth="1"/>
    <col min="2347" max="2347" width="9.5" style="255" customWidth="1"/>
    <col min="2348" max="2349" width="9" style="255" customWidth="1"/>
    <col min="2350" max="2350" width="16.125" style="255" customWidth="1"/>
    <col min="2351" max="2381" width="9" style="255" customWidth="1"/>
    <col min="2382" max="2541" width="25.25" style="255"/>
    <col min="2542" max="2571" width="9" style="255" customWidth="1"/>
    <col min="2572" max="2572" width="0.5" style="255" customWidth="1"/>
    <col min="2573" max="2573" width="25.25" style="255"/>
    <col min="2574" max="2574" width="0.5" style="255" customWidth="1"/>
    <col min="2575" max="2575" width="25.25" style="255"/>
    <col min="2576" max="2576" width="14.75" style="255" customWidth="1"/>
    <col min="2577" max="2577" width="11.5" style="255" customWidth="1"/>
    <col min="2578" max="2578" width="11.25" style="255" customWidth="1"/>
    <col min="2579" max="2579" width="10.75" style="255" customWidth="1"/>
    <col min="2580" max="2580" width="10" style="255" customWidth="1"/>
    <col min="2581" max="2581" width="9.875" style="255" customWidth="1"/>
    <col min="2582" max="2582" width="26.125" style="255" customWidth="1"/>
    <col min="2583" max="2583" width="11.125" style="255" customWidth="1"/>
    <col min="2584" max="2584" width="7.875" style="255" customWidth="1"/>
    <col min="2585" max="2585" width="7.25" style="255" customWidth="1"/>
    <col min="2586" max="2586" width="9.125" style="255" customWidth="1"/>
    <col min="2587" max="2587" width="15.125" style="255" customWidth="1"/>
    <col min="2588" max="2588" width="7.75" style="255" customWidth="1"/>
    <col min="2589" max="2589" width="7.125" style="255" customWidth="1"/>
    <col min="2590" max="2590" width="12.125" style="255" customWidth="1"/>
    <col min="2591" max="2591" width="8.25" style="255" customWidth="1"/>
    <col min="2592" max="2593" width="10.375" style="255" customWidth="1"/>
    <col min="2594" max="2594" width="15.625" style="255" customWidth="1"/>
    <col min="2595" max="2595" width="15.875" style="255" customWidth="1"/>
    <col min="2596" max="2596" width="8.125" style="255" customWidth="1"/>
    <col min="2597" max="2600" width="10.375" style="255" customWidth="1"/>
    <col min="2601" max="2601" width="7.25" style="255" customWidth="1"/>
    <col min="2602" max="2602" width="7.125" style="255" customWidth="1"/>
    <col min="2603" max="2603" width="9.5" style="255" customWidth="1"/>
    <col min="2604" max="2605" width="9" style="255" customWidth="1"/>
    <col min="2606" max="2606" width="16.125" style="255" customWidth="1"/>
    <col min="2607" max="2637" width="9" style="255" customWidth="1"/>
    <col min="2638" max="2797" width="25.25" style="255"/>
    <col min="2798" max="2827" width="9" style="255" customWidth="1"/>
    <col min="2828" max="2828" width="0.5" style="255" customWidth="1"/>
    <col min="2829" max="2829" width="25.25" style="255"/>
    <col min="2830" max="2830" width="0.5" style="255" customWidth="1"/>
    <col min="2831" max="2831" width="25.25" style="255"/>
    <col min="2832" max="2832" width="14.75" style="255" customWidth="1"/>
    <col min="2833" max="2833" width="11.5" style="255" customWidth="1"/>
    <col min="2834" max="2834" width="11.25" style="255" customWidth="1"/>
    <col min="2835" max="2835" width="10.75" style="255" customWidth="1"/>
    <col min="2836" max="2836" width="10" style="255" customWidth="1"/>
    <col min="2837" max="2837" width="9.875" style="255" customWidth="1"/>
    <col min="2838" max="2838" width="26.125" style="255" customWidth="1"/>
    <col min="2839" max="2839" width="11.125" style="255" customWidth="1"/>
    <col min="2840" max="2840" width="7.875" style="255" customWidth="1"/>
    <col min="2841" max="2841" width="7.25" style="255" customWidth="1"/>
    <col min="2842" max="2842" width="9.125" style="255" customWidth="1"/>
    <col min="2843" max="2843" width="15.125" style="255" customWidth="1"/>
    <col min="2844" max="2844" width="7.75" style="255" customWidth="1"/>
    <col min="2845" max="2845" width="7.125" style="255" customWidth="1"/>
    <col min="2846" max="2846" width="12.125" style="255" customWidth="1"/>
    <col min="2847" max="2847" width="8.25" style="255" customWidth="1"/>
    <col min="2848" max="2849" width="10.375" style="255" customWidth="1"/>
    <col min="2850" max="2850" width="15.625" style="255" customWidth="1"/>
    <col min="2851" max="2851" width="15.875" style="255" customWidth="1"/>
    <col min="2852" max="2852" width="8.125" style="255" customWidth="1"/>
    <col min="2853" max="2856" width="10.375" style="255" customWidth="1"/>
    <col min="2857" max="2857" width="7.25" style="255" customWidth="1"/>
    <col min="2858" max="2858" width="7.125" style="255" customWidth="1"/>
    <col min="2859" max="2859" width="9.5" style="255" customWidth="1"/>
    <col min="2860" max="2861" width="9" style="255" customWidth="1"/>
    <col min="2862" max="2862" width="16.125" style="255" customWidth="1"/>
    <col min="2863" max="2893" width="9" style="255" customWidth="1"/>
    <col min="2894" max="3053" width="25.25" style="255"/>
    <col min="3054" max="3083" width="9" style="255" customWidth="1"/>
    <col min="3084" max="3084" width="0.5" style="255" customWidth="1"/>
    <col min="3085" max="3085" width="25.25" style="255"/>
    <col min="3086" max="3086" width="0.5" style="255" customWidth="1"/>
    <col min="3087" max="3087" width="25.25" style="255"/>
    <col min="3088" max="3088" width="14.75" style="255" customWidth="1"/>
    <col min="3089" max="3089" width="11.5" style="255" customWidth="1"/>
    <col min="3090" max="3090" width="11.25" style="255" customWidth="1"/>
    <col min="3091" max="3091" width="10.75" style="255" customWidth="1"/>
    <col min="3092" max="3092" width="10" style="255" customWidth="1"/>
    <col min="3093" max="3093" width="9.875" style="255" customWidth="1"/>
    <col min="3094" max="3094" width="26.125" style="255" customWidth="1"/>
    <col min="3095" max="3095" width="11.125" style="255" customWidth="1"/>
    <col min="3096" max="3096" width="7.875" style="255" customWidth="1"/>
    <col min="3097" max="3097" width="7.25" style="255" customWidth="1"/>
    <col min="3098" max="3098" width="9.125" style="255" customWidth="1"/>
    <col min="3099" max="3099" width="15.125" style="255" customWidth="1"/>
    <col min="3100" max="3100" width="7.75" style="255" customWidth="1"/>
    <col min="3101" max="3101" width="7.125" style="255" customWidth="1"/>
    <col min="3102" max="3102" width="12.125" style="255" customWidth="1"/>
    <col min="3103" max="3103" width="8.25" style="255" customWidth="1"/>
    <col min="3104" max="3105" width="10.375" style="255" customWidth="1"/>
    <col min="3106" max="3106" width="15.625" style="255" customWidth="1"/>
    <col min="3107" max="3107" width="15.875" style="255" customWidth="1"/>
    <col min="3108" max="3108" width="8.125" style="255" customWidth="1"/>
    <col min="3109" max="3112" width="10.375" style="255" customWidth="1"/>
    <col min="3113" max="3113" width="7.25" style="255" customWidth="1"/>
    <col min="3114" max="3114" width="7.125" style="255" customWidth="1"/>
    <col min="3115" max="3115" width="9.5" style="255" customWidth="1"/>
    <col min="3116" max="3117" width="9" style="255" customWidth="1"/>
    <col min="3118" max="3118" width="16.125" style="255" customWidth="1"/>
    <col min="3119" max="3149" width="9" style="255" customWidth="1"/>
    <col min="3150" max="3309" width="25.25" style="255"/>
    <col min="3310" max="3339" width="9" style="255" customWidth="1"/>
    <col min="3340" max="3340" width="0.5" style="255" customWidth="1"/>
    <col min="3341" max="3341" width="25.25" style="255"/>
    <col min="3342" max="3342" width="0.5" style="255" customWidth="1"/>
    <col min="3343" max="3343" width="25.25" style="255"/>
    <col min="3344" max="3344" width="14.75" style="255" customWidth="1"/>
    <col min="3345" max="3345" width="11.5" style="255" customWidth="1"/>
    <col min="3346" max="3346" width="11.25" style="255" customWidth="1"/>
    <col min="3347" max="3347" width="10.75" style="255" customWidth="1"/>
    <col min="3348" max="3348" width="10" style="255" customWidth="1"/>
    <col min="3349" max="3349" width="9.875" style="255" customWidth="1"/>
    <col min="3350" max="3350" width="26.125" style="255" customWidth="1"/>
    <col min="3351" max="3351" width="11.125" style="255" customWidth="1"/>
    <col min="3352" max="3352" width="7.875" style="255" customWidth="1"/>
    <col min="3353" max="3353" width="7.25" style="255" customWidth="1"/>
    <col min="3354" max="3354" width="9.125" style="255" customWidth="1"/>
    <col min="3355" max="3355" width="15.125" style="255" customWidth="1"/>
    <col min="3356" max="3356" width="7.75" style="255" customWidth="1"/>
    <col min="3357" max="3357" width="7.125" style="255" customWidth="1"/>
    <col min="3358" max="3358" width="12.125" style="255" customWidth="1"/>
    <col min="3359" max="3359" width="8.25" style="255" customWidth="1"/>
    <col min="3360" max="3361" width="10.375" style="255" customWidth="1"/>
    <col min="3362" max="3362" width="15.625" style="255" customWidth="1"/>
    <col min="3363" max="3363" width="15.875" style="255" customWidth="1"/>
    <col min="3364" max="3364" width="8.125" style="255" customWidth="1"/>
    <col min="3365" max="3368" width="10.375" style="255" customWidth="1"/>
    <col min="3369" max="3369" width="7.25" style="255" customWidth="1"/>
    <col min="3370" max="3370" width="7.125" style="255" customWidth="1"/>
    <col min="3371" max="3371" width="9.5" style="255" customWidth="1"/>
    <col min="3372" max="3373" width="9" style="255" customWidth="1"/>
    <col min="3374" max="3374" width="16.125" style="255" customWidth="1"/>
    <col min="3375" max="3405" width="9" style="255" customWidth="1"/>
    <col min="3406" max="3565" width="25.25" style="255"/>
    <col min="3566" max="3595" width="9" style="255" customWidth="1"/>
    <col min="3596" max="3596" width="0.5" style="255" customWidth="1"/>
    <col min="3597" max="3597" width="25.25" style="255"/>
    <col min="3598" max="3598" width="0.5" style="255" customWidth="1"/>
    <col min="3599" max="3599" width="25.25" style="255"/>
    <col min="3600" max="3600" width="14.75" style="255" customWidth="1"/>
    <col min="3601" max="3601" width="11.5" style="255" customWidth="1"/>
    <col min="3602" max="3602" width="11.25" style="255" customWidth="1"/>
    <col min="3603" max="3603" width="10.75" style="255" customWidth="1"/>
    <col min="3604" max="3604" width="10" style="255" customWidth="1"/>
    <col min="3605" max="3605" width="9.875" style="255" customWidth="1"/>
    <col min="3606" max="3606" width="26.125" style="255" customWidth="1"/>
    <col min="3607" max="3607" width="11.125" style="255" customWidth="1"/>
    <col min="3608" max="3608" width="7.875" style="255" customWidth="1"/>
    <col min="3609" max="3609" width="7.25" style="255" customWidth="1"/>
    <col min="3610" max="3610" width="9.125" style="255" customWidth="1"/>
    <col min="3611" max="3611" width="15.125" style="255" customWidth="1"/>
    <col min="3612" max="3612" width="7.75" style="255" customWidth="1"/>
    <col min="3613" max="3613" width="7.125" style="255" customWidth="1"/>
    <col min="3614" max="3614" width="12.125" style="255" customWidth="1"/>
    <col min="3615" max="3615" width="8.25" style="255" customWidth="1"/>
    <col min="3616" max="3617" width="10.375" style="255" customWidth="1"/>
    <col min="3618" max="3618" width="15.625" style="255" customWidth="1"/>
    <col min="3619" max="3619" width="15.875" style="255" customWidth="1"/>
    <col min="3620" max="3620" width="8.125" style="255" customWidth="1"/>
    <col min="3621" max="3624" width="10.375" style="255" customWidth="1"/>
    <col min="3625" max="3625" width="7.25" style="255" customWidth="1"/>
    <col min="3626" max="3626" width="7.125" style="255" customWidth="1"/>
    <col min="3627" max="3627" width="9.5" style="255" customWidth="1"/>
    <col min="3628" max="3629" width="9" style="255" customWidth="1"/>
    <col min="3630" max="3630" width="16.125" style="255" customWidth="1"/>
    <col min="3631" max="3661" width="9" style="255" customWidth="1"/>
    <col min="3662" max="3821" width="25.25" style="255"/>
    <col min="3822" max="3851" width="9" style="255" customWidth="1"/>
    <col min="3852" max="3852" width="0.5" style="255" customWidth="1"/>
    <col min="3853" max="3853" width="25.25" style="255"/>
    <col min="3854" max="3854" width="0.5" style="255" customWidth="1"/>
    <col min="3855" max="3855" width="25.25" style="255"/>
    <col min="3856" max="3856" width="14.75" style="255" customWidth="1"/>
    <col min="3857" max="3857" width="11.5" style="255" customWidth="1"/>
    <col min="3858" max="3858" width="11.25" style="255" customWidth="1"/>
    <col min="3859" max="3859" width="10.75" style="255" customWidth="1"/>
    <col min="3860" max="3860" width="10" style="255" customWidth="1"/>
    <col min="3861" max="3861" width="9.875" style="255" customWidth="1"/>
    <col min="3862" max="3862" width="26.125" style="255" customWidth="1"/>
    <col min="3863" max="3863" width="11.125" style="255" customWidth="1"/>
    <col min="3864" max="3864" width="7.875" style="255" customWidth="1"/>
    <col min="3865" max="3865" width="7.25" style="255" customWidth="1"/>
    <col min="3866" max="3866" width="9.125" style="255" customWidth="1"/>
    <col min="3867" max="3867" width="15.125" style="255" customWidth="1"/>
    <col min="3868" max="3868" width="7.75" style="255" customWidth="1"/>
    <col min="3869" max="3869" width="7.125" style="255" customWidth="1"/>
    <col min="3870" max="3870" width="12.125" style="255" customWidth="1"/>
    <col min="3871" max="3871" width="8.25" style="255" customWidth="1"/>
    <col min="3872" max="3873" width="10.375" style="255" customWidth="1"/>
    <col min="3874" max="3874" width="15.625" style="255" customWidth="1"/>
    <col min="3875" max="3875" width="15.875" style="255" customWidth="1"/>
    <col min="3876" max="3876" width="8.125" style="255" customWidth="1"/>
    <col min="3877" max="3880" width="10.375" style="255" customWidth="1"/>
    <col min="3881" max="3881" width="7.25" style="255" customWidth="1"/>
    <col min="3882" max="3882" width="7.125" style="255" customWidth="1"/>
    <col min="3883" max="3883" width="9.5" style="255" customWidth="1"/>
    <col min="3884" max="3885" width="9" style="255" customWidth="1"/>
    <col min="3886" max="3886" width="16.125" style="255" customWidth="1"/>
    <col min="3887" max="3917" width="9" style="255" customWidth="1"/>
    <col min="3918" max="4077" width="25.25" style="255"/>
    <col min="4078" max="4107" width="9" style="255" customWidth="1"/>
    <col min="4108" max="4108" width="0.5" style="255" customWidth="1"/>
    <col min="4109" max="4109" width="25.25" style="255"/>
    <col min="4110" max="4110" width="0.5" style="255" customWidth="1"/>
    <col min="4111" max="4111" width="25.25" style="255"/>
    <col min="4112" max="4112" width="14.75" style="255" customWidth="1"/>
    <col min="4113" max="4113" width="11.5" style="255" customWidth="1"/>
    <col min="4114" max="4114" width="11.25" style="255" customWidth="1"/>
    <col min="4115" max="4115" width="10.75" style="255" customWidth="1"/>
    <col min="4116" max="4116" width="10" style="255" customWidth="1"/>
    <col min="4117" max="4117" width="9.875" style="255" customWidth="1"/>
    <col min="4118" max="4118" width="26.125" style="255" customWidth="1"/>
    <col min="4119" max="4119" width="11.125" style="255" customWidth="1"/>
    <col min="4120" max="4120" width="7.875" style="255" customWidth="1"/>
    <col min="4121" max="4121" width="7.25" style="255" customWidth="1"/>
    <col min="4122" max="4122" width="9.125" style="255" customWidth="1"/>
    <col min="4123" max="4123" width="15.125" style="255" customWidth="1"/>
    <col min="4124" max="4124" width="7.75" style="255" customWidth="1"/>
    <col min="4125" max="4125" width="7.125" style="255" customWidth="1"/>
    <col min="4126" max="4126" width="12.125" style="255" customWidth="1"/>
    <col min="4127" max="4127" width="8.25" style="255" customWidth="1"/>
    <col min="4128" max="4129" width="10.375" style="255" customWidth="1"/>
    <col min="4130" max="4130" width="15.625" style="255" customWidth="1"/>
    <col min="4131" max="4131" width="15.875" style="255" customWidth="1"/>
    <col min="4132" max="4132" width="8.125" style="255" customWidth="1"/>
    <col min="4133" max="4136" width="10.375" style="255" customWidth="1"/>
    <col min="4137" max="4137" width="7.25" style="255" customWidth="1"/>
    <col min="4138" max="4138" width="7.125" style="255" customWidth="1"/>
    <col min="4139" max="4139" width="9.5" style="255" customWidth="1"/>
    <col min="4140" max="4141" width="9" style="255" customWidth="1"/>
    <col min="4142" max="4142" width="16.125" style="255" customWidth="1"/>
    <col min="4143" max="4173" width="9" style="255" customWidth="1"/>
    <col min="4174" max="4333" width="25.25" style="255"/>
    <col min="4334" max="4363" width="9" style="255" customWidth="1"/>
    <col min="4364" max="4364" width="0.5" style="255" customWidth="1"/>
    <col min="4365" max="4365" width="25.25" style="255"/>
    <col min="4366" max="4366" width="0.5" style="255" customWidth="1"/>
    <col min="4367" max="4367" width="25.25" style="255"/>
    <col min="4368" max="4368" width="14.75" style="255" customWidth="1"/>
    <col min="4369" max="4369" width="11.5" style="255" customWidth="1"/>
    <col min="4370" max="4370" width="11.25" style="255" customWidth="1"/>
    <col min="4371" max="4371" width="10.75" style="255" customWidth="1"/>
    <col min="4372" max="4372" width="10" style="255" customWidth="1"/>
    <col min="4373" max="4373" width="9.875" style="255" customWidth="1"/>
    <col min="4374" max="4374" width="26.125" style="255" customWidth="1"/>
    <col min="4375" max="4375" width="11.125" style="255" customWidth="1"/>
    <col min="4376" max="4376" width="7.875" style="255" customWidth="1"/>
    <col min="4377" max="4377" width="7.25" style="255" customWidth="1"/>
    <col min="4378" max="4378" width="9.125" style="255" customWidth="1"/>
    <col min="4379" max="4379" width="15.125" style="255" customWidth="1"/>
    <col min="4380" max="4380" width="7.75" style="255" customWidth="1"/>
    <col min="4381" max="4381" width="7.125" style="255" customWidth="1"/>
    <col min="4382" max="4382" width="12.125" style="255" customWidth="1"/>
    <col min="4383" max="4383" width="8.25" style="255" customWidth="1"/>
    <col min="4384" max="4385" width="10.375" style="255" customWidth="1"/>
    <col min="4386" max="4386" width="15.625" style="255" customWidth="1"/>
    <col min="4387" max="4387" width="15.875" style="255" customWidth="1"/>
    <col min="4388" max="4388" width="8.125" style="255" customWidth="1"/>
    <col min="4389" max="4392" width="10.375" style="255" customWidth="1"/>
    <col min="4393" max="4393" width="7.25" style="255" customWidth="1"/>
    <col min="4394" max="4394" width="7.125" style="255" customWidth="1"/>
    <col min="4395" max="4395" width="9.5" style="255" customWidth="1"/>
    <col min="4396" max="4397" width="9" style="255" customWidth="1"/>
    <col min="4398" max="4398" width="16.125" style="255" customWidth="1"/>
    <col min="4399" max="4429" width="9" style="255" customWidth="1"/>
    <col min="4430" max="4589" width="25.25" style="255"/>
    <col min="4590" max="4619" width="9" style="255" customWidth="1"/>
    <col min="4620" max="4620" width="0.5" style="255" customWidth="1"/>
    <col min="4621" max="4621" width="25.25" style="255"/>
    <col min="4622" max="4622" width="0.5" style="255" customWidth="1"/>
    <col min="4623" max="4623" width="25.25" style="255"/>
    <col min="4624" max="4624" width="14.75" style="255" customWidth="1"/>
    <col min="4625" max="4625" width="11.5" style="255" customWidth="1"/>
    <col min="4626" max="4626" width="11.25" style="255" customWidth="1"/>
    <col min="4627" max="4627" width="10.75" style="255" customWidth="1"/>
    <col min="4628" max="4628" width="10" style="255" customWidth="1"/>
    <col min="4629" max="4629" width="9.875" style="255" customWidth="1"/>
    <col min="4630" max="4630" width="26.125" style="255" customWidth="1"/>
    <col min="4631" max="4631" width="11.125" style="255" customWidth="1"/>
    <col min="4632" max="4632" width="7.875" style="255" customWidth="1"/>
    <col min="4633" max="4633" width="7.25" style="255" customWidth="1"/>
    <col min="4634" max="4634" width="9.125" style="255" customWidth="1"/>
    <col min="4635" max="4635" width="15.125" style="255" customWidth="1"/>
    <col min="4636" max="4636" width="7.75" style="255" customWidth="1"/>
    <col min="4637" max="4637" width="7.125" style="255" customWidth="1"/>
    <col min="4638" max="4638" width="12.125" style="255" customWidth="1"/>
    <col min="4639" max="4639" width="8.25" style="255" customWidth="1"/>
    <col min="4640" max="4641" width="10.375" style="255" customWidth="1"/>
    <col min="4642" max="4642" width="15.625" style="255" customWidth="1"/>
    <col min="4643" max="4643" width="15.875" style="255" customWidth="1"/>
    <col min="4644" max="4644" width="8.125" style="255" customWidth="1"/>
    <col min="4645" max="4648" width="10.375" style="255" customWidth="1"/>
    <col min="4649" max="4649" width="7.25" style="255" customWidth="1"/>
    <col min="4650" max="4650" width="7.125" style="255" customWidth="1"/>
    <col min="4651" max="4651" width="9.5" style="255" customWidth="1"/>
    <col min="4652" max="4653" width="9" style="255" customWidth="1"/>
    <col min="4654" max="4654" width="16.125" style="255" customWidth="1"/>
    <col min="4655" max="4685" width="9" style="255" customWidth="1"/>
    <col min="4686" max="4845" width="25.25" style="255"/>
    <col min="4846" max="4875" width="9" style="255" customWidth="1"/>
    <col min="4876" max="4876" width="0.5" style="255" customWidth="1"/>
    <col min="4877" max="4877" width="25.25" style="255"/>
    <col min="4878" max="4878" width="0.5" style="255" customWidth="1"/>
    <col min="4879" max="4879" width="25.25" style="255"/>
    <col min="4880" max="4880" width="14.75" style="255" customWidth="1"/>
    <col min="4881" max="4881" width="11.5" style="255" customWidth="1"/>
    <col min="4882" max="4882" width="11.25" style="255" customWidth="1"/>
    <col min="4883" max="4883" width="10.75" style="255" customWidth="1"/>
    <col min="4884" max="4884" width="10" style="255" customWidth="1"/>
    <col min="4885" max="4885" width="9.875" style="255" customWidth="1"/>
    <col min="4886" max="4886" width="26.125" style="255" customWidth="1"/>
    <col min="4887" max="4887" width="11.125" style="255" customWidth="1"/>
    <col min="4888" max="4888" width="7.875" style="255" customWidth="1"/>
    <col min="4889" max="4889" width="7.25" style="255" customWidth="1"/>
    <col min="4890" max="4890" width="9.125" style="255" customWidth="1"/>
    <col min="4891" max="4891" width="15.125" style="255" customWidth="1"/>
    <col min="4892" max="4892" width="7.75" style="255" customWidth="1"/>
    <col min="4893" max="4893" width="7.125" style="255" customWidth="1"/>
    <col min="4894" max="4894" width="12.125" style="255" customWidth="1"/>
    <col min="4895" max="4895" width="8.25" style="255" customWidth="1"/>
    <col min="4896" max="4897" width="10.375" style="255" customWidth="1"/>
    <col min="4898" max="4898" width="15.625" style="255" customWidth="1"/>
    <col min="4899" max="4899" width="15.875" style="255" customWidth="1"/>
    <col min="4900" max="4900" width="8.125" style="255" customWidth="1"/>
    <col min="4901" max="4904" width="10.375" style="255" customWidth="1"/>
    <col min="4905" max="4905" width="7.25" style="255" customWidth="1"/>
    <col min="4906" max="4906" width="7.125" style="255" customWidth="1"/>
    <col min="4907" max="4907" width="9.5" style="255" customWidth="1"/>
    <col min="4908" max="4909" width="9" style="255" customWidth="1"/>
    <col min="4910" max="4910" width="16.125" style="255" customWidth="1"/>
    <col min="4911" max="4941" width="9" style="255" customWidth="1"/>
    <col min="4942" max="5101" width="25.25" style="255"/>
    <col min="5102" max="5131" width="9" style="255" customWidth="1"/>
    <col min="5132" max="5132" width="0.5" style="255" customWidth="1"/>
    <col min="5133" max="5133" width="25.25" style="255"/>
    <col min="5134" max="5134" width="0.5" style="255" customWidth="1"/>
    <col min="5135" max="5135" width="25.25" style="255"/>
    <col min="5136" max="5136" width="14.75" style="255" customWidth="1"/>
    <col min="5137" max="5137" width="11.5" style="255" customWidth="1"/>
    <col min="5138" max="5138" width="11.25" style="255" customWidth="1"/>
    <col min="5139" max="5139" width="10.75" style="255" customWidth="1"/>
    <col min="5140" max="5140" width="10" style="255" customWidth="1"/>
    <col min="5141" max="5141" width="9.875" style="255" customWidth="1"/>
    <col min="5142" max="5142" width="26.125" style="255" customWidth="1"/>
    <col min="5143" max="5143" width="11.125" style="255" customWidth="1"/>
    <col min="5144" max="5144" width="7.875" style="255" customWidth="1"/>
    <col min="5145" max="5145" width="7.25" style="255" customWidth="1"/>
    <col min="5146" max="5146" width="9.125" style="255" customWidth="1"/>
    <col min="5147" max="5147" width="15.125" style="255" customWidth="1"/>
    <col min="5148" max="5148" width="7.75" style="255" customWidth="1"/>
    <col min="5149" max="5149" width="7.125" style="255" customWidth="1"/>
    <col min="5150" max="5150" width="12.125" style="255" customWidth="1"/>
    <col min="5151" max="5151" width="8.25" style="255" customWidth="1"/>
    <col min="5152" max="5153" width="10.375" style="255" customWidth="1"/>
    <col min="5154" max="5154" width="15.625" style="255" customWidth="1"/>
    <col min="5155" max="5155" width="15.875" style="255" customWidth="1"/>
    <col min="5156" max="5156" width="8.125" style="255" customWidth="1"/>
    <col min="5157" max="5160" width="10.375" style="255" customWidth="1"/>
    <col min="5161" max="5161" width="7.25" style="255" customWidth="1"/>
    <col min="5162" max="5162" width="7.125" style="255" customWidth="1"/>
    <col min="5163" max="5163" width="9.5" style="255" customWidth="1"/>
    <col min="5164" max="5165" width="9" style="255" customWidth="1"/>
    <col min="5166" max="5166" width="16.125" style="255" customWidth="1"/>
    <col min="5167" max="5197" width="9" style="255" customWidth="1"/>
    <col min="5198" max="5357" width="25.25" style="255"/>
    <col min="5358" max="5387" width="9" style="255" customWidth="1"/>
    <col min="5388" max="5388" width="0.5" style="255" customWidth="1"/>
    <col min="5389" max="5389" width="25.25" style="255"/>
    <col min="5390" max="5390" width="0.5" style="255" customWidth="1"/>
    <col min="5391" max="5391" width="25.25" style="255"/>
    <col min="5392" max="5392" width="14.75" style="255" customWidth="1"/>
    <col min="5393" max="5393" width="11.5" style="255" customWidth="1"/>
    <col min="5394" max="5394" width="11.25" style="255" customWidth="1"/>
    <col min="5395" max="5395" width="10.75" style="255" customWidth="1"/>
    <col min="5396" max="5396" width="10" style="255" customWidth="1"/>
    <col min="5397" max="5397" width="9.875" style="255" customWidth="1"/>
    <col min="5398" max="5398" width="26.125" style="255" customWidth="1"/>
    <col min="5399" max="5399" width="11.125" style="255" customWidth="1"/>
    <col min="5400" max="5400" width="7.875" style="255" customWidth="1"/>
    <col min="5401" max="5401" width="7.25" style="255" customWidth="1"/>
    <col min="5402" max="5402" width="9.125" style="255" customWidth="1"/>
    <col min="5403" max="5403" width="15.125" style="255" customWidth="1"/>
    <col min="5404" max="5404" width="7.75" style="255" customWidth="1"/>
    <col min="5405" max="5405" width="7.125" style="255" customWidth="1"/>
    <col min="5406" max="5406" width="12.125" style="255" customWidth="1"/>
    <col min="5407" max="5407" width="8.25" style="255" customWidth="1"/>
    <col min="5408" max="5409" width="10.375" style="255" customWidth="1"/>
    <col min="5410" max="5410" width="15.625" style="255" customWidth="1"/>
    <col min="5411" max="5411" width="15.875" style="255" customWidth="1"/>
    <col min="5412" max="5412" width="8.125" style="255" customWidth="1"/>
    <col min="5413" max="5416" width="10.375" style="255" customWidth="1"/>
    <col min="5417" max="5417" width="7.25" style="255" customWidth="1"/>
    <col min="5418" max="5418" width="7.125" style="255" customWidth="1"/>
    <col min="5419" max="5419" width="9.5" style="255" customWidth="1"/>
    <col min="5420" max="5421" width="9" style="255" customWidth="1"/>
    <col min="5422" max="5422" width="16.125" style="255" customWidth="1"/>
    <col min="5423" max="5453" width="9" style="255" customWidth="1"/>
    <col min="5454" max="5613" width="25.25" style="255"/>
    <col min="5614" max="5643" width="9" style="255" customWidth="1"/>
    <col min="5644" max="5644" width="0.5" style="255" customWidth="1"/>
    <col min="5645" max="5645" width="25.25" style="255"/>
    <col min="5646" max="5646" width="0.5" style="255" customWidth="1"/>
    <col min="5647" max="5647" width="25.25" style="255"/>
    <col min="5648" max="5648" width="14.75" style="255" customWidth="1"/>
    <col min="5649" max="5649" width="11.5" style="255" customWidth="1"/>
    <col min="5650" max="5650" width="11.25" style="255" customWidth="1"/>
    <col min="5651" max="5651" width="10.75" style="255" customWidth="1"/>
    <col min="5652" max="5652" width="10" style="255" customWidth="1"/>
    <col min="5653" max="5653" width="9.875" style="255" customWidth="1"/>
    <col min="5654" max="5654" width="26.125" style="255" customWidth="1"/>
    <col min="5655" max="5655" width="11.125" style="255" customWidth="1"/>
    <col min="5656" max="5656" width="7.875" style="255" customWidth="1"/>
    <col min="5657" max="5657" width="7.25" style="255" customWidth="1"/>
    <col min="5658" max="5658" width="9.125" style="255" customWidth="1"/>
    <col min="5659" max="5659" width="15.125" style="255" customWidth="1"/>
    <col min="5660" max="5660" width="7.75" style="255" customWidth="1"/>
    <col min="5661" max="5661" width="7.125" style="255" customWidth="1"/>
    <col min="5662" max="5662" width="12.125" style="255" customWidth="1"/>
    <col min="5663" max="5663" width="8.25" style="255" customWidth="1"/>
    <col min="5664" max="5665" width="10.375" style="255" customWidth="1"/>
    <col min="5666" max="5666" width="15.625" style="255" customWidth="1"/>
    <col min="5667" max="5667" width="15.875" style="255" customWidth="1"/>
    <col min="5668" max="5668" width="8.125" style="255" customWidth="1"/>
    <col min="5669" max="5672" width="10.375" style="255" customWidth="1"/>
    <col min="5673" max="5673" width="7.25" style="255" customWidth="1"/>
    <col min="5674" max="5674" width="7.125" style="255" customWidth="1"/>
    <col min="5675" max="5675" width="9.5" style="255" customWidth="1"/>
    <col min="5676" max="5677" width="9" style="255" customWidth="1"/>
    <col min="5678" max="5678" width="16.125" style="255" customWidth="1"/>
    <col min="5679" max="5709" width="9" style="255" customWidth="1"/>
    <col min="5710" max="5869" width="25.25" style="255"/>
    <col min="5870" max="5899" width="9" style="255" customWidth="1"/>
    <col min="5900" max="5900" width="0.5" style="255" customWidth="1"/>
    <col min="5901" max="5901" width="25.25" style="255"/>
    <col min="5902" max="5902" width="0.5" style="255" customWidth="1"/>
    <col min="5903" max="5903" width="25.25" style="255"/>
    <col min="5904" max="5904" width="14.75" style="255" customWidth="1"/>
    <col min="5905" max="5905" width="11.5" style="255" customWidth="1"/>
    <col min="5906" max="5906" width="11.25" style="255" customWidth="1"/>
    <col min="5907" max="5907" width="10.75" style="255" customWidth="1"/>
    <col min="5908" max="5908" width="10" style="255" customWidth="1"/>
    <col min="5909" max="5909" width="9.875" style="255" customWidth="1"/>
    <col min="5910" max="5910" width="26.125" style="255" customWidth="1"/>
    <col min="5911" max="5911" width="11.125" style="255" customWidth="1"/>
    <col min="5912" max="5912" width="7.875" style="255" customWidth="1"/>
    <col min="5913" max="5913" width="7.25" style="255" customWidth="1"/>
    <col min="5914" max="5914" width="9.125" style="255" customWidth="1"/>
    <col min="5915" max="5915" width="15.125" style="255" customWidth="1"/>
    <col min="5916" max="5916" width="7.75" style="255" customWidth="1"/>
    <col min="5917" max="5917" width="7.125" style="255" customWidth="1"/>
    <col min="5918" max="5918" width="12.125" style="255" customWidth="1"/>
    <col min="5919" max="5919" width="8.25" style="255" customWidth="1"/>
    <col min="5920" max="5921" width="10.375" style="255" customWidth="1"/>
    <col min="5922" max="5922" width="15.625" style="255" customWidth="1"/>
    <col min="5923" max="5923" width="15.875" style="255" customWidth="1"/>
    <col min="5924" max="5924" width="8.125" style="255" customWidth="1"/>
    <col min="5925" max="5928" width="10.375" style="255" customWidth="1"/>
    <col min="5929" max="5929" width="7.25" style="255" customWidth="1"/>
    <col min="5930" max="5930" width="7.125" style="255" customWidth="1"/>
    <col min="5931" max="5931" width="9.5" style="255" customWidth="1"/>
    <col min="5932" max="5933" width="9" style="255" customWidth="1"/>
    <col min="5934" max="5934" width="16.125" style="255" customWidth="1"/>
    <col min="5935" max="5965" width="9" style="255" customWidth="1"/>
    <col min="5966" max="6125" width="25.25" style="255"/>
    <col min="6126" max="6155" width="9" style="255" customWidth="1"/>
    <col min="6156" max="6156" width="0.5" style="255" customWidth="1"/>
    <col min="6157" max="6157" width="25.25" style="255"/>
    <col min="6158" max="6158" width="0.5" style="255" customWidth="1"/>
    <col min="6159" max="6159" width="25.25" style="255"/>
    <col min="6160" max="6160" width="14.75" style="255" customWidth="1"/>
    <col min="6161" max="6161" width="11.5" style="255" customWidth="1"/>
    <col min="6162" max="6162" width="11.25" style="255" customWidth="1"/>
    <col min="6163" max="6163" width="10.75" style="255" customWidth="1"/>
    <col min="6164" max="6164" width="10" style="255" customWidth="1"/>
    <col min="6165" max="6165" width="9.875" style="255" customWidth="1"/>
    <col min="6166" max="6166" width="26.125" style="255" customWidth="1"/>
    <col min="6167" max="6167" width="11.125" style="255" customWidth="1"/>
    <col min="6168" max="6168" width="7.875" style="255" customWidth="1"/>
    <col min="6169" max="6169" width="7.25" style="255" customWidth="1"/>
    <col min="6170" max="6170" width="9.125" style="255" customWidth="1"/>
    <col min="6171" max="6171" width="15.125" style="255" customWidth="1"/>
    <col min="6172" max="6172" width="7.75" style="255" customWidth="1"/>
    <col min="6173" max="6173" width="7.125" style="255" customWidth="1"/>
    <col min="6174" max="6174" width="12.125" style="255" customWidth="1"/>
    <col min="6175" max="6175" width="8.25" style="255" customWidth="1"/>
    <col min="6176" max="6177" width="10.375" style="255" customWidth="1"/>
    <col min="6178" max="6178" width="15.625" style="255" customWidth="1"/>
    <col min="6179" max="6179" width="15.875" style="255" customWidth="1"/>
    <col min="6180" max="6180" width="8.125" style="255" customWidth="1"/>
    <col min="6181" max="6184" width="10.375" style="255" customWidth="1"/>
    <col min="6185" max="6185" width="7.25" style="255" customWidth="1"/>
    <col min="6186" max="6186" width="7.125" style="255" customWidth="1"/>
    <col min="6187" max="6187" width="9.5" style="255" customWidth="1"/>
    <col min="6188" max="6189" width="9" style="255" customWidth="1"/>
    <col min="6190" max="6190" width="16.125" style="255" customWidth="1"/>
    <col min="6191" max="6221" width="9" style="255" customWidth="1"/>
    <col min="6222" max="6381" width="25.25" style="255"/>
    <col min="6382" max="6411" width="9" style="255" customWidth="1"/>
    <col min="6412" max="6412" width="0.5" style="255" customWidth="1"/>
    <col min="6413" max="6413" width="25.25" style="255"/>
    <col min="6414" max="6414" width="0.5" style="255" customWidth="1"/>
    <col min="6415" max="6415" width="25.25" style="255"/>
    <col min="6416" max="6416" width="14.75" style="255" customWidth="1"/>
    <col min="6417" max="6417" width="11.5" style="255" customWidth="1"/>
    <col min="6418" max="6418" width="11.25" style="255" customWidth="1"/>
    <col min="6419" max="6419" width="10.75" style="255" customWidth="1"/>
    <col min="6420" max="6420" width="10" style="255" customWidth="1"/>
    <col min="6421" max="6421" width="9.875" style="255" customWidth="1"/>
    <col min="6422" max="6422" width="26.125" style="255" customWidth="1"/>
    <col min="6423" max="6423" width="11.125" style="255" customWidth="1"/>
    <col min="6424" max="6424" width="7.875" style="255" customWidth="1"/>
    <col min="6425" max="6425" width="7.25" style="255" customWidth="1"/>
    <col min="6426" max="6426" width="9.125" style="255" customWidth="1"/>
    <col min="6427" max="6427" width="15.125" style="255" customWidth="1"/>
    <col min="6428" max="6428" width="7.75" style="255" customWidth="1"/>
    <col min="6429" max="6429" width="7.125" style="255" customWidth="1"/>
    <col min="6430" max="6430" width="12.125" style="255" customWidth="1"/>
    <col min="6431" max="6431" width="8.25" style="255" customWidth="1"/>
    <col min="6432" max="6433" width="10.375" style="255" customWidth="1"/>
    <col min="6434" max="6434" width="15.625" style="255" customWidth="1"/>
    <col min="6435" max="6435" width="15.875" style="255" customWidth="1"/>
    <col min="6436" max="6436" width="8.125" style="255" customWidth="1"/>
    <col min="6437" max="6440" width="10.375" style="255" customWidth="1"/>
    <col min="6441" max="6441" width="7.25" style="255" customWidth="1"/>
    <col min="6442" max="6442" width="7.125" style="255" customWidth="1"/>
    <col min="6443" max="6443" width="9.5" style="255" customWidth="1"/>
    <col min="6444" max="6445" width="9" style="255" customWidth="1"/>
    <col min="6446" max="6446" width="16.125" style="255" customWidth="1"/>
    <col min="6447" max="6477" width="9" style="255" customWidth="1"/>
    <col min="6478" max="6637" width="25.25" style="255"/>
    <col min="6638" max="6667" width="9" style="255" customWidth="1"/>
    <col min="6668" max="6668" width="0.5" style="255" customWidth="1"/>
    <col min="6669" max="6669" width="25.25" style="255"/>
    <col min="6670" max="6670" width="0.5" style="255" customWidth="1"/>
    <col min="6671" max="6671" width="25.25" style="255"/>
    <col min="6672" max="6672" width="14.75" style="255" customWidth="1"/>
    <col min="6673" max="6673" width="11.5" style="255" customWidth="1"/>
    <col min="6674" max="6674" width="11.25" style="255" customWidth="1"/>
    <col min="6675" max="6675" width="10.75" style="255" customWidth="1"/>
    <col min="6676" max="6676" width="10" style="255" customWidth="1"/>
    <col min="6677" max="6677" width="9.875" style="255" customWidth="1"/>
    <col min="6678" max="6678" width="26.125" style="255" customWidth="1"/>
    <col min="6679" max="6679" width="11.125" style="255" customWidth="1"/>
    <col min="6680" max="6680" width="7.875" style="255" customWidth="1"/>
    <col min="6681" max="6681" width="7.25" style="255" customWidth="1"/>
    <col min="6682" max="6682" width="9.125" style="255" customWidth="1"/>
    <col min="6683" max="6683" width="15.125" style="255" customWidth="1"/>
    <col min="6684" max="6684" width="7.75" style="255" customWidth="1"/>
    <col min="6685" max="6685" width="7.125" style="255" customWidth="1"/>
    <col min="6686" max="6686" width="12.125" style="255" customWidth="1"/>
    <col min="6687" max="6687" width="8.25" style="255" customWidth="1"/>
    <col min="6688" max="6689" width="10.375" style="255" customWidth="1"/>
    <col min="6690" max="6690" width="15.625" style="255" customWidth="1"/>
    <col min="6691" max="6691" width="15.875" style="255" customWidth="1"/>
    <col min="6692" max="6692" width="8.125" style="255" customWidth="1"/>
    <col min="6693" max="6696" width="10.375" style="255" customWidth="1"/>
    <col min="6697" max="6697" width="7.25" style="255" customWidth="1"/>
    <col min="6698" max="6698" width="7.125" style="255" customWidth="1"/>
    <col min="6699" max="6699" width="9.5" style="255" customWidth="1"/>
    <col min="6700" max="6701" width="9" style="255" customWidth="1"/>
    <col min="6702" max="6702" width="16.125" style="255" customWidth="1"/>
    <col min="6703" max="6733" width="9" style="255" customWidth="1"/>
    <col min="6734" max="6893" width="25.25" style="255"/>
    <col min="6894" max="6923" width="9" style="255" customWidth="1"/>
    <col min="6924" max="6924" width="0.5" style="255" customWidth="1"/>
    <col min="6925" max="6925" width="25.25" style="255"/>
    <col min="6926" max="6926" width="0.5" style="255" customWidth="1"/>
    <col min="6927" max="6927" width="25.25" style="255"/>
    <col min="6928" max="6928" width="14.75" style="255" customWidth="1"/>
    <col min="6929" max="6929" width="11.5" style="255" customWidth="1"/>
    <col min="6930" max="6930" width="11.25" style="255" customWidth="1"/>
    <col min="6931" max="6931" width="10.75" style="255" customWidth="1"/>
    <col min="6932" max="6932" width="10" style="255" customWidth="1"/>
    <col min="6933" max="6933" width="9.875" style="255" customWidth="1"/>
    <col min="6934" max="6934" width="26.125" style="255" customWidth="1"/>
    <col min="6935" max="6935" width="11.125" style="255" customWidth="1"/>
    <col min="6936" max="6936" width="7.875" style="255" customWidth="1"/>
    <col min="6937" max="6937" width="7.25" style="255" customWidth="1"/>
    <col min="6938" max="6938" width="9.125" style="255" customWidth="1"/>
    <col min="6939" max="6939" width="15.125" style="255" customWidth="1"/>
    <col min="6940" max="6940" width="7.75" style="255" customWidth="1"/>
    <col min="6941" max="6941" width="7.125" style="255" customWidth="1"/>
    <col min="6942" max="6942" width="12.125" style="255" customWidth="1"/>
    <col min="6943" max="6943" width="8.25" style="255" customWidth="1"/>
    <col min="6944" max="6945" width="10.375" style="255" customWidth="1"/>
    <col min="6946" max="6946" width="15.625" style="255" customWidth="1"/>
    <col min="6947" max="6947" width="15.875" style="255" customWidth="1"/>
    <col min="6948" max="6948" width="8.125" style="255" customWidth="1"/>
    <col min="6949" max="6952" width="10.375" style="255" customWidth="1"/>
    <col min="6953" max="6953" width="7.25" style="255" customWidth="1"/>
    <col min="6954" max="6954" width="7.125" style="255" customWidth="1"/>
    <col min="6955" max="6955" width="9.5" style="255" customWidth="1"/>
    <col min="6956" max="6957" width="9" style="255" customWidth="1"/>
    <col min="6958" max="6958" width="16.125" style="255" customWidth="1"/>
    <col min="6959" max="6989" width="9" style="255" customWidth="1"/>
    <col min="6990" max="7149" width="25.25" style="255"/>
    <col min="7150" max="7179" width="9" style="255" customWidth="1"/>
    <col min="7180" max="7180" width="0.5" style="255" customWidth="1"/>
    <col min="7181" max="7181" width="25.25" style="255"/>
    <col min="7182" max="7182" width="0.5" style="255" customWidth="1"/>
    <col min="7183" max="7183" width="25.25" style="255"/>
    <col min="7184" max="7184" width="14.75" style="255" customWidth="1"/>
    <col min="7185" max="7185" width="11.5" style="255" customWidth="1"/>
    <col min="7186" max="7186" width="11.25" style="255" customWidth="1"/>
    <col min="7187" max="7187" width="10.75" style="255" customWidth="1"/>
    <col min="7188" max="7188" width="10" style="255" customWidth="1"/>
    <col min="7189" max="7189" width="9.875" style="255" customWidth="1"/>
    <col min="7190" max="7190" width="26.125" style="255" customWidth="1"/>
    <col min="7191" max="7191" width="11.125" style="255" customWidth="1"/>
    <col min="7192" max="7192" width="7.875" style="255" customWidth="1"/>
    <col min="7193" max="7193" width="7.25" style="255" customWidth="1"/>
    <col min="7194" max="7194" width="9.125" style="255" customWidth="1"/>
    <col min="7195" max="7195" width="15.125" style="255" customWidth="1"/>
    <col min="7196" max="7196" width="7.75" style="255" customWidth="1"/>
    <col min="7197" max="7197" width="7.125" style="255" customWidth="1"/>
    <col min="7198" max="7198" width="12.125" style="255" customWidth="1"/>
    <col min="7199" max="7199" width="8.25" style="255" customWidth="1"/>
    <col min="7200" max="7201" width="10.375" style="255" customWidth="1"/>
    <col min="7202" max="7202" width="15.625" style="255" customWidth="1"/>
    <col min="7203" max="7203" width="15.875" style="255" customWidth="1"/>
    <col min="7204" max="7204" width="8.125" style="255" customWidth="1"/>
    <col min="7205" max="7208" width="10.375" style="255" customWidth="1"/>
    <col min="7209" max="7209" width="7.25" style="255" customWidth="1"/>
    <col min="7210" max="7210" width="7.125" style="255" customWidth="1"/>
    <col min="7211" max="7211" width="9.5" style="255" customWidth="1"/>
    <col min="7212" max="7213" width="9" style="255" customWidth="1"/>
    <col min="7214" max="7214" width="16.125" style="255" customWidth="1"/>
    <col min="7215" max="7245" width="9" style="255" customWidth="1"/>
    <col min="7246" max="7405" width="25.25" style="255"/>
    <col min="7406" max="7435" width="9" style="255" customWidth="1"/>
    <col min="7436" max="7436" width="0.5" style="255" customWidth="1"/>
    <col min="7437" max="7437" width="25.25" style="255"/>
    <col min="7438" max="7438" width="0.5" style="255" customWidth="1"/>
    <col min="7439" max="7439" width="25.25" style="255"/>
    <col min="7440" max="7440" width="14.75" style="255" customWidth="1"/>
    <col min="7441" max="7441" width="11.5" style="255" customWidth="1"/>
    <col min="7442" max="7442" width="11.25" style="255" customWidth="1"/>
    <col min="7443" max="7443" width="10.75" style="255" customWidth="1"/>
    <col min="7444" max="7444" width="10" style="255" customWidth="1"/>
    <col min="7445" max="7445" width="9.875" style="255" customWidth="1"/>
    <col min="7446" max="7446" width="26.125" style="255" customWidth="1"/>
    <col min="7447" max="7447" width="11.125" style="255" customWidth="1"/>
    <col min="7448" max="7448" width="7.875" style="255" customWidth="1"/>
    <col min="7449" max="7449" width="7.25" style="255" customWidth="1"/>
    <col min="7450" max="7450" width="9.125" style="255" customWidth="1"/>
    <col min="7451" max="7451" width="15.125" style="255" customWidth="1"/>
    <col min="7452" max="7452" width="7.75" style="255" customWidth="1"/>
    <col min="7453" max="7453" width="7.125" style="255" customWidth="1"/>
    <col min="7454" max="7454" width="12.125" style="255" customWidth="1"/>
    <col min="7455" max="7455" width="8.25" style="255" customWidth="1"/>
    <col min="7456" max="7457" width="10.375" style="255" customWidth="1"/>
    <col min="7458" max="7458" width="15.625" style="255" customWidth="1"/>
    <col min="7459" max="7459" width="15.875" style="255" customWidth="1"/>
    <col min="7460" max="7460" width="8.125" style="255" customWidth="1"/>
    <col min="7461" max="7464" width="10.375" style="255" customWidth="1"/>
    <col min="7465" max="7465" width="7.25" style="255" customWidth="1"/>
    <col min="7466" max="7466" width="7.125" style="255" customWidth="1"/>
    <col min="7467" max="7467" width="9.5" style="255" customWidth="1"/>
    <col min="7468" max="7469" width="9" style="255" customWidth="1"/>
    <col min="7470" max="7470" width="16.125" style="255" customWidth="1"/>
    <col min="7471" max="7501" width="9" style="255" customWidth="1"/>
    <col min="7502" max="7661" width="25.25" style="255"/>
    <col min="7662" max="7691" width="9" style="255" customWidth="1"/>
    <col min="7692" max="7692" width="0.5" style="255" customWidth="1"/>
    <col min="7693" max="7693" width="25.25" style="255"/>
    <col min="7694" max="7694" width="0.5" style="255" customWidth="1"/>
    <col min="7695" max="7695" width="25.25" style="255"/>
    <col min="7696" max="7696" width="14.75" style="255" customWidth="1"/>
    <col min="7697" max="7697" width="11.5" style="255" customWidth="1"/>
    <col min="7698" max="7698" width="11.25" style="255" customWidth="1"/>
    <col min="7699" max="7699" width="10.75" style="255" customWidth="1"/>
    <col min="7700" max="7700" width="10" style="255" customWidth="1"/>
    <col min="7701" max="7701" width="9.875" style="255" customWidth="1"/>
    <col min="7702" max="7702" width="26.125" style="255" customWidth="1"/>
    <col min="7703" max="7703" width="11.125" style="255" customWidth="1"/>
    <col min="7704" max="7704" width="7.875" style="255" customWidth="1"/>
    <col min="7705" max="7705" width="7.25" style="255" customWidth="1"/>
    <col min="7706" max="7706" width="9.125" style="255" customWidth="1"/>
    <col min="7707" max="7707" width="15.125" style="255" customWidth="1"/>
    <col min="7708" max="7708" width="7.75" style="255" customWidth="1"/>
    <col min="7709" max="7709" width="7.125" style="255" customWidth="1"/>
    <col min="7710" max="7710" width="12.125" style="255" customWidth="1"/>
    <col min="7711" max="7711" width="8.25" style="255" customWidth="1"/>
    <col min="7712" max="7713" width="10.375" style="255" customWidth="1"/>
    <col min="7714" max="7714" width="15.625" style="255" customWidth="1"/>
    <col min="7715" max="7715" width="15.875" style="255" customWidth="1"/>
    <col min="7716" max="7716" width="8.125" style="255" customWidth="1"/>
    <col min="7717" max="7720" width="10.375" style="255" customWidth="1"/>
    <col min="7721" max="7721" width="7.25" style="255" customWidth="1"/>
    <col min="7722" max="7722" width="7.125" style="255" customWidth="1"/>
    <col min="7723" max="7723" width="9.5" style="255" customWidth="1"/>
    <col min="7724" max="7725" width="9" style="255" customWidth="1"/>
    <col min="7726" max="7726" width="16.125" style="255" customWidth="1"/>
    <col min="7727" max="7757" width="9" style="255" customWidth="1"/>
    <col min="7758" max="7917" width="25.25" style="255"/>
    <col min="7918" max="7947" width="9" style="255" customWidth="1"/>
    <col min="7948" max="7948" width="0.5" style="255" customWidth="1"/>
    <col min="7949" max="7949" width="25.25" style="255"/>
    <col min="7950" max="7950" width="0.5" style="255" customWidth="1"/>
    <col min="7951" max="7951" width="25.25" style="255"/>
    <col min="7952" max="7952" width="14.75" style="255" customWidth="1"/>
    <col min="7953" max="7953" width="11.5" style="255" customWidth="1"/>
    <col min="7954" max="7954" width="11.25" style="255" customWidth="1"/>
    <col min="7955" max="7955" width="10.75" style="255" customWidth="1"/>
    <col min="7956" max="7956" width="10" style="255" customWidth="1"/>
    <col min="7957" max="7957" width="9.875" style="255" customWidth="1"/>
    <col min="7958" max="7958" width="26.125" style="255" customWidth="1"/>
    <col min="7959" max="7959" width="11.125" style="255" customWidth="1"/>
    <col min="7960" max="7960" width="7.875" style="255" customWidth="1"/>
    <col min="7961" max="7961" width="7.25" style="255" customWidth="1"/>
    <col min="7962" max="7962" width="9.125" style="255" customWidth="1"/>
    <col min="7963" max="7963" width="15.125" style="255" customWidth="1"/>
    <col min="7964" max="7964" width="7.75" style="255" customWidth="1"/>
    <col min="7965" max="7965" width="7.125" style="255" customWidth="1"/>
    <col min="7966" max="7966" width="12.125" style="255" customWidth="1"/>
    <col min="7967" max="7967" width="8.25" style="255" customWidth="1"/>
    <col min="7968" max="7969" width="10.375" style="255" customWidth="1"/>
    <col min="7970" max="7970" width="15.625" style="255" customWidth="1"/>
    <col min="7971" max="7971" width="15.875" style="255" customWidth="1"/>
    <col min="7972" max="7972" width="8.125" style="255" customWidth="1"/>
    <col min="7973" max="7976" width="10.375" style="255" customWidth="1"/>
    <col min="7977" max="7977" width="7.25" style="255" customWidth="1"/>
    <col min="7978" max="7978" width="7.125" style="255" customWidth="1"/>
    <col min="7979" max="7979" width="9.5" style="255" customWidth="1"/>
    <col min="7980" max="7981" width="9" style="255" customWidth="1"/>
    <col min="7982" max="7982" width="16.125" style="255" customWidth="1"/>
    <col min="7983" max="8013" width="9" style="255" customWidth="1"/>
    <col min="8014" max="8173" width="25.25" style="255"/>
    <col min="8174" max="8203" width="9" style="255" customWidth="1"/>
    <col min="8204" max="8204" width="0.5" style="255" customWidth="1"/>
    <col min="8205" max="8205" width="25.25" style="255"/>
    <col min="8206" max="8206" width="0.5" style="255" customWidth="1"/>
    <col min="8207" max="8207" width="25.25" style="255"/>
    <col min="8208" max="8208" width="14.75" style="255" customWidth="1"/>
    <col min="8209" max="8209" width="11.5" style="255" customWidth="1"/>
    <col min="8210" max="8210" width="11.25" style="255" customWidth="1"/>
    <col min="8211" max="8211" width="10.75" style="255" customWidth="1"/>
    <col min="8212" max="8212" width="10" style="255" customWidth="1"/>
    <col min="8213" max="8213" width="9.875" style="255" customWidth="1"/>
    <col min="8214" max="8214" width="26.125" style="255" customWidth="1"/>
    <col min="8215" max="8215" width="11.125" style="255" customWidth="1"/>
    <col min="8216" max="8216" width="7.875" style="255" customWidth="1"/>
    <col min="8217" max="8217" width="7.25" style="255" customWidth="1"/>
    <col min="8218" max="8218" width="9.125" style="255" customWidth="1"/>
    <col min="8219" max="8219" width="15.125" style="255" customWidth="1"/>
    <col min="8220" max="8220" width="7.75" style="255" customWidth="1"/>
    <col min="8221" max="8221" width="7.125" style="255" customWidth="1"/>
    <col min="8222" max="8222" width="12.125" style="255" customWidth="1"/>
    <col min="8223" max="8223" width="8.25" style="255" customWidth="1"/>
    <col min="8224" max="8225" width="10.375" style="255" customWidth="1"/>
    <col min="8226" max="8226" width="15.625" style="255" customWidth="1"/>
    <col min="8227" max="8227" width="15.875" style="255" customWidth="1"/>
    <col min="8228" max="8228" width="8.125" style="255" customWidth="1"/>
    <col min="8229" max="8232" width="10.375" style="255" customWidth="1"/>
    <col min="8233" max="8233" width="7.25" style="255" customWidth="1"/>
    <col min="8234" max="8234" width="7.125" style="255" customWidth="1"/>
    <col min="8235" max="8235" width="9.5" style="255" customWidth="1"/>
    <col min="8236" max="8237" width="9" style="255" customWidth="1"/>
    <col min="8238" max="8238" width="16.125" style="255" customWidth="1"/>
    <col min="8239" max="8269" width="9" style="255" customWidth="1"/>
    <col min="8270" max="8429" width="25.25" style="255"/>
    <col min="8430" max="8459" width="9" style="255" customWidth="1"/>
    <col min="8460" max="8460" width="0.5" style="255" customWidth="1"/>
    <col min="8461" max="8461" width="25.25" style="255"/>
    <col min="8462" max="8462" width="0.5" style="255" customWidth="1"/>
    <col min="8463" max="8463" width="25.25" style="255"/>
    <col min="8464" max="8464" width="14.75" style="255" customWidth="1"/>
    <col min="8465" max="8465" width="11.5" style="255" customWidth="1"/>
    <col min="8466" max="8466" width="11.25" style="255" customWidth="1"/>
    <col min="8467" max="8467" width="10.75" style="255" customWidth="1"/>
    <col min="8468" max="8468" width="10" style="255" customWidth="1"/>
    <col min="8469" max="8469" width="9.875" style="255" customWidth="1"/>
    <col min="8470" max="8470" width="26.125" style="255" customWidth="1"/>
    <col min="8471" max="8471" width="11.125" style="255" customWidth="1"/>
    <col min="8472" max="8472" width="7.875" style="255" customWidth="1"/>
    <col min="8473" max="8473" width="7.25" style="255" customWidth="1"/>
    <col min="8474" max="8474" width="9.125" style="255" customWidth="1"/>
    <col min="8475" max="8475" width="15.125" style="255" customWidth="1"/>
    <col min="8476" max="8476" width="7.75" style="255" customWidth="1"/>
    <col min="8477" max="8477" width="7.125" style="255" customWidth="1"/>
    <col min="8478" max="8478" width="12.125" style="255" customWidth="1"/>
    <col min="8479" max="8479" width="8.25" style="255" customWidth="1"/>
    <col min="8480" max="8481" width="10.375" style="255" customWidth="1"/>
    <col min="8482" max="8482" width="15.625" style="255" customWidth="1"/>
    <col min="8483" max="8483" width="15.875" style="255" customWidth="1"/>
    <col min="8484" max="8484" width="8.125" style="255" customWidth="1"/>
    <col min="8485" max="8488" width="10.375" style="255" customWidth="1"/>
    <col min="8489" max="8489" width="7.25" style="255" customWidth="1"/>
    <col min="8490" max="8490" width="7.125" style="255" customWidth="1"/>
    <col min="8491" max="8491" width="9.5" style="255" customWidth="1"/>
    <col min="8492" max="8493" width="9" style="255" customWidth="1"/>
    <col min="8494" max="8494" width="16.125" style="255" customWidth="1"/>
    <col min="8495" max="8525" width="9" style="255" customWidth="1"/>
    <col min="8526" max="8685" width="25.25" style="255"/>
    <col min="8686" max="8715" width="9" style="255" customWidth="1"/>
    <col min="8716" max="8716" width="0.5" style="255" customWidth="1"/>
    <col min="8717" max="8717" width="25.25" style="255"/>
    <col min="8718" max="8718" width="0.5" style="255" customWidth="1"/>
    <col min="8719" max="8719" width="25.25" style="255"/>
    <col min="8720" max="8720" width="14.75" style="255" customWidth="1"/>
    <col min="8721" max="8721" width="11.5" style="255" customWidth="1"/>
    <col min="8722" max="8722" width="11.25" style="255" customWidth="1"/>
    <col min="8723" max="8723" width="10.75" style="255" customWidth="1"/>
    <col min="8724" max="8724" width="10" style="255" customWidth="1"/>
    <col min="8725" max="8725" width="9.875" style="255" customWidth="1"/>
    <col min="8726" max="8726" width="26.125" style="255" customWidth="1"/>
    <col min="8727" max="8727" width="11.125" style="255" customWidth="1"/>
    <col min="8728" max="8728" width="7.875" style="255" customWidth="1"/>
    <col min="8729" max="8729" width="7.25" style="255" customWidth="1"/>
    <col min="8730" max="8730" width="9.125" style="255" customWidth="1"/>
    <col min="8731" max="8731" width="15.125" style="255" customWidth="1"/>
    <col min="8732" max="8732" width="7.75" style="255" customWidth="1"/>
    <col min="8733" max="8733" width="7.125" style="255" customWidth="1"/>
    <col min="8734" max="8734" width="12.125" style="255" customWidth="1"/>
    <col min="8735" max="8735" width="8.25" style="255" customWidth="1"/>
    <col min="8736" max="8737" width="10.375" style="255" customWidth="1"/>
    <col min="8738" max="8738" width="15.625" style="255" customWidth="1"/>
    <col min="8739" max="8739" width="15.875" style="255" customWidth="1"/>
    <col min="8740" max="8740" width="8.125" style="255" customWidth="1"/>
    <col min="8741" max="8744" width="10.375" style="255" customWidth="1"/>
    <col min="8745" max="8745" width="7.25" style="255" customWidth="1"/>
    <col min="8746" max="8746" width="7.125" style="255" customWidth="1"/>
    <col min="8747" max="8747" width="9.5" style="255" customWidth="1"/>
    <col min="8748" max="8749" width="9" style="255" customWidth="1"/>
    <col min="8750" max="8750" width="16.125" style="255" customWidth="1"/>
    <col min="8751" max="8781" width="9" style="255" customWidth="1"/>
    <col min="8782" max="8941" width="25.25" style="255"/>
    <col min="8942" max="8971" width="9" style="255" customWidth="1"/>
    <col min="8972" max="8972" width="0.5" style="255" customWidth="1"/>
    <col min="8973" max="8973" width="25.25" style="255"/>
    <col min="8974" max="8974" width="0.5" style="255" customWidth="1"/>
    <col min="8975" max="8975" width="25.25" style="255"/>
    <col min="8976" max="8976" width="14.75" style="255" customWidth="1"/>
    <col min="8977" max="8977" width="11.5" style="255" customWidth="1"/>
    <col min="8978" max="8978" width="11.25" style="255" customWidth="1"/>
    <col min="8979" max="8979" width="10.75" style="255" customWidth="1"/>
    <col min="8980" max="8980" width="10" style="255" customWidth="1"/>
    <col min="8981" max="8981" width="9.875" style="255" customWidth="1"/>
    <col min="8982" max="8982" width="26.125" style="255" customWidth="1"/>
    <col min="8983" max="8983" width="11.125" style="255" customWidth="1"/>
    <col min="8984" max="8984" width="7.875" style="255" customWidth="1"/>
    <col min="8985" max="8985" width="7.25" style="255" customWidth="1"/>
    <col min="8986" max="8986" width="9.125" style="255" customWidth="1"/>
    <col min="8987" max="8987" width="15.125" style="255" customWidth="1"/>
    <col min="8988" max="8988" width="7.75" style="255" customWidth="1"/>
    <col min="8989" max="8989" width="7.125" style="255" customWidth="1"/>
    <col min="8990" max="8990" width="12.125" style="255" customWidth="1"/>
    <col min="8991" max="8991" width="8.25" style="255" customWidth="1"/>
    <col min="8992" max="8993" width="10.375" style="255" customWidth="1"/>
    <col min="8994" max="8994" width="15.625" style="255" customWidth="1"/>
    <col min="8995" max="8995" width="15.875" style="255" customWidth="1"/>
    <col min="8996" max="8996" width="8.125" style="255" customWidth="1"/>
    <col min="8997" max="9000" width="10.375" style="255" customWidth="1"/>
    <col min="9001" max="9001" width="7.25" style="255" customWidth="1"/>
    <col min="9002" max="9002" width="7.125" style="255" customWidth="1"/>
    <col min="9003" max="9003" width="9.5" style="255" customWidth="1"/>
    <col min="9004" max="9005" width="9" style="255" customWidth="1"/>
    <col min="9006" max="9006" width="16.125" style="255" customWidth="1"/>
    <col min="9007" max="9037" width="9" style="255" customWidth="1"/>
    <col min="9038" max="9197" width="25.25" style="255"/>
    <col min="9198" max="9227" width="9" style="255" customWidth="1"/>
    <col min="9228" max="9228" width="0.5" style="255" customWidth="1"/>
    <col min="9229" max="9229" width="25.25" style="255"/>
    <col min="9230" max="9230" width="0.5" style="255" customWidth="1"/>
    <col min="9231" max="9231" width="25.25" style="255"/>
    <col min="9232" max="9232" width="14.75" style="255" customWidth="1"/>
    <col min="9233" max="9233" width="11.5" style="255" customWidth="1"/>
    <col min="9234" max="9234" width="11.25" style="255" customWidth="1"/>
    <col min="9235" max="9235" width="10.75" style="255" customWidth="1"/>
    <col min="9236" max="9236" width="10" style="255" customWidth="1"/>
    <col min="9237" max="9237" width="9.875" style="255" customWidth="1"/>
    <col min="9238" max="9238" width="26.125" style="255" customWidth="1"/>
    <col min="9239" max="9239" width="11.125" style="255" customWidth="1"/>
    <col min="9240" max="9240" width="7.875" style="255" customWidth="1"/>
    <col min="9241" max="9241" width="7.25" style="255" customWidth="1"/>
    <col min="9242" max="9242" width="9.125" style="255" customWidth="1"/>
    <col min="9243" max="9243" width="15.125" style="255" customWidth="1"/>
    <col min="9244" max="9244" width="7.75" style="255" customWidth="1"/>
    <col min="9245" max="9245" width="7.125" style="255" customWidth="1"/>
    <col min="9246" max="9246" width="12.125" style="255" customWidth="1"/>
    <col min="9247" max="9247" width="8.25" style="255" customWidth="1"/>
    <col min="9248" max="9249" width="10.375" style="255" customWidth="1"/>
    <col min="9250" max="9250" width="15.625" style="255" customWidth="1"/>
    <col min="9251" max="9251" width="15.875" style="255" customWidth="1"/>
    <col min="9252" max="9252" width="8.125" style="255" customWidth="1"/>
    <col min="9253" max="9256" width="10.375" style="255" customWidth="1"/>
    <col min="9257" max="9257" width="7.25" style="255" customWidth="1"/>
    <col min="9258" max="9258" width="7.125" style="255" customWidth="1"/>
    <col min="9259" max="9259" width="9.5" style="255" customWidth="1"/>
    <col min="9260" max="9261" width="9" style="255" customWidth="1"/>
    <col min="9262" max="9262" width="16.125" style="255" customWidth="1"/>
    <col min="9263" max="9293" width="9" style="255" customWidth="1"/>
    <col min="9294" max="9453" width="25.25" style="255"/>
    <col min="9454" max="9483" width="9" style="255" customWidth="1"/>
    <col min="9484" max="9484" width="0.5" style="255" customWidth="1"/>
    <col min="9485" max="9485" width="25.25" style="255"/>
    <col min="9486" max="9486" width="0.5" style="255" customWidth="1"/>
    <col min="9487" max="9487" width="25.25" style="255"/>
    <col min="9488" max="9488" width="14.75" style="255" customWidth="1"/>
    <col min="9489" max="9489" width="11.5" style="255" customWidth="1"/>
    <col min="9490" max="9490" width="11.25" style="255" customWidth="1"/>
    <col min="9491" max="9491" width="10.75" style="255" customWidth="1"/>
    <col min="9492" max="9492" width="10" style="255" customWidth="1"/>
    <col min="9493" max="9493" width="9.875" style="255" customWidth="1"/>
    <col min="9494" max="9494" width="26.125" style="255" customWidth="1"/>
    <col min="9495" max="9495" width="11.125" style="255" customWidth="1"/>
    <col min="9496" max="9496" width="7.875" style="255" customWidth="1"/>
    <col min="9497" max="9497" width="7.25" style="255" customWidth="1"/>
    <col min="9498" max="9498" width="9.125" style="255" customWidth="1"/>
    <col min="9499" max="9499" width="15.125" style="255" customWidth="1"/>
    <col min="9500" max="9500" width="7.75" style="255" customWidth="1"/>
    <col min="9501" max="9501" width="7.125" style="255" customWidth="1"/>
    <col min="9502" max="9502" width="12.125" style="255" customWidth="1"/>
    <col min="9503" max="9503" width="8.25" style="255" customWidth="1"/>
    <col min="9504" max="9505" width="10.375" style="255" customWidth="1"/>
    <col min="9506" max="9506" width="15.625" style="255" customWidth="1"/>
    <col min="9507" max="9507" width="15.875" style="255" customWidth="1"/>
    <col min="9508" max="9508" width="8.125" style="255" customWidth="1"/>
    <col min="9509" max="9512" width="10.375" style="255" customWidth="1"/>
    <col min="9513" max="9513" width="7.25" style="255" customWidth="1"/>
    <col min="9514" max="9514" width="7.125" style="255" customWidth="1"/>
    <col min="9515" max="9515" width="9.5" style="255" customWidth="1"/>
    <col min="9516" max="9517" width="9" style="255" customWidth="1"/>
    <col min="9518" max="9518" width="16.125" style="255" customWidth="1"/>
    <col min="9519" max="9549" width="9" style="255" customWidth="1"/>
    <col min="9550" max="9709" width="25.25" style="255"/>
    <col min="9710" max="9739" width="9" style="255" customWidth="1"/>
    <col min="9740" max="9740" width="0.5" style="255" customWidth="1"/>
    <col min="9741" max="9741" width="25.25" style="255"/>
    <col min="9742" max="9742" width="0.5" style="255" customWidth="1"/>
    <col min="9743" max="9743" width="25.25" style="255"/>
    <col min="9744" max="9744" width="14.75" style="255" customWidth="1"/>
    <col min="9745" max="9745" width="11.5" style="255" customWidth="1"/>
    <col min="9746" max="9746" width="11.25" style="255" customWidth="1"/>
    <col min="9747" max="9747" width="10.75" style="255" customWidth="1"/>
    <col min="9748" max="9748" width="10" style="255" customWidth="1"/>
    <col min="9749" max="9749" width="9.875" style="255" customWidth="1"/>
    <col min="9750" max="9750" width="26.125" style="255" customWidth="1"/>
    <col min="9751" max="9751" width="11.125" style="255" customWidth="1"/>
    <col min="9752" max="9752" width="7.875" style="255" customWidth="1"/>
    <col min="9753" max="9753" width="7.25" style="255" customWidth="1"/>
    <col min="9754" max="9754" width="9.125" style="255" customWidth="1"/>
    <col min="9755" max="9755" width="15.125" style="255" customWidth="1"/>
    <col min="9756" max="9756" width="7.75" style="255" customWidth="1"/>
    <col min="9757" max="9757" width="7.125" style="255" customWidth="1"/>
    <col min="9758" max="9758" width="12.125" style="255" customWidth="1"/>
    <col min="9759" max="9759" width="8.25" style="255" customWidth="1"/>
    <col min="9760" max="9761" width="10.375" style="255" customWidth="1"/>
    <col min="9762" max="9762" width="15.625" style="255" customWidth="1"/>
    <col min="9763" max="9763" width="15.875" style="255" customWidth="1"/>
    <col min="9764" max="9764" width="8.125" style="255" customWidth="1"/>
    <col min="9765" max="9768" width="10.375" style="255" customWidth="1"/>
    <col min="9769" max="9769" width="7.25" style="255" customWidth="1"/>
    <col min="9770" max="9770" width="7.125" style="255" customWidth="1"/>
    <col min="9771" max="9771" width="9.5" style="255" customWidth="1"/>
    <col min="9772" max="9773" width="9" style="255" customWidth="1"/>
    <col min="9774" max="9774" width="16.125" style="255" customWidth="1"/>
    <col min="9775" max="9805" width="9" style="255" customWidth="1"/>
    <col min="9806" max="9965" width="25.25" style="255"/>
    <col min="9966" max="9995" width="9" style="255" customWidth="1"/>
    <col min="9996" max="9996" width="0.5" style="255" customWidth="1"/>
    <col min="9997" max="9997" width="25.25" style="255"/>
    <col min="9998" max="9998" width="0.5" style="255" customWidth="1"/>
    <col min="9999" max="9999" width="25.25" style="255"/>
    <col min="10000" max="10000" width="14.75" style="255" customWidth="1"/>
    <col min="10001" max="10001" width="11.5" style="255" customWidth="1"/>
    <col min="10002" max="10002" width="11.25" style="255" customWidth="1"/>
    <col min="10003" max="10003" width="10.75" style="255" customWidth="1"/>
    <col min="10004" max="10004" width="10" style="255" customWidth="1"/>
    <col min="10005" max="10005" width="9.875" style="255" customWidth="1"/>
    <col min="10006" max="10006" width="26.125" style="255" customWidth="1"/>
    <col min="10007" max="10007" width="11.125" style="255" customWidth="1"/>
    <col min="10008" max="10008" width="7.875" style="255" customWidth="1"/>
    <col min="10009" max="10009" width="7.25" style="255" customWidth="1"/>
    <col min="10010" max="10010" width="9.125" style="255" customWidth="1"/>
    <col min="10011" max="10011" width="15.125" style="255" customWidth="1"/>
    <col min="10012" max="10012" width="7.75" style="255" customWidth="1"/>
    <col min="10013" max="10013" width="7.125" style="255" customWidth="1"/>
    <col min="10014" max="10014" width="12.125" style="255" customWidth="1"/>
    <col min="10015" max="10015" width="8.25" style="255" customWidth="1"/>
    <col min="10016" max="10017" width="10.375" style="255" customWidth="1"/>
    <col min="10018" max="10018" width="15.625" style="255" customWidth="1"/>
    <col min="10019" max="10019" width="15.875" style="255" customWidth="1"/>
    <col min="10020" max="10020" width="8.125" style="255" customWidth="1"/>
    <col min="10021" max="10024" width="10.375" style="255" customWidth="1"/>
    <col min="10025" max="10025" width="7.25" style="255" customWidth="1"/>
    <col min="10026" max="10026" width="7.125" style="255" customWidth="1"/>
    <col min="10027" max="10027" width="9.5" style="255" customWidth="1"/>
    <col min="10028" max="10029" width="9" style="255" customWidth="1"/>
    <col min="10030" max="10030" width="16.125" style="255" customWidth="1"/>
    <col min="10031" max="10061" width="9" style="255" customWidth="1"/>
    <col min="10062" max="10221" width="25.25" style="255"/>
    <col min="10222" max="10251" width="9" style="255" customWidth="1"/>
    <col min="10252" max="10252" width="0.5" style="255" customWidth="1"/>
    <col min="10253" max="10253" width="25.25" style="255"/>
    <col min="10254" max="10254" width="0.5" style="255" customWidth="1"/>
    <col min="10255" max="10255" width="25.25" style="255"/>
    <col min="10256" max="10256" width="14.75" style="255" customWidth="1"/>
    <col min="10257" max="10257" width="11.5" style="255" customWidth="1"/>
    <col min="10258" max="10258" width="11.25" style="255" customWidth="1"/>
    <col min="10259" max="10259" width="10.75" style="255" customWidth="1"/>
    <col min="10260" max="10260" width="10" style="255" customWidth="1"/>
    <col min="10261" max="10261" width="9.875" style="255" customWidth="1"/>
    <col min="10262" max="10262" width="26.125" style="255" customWidth="1"/>
    <col min="10263" max="10263" width="11.125" style="255" customWidth="1"/>
    <col min="10264" max="10264" width="7.875" style="255" customWidth="1"/>
    <col min="10265" max="10265" width="7.25" style="255" customWidth="1"/>
    <col min="10266" max="10266" width="9.125" style="255" customWidth="1"/>
    <col min="10267" max="10267" width="15.125" style="255" customWidth="1"/>
    <col min="10268" max="10268" width="7.75" style="255" customWidth="1"/>
    <col min="10269" max="10269" width="7.125" style="255" customWidth="1"/>
    <col min="10270" max="10270" width="12.125" style="255" customWidth="1"/>
    <col min="10271" max="10271" width="8.25" style="255" customWidth="1"/>
    <col min="10272" max="10273" width="10.375" style="255" customWidth="1"/>
    <col min="10274" max="10274" width="15.625" style="255" customWidth="1"/>
    <col min="10275" max="10275" width="15.875" style="255" customWidth="1"/>
    <col min="10276" max="10276" width="8.125" style="255" customWidth="1"/>
    <col min="10277" max="10280" width="10.375" style="255" customWidth="1"/>
    <col min="10281" max="10281" width="7.25" style="255" customWidth="1"/>
    <col min="10282" max="10282" width="7.125" style="255" customWidth="1"/>
    <col min="10283" max="10283" width="9.5" style="255" customWidth="1"/>
    <col min="10284" max="10285" width="9" style="255" customWidth="1"/>
    <col min="10286" max="10286" width="16.125" style="255" customWidth="1"/>
    <col min="10287" max="10317" width="9" style="255" customWidth="1"/>
    <col min="10318" max="10477" width="25.25" style="255"/>
    <col min="10478" max="10507" width="9" style="255" customWidth="1"/>
    <col min="10508" max="10508" width="0.5" style="255" customWidth="1"/>
    <col min="10509" max="10509" width="25.25" style="255"/>
    <col min="10510" max="10510" width="0.5" style="255" customWidth="1"/>
    <col min="10511" max="10511" width="25.25" style="255"/>
    <col min="10512" max="10512" width="14.75" style="255" customWidth="1"/>
    <col min="10513" max="10513" width="11.5" style="255" customWidth="1"/>
    <col min="10514" max="10514" width="11.25" style="255" customWidth="1"/>
    <col min="10515" max="10515" width="10.75" style="255" customWidth="1"/>
    <col min="10516" max="10516" width="10" style="255" customWidth="1"/>
    <col min="10517" max="10517" width="9.875" style="255" customWidth="1"/>
    <col min="10518" max="10518" width="26.125" style="255" customWidth="1"/>
    <col min="10519" max="10519" width="11.125" style="255" customWidth="1"/>
    <col min="10520" max="10520" width="7.875" style="255" customWidth="1"/>
    <col min="10521" max="10521" width="7.25" style="255" customWidth="1"/>
    <col min="10522" max="10522" width="9.125" style="255" customWidth="1"/>
    <col min="10523" max="10523" width="15.125" style="255" customWidth="1"/>
    <col min="10524" max="10524" width="7.75" style="255" customWidth="1"/>
    <col min="10525" max="10525" width="7.125" style="255" customWidth="1"/>
    <col min="10526" max="10526" width="12.125" style="255" customWidth="1"/>
    <col min="10527" max="10527" width="8.25" style="255" customWidth="1"/>
    <col min="10528" max="10529" width="10.375" style="255" customWidth="1"/>
    <col min="10530" max="10530" width="15.625" style="255" customWidth="1"/>
    <col min="10531" max="10531" width="15.875" style="255" customWidth="1"/>
    <col min="10532" max="10532" width="8.125" style="255" customWidth="1"/>
    <col min="10533" max="10536" width="10.375" style="255" customWidth="1"/>
    <col min="10537" max="10537" width="7.25" style="255" customWidth="1"/>
    <col min="10538" max="10538" width="7.125" style="255" customWidth="1"/>
    <col min="10539" max="10539" width="9.5" style="255" customWidth="1"/>
    <col min="10540" max="10541" width="9" style="255" customWidth="1"/>
    <col min="10542" max="10542" width="16.125" style="255" customWidth="1"/>
    <col min="10543" max="10573" width="9" style="255" customWidth="1"/>
    <col min="10574" max="10733" width="25.25" style="255"/>
    <col min="10734" max="10763" width="9" style="255" customWidth="1"/>
    <col min="10764" max="10764" width="0.5" style="255" customWidth="1"/>
    <col min="10765" max="10765" width="25.25" style="255"/>
    <col min="10766" max="10766" width="0.5" style="255" customWidth="1"/>
    <col min="10767" max="10767" width="25.25" style="255"/>
    <col min="10768" max="10768" width="14.75" style="255" customWidth="1"/>
    <col min="10769" max="10769" width="11.5" style="255" customWidth="1"/>
    <col min="10770" max="10770" width="11.25" style="255" customWidth="1"/>
    <col min="10771" max="10771" width="10.75" style="255" customWidth="1"/>
    <col min="10772" max="10772" width="10" style="255" customWidth="1"/>
    <col min="10773" max="10773" width="9.875" style="255" customWidth="1"/>
    <col min="10774" max="10774" width="26.125" style="255" customWidth="1"/>
    <col min="10775" max="10775" width="11.125" style="255" customWidth="1"/>
    <col min="10776" max="10776" width="7.875" style="255" customWidth="1"/>
    <col min="10777" max="10777" width="7.25" style="255" customWidth="1"/>
    <col min="10778" max="10778" width="9.125" style="255" customWidth="1"/>
    <col min="10779" max="10779" width="15.125" style="255" customWidth="1"/>
    <col min="10780" max="10780" width="7.75" style="255" customWidth="1"/>
    <col min="10781" max="10781" width="7.125" style="255" customWidth="1"/>
    <col min="10782" max="10782" width="12.125" style="255" customWidth="1"/>
    <col min="10783" max="10783" width="8.25" style="255" customWidth="1"/>
    <col min="10784" max="10785" width="10.375" style="255" customWidth="1"/>
    <col min="10786" max="10786" width="15.625" style="255" customWidth="1"/>
    <col min="10787" max="10787" width="15.875" style="255" customWidth="1"/>
    <col min="10788" max="10788" width="8.125" style="255" customWidth="1"/>
    <col min="10789" max="10792" width="10.375" style="255" customWidth="1"/>
    <col min="10793" max="10793" width="7.25" style="255" customWidth="1"/>
    <col min="10794" max="10794" width="7.125" style="255" customWidth="1"/>
    <col min="10795" max="10795" width="9.5" style="255" customWidth="1"/>
    <col min="10796" max="10797" width="9" style="255" customWidth="1"/>
    <col min="10798" max="10798" width="16.125" style="255" customWidth="1"/>
    <col min="10799" max="10829" width="9" style="255" customWidth="1"/>
    <col min="10830" max="10989" width="25.25" style="255"/>
    <col min="10990" max="11019" width="9" style="255" customWidth="1"/>
    <col min="11020" max="11020" width="0.5" style="255" customWidth="1"/>
    <col min="11021" max="11021" width="25.25" style="255"/>
    <col min="11022" max="11022" width="0.5" style="255" customWidth="1"/>
    <col min="11023" max="11023" width="25.25" style="255"/>
    <col min="11024" max="11024" width="14.75" style="255" customWidth="1"/>
    <col min="11025" max="11025" width="11.5" style="255" customWidth="1"/>
    <col min="11026" max="11026" width="11.25" style="255" customWidth="1"/>
    <col min="11027" max="11027" width="10.75" style="255" customWidth="1"/>
    <col min="11028" max="11028" width="10" style="255" customWidth="1"/>
    <col min="11029" max="11029" width="9.875" style="255" customWidth="1"/>
    <col min="11030" max="11030" width="26.125" style="255" customWidth="1"/>
    <col min="11031" max="11031" width="11.125" style="255" customWidth="1"/>
    <col min="11032" max="11032" width="7.875" style="255" customWidth="1"/>
    <col min="11033" max="11033" width="7.25" style="255" customWidth="1"/>
    <col min="11034" max="11034" width="9.125" style="255" customWidth="1"/>
    <col min="11035" max="11035" width="15.125" style="255" customWidth="1"/>
    <col min="11036" max="11036" width="7.75" style="255" customWidth="1"/>
    <col min="11037" max="11037" width="7.125" style="255" customWidth="1"/>
    <col min="11038" max="11038" width="12.125" style="255" customWidth="1"/>
    <col min="11039" max="11039" width="8.25" style="255" customWidth="1"/>
    <col min="11040" max="11041" width="10.375" style="255" customWidth="1"/>
    <col min="11042" max="11042" width="15.625" style="255" customWidth="1"/>
    <col min="11043" max="11043" width="15.875" style="255" customWidth="1"/>
    <col min="11044" max="11044" width="8.125" style="255" customWidth="1"/>
    <col min="11045" max="11048" width="10.375" style="255" customWidth="1"/>
    <col min="11049" max="11049" width="7.25" style="255" customWidth="1"/>
    <col min="11050" max="11050" width="7.125" style="255" customWidth="1"/>
    <col min="11051" max="11051" width="9.5" style="255" customWidth="1"/>
    <col min="11052" max="11053" width="9" style="255" customWidth="1"/>
    <col min="11054" max="11054" width="16.125" style="255" customWidth="1"/>
    <col min="11055" max="11085" width="9" style="255" customWidth="1"/>
    <col min="11086" max="11245" width="25.25" style="255"/>
    <col min="11246" max="11275" width="9" style="255" customWidth="1"/>
    <col min="11276" max="11276" width="0.5" style="255" customWidth="1"/>
    <col min="11277" max="11277" width="25.25" style="255"/>
    <col min="11278" max="11278" width="0.5" style="255" customWidth="1"/>
    <col min="11279" max="11279" width="25.25" style="255"/>
    <col min="11280" max="11280" width="14.75" style="255" customWidth="1"/>
    <col min="11281" max="11281" width="11.5" style="255" customWidth="1"/>
    <col min="11282" max="11282" width="11.25" style="255" customWidth="1"/>
    <col min="11283" max="11283" width="10.75" style="255" customWidth="1"/>
    <col min="11284" max="11284" width="10" style="255" customWidth="1"/>
    <col min="11285" max="11285" width="9.875" style="255" customWidth="1"/>
    <col min="11286" max="11286" width="26.125" style="255" customWidth="1"/>
    <col min="11287" max="11287" width="11.125" style="255" customWidth="1"/>
    <col min="11288" max="11288" width="7.875" style="255" customWidth="1"/>
    <col min="11289" max="11289" width="7.25" style="255" customWidth="1"/>
    <col min="11290" max="11290" width="9.125" style="255" customWidth="1"/>
    <col min="11291" max="11291" width="15.125" style="255" customWidth="1"/>
    <col min="11292" max="11292" width="7.75" style="255" customWidth="1"/>
    <col min="11293" max="11293" width="7.125" style="255" customWidth="1"/>
    <col min="11294" max="11294" width="12.125" style="255" customWidth="1"/>
    <col min="11295" max="11295" width="8.25" style="255" customWidth="1"/>
    <col min="11296" max="11297" width="10.375" style="255" customWidth="1"/>
    <col min="11298" max="11298" width="15.625" style="255" customWidth="1"/>
    <col min="11299" max="11299" width="15.875" style="255" customWidth="1"/>
    <col min="11300" max="11300" width="8.125" style="255" customWidth="1"/>
    <col min="11301" max="11304" width="10.375" style="255" customWidth="1"/>
    <col min="11305" max="11305" width="7.25" style="255" customWidth="1"/>
    <col min="11306" max="11306" width="7.125" style="255" customWidth="1"/>
    <col min="11307" max="11307" width="9.5" style="255" customWidth="1"/>
    <col min="11308" max="11309" width="9" style="255" customWidth="1"/>
    <col min="11310" max="11310" width="16.125" style="255" customWidth="1"/>
    <col min="11311" max="11341" width="9" style="255" customWidth="1"/>
    <col min="11342" max="11501" width="25.25" style="255"/>
    <col min="11502" max="11531" width="9" style="255" customWidth="1"/>
    <col min="11532" max="11532" width="0.5" style="255" customWidth="1"/>
    <col min="11533" max="11533" width="25.25" style="255"/>
    <col min="11534" max="11534" width="0.5" style="255" customWidth="1"/>
    <col min="11535" max="11535" width="25.25" style="255"/>
    <col min="11536" max="11536" width="14.75" style="255" customWidth="1"/>
    <col min="11537" max="11537" width="11.5" style="255" customWidth="1"/>
    <col min="11538" max="11538" width="11.25" style="255" customWidth="1"/>
    <col min="11539" max="11539" width="10.75" style="255" customWidth="1"/>
    <col min="11540" max="11540" width="10" style="255" customWidth="1"/>
    <col min="11541" max="11541" width="9.875" style="255" customWidth="1"/>
    <col min="11542" max="11542" width="26.125" style="255" customWidth="1"/>
    <col min="11543" max="11543" width="11.125" style="255" customWidth="1"/>
    <col min="11544" max="11544" width="7.875" style="255" customWidth="1"/>
    <col min="11545" max="11545" width="7.25" style="255" customWidth="1"/>
    <col min="11546" max="11546" width="9.125" style="255" customWidth="1"/>
    <col min="11547" max="11547" width="15.125" style="255" customWidth="1"/>
    <col min="11548" max="11548" width="7.75" style="255" customWidth="1"/>
    <col min="11549" max="11549" width="7.125" style="255" customWidth="1"/>
    <col min="11550" max="11550" width="12.125" style="255" customWidth="1"/>
    <col min="11551" max="11551" width="8.25" style="255" customWidth="1"/>
    <col min="11552" max="11553" width="10.375" style="255" customWidth="1"/>
    <col min="11554" max="11554" width="15.625" style="255" customWidth="1"/>
    <col min="11555" max="11555" width="15.875" style="255" customWidth="1"/>
    <col min="11556" max="11556" width="8.125" style="255" customWidth="1"/>
    <col min="11557" max="11560" width="10.375" style="255" customWidth="1"/>
    <col min="11561" max="11561" width="7.25" style="255" customWidth="1"/>
    <col min="11562" max="11562" width="7.125" style="255" customWidth="1"/>
    <col min="11563" max="11563" width="9.5" style="255" customWidth="1"/>
    <col min="11564" max="11565" width="9" style="255" customWidth="1"/>
    <col min="11566" max="11566" width="16.125" style="255" customWidth="1"/>
    <col min="11567" max="11597" width="9" style="255" customWidth="1"/>
    <col min="11598" max="11757" width="25.25" style="255"/>
    <col min="11758" max="11787" width="9" style="255" customWidth="1"/>
    <col min="11788" max="11788" width="0.5" style="255" customWidth="1"/>
    <col min="11789" max="11789" width="25.25" style="255"/>
    <col min="11790" max="11790" width="0.5" style="255" customWidth="1"/>
    <col min="11791" max="11791" width="25.25" style="255"/>
    <col min="11792" max="11792" width="14.75" style="255" customWidth="1"/>
    <col min="11793" max="11793" width="11.5" style="255" customWidth="1"/>
    <col min="11794" max="11794" width="11.25" style="255" customWidth="1"/>
    <col min="11795" max="11795" width="10.75" style="255" customWidth="1"/>
    <col min="11796" max="11796" width="10" style="255" customWidth="1"/>
    <col min="11797" max="11797" width="9.875" style="255" customWidth="1"/>
    <col min="11798" max="11798" width="26.125" style="255" customWidth="1"/>
    <col min="11799" max="11799" width="11.125" style="255" customWidth="1"/>
    <col min="11800" max="11800" width="7.875" style="255" customWidth="1"/>
    <col min="11801" max="11801" width="7.25" style="255" customWidth="1"/>
    <col min="11802" max="11802" width="9.125" style="255" customWidth="1"/>
    <col min="11803" max="11803" width="15.125" style="255" customWidth="1"/>
    <col min="11804" max="11804" width="7.75" style="255" customWidth="1"/>
    <col min="11805" max="11805" width="7.125" style="255" customWidth="1"/>
    <col min="11806" max="11806" width="12.125" style="255" customWidth="1"/>
    <col min="11807" max="11807" width="8.25" style="255" customWidth="1"/>
    <col min="11808" max="11809" width="10.375" style="255" customWidth="1"/>
    <col min="11810" max="11810" width="15.625" style="255" customWidth="1"/>
    <col min="11811" max="11811" width="15.875" style="255" customWidth="1"/>
    <col min="11812" max="11812" width="8.125" style="255" customWidth="1"/>
    <col min="11813" max="11816" width="10.375" style="255" customWidth="1"/>
    <col min="11817" max="11817" width="7.25" style="255" customWidth="1"/>
    <col min="11818" max="11818" width="7.125" style="255" customWidth="1"/>
    <col min="11819" max="11819" width="9.5" style="255" customWidth="1"/>
    <col min="11820" max="11821" width="9" style="255" customWidth="1"/>
    <col min="11822" max="11822" width="16.125" style="255" customWidth="1"/>
    <col min="11823" max="11853" width="9" style="255" customWidth="1"/>
    <col min="11854" max="12013" width="25.25" style="255"/>
    <col min="12014" max="12043" width="9" style="255" customWidth="1"/>
    <col min="12044" max="12044" width="0.5" style="255" customWidth="1"/>
    <col min="12045" max="12045" width="25.25" style="255"/>
    <col min="12046" max="12046" width="0.5" style="255" customWidth="1"/>
    <col min="12047" max="12047" width="25.25" style="255"/>
    <col min="12048" max="12048" width="14.75" style="255" customWidth="1"/>
    <col min="12049" max="12049" width="11.5" style="255" customWidth="1"/>
    <col min="12050" max="12050" width="11.25" style="255" customWidth="1"/>
    <col min="12051" max="12051" width="10.75" style="255" customWidth="1"/>
    <col min="12052" max="12052" width="10" style="255" customWidth="1"/>
    <col min="12053" max="12053" width="9.875" style="255" customWidth="1"/>
    <col min="12054" max="12054" width="26.125" style="255" customWidth="1"/>
    <col min="12055" max="12055" width="11.125" style="255" customWidth="1"/>
    <col min="12056" max="12056" width="7.875" style="255" customWidth="1"/>
    <col min="12057" max="12057" width="7.25" style="255" customWidth="1"/>
    <col min="12058" max="12058" width="9.125" style="255" customWidth="1"/>
    <col min="12059" max="12059" width="15.125" style="255" customWidth="1"/>
    <col min="12060" max="12060" width="7.75" style="255" customWidth="1"/>
    <col min="12061" max="12061" width="7.125" style="255" customWidth="1"/>
    <col min="12062" max="12062" width="12.125" style="255" customWidth="1"/>
    <col min="12063" max="12063" width="8.25" style="255" customWidth="1"/>
    <col min="12064" max="12065" width="10.375" style="255" customWidth="1"/>
    <col min="12066" max="12066" width="15.625" style="255" customWidth="1"/>
    <col min="12067" max="12067" width="15.875" style="255" customWidth="1"/>
    <col min="12068" max="12068" width="8.125" style="255" customWidth="1"/>
    <col min="12069" max="12072" width="10.375" style="255" customWidth="1"/>
    <col min="12073" max="12073" width="7.25" style="255" customWidth="1"/>
    <col min="12074" max="12074" width="7.125" style="255" customWidth="1"/>
    <col min="12075" max="12075" width="9.5" style="255" customWidth="1"/>
    <col min="12076" max="12077" width="9" style="255" customWidth="1"/>
    <col min="12078" max="12078" width="16.125" style="255" customWidth="1"/>
    <col min="12079" max="12109" width="9" style="255" customWidth="1"/>
    <col min="12110" max="12269" width="25.25" style="255"/>
    <col min="12270" max="12299" width="9" style="255" customWidth="1"/>
    <col min="12300" max="12300" width="0.5" style="255" customWidth="1"/>
    <col min="12301" max="12301" width="25.25" style="255"/>
    <col min="12302" max="12302" width="0.5" style="255" customWidth="1"/>
    <col min="12303" max="12303" width="25.25" style="255"/>
    <col min="12304" max="12304" width="14.75" style="255" customWidth="1"/>
    <col min="12305" max="12305" width="11.5" style="255" customWidth="1"/>
    <col min="12306" max="12306" width="11.25" style="255" customWidth="1"/>
    <col min="12307" max="12307" width="10.75" style="255" customWidth="1"/>
    <col min="12308" max="12308" width="10" style="255" customWidth="1"/>
    <col min="12309" max="12309" width="9.875" style="255" customWidth="1"/>
    <col min="12310" max="12310" width="26.125" style="255" customWidth="1"/>
    <col min="12311" max="12311" width="11.125" style="255" customWidth="1"/>
    <col min="12312" max="12312" width="7.875" style="255" customWidth="1"/>
    <col min="12313" max="12313" width="7.25" style="255" customWidth="1"/>
    <col min="12314" max="12314" width="9.125" style="255" customWidth="1"/>
    <col min="12315" max="12315" width="15.125" style="255" customWidth="1"/>
    <col min="12316" max="12316" width="7.75" style="255" customWidth="1"/>
    <col min="12317" max="12317" width="7.125" style="255" customWidth="1"/>
    <col min="12318" max="12318" width="12.125" style="255" customWidth="1"/>
    <col min="12319" max="12319" width="8.25" style="255" customWidth="1"/>
    <col min="12320" max="12321" width="10.375" style="255" customWidth="1"/>
    <col min="12322" max="12322" width="15.625" style="255" customWidth="1"/>
    <col min="12323" max="12323" width="15.875" style="255" customWidth="1"/>
    <col min="12324" max="12324" width="8.125" style="255" customWidth="1"/>
    <col min="12325" max="12328" width="10.375" style="255" customWidth="1"/>
    <col min="12329" max="12329" width="7.25" style="255" customWidth="1"/>
    <col min="12330" max="12330" width="7.125" style="255" customWidth="1"/>
    <col min="12331" max="12331" width="9.5" style="255" customWidth="1"/>
    <col min="12332" max="12333" width="9" style="255" customWidth="1"/>
    <col min="12334" max="12334" width="16.125" style="255" customWidth="1"/>
    <col min="12335" max="12365" width="9" style="255" customWidth="1"/>
    <col min="12366" max="12525" width="25.25" style="255"/>
    <col min="12526" max="12555" width="9" style="255" customWidth="1"/>
    <col min="12556" max="12556" width="0.5" style="255" customWidth="1"/>
    <col min="12557" max="12557" width="25.25" style="255"/>
    <col min="12558" max="12558" width="0.5" style="255" customWidth="1"/>
    <col min="12559" max="12559" width="25.25" style="255"/>
    <col min="12560" max="12560" width="14.75" style="255" customWidth="1"/>
    <col min="12561" max="12561" width="11.5" style="255" customWidth="1"/>
    <col min="12562" max="12562" width="11.25" style="255" customWidth="1"/>
    <col min="12563" max="12563" width="10.75" style="255" customWidth="1"/>
    <col min="12564" max="12564" width="10" style="255" customWidth="1"/>
    <col min="12565" max="12565" width="9.875" style="255" customWidth="1"/>
    <col min="12566" max="12566" width="26.125" style="255" customWidth="1"/>
    <col min="12567" max="12567" width="11.125" style="255" customWidth="1"/>
    <col min="12568" max="12568" width="7.875" style="255" customWidth="1"/>
    <col min="12569" max="12569" width="7.25" style="255" customWidth="1"/>
    <col min="12570" max="12570" width="9.125" style="255" customWidth="1"/>
    <col min="12571" max="12571" width="15.125" style="255" customWidth="1"/>
    <col min="12572" max="12572" width="7.75" style="255" customWidth="1"/>
    <col min="12573" max="12573" width="7.125" style="255" customWidth="1"/>
    <col min="12574" max="12574" width="12.125" style="255" customWidth="1"/>
    <col min="12575" max="12575" width="8.25" style="255" customWidth="1"/>
    <col min="12576" max="12577" width="10.375" style="255" customWidth="1"/>
    <col min="12578" max="12578" width="15.625" style="255" customWidth="1"/>
    <col min="12579" max="12579" width="15.875" style="255" customWidth="1"/>
    <col min="12580" max="12580" width="8.125" style="255" customWidth="1"/>
    <col min="12581" max="12584" width="10.375" style="255" customWidth="1"/>
    <col min="12585" max="12585" width="7.25" style="255" customWidth="1"/>
    <col min="12586" max="12586" width="7.125" style="255" customWidth="1"/>
    <col min="12587" max="12587" width="9.5" style="255" customWidth="1"/>
    <col min="12588" max="12589" width="9" style="255" customWidth="1"/>
    <col min="12590" max="12590" width="16.125" style="255" customWidth="1"/>
    <col min="12591" max="12621" width="9" style="255" customWidth="1"/>
    <col min="12622" max="12781" width="25.25" style="255"/>
    <col min="12782" max="12811" width="9" style="255" customWidth="1"/>
    <col min="12812" max="12812" width="0.5" style="255" customWidth="1"/>
    <col min="12813" max="12813" width="25.25" style="255"/>
    <col min="12814" max="12814" width="0.5" style="255" customWidth="1"/>
    <col min="12815" max="12815" width="25.25" style="255"/>
    <col min="12816" max="12816" width="14.75" style="255" customWidth="1"/>
    <col min="12817" max="12817" width="11.5" style="255" customWidth="1"/>
    <col min="12818" max="12818" width="11.25" style="255" customWidth="1"/>
    <col min="12819" max="12819" width="10.75" style="255" customWidth="1"/>
    <col min="12820" max="12820" width="10" style="255" customWidth="1"/>
    <col min="12821" max="12821" width="9.875" style="255" customWidth="1"/>
    <col min="12822" max="12822" width="26.125" style="255" customWidth="1"/>
    <col min="12823" max="12823" width="11.125" style="255" customWidth="1"/>
    <col min="12824" max="12824" width="7.875" style="255" customWidth="1"/>
    <col min="12825" max="12825" width="7.25" style="255" customWidth="1"/>
    <col min="12826" max="12826" width="9.125" style="255" customWidth="1"/>
    <col min="12827" max="12827" width="15.125" style="255" customWidth="1"/>
    <col min="12828" max="12828" width="7.75" style="255" customWidth="1"/>
    <col min="12829" max="12829" width="7.125" style="255" customWidth="1"/>
    <col min="12830" max="12830" width="12.125" style="255" customWidth="1"/>
    <col min="12831" max="12831" width="8.25" style="255" customWidth="1"/>
    <col min="12832" max="12833" width="10.375" style="255" customWidth="1"/>
    <col min="12834" max="12834" width="15.625" style="255" customWidth="1"/>
    <col min="12835" max="12835" width="15.875" style="255" customWidth="1"/>
    <col min="12836" max="12836" width="8.125" style="255" customWidth="1"/>
    <col min="12837" max="12840" width="10.375" style="255" customWidth="1"/>
    <col min="12841" max="12841" width="7.25" style="255" customWidth="1"/>
    <col min="12842" max="12842" width="7.125" style="255" customWidth="1"/>
    <col min="12843" max="12843" width="9.5" style="255" customWidth="1"/>
    <col min="12844" max="12845" width="9" style="255" customWidth="1"/>
    <col min="12846" max="12846" width="16.125" style="255" customWidth="1"/>
    <col min="12847" max="12877" width="9" style="255" customWidth="1"/>
    <col min="12878" max="13037" width="25.25" style="255"/>
    <col min="13038" max="13067" width="9" style="255" customWidth="1"/>
    <col min="13068" max="13068" width="0.5" style="255" customWidth="1"/>
    <col min="13069" max="13069" width="25.25" style="255"/>
    <col min="13070" max="13070" width="0.5" style="255" customWidth="1"/>
    <col min="13071" max="13071" width="25.25" style="255"/>
    <col min="13072" max="13072" width="14.75" style="255" customWidth="1"/>
    <col min="13073" max="13073" width="11.5" style="255" customWidth="1"/>
    <col min="13074" max="13074" width="11.25" style="255" customWidth="1"/>
    <col min="13075" max="13075" width="10.75" style="255" customWidth="1"/>
    <col min="13076" max="13076" width="10" style="255" customWidth="1"/>
    <col min="13077" max="13077" width="9.875" style="255" customWidth="1"/>
    <col min="13078" max="13078" width="26.125" style="255" customWidth="1"/>
    <col min="13079" max="13079" width="11.125" style="255" customWidth="1"/>
    <col min="13080" max="13080" width="7.875" style="255" customWidth="1"/>
    <col min="13081" max="13081" width="7.25" style="255" customWidth="1"/>
    <col min="13082" max="13082" width="9.125" style="255" customWidth="1"/>
    <col min="13083" max="13083" width="15.125" style="255" customWidth="1"/>
    <col min="13084" max="13084" width="7.75" style="255" customWidth="1"/>
    <col min="13085" max="13085" width="7.125" style="255" customWidth="1"/>
    <col min="13086" max="13086" width="12.125" style="255" customWidth="1"/>
    <col min="13087" max="13087" width="8.25" style="255" customWidth="1"/>
    <col min="13088" max="13089" width="10.375" style="255" customWidth="1"/>
    <col min="13090" max="13090" width="15.625" style="255" customWidth="1"/>
    <col min="13091" max="13091" width="15.875" style="255" customWidth="1"/>
    <col min="13092" max="13092" width="8.125" style="255" customWidth="1"/>
    <col min="13093" max="13096" width="10.375" style="255" customWidth="1"/>
    <col min="13097" max="13097" width="7.25" style="255" customWidth="1"/>
    <col min="13098" max="13098" width="7.125" style="255" customWidth="1"/>
    <col min="13099" max="13099" width="9.5" style="255" customWidth="1"/>
    <col min="13100" max="13101" width="9" style="255" customWidth="1"/>
    <col min="13102" max="13102" width="16.125" style="255" customWidth="1"/>
    <col min="13103" max="13133" width="9" style="255" customWidth="1"/>
    <col min="13134" max="13293" width="25.25" style="255"/>
    <col min="13294" max="13323" width="9" style="255" customWidth="1"/>
    <col min="13324" max="13324" width="0.5" style="255" customWidth="1"/>
    <col min="13325" max="13325" width="25.25" style="255"/>
    <col min="13326" max="13326" width="0.5" style="255" customWidth="1"/>
    <col min="13327" max="13327" width="25.25" style="255"/>
    <col min="13328" max="13328" width="14.75" style="255" customWidth="1"/>
    <col min="13329" max="13329" width="11.5" style="255" customWidth="1"/>
    <col min="13330" max="13330" width="11.25" style="255" customWidth="1"/>
    <col min="13331" max="13331" width="10.75" style="255" customWidth="1"/>
    <col min="13332" max="13332" width="10" style="255" customWidth="1"/>
    <col min="13333" max="13333" width="9.875" style="255" customWidth="1"/>
    <col min="13334" max="13334" width="26.125" style="255" customWidth="1"/>
    <col min="13335" max="13335" width="11.125" style="255" customWidth="1"/>
    <col min="13336" max="13336" width="7.875" style="255" customWidth="1"/>
    <col min="13337" max="13337" width="7.25" style="255" customWidth="1"/>
    <col min="13338" max="13338" width="9.125" style="255" customWidth="1"/>
    <col min="13339" max="13339" width="15.125" style="255" customWidth="1"/>
    <col min="13340" max="13340" width="7.75" style="255" customWidth="1"/>
    <col min="13341" max="13341" width="7.125" style="255" customWidth="1"/>
    <col min="13342" max="13342" width="12.125" style="255" customWidth="1"/>
    <col min="13343" max="13343" width="8.25" style="255" customWidth="1"/>
    <col min="13344" max="13345" width="10.375" style="255" customWidth="1"/>
    <col min="13346" max="13346" width="15.625" style="255" customWidth="1"/>
    <col min="13347" max="13347" width="15.875" style="255" customWidth="1"/>
    <col min="13348" max="13348" width="8.125" style="255" customWidth="1"/>
    <col min="13349" max="13352" width="10.375" style="255" customWidth="1"/>
    <col min="13353" max="13353" width="7.25" style="255" customWidth="1"/>
    <col min="13354" max="13354" width="7.125" style="255" customWidth="1"/>
    <col min="13355" max="13355" width="9.5" style="255" customWidth="1"/>
    <col min="13356" max="13357" width="9" style="255" customWidth="1"/>
    <col min="13358" max="13358" width="16.125" style="255" customWidth="1"/>
    <col min="13359" max="13389" width="9" style="255" customWidth="1"/>
    <col min="13390" max="13549" width="25.25" style="255"/>
    <col min="13550" max="13579" width="9" style="255" customWidth="1"/>
    <col min="13580" max="13580" width="0.5" style="255" customWidth="1"/>
    <col min="13581" max="13581" width="25.25" style="255"/>
    <col min="13582" max="13582" width="0.5" style="255" customWidth="1"/>
    <col min="13583" max="13583" width="25.25" style="255"/>
    <col min="13584" max="13584" width="14.75" style="255" customWidth="1"/>
    <col min="13585" max="13585" width="11.5" style="255" customWidth="1"/>
    <col min="13586" max="13586" width="11.25" style="255" customWidth="1"/>
    <col min="13587" max="13587" width="10.75" style="255" customWidth="1"/>
    <col min="13588" max="13588" width="10" style="255" customWidth="1"/>
    <col min="13589" max="13589" width="9.875" style="255" customWidth="1"/>
    <col min="13590" max="13590" width="26.125" style="255" customWidth="1"/>
    <col min="13591" max="13591" width="11.125" style="255" customWidth="1"/>
    <col min="13592" max="13592" width="7.875" style="255" customWidth="1"/>
    <col min="13593" max="13593" width="7.25" style="255" customWidth="1"/>
    <col min="13594" max="13594" width="9.125" style="255" customWidth="1"/>
    <col min="13595" max="13595" width="15.125" style="255" customWidth="1"/>
    <col min="13596" max="13596" width="7.75" style="255" customWidth="1"/>
    <col min="13597" max="13597" width="7.125" style="255" customWidth="1"/>
    <col min="13598" max="13598" width="12.125" style="255" customWidth="1"/>
    <col min="13599" max="13599" width="8.25" style="255" customWidth="1"/>
    <col min="13600" max="13601" width="10.375" style="255" customWidth="1"/>
    <col min="13602" max="13602" width="15.625" style="255" customWidth="1"/>
    <col min="13603" max="13603" width="15.875" style="255" customWidth="1"/>
    <col min="13604" max="13604" width="8.125" style="255" customWidth="1"/>
    <col min="13605" max="13608" width="10.375" style="255" customWidth="1"/>
    <col min="13609" max="13609" width="7.25" style="255" customWidth="1"/>
    <col min="13610" max="13610" width="7.125" style="255" customWidth="1"/>
    <col min="13611" max="13611" width="9.5" style="255" customWidth="1"/>
    <col min="13612" max="13613" width="9" style="255" customWidth="1"/>
    <col min="13614" max="13614" width="16.125" style="255" customWidth="1"/>
    <col min="13615" max="13645" width="9" style="255" customWidth="1"/>
    <col min="13646" max="13805" width="25.25" style="255"/>
    <col min="13806" max="13835" width="9" style="255" customWidth="1"/>
    <col min="13836" max="13836" width="0.5" style="255" customWidth="1"/>
    <col min="13837" max="13837" width="25.25" style="255"/>
    <col min="13838" max="13838" width="0.5" style="255" customWidth="1"/>
    <col min="13839" max="13839" width="25.25" style="255"/>
    <col min="13840" max="13840" width="14.75" style="255" customWidth="1"/>
    <col min="13841" max="13841" width="11.5" style="255" customWidth="1"/>
    <col min="13842" max="13842" width="11.25" style="255" customWidth="1"/>
    <col min="13843" max="13843" width="10.75" style="255" customWidth="1"/>
    <col min="13844" max="13844" width="10" style="255" customWidth="1"/>
    <col min="13845" max="13845" width="9.875" style="255" customWidth="1"/>
    <col min="13846" max="13846" width="26.125" style="255" customWidth="1"/>
    <col min="13847" max="13847" width="11.125" style="255" customWidth="1"/>
    <col min="13848" max="13848" width="7.875" style="255" customWidth="1"/>
    <col min="13849" max="13849" width="7.25" style="255" customWidth="1"/>
    <col min="13850" max="13850" width="9.125" style="255" customWidth="1"/>
    <col min="13851" max="13851" width="15.125" style="255" customWidth="1"/>
    <col min="13852" max="13852" width="7.75" style="255" customWidth="1"/>
    <col min="13853" max="13853" width="7.125" style="255" customWidth="1"/>
    <col min="13854" max="13854" width="12.125" style="255" customWidth="1"/>
    <col min="13855" max="13855" width="8.25" style="255" customWidth="1"/>
    <col min="13856" max="13857" width="10.375" style="255" customWidth="1"/>
    <col min="13858" max="13858" width="15.625" style="255" customWidth="1"/>
    <col min="13859" max="13859" width="15.875" style="255" customWidth="1"/>
    <col min="13860" max="13860" width="8.125" style="255" customWidth="1"/>
    <col min="13861" max="13864" width="10.375" style="255" customWidth="1"/>
    <col min="13865" max="13865" width="7.25" style="255" customWidth="1"/>
    <col min="13866" max="13866" width="7.125" style="255" customWidth="1"/>
    <col min="13867" max="13867" width="9.5" style="255" customWidth="1"/>
    <col min="13868" max="13869" width="9" style="255" customWidth="1"/>
    <col min="13870" max="13870" width="16.125" style="255" customWidth="1"/>
    <col min="13871" max="13901" width="9" style="255" customWidth="1"/>
    <col min="13902" max="14061" width="25.25" style="255"/>
    <col min="14062" max="14091" width="9" style="255" customWidth="1"/>
    <col min="14092" max="14092" width="0.5" style="255" customWidth="1"/>
    <col min="14093" max="14093" width="25.25" style="255"/>
    <col min="14094" max="14094" width="0.5" style="255" customWidth="1"/>
    <col min="14095" max="14095" width="25.25" style="255"/>
    <col min="14096" max="14096" width="14.75" style="255" customWidth="1"/>
    <col min="14097" max="14097" width="11.5" style="255" customWidth="1"/>
    <col min="14098" max="14098" width="11.25" style="255" customWidth="1"/>
    <col min="14099" max="14099" width="10.75" style="255" customWidth="1"/>
    <col min="14100" max="14100" width="10" style="255" customWidth="1"/>
    <col min="14101" max="14101" width="9.875" style="255" customWidth="1"/>
    <col min="14102" max="14102" width="26.125" style="255" customWidth="1"/>
    <col min="14103" max="14103" width="11.125" style="255" customWidth="1"/>
    <col min="14104" max="14104" width="7.875" style="255" customWidth="1"/>
    <col min="14105" max="14105" width="7.25" style="255" customWidth="1"/>
    <col min="14106" max="14106" width="9.125" style="255" customWidth="1"/>
    <col min="14107" max="14107" width="15.125" style="255" customWidth="1"/>
    <col min="14108" max="14108" width="7.75" style="255" customWidth="1"/>
    <col min="14109" max="14109" width="7.125" style="255" customWidth="1"/>
    <col min="14110" max="14110" width="12.125" style="255" customWidth="1"/>
    <col min="14111" max="14111" width="8.25" style="255" customWidth="1"/>
    <col min="14112" max="14113" width="10.375" style="255" customWidth="1"/>
    <col min="14114" max="14114" width="15.625" style="255" customWidth="1"/>
    <col min="14115" max="14115" width="15.875" style="255" customWidth="1"/>
    <col min="14116" max="14116" width="8.125" style="255" customWidth="1"/>
    <col min="14117" max="14120" width="10.375" style="255" customWidth="1"/>
    <col min="14121" max="14121" width="7.25" style="255" customWidth="1"/>
    <col min="14122" max="14122" width="7.125" style="255" customWidth="1"/>
    <col min="14123" max="14123" width="9.5" style="255" customWidth="1"/>
    <col min="14124" max="14125" width="9" style="255" customWidth="1"/>
    <col min="14126" max="14126" width="16.125" style="255" customWidth="1"/>
    <col min="14127" max="14157" width="9" style="255" customWidth="1"/>
    <col min="14158" max="14317" width="25.25" style="255"/>
    <col min="14318" max="14347" width="9" style="255" customWidth="1"/>
    <col min="14348" max="14348" width="0.5" style="255" customWidth="1"/>
    <col min="14349" max="14349" width="25.25" style="255"/>
    <col min="14350" max="14350" width="0.5" style="255" customWidth="1"/>
    <col min="14351" max="14351" width="25.25" style="255"/>
    <col min="14352" max="14352" width="14.75" style="255" customWidth="1"/>
    <col min="14353" max="14353" width="11.5" style="255" customWidth="1"/>
    <col min="14354" max="14354" width="11.25" style="255" customWidth="1"/>
    <col min="14355" max="14355" width="10.75" style="255" customWidth="1"/>
    <col min="14356" max="14356" width="10" style="255" customWidth="1"/>
    <col min="14357" max="14357" width="9.875" style="255" customWidth="1"/>
    <col min="14358" max="14358" width="26.125" style="255" customWidth="1"/>
    <col min="14359" max="14359" width="11.125" style="255" customWidth="1"/>
    <col min="14360" max="14360" width="7.875" style="255" customWidth="1"/>
    <col min="14361" max="14361" width="7.25" style="255" customWidth="1"/>
    <col min="14362" max="14362" width="9.125" style="255" customWidth="1"/>
    <col min="14363" max="14363" width="15.125" style="255" customWidth="1"/>
    <col min="14364" max="14364" width="7.75" style="255" customWidth="1"/>
    <col min="14365" max="14365" width="7.125" style="255" customWidth="1"/>
    <col min="14366" max="14366" width="12.125" style="255" customWidth="1"/>
    <col min="14367" max="14367" width="8.25" style="255" customWidth="1"/>
    <col min="14368" max="14369" width="10.375" style="255" customWidth="1"/>
    <col min="14370" max="14370" width="15.625" style="255" customWidth="1"/>
    <col min="14371" max="14371" width="15.875" style="255" customWidth="1"/>
    <col min="14372" max="14372" width="8.125" style="255" customWidth="1"/>
    <col min="14373" max="14376" width="10.375" style="255" customWidth="1"/>
    <col min="14377" max="14377" width="7.25" style="255" customWidth="1"/>
    <col min="14378" max="14378" width="7.125" style="255" customWidth="1"/>
    <col min="14379" max="14379" width="9.5" style="255" customWidth="1"/>
    <col min="14380" max="14381" width="9" style="255" customWidth="1"/>
    <col min="14382" max="14382" width="16.125" style="255" customWidth="1"/>
    <col min="14383" max="14413" width="9" style="255" customWidth="1"/>
    <col min="14414" max="14573" width="25.25" style="255"/>
    <col min="14574" max="14603" width="9" style="255" customWidth="1"/>
    <col min="14604" max="14604" width="0.5" style="255" customWidth="1"/>
    <col min="14605" max="14605" width="25.25" style="255"/>
    <col min="14606" max="14606" width="0.5" style="255" customWidth="1"/>
    <col min="14607" max="14607" width="25.25" style="255"/>
    <col min="14608" max="14608" width="14.75" style="255" customWidth="1"/>
    <col min="14609" max="14609" width="11.5" style="255" customWidth="1"/>
    <col min="14610" max="14610" width="11.25" style="255" customWidth="1"/>
    <col min="14611" max="14611" width="10.75" style="255" customWidth="1"/>
    <col min="14612" max="14612" width="10" style="255" customWidth="1"/>
    <col min="14613" max="14613" width="9.875" style="255" customWidth="1"/>
    <col min="14614" max="14614" width="26.125" style="255" customWidth="1"/>
    <col min="14615" max="14615" width="11.125" style="255" customWidth="1"/>
    <col min="14616" max="14616" width="7.875" style="255" customWidth="1"/>
    <col min="14617" max="14617" width="7.25" style="255" customWidth="1"/>
    <col min="14618" max="14618" width="9.125" style="255" customWidth="1"/>
    <col min="14619" max="14619" width="15.125" style="255" customWidth="1"/>
    <col min="14620" max="14620" width="7.75" style="255" customWidth="1"/>
    <col min="14621" max="14621" width="7.125" style="255" customWidth="1"/>
    <col min="14622" max="14622" width="12.125" style="255" customWidth="1"/>
    <col min="14623" max="14623" width="8.25" style="255" customWidth="1"/>
    <col min="14624" max="14625" width="10.375" style="255" customWidth="1"/>
    <col min="14626" max="14626" width="15.625" style="255" customWidth="1"/>
    <col min="14627" max="14627" width="15.875" style="255" customWidth="1"/>
    <col min="14628" max="14628" width="8.125" style="255" customWidth="1"/>
    <col min="14629" max="14632" width="10.375" style="255" customWidth="1"/>
    <col min="14633" max="14633" width="7.25" style="255" customWidth="1"/>
    <col min="14634" max="14634" width="7.125" style="255" customWidth="1"/>
    <col min="14635" max="14635" width="9.5" style="255" customWidth="1"/>
    <col min="14636" max="14637" width="9" style="255" customWidth="1"/>
    <col min="14638" max="14638" width="16.125" style="255" customWidth="1"/>
    <col min="14639" max="14669" width="9" style="255" customWidth="1"/>
    <col min="14670" max="14829" width="25.25" style="255"/>
    <col min="14830" max="14859" width="9" style="255" customWidth="1"/>
    <col min="14860" max="14860" width="0.5" style="255" customWidth="1"/>
    <col min="14861" max="14861" width="25.25" style="255"/>
    <col min="14862" max="14862" width="0.5" style="255" customWidth="1"/>
    <col min="14863" max="14863" width="25.25" style="255"/>
    <col min="14864" max="14864" width="14.75" style="255" customWidth="1"/>
    <col min="14865" max="14865" width="11.5" style="255" customWidth="1"/>
    <col min="14866" max="14866" width="11.25" style="255" customWidth="1"/>
    <col min="14867" max="14867" width="10.75" style="255" customWidth="1"/>
    <col min="14868" max="14868" width="10" style="255" customWidth="1"/>
    <col min="14869" max="14869" width="9.875" style="255" customWidth="1"/>
    <col min="14870" max="14870" width="26.125" style="255" customWidth="1"/>
    <col min="14871" max="14871" width="11.125" style="255" customWidth="1"/>
    <col min="14872" max="14872" width="7.875" style="255" customWidth="1"/>
    <col min="14873" max="14873" width="7.25" style="255" customWidth="1"/>
    <col min="14874" max="14874" width="9.125" style="255" customWidth="1"/>
    <col min="14875" max="14875" width="15.125" style="255" customWidth="1"/>
    <col min="14876" max="14876" width="7.75" style="255" customWidth="1"/>
    <col min="14877" max="14877" width="7.125" style="255" customWidth="1"/>
    <col min="14878" max="14878" width="12.125" style="255" customWidth="1"/>
    <col min="14879" max="14879" width="8.25" style="255" customWidth="1"/>
    <col min="14880" max="14881" width="10.375" style="255" customWidth="1"/>
    <col min="14882" max="14882" width="15.625" style="255" customWidth="1"/>
    <col min="14883" max="14883" width="15.875" style="255" customWidth="1"/>
    <col min="14884" max="14884" width="8.125" style="255" customWidth="1"/>
    <col min="14885" max="14888" width="10.375" style="255" customWidth="1"/>
    <col min="14889" max="14889" width="7.25" style="255" customWidth="1"/>
    <col min="14890" max="14890" width="7.125" style="255" customWidth="1"/>
    <col min="14891" max="14891" width="9.5" style="255" customWidth="1"/>
    <col min="14892" max="14893" width="9" style="255" customWidth="1"/>
    <col min="14894" max="14894" width="16.125" style="255" customWidth="1"/>
    <col min="14895" max="14925" width="9" style="255" customWidth="1"/>
    <col min="14926" max="15085" width="25.25" style="255"/>
    <col min="15086" max="15115" width="9" style="255" customWidth="1"/>
    <col min="15116" max="15116" width="0.5" style="255" customWidth="1"/>
    <col min="15117" max="15117" width="25.25" style="255"/>
    <col min="15118" max="15118" width="0.5" style="255" customWidth="1"/>
    <col min="15119" max="15119" width="25.25" style="255"/>
    <col min="15120" max="15120" width="14.75" style="255" customWidth="1"/>
    <col min="15121" max="15121" width="11.5" style="255" customWidth="1"/>
    <col min="15122" max="15122" width="11.25" style="255" customWidth="1"/>
    <col min="15123" max="15123" width="10.75" style="255" customWidth="1"/>
    <col min="15124" max="15124" width="10" style="255" customWidth="1"/>
    <col min="15125" max="15125" width="9.875" style="255" customWidth="1"/>
    <col min="15126" max="15126" width="26.125" style="255" customWidth="1"/>
    <col min="15127" max="15127" width="11.125" style="255" customWidth="1"/>
    <col min="15128" max="15128" width="7.875" style="255" customWidth="1"/>
    <col min="15129" max="15129" width="7.25" style="255" customWidth="1"/>
    <col min="15130" max="15130" width="9.125" style="255" customWidth="1"/>
    <col min="15131" max="15131" width="15.125" style="255" customWidth="1"/>
    <col min="15132" max="15132" width="7.75" style="255" customWidth="1"/>
    <col min="15133" max="15133" width="7.125" style="255" customWidth="1"/>
    <col min="15134" max="15134" width="12.125" style="255" customWidth="1"/>
    <col min="15135" max="15135" width="8.25" style="255" customWidth="1"/>
    <col min="15136" max="15137" width="10.375" style="255" customWidth="1"/>
    <col min="15138" max="15138" width="15.625" style="255" customWidth="1"/>
    <col min="15139" max="15139" width="15.875" style="255" customWidth="1"/>
    <col min="15140" max="15140" width="8.125" style="255" customWidth="1"/>
    <col min="15141" max="15144" width="10.375" style="255" customWidth="1"/>
    <col min="15145" max="15145" width="7.25" style="255" customWidth="1"/>
    <col min="15146" max="15146" width="7.125" style="255" customWidth="1"/>
    <col min="15147" max="15147" width="9.5" style="255" customWidth="1"/>
    <col min="15148" max="15149" width="9" style="255" customWidth="1"/>
    <col min="15150" max="15150" width="16.125" style="255" customWidth="1"/>
    <col min="15151" max="15181" width="9" style="255" customWidth="1"/>
    <col min="15182" max="15341" width="25.25" style="255"/>
    <col min="15342" max="15371" width="9" style="255" customWidth="1"/>
    <col min="15372" max="15372" width="0.5" style="255" customWidth="1"/>
    <col min="15373" max="15373" width="25.25" style="255"/>
    <col min="15374" max="15374" width="0.5" style="255" customWidth="1"/>
    <col min="15375" max="15375" width="25.25" style="255"/>
    <col min="15376" max="15376" width="14.75" style="255" customWidth="1"/>
    <col min="15377" max="15377" width="11.5" style="255" customWidth="1"/>
    <col min="15378" max="15378" width="11.25" style="255" customWidth="1"/>
    <col min="15379" max="15379" width="10.75" style="255" customWidth="1"/>
    <col min="15380" max="15380" width="10" style="255" customWidth="1"/>
    <col min="15381" max="15381" width="9.875" style="255" customWidth="1"/>
    <col min="15382" max="15382" width="26.125" style="255" customWidth="1"/>
    <col min="15383" max="15383" width="11.125" style="255" customWidth="1"/>
    <col min="15384" max="15384" width="7.875" style="255" customWidth="1"/>
    <col min="15385" max="15385" width="7.25" style="255" customWidth="1"/>
    <col min="15386" max="15386" width="9.125" style="255" customWidth="1"/>
    <col min="15387" max="15387" width="15.125" style="255" customWidth="1"/>
    <col min="15388" max="15388" width="7.75" style="255" customWidth="1"/>
    <col min="15389" max="15389" width="7.125" style="255" customWidth="1"/>
    <col min="15390" max="15390" width="12.125" style="255" customWidth="1"/>
    <col min="15391" max="15391" width="8.25" style="255" customWidth="1"/>
    <col min="15392" max="15393" width="10.375" style="255" customWidth="1"/>
    <col min="15394" max="15394" width="15.625" style="255" customWidth="1"/>
    <col min="15395" max="15395" width="15.875" style="255" customWidth="1"/>
    <col min="15396" max="15396" width="8.125" style="255" customWidth="1"/>
    <col min="15397" max="15400" width="10.375" style="255" customWidth="1"/>
    <col min="15401" max="15401" width="7.25" style="255" customWidth="1"/>
    <col min="15402" max="15402" width="7.125" style="255" customWidth="1"/>
    <col min="15403" max="15403" width="9.5" style="255" customWidth="1"/>
    <col min="15404" max="15405" width="9" style="255" customWidth="1"/>
    <col min="15406" max="15406" width="16.125" style="255" customWidth="1"/>
    <col min="15407" max="15437" width="9" style="255" customWidth="1"/>
    <col min="15438" max="15597" width="25.25" style="255"/>
    <col min="15598" max="15627" width="9" style="255" customWidth="1"/>
    <col min="15628" max="15628" width="0.5" style="255" customWidth="1"/>
    <col min="15629" max="15629" width="25.25" style="255"/>
    <col min="15630" max="15630" width="0.5" style="255" customWidth="1"/>
    <col min="15631" max="15631" width="25.25" style="255"/>
    <col min="15632" max="15632" width="14.75" style="255" customWidth="1"/>
    <col min="15633" max="15633" width="11.5" style="255" customWidth="1"/>
    <col min="15634" max="15634" width="11.25" style="255" customWidth="1"/>
    <col min="15635" max="15635" width="10.75" style="255" customWidth="1"/>
    <col min="15636" max="15636" width="10" style="255" customWidth="1"/>
    <col min="15637" max="15637" width="9.875" style="255" customWidth="1"/>
    <col min="15638" max="15638" width="26.125" style="255" customWidth="1"/>
    <col min="15639" max="15639" width="11.125" style="255" customWidth="1"/>
    <col min="15640" max="15640" width="7.875" style="255" customWidth="1"/>
    <col min="15641" max="15641" width="7.25" style="255" customWidth="1"/>
    <col min="15642" max="15642" width="9.125" style="255" customWidth="1"/>
    <col min="15643" max="15643" width="15.125" style="255" customWidth="1"/>
    <col min="15644" max="15644" width="7.75" style="255" customWidth="1"/>
    <col min="15645" max="15645" width="7.125" style="255" customWidth="1"/>
    <col min="15646" max="15646" width="12.125" style="255" customWidth="1"/>
    <col min="15647" max="15647" width="8.25" style="255" customWidth="1"/>
    <col min="15648" max="15649" width="10.375" style="255" customWidth="1"/>
    <col min="15650" max="15650" width="15.625" style="255" customWidth="1"/>
    <col min="15651" max="15651" width="15.875" style="255" customWidth="1"/>
    <col min="15652" max="15652" width="8.125" style="255" customWidth="1"/>
    <col min="15653" max="15656" width="10.375" style="255" customWidth="1"/>
    <col min="15657" max="15657" width="7.25" style="255" customWidth="1"/>
    <col min="15658" max="15658" width="7.125" style="255" customWidth="1"/>
    <col min="15659" max="15659" width="9.5" style="255" customWidth="1"/>
    <col min="15660" max="15661" width="9" style="255" customWidth="1"/>
    <col min="15662" max="15662" width="16.125" style="255" customWidth="1"/>
    <col min="15663" max="15693" width="9" style="255" customWidth="1"/>
    <col min="15694" max="15853" width="25.25" style="255"/>
    <col min="15854" max="15883" width="9" style="255" customWidth="1"/>
    <col min="15884" max="15884" width="0.5" style="255" customWidth="1"/>
    <col min="15885" max="15885" width="25.25" style="255"/>
    <col min="15886" max="15886" width="0.5" style="255" customWidth="1"/>
    <col min="15887" max="15887" width="25.25" style="255"/>
    <col min="15888" max="15888" width="14.75" style="255" customWidth="1"/>
    <col min="15889" max="15889" width="11.5" style="255" customWidth="1"/>
    <col min="15890" max="15890" width="11.25" style="255" customWidth="1"/>
    <col min="15891" max="15891" width="10.75" style="255" customWidth="1"/>
    <col min="15892" max="15892" width="10" style="255" customWidth="1"/>
    <col min="15893" max="15893" width="9.875" style="255" customWidth="1"/>
    <col min="15894" max="15894" width="26.125" style="255" customWidth="1"/>
    <col min="15895" max="15895" width="11.125" style="255" customWidth="1"/>
    <col min="15896" max="15896" width="7.875" style="255" customWidth="1"/>
    <col min="15897" max="15897" width="7.25" style="255" customWidth="1"/>
    <col min="15898" max="15898" width="9.125" style="255" customWidth="1"/>
    <col min="15899" max="15899" width="15.125" style="255" customWidth="1"/>
    <col min="15900" max="15900" width="7.75" style="255" customWidth="1"/>
    <col min="15901" max="15901" width="7.125" style="255" customWidth="1"/>
    <col min="15902" max="15902" width="12.125" style="255" customWidth="1"/>
    <col min="15903" max="15903" width="8.25" style="255" customWidth="1"/>
    <col min="15904" max="15905" width="10.375" style="255" customWidth="1"/>
    <col min="15906" max="15906" width="15.625" style="255" customWidth="1"/>
    <col min="15907" max="15907" width="15.875" style="255" customWidth="1"/>
    <col min="15908" max="15908" width="8.125" style="255" customWidth="1"/>
    <col min="15909" max="15912" width="10.375" style="255" customWidth="1"/>
    <col min="15913" max="15913" width="7.25" style="255" customWidth="1"/>
    <col min="15914" max="15914" width="7.125" style="255" customWidth="1"/>
    <col min="15915" max="15915" width="9.5" style="255" customWidth="1"/>
    <col min="15916" max="15917" width="9" style="255" customWidth="1"/>
    <col min="15918" max="15918" width="16.125" style="255" customWidth="1"/>
    <col min="15919" max="15949" width="9" style="255" customWidth="1"/>
    <col min="15950" max="16109" width="25.25" style="255"/>
    <col min="16110" max="16139" width="9" style="255" customWidth="1"/>
    <col min="16140" max="16140" width="0.5" style="255" customWidth="1"/>
    <col min="16141" max="16384" width="25.25" style="255"/>
  </cols>
  <sheetData>
    <row r="1" spans="1:16" ht="14.25" thickBot="1"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1"/>
      <c r="O1" s="1"/>
      <c r="P1" s="1"/>
    </row>
    <row r="2" spans="1:16" ht="18" customHeight="1">
      <c r="A2" s="5"/>
      <c r="B2" s="6" t="s">
        <v>402</v>
      </c>
      <c r="C2" s="254"/>
      <c r="D2" s="254" t="s">
        <v>9</v>
      </c>
      <c r="E2" s="254" t="s">
        <v>10</v>
      </c>
      <c r="F2" s="661" t="s">
        <v>11</v>
      </c>
      <c r="G2" s="661"/>
      <c r="H2" s="661"/>
      <c r="I2" s="662" t="s">
        <v>12</v>
      </c>
      <c r="J2" s="664" t="s">
        <v>13</v>
      </c>
      <c r="K2" s="665"/>
      <c r="L2" s="665"/>
      <c r="M2" s="666"/>
      <c r="N2" s="8"/>
      <c r="O2" s="8"/>
      <c r="P2" s="8"/>
    </row>
    <row r="3" spans="1:16" ht="18" customHeight="1">
      <c r="B3" s="9" t="s">
        <v>14</v>
      </c>
      <c r="C3" s="10" t="s">
        <v>15</v>
      </c>
      <c r="D3" s="10" t="s">
        <v>16</v>
      </c>
      <c r="E3" s="10" t="s">
        <v>17</v>
      </c>
      <c r="F3" s="10" t="s">
        <v>7</v>
      </c>
      <c r="G3" s="10" t="s">
        <v>5</v>
      </c>
      <c r="H3" s="10" t="s">
        <v>18</v>
      </c>
      <c r="I3" s="663"/>
      <c r="J3" s="11" t="s">
        <v>19</v>
      </c>
      <c r="K3" s="12" t="s">
        <v>20</v>
      </c>
      <c r="L3" s="12" t="s">
        <v>21</v>
      </c>
      <c r="M3" s="13" t="s">
        <v>22</v>
      </c>
      <c r="N3" s="14"/>
      <c r="P3" s="15"/>
    </row>
    <row r="4" spans="1:16" ht="18" customHeight="1">
      <c r="B4" s="667" t="str">
        <f ca="1">MID(CELL("filename",Q13),FIND("]",CELL("filename",Q13))+1,30)</f>
        <v>C1014</v>
      </c>
      <c r="C4" s="17" t="s">
        <v>23</v>
      </c>
      <c r="D4" s="17">
        <v>1000</v>
      </c>
      <c r="E4" s="17">
        <v>1400</v>
      </c>
      <c r="F4" s="18">
        <v>1.1000000000000001</v>
      </c>
      <c r="G4" s="17">
        <v>1</v>
      </c>
      <c r="H4" s="17">
        <f>F4*G4</f>
        <v>1.1000000000000001</v>
      </c>
      <c r="I4" s="663"/>
      <c r="J4" s="19">
        <v>40</v>
      </c>
      <c r="K4" s="20">
        <v>20</v>
      </c>
      <c r="L4" s="21">
        <v>1.5</v>
      </c>
      <c r="M4" s="22">
        <f t="shared" ref="M4:M11" si="0">ROUND(((J4*K4)-(J4-2*L4)*(K4-2*L4))*7.8/1000,3)</f>
        <v>1.3340000000000001</v>
      </c>
    </row>
    <row r="5" spans="1:16" ht="18" customHeight="1">
      <c r="B5" s="668"/>
      <c r="C5" s="221" t="s">
        <v>299</v>
      </c>
      <c r="D5" s="221">
        <f>D4-70</f>
        <v>930</v>
      </c>
      <c r="E5" s="221">
        <f>E4-70</f>
        <v>1330</v>
      </c>
      <c r="F5" s="222">
        <f>D5*E5/10^6</f>
        <v>1.2369000000000001</v>
      </c>
      <c r="G5" s="221">
        <v>1</v>
      </c>
      <c r="H5" s="222">
        <f>F5*G5</f>
        <v>1.2369000000000001</v>
      </c>
      <c r="I5" s="663"/>
      <c r="J5" s="19">
        <v>40</v>
      </c>
      <c r="K5" s="20">
        <v>20</v>
      </c>
      <c r="L5" s="21">
        <v>2</v>
      </c>
      <c r="M5" s="22">
        <f t="shared" si="0"/>
        <v>1.7470000000000001</v>
      </c>
    </row>
    <row r="6" spans="1:16" ht="18" customHeight="1">
      <c r="B6" s="669"/>
      <c r="C6" s="17" t="s">
        <v>24</v>
      </c>
      <c r="D6" s="17">
        <f>D4-80</f>
        <v>920</v>
      </c>
      <c r="E6" s="17">
        <f>E4-80</f>
        <v>1320</v>
      </c>
      <c r="F6" s="18">
        <f>D6*E6/10^6</f>
        <v>1.2143999999999999</v>
      </c>
      <c r="G6" s="17">
        <v>1</v>
      </c>
      <c r="H6" s="18">
        <f>F6*G6</f>
        <v>1.2143999999999999</v>
      </c>
      <c r="I6" s="663"/>
      <c r="J6" s="19">
        <v>40</v>
      </c>
      <c r="K6" s="20">
        <v>20</v>
      </c>
      <c r="L6" s="21">
        <v>2</v>
      </c>
      <c r="M6" s="22">
        <f t="shared" si="0"/>
        <v>1.7470000000000001</v>
      </c>
    </row>
    <row r="7" spans="1:16" ht="18" customHeight="1">
      <c r="B7" s="23" t="s">
        <v>25</v>
      </c>
      <c r="C7" s="252" t="s">
        <v>16</v>
      </c>
      <c r="D7" s="252" t="s">
        <v>26</v>
      </c>
      <c r="E7" s="252" t="s">
        <v>17</v>
      </c>
      <c r="F7" s="252" t="s">
        <v>27</v>
      </c>
      <c r="G7" s="252" t="s">
        <v>22</v>
      </c>
      <c r="H7" s="252" t="s">
        <v>28</v>
      </c>
      <c r="I7" s="25" t="s">
        <v>29</v>
      </c>
      <c r="J7" s="19">
        <v>80</v>
      </c>
      <c r="K7" s="20">
        <v>40</v>
      </c>
      <c r="L7" s="21">
        <v>2</v>
      </c>
      <c r="M7" s="22">
        <f t="shared" si="0"/>
        <v>3.6190000000000002</v>
      </c>
    </row>
    <row r="8" spans="1:16" ht="18" customHeight="1">
      <c r="B8" s="251" t="s">
        <v>30</v>
      </c>
      <c r="C8" s="27">
        <f>D4-30</f>
        <v>970</v>
      </c>
      <c r="D8" s="27">
        <v>2</v>
      </c>
      <c r="E8" s="27">
        <f>E4-30</f>
        <v>1370</v>
      </c>
      <c r="F8" s="27">
        <v>2</v>
      </c>
      <c r="G8" s="28">
        <v>1.7470000000000001</v>
      </c>
      <c r="H8" s="29">
        <f>材料价格!B3</f>
        <v>7.5</v>
      </c>
      <c r="I8" s="30">
        <f>ROUND((C8*D8+E8*F8)*G8*H8/1000*1.1,2)</f>
        <v>67.45</v>
      </c>
      <c r="J8" s="19">
        <v>40</v>
      </c>
      <c r="K8" s="20">
        <v>20</v>
      </c>
      <c r="L8" s="21">
        <v>1.4</v>
      </c>
      <c r="M8" s="22">
        <f>ROUND(((J8*K8)-(J8-2*L8)*(K8-2*L8))*2.71/1000,3)</f>
        <v>0.434</v>
      </c>
    </row>
    <row r="9" spans="1:16" ht="18" customHeight="1">
      <c r="B9" s="251" t="s">
        <v>30</v>
      </c>
      <c r="C9" s="250"/>
      <c r="D9" s="250"/>
      <c r="E9" s="250"/>
      <c r="F9" s="250"/>
      <c r="G9" s="28">
        <v>1.7470000000000001</v>
      </c>
      <c r="H9" s="32">
        <f>H8</f>
        <v>7.5</v>
      </c>
      <c r="I9" s="30">
        <f>ROUND((C9*D9+E9*F9)*G9*H9/1000*1.1,2)</f>
        <v>0</v>
      </c>
      <c r="J9" s="19"/>
      <c r="K9" s="20"/>
      <c r="L9" s="21"/>
      <c r="M9" s="22">
        <f t="shared" si="0"/>
        <v>0</v>
      </c>
    </row>
    <row r="10" spans="1:16" ht="18" customHeight="1">
      <c r="B10" s="251" t="s">
        <v>31</v>
      </c>
      <c r="C10" s="250"/>
      <c r="D10" s="250"/>
      <c r="E10" s="250"/>
      <c r="F10" s="250"/>
      <c r="G10" s="28">
        <v>3.6190000000000002</v>
      </c>
      <c r="H10" s="32">
        <f>H9</f>
        <v>7.5</v>
      </c>
      <c r="I10" s="30">
        <f>ROUND((C10*D10+E10*F10)*G10*H10/1000*1.1,2)</f>
        <v>0</v>
      </c>
      <c r="J10" s="19"/>
      <c r="K10" s="20"/>
      <c r="L10" s="12"/>
      <c r="M10" s="22">
        <f t="shared" si="0"/>
        <v>0</v>
      </c>
    </row>
    <row r="11" spans="1:16" ht="18" customHeight="1" thickBot="1">
      <c r="B11" s="251" t="s">
        <v>32</v>
      </c>
      <c r="C11" s="250"/>
      <c r="D11" s="250"/>
      <c r="E11" s="250"/>
      <c r="F11" s="250"/>
      <c r="G11" s="28">
        <v>2.9950000000000001</v>
      </c>
      <c r="H11" s="32">
        <f>H10</f>
        <v>7.5</v>
      </c>
      <c r="I11" s="30">
        <f>ROUND((C11*D11+E11*F11)*G11*H11/1000*1.1,2)</f>
        <v>0</v>
      </c>
      <c r="J11" s="33"/>
      <c r="K11" s="34"/>
      <c r="L11" s="35"/>
      <c r="M11" s="36">
        <f t="shared" si="0"/>
        <v>0</v>
      </c>
    </row>
    <row r="12" spans="1:16" ht="18" customHeight="1">
      <c r="B12" s="37" t="s">
        <v>33</v>
      </c>
      <c r="C12" s="38">
        <f>((I9+I10+I8+I11)/H8)/F4</f>
        <v>8.1757575757575758</v>
      </c>
      <c r="D12" s="39" t="s">
        <v>34</v>
      </c>
      <c r="E12" s="38">
        <f>(I9+I10+I8+I11)/F4</f>
        <v>61.318181818181813</v>
      </c>
      <c r="F12" s="40" t="s">
        <v>35</v>
      </c>
      <c r="G12" s="39"/>
      <c r="H12" s="39">
        <f>ROUND(SUM(I8:I11)/H8,2)</f>
        <v>8.99</v>
      </c>
      <c r="I12" s="41">
        <f>SUM(I8:I11)</f>
        <v>67.45</v>
      </c>
      <c r="J12" s="42"/>
    </row>
    <row r="13" spans="1:16" ht="18" customHeight="1">
      <c r="B13" s="23" t="s">
        <v>36</v>
      </c>
      <c r="C13" s="252" t="s">
        <v>14</v>
      </c>
      <c r="D13" s="252" t="s">
        <v>37</v>
      </c>
      <c r="E13" s="252" t="s">
        <v>38</v>
      </c>
      <c r="F13" s="252" t="s">
        <v>39</v>
      </c>
      <c r="G13" s="252" t="s">
        <v>8</v>
      </c>
      <c r="H13" s="252" t="s">
        <v>22</v>
      </c>
      <c r="I13" s="25" t="s">
        <v>40</v>
      </c>
    </row>
    <row r="14" spans="1:16" ht="18" customHeight="1">
      <c r="B14" s="648" t="s">
        <v>41</v>
      </c>
      <c r="C14" s="649" t="s">
        <v>404</v>
      </c>
      <c r="D14" s="250">
        <f>D6</f>
        <v>920</v>
      </c>
      <c r="E14" s="250">
        <f>E6</f>
        <v>1320</v>
      </c>
      <c r="F14" s="44">
        <f>ROUND((D14+E14)*2/1000,4)</f>
        <v>4.4800000000000004</v>
      </c>
      <c r="G14" s="250">
        <v>1</v>
      </c>
      <c r="H14" s="250">
        <v>1.47</v>
      </c>
      <c r="I14" s="284">
        <f>ROUND(F14*G14*H14,3)*3</f>
        <v>19.758000000000003</v>
      </c>
      <c r="J14" s="42"/>
      <c r="K14" s="46"/>
      <c r="L14" s="46"/>
      <c r="M14" s="42"/>
    </row>
    <row r="15" spans="1:16" ht="18" customHeight="1">
      <c r="B15" s="648"/>
      <c r="C15" s="650"/>
      <c r="D15" s="250"/>
      <c r="E15" s="250"/>
      <c r="F15" s="44">
        <f t="shared" ref="F15:F21" si="1">ROUND((D15+E15)*2/1000,4)</f>
        <v>0</v>
      </c>
      <c r="G15" s="250"/>
      <c r="H15" s="250">
        <f t="shared" ref="H15:H21" si="2">H14</f>
        <v>1.47</v>
      </c>
      <c r="I15" s="247">
        <f t="shared" ref="I15:I21" si="3">ROUND(F15*G15*H15,3)</f>
        <v>0</v>
      </c>
      <c r="K15" s="47"/>
      <c r="M15" s="255"/>
    </row>
    <row r="16" spans="1:16" ht="18" customHeight="1">
      <c r="B16" s="648"/>
      <c r="C16" s="650"/>
      <c r="D16" s="250"/>
      <c r="E16" s="250"/>
      <c r="F16" s="44">
        <f t="shared" si="1"/>
        <v>0</v>
      </c>
      <c r="G16" s="250"/>
      <c r="H16" s="250">
        <f t="shared" si="2"/>
        <v>1.47</v>
      </c>
      <c r="I16" s="247">
        <f t="shared" si="3"/>
        <v>0</v>
      </c>
      <c r="K16" s="47"/>
      <c r="L16" s="46"/>
      <c r="M16" s="42"/>
    </row>
    <row r="17" spans="2:15" ht="18" customHeight="1">
      <c r="B17" s="648"/>
      <c r="C17" s="650"/>
      <c r="D17" s="250"/>
      <c r="E17" s="250"/>
      <c r="F17" s="44">
        <f t="shared" si="1"/>
        <v>0</v>
      </c>
      <c r="G17" s="250"/>
      <c r="H17" s="250">
        <f t="shared" si="2"/>
        <v>1.47</v>
      </c>
      <c r="I17" s="247">
        <f t="shared" si="3"/>
        <v>0</v>
      </c>
      <c r="K17" s="47"/>
      <c r="M17" s="42"/>
    </row>
    <row r="18" spans="2:15" ht="18" customHeight="1">
      <c r="B18" s="648"/>
      <c r="C18" s="650"/>
      <c r="D18" s="250"/>
      <c r="E18" s="250"/>
      <c r="F18" s="44">
        <f t="shared" si="1"/>
        <v>0</v>
      </c>
      <c r="G18" s="250"/>
      <c r="H18" s="250">
        <f t="shared" si="2"/>
        <v>1.47</v>
      </c>
      <c r="I18" s="247">
        <f t="shared" si="3"/>
        <v>0</v>
      </c>
      <c r="M18" s="42"/>
    </row>
    <row r="19" spans="2:15" ht="18" customHeight="1">
      <c r="B19" s="648"/>
      <c r="C19" s="650"/>
      <c r="D19" s="250"/>
      <c r="E19" s="250"/>
      <c r="F19" s="44">
        <f t="shared" si="1"/>
        <v>0</v>
      </c>
      <c r="G19" s="250"/>
      <c r="H19" s="250">
        <f t="shared" si="2"/>
        <v>1.47</v>
      </c>
      <c r="I19" s="247">
        <f t="shared" si="3"/>
        <v>0</v>
      </c>
      <c r="M19" s="42"/>
    </row>
    <row r="20" spans="2:15" ht="18" customHeight="1">
      <c r="B20" s="648"/>
      <c r="C20" s="650"/>
      <c r="D20" s="250"/>
      <c r="E20" s="250"/>
      <c r="F20" s="44">
        <f t="shared" si="1"/>
        <v>0</v>
      </c>
      <c r="G20" s="250"/>
      <c r="H20" s="250">
        <f t="shared" si="2"/>
        <v>1.47</v>
      </c>
      <c r="I20" s="247">
        <f t="shared" si="3"/>
        <v>0</v>
      </c>
      <c r="K20" s="47"/>
      <c r="M20" s="42"/>
    </row>
    <row r="21" spans="2:15" ht="18" customHeight="1">
      <c r="B21" s="648"/>
      <c r="C21" s="651"/>
      <c r="D21" s="250"/>
      <c r="E21" s="250"/>
      <c r="F21" s="44">
        <f t="shared" si="1"/>
        <v>0</v>
      </c>
      <c r="G21" s="250"/>
      <c r="H21" s="250">
        <f t="shared" si="2"/>
        <v>1.47</v>
      </c>
      <c r="I21" s="247">
        <f t="shared" si="3"/>
        <v>0</v>
      </c>
    </row>
    <row r="22" spans="2:15" ht="18" customHeight="1">
      <c r="B22" s="48" t="s">
        <v>42</v>
      </c>
      <c r="C22" s="49">
        <f>SUMPRODUCT(F14:F21*G14:G21)</f>
        <v>4.4800000000000004</v>
      </c>
      <c r="D22" s="50" t="s">
        <v>43</v>
      </c>
      <c r="E22" s="49">
        <f>SUM(I14:I21)*1.1</f>
        <v>21.733800000000006</v>
      </c>
      <c r="F22" s="50" t="s">
        <v>44</v>
      </c>
      <c r="G22" s="51">
        <f>(C$218+C$219)/1000</f>
        <v>46.081499999999998</v>
      </c>
      <c r="H22" s="52" t="s">
        <v>45</v>
      </c>
      <c r="I22" s="53">
        <f>ROUND(E22*G22,2)</f>
        <v>1001.53</v>
      </c>
      <c r="J22" s="243">
        <f>SUM(G14:G21)</f>
        <v>1</v>
      </c>
    </row>
    <row r="23" spans="2:15" ht="18" customHeight="1">
      <c r="B23" s="48" t="s">
        <v>46</v>
      </c>
      <c r="C23" s="50">
        <v>207.36</v>
      </c>
      <c r="D23" s="50" t="s">
        <v>47</v>
      </c>
      <c r="E23" s="49">
        <f>ROUND(C22*(C23/1000),2)</f>
        <v>0.93</v>
      </c>
      <c r="F23" s="50" t="s">
        <v>48</v>
      </c>
      <c r="G23" s="50">
        <v>10</v>
      </c>
      <c r="H23" s="52" t="s">
        <v>49</v>
      </c>
      <c r="I23" s="53">
        <f>E23*G23</f>
        <v>9.3000000000000007</v>
      </c>
    </row>
    <row r="24" spans="2:15" ht="18" customHeight="1" thickBot="1">
      <c r="B24" s="48" t="s">
        <v>50</v>
      </c>
      <c r="C24" s="50">
        <v>169.96</v>
      </c>
      <c r="D24" s="50" t="s">
        <v>51</v>
      </c>
      <c r="E24" s="49">
        <f>ROUND(C22*(C24/1000),2)</f>
        <v>0.76</v>
      </c>
      <c r="F24" s="50" t="s">
        <v>48</v>
      </c>
      <c r="G24" s="50">
        <v>10</v>
      </c>
      <c r="H24" s="52" t="s">
        <v>49</v>
      </c>
      <c r="I24" s="53">
        <f>E24*G24</f>
        <v>7.6</v>
      </c>
    </row>
    <row r="25" spans="2:15" ht="18" customHeight="1">
      <c r="B25" s="23" t="s">
        <v>36</v>
      </c>
      <c r="C25" s="252" t="s">
        <v>14</v>
      </c>
      <c r="D25" s="252" t="s">
        <v>37</v>
      </c>
      <c r="E25" s="252" t="s">
        <v>38</v>
      </c>
      <c r="F25" s="252" t="s">
        <v>39</v>
      </c>
      <c r="G25" s="252" t="s">
        <v>8</v>
      </c>
      <c r="H25" s="252" t="s">
        <v>22</v>
      </c>
      <c r="I25" s="25" t="s">
        <v>40</v>
      </c>
      <c r="J25" s="54" t="s">
        <v>2</v>
      </c>
      <c r="K25" s="55" t="s">
        <v>3</v>
      </c>
      <c r="L25" s="55" t="s">
        <v>52</v>
      </c>
      <c r="M25" s="55" t="s">
        <v>53</v>
      </c>
      <c r="N25" s="56" t="s">
        <v>14</v>
      </c>
    </row>
    <row r="26" spans="2:15" ht="18" customHeight="1">
      <c r="B26" s="648" t="s">
        <v>54</v>
      </c>
      <c r="C26" s="649" t="s">
        <v>55</v>
      </c>
      <c r="D26" s="253">
        <f>J26-IF(L26=1,44,IF(L26=2,30,IF(L26=3,16,0)))</f>
        <v>0</v>
      </c>
      <c r="E26" s="253">
        <f>K26-IF(M26=1,44,IF(M26=2,30,IF(M26=3,16,0)))</f>
        <v>0</v>
      </c>
      <c r="F26" s="44">
        <f>ROUND((D26+E26)*2/1000,4)</f>
        <v>0</v>
      </c>
      <c r="G26" s="250"/>
      <c r="H26" s="58">
        <v>1.62</v>
      </c>
      <c r="I26" s="59">
        <f>IF(AND(D26&gt;0,E26&gt;0,F26&gt;0),F26*G26*H26,0)</f>
        <v>0</v>
      </c>
      <c r="J26" s="60"/>
      <c r="K26" s="61"/>
      <c r="L26" s="61"/>
      <c r="M26" s="61"/>
      <c r="N26" s="62" t="s">
        <v>56</v>
      </c>
      <c r="O26" s="63" t="s">
        <v>57</v>
      </c>
    </row>
    <row r="27" spans="2:15" ht="18" customHeight="1">
      <c r="B27" s="648"/>
      <c r="C27" s="650"/>
      <c r="D27" s="253">
        <f t="shared" ref="D27:E30" si="4">J27-IF(L27=1,44,IF(L27=2,30,IF(L27=3,16,0)))</f>
        <v>0</v>
      </c>
      <c r="E27" s="253">
        <f t="shared" si="4"/>
        <v>0</v>
      </c>
      <c r="F27" s="44">
        <f>ROUND((D27+E27)*2/1000,4)</f>
        <v>0</v>
      </c>
      <c r="G27" s="250"/>
      <c r="H27" s="58">
        <f>H26</f>
        <v>1.62</v>
      </c>
      <c r="I27" s="59">
        <f>IF(AND(D27&gt;0,E27&gt;0,F27&gt;0),F27*G27*H27,0)</f>
        <v>0</v>
      </c>
      <c r="J27" s="60"/>
      <c r="K27" s="61"/>
      <c r="L27" s="61"/>
      <c r="M27" s="61"/>
      <c r="N27" s="62" t="s">
        <v>58</v>
      </c>
      <c r="O27" s="63" t="s">
        <v>59</v>
      </c>
    </row>
    <row r="28" spans="2:15" ht="18" customHeight="1">
      <c r="B28" s="648"/>
      <c r="C28" s="650"/>
      <c r="D28" s="253">
        <f t="shared" si="4"/>
        <v>0</v>
      </c>
      <c r="E28" s="253">
        <f t="shared" si="4"/>
        <v>0</v>
      </c>
      <c r="F28" s="44">
        <f>ROUND((D28+E28)*2/1000,4)</f>
        <v>0</v>
      </c>
      <c r="G28" s="250"/>
      <c r="H28" s="58">
        <f>H27</f>
        <v>1.62</v>
      </c>
      <c r="I28" s="59">
        <f>IF(AND(D28&gt;0,E28&gt;0,F28&gt;0),F28*G28*H28,0)</f>
        <v>0</v>
      </c>
      <c r="J28" s="60"/>
      <c r="K28" s="61"/>
      <c r="L28" s="61"/>
      <c r="M28" s="61"/>
      <c r="N28" s="62" t="s">
        <v>60</v>
      </c>
      <c r="O28" s="63" t="s">
        <v>59</v>
      </c>
    </row>
    <row r="29" spans="2:15" ht="18" customHeight="1">
      <c r="B29" s="648"/>
      <c r="C29" s="650"/>
      <c r="D29" s="253">
        <f t="shared" si="4"/>
        <v>0</v>
      </c>
      <c r="E29" s="253">
        <f t="shared" si="4"/>
        <v>0</v>
      </c>
      <c r="F29" s="44">
        <f>ROUND((D29+E29)*2/1000,4)</f>
        <v>0</v>
      </c>
      <c r="G29" s="250"/>
      <c r="H29" s="58">
        <f>H28</f>
        <v>1.62</v>
      </c>
      <c r="I29" s="59">
        <f>IF(AND(D29&gt;0,E29&gt;0,F29&gt;0),F29*G29*H29,0)</f>
        <v>0</v>
      </c>
      <c r="J29" s="60"/>
      <c r="K29" s="61"/>
      <c r="L29" s="61"/>
      <c r="M29" s="61"/>
      <c r="N29" s="62"/>
    </row>
    <row r="30" spans="2:15" ht="18" customHeight="1" thickBot="1">
      <c r="B30" s="648"/>
      <c r="C30" s="651"/>
      <c r="D30" s="253">
        <f t="shared" si="4"/>
        <v>0</v>
      </c>
      <c r="E30" s="253">
        <f t="shared" si="4"/>
        <v>0</v>
      </c>
      <c r="F30" s="44">
        <f>ROUND((D30+E30)*2/1000,4)</f>
        <v>0</v>
      </c>
      <c r="G30" s="250"/>
      <c r="H30" s="58">
        <f>H29</f>
        <v>1.62</v>
      </c>
      <c r="I30" s="59">
        <f>IF(AND(D30&gt;0,E30&gt;0,F30&gt;0),F30*G30*H30,0)</f>
        <v>0</v>
      </c>
      <c r="J30" s="64"/>
      <c r="K30" s="65"/>
      <c r="L30" s="65"/>
      <c r="M30" s="65"/>
      <c r="N30" s="66"/>
    </row>
    <row r="31" spans="2:15" ht="18" customHeight="1">
      <c r="B31" s="48" t="s">
        <v>42</v>
      </c>
      <c r="C31" s="49">
        <f>SUMPRODUCT(F26:F30*G26:G30)</f>
        <v>0</v>
      </c>
      <c r="D31" s="50" t="s">
        <v>43</v>
      </c>
      <c r="E31" s="49">
        <f>SUM(I26:I30)*1.1</f>
        <v>0</v>
      </c>
      <c r="F31" s="50" t="s">
        <v>44</v>
      </c>
      <c r="G31" s="51">
        <f>(C$218+C$221)/1000</f>
        <v>46.081499999999998</v>
      </c>
      <c r="H31" s="52" t="s">
        <v>45</v>
      </c>
      <c r="I31" s="53">
        <f>ROUND(E31*G31,2)</f>
        <v>0</v>
      </c>
      <c r="J31" s="243">
        <f>SUM(G26:G30)</f>
        <v>0</v>
      </c>
    </row>
    <row r="32" spans="2:15" ht="18" customHeight="1">
      <c r="B32" s="48" t="s">
        <v>46</v>
      </c>
      <c r="C32" s="50">
        <v>183.32</v>
      </c>
      <c r="D32" s="50" t="s">
        <v>47</v>
      </c>
      <c r="E32" s="49">
        <f>ROUND(C31*(C32/1000),2)</f>
        <v>0</v>
      </c>
      <c r="F32" s="50" t="s">
        <v>48</v>
      </c>
      <c r="G32" s="50">
        <f>G$23</f>
        <v>10</v>
      </c>
      <c r="H32" s="52" t="s">
        <v>49</v>
      </c>
      <c r="I32" s="53">
        <f>E32*G32</f>
        <v>0</v>
      </c>
    </row>
    <row r="33" spans="2:14" ht="18" customHeight="1" thickBot="1">
      <c r="B33" s="48" t="s">
        <v>50</v>
      </c>
      <c r="C33" s="50">
        <v>257.82</v>
      </c>
      <c r="D33" s="50" t="s">
        <v>51</v>
      </c>
      <c r="E33" s="49">
        <f>ROUND(C31*(C33/1000),2)</f>
        <v>0</v>
      </c>
      <c r="F33" s="50" t="s">
        <v>48</v>
      </c>
      <c r="G33" s="50">
        <f>G$24</f>
        <v>10</v>
      </c>
      <c r="H33" s="52" t="s">
        <v>49</v>
      </c>
      <c r="I33" s="53">
        <f>E33*G33</f>
        <v>0</v>
      </c>
    </row>
    <row r="34" spans="2:14" ht="18" customHeight="1" thickBot="1">
      <c r="B34" s="67" t="s">
        <v>36</v>
      </c>
      <c r="C34" s="68" t="s">
        <v>14</v>
      </c>
      <c r="D34" s="68" t="s">
        <v>37</v>
      </c>
      <c r="E34" s="68" t="s">
        <v>38</v>
      </c>
      <c r="F34" s="68" t="s">
        <v>39</v>
      </c>
      <c r="G34" s="68" t="s">
        <v>8</v>
      </c>
      <c r="H34" s="68" t="s">
        <v>22</v>
      </c>
      <c r="I34" s="69" t="s">
        <v>40</v>
      </c>
      <c r="J34" s="54" t="s">
        <v>2</v>
      </c>
      <c r="K34" s="55" t="s">
        <v>3</v>
      </c>
      <c r="L34" s="55" t="s">
        <v>61</v>
      </c>
      <c r="M34" s="55" t="s">
        <v>62</v>
      </c>
      <c r="N34" s="70" t="s">
        <v>14</v>
      </c>
    </row>
    <row r="35" spans="2:14" ht="18" customHeight="1">
      <c r="B35" s="648" t="s">
        <v>63</v>
      </c>
      <c r="C35" s="649" t="s">
        <v>64</v>
      </c>
      <c r="D35" s="253">
        <f t="shared" ref="D35:E37" si="5">J35-IF(L35=1,44,IF(L35=2,30,IF(L35=3,16,IF(L35=11,118,IF(L35=12,100,IF(L35=13,76.8,0))))))</f>
        <v>0</v>
      </c>
      <c r="E35" s="253">
        <f t="shared" si="5"/>
        <v>0</v>
      </c>
      <c r="F35" s="250">
        <f>ROUND((D35+E35)*2/1000,4)</f>
        <v>0</v>
      </c>
      <c r="G35" s="250"/>
      <c r="H35" s="58">
        <v>1.8140000000000001</v>
      </c>
      <c r="I35" s="59">
        <f>ROUND(F35*G35*H35,3)</f>
        <v>0</v>
      </c>
      <c r="J35" s="60"/>
      <c r="K35" s="61"/>
      <c r="L35" s="61"/>
      <c r="M35" s="61"/>
      <c r="N35" s="71" t="s">
        <v>56</v>
      </c>
    </row>
    <row r="36" spans="2:14" ht="18" customHeight="1">
      <c r="B36" s="660"/>
      <c r="C36" s="650"/>
      <c r="D36" s="253">
        <f t="shared" si="5"/>
        <v>0</v>
      </c>
      <c r="E36" s="253">
        <f t="shared" si="5"/>
        <v>0</v>
      </c>
      <c r="F36" s="250">
        <f>ROUND((D36+E36)*2/1000,4)</f>
        <v>0</v>
      </c>
      <c r="G36" s="250"/>
      <c r="H36" s="58">
        <f>H35</f>
        <v>1.8140000000000001</v>
      </c>
      <c r="I36" s="59">
        <f>ROUND(F36*G36*H36,3)</f>
        <v>0</v>
      </c>
      <c r="J36" s="60"/>
      <c r="K36" s="61"/>
      <c r="L36" s="61"/>
      <c r="M36" s="61"/>
      <c r="N36" s="72" t="s">
        <v>58</v>
      </c>
    </row>
    <row r="37" spans="2:14" ht="18" customHeight="1">
      <c r="B37" s="660"/>
      <c r="C37" s="651"/>
      <c r="D37" s="253">
        <f t="shared" si="5"/>
        <v>0</v>
      </c>
      <c r="E37" s="253">
        <f t="shared" si="5"/>
        <v>0</v>
      </c>
      <c r="F37" s="250">
        <f>ROUND((D37+E37)*2/1000,4)</f>
        <v>0</v>
      </c>
      <c r="G37" s="250"/>
      <c r="H37" s="58">
        <f>H36</f>
        <v>1.8140000000000001</v>
      </c>
      <c r="I37" s="59">
        <f>ROUND(F37*G37*H37,3)</f>
        <v>0</v>
      </c>
      <c r="J37" s="60"/>
      <c r="K37" s="61"/>
      <c r="L37" s="61"/>
      <c r="M37" s="61"/>
      <c r="N37" s="72" t="s">
        <v>60</v>
      </c>
    </row>
    <row r="38" spans="2:14" ht="18" customHeight="1">
      <c r="B38" s="48" t="s">
        <v>42</v>
      </c>
      <c r="C38" s="49">
        <f>SUMPRODUCT(F35:F37*G35:G37)</f>
        <v>0</v>
      </c>
      <c r="D38" s="50" t="s">
        <v>43</v>
      </c>
      <c r="E38" s="49">
        <f>SUM(I35:I37)*1.1</f>
        <v>0</v>
      </c>
      <c r="F38" s="50" t="s">
        <v>44</v>
      </c>
      <c r="G38" s="51">
        <f>(C$218+C$219)/1000</f>
        <v>46.081499999999998</v>
      </c>
      <c r="H38" s="52" t="s">
        <v>45</v>
      </c>
      <c r="I38" s="53">
        <f>ROUND(E38*G38,2)</f>
        <v>0</v>
      </c>
      <c r="J38" s="243">
        <f>SUM(G35:G37)</f>
        <v>0</v>
      </c>
      <c r="K38" s="255"/>
      <c r="L38" s="255"/>
      <c r="M38" s="255"/>
      <c r="N38" s="73" t="s">
        <v>65</v>
      </c>
    </row>
    <row r="39" spans="2:14" ht="18" customHeight="1">
      <c r="B39" s="48" t="s">
        <v>46</v>
      </c>
      <c r="C39" s="50">
        <v>320.14</v>
      </c>
      <c r="D39" s="50" t="s">
        <v>47</v>
      </c>
      <c r="E39" s="49">
        <f>ROUND(C38*(C39/1000),2)</f>
        <v>0</v>
      </c>
      <c r="F39" s="50" t="s">
        <v>48</v>
      </c>
      <c r="G39" s="50">
        <f>G$23</f>
        <v>10</v>
      </c>
      <c r="H39" s="52" t="s">
        <v>49</v>
      </c>
      <c r="I39" s="53">
        <f>E39*G39</f>
        <v>0</v>
      </c>
      <c r="J39" s="255"/>
      <c r="K39" s="255"/>
      <c r="L39" s="255"/>
      <c r="M39" s="255"/>
      <c r="N39" s="73" t="s">
        <v>66</v>
      </c>
    </row>
    <row r="40" spans="2:14" ht="18" customHeight="1" thickBot="1">
      <c r="B40" s="48" t="s">
        <v>50</v>
      </c>
      <c r="C40" s="50">
        <v>156.99</v>
      </c>
      <c r="D40" s="50" t="s">
        <v>51</v>
      </c>
      <c r="E40" s="49">
        <f>ROUND(C38*(C40/1000),2)</f>
        <v>0</v>
      </c>
      <c r="F40" s="50" t="s">
        <v>48</v>
      </c>
      <c r="G40" s="50">
        <f>G$24</f>
        <v>10</v>
      </c>
      <c r="H40" s="52" t="s">
        <v>49</v>
      </c>
      <c r="I40" s="53">
        <f>E40*G40</f>
        <v>0</v>
      </c>
      <c r="J40" s="255"/>
      <c r="K40" s="255"/>
      <c r="L40" s="255"/>
      <c r="M40" s="255"/>
      <c r="N40" s="74" t="s">
        <v>67</v>
      </c>
    </row>
    <row r="41" spans="2:14" ht="18" customHeight="1" thickBot="1">
      <c r="B41" s="23" t="s">
        <v>36</v>
      </c>
      <c r="C41" s="252" t="s">
        <v>14</v>
      </c>
      <c r="D41" s="252" t="s">
        <v>37</v>
      </c>
      <c r="E41" s="252" t="s">
        <v>38</v>
      </c>
      <c r="F41" s="252" t="s">
        <v>39</v>
      </c>
      <c r="G41" s="252" t="s">
        <v>8</v>
      </c>
      <c r="H41" s="252" t="s">
        <v>22</v>
      </c>
      <c r="I41" s="25" t="s">
        <v>40</v>
      </c>
      <c r="J41" s="54" t="s">
        <v>2</v>
      </c>
      <c r="K41" s="55" t="s">
        <v>3</v>
      </c>
      <c r="L41" s="55" t="s">
        <v>61</v>
      </c>
      <c r="M41" s="55" t="s">
        <v>62</v>
      </c>
      <c r="N41" s="70" t="s">
        <v>14</v>
      </c>
    </row>
    <row r="42" spans="2:14" ht="18" customHeight="1">
      <c r="B42" s="648" t="s">
        <v>68</v>
      </c>
      <c r="C42" s="649" t="s">
        <v>69</v>
      </c>
      <c r="D42" s="253">
        <f>J42-IF(L42=1,46,IF(L42=2,34.5,IF(L42=3,23)))</f>
        <v>0</v>
      </c>
      <c r="E42" s="253">
        <f>K42-IF(M42=1,46,IF(M42=2,34.5,IF(M42=3,23)))</f>
        <v>0</v>
      </c>
      <c r="F42" s="250">
        <f t="shared" ref="F42:F47" si="6">ROUND((D42+E42)*2/1000,4)</f>
        <v>0</v>
      </c>
      <c r="G42" s="250"/>
      <c r="H42" s="250">
        <v>1.26</v>
      </c>
      <c r="I42" s="59">
        <f t="shared" ref="I42:I47" si="7">ROUND(F42*G42*H42,3)</f>
        <v>0</v>
      </c>
      <c r="J42" s="60"/>
      <c r="K42" s="61"/>
      <c r="L42" s="61"/>
      <c r="M42" s="61"/>
      <c r="N42" s="71" t="s">
        <v>56</v>
      </c>
    </row>
    <row r="43" spans="2:14" ht="18" customHeight="1">
      <c r="B43" s="648"/>
      <c r="C43" s="650"/>
      <c r="D43" s="253">
        <f t="shared" ref="D43:E47" si="8">J43-IF(L43=1,46,IF(L43=2,34.5,IF(L43=3,23)))</f>
        <v>0</v>
      </c>
      <c r="E43" s="253">
        <f t="shared" si="8"/>
        <v>0</v>
      </c>
      <c r="F43" s="250">
        <f t="shared" si="6"/>
        <v>0</v>
      </c>
      <c r="G43" s="250"/>
      <c r="H43" s="250">
        <f>H42</f>
        <v>1.26</v>
      </c>
      <c r="I43" s="59">
        <f t="shared" si="7"/>
        <v>0</v>
      </c>
      <c r="J43" s="60"/>
      <c r="K43" s="61"/>
      <c r="L43" s="61"/>
      <c r="M43" s="61"/>
      <c r="N43" s="72" t="s">
        <v>58</v>
      </c>
    </row>
    <row r="44" spans="2:14" ht="18" customHeight="1">
      <c r="B44" s="648"/>
      <c r="C44" s="651"/>
      <c r="D44" s="253">
        <f t="shared" si="8"/>
        <v>0</v>
      </c>
      <c r="E44" s="253">
        <f t="shared" si="8"/>
        <v>0</v>
      </c>
      <c r="F44" s="250">
        <f t="shared" si="6"/>
        <v>0</v>
      </c>
      <c r="G44" s="250"/>
      <c r="H44" s="250">
        <f>H43</f>
        <v>1.26</v>
      </c>
      <c r="I44" s="59">
        <f t="shared" si="7"/>
        <v>0</v>
      </c>
      <c r="J44" s="60"/>
      <c r="K44" s="61"/>
      <c r="L44" s="61"/>
      <c r="M44" s="61"/>
      <c r="N44" s="72" t="s">
        <v>60</v>
      </c>
    </row>
    <row r="45" spans="2:14" ht="18" customHeight="1">
      <c r="B45" s="648"/>
      <c r="C45" s="649" t="s">
        <v>70</v>
      </c>
      <c r="D45" s="253">
        <f t="shared" si="8"/>
        <v>0</v>
      </c>
      <c r="E45" s="253">
        <f t="shared" si="8"/>
        <v>0</v>
      </c>
      <c r="F45" s="250">
        <f t="shared" si="6"/>
        <v>0</v>
      </c>
      <c r="G45" s="250"/>
      <c r="H45" s="250">
        <f>H44</f>
        <v>1.26</v>
      </c>
      <c r="I45" s="59">
        <f t="shared" si="7"/>
        <v>0</v>
      </c>
      <c r="J45" s="60"/>
      <c r="K45" s="61"/>
      <c r="L45" s="61"/>
      <c r="M45" s="61"/>
      <c r="N45" s="71" t="s">
        <v>56</v>
      </c>
    </row>
    <row r="46" spans="2:14" ht="18" customHeight="1">
      <c r="B46" s="648"/>
      <c r="C46" s="650"/>
      <c r="D46" s="253">
        <f t="shared" si="8"/>
        <v>0</v>
      </c>
      <c r="E46" s="253">
        <f t="shared" si="8"/>
        <v>0</v>
      </c>
      <c r="F46" s="250">
        <f t="shared" si="6"/>
        <v>0</v>
      </c>
      <c r="G46" s="250"/>
      <c r="H46" s="250">
        <f>H45</f>
        <v>1.26</v>
      </c>
      <c r="I46" s="59">
        <f t="shared" si="7"/>
        <v>0</v>
      </c>
      <c r="J46" s="60"/>
      <c r="K46" s="61"/>
      <c r="L46" s="61"/>
      <c r="M46" s="61"/>
      <c r="N46" s="72" t="s">
        <v>58</v>
      </c>
    </row>
    <row r="47" spans="2:14" ht="18" customHeight="1" thickBot="1">
      <c r="B47" s="648"/>
      <c r="C47" s="651"/>
      <c r="D47" s="253">
        <f t="shared" si="8"/>
        <v>0</v>
      </c>
      <c r="E47" s="253">
        <f t="shared" si="8"/>
        <v>0</v>
      </c>
      <c r="F47" s="250">
        <f t="shared" si="6"/>
        <v>0</v>
      </c>
      <c r="G47" s="250"/>
      <c r="H47" s="250">
        <f>H46</f>
        <v>1.26</v>
      </c>
      <c r="I47" s="59">
        <f t="shared" si="7"/>
        <v>0</v>
      </c>
      <c r="J47" s="64"/>
      <c r="K47" s="65"/>
      <c r="L47" s="65"/>
      <c r="M47" s="65"/>
      <c r="N47" s="75" t="s">
        <v>60</v>
      </c>
    </row>
    <row r="48" spans="2:14" ht="18" customHeight="1">
      <c r="B48" s="48" t="s">
        <v>42</v>
      </c>
      <c r="C48" s="49">
        <f>SUMPRODUCT(F42:F47*G42:G47)</f>
        <v>0</v>
      </c>
      <c r="D48" s="50" t="s">
        <v>43</v>
      </c>
      <c r="E48" s="49">
        <f>SUM(I42:I47)*1.1</f>
        <v>0</v>
      </c>
      <c r="F48" s="50" t="s">
        <v>44</v>
      </c>
      <c r="G48" s="51">
        <f>(C$218+C$219)/1000</f>
        <v>46.081499999999998</v>
      </c>
      <c r="H48" s="52" t="s">
        <v>45</v>
      </c>
      <c r="I48" s="53">
        <f>ROUND(E48*G48,2)</f>
        <v>0</v>
      </c>
      <c r="J48" s="243">
        <f>SUM(G42:G47)</f>
        <v>0</v>
      </c>
      <c r="K48" s="255"/>
      <c r="L48" s="255"/>
      <c r="M48" s="255"/>
    </row>
    <row r="49" spans="2:14" ht="18" customHeight="1">
      <c r="B49" s="48" t="s">
        <v>46</v>
      </c>
      <c r="C49" s="50">
        <v>132.47999999999999</v>
      </c>
      <c r="D49" s="50" t="s">
        <v>47</v>
      </c>
      <c r="E49" s="49">
        <f>ROUND(C48*(C49/1000),2)</f>
        <v>0</v>
      </c>
      <c r="F49" s="50" t="s">
        <v>48</v>
      </c>
      <c r="G49" s="50">
        <f>G$23</f>
        <v>10</v>
      </c>
      <c r="H49" s="52" t="s">
        <v>49</v>
      </c>
      <c r="I49" s="53">
        <f>E49*G49</f>
        <v>0</v>
      </c>
      <c r="J49" s="255"/>
      <c r="K49" s="255"/>
      <c r="L49" s="255"/>
      <c r="M49" s="255"/>
    </row>
    <row r="50" spans="2:14" ht="18" customHeight="1" thickBot="1">
      <c r="B50" s="48" t="s">
        <v>50</v>
      </c>
      <c r="C50" s="50">
        <v>202.06</v>
      </c>
      <c r="D50" s="50" t="s">
        <v>51</v>
      </c>
      <c r="E50" s="49">
        <f>ROUND(C48*(C50/1000),2)</f>
        <v>0</v>
      </c>
      <c r="F50" s="50" t="s">
        <v>48</v>
      </c>
      <c r="G50" s="50">
        <f>G$24</f>
        <v>10</v>
      </c>
      <c r="H50" s="52" t="s">
        <v>49</v>
      </c>
      <c r="I50" s="53">
        <f>E50*G50</f>
        <v>0</v>
      </c>
      <c r="J50" s="255"/>
    </row>
    <row r="51" spans="2:14" ht="18" customHeight="1" thickBot="1">
      <c r="B51" s="23" t="s">
        <v>36</v>
      </c>
      <c r="C51" s="252" t="s">
        <v>14</v>
      </c>
      <c r="D51" s="252" t="s">
        <v>37</v>
      </c>
      <c r="E51" s="252" t="s">
        <v>71</v>
      </c>
      <c r="F51" s="252" t="s">
        <v>38</v>
      </c>
      <c r="G51" s="252" t="s">
        <v>72</v>
      </c>
      <c r="H51" s="252" t="s">
        <v>22</v>
      </c>
      <c r="I51" s="25" t="s">
        <v>40</v>
      </c>
      <c r="J51" s="54" t="s">
        <v>2</v>
      </c>
      <c r="K51" s="55" t="s">
        <v>3</v>
      </c>
      <c r="L51" s="55" t="s">
        <v>61</v>
      </c>
      <c r="M51" s="55" t="s">
        <v>62</v>
      </c>
      <c r="N51" s="70" t="s">
        <v>14</v>
      </c>
    </row>
    <row r="52" spans="2:14" ht="18" customHeight="1">
      <c r="B52" s="648" t="s">
        <v>73</v>
      </c>
      <c r="C52" s="649" t="s">
        <v>405</v>
      </c>
      <c r="D52" s="253">
        <f>J52-IF(L52=1,46,IF(L52=2,32,IF(L52=3,18,0)))</f>
        <v>0</v>
      </c>
      <c r="E52" s="253"/>
      <c r="F52" s="253">
        <f>K52-IF(M52=1,46,IF(M52=2,32,IF(M52=3,118,0)))</f>
        <v>1274</v>
      </c>
      <c r="G52" s="250">
        <v>1</v>
      </c>
      <c r="H52" s="250">
        <v>1.6379999999999999</v>
      </c>
      <c r="I52" s="59">
        <f>ROUND((D52*E52+F52*G52)/1000*H52,3)</f>
        <v>2.0870000000000002</v>
      </c>
      <c r="J52" s="60"/>
      <c r="K52" s="61">
        <f>E14</f>
        <v>1320</v>
      </c>
      <c r="L52" s="61"/>
      <c r="M52" s="61">
        <v>1</v>
      </c>
      <c r="N52" s="76" t="s">
        <v>56</v>
      </c>
    </row>
    <row r="53" spans="2:14" ht="18" customHeight="1">
      <c r="B53" s="648"/>
      <c r="C53" s="650"/>
      <c r="D53" s="253">
        <f t="shared" ref="D53:D55" si="9">J53-IF(L53=1,46,IF(L53=2,32,IF(L53=3,18,0)))</f>
        <v>0</v>
      </c>
      <c r="E53" s="253"/>
      <c r="F53" s="253">
        <f t="shared" ref="F53:F55" si="10">K53-IF(M53=1,46,IF(M53=2,32,IF(M53=3,118,0)))</f>
        <v>0</v>
      </c>
      <c r="G53" s="250"/>
      <c r="H53" s="250">
        <f>H52</f>
        <v>1.6379999999999999</v>
      </c>
      <c r="I53" s="59">
        <f>ROUND((D53*E53+F53*G53)/1000*H53,3)</f>
        <v>0</v>
      </c>
      <c r="J53" s="60"/>
      <c r="K53" s="61"/>
      <c r="L53" s="61"/>
      <c r="M53" s="61"/>
      <c r="N53" s="76" t="s">
        <v>58</v>
      </c>
    </row>
    <row r="54" spans="2:14" ht="18" customHeight="1">
      <c r="B54" s="648"/>
      <c r="C54" s="650"/>
      <c r="D54" s="253">
        <f t="shared" si="9"/>
        <v>0</v>
      </c>
      <c r="E54" s="253"/>
      <c r="F54" s="253">
        <f t="shared" si="10"/>
        <v>0</v>
      </c>
      <c r="G54" s="250"/>
      <c r="H54" s="250">
        <f>H53</f>
        <v>1.6379999999999999</v>
      </c>
      <c r="I54" s="59">
        <f>ROUND((D54*E54+F54*G54)/1000*H54,3)</f>
        <v>0</v>
      </c>
      <c r="J54" s="60"/>
      <c r="K54" s="61"/>
      <c r="L54" s="61"/>
      <c r="M54" s="61"/>
      <c r="N54" s="76" t="s">
        <v>60</v>
      </c>
    </row>
    <row r="55" spans="2:14" ht="18" customHeight="1" thickBot="1">
      <c r="B55" s="648"/>
      <c r="C55" s="651"/>
      <c r="D55" s="253">
        <f t="shared" si="9"/>
        <v>0</v>
      </c>
      <c r="E55" s="253"/>
      <c r="F55" s="253">
        <f t="shared" si="10"/>
        <v>0</v>
      </c>
      <c r="G55" s="250"/>
      <c r="H55" s="77">
        <f>H54</f>
        <v>1.6379999999999999</v>
      </c>
      <c r="I55" s="59">
        <f>ROUND((D55*E55+F55*G55)/1000*H55,3)</f>
        <v>0</v>
      </c>
      <c r="J55" s="78"/>
      <c r="K55" s="79"/>
      <c r="L55" s="79"/>
      <c r="M55" s="79"/>
      <c r="N55" s="80"/>
    </row>
    <row r="56" spans="2:14" ht="18" customHeight="1">
      <c r="B56" s="48" t="s">
        <v>42</v>
      </c>
      <c r="C56" s="49">
        <f>SUMPRODUCT(D52:D55*E52:E55+F52:F55*G52:G55)/1000</f>
        <v>1.274</v>
      </c>
      <c r="D56" s="50" t="s">
        <v>43</v>
      </c>
      <c r="E56" s="49">
        <f>SUM(I52:I55)*1.1</f>
        <v>2.2957000000000005</v>
      </c>
      <c r="F56" s="50" t="s">
        <v>44</v>
      </c>
      <c r="G56" s="51">
        <f>(C$218+C$219)/1000</f>
        <v>46.081499999999998</v>
      </c>
      <c r="H56" s="52" t="s">
        <v>45</v>
      </c>
      <c r="I56" s="53">
        <f>ROUND(E56*G56,2)</f>
        <v>105.79</v>
      </c>
      <c r="J56" s="243">
        <f>SUM(E52:E55)+SUM(G52:G55)</f>
        <v>1</v>
      </c>
    </row>
    <row r="57" spans="2:14" ht="18" customHeight="1">
      <c r="B57" s="48" t="s">
        <v>46</v>
      </c>
      <c r="C57" s="50">
        <v>265.52999999999997</v>
      </c>
      <c r="D57" s="50" t="s">
        <v>47</v>
      </c>
      <c r="E57" s="49">
        <f>ROUND(C56*(C57/1000),2)</f>
        <v>0.34</v>
      </c>
      <c r="F57" s="50" t="s">
        <v>48</v>
      </c>
      <c r="G57" s="50">
        <f>G$23</f>
        <v>10</v>
      </c>
      <c r="H57" s="52" t="s">
        <v>49</v>
      </c>
      <c r="I57" s="53">
        <f>E57*G57</f>
        <v>3.4000000000000004</v>
      </c>
      <c r="L57" s="47"/>
    </row>
    <row r="58" spans="2:14" ht="18" customHeight="1">
      <c r="B58" s="48" t="s">
        <v>50</v>
      </c>
      <c r="C58" s="50">
        <v>173.62</v>
      </c>
      <c r="D58" s="50" t="s">
        <v>51</v>
      </c>
      <c r="E58" s="49">
        <f>ROUND(C56*(C58/1000),2)</f>
        <v>0.22</v>
      </c>
      <c r="F58" s="50" t="s">
        <v>48</v>
      </c>
      <c r="G58" s="50">
        <f>G$24</f>
        <v>10</v>
      </c>
      <c r="H58" s="52" t="s">
        <v>49</v>
      </c>
      <c r="I58" s="53">
        <f>E58*G58</f>
        <v>2.2000000000000002</v>
      </c>
      <c r="L58" s="47"/>
    </row>
    <row r="59" spans="2:14" ht="18" customHeight="1">
      <c r="B59" s="23" t="s">
        <v>36</v>
      </c>
      <c r="C59" s="252" t="s">
        <v>14</v>
      </c>
      <c r="D59" s="652" t="s">
        <v>74</v>
      </c>
      <c r="E59" s="652"/>
      <c r="F59" s="652"/>
      <c r="G59" s="252" t="s">
        <v>75</v>
      </c>
      <c r="H59" s="252" t="s">
        <v>22</v>
      </c>
      <c r="I59" s="25" t="s">
        <v>40</v>
      </c>
      <c r="L59" s="47"/>
    </row>
    <row r="60" spans="2:14" ht="18" customHeight="1">
      <c r="B60" s="648" t="s">
        <v>76</v>
      </c>
      <c r="C60" s="649" t="s">
        <v>77</v>
      </c>
      <c r="D60" s="646"/>
      <c r="E60" s="646"/>
      <c r="F60" s="646"/>
      <c r="G60" s="250"/>
      <c r="H60" s="250">
        <v>1.9339999999999999</v>
      </c>
      <c r="I60" s="59">
        <f>ROUND(D60*G60*H60/1000,3)</f>
        <v>0</v>
      </c>
      <c r="L60" s="47"/>
    </row>
    <row r="61" spans="2:14" ht="18" customHeight="1">
      <c r="B61" s="648"/>
      <c r="C61" s="651"/>
      <c r="D61" s="646"/>
      <c r="E61" s="646"/>
      <c r="F61" s="646"/>
      <c r="G61" s="250"/>
      <c r="H61" s="250">
        <v>1.9339999999999999</v>
      </c>
      <c r="I61" s="59">
        <f>ROUND(D61*G61*H61/1000,3)</f>
        <v>0</v>
      </c>
    </row>
    <row r="62" spans="2:14" ht="18" customHeight="1">
      <c r="B62" s="648"/>
      <c r="C62" s="649" t="s">
        <v>78</v>
      </c>
      <c r="D62" s="646"/>
      <c r="E62" s="646"/>
      <c r="F62" s="646"/>
      <c r="G62" s="250"/>
      <c r="H62" s="250">
        <v>2.3130000000000002</v>
      </c>
      <c r="I62" s="59">
        <f>ROUND(D62*G62*H62/1000,3)</f>
        <v>0</v>
      </c>
    </row>
    <row r="63" spans="2:14" ht="18" customHeight="1">
      <c r="B63" s="648"/>
      <c r="C63" s="651"/>
      <c r="D63" s="646"/>
      <c r="E63" s="646"/>
      <c r="F63" s="646"/>
      <c r="G63" s="250"/>
      <c r="H63" s="250">
        <v>2.3130000000000002</v>
      </c>
      <c r="I63" s="59">
        <f>ROUND(D63*G63*H63/1000,3)</f>
        <v>0</v>
      </c>
    </row>
    <row r="64" spans="2:14" ht="18" customHeight="1">
      <c r="B64" s="48" t="s">
        <v>42</v>
      </c>
      <c r="C64" s="49">
        <f>SUMPRODUCT(D60:F63*G60:G63)/1000</f>
        <v>0</v>
      </c>
      <c r="D64" s="50" t="s">
        <v>43</v>
      </c>
      <c r="E64" s="49">
        <f>SUM(I60:I63)*1.1</f>
        <v>0</v>
      </c>
      <c r="F64" s="50" t="s">
        <v>44</v>
      </c>
      <c r="G64" s="51">
        <f>(C$218+C$219)/1000</f>
        <v>46.081499999999998</v>
      </c>
      <c r="H64" s="52" t="s">
        <v>45</v>
      </c>
      <c r="I64" s="53">
        <f>ROUND(E64*G64,2)</f>
        <v>0</v>
      </c>
      <c r="J64" s="43">
        <f>SUM(G60:G63)</f>
        <v>0</v>
      </c>
    </row>
    <row r="65" spans="2:14" ht="18" customHeight="1">
      <c r="B65" s="48" t="s">
        <v>46</v>
      </c>
      <c r="C65" s="50">
        <v>337.92</v>
      </c>
      <c r="D65" s="50" t="s">
        <v>47</v>
      </c>
      <c r="E65" s="49">
        <f>ROUND(C64*(C65/1000),2)</f>
        <v>0</v>
      </c>
      <c r="F65" s="50" t="s">
        <v>48</v>
      </c>
      <c r="G65" s="50">
        <f>G$23</f>
        <v>10</v>
      </c>
      <c r="H65" s="52" t="s">
        <v>49</v>
      </c>
      <c r="I65" s="53">
        <f>E65*G65</f>
        <v>0</v>
      </c>
    </row>
    <row r="66" spans="2:14" ht="18" customHeight="1" thickBot="1">
      <c r="B66" s="48" t="s">
        <v>50</v>
      </c>
      <c r="C66" s="50">
        <v>175.93</v>
      </c>
      <c r="D66" s="50" t="s">
        <v>51</v>
      </c>
      <c r="E66" s="49">
        <f>ROUND(C64*(C66/1000),2)</f>
        <v>0</v>
      </c>
      <c r="F66" s="50" t="s">
        <v>48</v>
      </c>
      <c r="G66" s="50">
        <f>G$24</f>
        <v>10</v>
      </c>
      <c r="H66" s="52" t="s">
        <v>49</v>
      </c>
      <c r="I66" s="53">
        <f>E66*G66</f>
        <v>0</v>
      </c>
    </row>
    <row r="67" spans="2:14" ht="18" customHeight="1" thickBot="1">
      <c r="B67" s="23" t="s">
        <v>36</v>
      </c>
      <c r="C67" s="252" t="s">
        <v>14</v>
      </c>
      <c r="D67" s="252" t="s">
        <v>37</v>
      </c>
      <c r="E67" s="252" t="s">
        <v>38</v>
      </c>
      <c r="F67" s="252" t="s">
        <v>39</v>
      </c>
      <c r="G67" s="252" t="s">
        <v>8</v>
      </c>
      <c r="H67" s="252" t="s">
        <v>22</v>
      </c>
      <c r="I67" s="25" t="s">
        <v>40</v>
      </c>
      <c r="J67" s="54" t="s">
        <v>2</v>
      </c>
      <c r="K67" s="55" t="s">
        <v>3</v>
      </c>
      <c r="L67" s="55" t="s">
        <v>52</v>
      </c>
      <c r="M67" s="55" t="s">
        <v>53</v>
      </c>
      <c r="N67" s="70" t="s">
        <v>14</v>
      </c>
    </row>
    <row r="68" spans="2:14" ht="18" customHeight="1">
      <c r="B68" s="648" t="s">
        <v>79</v>
      </c>
      <c r="C68" s="649" t="s">
        <v>323</v>
      </c>
      <c r="D68" s="81">
        <f>J68-IF(L68=1,72,IF(L68=2,54,IF(L68=3,26,IF(L68=11,102.8,IF(L68=12,88.8,IF(L68=13,74.8,0))))))</f>
        <v>406</v>
      </c>
      <c r="E68" s="81">
        <f>K68-IF(M68=1,72,IF(M68=2,24,IF(M68=3,26,IF(M68=11,102.8,IF(M68=12,88.8,IF(M68=13,74.8,0))))))</f>
        <v>1248</v>
      </c>
      <c r="F68" s="81">
        <f>2*(D68+E68)/1000</f>
        <v>3.3079999999999998</v>
      </c>
      <c r="G68" s="82">
        <v>2</v>
      </c>
      <c r="H68" s="250">
        <v>0.224</v>
      </c>
      <c r="I68" s="283">
        <f>ROUND(F68*G68*H68,3)*2</f>
        <v>2.964</v>
      </c>
      <c r="J68" s="83">
        <f>D14/2</f>
        <v>460</v>
      </c>
      <c r="K68" s="83">
        <f>E14</f>
        <v>1320</v>
      </c>
      <c r="L68" s="84">
        <v>2</v>
      </c>
      <c r="M68" s="84">
        <v>1</v>
      </c>
      <c r="N68" s="71" t="s">
        <v>56</v>
      </c>
    </row>
    <row r="69" spans="2:14" ht="18" customHeight="1">
      <c r="B69" s="648"/>
      <c r="C69" s="650"/>
      <c r="D69" s="81">
        <f t="shared" ref="D69:D87" si="11">J69-IF(L69=1,72,IF(L69=2,54,IF(L69=3,26,IF(L69=11,102.8,IF(L69=12,88.8,IF(L69=13,74.8,0))))))</f>
        <v>0</v>
      </c>
      <c r="E69" s="81">
        <f t="shared" ref="E69:E87" si="12">K69-IF(M69=1,72,IF(M69=2,24,IF(M69=3,26,IF(M69=11,102.8,IF(M69=12,88.8,IF(M69=13,74.8,0))))))</f>
        <v>0</v>
      </c>
      <c r="F69" s="81">
        <f t="shared" ref="F69:F87" si="13">2*(D69+E69)/1000</f>
        <v>0</v>
      </c>
      <c r="G69" s="82"/>
      <c r="H69" s="250">
        <f>H68</f>
        <v>0.224</v>
      </c>
      <c r="I69" s="59">
        <f t="shared" ref="I69:I87" si="14">ROUND(F69*G69*H69,3)</f>
        <v>0</v>
      </c>
      <c r="J69" s="83"/>
      <c r="K69" s="84"/>
      <c r="L69" s="84"/>
      <c r="M69" s="84"/>
      <c r="N69" s="72" t="s">
        <v>58</v>
      </c>
    </row>
    <row r="70" spans="2:14" ht="18" customHeight="1">
      <c r="B70" s="648"/>
      <c r="C70" s="650"/>
      <c r="D70" s="81">
        <f t="shared" si="11"/>
        <v>0</v>
      </c>
      <c r="E70" s="81">
        <f t="shared" si="12"/>
        <v>0</v>
      </c>
      <c r="F70" s="81">
        <f t="shared" si="13"/>
        <v>0</v>
      </c>
      <c r="G70" s="82"/>
      <c r="H70" s="250">
        <f>H69</f>
        <v>0.224</v>
      </c>
      <c r="I70" s="59">
        <f t="shared" si="14"/>
        <v>0</v>
      </c>
      <c r="J70" s="83"/>
      <c r="K70" s="84"/>
      <c r="L70" s="84"/>
      <c r="M70" s="84"/>
      <c r="N70" s="72" t="s">
        <v>60</v>
      </c>
    </row>
    <row r="71" spans="2:14" ht="18" customHeight="1">
      <c r="B71" s="648"/>
      <c r="C71" s="650"/>
      <c r="D71" s="81">
        <f t="shared" si="11"/>
        <v>0</v>
      </c>
      <c r="E71" s="81">
        <f t="shared" si="12"/>
        <v>0</v>
      </c>
      <c r="F71" s="81">
        <f t="shared" si="13"/>
        <v>0</v>
      </c>
      <c r="G71" s="82"/>
      <c r="H71" s="77">
        <f>H70</f>
        <v>0.224</v>
      </c>
      <c r="I71" s="59">
        <f t="shared" si="14"/>
        <v>0</v>
      </c>
      <c r="J71" s="85"/>
      <c r="K71" s="86"/>
      <c r="L71" s="86"/>
      <c r="M71" s="86"/>
      <c r="N71" s="72" t="s">
        <v>65</v>
      </c>
    </row>
    <row r="72" spans="2:14" ht="18" customHeight="1">
      <c r="B72" s="648"/>
      <c r="C72" s="650"/>
      <c r="D72" s="81">
        <f t="shared" si="11"/>
        <v>0</v>
      </c>
      <c r="E72" s="81">
        <f t="shared" si="12"/>
        <v>0</v>
      </c>
      <c r="F72" s="81">
        <f t="shared" si="13"/>
        <v>0</v>
      </c>
      <c r="G72" s="82"/>
      <c r="H72" s="77">
        <f>H71</f>
        <v>0.224</v>
      </c>
      <c r="I72" s="87">
        <f t="shared" si="14"/>
        <v>0</v>
      </c>
      <c r="J72" s="85"/>
      <c r="K72" s="86"/>
      <c r="L72" s="86"/>
      <c r="M72" s="86"/>
      <c r="N72" s="72" t="s">
        <v>66</v>
      </c>
    </row>
    <row r="73" spans="2:14" ht="18" customHeight="1">
      <c r="B73" s="648"/>
      <c r="C73" s="650"/>
      <c r="D73" s="81">
        <f t="shared" si="11"/>
        <v>0</v>
      </c>
      <c r="E73" s="81">
        <f t="shared" si="12"/>
        <v>0</v>
      </c>
      <c r="F73" s="81">
        <f t="shared" si="13"/>
        <v>0</v>
      </c>
      <c r="G73" s="82"/>
      <c r="H73" s="250">
        <f>H70</f>
        <v>0.224</v>
      </c>
      <c r="I73" s="87">
        <f t="shared" si="14"/>
        <v>0</v>
      </c>
      <c r="J73" s="83"/>
      <c r="K73" s="84"/>
      <c r="L73" s="84"/>
      <c r="M73" s="84"/>
      <c r="N73" s="72" t="s">
        <v>67</v>
      </c>
    </row>
    <row r="74" spans="2:14" ht="18" customHeight="1">
      <c r="B74" s="648"/>
      <c r="C74" s="651"/>
      <c r="D74" s="81">
        <f t="shared" si="11"/>
        <v>0</v>
      </c>
      <c r="E74" s="81">
        <f t="shared" si="12"/>
        <v>0</v>
      </c>
      <c r="F74" s="81">
        <f t="shared" si="13"/>
        <v>0</v>
      </c>
      <c r="G74" s="82"/>
      <c r="H74" s="250">
        <f>H73</f>
        <v>0.224</v>
      </c>
      <c r="I74" s="87">
        <f t="shared" si="14"/>
        <v>0</v>
      </c>
      <c r="J74" s="83"/>
      <c r="K74" s="84"/>
      <c r="L74" s="84"/>
      <c r="M74" s="84"/>
      <c r="N74" s="88"/>
    </row>
    <row r="75" spans="2:14" ht="18" customHeight="1">
      <c r="B75" s="648"/>
      <c r="C75" s="649" t="s">
        <v>324</v>
      </c>
      <c r="D75" s="89">
        <f t="shared" si="11"/>
        <v>0</v>
      </c>
      <c r="E75" s="89">
        <f t="shared" si="12"/>
        <v>0</v>
      </c>
      <c r="F75" s="89">
        <f t="shared" si="13"/>
        <v>0</v>
      </c>
      <c r="G75" s="90"/>
      <c r="H75" s="91">
        <f>H74</f>
        <v>0.224</v>
      </c>
      <c r="I75" s="92">
        <f t="shared" si="14"/>
        <v>0</v>
      </c>
      <c r="J75" s="83"/>
      <c r="K75" s="84"/>
      <c r="L75" s="84"/>
      <c r="M75" s="84"/>
      <c r="N75" s="93" t="s">
        <v>80</v>
      </c>
    </row>
    <row r="76" spans="2:14" ht="18" customHeight="1">
      <c r="B76" s="648"/>
      <c r="C76" s="650"/>
      <c r="D76" s="89">
        <f t="shared" si="11"/>
        <v>0</v>
      </c>
      <c r="E76" s="89">
        <f t="shared" si="12"/>
        <v>0</v>
      </c>
      <c r="F76" s="89">
        <f t="shared" si="13"/>
        <v>0</v>
      </c>
      <c r="G76" s="90"/>
      <c r="H76" s="91">
        <f>H72</f>
        <v>0.224</v>
      </c>
      <c r="I76" s="92">
        <f t="shared" si="14"/>
        <v>0</v>
      </c>
      <c r="J76" s="83"/>
      <c r="K76" s="84"/>
      <c r="L76" s="84"/>
      <c r="M76" s="84"/>
      <c r="N76" s="93" t="s">
        <v>80</v>
      </c>
    </row>
    <row r="77" spans="2:14" ht="18" customHeight="1">
      <c r="B77" s="648"/>
      <c r="C77" s="650"/>
      <c r="D77" s="89">
        <f t="shared" si="11"/>
        <v>0</v>
      </c>
      <c r="E77" s="89">
        <f t="shared" si="12"/>
        <v>0</v>
      </c>
      <c r="F77" s="89">
        <f t="shared" si="13"/>
        <v>0</v>
      </c>
      <c r="G77" s="90"/>
      <c r="H77" s="91">
        <f t="shared" ref="H77:H87" si="15">H76</f>
        <v>0.224</v>
      </c>
      <c r="I77" s="92">
        <f t="shared" si="14"/>
        <v>0</v>
      </c>
      <c r="J77" s="83"/>
      <c r="K77" s="84"/>
      <c r="L77" s="84"/>
      <c r="M77" s="84"/>
      <c r="N77" s="93" t="s">
        <v>80</v>
      </c>
    </row>
    <row r="78" spans="2:14" ht="18" customHeight="1">
      <c r="B78" s="648"/>
      <c r="C78" s="650"/>
      <c r="D78" s="89">
        <f t="shared" si="11"/>
        <v>0</v>
      </c>
      <c r="E78" s="89">
        <f t="shared" si="12"/>
        <v>0</v>
      </c>
      <c r="F78" s="89">
        <f t="shared" si="13"/>
        <v>0</v>
      </c>
      <c r="G78" s="90"/>
      <c r="H78" s="91">
        <f t="shared" si="15"/>
        <v>0.224</v>
      </c>
      <c r="I78" s="92">
        <f t="shared" si="14"/>
        <v>0</v>
      </c>
      <c r="J78" s="83"/>
      <c r="K78" s="84"/>
      <c r="L78" s="84"/>
      <c r="M78" s="84"/>
      <c r="N78" s="93" t="s">
        <v>80</v>
      </c>
    </row>
    <row r="79" spans="2:14" ht="18" customHeight="1">
      <c r="B79" s="648"/>
      <c r="C79" s="650"/>
      <c r="D79" s="89">
        <f t="shared" si="11"/>
        <v>0</v>
      </c>
      <c r="E79" s="89">
        <f t="shared" si="12"/>
        <v>0</v>
      </c>
      <c r="F79" s="89">
        <f t="shared" si="13"/>
        <v>0</v>
      </c>
      <c r="G79" s="90"/>
      <c r="H79" s="91">
        <f t="shared" si="15"/>
        <v>0.224</v>
      </c>
      <c r="I79" s="94">
        <f t="shared" si="14"/>
        <v>0</v>
      </c>
      <c r="J79" s="83"/>
      <c r="K79" s="84"/>
      <c r="L79" s="84"/>
      <c r="M79" s="84"/>
      <c r="N79" s="93" t="s">
        <v>80</v>
      </c>
    </row>
    <row r="80" spans="2:14" ht="18" customHeight="1">
      <c r="B80" s="648"/>
      <c r="C80" s="650"/>
      <c r="D80" s="89">
        <f t="shared" si="11"/>
        <v>0</v>
      </c>
      <c r="E80" s="89">
        <f t="shared" si="12"/>
        <v>0</v>
      </c>
      <c r="F80" s="89">
        <f t="shared" si="13"/>
        <v>0</v>
      </c>
      <c r="G80" s="90"/>
      <c r="H80" s="91">
        <f t="shared" si="15"/>
        <v>0.224</v>
      </c>
      <c r="I80" s="94">
        <f t="shared" si="14"/>
        <v>0</v>
      </c>
      <c r="J80" s="83"/>
      <c r="K80" s="84"/>
      <c r="L80" s="84"/>
      <c r="M80" s="84"/>
      <c r="N80" s="93" t="s">
        <v>80</v>
      </c>
    </row>
    <row r="81" spans="2:14" ht="18" customHeight="1">
      <c r="B81" s="648"/>
      <c r="C81" s="651"/>
      <c r="D81" s="89">
        <f t="shared" si="11"/>
        <v>0</v>
      </c>
      <c r="E81" s="89">
        <f t="shared" si="12"/>
        <v>0</v>
      </c>
      <c r="F81" s="89">
        <f t="shared" si="13"/>
        <v>0</v>
      </c>
      <c r="G81" s="90"/>
      <c r="H81" s="91">
        <f t="shared" si="15"/>
        <v>0.224</v>
      </c>
      <c r="I81" s="94">
        <f t="shared" si="14"/>
        <v>0</v>
      </c>
      <c r="J81" s="95"/>
      <c r="K81" s="96"/>
      <c r="L81" s="96"/>
      <c r="M81" s="96"/>
      <c r="N81" s="93" t="s">
        <v>81</v>
      </c>
    </row>
    <row r="82" spans="2:14" ht="18" customHeight="1">
      <c r="B82" s="648"/>
      <c r="C82" s="639" t="s">
        <v>325</v>
      </c>
      <c r="D82" s="81">
        <f t="shared" si="11"/>
        <v>0</v>
      </c>
      <c r="E82" s="81">
        <f t="shared" si="12"/>
        <v>0</v>
      </c>
      <c r="F82" s="81">
        <f t="shared" si="13"/>
        <v>0</v>
      </c>
      <c r="G82" s="82"/>
      <c r="H82" s="250">
        <f t="shared" si="15"/>
        <v>0.224</v>
      </c>
      <c r="I82" s="59">
        <f t="shared" si="14"/>
        <v>0</v>
      </c>
      <c r="J82" s="83"/>
      <c r="K82" s="84"/>
      <c r="L82" s="84"/>
      <c r="M82" s="84"/>
      <c r="N82" s="88"/>
    </row>
    <row r="83" spans="2:14" ht="18" customHeight="1">
      <c r="B83" s="648"/>
      <c r="C83" s="645"/>
      <c r="D83" s="81">
        <f t="shared" si="11"/>
        <v>0</v>
      </c>
      <c r="E83" s="81">
        <f t="shared" si="12"/>
        <v>0</v>
      </c>
      <c r="F83" s="81">
        <f t="shared" si="13"/>
        <v>0</v>
      </c>
      <c r="G83" s="82"/>
      <c r="H83" s="250">
        <f t="shared" si="15"/>
        <v>0.224</v>
      </c>
      <c r="I83" s="59">
        <f t="shared" si="14"/>
        <v>0</v>
      </c>
      <c r="J83" s="83"/>
      <c r="K83" s="84"/>
      <c r="L83" s="84"/>
      <c r="M83" s="84"/>
      <c r="N83" s="88"/>
    </row>
    <row r="84" spans="2:14" ht="18" customHeight="1">
      <c r="B84" s="648"/>
      <c r="C84" s="645"/>
      <c r="D84" s="81">
        <f t="shared" si="11"/>
        <v>0</v>
      </c>
      <c r="E84" s="81">
        <f t="shared" si="12"/>
        <v>0</v>
      </c>
      <c r="F84" s="81">
        <f t="shared" si="13"/>
        <v>0</v>
      </c>
      <c r="G84" s="82"/>
      <c r="H84" s="250">
        <f t="shared" si="15"/>
        <v>0.224</v>
      </c>
      <c r="I84" s="59">
        <f t="shared" si="14"/>
        <v>0</v>
      </c>
      <c r="J84" s="83"/>
      <c r="K84" s="84"/>
      <c r="L84" s="84"/>
      <c r="M84" s="84"/>
      <c r="N84" s="76"/>
    </row>
    <row r="85" spans="2:14" ht="18" customHeight="1">
      <c r="B85" s="648"/>
      <c r="C85" s="645"/>
      <c r="D85" s="81">
        <f t="shared" si="11"/>
        <v>0</v>
      </c>
      <c r="E85" s="81">
        <f t="shared" si="12"/>
        <v>0</v>
      </c>
      <c r="F85" s="81">
        <f t="shared" si="13"/>
        <v>0</v>
      </c>
      <c r="G85" s="82"/>
      <c r="H85" s="250">
        <f t="shared" si="15"/>
        <v>0.224</v>
      </c>
      <c r="I85" s="59">
        <f t="shared" si="14"/>
        <v>0</v>
      </c>
      <c r="J85" s="83"/>
      <c r="K85" s="84"/>
      <c r="L85" s="84"/>
      <c r="M85" s="84"/>
      <c r="N85" s="76"/>
    </row>
    <row r="86" spans="2:14" ht="18" customHeight="1">
      <c r="B86" s="648"/>
      <c r="C86" s="645"/>
      <c r="D86" s="81">
        <f t="shared" si="11"/>
        <v>0</v>
      </c>
      <c r="E86" s="81">
        <f t="shared" si="12"/>
        <v>0</v>
      </c>
      <c r="F86" s="81">
        <f t="shared" si="13"/>
        <v>0</v>
      </c>
      <c r="G86" s="82"/>
      <c r="H86" s="250">
        <f t="shared" si="15"/>
        <v>0.224</v>
      </c>
      <c r="I86" s="59">
        <f t="shared" si="14"/>
        <v>0</v>
      </c>
      <c r="J86" s="85"/>
      <c r="K86" s="86"/>
      <c r="L86" s="86"/>
      <c r="M86" s="86"/>
      <c r="N86" s="76"/>
    </row>
    <row r="87" spans="2:14" ht="18" customHeight="1" thickBot="1">
      <c r="B87" s="648"/>
      <c r="C87" s="640"/>
      <c r="D87" s="81">
        <f t="shared" si="11"/>
        <v>0</v>
      </c>
      <c r="E87" s="81">
        <f t="shared" si="12"/>
        <v>0</v>
      </c>
      <c r="F87" s="81">
        <f t="shared" si="13"/>
        <v>0</v>
      </c>
      <c r="G87" s="82"/>
      <c r="H87" s="250">
        <f t="shared" si="15"/>
        <v>0.224</v>
      </c>
      <c r="I87" s="59">
        <f t="shared" si="14"/>
        <v>0</v>
      </c>
      <c r="J87" s="97"/>
      <c r="K87" s="98"/>
      <c r="L87" s="98"/>
      <c r="M87" s="98"/>
      <c r="N87" s="80"/>
    </row>
    <row r="88" spans="2:14" ht="18" customHeight="1">
      <c r="B88" s="48" t="s">
        <v>42</v>
      </c>
      <c r="C88" s="49">
        <f>SUMPRODUCT(F68:F87*G68:G87)</f>
        <v>6.6159999999999997</v>
      </c>
      <c r="D88" s="50" t="s">
        <v>43</v>
      </c>
      <c r="E88" s="49">
        <f>SUM(I68:I87)*1.1</f>
        <v>3.2604000000000002</v>
      </c>
      <c r="F88" s="50" t="s">
        <v>44</v>
      </c>
      <c r="G88" s="51">
        <f>(C$218+C$222)/1000</f>
        <v>39.781500000000001</v>
      </c>
      <c r="H88" s="52" t="s">
        <v>45</v>
      </c>
      <c r="I88" s="53">
        <f>ROUND(E88*G88,2)</f>
        <v>129.69999999999999</v>
      </c>
      <c r="J88" s="255"/>
      <c r="K88" s="255"/>
      <c r="L88" s="255"/>
      <c r="M88" s="255"/>
    </row>
    <row r="89" spans="2:14" ht="18" customHeight="1">
      <c r="B89" s="48" t="s">
        <v>46</v>
      </c>
      <c r="C89" s="50">
        <v>181.72</v>
      </c>
      <c r="D89" s="50" t="s">
        <v>47</v>
      </c>
      <c r="E89" s="49">
        <f>ROUND(C88*(C89/1000),2)</f>
        <v>1.2</v>
      </c>
      <c r="F89" s="50" t="s">
        <v>48</v>
      </c>
      <c r="G89" s="50">
        <f>G$23</f>
        <v>10</v>
      </c>
      <c r="H89" s="52" t="s">
        <v>49</v>
      </c>
      <c r="I89" s="53">
        <f>E89*G89</f>
        <v>12</v>
      </c>
      <c r="J89" s="255"/>
      <c r="K89" s="255"/>
      <c r="L89" s="255"/>
      <c r="M89" s="255"/>
    </row>
    <row r="90" spans="2:14" ht="18" customHeight="1">
      <c r="B90" s="48" t="s">
        <v>50</v>
      </c>
      <c r="C90" s="50"/>
      <c r="D90" s="50" t="s">
        <v>51</v>
      </c>
      <c r="E90" s="49">
        <f>ROUND(C88*(C90/1000),2)</f>
        <v>0</v>
      </c>
      <c r="F90" s="50" t="s">
        <v>48</v>
      </c>
      <c r="G90" s="50">
        <f>G$24</f>
        <v>10</v>
      </c>
      <c r="H90" s="52" t="s">
        <v>49</v>
      </c>
      <c r="I90" s="53">
        <f>E90*G90</f>
        <v>0</v>
      </c>
      <c r="J90" s="255"/>
      <c r="K90" s="255"/>
      <c r="L90" s="255"/>
      <c r="M90" s="255"/>
    </row>
    <row r="91" spans="2:14" ht="18" customHeight="1">
      <c r="B91" s="23" t="s">
        <v>36</v>
      </c>
      <c r="C91" s="252" t="s">
        <v>14</v>
      </c>
      <c r="D91" s="252" t="s">
        <v>37</v>
      </c>
      <c r="E91" s="252" t="s">
        <v>38</v>
      </c>
      <c r="F91" s="252" t="s">
        <v>39</v>
      </c>
      <c r="G91" s="252" t="s">
        <v>8</v>
      </c>
      <c r="H91" s="252" t="s">
        <v>22</v>
      </c>
      <c r="I91" s="25" t="s">
        <v>40</v>
      </c>
      <c r="J91" s="255"/>
      <c r="K91" s="255"/>
      <c r="L91" s="255"/>
      <c r="M91" s="255"/>
    </row>
    <row r="92" spans="2:14" ht="18" customHeight="1">
      <c r="B92" s="648" t="s">
        <v>82</v>
      </c>
      <c r="C92" s="653" t="s">
        <v>326</v>
      </c>
      <c r="D92" s="253">
        <f>D26-90</f>
        <v>-90</v>
      </c>
      <c r="E92" s="253">
        <f>E26-90</f>
        <v>-90</v>
      </c>
      <c r="F92" s="253">
        <f>2*(D92+E92)/1000</f>
        <v>-0.36</v>
      </c>
      <c r="G92" s="250">
        <f>G26</f>
        <v>0</v>
      </c>
      <c r="H92" s="250">
        <v>0.27100000000000002</v>
      </c>
      <c r="I92" s="59">
        <f>ROUND(F92*G92*H92,3)</f>
        <v>0</v>
      </c>
    </row>
    <row r="93" spans="2:14" ht="18" customHeight="1">
      <c r="B93" s="648"/>
      <c r="C93" s="658"/>
      <c r="D93" s="253">
        <f t="shared" ref="D93:E96" si="16">D27-90</f>
        <v>-90</v>
      </c>
      <c r="E93" s="253">
        <f t="shared" si="16"/>
        <v>-90</v>
      </c>
      <c r="F93" s="253">
        <f>2*(D93+E93)/1000</f>
        <v>-0.36</v>
      </c>
      <c r="G93" s="250">
        <f>G27</f>
        <v>0</v>
      </c>
      <c r="H93" s="250">
        <f>H92</f>
        <v>0.27100000000000002</v>
      </c>
      <c r="I93" s="59">
        <f>ROUND(F93*G93*H93,3)</f>
        <v>0</v>
      </c>
      <c r="M93" s="42"/>
    </row>
    <row r="94" spans="2:14" ht="18" customHeight="1">
      <c r="B94" s="648"/>
      <c r="C94" s="658"/>
      <c r="D94" s="253">
        <f t="shared" si="16"/>
        <v>-90</v>
      </c>
      <c r="E94" s="253">
        <f t="shared" si="16"/>
        <v>-90</v>
      </c>
      <c r="F94" s="253">
        <f>2*(D94+E94)/1000</f>
        <v>-0.36</v>
      </c>
      <c r="G94" s="250">
        <f>G28</f>
        <v>0</v>
      </c>
      <c r="H94" s="250">
        <f>H93</f>
        <v>0.27100000000000002</v>
      </c>
      <c r="I94" s="59">
        <f>ROUND(F94*G94*H94,3)</f>
        <v>0</v>
      </c>
    </row>
    <row r="95" spans="2:14" ht="18" customHeight="1">
      <c r="B95" s="648"/>
      <c r="C95" s="658"/>
      <c r="D95" s="253">
        <f t="shared" si="16"/>
        <v>-90</v>
      </c>
      <c r="E95" s="253">
        <f t="shared" si="16"/>
        <v>-90</v>
      </c>
      <c r="F95" s="253">
        <f>2*(D95+E95)/1000</f>
        <v>-0.36</v>
      </c>
      <c r="G95" s="250">
        <f>G29</f>
        <v>0</v>
      </c>
      <c r="H95" s="250">
        <f>H94</f>
        <v>0.27100000000000002</v>
      </c>
      <c r="I95" s="59">
        <f>ROUND(F95*G95*H95,3)</f>
        <v>0</v>
      </c>
    </row>
    <row r="96" spans="2:14" ht="18" customHeight="1">
      <c r="B96" s="648"/>
      <c r="C96" s="659"/>
      <c r="D96" s="253">
        <f t="shared" si="16"/>
        <v>-90</v>
      </c>
      <c r="E96" s="253">
        <f t="shared" si="16"/>
        <v>-90</v>
      </c>
      <c r="F96" s="253">
        <f>2*(D96+E96)/1000</f>
        <v>-0.36</v>
      </c>
      <c r="G96" s="250">
        <f>G30</f>
        <v>0</v>
      </c>
      <c r="H96" s="250">
        <f>H95</f>
        <v>0.27100000000000002</v>
      </c>
      <c r="I96" s="59">
        <f>ROUND(F96*G96*H96,3)</f>
        <v>0</v>
      </c>
    </row>
    <row r="97" spans="2:13" ht="18" customHeight="1">
      <c r="B97" s="48" t="s">
        <v>42</v>
      </c>
      <c r="C97" s="49">
        <f>SUMPRODUCT(F92:F96*G92:G96)</f>
        <v>0</v>
      </c>
      <c r="D97" s="50" t="s">
        <v>43</v>
      </c>
      <c r="E97" s="49">
        <f>SUM(I92:I96)*1.1</f>
        <v>0</v>
      </c>
      <c r="F97" s="50" t="s">
        <v>44</v>
      </c>
      <c r="G97" s="51">
        <f>(C$218+C$222)/1000</f>
        <v>39.781500000000001</v>
      </c>
      <c r="H97" s="52" t="s">
        <v>45</v>
      </c>
      <c r="I97" s="53">
        <f>ROUND(E97*G97,2)</f>
        <v>0</v>
      </c>
    </row>
    <row r="98" spans="2:13" ht="18" customHeight="1">
      <c r="B98" s="48" t="s">
        <v>46</v>
      </c>
      <c r="C98" s="50">
        <v>186.72</v>
      </c>
      <c r="D98" s="50" t="s">
        <v>47</v>
      </c>
      <c r="E98" s="49">
        <f>ROUND(C97*(C98/1000),2)</f>
        <v>0</v>
      </c>
      <c r="F98" s="50" t="s">
        <v>48</v>
      </c>
      <c r="G98" s="50">
        <f>G$23</f>
        <v>10</v>
      </c>
      <c r="H98" s="52" t="s">
        <v>49</v>
      </c>
      <c r="I98" s="53">
        <f>E98*G98</f>
        <v>0</v>
      </c>
    </row>
    <row r="99" spans="2:13" ht="18" customHeight="1">
      <c r="B99" s="48" t="s">
        <v>50</v>
      </c>
      <c r="C99" s="50">
        <v>0</v>
      </c>
      <c r="D99" s="50" t="s">
        <v>51</v>
      </c>
      <c r="E99" s="49">
        <f>ROUND(C97*(C99/1000),2)</f>
        <v>0</v>
      </c>
      <c r="F99" s="50" t="s">
        <v>48</v>
      </c>
      <c r="G99" s="50">
        <f>G$24</f>
        <v>10</v>
      </c>
      <c r="H99" s="52" t="s">
        <v>49</v>
      </c>
      <c r="I99" s="53">
        <f>E99*G99</f>
        <v>0</v>
      </c>
    </row>
    <row r="100" spans="2:13" ht="18" customHeight="1">
      <c r="B100" s="23" t="s">
        <v>36</v>
      </c>
      <c r="C100" s="252" t="s">
        <v>14</v>
      </c>
      <c r="D100" s="252" t="s">
        <v>37</v>
      </c>
      <c r="E100" s="252" t="s">
        <v>38</v>
      </c>
      <c r="F100" s="252" t="s">
        <v>39</v>
      </c>
      <c r="G100" s="252" t="s">
        <v>8</v>
      </c>
      <c r="H100" s="252" t="s">
        <v>22</v>
      </c>
      <c r="I100" s="25" t="s">
        <v>40</v>
      </c>
    </row>
    <row r="101" spans="2:13" ht="18" customHeight="1">
      <c r="B101" s="648" t="s">
        <v>84</v>
      </c>
      <c r="C101" s="653" t="str">
        <f>C92</f>
        <v>SDL2281</v>
      </c>
      <c r="D101" s="253">
        <f>D35-122</f>
        <v>-122</v>
      </c>
      <c r="E101" s="253">
        <f t="shared" ref="D101:E103" si="17">E35-122</f>
        <v>-122</v>
      </c>
      <c r="F101" s="253">
        <f>2*(D101+E101)/1000</f>
        <v>-0.48799999999999999</v>
      </c>
      <c r="G101" s="250">
        <f>G35</f>
        <v>0</v>
      </c>
      <c r="H101" s="250">
        <f>H96</f>
        <v>0.27100000000000002</v>
      </c>
      <c r="I101" s="59">
        <f>ROUND(F101*G101*H101,3)</f>
        <v>0</v>
      </c>
    </row>
    <row r="102" spans="2:13" ht="18" customHeight="1">
      <c r="B102" s="648"/>
      <c r="C102" s="650"/>
      <c r="D102" s="253">
        <f t="shared" si="17"/>
        <v>-122</v>
      </c>
      <c r="E102" s="253">
        <f t="shared" si="17"/>
        <v>-122</v>
      </c>
      <c r="F102" s="253">
        <f>2*(D102+E102)/1000</f>
        <v>-0.48799999999999999</v>
      </c>
      <c r="G102" s="250">
        <f>G36</f>
        <v>0</v>
      </c>
      <c r="H102" s="250">
        <f>H101</f>
        <v>0.27100000000000002</v>
      </c>
      <c r="I102" s="59">
        <f>ROUND(F102*G102*H102,3)</f>
        <v>0</v>
      </c>
      <c r="K102" s="99"/>
      <c r="M102" s="99"/>
    </row>
    <row r="103" spans="2:13" ht="18" customHeight="1">
      <c r="B103" s="648"/>
      <c r="C103" s="651"/>
      <c r="D103" s="253">
        <f t="shared" si="17"/>
        <v>-122</v>
      </c>
      <c r="E103" s="253">
        <f t="shared" si="17"/>
        <v>-122</v>
      </c>
      <c r="F103" s="253">
        <f>2*(D103+E103)/1000</f>
        <v>-0.48799999999999999</v>
      </c>
      <c r="G103" s="250">
        <f>G37</f>
        <v>0</v>
      </c>
      <c r="H103" s="250">
        <f>H102</f>
        <v>0.27100000000000002</v>
      </c>
      <c r="I103" s="59">
        <f>ROUND(F103*G103*H103,3)</f>
        <v>0</v>
      </c>
      <c r="M103" s="99"/>
    </row>
    <row r="104" spans="2:13" ht="18" customHeight="1">
      <c r="B104" s="48" t="s">
        <v>42</v>
      </c>
      <c r="C104" s="49">
        <f>SUMPRODUCT(F101:F103*G101:G103)</f>
        <v>0</v>
      </c>
      <c r="D104" s="50" t="s">
        <v>43</v>
      </c>
      <c r="E104" s="49">
        <f>SUM(I101:I103)*1.1</f>
        <v>0</v>
      </c>
      <c r="F104" s="50" t="s">
        <v>44</v>
      </c>
      <c r="G104" s="51">
        <f>(C$218+C$222)/1000</f>
        <v>39.781500000000001</v>
      </c>
      <c r="H104" s="52" t="s">
        <v>45</v>
      </c>
      <c r="I104" s="53">
        <f>ROUND(E104*G104,2)</f>
        <v>0</v>
      </c>
    </row>
    <row r="105" spans="2:13" ht="18" customHeight="1">
      <c r="B105" s="48" t="s">
        <v>46</v>
      </c>
      <c r="C105" s="50">
        <v>186.72</v>
      </c>
      <c r="D105" s="50" t="s">
        <v>47</v>
      </c>
      <c r="E105" s="49">
        <f>ROUND(C104*(C105/1000),2)</f>
        <v>0</v>
      </c>
      <c r="F105" s="50" t="s">
        <v>48</v>
      </c>
      <c r="G105" s="50">
        <f>G$23</f>
        <v>10</v>
      </c>
      <c r="H105" s="52" t="s">
        <v>49</v>
      </c>
      <c r="I105" s="53">
        <f>ROUND(E105*G105,2)</f>
        <v>0</v>
      </c>
    </row>
    <row r="106" spans="2:13" ht="18" customHeight="1">
      <c r="B106" s="48" t="s">
        <v>50</v>
      </c>
      <c r="C106" s="50">
        <v>0</v>
      </c>
      <c r="D106" s="50" t="s">
        <v>51</v>
      </c>
      <c r="E106" s="49">
        <f>ROUND(C104*(C106/1000),2)</f>
        <v>0</v>
      </c>
      <c r="F106" s="50" t="s">
        <v>48</v>
      </c>
      <c r="G106" s="50">
        <f>G$24</f>
        <v>10</v>
      </c>
      <c r="H106" s="52" t="s">
        <v>49</v>
      </c>
      <c r="I106" s="53">
        <f>ROUND(E106*G106,2)</f>
        <v>0</v>
      </c>
    </row>
    <row r="107" spans="2:13" ht="18" customHeight="1">
      <c r="B107" s="23" t="s">
        <v>36</v>
      </c>
      <c r="C107" s="252" t="s">
        <v>14</v>
      </c>
      <c r="D107" s="252" t="s">
        <v>37</v>
      </c>
      <c r="E107" s="252" t="s">
        <v>38</v>
      </c>
      <c r="F107" s="252" t="s">
        <v>39</v>
      </c>
      <c r="G107" s="252" t="s">
        <v>8</v>
      </c>
      <c r="H107" s="252" t="s">
        <v>22</v>
      </c>
      <c r="I107" s="25" t="s">
        <v>40</v>
      </c>
    </row>
    <row r="108" spans="2:13" ht="18" customHeight="1">
      <c r="B108" s="648" t="s">
        <v>85</v>
      </c>
      <c r="C108" s="655" t="s">
        <v>86</v>
      </c>
      <c r="D108" s="250"/>
      <c r="E108" s="250"/>
      <c r="F108" s="250">
        <f>ROUND((D108+E108)*2/1000,4)</f>
        <v>0</v>
      </c>
      <c r="G108" s="250"/>
      <c r="H108" s="250">
        <v>1.857</v>
      </c>
      <c r="I108" s="59">
        <f>ROUND(F108*G108*H108,3)</f>
        <v>0</v>
      </c>
    </row>
    <row r="109" spans="2:13" ht="18" customHeight="1">
      <c r="B109" s="648"/>
      <c r="C109" s="656"/>
      <c r="D109" s="250"/>
      <c r="E109" s="250"/>
      <c r="F109" s="250">
        <f>ROUND((D109+E109)*2/1000,4)</f>
        <v>0</v>
      </c>
      <c r="G109" s="250"/>
      <c r="H109" s="250">
        <f>H108</f>
        <v>1.857</v>
      </c>
      <c r="I109" s="59">
        <f>ROUND(F109*G109*H109,3)</f>
        <v>0</v>
      </c>
      <c r="K109" s="42"/>
      <c r="L109" s="42"/>
      <c r="M109" s="42"/>
    </row>
    <row r="110" spans="2:13" ht="18" customHeight="1">
      <c r="B110" s="648"/>
      <c r="C110" s="656"/>
      <c r="D110" s="250"/>
      <c r="E110" s="250"/>
      <c r="F110" s="250">
        <f>ROUND((D110+E110)*2/1000,4)</f>
        <v>0</v>
      </c>
      <c r="G110" s="250"/>
      <c r="H110" s="250">
        <f>H109</f>
        <v>1.857</v>
      </c>
      <c r="I110" s="59">
        <f>ROUND(F110*G110*H110,3)</f>
        <v>0</v>
      </c>
      <c r="K110" s="42"/>
      <c r="L110" s="42"/>
      <c r="M110" s="42"/>
    </row>
    <row r="111" spans="2:13" ht="18" customHeight="1">
      <c r="B111" s="648"/>
      <c r="C111" s="657"/>
      <c r="D111" s="250"/>
      <c r="E111" s="250"/>
      <c r="F111" s="250">
        <f>ROUND((D111+E111)*2/1000,4)</f>
        <v>0</v>
      </c>
      <c r="G111" s="250"/>
      <c r="H111" s="250">
        <f>H110</f>
        <v>1.857</v>
      </c>
      <c r="I111" s="59">
        <f>ROUND(F111*G111*H111,3)</f>
        <v>0</v>
      </c>
      <c r="K111" s="42"/>
      <c r="L111" s="42"/>
      <c r="M111" s="42"/>
    </row>
    <row r="112" spans="2:13" ht="18" customHeight="1">
      <c r="B112" s="48" t="s">
        <v>42</v>
      </c>
      <c r="C112" s="49">
        <f>SUMPRODUCT(F108:F111*G108:G111)</f>
        <v>0</v>
      </c>
      <c r="D112" s="50" t="s">
        <v>43</v>
      </c>
      <c r="E112" s="49">
        <f>SUM(I108:I111)*1.1</f>
        <v>0</v>
      </c>
      <c r="F112" s="50" t="s">
        <v>44</v>
      </c>
      <c r="G112" s="51">
        <f>(C$218+C$219)/1000</f>
        <v>46.081499999999998</v>
      </c>
      <c r="H112" s="52" t="s">
        <v>45</v>
      </c>
      <c r="I112" s="53">
        <f>ROUND(E112*G112,2)</f>
        <v>0</v>
      </c>
      <c r="J112" s="243">
        <f>SUM(G108:G111)</f>
        <v>0</v>
      </c>
      <c r="K112" s="42"/>
      <c r="L112" s="42"/>
      <c r="M112" s="42"/>
    </row>
    <row r="113" spans="2:14" ht="18" customHeight="1">
      <c r="B113" s="48" t="s">
        <v>46</v>
      </c>
      <c r="C113" s="50">
        <v>241.03</v>
      </c>
      <c r="D113" s="50" t="s">
        <v>47</v>
      </c>
      <c r="E113" s="49">
        <f>ROUND(C112*(C113/1000),2)</f>
        <v>0</v>
      </c>
      <c r="F113" s="50" t="s">
        <v>48</v>
      </c>
      <c r="G113" s="50">
        <f>G$23</f>
        <v>10</v>
      </c>
      <c r="H113" s="52" t="s">
        <v>49</v>
      </c>
      <c r="I113" s="53">
        <f>E113*G113</f>
        <v>0</v>
      </c>
      <c r="K113" s="42"/>
      <c r="L113" s="42"/>
      <c r="M113" s="42"/>
    </row>
    <row r="114" spans="2:14" ht="18" customHeight="1" thickBot="1">
      <c r="B114" s="48" t="s">
        <v>50</v>
      </c>
      <c r="C114" s="50">
        <v>204.38</v>
      </c>
      <c r="D114" s="50" t="s">
        <v>51</v>
      </c>
      <c r="E114" s="49">
        <f>ROUND(C112*(C114/1000),2)</f>
        <v>0</v>
      </c>
      <c r="F114" s="50" t="s">
        <v>48</v>
      </c>
      <c r="G114" s="50">
        <f>G$24</f>
        <v>10</v>
      </c>
      <c r="H114" s="52" t="s">
        <v>49</v>
      </c>
      <c r="I114" s="53">
        <f>E114*G114</f>
        <v>0</v>
      </c>
    </row>
    <row r="115" spans="2:14" ht="18" customHeight="1" thickBot="1">
      <c r="B115" s="23" t="s">
        <v>36</v>
      </c>
      <c r="C115" s="252" t="s">
        <v>14</v>
      </c>
      <c r="D115" s="252" t="s">
        <v>37</v>
      </c>
      <c r="E115" s="252" t="s">
        <v>38</v>
      </c>
      <c r="F115" s="252" t="s">
        <v>39</v>
      </c>
      <c r="G115" s="252" t="s">
        <v>8</v>
      </c>
      <c r="H115" s="252" t="s">
        <v>22</v>
      </c>
      <c r="I115" s="25" t="s">
        <v>40</v>
      </c>
      <c r="J115" s="54" t="s">
        <v>2</v>
      </c>
      <c r="K115" s="55" t="s">
        <v>3</v>
      </c>
      <c r="L115" s="55" t="s">
        <v>61</v>
      </c>
      <c r="M115" s="55" t="s">
        <v>62</v>
      </c>
      <c r="N115" s="70" t="s">
        <v>14</v>
      </c>
    </row>
    <row r="116" spans="2:14" ht="18" customHeight="1">
      <c r="B116" s="648" t="s">
        <v>87</v>
      </c>
      <c r="C116" s="649" t="s">
        <v>88</v>
      </c>
      <c r="D116" s="253">
        <f t="shared" ref="D116:E118" si="18">J116-IF(L116=1,78,IF(L116=2,55.5,IF(L116=3,41,0)))</f>
        <v>0</v>
      </c>
      <c r="E116" s="253">
        <f t="shared" si="18"/>
        <v>0</v>
      </c>
      <c r="F116" s="250">
        <f>ROUND((D116+E116)*2/1000,4)</f>
        <v>0</v>
      </c>
      <c r="G116" s="250"/>
      <c r="H116" s="58">
        <v>2.456</v>
      </c>
      <c r="I116" s="59">
        <f>ROUND(F116*G116*H116,3)</f>
        <v>0</v>
      </c>
      <c r="J116" s="60"/>
      <c r="K116" s="61"/>
      <c r="L116" s="61"/>
      <c r="M116" s="61"/>
      <c r="N116" s="76" t="s">
        <v>56</v>
      </c>
    </row>
    <row r="117" spans="2:14" ht="18" customHeight="1">
      <c r="B117" s="648"/>
      <c r="C117" s="650"/>
      <c r="D117" s="253">
        <f t="shared" si="18"/>
        <v>0</v>
      </c>
      <c r="E117" s="253">
        <f t="shared" si="18"/>
        <v>0</v>
      </c>
      <c r="F117" s="250">
        <f>ROUND((D117+E117)*2/1000,4)</f>
        <v>0</v>
      </c>
      <c r="G117" s="250">
        <v>0</v>
      </c>
      <c r="H117" s="58">
        <f>H116</f>
        <v>2.456</v>
      </c>
      <c r="I117" s="59">
        <f>ROUND(F117*G117*H117,3)</f>
        <v>0</v>
      </c>
      <c r="J117" s="60"/>
      <c r="K117" s="61"/>
      <c r="L117" s="61"/>
      <c r="M117" s="61"/>
      <c r="N117" s="76" t="s">
        <v>58</v>
      </c>
    </row>
    <row r="118" spans="2:14" ht="18" customHeight="1" thickBot="1">
      <c r="B118" s="648"/>
      <c r="C118" s="651"/>
      <c r="D118" s="253">
        <f t="shared" si="18"/>
        <v>0</v>
      </c>
      <c r="E118" s="253">
        <f t="shared" si="18"/>
        <v>0</v>
      </c>
      <c r="F118" s="250">
        <f>ROUND((D118+E118)*2/1000,4)</f>
        <v>0</v>
      </c>
      <c r="G118" s="250">
        <v>0</v>
      </c>
      <c r="H118" s="58">
        <f>H117</f>
        <v>2.456</v>
      </c>
      <c r="I118" s="59">
        <f>ROUND(F118*G118*H118,3)</f>
        <v>0</v>
      </c>
      <c r="J118" s="64"/>
      <c r="K118" s="65"/>
      <c r="L118" s="65"/>
      <c r="M118" s="65"/>
      <c r="N118" s="80" t="s">
        <v>89</v>
      </c>
    </row>
    <row r="119" spans="2:14" ht="18" customHeight="1">
      <c r="B119" s="48" t="s">
        <v>42</v>
      </c>
      <c r="C119" s="49">
        <f>SUMPRODUCT(F116:F118*G116:G118)</f>
        <v>0</v>
      </c>
      <c r="D119" s="100" t="s">
        <v>43</v>
      </c>
      <c r="E119" s="100">
        <f>SUM(I116:I118)*1.1</f>
        <v>0</v>
      </c>
      <c r="F119" s="50" t="s">
        <v>44</v>
      </c>
      <c r="G119" s="51">
        <f>(C$218+C$219)/1000</f>
        <v>46.081499999999998</v>
      </c>
      <c r="H119" s="52" t="s">
        <v>45</v>
      </c>
      <c r="I119" s="53">
        <f>ROUND(E119*G119,2)</f>
        <v>0</v>
      </c>
      <c r="J119" s="243">
        <f>SUM(G116:G118)</f>
        <v>0</v>
      </c>
      <c r="K119" s="255"/>
      <c r="L119" s="255"/>
      <c r="M119" s="255"/>
    </row>
    <row r="120" spans="2:14" ht="18" customHeight="1">
      <c r="B120" s="48" t="s">
        <v>46</v>
      </c>
      <c r="C120" s="50">
        <v>350.56</v>
      </c>
      <c r="D120" s="100" t="s">
        <v>47</v>
      </c>
      <c r="E120" s="100">
        <f>ROUND(C119*(C120/1000),2)</f>
        <v>0</v>
      </c>
      <c r="F120" s="50" t="s">
        <v>48</v>
      </c>
      <c r="G120" s="50">
        <f>G$23</f>
        <v>10</v>
      </c>
      <c r="H120" s="52" t="s">
        <v>49</v>
      </c>
      <c r="I120" s="53">
        <f>E120*G120</f>
        <v>0</v>
      </c>
      <c r="J120" s="255"/>
      <c r="K120" s="255"/>
      <c r="L120" s="255"/>
      <c r="M120" s="255"/>
    </row>
    <row r="121" spans="2:14" ht="18" customHeight="1" thickBot="1">
      <c r="B121" s="48" t="s">
        <v>50</v>
      </c>
      <c r="C121" s="50">
        <v>189.03</v>
      </c>
      <c r="D121" s="100" t="s">
        <v>51</v>
      </c>
      <c r="E121" s="100">
        <f>ROUND(C119*(C121/1000),2)</f>
        <v>0</v>
      </c>
      <c r="F121" s="50" t="s">
        <v>48</v>
      </c>
      <c r="G121" s="50">
        <f>G$24</f>
        <v>10</v>
      </c>
      <c r="H121" s="52" t="s">
        <v>49</v>
      </c>
      <c r="I121" s="53">
        <f>E121*G121</f>
        <v>0</v>
      </c>
      <c r="J121" s="255"/>
    </row>
    <row r="122" spans="2:14" ht="18" customHeight="1" thickBot="1">
      <c r="B122" s="23" t="s">
        <v>36</v>
      </c>
      <c r="C122" s="252" t="s">
        <v>14</v>
      </c>
      <c r="D122" s="101" t="s">
        <v>37</v>
      </c>
      <c r="E122" s="101" t="s">
        <v>38</v>
      </c>
      <c r="F122" s="252" t="s">
        <v>39</v>
      </c>
      <c r="G122" s="252" t="s">
        <v>8</v>
      </c>
      <c r="H122" s="252" t="s">
        <v>22</v>
      </c>
      <c r="I122" s="25" t="s">
        <v>40</v>
      </c>
      <c r="J122" s="54" t="s">
        <v>2</v>
      </c>
      <c r="K122" s="55" t="s">
        <v>3</v>
      </c>
      <c r="L122" s="55" t="s">
        <v>61</v>
      </c>
      <c r="M122" s="55" t="s">
        <v>62</v>
      </c>
      <c r="N122" s="70" t="s">
        <v>14</v>
      </c>
    </row>
    <row r="123" spans="2:14" ht="18" customHeight="1">
      <c r="B123" s="648" t="s">
        <v>90</v>
      </c>
      <c r="C123" s="649" t="s">
        <v>91</v>
      </c>
      <c r="D123" s="253">
        <f t="shared" ref="D123:E125" si="19">J123-IF(L123=1,78,IF(L123=2,55.5,IF(L123=3,41,0)))</f>
        <v>0</v>
      </c>
      <c r="E123" s="253">
        <f t="shared" si="19"/>
        <v>0</v>
      </c>
      <c r="F123" s="250">
        <f>ROUND((D123+E123)*2/1000,4)</f>
        <v>0</v>
      </c>
      <c r="G123" s="250"/>
      <c r="H123" s="58">
        <v>2.4710000000000001</v>
      </c>
      <c r="I123" s="59">
        <f>ROUND(F123*G123*H123,3)</f>
        <v>0</v>
      </c>
      <c r="J123" s="60"/>
      <c r="K123" s="61"/>
      <c r="L123" s="61"/>
      <c r="M123" s="61"/>
      <c r="N123" s="76" t="s">
        <v>56</v>
      </c>
    </row>
    <row r="124" spans="2:14" ht="18" customHeight="1">
      <c r="B124" s="648"/>
      <c r="C124" s="650"/>
      <c r="D124" s="253">
        <f t="shared" si="19"/>
        <v>0</v>
      </c>
      <c r="E124" s="253">
        <f t="shared" si="19"/>
        <v>0</v>
      </c>
      <c r="F124" s="250">
        <f>ROUND((D124+E124)*2/1000,4)</f>
        <v>0</v>
      </c>
      <c r="G124" s="250"/>
      <c r="H124" s="58">
        <f>H123</f>
        <v>2.4710000000000001</v>
      </c>
      <c r="I124" s="59">
        <f>ROUND(F124*G124*H124,3)</f>
        <v>0</v>
      </c>
      <c r="J124" s="60"/>
      <c r="K124" s="61"/>
      <c r="L124" s="61"/>
      <c r="M124" s="61"/>
      <c r="N124" s="76" t="s">
        <v>58</v>
      </c>
    </row>
    <row r="125" spans="2:14" ht="18" customHeight="1" thickBot="1">
      <c r="B125" s="648"/>
      <c r="C125" s="651"/>
      <c r="D125" s="253">
        <f t="shared" si="19"/>
        <v>0</v>
      </c>
      <c r="E125" s="253">
        <f t="shared" si="19"/>
        <v>0</v>
      </c>
      <c r="F125" s="250">
        <f>ROUND((D125+E125)*2/1000,4)</f>
        <v>0</v>
      </c>
      <c r="G125" s="250"/>
      <c r="H125" s="58">
        <f>H124</f>
        <v>2.4710000000000001</v>
      </c>
      <c r="I125" s="59">
        <f>ROUND(F125*G125*H125,3)</f>
        <v>0</v>
      </c>
      <c r="J125" s="64"/>
      <c r="K125" s="65"/>
      <c r="L125" s="65"/>
      <c r="M125" s="65"/>
      <c r="N125" s="80" t="s">
        <v>89</v>
      </c>
    </row>
    <row r="126" spans="2:14" ht="18" customHeight="1">
      <c r="B126" s="48" t="s">
        <v>42</v>
      </c>
      <c r="C126" s="49">
        <f>SUMPRODUCT(F123:F125*G123:G125)</f>
        <v>0</v>
      </c>
      <c r="D126" s="50" t="s">
        <v>43</v>
      </c>
      <c r="E126" s="49">
        <f>SUM(I123:I125)*1.1</f>
        <v>0</v>
      </c>
      <c r="F126" s="50" t="s">
        <v>44</v>
      </c>
      <c r="G126" s="51">
        <f>(C$218+C$221)/1000</f>
        <v>46.081499999999998</v>
      </c>
      <c r="H126" s="52" t="s">
        <v>45</v>
      </c>
      <c r="I126" s="53">
        <f>ROUND(E126*G126,2)</f>
        <v>0</v>
      </c>
      <c r="J126" s="243">
        <f>SUM(G123:G125)</f>
        <v>0</v>
      </c>
      <c r="K126" s="255"/>
      <c r="L126" s="255"/>
      <c r="M126" s="255"/>
    </row>
    <row r="127" spans="2:14" ht="18" customHeight="1">
      <c r="B127" s="48" t="s">
        <v>46</v>
      </c>
      <c r="C127" s="50">
        <v>236.53</v>
      </c>
      <c r="D127" s="50" t="s">
        <v>47</v>
      </c>
      <c r="E127" s="49">
        <f>ROUND(C126*(C127/1000),2)</f>
        <v>0</v>
      </c>
      <c r="F127" s="50" t="s">
        <v>48</v>
      </c>
      <c r="G127" s="50">
        <f>G$23</f>
        <v>10</v>
      </c>
      <c r="H127" s="52" t="s">
        <v>49</v>
      </c>
      <c r="I127" s="53">
        <f>E127*G127</f>
        <v>0</v>
      </c>
      <c r="J127" s="255"/>
      <c r="K127" s="255"/>
      <c r="L127" s="255"/>
      <c r="M127" s="255"/>
    </row>
    <row r="128" spans="2:14" ht="18" customHeight="1" thickBot="1">
      <c r="B128" s="48" t="s">
        <v>50</v>
      </c>
      <c r="C128" s="50">
        <v>311.02999999999997</v>
      </c>
      <c r="D128" s="50" t="s">
        <v>51</v>
      </c>
      <c r="E128" s="49">
        <f>ROUND(C126*(C128/1000),2)</f>
        <v>0</v>
      </c>
      <c r="F128" s="50" t="s">
        <v>48</v>
      </c>
      <c r="G128" s="50">
        <f>G$24</f>
        <v>10</v>
      </c>
      <c r="H128" s="52" t="s">
        <v>49</v>
      </c>
      <c r="I128" s="53">
        <f>E128*G128</f>
        <v>0</v>
      </c>
      <c r="J128" s="255"/>
    </row>
    <row r="129" spans="2:14" ht="18" customHeight="1" thickBot="1">
      <c r="B129" s="23" t="s">
        <v>36</v>
      </c>
      <c r="C129" s="252" t="s">
        <v>14</v>
      </c>
      <c r="D129" s="252" t="s">
        <v>37</v>
      </c>
      <c r="E129" s="252" t="s">
        <v>71</v>
      </c>
      <c r="F129" s="252" t="s">
        <v>38</v>
      </c>
      <c r="G129" s="252" t="s">
        <v>72</v>
      </c>
      <c r="H129" s="252" t="s">
        <v>22</v>
      </c>
      <c r="I129" s="25" t="s">
        <v>40</v>
      </c>
      <c r="J129" s="54" t="s">
        <v>2</v>
      </c>
      <c r="K129" s="55" t="s">
        <v>3</v>
      </c>
      <c r="L129" s="55" t="s">
        <v>61</v>
      </c>
      <c r="M129" s="55" t="s">
        <v>62</v>
      </c>
      <c r="N129" s="70" t="s">
        <v>14</v>
      </c>
    </row>
    <row r="130" spans="2:14" ht="18" customHeight="1">
      <c r="B130" s="648" t="s">
        <v>92</v>
      </c>
      <c r="C130" s="649" t="s">
        <v>93</v>
      </c>
      <c r="D130" s="253">
        <f>J130-IF(L130=1,81,IF(L130=2,58.5,IF(L130=3,36,0)))</f>
        <v>0</v>
      </c>
      <c r="E130" s="253">
        <v>0</v>
      </c>
      <c r="F130" s="253">
        <f>K130-IF(M130=1,81,IF(M130=2,58.5,IF(M130=3,36,0)))</f>
        <v>0</v>
      </c>
      <c r="G130" s="250">
        <v>0</v>
      </c>
      <c r="H130" s="250">
        <v>2.0489999999999999</v>
      </c>
      <c r="I130" s="59">
        <f>ROUND((D130*E130+F130*G130)/1000*H130,3)</f>
        <v>0</v>
      </c>
      <c r="J130" s="60"/>
      <c r="K130" s="61"/>
      <c r="L130" s="61"/>
      <c r="M130" s="61"/>
      <c r="N130" s="76" t="s">
        <v>56</v>
      </c>
    </row>
    <row r="131" spans="2:14" ht="18" customHeight="1">
      <c r="B131" s="648"/>
      <c r="C131" s="650"/>
      <c r="D131" s="253">
        <f>J131-IF(L131=1,81,IF(L131=2,58.5,IF(L131=3,36,0)))</f>
        <v>0</v>
      </c>
      <c r="E131" s="253">
        <v>0</v>
      </c>
      <c r="F131" s="253">
        <f>K131-IF(M131=1,81,IF(M131=2,58.5,IF(M131=3,36,0)))</f>
        <v>0</v>
      </c>
      <c r="G131" s="250"/>
      <c r="H131" s="250">
        <f>H130</f>
        <v>2.0489999999999999</v>
      </c>
      <c r="I131" s="59">
        <f>ROUND((D131*E131+F131*G131)/1000*H131,3)</f>
        <v>0</v>
      </c>
      <c r="J131" s="60"/>
      <c r="K131" s="61"/>
      <c r="L131" s="61"/>
      <c r="M131" s="61"/>
      <c r="N131" s="76" t="s">
        <v>58</v>
      </c>
    </row>
    <row r="132" spans="2:14" ht="18" customHeight="1" thickBot="1">
      <c r="B132" s="648"/>
      <c r="C132" s="651"/>
      <c r="D132" s="253">
        <f>J132-IF(L132=1,81,IF(L132=2,58.5,IF(L132=3,36,0)))</f>
        <v>0</v>
      </c>
      <c r="E132" s="253"/>
      <c r="F132" s="253">
        <f>K132-IF(M132=1,81,IF(M132=2,58.5,IF(M132=3,36,0)))</f>
        <v>0</v>
      </c>
      <c r="G132" s="250"/>
      <c r="H132" s="250">
        <f>H131</f>
        <v>2.0489999999999999</v>
      </c>
      <c r="I132" s="59">
        <f>ROUND((D132*E132+F132*G132)/1000*H132,3)</f>
        <v>0</v>
      </c>
      <c r="J132" s="64"/>
      <c r="K132" s="65"/>
      <c r="L132" s="65"/>
      <c r="M132" s="65"/>
      <c r="N132" s="80" t="s">
        <v>89</v>
      </c>
    </row>
    <row r="133" spans="2:14" ht="18" customHeight="1">
      <c r="B133" s="48" t="s">
        <v>42</v>
      </c>
      <c r="C133" s="49">
        <f>SUMPRODUCT(D130:D132*E130:E132+F130:F132*G130:G132)/1000</f>
        <v>0</v>
      </c>
      <c r="D133" s="50" t="s">
        <v>43</v>
      </c>
      <c r="E133" s="49">
        <f>SUM(I130:I132)*1.1</f>
        <v>0</v>
      </c>
      <c r="F133" s="50" t="s">
        <v>44</v>
      </c>
      <c r="G133" s="51">
        <f>(C$218+C$219)/1000</f>
        <v>46.081499999999998</v>
      </c>
      <c r="H133" s="52" t="s">
        <v>45</v>
      </c>
      <c r="I133" s="53">
        <f>ROUND(E133*G133,2)</f>
        <v>0</v>
      </c>
      <c r="J133" s="243">
        <f>SUM(G130:G132)+SUM(E130:E132)</f>
        <v>0</v>
      </c>
    </row>
    <row r="134" spans="2:14" ht="18" customHeight="1">
      <c r="B134" s="48" t="s">
        <v>46</v>
      </c>
      <c r="C134" s="50">
        <v>298.42</v>
      </c>
      <c r="D134" s="50" t="s">
        <v>47</v>
      </c>
      <c r="E134" s="49">
        <f>ROUND(C133*(C134/1000),2)</f>
        <v>0</v>
      </c>
      <c r="F134" s="50" t="s">
        <v>48</v>
      </c>
      <c r="G134" s="50">
        <f>G$23</f>
        <v>10</v>
      </c>
      <c r="H134" s="52" t="s">
        <v>49</v>
      </c>
      <c r="I134" s="53">
        <f>ROUND(E134*G134,2)</f>
        <v>0</v>
      </c>
    </row>
    <row r="135" spans="2:14" ht="18" customHeight="1">
      <c r="B135" s="48" t="s">
        <v>50</v>
      </c>
      <c r="C135" s="50">
        <v>208.08</v>
      </c>
      <c r="D135" s="50" t="s">
        <v>51</v>
      </c>
      <c r="E135" s="49">
        <f>ROUND(C133*(C135/1000),2)</f>
        <v>0</v>
      </c>
      <c r="F135" s="50" t="s">
        <v>48</v>
      </c>
      <c r="G135" s="50">
        <f>G$24</f>
        <v>10</v>
      </c>
      <c r="H135" s="52" t="s">
        <v>49</v>
      </c>
      <c r="I135" s="53">
        <f>ROUND(E135*G135,2)</f>
        <v>0</v>
      </c>
    </row>
    <row r="136" spans="2:14" ht="18" customHeight="1">
      <c r="B136" s="23" t="s">
        <v>36</v>
      </c>
      <c r="C136" s="252" t="s">
        <v>14</v>
      </c>
      <c r="D136" s="652" t="s">
        <v>38</v>
      </c>
      <c r="E136" s="652"/>
      <c r="F136" s="652"/>
      <c r="G136" s="252" t="s">
        <v>72</v>
      </c>
      <c r="H136" s="252" t="s">
        <v>22</v>
      </c>
      <c r="I136" s="25" t="s">
        <v>40</v>
      </c>
    </row>
    <row r="137" spans="2:14" ht="18" customHeight="1">
      <c r="B137" s="648" t="s">
        <v>94</v>
      </c>
      <c r="C137" s="649" t="s">
        <v>95</v>
      </c>
      <c r="D137" s="654">
        <f>E116</f>
        <v>0</v>
      </c>
      <c r="E137" s="646"/>
      <c r="F137" s="646"/>
      <c r="G137" s="250"/>
      <c r="H137" s="250">
        <v>1.3360000000000001</v>
      </c>
      <c r="I137" s="59">
        <f>ROUND(D137*H137*G137/1000,3)</f>
        <v>0</v>
      </c>
    </row>
    <row r="138" spans="2:14" ht="18" customHeight="1">
      <c r="B138" s="648"/>
      <c r="C138" s="651"/>
      <c r="D138" s="654"/>
      <c r="E138" s="646"/>
      <c r="F138" s="646"/>
      <c r="G138" s="250"/>
      <c r="H138" s="250">
        <f>H137</f>
        <v>1.3360000000000001</v>
      </c>
      <c r="I138" s="59">
        <f>ROUND(D138*H138*G138/1000,3)</f>
        <v>0</v>
      </c>
    </row>
    <row r="139" spans="2:14" ht="18" customHeight="1">
      <c r="B139" s="48" t="s">
        <v>42</v>
      </c>
      <c r="C139" s="49">
        <f>SUMPRODUCT(D137:F138*G137:G138)/1000</f>
        <v>0</v>
      </c>
      <c r="D139" s="50" t="s">
        <v>43</v>
      </c>
      <c r="E139" s="49">
        <f>SUM(I137:I138)*1.1</f>
        <v>0</v>
      </c>
      <c r="F139" s="50" t="s">
        <v>44</v>
      </c>
      <c r="G139" s="51">
        <f>(C$218+C$219)/1000</f>
        <v>46.081499999999998</v>
      </c>
      <c r="H139" s="52" t="s">
        <v>45</v>
      </c>
      <c r="I139" s="53">
        <f>ROUND(E139*G139,2)</f>
        <v>0</v>
      </c>
    </row>
    <row r="140" spans="2:14" ht="18" customHeight="1">
      <c r="B140" s="48" t="s">
        <v>46</v>
      </c>
      <c r="C140" s="50">
        <v>143.24</v>
      </c>
      <c r="D140" s="50" t="s">
        <v>47</v>
      </c>
      <c r="E140" s="49">
        <f>ROUND(C139*(C140/1000),2)</f>
        <v>0</v>
      </c>
      <c r="F140" s="50" t="s">
        <v>48</v>
      </c>
      <c r="G140" s="50">
        <f>G$23</f>
        <v>10</v>
      </c>
      <c r="H140" s="52" t="s">
        <v>49</v>
      </c>
      <c r="I140" s="53">
        <f>E140*G140</f>
        <v>0</v>
      </c>
    </row>
    <row r="141" spans="2:14" ht="18" customHeight="1">
      <c r="B141" s="48" t="s">
        <v>50</v>
      </c>
      <c r="C141" s="50">
        <v>85.04</v>
      </c>
      <c r="D141" s="50" t="s">
        <v>51</v>
      </c>
      <c r="E141" s="49">
        <f>ROUND(C139*(C141/1000),2)</f>
        <v>0</v>
      </c>
      <c r="F141" s="50" t="s">
        <v>48</v>
      </c>
      <c r="G141" s="50">
        <f>G$24</f>
        <v>10</v>
      </c>
      <c r="H141" s="52" t="s">
        <v>49</v>
      </c>
      <c r="I141" s="53">
        <f>E141*G141</f>
        <v>0</v>
      </c>
    </row>
    <row r="142" spans="2:14" ht="18" customHeight="1">
      <c r="B142" s="23" t="s">
        <v>36</v>
      </c>
      <c r="C142" s="252" t="s">
        <v>14</v>
      </c>
      <c r="D142" s="252" t="s">
        <v>37</v>
      </c>
      <c r="E142" s="252" t="s">
        <v>38</v>
      </c>
      <c r="F142" s="252" t="s">
        <v>39</v>
      </c>
      <c r="G142" s="252" t="s">
        <v>8</v>
      </c>
      <c r="H142" s="252" t="s">
        <v>22</v>
      </c>
      <c r="I142" s="25" t="s">
        <v>40</v>
      </c>
    </row>
    <row r="143" spans="2:14" ht="18" customHeight="1">
      <c r="B143" s="648" t="s">
        <v>96</v>
      </c>
      <c r="C143" s="653" t="s">
        <v>83</v>
      </c>
      <c r="D143" s="253">
        <f t="shared" ref="D143:E145" si="20">D116-154</f>
        <v>-154</v>
      </c>
      <c r="E143" s="253">
        <f t="shared" si="20"/>
        <v>-154</v>
      </c>
      <c r="F143" s="253">
        <f>(D143+E143)*2/1000</f>
        <v>-0.61599999999999999</v>
      </c>
      <c r="G143" s="250">
        <f>G116</f>
        <v>0</v>
      </c>
      <c r="H143" s="250">
        <v>0.27100000000000002</v>
      </c>
      <c r="I143" s="59">
        <f>ROUND((F143*G143)*H143,3)</f>
        <v>0</v>
      </c>
    </row>
    <row r="144" spans="2:14" ht="18" customHeight="1">
      <c r="B144" s="648"/>
      <c r="C144" s="650"/>
      <c r="D144" s="253">
        <f t="shared" si="20"/>
        <v>-154</v>
      </c>
      <c r="E144" s="253">
        <f t="shared" si="20"/>
        <v>-154</v>
      </c>
      <c r="F144" s="253">
        <f>(D144+E144)*2/1000</f>
        <v>-0.61599999999999999</v>
      </c>
      <c r="G144" s="250">
        <f>G117</f>
        <v>0</v>
      </c>
      <c r="H144" s="250">
        <f>H143</f>
        <v>0.27100000000000002</v>
      </c>
      <c r="I144" s="59">
        <f>ROUND((F144*G144)*H144,3)</f>
        <v>0</v>
      </c>
    </row>
    <row r="145" spans="2:14" ht="18" customHeight="1">
      <c r="B145" s="648"/>
      <c r="C145" s="651"/>
      <c r="D145" s="253">
        <f t="shared" si="20"/>
        <v>-154</v>
      </c>
      <c r="E145" s="253">
        <f t="shared" si="20"/>
        <v>-154</v>
      </c>
      <c r="F145" s="253">
        <f>(D145+E145)*2/1000</f>
        <v>-0.61599999999999999</v>
      </c>
      <c r="G145" s="250">
        <f>G118</f>
        <v>0</v>
      </c>
      <c r="H145" s="250">
        <f>H144</f>
        <v>0.27100000000000002</v>
      </c>
      <c r="I145" s="59">
        <f>ROUND((F145*G145)*H145,3)</f>
        <v>0</v>
      </c>
    </row>
    <row r="146" spans="2:14" ht="18" customHeight="1">
      <c r="B146" s="48" t="s">
        <v>42</v>
      </c>
      <c r="C146" s="49">
        <f>SUMPRODUCT(F143:F145*G143:G145)</f>
        <v>0</v>
      </c>
      <c r="D146" s="50" t="s">
        <v>43</v>
      </c>
      <c r="E146" s="49">
        <f>SUM(I143:I145)*1.1</f>
        <v>0</v>
      </c>
      <c r="F146" s="50" t="s">
        <v>44</v>
      </c>
      <c r="G146" s="51">
        <f>(C$218+C$222)/1000</f>
        <v>39.781500000000001</v>
      </c>
      <c r="H146" s="52" t="s">
        <v>45</v>
      </c>
      <c r="I146" s="53">
        <f>ROUND(E146*G146,2)</f>
        <v>0</v>
      </c>
    </row>
    <row r="147" spans="2:14" ht="18" customHeight="1">
      <c r="B147" s="48" t="s">
        <v>46</v>
      </c>
      <c r="C147" s="50">
        <v>186.72</v>
      </c>
      <c r="D147" s="50" t="s">
        <v>47</v>
      </c>
      <c r="E147" s="49">
        <f>ROUND(C146*(C147/1000),2)</f>
        <v>0</v>
      </c>
      <c r="F147" s="50" t="s">
        <v>48</v>
      </c>
      <c r="G147" s="50">
        <f>G$23</f>
        <v>10</v>
      </c>
      <c r="H147" s="52" t="s">
        <v>49</v>
      </c>
      <c r="I147" s="53">
        <f>E147*G147</f>
        <v>0</v>
      </c>
      <c r="K147" s="42"/>
      <c r="L147" s="42"/>
      <c r="M147" s="42"/>
    </row>
    <row r="148" spans="2:14" ht="18" customHeight="1">
      <c r="B148" s="48" t="s">
        <v>50</v>
      </c>
      <c r="C148" s="50">
        <v>0</v>
      </c>
      <c r="D148" s="50" t="s">
        <v>51</v>
      </c>
      <c r="E148" s="49">
        <f>ROUND(C146*(C148/1000),2)</f>
        <v>0</v>
      </c>
      <c r="F148" s="50" t="s">
        <v>48</v>
      </c>
      <c r="G148" s="50">
        <f>G$24</f>
        <v>10</v>
      </c>
      <c r="H148" s="52" t="s">
        <v>49</v>
      </c>
      <c r="I148" s="53">
        <f>E148*G148</f>
        <v>0</v>
      </c>
      <c r="K148" s="42"/>
      <c r="L148" s="42"/>
      <c r="M148" s="42"/>
    </row>
    <row r="149" spans="2:14" ht="18" customHeight="1">
      <c r="B149" s="23" t="s">
        <v>36</v>
      </c>
      <c r="C149" s="252" t="s">
        <v>14</v>
      </c>
      <c r="D149" s="252" t="s">
        <v>37</v>
      </c>
      <c r="E149" s="252" t="s">
        <v>38</v>
      </c>
      <c r="F149" s="252" t="s">
        <v>39</v>
      </c>
      <c r="G149" s="252" t="s">
        <v>8</v>
      </c>
      <c r="H149" s="252" t="s">
        <v>22</v>
      </c>
      <c r="I149" s="25" t="s">
        <v>40</v>
      </c>
      <c r="K149" s="42"/>
      <c r="L149" s="42"/>
      <c r="M149" s="42"/>
    </row>
    <row r="150" spans="2:14" ht="18" customHeight="1">
      <c r="B150" s="648" t="s">
        <v>97</v>
      </c>
      <c r="C150" s="653" t="s">
        <v>83</v>
      </c>
      <c r="D150" s="253">
        <f t="shared" ref="D150:E152" si="21">D123-160</f>
        <v>-160</v>
      </c>
      <c r="E150" s="253">
        <f t="shared" si="21"/>
        <v>-160</v>
      </c>
      <c r="F150" s="253">
        <f>(D150+E150)*2/1000</f>
        <v>-0.64</v>
      </c>
      <c r="G150" s="250">
        <f>G123</f>
        <v>0</v>
      </c>
      <c r="H150" s="250">
        <f>H145</f>
        <v>0.27100000000000002</v>
      </c>
      <c r="I150" s="59">
        <f>ROUND((F150*G150)*H150,3)</f>
        <v>0</v>
      </c>
      <c r="K150" s="42"/>
      <c r="L150" s="42"/>
      <c r="M150" s="42"/>
    </row>
    <row r="151" spans="2:14" ht="18" customHeight="1">
      <c r="B151" s="648"/>
      <c r="C151" s="650"/>
      <c r="D151" s="253">
        <f t="shared" si="21"/>
        <v>-160</v>
      </c>
      <c r="E151" s="253">
        <f t="shared" si="21"/>
        <v>-160</v>
      </c>
      <c r="F151" s="253">
        <f>(D151+E151)*2/1000</f>
        <v>-0.64</v>
      </c>
      <c r="G151" s="250">
        <f>G124</f>
        <v>0</v>
      </c>
      <c r="H151" s="250">
        <f>H150</f>
        <v>0.27100000000000002</v>
      </c>
      <c r="I151" s="59">
        <f>ROUND((F151*G151)*H151,3)</f>
        <v>0</v>
      </c>
      <c r="K151" s="42"/>
      <c r="L151" s="42"/>
      <c r="M151" s="42"/>
    </row>
    <row r="152" spans="2:14" ht="18" customHeight="1">
      <c r="B152" s="648"/>
      <c r="C152" s="651"/>
      <c r="D152" s="253">
        <f t="shared" si="21"/>
        <v>-160</v>
      </c>
      <c r="E152" s="253">
        <f t="shared" si="21"/>
        <v>-160</v>
      </c>
      <c r="F152" s="253">
        <f>(D152+E152)*2/1000</f>
        <v>-0.64</v>
      </c>
      <c r="G152" s="250">
        <f>G125</f>
        <v>0</v>
      </c>
      <c r="H152" s="250">
        <f>H151</f>
        <v>0.27100000000000002</v>
      </c>
      <c r="I152" s="59">
        <f>ROUND((F152*G152)*H152,3)</f>
        <v>0</v>
      </c>
      <c r="K152" s="42"/>
      <c r="L152" s="42"/>
      <c r="M152" s="42"/>
    </row>
    <row r="153" spans="2:14" ht="18" customHeight="1">
      <c r="B153" s="48" t="s">
        <v>42</v>
      </c>
      <c r="C153" s="49">
        <f>SUMPRODUCT(F150:F152*G150:G152)</f>
        <v>0</v>
      </c>
      <c r="D153" s="50" t="s">
        <v>43</v>
      </c>
      <c r="E153" s="49">
        <f>SUM(I150:I152)*1.1</f>
        <v>0</v>
      </c>
      <c r="F153" s="50" t="s">
        <v>44</v>
      </c>
      <c r="G153" s="51">
        <f>(C$218+C$222)/1000</f>
        <v>39.781500000000001</v>
      </c>
      <c r="H153" s="52" t="s">
        <v>45</v>
      </c>
      <c r="I153" s="53">
        <f>ROUND(E153*G153,2)</f>
        <v>0</v>
      </c>
      <c r="K153" s="42"/>
      <c r="L153" s="42"/>
      <c r="M153" s="42"/>
    </row>
    <row r="154" spans="2:14" ht="18" customHeight="1">
      <c r="B154" s="48" t="s">
        <v>46</v>
      </c>
      <c r="C154" s="50">
        <v>186.72</v>
      </c>
      <c r="D154" s="50" t="s">
        <v>47</v>
      </c>
      <c r="E154" s="49">
        <f>ROUND(C153*(C154/1000),2)</f>
        <v>0</v>
      </c>
      <c r="F154" s="50" t="s">
        <v>48</v>
      </c>
      <c r="G154" s="50">
        <f>G$23</f>
        <v>10</v>
      </c>
      <c r="H154" s="52" t="s">
        <v>49</v>
      </c>
      <c r="I154" s="53">
        <f>E154*G154</f>
        <v>0</v>
      </c>
    </row>
    <row r="155" spans="2:14" ht="18" customHeight="1" thickBot="1">
      <c r="B155" s="48" t="s">
        <v>50</v>
      </c>
      <c r="C155" s="50">
        <v>0</v>
      </c>
      <c r="D155" s="50" t="s">
        <v>51</v>
      </c>
      <c r="E155" s="49">
        <f>ROUND(C153*(C155/1000),2)</f>
        <v>0</v>
      </c>
      <c r="F155" s="50" t="s">
        <v>48</v>
      </c>
      <c r="G155" s="50">
        <f>G$24</f>
        <v>10</v>
      </c>
      <c r="H155" s="52" t="s">
        <v>49</v>
      </c>
      <c r="I155" s="53">
        <f>E155*G155</f>
        <v>0</v>
      </c>
    </row>
    <row r="156" spans="2:14" ht="18" customHeight="1" thickBot="1">
      <c r="B156" s="23" t="s">
        <v>36</v>
      </c>
      <c r="C156" s="252" t="s">
        <v>14</v>
      </c>
      <c r="D156" s="252" t="s">
        <v>37</v>
      </c>
      <c r="E156" s="252" t="s">
        <v>38</v>
      </c>
      <c r="F156" s="252" t="s">
        <v>39</v>
      </c>
      <c r="G156" s="252" t="s">
        <v>8</v>
      </c>
      <c r="H156" s="252" t="s">
        <v>22</v>
      </c>
      <c r="I156" s="25" t="s">
        <v>40</v>
      </c>
      <c r="J156" s="54" t="s">
        <v>2</v>
      </c>
      <c r="K156" s="55" t="s">
        <v>3</v>
      </c>
      <c r="L156" s="55" t="s">
        <v>61</v>
      </c>
      <c r="M156" s="55" t="s">
        <v>62</v>
      </c>
      <c r="N156" s="70" t="s">
        <v>14</v>
      </c>
    </row>
    <row r="157" spans="2:14" ht="18" customHeight="1">
      <c r="B157" s="648" t="s">
        <v>98</v>
      </c>
      <c r="C157" s="649" t="s">
        <v>99</v>
      </c>
      <c r="D157" s="253">
        <f t="shared" ref="D157:E162" si="22">J157-IF(L157=1,90,IF(L157=2,67.5,IF(L157=3,45,0)))</f>
        <v>0</v>
      </c>
      <c r="E157" s="253">
        <f t="shared" si="22"/>
        <v>0</v>
      </c>
      <c r="F157" s="253">
        <f t="shared" ref="F157:F162" si="23">2*(D157+E157)/1000</f>
        <v>0</v>
      </c>
      <c r="G157" s="250">
        <v>0</v>
      </c>
      <c r="H157" s="250">
        <f>H68</f>
        <v>0.224</v>
      </c>
      <c r="I157" s="59">
        <f t="shared" ref="I157:I162" si="24">ROUND((F157*G157)*H157,3)</f>
        <v>0</v>
      </c>
      <c r="J157" s="60"/>
      <c r="K157" s="61"/>
      <c r="L157" s="61"/>
      <c r="M157" s="61"/>
      <c r="N157" s="76" t="s">
        <v>56</v>
      </c>
    </row>
    <row r="158" spans="2:14" ht="18" customHeight="1">
      <c r="B158" s="648"/>
      <c r="C158" s="650"/>
      <c r="D158" s="253">
        <f t="shared" si="22"/>
        <v>0</v>
      </c>
      <c r="E158" s="253">
        <f t="shared" si="22"/>
        <v>0</v>
      </c>
      <c r="F158" s="253">
        <f t="shared" si="23"/>
        <v>0</v>
      </c>
      <c r="G158" s="250"/>
      <c r="H158" s="250">
        <f>H157</f>
        <v>0.224</v>
      </c>
      <c r="I158" s="59">
        <f t="shared" si="24"/>
        <v>0</v>
      </c>
      <c r="J158" s="60"/>
      <c r="K158" s="61"/>
      <c r="L158" s="61"/>
      <c r="M158" s="61"/>
      <c r="N158" s="76" t="s">
        <v>58</v>
      </c>
    </row>
    <row r="159" spans="2:14" ht="18" customHeight="1">
      <c r="B159" s="648"/>
      <c r="C159" s="650"/>
      <c r="D159" s="253">
        <f t="shared" si="22"/>
        <v>0</v>
      </c>
      <c r="E159" s="253">
        <f t="shared" si="22"/>
        <v>0</v>
      </c>
      <c r="F159" s="253">
        <f t="shared" si="23"/>
        <v>0</v>
      </c>
      <c r="G159" s="250"/>
      <c r="H159" s="250">
        <f>H158</f>
        <v>0.224</v>
      </c>
      <c r="I159" s="59">
        <f t="shared" si="24"/>
        <v>0</v>
      </c>
      <c r="J159" s="60"/>
      <c r="K159" s="61"/>
      <c r="L159" s="61"/>
      <c r="M159" s="61"/>
      <c r="N159" s="76" t="s">
        <v>60</v>
      </c>
    </row>
    <row r="160" spans="2:14" ht="18" customHeight="1">
      <c r="B160" s="648"/>
      <c r="C160" s="650"/>
      <c r="D160" s="253">
        <f t="shared" si="22"/>
        <v>0</v>
      </c>
      <c r="E160" s="253">
        <f t="shared" si="22"/>
        <v>0</v>
      </c>
      <c r="F160" s="253">
        <f t="shared" si="23"/>
        <v>0</v>
      </c>
      <c r="G160" s="250">
        <v>0</v>
      </c>
      <c r="H160" s="77">
        <f>H159</f>
        <v>0.224</v>
      </c>
      <c r="I160" s="59">
        <f t="shared" si="24"/>
        <v>0</v>
      </c>
      <c r="J160" s="60"/>
      <c r="K160" s="61"/>
      <c r="L160" s="61"/>
      <c r="M160" s="61"/>
      <c r="N160" s="76"/>
    </row>
    <row r="161" spans="2:16" ht="18" customHeight="1">
      <c r="B161" s="648"/>
      <c r="C161" s="650"/>
      <c r="D161" s="253">
        <f t="shared" si="22"/>
        <v>0</v>
      </c>
      <c r="E161" s="253">
        <f t="shared" si="22"/>
        <v>0</v>
      </c>
      <c r="F161" s="253">
        <f t="shared" si="23"/>
        <v>0</v>
      </c>
      <c r="G161" s="250"/>
      <c r="H161" s="250">
        <f>H160</f>
        <v>0.224</v>
      </c>
      <c r="I161" s="59">
        <f t="shared" si="24"/>
        <v>0</v>
      </c>
      <c r="J161" s="60"/>
      <c r="K161" s="61"/>
      <c r="L161" s="61"/>
      <c r="M161" s="61"/>
      <c r="N161" s="76"/>
    </row>
    <row r="162" spans="2:16" ht="18" customHeight="1" thickBot="1">
      <c r="B162" s="648"/>
      <c r="C162" s="651"/>
      <c r="D162" s="253">
        <f t="shared" si="22"/>
        <v>0</v>
      </c>
      <c r="E162" s="253">
        <f t="shared" si="22"/>
        <v>0</v>
      </c>
      <c r="F162" s="253">
        <f t="shared" si="23"/>
        <v>0</v>
      </c>
      <c r="G162" s="250"/>
      <c r="H162" s="250">
        <f>H160</f>
        <v>0.224</v>
      </c>
      <c r="I162" s="59">
        <f t="shared" si="24"/>
        <v>0</v>
      </c>
      <c r="J162" s="64"/>
      <c r="K162" s="65"/>
      <c r="L162" s="65"/>
      <c r="M162" s="65"/>
      <c r="N162" s="80"/>
    </row>
    <row r="163" spans="2:16" ht="18" customHeight="1">
      <c r="B163" s="48" t="s">
        <v>42</v>
      </c>
      <c r="C163" s="49">
        <f>SUMPRODUCT(F157:F162*G157:G162)</f>
        <v>0</v>
      </c>
      <c r="D163" s="50" t="s">
        <v>43</v>
      </c>
      <c r="E163" s="49">
        <f>SUM(I157:I162)*1.1</f>
        <v>0</v>
      </c>
      <c r="F163" s="50" t="s">
        <v>44</v>
      </c>
      <c r="G163" s="51">
        <f>(C$218+C$222)/1000</f>
        <v>39.781500000000001</v>
      </c>
      <c r="H163" s="52" t="s">
        <v>45</v>
      </c>
      <c r="I163" s="53">
        <f>ROUND(E163*G163,2)</f>
        <v>0</v>
      </c>
      <c r="J163" s="102"/>
      <c r="K163" s="102"/>
      <c r="L163" s="102"/>
      <c r="M163" s="102"/>
      <c r="O163" s="102"/>
      <c r="P163" s="102"/>
    </row>
    <row r="164" spans="2:16" ht="18" customHeight="1">
      <c r="B164" s="48" t="s">
        <v>46</v>
      </c>
      <c r="C164" s="50">
        <v>181.72</v>
      </c>
      <c r="D164" s="50" t="s">
        <v>47</v>
      </c>
      <c r="E164" s="49">
        <f>ROUND(C163*(C164/1000),2)</f>
        <v>0</v>
      </c>
      <c r="F164" s="50" t="s">
        <v>48</v>
      </c>
      <c r="G164" s="50">
        <f>G$23</f>
        <v>10</v>
      </c>
      <c r="H164" s="52" t="s">
        <v>49</v>
      </c>
      <c r="I164" s="53">
        <f>E164*G164</f>
        <v>0</v>
      </c>
      <c r="J164" s="102"/>
      <c r="K164" s="102"/>
      <c r="L164" s="102"/>
      <c r="M164" s="102"/>
      <c r="O164" s="102"/>
      <c r="P164" s="102"/>
    </row>
    <row r="165" spans="2:16" ht="18" customHeight="1">
      <c r="B165" s="48" t="s">
        <v>50</v>
      </c>
      <c r="C165" s="50"/>
      <c r="D165" s="50" t="s">
        <v>51</v>
      </c>
      <c r="E165" s="49">
        <f>ROUND(C163*(C165/1000),2)</f>
        <v>0</v>
      </c>
      <c r="F165" s="50" t="s">
        <v>48</v>
      </c>
      <c r="G165" s="50">
        <f>G$24</f>
        <v>10</v>
      </c>
      <c r="H165" s="52" t="s">
        <v>49</v>
      </c>
      <c r="I165" s="53">
        <f>E165*G165</f>
        <v>0</v>
      </c>
      <c r="K165" s="43">
        <f>J165*E165</f>
        <v>0</v>
      </c>
    </row>
    <row r="166" spans="2:16" ht="18" customHeight="1">
      <c r="B166" s="23" t="s">
        <v>36</v>
      </c>
      <c r="C166" s="252" t="s">
        <v>14</v>
      </c>
      <c r="D166" s="252" t="s">
        <v>37</v>
      </c>
      <c r="E166" s="252" t="s">
        <v>71</v>
      </c>
      <c r="F166" s="252" t="s">
        <v>38</v>
      </c>
      <c r="G166" s="252" t="s">
        <v>72</v>
      </c>
      <c r="H166" s="252" t="s">
        <v>22</v>
      </c>
      <c r="I166" s="25" t="s">
        <v>40</v>
      </c>
    </row>
    <row r="167" spans="2:16" ht="18" customHeight="1">
      <c r="B167" s="648" t="s">
        <v>100</v>
      </c>
      <c r="C167" s="649" t="s">
        <v>101</v>
      </c>
      <c r="D167" s="250"/>
      <c r="E167" s="250"/>
      <c r="F167" s="250"/>
      <c r="G167" s="250"/>
      <c r="H167" s="28">
        <v>6.3E-2</v>
      </c>
      <c r="I167" s="59">
        <f>ROUND((D167*E167+F167*G167)/1000*H167,3)</f>
        <v>0</v>
      </c>
    </row>
    <row r="168" spans="2:16" ht="18" customHeight="1">
      <c r="B168" s="648"/>
      <c r="C168" s="650"/>
      <c r="D168" s="250"/>
      <c r="E168" s="250"/>
      <c r="F168" s="250"/>
      <c r="G168" s="250"/>
      <c r="H168" s="28">
        <f>H167</f>
        <v>6.3E-2</v>
      </c>
      <c r="I168" s="59">
        <f>ROUND((D168*E168+F168*G168)/1000*H168,3)</f>
        <v>0</v>
      </c>
    </row>
    <row r="169" spans="2:16" ht="18" customHeight="1">
      <c r="B169" s="648"/>
      <c r="C169" s="651"/>
      <c r="D169" s="250"/>
      <c r="E169" s="250"/>
      <c r="F169" s="250"/>
      <c r="G169" s="250"/>
      <c r="H169" s="28">
        <f>H168</f>
        <v>6.3E-2</v>
      </c>
      <c r="I169" s="59">
        <f>ROUND((D169*E169+F169*G169)/1000*H169,3)</f>
        <v>0</v>
      </c>
    </row>
    <row r="170" spans="2:16" ht="18" customHeight="1">
      <c r="B170" s="48" t="s">
        <v>42</v>
      </c>
      <c r="C170" s="49">
        <f>SUMPRODUCT(D167:D169*E167:E169+F167:F169*G167:G169)/1000</f>
        <v>0</v>
      </c>
      <c r="D170" s="50" t="s">
        <v>43</v>
      </c>
      <c r="E170" s="49">
        <f>SUM(I167:I169)*1.1</f>
        <v>0</v>
      </c>
      <c r="F170" s="50" t="s">
        <v>44</v>
      </c>
      <c r="G170" s="51">
        <f>(C$218+$C$222)/1000</f>
        <v>39.781500000000001</v>
      </c>
      <c r="H170" s="52" t="s">
        <v>45</v>
      </c>
      <c r="I170" s="53">
        <f>ROUND(E170*G170,2)</f>
        <v>0</v>
      </c>
    </row>
    <row r="171" spans="2:16" ht="18" customHeight="1">
      <c r="B171" s="48" t="s">
        <v>46</v>
      </c>
      <c r="C171" s="50">
        <v>105.66</v>
      </c>
      <c r="D171" s="50" t="s">
        <v>47</v>
      </c>
      <c r="E171" s="49">
        <f>ROUND(C170*(C171/1000),2)</f>
        <v>0</v>
      </c>
      <c r="F171" s="50" t="s">
        <v>48</v>
      </c>
      <c r="G171" s="50">
        <f>G$23</f>
        <v>10</v>
      </c>
      <c r="H171" s="52" t="s">
        <v>49</v>
      </c>
      <c r="I171" s="53">
        <f>E171*G171</f>
        <v>0</v>
      </c>
    </row>
    <row r="172" spans="2:16" ht="18" customHeight="1">
      <c r="B172" s="48" t="s">
        <v>50</v>
      </c>
      <c r="C172" s="50">
        <v>125.66</v>
      </c>
      <c r="D172" s="50" t="s">
        <v>51</v>
      </c>
      <c r="E172" s="49">
        <f>ROUND(C170*(C172/1000),2)</f>
        <v>0</v>
      </c>
      <c r="F172" s="50" t="s">
        <v>48</v>
      </c>
      <c r="G172" s="50">
        <f>G$24</f>
        <v>10</v>
      </c>
      <c r="H172" s="52" t="s">
        <v>49</v>
      </c>
      <c r="I172" s="53">
        <f>E172*G172</f>
        <v>0</v>
      </c>
    </row>
    <row r="173" spans="2:16" ht="18" customHeight="1">
      <c r="B173" s="23" t="s">
        <v>36</v>
      </c>
      <c r="C173" s="252" t="s">
        <v>14</v>
      </c>
      <c r="D173" s="252" t="s">
        <v>37</v>
      </c>
      <c r="E173" s="252" t="s">
        <v>71</v>
      </c>
      <c r="F173" s="252" t="s">
        <v>38</v>
      </c>
      <c r="G173" s="252" t="s">
        <v>72</v>
      </c>
      <c r="H173" s="252" t="s">
        <v>22</v>
      </c>
      <c r="I173" s="25" t="s">
        <v>40</v>
      </c>
    </row>
    <row r="174" spans="2:16" ht="18" customHeight="1">
      <c r="B174" s="648" t="s">
        <v>102</v>
      </c>
      <c r="C174" s="649" t="s">
        <v>103</v>
      </c>
      <c r="D174" s="250"/>
      <c r="E174" s="250"/>
      <c r="F174" s="250"/>
      <c r="G174" s="250"/>
      <c r="H174" s="28">
        <v>1.0980000000000001</v>
      </c>
      <c r="I174" s="59">
        <f>ROUND((D174*E174+F174*G174)/1000*H174,3)</f>
        <v>0</v>
      </c>
    </row>
    <row r="175" spans="2:16" ht="18" customHeight="1">
      <c r="B175" s="648"/>
      <c r="C175" s="650"/>
      <c r="D175" s="250"/>
      <c r="E175" s="250"/>
      <c r="F175" s="250"/>
      <c r="G175" s="250"/>
      <c r="H175" s="28">
        <f>H174</f>
        <v>1.0980000000000001</v>
      </c>
      <c r="I175" s="59">
        <f>ROUND((D175*E175+F175*G175)/1000*H175,3)</f>
        <v>0</v>
      </c>
    </row>
    <row r="176" spans="2:16" ht="18" customHeight="1">
      <c r="B176" s="648"/>
      <c r="C176" s="651"/>
      <c r="D176" s="250"/>
      <c r="E176" s="250"/>
      <c r="F176" s="250"/>
      <c r="G176" s="250"/>
      <c r="H176" s="28">
        <f>H175</f>
        <v>1.0980000000000001</v>
      </c>
      <c r="I176" s="59">
        <f>ROUND((D176*E176+F176*G176)/1000*H176,3)</f>
        <v>0</v>
      </c>
    </row>
    <row r="177" spans="2:9" ht="18" customHeight="1">
      <c r="B177" s="48" t="s">
        <v>42</v>
      </c>
      <c r="C177" s="49">
        <f>SUMPRODUCT(D174:D176*E174:E176+F174:F176*G174:G176)/1000</f>
        <v>0</v>
      </c>
      <c r="D177" s="50" t="s">
        <v>43</v>
      </c>
      <c r="E177" s="49">
        <f>SUM(I174:I176)*1.1</f>
        <v>0</v>
      </c>
      <c r="F177" s="50" t="s">
        <v>44</v>
      </c>
      <c r="G177" s="51">
        <f>(C$218+C$219)/1000</f>
        <v>46.081499999999998</v>
      </c>
      <c r="H177" s="52" t="s">
        <v>45</v>
      </c>
      <c r="I177" s="53">
        <f>ROUND(E177*G177,2)</f>
        <v>0</v>
      </c>
    </row>
    <row r="178" spans="2:9" ht="18" customHeight="1">
      <c r="B178" s="48" t="s">
        <v>46</v>
      </c>
      <c r="C178" s="50">
        <v>105.66</v>
      </c>
      <c r="D178" s="50" t="s">
        <v>47</v>
      </c>
      <c r="E178" s="49">
        <f>ROUND(C177*(C178/1000),2)</f>
        <v>0</v>
      </c>
      <c r="F178" s="50" t="s">
        <v>48</v>
      </c>
      <c r="G178" s="50">
        <f>G$23</f>
        <v>10</v>
      </c>
      <c r="H178" s="52" t="s">
        <v>49</v>
      </c>
      <c r="I178" s="53">
        <f>E178*G178</f>
        <v>0</v>
      </c>
    </row>
    <row r="179" spans="2:9" ht="18" customHeight="1">
      <c r="B179" s="48" t="s">
        <v>50</v>
      </c>
      <c r="C179" s="50">
        <v>125.66</v>
      </c>
      <c r="D179" s="50" t="s">
        <v>51</v>
      </c>
      <c r="E179" s="49">
        <f>ROUND(C177*(C179/1000),2)</f>
        <v>0</v>
      </c>
      <c r="F179" s="50" t="s">
        <v>48</v>
      </c>
      <c r="G179" s="50">
        <f>G$24</f>
        <v>10</v>
      </c>
      <c r="H179" s="52" t="s">
        <v>49</v>
      </c>
      <c r="I179" s="53">
        <f>E179*G179</f>
        <v>0</v>
      </c>
    </row>
    <row r="180" spans="2:9" ht="18" customHeight="1">
      <c r="B180" s="23" t="s">
        <v>36</v>
      </c>
      <c r="C180" s="252" t="s">
        <v>14</v>
      </c>
      <c r="D180" s="252" t="s">
        <v>37</v>
      </c>
      <c r="E180" s="252" t="s">
        <v>71</v>
      </c>
      <c r="F180" s="252" t="s">
        <v>38</v>
      </c>
      <c r="G180" s="252" t="s">
        <v>72</v>
      </c>
      <c r="H180" s="252" t="s">
        <v>22</v>
      </c>
      <c r="I180" s="25" t="s">
        <v>40</v>
      </c>
    </row>
    <row r="181" spans="2:9" ht="18" customHeight="1">
      <c r="B181" s="648" t="s">
        <v>104</v>
      </c>
      <c r="C181" s="649" t="s">
        <v>105</v>
      </c>
      <c r="D181" s="250">
        <f>D6</f>
        <v>920</v>
      </c>
      <c r="E181" s="250"/>
      <c r="F181" s="250"/>
      <c r="G181" s="250"/>
      <c r="H181" s="28">
        <v>1.5629999999999999</v>
      </c>
      <c r="I181" s="59">
        <f>ROUND((D181*E181+F181*G181)/1000*H181,3)</f>
        <v>0</v>
      </c>
    </row>
    <row r="182" spans="2:9" ht="18" customHeight="1">
      <c r="B182" s="648"/>
      <c r="C182" s="650"/>
      <c r="D182" s="250"/>
      <c r="E182" s="250"/>
      <c r="F182" s="250"/>
      <c r="G182" s="250"/>
      <c r="H182" s="28">
        <f>H181</f>
        <v>1.5629999999999999</v>
      </c>
      <c r="I182" s="59">
        <f>ROUND((D182*E182+F182*G182)/1000*H182,3)</f>
        <v>0</v>
      </c>
    </row>
    <row r="183" spans="2:9" ht="18" customHeight="1">
      <c r="B183" s="648"/>
      <c r="C183" s="651"/>
      <c r="D183" s="250"/>
      <c r="E183" s="250"/>
      <c r="F183" s="250"/>
      <c r="G183" s="250"/>
      <c r="H183" s="28">
        <f>H182</f>
        <v>1.5629999999999999</v>
      </c>
      <c r="I183" s="59">
        <f>ROUND((D183*E183+F183*G183)/1000*H183,3)</f>
        <v>0</v>
      </c>
    </row>
    <row r="184" spans="2:9" ht="18" customHeight="1">
      <c r="B184" s="48" t="s">
        <v>42</v>
      </c>
      <c r="C184" s="49">
        <f>SUMPRODUCT(D181:D183*E181:E183+F181:F183*G181:G183)/1000</f>
        <v>0</v>
      </c>
      <c r="D184" s="50" t="s">
        <v>43</v>
      </c>
      <c r="E184" s="49">
        <f>SUM(I181:I183)*1.1</f>
        <v>0</v>
      </c>
      <c r="F184" s="50" t="s">
        <v>44</v>
      </c>
      <c r="G184" s="51">
        <f>(C$218+C$219)/1000</f>
        <v>46.081499999999998</v>
      </c>
      <c r="H184" s="52" t="s">
        <v>45</v>
      </c>
      <c r="I184" s="53">
        <f>ROUND(E184*G184,2)</f>
        <v>0</v>
      </c>
    </row>
    <row r="185" spans="2:9" ht="18" customHeight="1">
      <c r="B185" s="48" t="s">
        <v>46</v>
      </c>
      <c r="C185" s="50">
        <v>105.66</v>
      </c>
      <c r="D185" s="50" t="s">
        <v>47</v>
      </c>
      <c r="E185" s="49">
        <f>ROUND(C184*(C185/1000),2)</f>
        <v>0</v>
      </c>
      <c r="F185" s="50" t="s">
        <v>48</v>
      </c>
      <c r="G185" s="50">
        <f>G$23</f>
        <v>10</v>
      </c>
      <c r="H185" s="52" t="s">
        <v>49</v>
      </c>
      <c r="I185" s="53">
        <f>E185*G185</f>
        <v>0</v>
      </c>
    </row>
    <row r="186" spans="2:9" ht="18" customHeight="1">
      <c r="B186" s="48" t="s">
        <v>50</v>
      </c>
      <c r="C186" s="50">
        <v>125.66</v>
      </c>
      <c r="D186" s="50" t="s">
        <v>51</v>
      </c>
      <c r="E186" s="49">
        <f>ROUND(C184*(C186/1000),2)</f>
        <v>0</v>
      </c>
      <c r="F186" s="50" t="s">
        <v>48</v>
      </c>
      <c r="G186" s="50">
        <f>G$24</f>
        <v>10</v>
      </c>
      <c r="H186" s="52" t="s">
        <v>49</v>
      </c>
      <c r="I186" s="53">
        <f>E186*G186</f>
        <v>0</v>
      </c>
    </row>
    <row r="187" spans="2:9" ht="18" customHeight="1">
      <c r="B187" s="23" t="s">
        <v>36</v>
      </c>
      <c r="C187" s="252" t="s">
        <v>14</v>
      </c>
      <c r="D187" s="252" t="s">
        <v>37</v>
      </c>
      <c r="E187" s="252" t="s">
        <v>71</v>
      </c>
      <c r="F187" s="252" t="s">
        <v>38</v>
      </c>
      <c r="G187" s="252" t="s">
        <v>72</v>
      </c>
      <c r="H187" s="252" t="s">
        <v>22</v>
      </c>
      <c r="I187" s="25" t="s">
        <v>40</v>
      </c>
    </row>
    <row r="188" spans="2:9" ht="18" customHeight="1">
      <c r="B188" s="648" t="s">
        <v>106</v>
      </c>
      <c r="C188" s="649" t="s">
        <v>107</v>
      </c>
      <c r="D188" s="250"/>
      <c r="E188" s="250"/>
      <c r="F188" s="250"/>
      <c r="G188" s="250"/>
      <c r="H188" s="28">
        <v>1.732</v>
      </c>
      <c r="I188" s="59">
        <f>ROUND((D188*E188+F188*G188)/1000*H188,3)</f>
        <v>0</v>
      </c>
    </row>
    <row r="189" spans="2:9" ht="18" customHeight="1">
      <c r="B189" s="648"/>
      <c r="C189" s="650"/>
      <c r="D189" s="250"/>
      <c r="E189" s="250"/>
      <c r="F189" s="250"/>
      <c r="G189" s="250"/>
      <c r="H189" s="28">
        <f>H188</f>
        <v>1.732</v>
      </c>
      <c r="I189" s="59">
        <f>ROUND((D189*E189+F189*G189)/1000*H189,3)</f>
        <v>0</v>
      </c>
    </row>
    <row r="190" spans="2:9" ht="18" customHeight="1">
      <c r="B190" s="648"/>
      <c r="C190" s="651"/>
      <c r="D190" s="250"/>
      <c r="E190" s="250"/>
      <c r="F190" s="250">
        <f>E6</f>
        <v>1320</v>
      </c>
      <c r="G190" s="250"/>
      <c r="H190" s="28">
        <f>H189</f>
        <v>1.732</v>
      </c>
      <c r="I190" s="59">
        <f>ROUND((D190*E190+F190*G190)/1000*H190,3)</f>
        <v>0</v>
      </c>
    </row>
    <row r="191" spans="2:9" ht="18" customHeight="1">
      <c r="B191" s="48" t="s">
        <v>42</v>
      </c>
      <c r="C191" s="49">
        <f>SUMPRODUCT(D188:D190*E188:E190+F188:F190*G188:G190)/1000</f>
        <v>0</v>
      </c>
      <c r="D191" s="50" t="s">
        <v>43</v>
      </c>
      <c r="E191" s="49">
        <f>SUM(I188:I190)*1.1</f>
        <v>0</v>
      </c>
      <c r="F191" s="50" t="s">
        <v>44</v>
      </c>
      <c r="G191" s="51">
        <f>(C$218+C$219)/1000</f>
        <v>46.081499999999998</v>
      </c>
      <c r="H191" s="52" t="s">
        <v>45</v>
      </c>
      <c r="I191" s="53">
        <f>ROUND(E191*G191,2)</f>
        <v>0</v>
      </c>
    </row>
    <row r="192" spans="2:9" ht="18" customHeight="1">
      <c r="B192" s="48" t="s">
        <v>46</v>
      </c>
      <c r="C192" s="50">
        <v>105.66</v>
      </c>
      <c r="D192" s="50" t="s">
        <v>47</v>
      </c>
      <c r="E192" s="49">
        <f>ROUND(C191*(C192/1000),2)</f>
        <v>0</v>
      </c>
      <c r="F192" s="50" t="s">
        <v>48</v>
      </c>
      <c r="G192" s="50">
        <f>G$23</f>
        <v>10</v>
      </c>
      <c r="H192" s="52" t="s">
        <v>49</v>
      </c>
      <c r="I192" s="53">
        <f>E192*G192</f>
        <v>0</v>
      </c>
    </row>
    <row r="193" spans="2:15" ht="18" customHeight="1">
      <c r="B193" s="48" t="s">
        <v>50</v>
      </c>
      <c r="C193" s="50">
        <v>125.66</v>
      </c>
      <c r="D193" s="50" t="s">
        <v>51</v>
      </c>
      <c r="E193" s="49">
        <f>ROUND(C191*(C193/1000),2)</f>
        <v>0</v>
      </c>
      <c r="F193" s="50" t="s">
        <v>48</v>
      </c>
      <c r="G193" s="50">
        <f>G$24</f>
        <v>10</v>
      </c>
      <c r="H193" s="52" t="s">
        <v>49</v>
      </c>
      <c r="I193" s="53">
        <f>E193*G193</f>
        <v>0</v>
      </c>
    </row>
    <row r="194" spans="2:15" ht="18" customHeight="1">
      <c r="B194" s="23" t="s">
        <v>36</v>
      </c>
      <c r="C194" s="252" t="s">
        <v>14</v>
      </c>
      <c r="D194" s="652" t="s">
        <v>38</v>
      </c>
      <c r="E194" s="652"/>
      <c r="F194" s="652"/>
      <c r="G194" s="252" t="s">
        <v>72</v>
      </c>
      <c r="H194" s="252" t="s">
        <v>22</v>
      </c>
      <c r="I194" s="25" t="s">
        <v>40</v>
      </c>
    </row>
    <row r="195" spans="2:15" ht="18" customHeight="1">
      <c r="B195" s="643" t="s">
        <v>108</v>
      </c>
      <c r="C195" s="645" t="s">
        <v>109</v>
      </c>
      <c r="D195" s="646"/>
      <c r="E195" s="646"/>
      <c r="F195" s="646"/>
      <c r="G195" s="250"/>
      <c r="H195" s="250">
        <v>1.796</v>
      </c>
      <c r="I195" s="59">
        <f>ROUND((D195*G195*H195)/1000,3)</f>
        <v>0</v>
      </c>
    </row>
    <row r="196" spans="2:15" ht="18" customHeight="1">
      <c r="B196" s="644"/>
      <c r="C196" s="640"/>
      <c r="D196" s="646"/>
      <c r="E196" s="646"/>
      <c r="F196" s="646"/>
      <c r="G196" s="250"/>
      <c r="H196" s="250">
        <f>H195</f>
        <v>1.796</v>
      </c>
      <c r="I196" s="59">
        <f>ROUND((D196*G196*H196)/1000,3)</f>
        <v>0</v>
      </c>
    </row>
    <row r="197" spans="2:15" ht="18" customHeight="1">
      <c r="B197" s="643" t="s">
        <v>110</v>
      </c>
      <c r="C197" s="645" t="s">
        <v>111</v>
      </c>
      <c r="D197" s="646"/>
      <c r="E197" s="646"/>
      <c r="F197" s="646"/>
      <c r="G197" s="250"/>
      <c r="H197" s="250">
        <v>1.355</v>
      </c>
      <c r="I197" s="59"/>
    </row>
    <row r="198" spans="2:15" ht="18" customHeight="1">
      <c r="B198" s="644"/>
      <c r="C198" s="640"/>
      <c r="D198" s="646"/>
      <c r="E198" s="646"/>
      <c r="F198" s="646"/>
      <c r="G198" s="250"/>
      <c r="H198" s="250">
        <f>H197</f>
        <v>1.355</v>
      </c>
      <c r="I198" s="59"/>
    </row>
    <row r="199" spans="2:15" ht="18" customHeight="1">
      <c r="B199" s="48" t="s">
        <v>42</v>
      </c>
      <c r="C199" s="49">
        <f>SUMPRODUCT(D195:F198*G195:G198)/1000</f>
        <v>0</v>
      </c>
      <c r="D199" s="50" t="s">
        <v>43</v>
      </c>
      <c r="E199" s="49">
        <f>SUM(I195:I198)*1.1</f>
        <v>0</v>
      </c>
      <c r="F199" s="50" t="s">
        <v>44</v>
      </c>
      <c r="G199" s="51">
        <f>(C$218+C$219)/1000</f>
        <v>46.081499999999998</v>
      </c>
      <c r="H199" s="52" t="s">
        <v>45</v>
      </c>
      <c r="I199" s="53">
        <f>ROUND(E199*G199,2)</f>
        <v>0</v>
      </c>
    </row>
    <row r="200" spans="2:15" ht="18" customHeight="1">
      <c r="B200" s="48" t="s">
        <v>46</v>
      </c>
      <c r="C200" s="50">
        <v>267.77999999999997</v>
      </c>
      <c r="D200" s="50" t="s">
        <v>47</v>
      </c>
      <c r="E200" s="49">
        <f>ROUND(C199*(C200/1000),2)</f>
        <v>0</v>
      </c>
      <c r="F200" s="50" t="s">
        <v>48</v>
      </c>
      <c r="G200" s="50">
        <f>G$23</f>
        <v>10</v>
      </c>
      <c r="H200" s="52" t="s">
        <v>49</v>
      </c>
      <c r="I200" s="53">
        <f>E200*G200</f>
        <v>0</v>
      </c>
    </row>
    <row r="201" spans="2:15" ht="18" customHeight="1">
      <c r="B201" s="48" t="s">
        <v>50</v>
      </c>
      <c r="C201" s="50">
        <v>104.29</v>
      </c>
      <c r="D201" s="50" t="s">
        <v>51</v>
      </c>
      <c r="E201" s="49">
        <f>ROUND(C199*(C201/1000),2)</f>
        <v>0</v>
      </c>
      <c r="F201" s="50" t="s">
        <v>48</v>
      </c>
      <c r="G201" s="50">
        <f>G$24</f>
        <v>10</v>
      </c>
      <c r="H201" s="52" t="s">
        <v>49</v>
      </c>
      <c r="I201" s="53">
        <f>E201*G201</f>
        <v>0</v>
      </c>
    </row>
    <row r="202" spans="2:15" ht="18" customHeight="1">
      <c r="B202" s="103" t="s">
        <v>112</v>
      </c>
      <c r="C202" s="104" t="s">
        <v>113</v>
      </c>
      <c r="D202" s="104" t="s">
        <v>28</v>
      </c>
      <c r="E202" s="104" t="s">
        <v>8</v>
      </c>
      <c r="F202" s="104" t="s">
        <v>112</v>
      </c>
      <c r="G202" s="104" t="s">
        <v>113</v>
      </c>
      <c r="H202" s="104" t="s">
        <v>28</v>
      </c>
      <c r="I202" s="105" t="s">
        <v>8</v>
      </c>
      <c r="N202" s="106"/>
      <c r="O202" s="102"/>
    </row>
    <row r="203" spans="2:15" ht="18" customHeight="1">
      <c r="B203" s="251" t="s">
        <v>327</v>
      </c>
      <c r="C203" s="107" t="s">
        <v>114</v>
      </c>
      <c r="D203" s="108">
        <v>2.15</v>
      </c>
      <c r="E203" s="253">
        <f>SUM(G14:G21)*4</f>
        <v>4</v>
      </c>
      <c r="F203" s="647" t="s">
        <v>115</v>
      </c>
      <c r="G203" s="107" t="s">
        <v>116</v>
      </c>
      <c r="H203" s="108">
        <v>2.46</v>
      </c>
      <c r="I203" s="247">
        <f>SUM(G108:G111)*4</f>
        <v>0</v>
      </c>
      <c r="J203" s="42"/>
      <c r="N203" s="106"/>
      <c r="O203" s="102"/>
    </row>
    <row r="204" spans="2:15" ht="18" customHeight="1">
      <c r="B204" s="251" t="s">
        <v>328</v>
      </c>
      <c r="C204" s="107" t="s">
        <v>117</v>
      </c>
      <c r="D204" s="108">
        <v>1.72</v>
      </c>
      <c r="E204" s="253">
        <f>E203</f>
        <v>4</v>
      </c>
      <c r="F204" s="646"/>
      <c r="G204" s="107" t="s">
        <v>118</v>
      </c>
      <c r="H204" s="108">
        <v>3.11</v>
      </c>
      <c r="I204" s="247">
        <f>I203</f>
        <v>0</v>
      </c>
      <c r="J204" s="42"/>
      <c r="N204" s="106"/>
      <c r="O204" s="102"/>
    </row>
    <row r="205" spans="2:15" ht="18" customHeight="1">
      <c r="B205" s="109" t="s">
        <v>330</v>
      </c>
      <c r="C205" s="107" t="s">
        <v>119</v>
      </c>
      <c r="D205" s="108">
        <v>2.68</v>
      </c>
      <c r="E205" s="253">
        <f>SUM(G26:G30)*4</f>
        <v>0</v>
      </c>
      <c r="F205" s="110" t="s">
        <v>120</v>
      </c>
      <c r="G205" s="107" t="s">
        <v>121</v>
      </c>
      <c r="H205" s="111">
        <v>4.76</v>
      </c>
      <c r="I205" s="247">
        <f>SUM(G123:G125)*4</f>
        <v>0</v>
      </c>
      <c r="J205" s="42"/>
      <c r="N205" s="106"/>
      <c r="O205" s="102"/>
    </row>
    <row r="206" spans="2:15" ht="18" customHeight="1">
      <c r="B206" s="109" t="s">
        <v>329</v>
      </c>
      <c r="C206" s="107" t="s">
        <v>122</v>
      </c>
      <c r="D206" s="108">
        <v>1.27</v>
      </c>
      <c r="E206" s="253">
        <f>E205</f>
        <v>0</v>
      </c>
      <c r="F206" s="110" t="s">
        <v>123</v>
      </c>
      <c r="G206" s="107" t="s">
        <v>124</v>
      </c>
      <c r="H206" s="111">
        <v>3.85</v>
      </c>
      <c r="I206" s="247">
        <f>I205</f>
        <v>0</v>
      </c>
      <c r="J206" s="42"/>
      <c r="N206" s="106"/>
      <c r="O206" s="102"/>
    </row>
    <row r="207" spans="2:15" ht="18" customHeight="1">
      <c r="B207" s="109" t="s">
        <v>331</v>
      </c>
      <c r="C207" s="107" t="s">
        <v>125</v>
      </c>
      <c r="D207" s="111" t="s">
        <v>126</v>
      </c>
      <c r="E207" s="253">
        <f>SUM(G35:G37)*4</f>
        <v>0</v>
      </c>
      <c r="F207" s="110" t="s">
        <v>127</v>
      </c>
      <c r="G207" s="107" t="s">
        <v>128</v>
      </c>
      <c r="H207" s="111">
        <v>4.29</v>
      </c>
      <c r="I207" s="247">
        <f>SUM(G116:G118)*4</f>
        <v>0</v>
      </c>
      <c r="J207" s="42"/>
      <c r="N207" s="106"/>
      <c r="O207" s="102"/>
    </row>
    <row r="208" spans="2:15" ht="18" customHeight="1">
      <c r="B208" s="109" t="s">
        <v>332</v>
      </c>
      <c r="C208" s="107" t="s">
        <v>129</v>
      </c>
      <c r="D208" s="111" t="s">
        <v>130</v>
      </c>
      <c r="E208" s="253">
        <f>E207</f>
        <v>0</v>
      </c>
      <c r="F208" s="110" t="s">
        <v>131</v>
      </c>
      <c r="G208" s="107" t="s">
        <v>132</v>
      </c>
      <c r="H208" s="111">
        <v>4.5</v>
      </c>
      <c r="I208" s="247">
        <f>I207</f>
        <v>0</v>
      </c>
      <c r="J208" s="42"/>
      <c r="N208" s="106"/>
      <c r="O208" s="102"/>
    </row>
    <row r="209" spans="2:15" ht="18" customHeight="1">
      <c r="B209" s="249" t="s">
        <v>333</v>
      </c>
      <c r="C209" s="250">
        <v>12.6</v>
      </c>
      <c r="D209" s="111">
        <v>1.32</v>
      </c>
      <c r="E209" s="253">
        <f>SUM(G42:G47)*4</f>
        <v>0</v>
      </c>
      <c r="F209" s="639"/>
      <c r="G209" s="107"/>
      <c r="H209" s="28"/>
      <c r="I209" s="247"/>
      <c r="N209" s="106"/>
      <c r="O209" s="102"/>
    </row>
    <row r="210" spans="2:15" ht="18" customHeight="1">
      <c r="B210" s="249" t="s">
        <v>334</v>
      </c>
      <c r="C210" s="250">
        <v>15.8</v>
      </c>
      <c r="D210" s="111">
        <v>1.18</v>
      </c>
      <c r="E210" s="253">
        <f>E209</f>
        <v>0</v>
      </c>
      <c r="F210" s="640"/>
      <c r="G210" s="107"/>
      <c r="H210" s="28"/>
      <c r="I210" s="231"/>
      <c r="N210" s="106"/>
      <c r="O210" s="102"/>
    </row>
    <row r="211" spans="2:15" ht="18" customHeight="1">
      <c r="B211" s="251" t="s">
        <v>335</v>
      </c>
      <c r="C211" s="107" t="s">
        <v>337</v>
      </c>
      <c r="D211" s="111">
        <v>2.81</v>
      </c>
      <c r="E211" s="250">
        <f>SUM(E52+E53+E54+E55+G52+G53+G54+G55+G60+G61+G62+G63)*2</f>
        <v>2</v>
      </c>
      <c r="F211" s="641" t="s">
        <v>133</v>
      </c>
      <c r="G211" s="111">
        <f>SUMPRODUCT(D35:D37,G35:G37)/1000</f>
        <v>0</v>
      </c>
      <c r="H211" s="28">
        <v>0.16</v>
      </c>
      <c r="I211" s="232">
        <f>G211*H211</f>
        <v>0</v>
      </c>
      <c r="N211" s="106"/>
      <c r="O211" s="102"/>
    </row>
    <row r="212" spans="2:15" ht="18" customHeight="1">
      <c r="B212" s="251" t="s">
        <v>336</v>
      </c>
      <c r="C212" s="107" t="s">
        <v>338</v>
      </c>
      <c r="D212" s="111">
        <v>3.51</v>
      </c>
      <c r="E212" s="250">
        <f>E211</f>
        <v>2</v>
      </c>
      <c r="F212" s="641"/>
      <c r="G212" s="111">
        <f>SUMPRODUCT(D26:D30,G26:G30)/1000</f>
        <v>0</v>
      </c>
      <c r="H212" s="28">
        <v>0.16</v>
      </c>
      <c r="I212" s="232">
        <f>G212*H212</f>
        <v>0</v>
      </c>
      <c r="N212" s="106"/>
      <c r="O212" s="102"/>
    </row>
    <row r="213" spans="2:15" ht="18" customHeight="1">
      <c r="B213" s="251" t="s">
        <v>134</v>
      </c>
      <c r="C213" s="250">
        <v>30.6</v>
      </c>
      <c r="D213" s="111">
        <v>2.81</v>
      </c>
      <c r="E213" s="253">
        <f>SUM(+E130+E131+E132+G130+G131+G132)*2</f>
        <v>0</v>
      </c>
      <c r="F213" s="641" t="s">
        <v>135</v>
      </c>
      <c r="G213" s="111">
        <f>SUMPRODUCT(E26:E30,G26:G30)/1000</f>
        <v>0</v>
      </c>
      <c r="H213" s="28">
        <v>0.16</v>
      </c>
      <c r="I213" s="232">
        <f>G213*H213</f>
        <v>0</v>
      </c>
      <c r="N213" s="106"/>
      <c r="O213" s="102"/>
    </row>
    <row r="214" spans="2:15" ht="18" customHeight="1">
      <c r="B214" s="251" t="s">
        <v>136</v>
      </c>
      <c r="C214" s="250">
        <v>30.6</v>
      </c>
      <c r="D214" s="111">
        <v>3.51</v>
      </c>
      <c r="E214" s="253">
        <f>E213</f>
        <v>0</v>
      </c>
      <c r="F214" s="641"/>
      <c r="G214" s="111">
        <f>SUMPRODUCT(E35:E37,G35:G37)/1000</f>
        <v>0</v>
      </c>
      <c r="H214" s="28">
        <v>0.16</v>
      </c>
      <c r="I214" s="232">
        <f>G214*H214</f>
        <v>0</v>
      </c>
      <c r="N214" s="106"/>
      <c r="O214" s="102"/>
    </row>
    <row r="215" spans="2:15" ht="18" customHeight="1">
      <c r="B215" s="52" t="s">
        <v>137</v>
      </c>
      <c r="C215" s="112" cm="1">
        <f t="array" ref="C215">SUMPRODUCT(D203:D214*E203:E214)+SUMPRODUCT(H203:H210*I203:I210)</f>
        <v>28.12</v>
      </c>
      <c r="D215" s="52"/>
      <c r="E215" s="52"/>
      <c r="F215" s="52"/>
      <c r="G215" s="52" t="s">
        <v>138</v>
      </c>
      <c r="H215" s="52" cm="1">
        <f t="array" ref="H215">SUMPRODUCT(G211:G214*H211:H214)</f>
        <v>0</v>
      </c>
      <c r="I215" s="233">
        <f>H215*1.08</f>
        <v>0</v>
      </c>
      <c r="N215" s="106"/>
      <c r="O215" s="102"/>
    </row>
    <row r="216" spans="2:15" ht="18" customHeight="1">
      <c r="B216" s="23" t="s">
        <v>139</v>
      </c>
      <c r="C216" s="252" t="s">
        <v>14</v>
      </c>
      <c r="D216" s="252" t="s">
        <v>22</v>
      </c>
      <c r="E216" s="252" t="s">
        <v>8</v>
      </c>
      <c r="F216" s="252" t="s">
        <v>113</v>
      </c>
      <c r="G216" s="252" t="s">
        <v>40</v>
      </c>
      <c r="H216" s="252" t="s">
        <v>28</v>
      </c>
      <c r="I216" s="25" t="s">
        <v>29</v>
      </c>
      <c r="N216" s="106"/>
      <c r="O216" s="102"/>
    </row>
    <row r="217" spans="2:15" ht="18" customHeight="1">
      <c r="B217" s="48" t="s">
        <v>140</v>
      </c>
      <c r="C217" s="52" t="s">
        <v>141</v>
      </c>
      <c r="D217" s="50">
        <v>0.14199999999999999</v>
      </c>
      <c r="E217" s="50">
        <v>1</v>
      </c>
      <c r="F217" s="50">
        <f>D6</f>
        <v>920</v>
      </c>
      <c r="G217" s="128">
        <f>D217*F217*E217/1000*1.1</f>
        <v>0.143704</v>
      </c>
      <c r="H217" s="52">
        <f>(C218+C222)/1000</f>
        <v>39.781500000000001</v>
      </c>
      <c r="I217" s="193">
        <f>G217*H217</f>
        <v>5.7167606759999998</v>
      </c>
      <c r="N217" s="106"/>
      <c r="O217" s="102"/>
    </row>
    <row r="218" spans="2:15" ht="18" customHeight="1">
      <c r="B218" s="37" t="s">
        <v>142</v>
      </c>
      <c r="C218" s="113">
        <f>材料价格!B4</f>
        <v>22081.5</v>
      </c>
      <c r="D218" s="39" t="s">
        <v>143</v>
      </c>
      <c r="E218" s="114">
        <f>E139+E133+E126+E119+E112+E199+E177+E64+E56+E48+E38+E31+E22+E184+E191</f>
        <v>24.029500000000006</v>
      </c>
      <c r="F218" s="39" t="s">
        <v>144</v>
      </c>
      <c r="G218" s="115">
        <f>I218/E218-C218/1000</f>
        <v>24.000191254499669</v>
      </c>
      <c r="H218" s="39" t="s">
        <v>145</v>
      </c>
      <c r="I218" s="116">
        <f>I22+I31+I38+I48+I56+I64+I199+I112+I119+I126+I133+I139+I177+I184+I191</f>
        <v>1107.32</v>
      </c>
      <c r="N218" s="106"/>
      <c r="O218" s="102"/>
    </row>
    <row r="219" spans="2:15" ht="18" customHeight="1">
      <c r="B219" s="117" t="s">
        <v>146</v>
      </c>
      <c r="C219" s="118">
        <f>材料价格!B5</f>
        <v>24000</v>
      </c>
      <c r="D219" s="39" t="s">
        <v>147</v>
      </c>
      <c r="E219" s="114">
        <f>E163+E153+E146+E104+E97+E88+G217+E170</f>
        <v>3.4041040000000002</v>
      </c>
      <c r="F219" s="39" t="s">
        <v>148</v>
      </c>
      <c r="G219" s="119">
        <f>I219/E219-C218/1000</f>
        <v>17.698941689208084</v>
      </c>
      <c r="H219" s="39" t="s">
        <v>149</v>
      </c>
      <c r="I219" s="116">
        <f>I88+I97+I104+I146+I153+I163+I217+I170</f>
        <v>135.416760676</v>
      </c>
      <c r="N219" s="106"/>
      <c r="O219" s="102"/>
    </row>
    <row r="220" spans="2:15" ht="18" customHeight="1">
      <c r="B220" s="117" t="s">
        <v>150</v>
      </c>
      <c r="C220" s="118">
        <f>C219</f>
        <v>24000</v>
      </c>
      <c r="D220" s="39" t="s">
        <v>151</v>
      </c>
      <c r="E220" s="120">
        <f>I215</f>
        <v>0</v>
      </c>
      <c r="F220" s="39" t="s">
        <v>152</v>
      </c>
      <c r="G220" s="119" t="e">
        <f>I220/E220-C218/1000</f>
        <v>#DIV/0!</v>
      </c>
      <c r="H220" s="39" t="s">
        <v>153</v>
      </c>
      <c r="I220" s="116">
        <f>ROUND(E220*(C218+C223)/1000,2)</f>
        <v>0</v>
      </c>
      <c r="N220" s="106"/>
      <c r="O220" s="102"/>
    </row>
    <row r="221" spans="2:15" ht="18" customHeight="1">
      <c r="B221" s="117" t="s">
        <v>154</v>
      </c>
      <c r="C221" s="121">
        <f>C220</f>
        <v>24000</v>
      </c>
      <c r="D221" s="39" t="s">
        <v>155</v>
      </c>
      <c r="E221" s="39"/>
      <c r="F221" s="39" t="s">
        <v>156</v>
      </c>
      <c r="G221" s="39"/>
      <c r="H221" s="39" t="s">
        <v>49</v>
      </c>
      <c r="I221" s="116">
        <f>E221*G221</f>
        <v>0</v>
      </c>
      <c r="J221" s="42"/>
      <c r="K221" s="255"/>
    </row>
    <row r="222" spans="2:15" ht="18" customHeight="1">
      <c r="B222" s="117" t="s">
        <v>148</v>
      </c>
      <c r="C222" s="122">
        <f>材料价格!B6</f>
        <v>17700</v>
      </c>
      <c r="D222" s="39" t="s">
        <v>157</v>
      </c>
      <c r="E222" s="39"/>
      <c r="F222" s="39" t="s">
        <v>156</v>
      </c>
      <c r="G222" s="39"/>
      <c r="H222" s="39" t="s">
        <v>49</v>
      </c>
      <c r="I222" s="116">
        <f>E222*G222</f>
        <v>0</v>
      </c>
      <c r="J222" s="123"/>
      <c r="K222" s="123"/>
      <c r="L222" s="123"/>
    </row>
    <row r="223" spans="2:15" ht="18" customHeight="1">
      <c r="B223" s="117" t="s">
        <v>152</v>
      </c>
      <c r="C223" s="122">
        <f>材料价格!B9</f>
        <v>2900</v>
      </c>
      <c r="D223" s="39" t="s">
        <v>158</v>
      </c>
      <c r="E223" s="114">
        <f>SUM(E218:E220)</f>
        <v>27.433604000000006</v>
      </c>
      <c r="F223" s="39"/>
      <c r="G223" s="39" t="s">
        <v>339</v>
      </c>
      <c r="H223" s="39"/>
      <c r="I223" s="234">
        <f>SUM(I218:I222)+C215</f>
        <v>1270.8567606759998</v>
      </c>
      <c r="J223" s="123"/>
      <c r="K223" s="123"/>
      <c r="L223" s="123"/>
    </row>
    <row r="224" spans="2:15" ht="18" customHeight="1">
      <c r="B224" s="23" t="s">
        <v>159</v>
      </c>
      <c r="C224" s="252" t="s">
        <v>113</v>
      </c>
      <c r="D224" s="252" t="s">
        <v>16</v>
      </c>
      <c r="E224" s="252" t="s">
        <v>7</v>
      </c>
      <c r="F224" s="252" t="s">
        <v>8</v>
      </c>
      <c r="G224" s="252" t="s">
        <v>28</v>
      </c>
      <c r="H224" s="252" t="s">
        <v>160</v>
      </c>
      <c r="I224" s="25" t="s">
        <v>1</v>
      </c>
      <c r="J224" s="255"/>
      <c r="K224" s="255"/>
      <c r="L224" s="255"/>
      <c r="M224" s="255"/>
    </row>
    <row r="225" spans="2:13" ht="18" customHeight="1">
      <c r="B225" s="124" t="str">
        <f>材料价格!A10</f>
        <v>6单银Low-E+12A+6</v>
      </c>
      <c r="C225" s="253">
        <f t="shared" ref="C225:D229" si="25">D92</f>
        <v>-90</v>
      </c>
      <c r="D225" s="253">
        <f t="shared" si="25"/>
        <v>-90</v>
      </c>
      <c r="E225" s="32">
        <f>C225*D225/10^6</f>
        <v>8.0999999999999996E-3</v>
      </c>
      <c r="F225" s="250">
        <f>G26</f>
        <v>0</v>
      </c>
      <c r="G225" s="125">
        <f>材料价格!B10</f>
        <v>148</v>
      </c>
      <c r="H225" s="250">
        <f>ROUND(E225*G225*F225,2)</f>
        <v>0</v>
      </c>
      <c r="I225" s="247" t="s">
        <v>161</v>
      </c>
      <c r="J225" s="255"/>
      <c r="K225" s="255"/>
      <c r="L225" s="255"/>
      <c r="M225" s="255"/>
    </row>
    <row r="226" spans="2:13" ht="18" customHeight="1">
      <c r="B226" s="124" t="str">
        <f t="shared" ref="B226:B232" si="26">B225</f>
        <v>6单银Low-E+12A+6</v>
      </c>
      <c r="C226" s="253">
        <f t="shared" si="25"/>
        <v>-90</v>
      </c>
      <c r="D226" s="253">
        <f t="shared" si="25"/>
        <v>-90</v>
      </c>
      <c r="E226" s="32">
        <f t="shared" ref="E226:E284" si="27">C226*D226/10^6</f>
        <v>8.0999999999999996E-3</v>
      </c>
      <c r="F226" s="250">
        <f>G27</f>
        <v>0</v>
      </c>
      <c r="G226" s="126">
        <f t="shared" ref="G226:G232" si="28">G225</f>
        <v>148</v>
      </c>
      <c r="H226" s="250">
        <f t="shared" ref="H226:H241" si="29">ROUND(E226*G226*F226,2)</f>
        <v>0</v>
      </c>
      <c r="I226" s="247" t="s">
        <v>162</v>
      </c>
      <c r="J226" s="255"/>
      <c r="K226" s="255"/>
      <c r="L226" s="255"/>
      <c r="M226" s="255"/>
    </row>
    <row r="227" spans="2:13" ht="18" customHeight="1">
      <c r="B227" s="124" t="str">
        <f t="shared" si="26"/>
        <v>6单银Low-E+12A+6</v>
      </c>
      <c r="C227" s="253">
        <f t="shared" si="25"/>
        <v>-90</v>
      </c>
      <c r="D227" s="253">
        <f t="shared" si="25"/>
        <v>-90</v>
      </c>
      <c r="E227" s="32">
        <f t="shared" si="27"/>
        <v>8.0999999999999996E-3</v>
      </c>
      <c r="F227" s="250">
        <f>G28</f>
        <v>0</v>
      </c>
      <c r="G227" s="126">
        <f t="shared" si="28"/>
        <v>148</v>
      </c>
      <c r="H227" s="250">
        <f t="shared" si="29"/>
        <v>0</v>
      </c>
      <c r="I227" s="247" t="s">
        <v>162</v>
      </c>
      <c r="J227" s="255"/>
      <c r="K227" s="255"/>
      <c r="L227" s="255"/>
      <c r="M227" s="255"/>
    </row>
    <row r="228" spans="2:13" ht="18" customHeight="1">
      <c r="B228" s="124" t="str">
        <f t="shared" si="26"/>
        <v>6单银Low-E+12A+6</v>
      </c>
      <c r="C228" s="253">
        <f t="shared" si="25"/>
        <v>-90</v>
      </c>
      <c r="D228" s="253">
        <f t="shared" si="25"/>
        <v>-90</v>
      </c>
      <c r="E228" s="32">
        <f t="shared" si="27"/>
        <v>8.0999999999999996E-3</v>
      </c>
      <c r="F228" s="250">
        <f>G29</f>
        <v>0</v>
      </c>
      <c r="G228" s="126">
        <f t="shared" si="28"/>
        <v>148</v>
      </c>
      <c r="H228" s="250">
        <f t="shared" si="29"/>
        <v>0</v>
      </c>
      <c r="I228" s="247" t="s">
        <v>162</v>
      </c>
      <c r="J228" s="255"/>
      <c r="K228" s="255"/>
      <c r="L228" s="255"/>
      <c r="M228" s="255"/>
    </row>
    <row r="229" spans="2:13" ht="18" customHeight="1">
      <c r="B229" s="124" t="str">
        <f t="shared" si="26"/>
        <v>6单银Low-E+12A+6</v>
      </c>
      <c r="C229" s="253">
        <f t="shared" si="25"/>
        <v>-90</v>
      </c>
      <c r="D229" s="253">
        <f t="shared" si="25"/>
        <v>-90</v>
      </c>
      <c r="E229" s="32">
        <f t="shared" si="27"/>
        <v>8.0999999999999996E-3</v>
      </c>
      <c r="F229" s="250">
        <f>G30</f>
        <v>0</v>
      </c>
      <c r="G229" s="126">
        <f t="shared" si="28"/>
        <v>148</v>
      </c>
      <c r="H229" s="250">
        <f t="shared" si="29"/>
        <v>0</v>
      </c>
      <c r="I229" s="247" t="s">
        <v>162</v>
      </c>
      <c r="J229" s="123"/>
      <c r="K229" s="123"/>
      <c r="L229" s="123"/>
    </row>
    <row r="230" spans="2:13" ht="18" customHeight="1">
      <c r="B230" s="124" t="str">
        <f t="shared" si="26"/>
        <v>6单银Low-E+12A+6</v>
      </c>
      <c r="C230" s="253">
        <f t="shared" ref="C230:D232" si="30">D101</f>
        <v>-122</v>
      </c>
      <c r="D230" s="253">
        <f t="shared" si="30"/>
        <v>-122</v>
      </c>
      <c r="E230" s="32">
        <f t="shared" si="27"/>
        <v>1.4884E-2</v>
      </c>
      <c r="F230" s="250">
        <f>G101</f>
        <v>0</v>
      </c>
      <c r="G230" s="126">
        <f t="shared" si="28"/>
        <v>148</v>
      </c>
      <c r="H230" s="250">
        <f t="shared" si="29"/>
        <v>0</v>
      </c>
      <c r="I230" s="127" t="s">
        <v>163</v>
      </c>
      <c r="J230" s="123"/>
      <c r="K230" s="123"/>
      <c r="L230" s="123"/>
    </row>
    <row r="231" spans="2:13" ht="18" customHeight="1">
      <c r="B231" s="124" t="str">
        <f t="shared" si="26"/>
        <v>6单银Low-E+12A+6</v>
      </c>
      <c r="C231" s="253">
        <f t="shared" si="30"/>
        <v>-122</v>
      </c>
      <c r="D231" s="253">
        <f t="shared" si="30"/>
        <v>-122</v>
      </c>
      <c r="E231" s="32">
        <f t="shared" si="27"/>
        <v>1.4884E-2</v>
      </c>
      <c r="F231" s="250">
        <f>G102</f>
        <v>0</v>
      </c>
      <c r="G231" s="126">
        <f t="shared" si="28"/>
        <v>148</v>
      </c>
      <c r="H231" s="250">
        <f t="shared" si="29"/>
        <v>0</v>
      </c>
      <c r="I231" s="127" t="s">
        <v>163</v>
      </c>
    </row>
    <row r="232" spans="2:13" ht="18" customHeight="1">
      <c r="B232" s="124" t="str">
        <f t="shared" si="26"/>
        <v>6单银Low-E+12A+6</v>
      </c>
      <c r="C232" s="253">
        <f t="shared" si="30"/>
        <v>-122</v>
      </c>
      <c r="D232" s="253">
        <f t="shared" si="30"/>
        <v>-122</v>
      </c>
      <c r="E232" s="32">
        <f t="shared" si="27"/>
        <v>1.4884E-2</v>
      </c>
      <c r="F232" s="250">
        <f>G103</f>
        <v>0</v>
      </c>
      <c r="G232" s="126">
        <f t="shared" si="28"/>
        <v>148</v>
      </c>
      <c r="H232" s="250">
        <f t="shared" si="29"/>
        <v>0</v>
      </c>
      <c r="I232" s="127" t="s">
        <v>163</v>
      </c>
    </row>
    <row r="233" spans="2:13" ht="18" customHeight="1">
      <c r="B233" s="48" t="s">
        <v>164</v>
      </c>
      <c r="C233" s="52"/>
      <c r="D233" s="50"/>
      <c r="E233" s="128"/>
      <c r="F233" s="50">
        <f>SUM(F225:F232)</f>
        <v>0</v>
      </c>
      <c r="G233" s="50"/>
      <c r="H233" s="52">
        <f>SUM(H225:H232)</f>
        <v>0</v>
      </c>
      <c r="I233" s="53">
        <f>ROUND((E225*F225+E226*F226+E227*F227+E228*F228+E229*F229+E230*F230+E231*F231+E232*F232),2)</f>
        <v>0</v>
      </c>
    </row>
    <row r="234" spans="2:13" ht="18" customHeight="1">
      <c r="B234" s="124" t="str">
        <f>B232</f>
        <v>6单银Low-E+12A+6</v>
      </c>
      <c r="C234" s="253">
        <f>C225</f>
        <v>-90</v>
      </c>
      <c r="D234" s="253">
        <f>D225</f>
        <v>-90</v>
      </c>
      <c r="E234" s="32">
        <f t="shared" si="27"/>
        <v>8.0999999999999996E-3</v>
      </c>
      <c r="F234" s="250">
        <f>IF(F225=0,G26,0)</f>
        <v>0</v>
      </c>
      <c r="G234" s="126">
        <f>G232</f>
        <v>148</v>
      </c>
      <c r="H234" s="250">
        <f t="shared" si="29"/>
        <v>0</v>
      </c>
      <c r="I234" s="247" t="s">
        <v>165</v>
      </c>
      <c r="J234" s="129"/>
    </row>
    <row r="235" spans="2:13" ht="18" customHeight="1">
      <c r="B235" s="124" t="str">
        <f t="shared" ref="B235:B241" si="31">B234</f>
        <v>6单银Low-E+12A+6</v>
      </c>
      <c r="C235" s="253">
        <f t="shared" ref="C235:D241" si="32">C226</f>
        <v>-90</v>
      </c>
      <c r="D235" s="253">
        <f t="shared" si="32"/>
        <v>-90</v>
      </c>
      <c r="E235" s="32">
        <f t="shared" si="27"/>
        <v>8.0999999999999996E-3</v>
      </c>
      <c r="F235" s="250">
        <f>IF(F226=0,G27,0)</f>
        <v>0</v>
      </c>
      <c r="G235" s="126">
        <f>G234</f>
        <v>148</v>
      </c>
      <c r="H235" s="250">
        <f t="shared" si="29"/>
        <v>0</v>
      </c>
      <c r="I235" s="247" t="s">
        <v>165</v>
      </c>
      <c r="J235" s="129"/>
    </row>
    <row r="236" spans="2:13" ht="18" customHeight="1">
      <c r="B236" s="124" t="str">
        <f t="shared" si="31"/>
        <v>6单银Low-E+12A+6</v>
      </c>
      <c r="C236" s="253">
        <f t="shared" si="32"/>
        <v>-90</v>
      </c>
      <c r="D236" s="253">
        <f t="shared" si="32"/>
        <v>-90</v>
      </c>
      <c r="E236" s="32">
        <f t="shared" si="27"/>
        <v>8.0999999999999996E-3</v>
      </c>
      <c r="F236" s="250">
        <f>IF(F227=0,G28,0)</f>
        <v>0</v>
      </c>
      <c r="G236" s="126">
        <f t="shared" ref="G236:G241" si="33">G234</f>
        <v>148</v>
      </c>
      <c r="H236" s="250">
        <f t="shared" si="29"/>
        <v>0</v>
      </c>
      <c r="I236" s="247" t="s">
        <v>165</v>
      </c>
      <c r="J236" s="129"/>
    </row>
    <row r="237" spans="2:13" ht="18" customHeight="1">
      <c r="B237" s="124" t="str">
        <f t="shared" si="31"/>
        <v>6单银Low-E+12A+6</v>
      </c>
      <c r="C237" s="253">
        <f t="shared" si="32"/>
        <v>-90</v>
      </c>
      <c r="D237" s="253">
        <f t="shared" si="32"/>
        <v>-90</v>
      </c>
      <c r="E237" s="32">
        <f t="shared" si="27"/>
        <v>8.0999999999999996E-3</v>
      </c>
      <c r="F237" s="250">
        <f>IF(F228=0,G29,0)</f>
        <v>0</v>
      </c>
      <c r="G237" s="126">
        <f t="shared" si="33"/>
        <v>148</v>
      </c>
      <c r="H237" s="250">
        <f t="shared" si="29"/>
        <v>0</v>
      </c>
      <c r="I237" s="247" t="s">
        <v>165</v>
      </c>
      <c r="J237" s="129"/>
    </row>
    <row r="238" spans="2:13" ht="18" customHeight="1">
      <c r="B238" s="124" t="str">
        <f t="shared" si="31"/>
        <v>6单银Low-E+12A+6</v>
      </c>
      <c r="C238" s="253">
        <f t="shared" si="32"/>
        <v>-90</v>
      </c>
      <c r="D238" s="253">
        <f t="shared" si="32"/>
        <v>-90</v>
      </c>
      <c r="E238" s="32">
        <f t="shared" si="27"/>
        <v>8.0999999999999996E-3</v>
      </c>
      <c r="F238" s="250">
        <f>IF(F229=0,G30,0)</f>
        <v>0</v>
      </c>
      <c r="G238" s="126">
        <f t="shared" si="33"/>
        <v>148</v>
      </c>
      <c r="H238" s="250">
        <f t="shared" si="29"/>
        <v>0</v>
      </c>
      <c r="I238" s="247" t="s">
        <v>165</v>
      </c>
      <c r="J238" s="129"/>
    </row>
    <row r="239" spans="2:13" ht="18" customHeight="1">
      <c r="B239" s="124" t="str">
        <f t="shared" si="31"/>
        <v>6单银Low-E+12A+6</v>
      </c>
      <c r="C239" s="253">
        <f t="shared" si="32"/>
        <v>-122</v>
      </c>
      <c r="D239" s="253">
        <f t="shared" si="32"/>
        <v>-122</v>
      </c>
      <c r="E239" s="32">
        <f t="shared" si="27"/>
        <v>1.4884E-2</v>
      </c>
      <c r="F239" s="250">
        <f>IF(F230=0,G35,0)</f>
        <v>0</v>
      </c>
      <c r="G239" s="126">
        <f t="shared" si="33"/>
        <v>148</v>
      </c>
      <c r="H239" s="250">
        <f t="shared" si="29"/>
        <v>0</v>
      </c>
      <c r="I239" s="127" t="s">
        <v>166</v>
      </c>
      <c r="J239" s="129"/>
    </row>
    <row r="240" spans="2:13" ht="18" customHeight="1">
      <c r="B240" s="124" t="str">
        <f t="shared" si="31"/>
        <v>6单银Low-E+12A+6</v>
      </c>
      <c r="C240" s="253">
        <f t="shared" si="32"/>
        <v>-122</v>
      </c>
      <c r="D240" s="253">
        <f t="shared" si="32"/>
        <v>-122</v>
      </c>
      <c r="E240" s="32">
        <f t="shared" si="27"/>
        <v>1.4884E-2</v>
      </c>
      <c r="F240" s="250">
        <f>IF(F231=0,G36,0)</f>
        <v>0</v>
      </c>
      <c r="G240" s="126">
        <f t="shared" si="33"/>
        <v>148</v>
      </c>
      <c r="H240" s="250">
        <f t="shared" si="29"/>
        <v>0</v>
      </c>
      <c r="I240" s="127" t="s">
        <v>166</v>
      </c>
      <c r="J240" s="129"/>
    </row>
    <row r="241" spans="1:16" ht="18" customHeight="1">
      <c r="B241" s="124" t="str">
        <f t="shared" si="31"/>
        <v>6单银Low-E+12A+6</v>
      </c>
      <c r="C241" s="253">
        <f t="shared" si="32"/>
        <v>-122</v>
      </c>
      <c r="D241" s="253">
        <f t="shared" si="32"/>
        <v>-122</v>
      </c>
      <c r="E241" s="32">
        <f t="shared" si="27"/>
        <v>1.4884E-2</v>
      </c>
      <c r="F241" s="250">
        <f>IF(F232=0,G37,0)</f>
        <v>0</v>
      </c>
      <c r="G241" s="126">
        <f t="shared" si="33"/>
        <v>148</v>
      </c>
      <c r="H241" s="250">
        <f t="shared" si="29"/>
        <v>0</v>
      </c>
      <c r="I241" s="127" t="s">
        <v>166</v>
      </c>
      <c r="J241" s="129"/>
    </row>
    <row r="242" spans="1:16" s="43" customFormat="1" ht="18" customHeight="1">
      <c r="A242" s="1"/>
      <c r="B242" s="48" t="s">
        <v>167</v>
      </c>
      <c r="C242" s="52"/>
      <c r="D242" s="50"/>
      <c r="E242" s="128"/>
      <c r="F242" s="50">
        <f>SUM(F234:F241)</f>
        <v>0</v>
      </c>
      <c r="G242" s="50"/>
      <c r="H242" s="52">
        <f>SUM(H234:H241)</f>
        <v>0</v>
      </c>
      <c r="I242" s="53">
        <f>ROUND(SUMPRODUCT(E234:E241*F234:F241),2)</f>
        <v>0</v>
      </c>
      <c r="J242" s="129"/>
      <c r="N242" s="255"/>
      <c r="O242" s="255"/>
      <c r="P242" s="255"/>
    </row>
    <row r="243" spans="1:16" s="43" customFormat="1" ht="18" customHeight="1">
      <c r="A243" s="1"/>
      <c r="B243" s="124" t="str">
        <f>B240</f>
        <v>6单银Low-E+12A+6</v>
      </c>
      <c r="C243" s="253">
        <f t="shared" ref="C243:D249" si="34">D68-12</f>
        <v>394</v>
      </c>
      <c r="D243" s="253">
        <f t="shared" si="34"/>
        <v>1236</v>
      </c>
      <c r="E243" s="32">
        <f t="shared" si="27"/>
        <v>0.48698399999999997</v>
      </c>
      <c r="F243" s="82">
        <f t="shared" ref="F243:F249" si="35">G68</f>
        <v>2</v>
      </c>
      <c r="G243" s="130">
        <f>G241</f>
        <v>148</v>
      </c>
      <c r="H243" s="250">
        <f t="shared" ref="H243:H249" si="36">ROUND(E243*G243*F243,2)</f>
        <v>144.15</v>
      </c>
      <c r="I243" s="247" t="s">
        <v>168</v>
      </c>
      <c r="J243" s="129"/>
      <c r="N243" s="255"/>
      <c r="O243" s="255"/>
      <c r="P243" s="255"/>
    </row>
    <row r="244" spans="1:16" s="43" customFormat="1" ht="18" customHeight="1">
      <c r="A244" s="1"/>
      <c r="B244" s="124" t="str">
        <f t="shared" ref="B244:B249" si="37">B243</f>
        <v>6单银Low-E+12A+6</v>
      </c>
      <c r="C244" s="253">
        <f t="shared" si="34"/>
        <v>-12</v>
      </c>
      <c r="D244" s="253">
        <f t="shared" si="34"/>
        <v>-12</v>
      </c>
      <c r="E244" s="32">
        <f t="shared" si="27"/>
        <v>1.44E-4</v>
      </c>
      <c r="F244" s="82">
        <f t="shared" si="35"/>
        <v>0</v>
      </c>
      <c r="G244" s="130">
        <f t="shared" ref="G244:G249" si="38">G243</f>
        <v>148</v>
      </c>
      <c r="H244" s="250">
        <f t="shared" si="36"/>
        <v>0</v>
      </c>
      <c r="I244" s="247" t="s">
        <v>168</v>
      </c>
      <c r="J244" s="129"/>
      <c r="N244" s="255"/>
      <c r="O244" s="255"/>
      <c r="P244" s="255"/>
    </row>
    <row r="245" spans="1:16" s="43" customFormat="1" ht="18" customHeight="1">
      <c r="A245" s="1"/>
      <c r="B245" s="124" t="str">
        <f t="shared" si="37"/>
        <v>6单银Low-E+12A+6</v>
      </c>
      <c r="C245" s="253">
        <f t="shared" si="34"/>
        <v>-12</v>
      </c>
      <c r="D245" s="253">
        <f t="shared" si="34"/>
        <v>-12</v>
      </c>
      <c r="E245" s="32">
        <f t="shared" si="27"/>
        <v>1.44E-4</v>
      </c>
      <c r="F245" s="82">
        <f t="shared" si="35"/>
        <v>0</v>
      </c>
      <c r="G245" s="130">
        <f t="shared" si="38"/>
        <v>148</v>
      </c>
      <c r="H245" s="250">
        <f t="shared" si="36"/>
        <v>0</v>
      </c>
      <c r="I245" s="247" t="s">
        <v>168</v>
      </c>
      <c r="J245" s="129"/>
      <c r="N245" s="255"/>
      <c r="O245" s="255"/>
      <c r="P245" s="255"/>
    </row>
    <row r="246" spans="1:16" s="43" customFormat="1" ht="18" customHeight="1">
      <c r="A246" s="1"/>
      <c r="B246" s="124" t="str">
        <f t="shared" si="37"/>
        <v>6单银Low-E+12A+6</v>
      </c>
      <c r="C246" s="253">
        <f t="shared" si="34"/>
        <v>-12</v>
      </c>
      <c r="D246" s="253">
        <f t="shared" si="34"/>
        <v>-12</v>
      </c>
      <c r="E246" s="32">
        <f t="shared" si="27"/>
        <v>1.44E-4</v>
      </c>
      <c r="F246" s="82">
        <f t="shared" si="35"/>
        <v>0</v>
      </c>
      <c r="G246" s="130">
        <f t="shared" si="38"/>
        <v>148</v>
      </c>
      <c r="H246" s="250">
        <f t="shared" si="36"/>
        <v>0</v>
      </c>
      <c r="I246" s="247" t="s">
        <v>168</v>
      </c>
      <c r="J246" s="129"/>
      <c r="N246" s="255"/>
      <c r="O246" s="255"/>
      <c r="P246" s="255"/>
    </row>
    <row r="247" spans="1:16" s="43" customFormat="1" ht="18" customHeight="1">
      <c r="A247" s="1"/>
      <c r="B247" s="124" t="str">
        <f t="shared" si="37"/>
        <v>6单银Low-E+12A+6</v>
      </c>
      <c r="C247" s="253">
        <f t="shared" si="34"/>
        <v>-12</v>
      </c>
      <c r="D247" s="253">
        <f t="shared" si="34"/>
        <v>-12</v>
      </c>
      <c r="E247" s="32">
        <f t="shared" si="27"/>
        <v>1.44E-4</v>
      </c>
      <c r="F247" s="82">
        <f t="shared" si="35"/>
        <v>0</v>
      </c>
      <c r="G247" s="130">
        <f t="shared" si="38"/>
        <v>148</v>
      </c>
      <c r="H247" s="250">
        <f t="shared" si="36"/>
        <v>0</v>
      </c>
      <c r="I247" s="247" t="s">
        <v>168</v>
      </c>
      <c r="J247" s="129"/>
      <c r="N247" s="255"/>
      <c r="O247" s="255"/>
      <c r="P247" s="255"/>
    </row>
    <row r="248" spans="1:16" s="43" customFormat="1" ht="18" customHeight="1">
      <c r="A248" s="1"/>
      <c r="B248" s="124" t="str">
        <f t="shared" si="37"/>
        <v>6单银Low-E+12A+6</v>
      </c>
      <c r="C248" s="253">
        <f t="shared" si="34"/>
        <v>-12</v>
      </c>
      <c r="D248" s="253">
        <f t="shared" si="34"/>
        <v>-12</v>
      </c>
      <c r="E248" s="32">
        <f t="shared" si="27"/>
        <v>1.44E-4</v>
      </c>
      <c r="F248" s="82">
        <f t="shared" si="35"/>
        <v>0</v>
      </c>
      <c r="G248" s="130">
        <f t="shared" si="38"/>
        <v>148</v>
      </c>
      <c r="H248" s="250">
        <f t="shared" si="36"/>
        <v>0</v>
      </c>
      <c r="I248" s="247" t="s">
        <v>168</v>
      </c>
      <c r="J248" s="129"/>
      <c r="N248" s="255"/>
      <c r="O248" s="255"/>
      <c r="P248" s="255"/>
    </row>
    <row r="249" spans="1:16" s="43" customFormat="1" ht="18" customHeight="1">
      <c r="A249" s="1"/>
      <c r="B249" s="124" t="str">
        <f t="shared" si="37"/>
        <v>6单银Low-E+12A+6</v>
      </c>
      <c r="C249" s="253">
        <f t="shared" si="34"/>
        <v>-12</v>
      </c>
      <c r="D249" s="253">
        <f t="shared" si="34"/>
        <v>-12</v>
      </c>
      <c r="E249" s="32">
        <f t="shared" si="27"/>
        <v>1.44E-4</v>
      </c>
      <c r="F249" s="82">
        <f t="shared" si="35"/>
        <v>0</v>
      </c>
      <c r="G249" s="130">
        <f t="shared" si="38"/>
        <v>148</v>
      </c>
      <c r="H249" s="250">
        <f t="shared" si="36"/>
        <v>0</v>
      </c>
      <c r="I249" s="247" t="s">
        <v>168</v>
      </c>
      <c r="J249" s="129"/>
      <c r="N249" s="255"/>
      <c r="O249" s="255"/>
      <c r="P249" s="255"/>
    </row>
    <row r="250" spans="1:16" s="43" customFormat="1" ht="18" customHeight="1">
      <c r="A250" s="1"/>
      <c r="B250" s="131" t="str">
        <f>B246</f>
        <v>6单银Low-E+12A+6</v>
      </c>
      <c r="C250" s="52"/>
      <c r="D250" s="50"/>
      <c r="E250" s="128"/>
      <c r="F250" s="50">
        <f>SUM(F243:F249)</f>
        <v>2</v>
      </c>
      <c r="G250" s="50"/>
      <c r="H250" s="52">
        <f>SUM(H243:H249)</f>
        <v>144.15</v>
      </c>
      <c r="I250" s="53">
        <f>ROUND((E243*F243+E244*F244+E245*F245+E246*F246+E247*F247+E248*F248+E249*F249),2)</f>
        <v>0.97</v>
      </c>
      <c r="J250" s="43">
        <f>(I242+I258+I273+I280)</f>
        <v>0</v>
      </c>
      <c r="N250" s="255"/>
      <c r="O250" s="255"/>
      <c r="P250" s="255"/>
    </row>
    <row r="251" spans="1:16" s="43" customFormat="1" ht="18" customHeight="1">
      <c r="A251" s="1"/>
      <c r="B251" s="124" t="str">
        <f>B249</f>
        <v>6单银Low-E+12A+6</v>
      </c>
      <c r="C251" s="253">
        <f t="shared" ref="C251:D257" si="39">D75-12</f>
        <v>-12</v>
      </c>
      <c r="D251" s="253">
        <f t="shared" si="39"/>
        <v>-12</v>
      </c>
      <c r="E251" s="32">
        <f t="shared" si="27"/>
        <v>1.44E-4</v>
      </c>
      <c r="F251" s="82">
        <f t="shared" ref="F251:F257" si="40">G75</f>
        <v>0</v>
      </c>
      <c r="G251" s="130">
        <f>G249</f>
        <v>148</v>
      </c>
      <c r="H251" s="250">
        <f>ROUND(E251*G251*F251,2)</f>
        <v>0</v>
      </c>
      <c r="I251" s="132" t="s">
        <v>169</v>
      </c>
      <c r="N251" s="255"/>
      <c r="O251" s="255"/>
      <c r="P251" s="255"/>
    </row>
    <row r="252" spans="1:16" s="43" customFormat="1" ht="18" customHeight="1">
      <c r="A252" s="1"/>
      <c r="B252" s="124" t="str">
        <f t="shared" ref="B252:B257" si="41">B251</f>
        <v>6单银Low-E+12A+6</v>
      </c>
      <c r="C252" s="253">
        <f t="shared" si="39"/>
        <v>-12</v>
      </c>
      <c r="D252" s="253">
        <f t="shared" si="39"/>
        <v>-12</v>
      </c>
      <c r="E252" s="32">
        <f t="shared" si="27"/>
        <v>1.44E-4</v>
      </c>
      <c r="F252" s="82">
        <f t="shared" si="40"/>
        <v>0</v>
      </c>
      <c r="G252" s="130">
        <f t="shared" ref="G252:G257" si="42">G251</f>
        <v>148</v>
      </c>
      <c r="H252" s="250">
        <f t="shared" ref="H252:H264" si="43">ROUND(E252*G252*F252,2)</f>
        <v>0</v>
      </c>
      <c r="I252" s="132" t="str">
        <f t="shared" ref="I252:I257" si="44">I251</f>
        <v>固定钢化中空</v>
      </c>
      <c r="N252" s="255"/>
      <c r="O252" s="255"/>
      <c r="P252" s="255"/>
    </row>
    <row r="253" spans="1:16" s="43" customFormat="1" ht="18" customHeight="1">
      <c r="A253" s="1"/>
      <c r="B253" s="124" t="str">
        <f t="shared" si="41"/>
        <v>6单银Low-E+12A+6</v>
      </c>
      <c r="C253" s="253">
        <f t="shared" si="39"/>
        <v>-12</v>
      </c>
      <c r="D253" s="253">
        <f t="shared" si="39"/>
        <v>-12</v>
      </c>
      <c r="E253" s="32">
        <f t="shared" si="27"/>
        <v>1.44E-4</v>
      </c>
      <c r="F253" s="82">
        <f t="shared" si="40"/>
        <v>0</v>
      </c>
      <c r="G253" s="130">
        <f t="shared" si="42"/>
        <v>148</v>
      </c>
      <c r="H253" s="250">
        <f t="shared" si="43"/>
        <v>0</v>
      </c>
      <c r="I253" s="132" t="str">
        <f t="shared" si="44"/>
        <v>固定钢化中空</v>
      </c>
      <c r="N253" s="255"/>
      <c r="O253" s="255"/>
      <c r="P253" s="255"/>
    </row>
    <row r="254" spans="1:16" s="43" customFormat="1" ht="18" customHeight="1">
      <c r="A254" s="1"/>
      <c r="B254" s="124" t="str">
        <f t="shared" si="41"/>
        <v>6单银Low-E+12A+6</v>
      </c>
      <c r="C254" s="253">
        <f t="shared" si="39"/>
        <v>-12</v>
      </c>
      <c r="D254" s="253">
        <f t="shared" si="39"/>
        <v>-12</v>
      </c>
      <c r="E254" s="32">
        <f t="shared" si="27"/>
        <v>1.44E-4</v>
      </c>
      <c r="F254" s="82">
        <f t="shared" si="40"/>
        <v>0</v>
      </c>
      <c r="G254" s="130">
        <f t="shared" si="42"/>
        <v>148</v>
      </c>
      <c r="H254" s="250">
        <f t="shared" si="43"/>
        <v>0</v>
      </c>
      <c r="I254" s="132" t="str">
        <f t="shared" si="44"/>
        <v>固定钢化中空</v>
      </c>
      <c r="J254" s="42"/>
      <c r="N254" s="255"/>
      <c r="O254" s="255"/>
      <c r="P254" s="255"/>
    </row>
    <row r="255" spans="1:16" s="43" customFormat="1" ht="18" customHeight="1">
      <c r="A255" s="1"/>
      <c r="B255" s="124" t="str">
        <f t="shared" si="41"/>
        <v>6单银Low-E+12A+6</v>
      </c>
      <c r="C255" s="253">
        <f t="shared" si="39"/>
        <v>-12</v>
      </c>
      <c r="D255" s="253">
        <f t="shared" si="39"/>
        <v>-12</v>
      </c>
      <c r="E255" s="32">
        <f t="shared" si="27"/>
        <v>1.44E-4</v>
      </c>
      <c r="F255" s="82">
        <f t="shared" si="40"/>
        <v>0</v>
      </c>
      <c r="G255" s="130">
        <f t="shared" si="42"/>
        <v>148</v>
      </c>
      <c r="H255" s="250">
        <f t="shared" si="43"/>
        <v>0</v>
      </c>
      <c r="I255" s="132" t="str">
        <f t="shared" si="44"/>
        <v>固定钢化中空</v>
      </c>
      <c r="N255" s="255"/>
      <c r="O255" s="255"/>
      <c r="P255" s="255"/>
    </row>
    <row r="256" spans="1:16" s="43" customFormat="1" ht="18" customHeight="1">
      <c r="A256" s="1"/>
      <c r="B256" s="124" t="str">
        <f t="shared" si="41"/>
        <v>6单银Low-E+12A+6</v>
      </c>
      <c r="C256" s="253">
        <f t="shared" si="39"/>
        <v>-12</v>
      </c>
      <c r="D256" s="253">
        <f t="shared" si="39"/>
        <v>-12</v>
      </c>
      <c r="E256" s="32">
        <f t="shared" si="27"/>
        <v>1.44E-4</v>
      </c>
      <c r="F256" s="82">
        <f t="shared" si="40"/>
        <v>0</v>
      </c>
      <c r="G256" s="130">
        <f t="shared" si="42"/>
        <v>148</v>
      </c>
      <c r="H256" s="250">
        <f t="shared" si="43"/>
        <v>0</v>
      </c>
      <c r="I256" s="132" t="str">
        <f t="shared" si="44"/>
        <v>固定钢化中空</v>
      </c>
      <c r="N256" s="255"/>
      <c r="O256" s="255"/>
      <c r="P256" s="255"/>
    </row>
    <row r="257" spans="1:16" s="43" customFormat="1" ht="18" customHeight="1">
      <c r="A257" s="1"/>
      <c r="B257" s="124" t="str">
        <f t="shared" si="41"/>
        <v>6单银Low-E+12A+6</v>
      </c>
      <c r="C257" s="253">
        <f t="shared" si="39"/>
        <v>-12</v>
      </c>
      <c r="D257" s="253">
        <f t="shared" si="39"/>
        <v>-12</v>
      </c>
      <c r="E257" s="32">
        <f t="shared" si="27"/>
        <v>1.44E-4</v>
      </c>
      <c r="F257" s="82">
        <f t="shared" si="40"/>
        <v>0</v>
      </c>
      <c r="G257" s="130">
        <f t="shared" si="42"/>
        <v>148</v>
      </c>
      <c r="H257" s="250">
        <f t="shared" si="43"/>
        <v>0</v>
      </c>
      <c r="I257" s="132" t="str">
        <f t="shared" si="44"/>
        <v>固定钢化中空</v>
      </c>
      <c r="N257" s="255"/>
      <c r="O257" s="255"/>
      <c r="P257" s="255"/>
    </row>
    <row r="258" spans="1:16" s="43" customFormat="1" ht="18" customHeight="1">
      <c r="A258" s="1"/>
      <c r="B258" s="48" t="s">
        <v>170</v>
      </c>
      <c r="C258" s="52"/>
      <c r="D258" s="50"/>
      <c r="E258" s="128"/>
      <c r="F258" s="50">
        <f>SUM(F251:F257)</f>
        <v>0</v>
      </c>
      <c r="G258" s="50"/>
      <c r="H258" s="52">
        <f>SUM(H251:H257)</f>
        <v>0</v>
      </c>
      <c r="I258" s="53">
        <f>ROUND((E251*F251+E252*F252+E253*F253+E254*F254+E255*F255+E256*F256+E257*F257),2)</f>
        <v>0</v>
      </c>
      <c r="N258" s="255"/>
      <c r="O258" s="255"/>
      <c r="P258" s="255"/>
    </row>
    <row r="259" spans="1:16" s="43" customFormat="1" ht="18" customHeight="1">
      <c r="A259" s="1"/>
      <c r="B259" s="124" t="str">
        <f>B257</f>
        <v>6单银Low-E+12A+6</v>
      </c>
      <c r="C259" s="253">
        <f t="shared" ref="C259:D264" si="45">D82-12</f>
        <v>-12</v>
      </c>
      <c r="D259" s="253">
        <f t="shared" si="45"/>
        <v>-12</v>
      </c>
      <c r="E259" s="32">
        <f t="shared" si="27"/>
        <v>1.44E-4</v>
      </c>
      <c r="F259" s="82">
        <f t="shared" ref="F259:F264" si="46">G82</f>
        <v>0</v>
      </c>
      <c r="G259" s="130">
        <f>G257</f>
        <v>148</v>
      </c>
      <c r="H259" s="250">
        <f t="shared" si="43"/>
        <v>0</v>
      </c>
      <c r="I259" s="247" t="s">
        <v>171</v>
      </c>
      <c r="N259" s="255"/>
      <c r="O259" s="255"/>
      <c r="P259" s="255"/>
    </row>
    <row r="260" spans="1:16" s="43" customFormat="1" ht="18" customHeight="1">
      <c r="A260" s="1"/>
      <c r="B260" s="124" t="str">
        <f>B259</f>
        <v>6单银Low-E+12A+6</v>
      </c>
      <c r="C260" s="253">
        <f t="shared" si="45"/>
        <v>-12</v>
      </c>
      <c r="D260" s="253">
        <f t="shared" si="45"/>
        <v>-12</v>
      </c>
      <c r="E260" s="32">
        <f t="shared" si="27"/>
        <v>1.44E-4</v>
      </c>
      <c r="F260" s="82">
        <f t="shared" si="46"/>
        <v>0</v>
      </c>
      <c r="G260" s="130">
        <f>G259</f>
        <v>148</v>
      </c>
      <c r="H260" s="250">
        <f t="shared" si="43"/>
        <v>0</v>
      </c>
      <c r="I260" s="247" t="s">
        <v>171</v>
      </c>
      <c r="N260" s="255"/>
      <c r="O260" s="255"/>
      <c r="P260" s="255"/>
    </row>
    <row r="261" spans="1:16" s="43" customFormat="1" ht="18" customHeight="1">
      <c r="A261" s="1"/>
      <c r="B261" s="124" t="str">
        <f>B260</f>
        <v>6单银Low-E+12A+6</v>
      </c>
      <c r="C261" s="253">
        <f t="shared" si="45"/>
        <v>-12</v>
      </c>
      <c r="D261" s="253">
        <f t="shared" si="45"/>
        <v>-12</v>
      </c>
      <c r="E261" s="32">
        <f t="shared" si="27"/>
        <v>1.44E-4</v>
      </c>
      <c r="F261" s="82">
        <f t="shared" si="46"/>
        <v>0</v>
      </c>
      <c r="G261" s="130">
        <f>G260</f>
        <v>148</v>
      </c>
      <c r="H261" s="250">
        <f t="shared" si="43"/>
        <v>0</v>
      </c>
      <c r="I261" s="247" t="s">
        <v>171</v>
      </c>
      <c r="N261" s="255"/>
      <c r="O261" s="255"/>
      <c r="P261" s="255"/>
    </row>
    <row r="262" spans="1:16" s="43" customFormat="1" ht="18" customHeight="1">
      <c r="A262" s="1"/>
      <c r="B262" s="124" t="str">
        <f>B261</f>
        <v>6单银Low-E+12A+6</v>
      </c>
      <c r="C262" s="253">
        <f t="shared" si="45"/>
        <v>-12</v>
      </c>
      <c r="D262" s="253">
        <f t="shared" si="45"/>
        <v>-12</v>
      </c>
      <c r="E262" s="32">
        <f t="shared" si="27"/>
        <v>1.44E-4</v>
      </c>
      <c r="F262" s="82">
        <f t="shared" si="46"/>
        <v>0</v>
      </c>
      <c r="G262" s="130">
        <f>G261</f>
        <v>148</v>
      </c>
      <c r="H262" s="250">
        <f t="shared" si="43"/>
        <v>0</v>
      </c>
      <c r="I262" s="247" t="s">
        <v>171</v>
      </c>
      <c r="N262" s="255"/>
      <c r="O262" s="255"/>
      <c r="P262" s="255"/>
    </row>
    <row r="263" spans="1:16" s="43" customFormat="1" ht="18" customHeight="1">
      <c r="A263" s="1"/>
      <c r="B263" s="124" t="str">
        <f>B262</f>
        <v>6单银Low-E+12A+6</v>
      </c>
      <c r="C263" s="253">
        <f t="shared" si="45"/>
        <v>-12</v>
      </c>
      <c r="D263" s="253">
        <f t="shared" si="45"/>
        <v>-12</v>
      </c>
      <c r="E263" s="32">
        <f t="shared" si="27"/>
        <v>1.44E-4</v>
      </c>
      <c r="F263" s="82">
        <f t="shared" si="46"/>
        <v>0</v>
      </c>
      <c r="G263" s="130">
        <f>G262</f>
        <v>148</v>
      </c>
      <c r="H263" s="250">
        <f t="shared" si="43"/>
        <v>0</v>
      </c>
      <c r="I263" s="247" t="s">
        <v>171</v>
      </c>
      <c r="N263" s="255"/>
      <c r="O263" s="255"/>
      <c r="P263" s="255"/>
    </row>
    <row r="264" spans="1:16" s="43" customFormat="1" ht="18" customHeight="1">
      <c r="A264" s="1"/>
      <c r="B264" s="124" t="str">
        <f>B263</f>
        <v>6单银Low-E+12A+6</v>
      </c>
      <c r="C264" s="253">
        <f t="shared" si="45"/>
        <v>-12</v>
      </c>
      <c r="D264" s="253">
        <f t="shared" si="45"/>
        <v>-12</v>
      </c>
      <c r="E264" s="32">
        <f t="shared" si="27"/>
        <v>1.44E-4</v>
      </c>
      <c r="F264" s="82">
        <f t="shared" si="46"/>
        <v>0</v>
      </c>
      <c r="G264" s="130">
        <f>G263</f>
        <v>148</v>
      </c>
      <c r="H264" s="250">
        <f t="shared" si="43"/>
        <v>0</v>
      </c>
      <c r="I264" s="247" t="s">
        <v>171</v>
      </c>
      <c r="N264" s="255"/>
      <c r="O264" s="255"/>
      <c r="P264" s="255"/>
    </row>
    <row r="265" spans="1:16" s="43" customFormat="1" ht="18" customHeight="1">
      <c r="A265" s="1"/>
      <c r="B265" s="48" t="s">
        <v>172</v>
      </c>
      <c r="C265" s="52"/>
      <c r="D265" s="50"/>
      <c r="E265" s="128"/>
      <c r="F265" s="50">
        <f>SUM(F259:F264)</f>
        <v>0</v>
      </c>
      <c r="G265" s="50"/>
      <c r="H265" s="52">
        <f>SUM(H259:H264)</f>
        <v>0</v>
      </c>
      <c r="I265" s="53">
        <f>ROUND(SUMPRODUCT(E259:E264*F259:F264),2)</f>
        <v>0</v>
      </c>
      <c r="N265" s="255"/>
      <c r="O265" s="255"/>
      <c r="P265" s="255"/>
    </row>
    <row r="266" spans="1:16" s="43" customFormat="1" ht="18" customHeight="1">
      <c r="A266" s="1"/>
      <c r="B266" s="124" t="str">
        <f>B264</f>
        <v>6单银Low-E+12A+6</v>
      </c>
      <c r="C266" s="133">
        <f t="shared" ref="C266:D268" si="47">D143</f>
        <v>-154</v>
      </c>
      <c r="D266" s="133">
        <f t="shared" si="47"/>
        <v>-154</v>
      </c>
      <c r="E266" s="32">
        <f t="shared" si="27"/>
        <v>2.3716000000000001E-2</v>
      </c>
      <c r="F266" s="134">
        <f>G143</f>
        <v>0</v>
      </c>
      <c r="G266" s="135">
        <f>G264</f>
        <v>148</v>
      </c>
      <c r="H266" s="134">
        <f>ROUND(E266*G266*F266,2)</f>
        <v>0</v>
      </c>
      <c r="I266" s="136" t="s">
        <v>173</v>
      </c>
      <c r="N266" s="255"/>
      <c r="O266" s="255"/>
      <c r="P266" s="255"/>
    </row>
    <row r="267" spans="1:16" s="43" customFormat="1" ht="18" customHeight="1">
      <c r="A267" s="1"/>
      <c r="B267" s="124" t="str">
        <f>B264</f>
        <v>6单银Low-E+12A+6</v>
      </c>
      <c r="C267" s="133">
        <f t="shared" si="47"/>
        <v>-154</v>
      </c>
      <c r="D267" s="133">
        <f t="shared" si="47"/>
        <v>-154</v>
      </c>
      <c r="E267" s="32">
        <f t="shared" si="27"/>
        <v>2.3716000000000001E-2</v>
      </c>
      <c r="F267" s="134">
        <f>G144</f>
        <v>0</v>
      </c>
      <c r="G267" s="135">
        <f>G266</f>
        <v>148</v>
      </c>
      <c r="H267" s="134">
        <f>ROUND(E267*G267*F267,2)</f>
        <v>0</v>
      </c>
      <c r="I267" s="136" t="s">
        <v>173</v>
      </c>
      <c r="N267" s="255"/>
      <c r="O267" s="255"/>
      <c r="P267" s="255"/>
    </row>
    <row r="268" spans="1:16" s="43" customFormat="1" ht="18" customHeight="1">
      <c r="A268" s="1"/>
      <c r="B268" s="124" t="str">
        <f>B267</f>
        <v>6单银Low-E+12A+6</v>
      </c>
      <c r="C268" s="133">
        <f t="shared" si="47"/>
        <v>-154</v>
      </c>
      <c r="D268" s="133">
        <f t="shared" si="47"/>
        <v>-154</v>
      </c>
      <c r="E268" s="32">
        <f t="shared" si="27"/>
        <v>2.3716000000000001E-2</v>
      </c>
      <c r="F268" s="134">
        <f>G145</f>
        <v>0</v>
      </c>
      <c r="G268" s="135">
        <f>G267</f>
        <v>148</v>
      </c>
      <c r="H268" s="134">
        <f>ROUND(E268*G268*F268,2)</f>
        <v>0</v>
      </c>
      <c r="I268" s="136" t="s">
        <v>173</v>
      </c>
      <c r="N268" s="255"/>
      <c r="O268" s="255"/>
      <c r="P268" s="255"/>
    </row>
    <row r="269" spans="1:16" s="43" customFormat="1" ht="18" customHeight="1">
      <c r="A269" s="1"/>
      <c r="B269" s="48" t="s">
        <v>174</v>
      </c>
      <c r="C269" s="52"/>
      <c r="D269" s="50"/>
      <c r="E269" s="128"/>
      <c r="F269" s="50">
        <f>SUM(F266:F268)</f>
        <v>0</v>
      </c>
      <c r="G269" s="50"/>
      <c r="H269" s="52">
        <f>SUM(H266:H268)</f>
        <v>0</v>
      </c>
      <c r="I269" s="53">
        <f>ROUND((E266*F266+E267*F267+E268*F268),2)</f>
        <v>0</v>
      </c>
      <c r="N269" s="255"/>
      <c r="O269" s="255"/>
      <c r="P269" s="255"/>
    </row>
    <row r="270" spans="1:16" s="43" customFormat="1" ht="18" customHeight="1">
      <c r="A270" s="1"/>
      <c r="B270" s="124" t="str">
        <f>B268</f>
        <v>6单银Low-E+12A+6</v>
      </c>
      <c r="C270" s="133">
        <f t="shared" ref="C270:D272" si="48">D150</f>
        <v>-160</v>
      </c>
      <c r="D270" s="133">
        <f t="shared" si="48"/>
        <v>-160</v>
      </c>
      <c r="E270" s="32">
        <f t="shared" si="27"/>
        <v>2.5600000000000001E-2</v>
      </c>
      <c r="F270" s="134">
        <f>G150</f>
        <v>0</v>
      </c>
      <c r="G270" s="135">
        <f>G268</f>
        <v>148</v>
      </c>
      <c r="H270" s="134">
        <f>ROUND(E270*G270*F270,2)</f>
        <v>0</v>
      </c>
      <c r="I270" s="136" t="s">
        <v>173</v>
      </c>
      <c r="N270" s="255"/>
      <c r="O270" s="255"/>
      <c r="P270" s="255"/>
    </row>
    <row r="271" spans="1:16" s="43" customFormat="1" ht="18" customHeight="1">
      <c r="A271" s="1"/>
      <c r="B271" s="124" t="str">
        <f>B270</f>
        <v>6单银Low-E+12A+6</v>
      </c>
      <c r="C271" s="133">
        <f t="shared" si="48"/>
        <v>-160</v>
      </c>
      <c r="D271" s="133">
        <f t="shared" si="48"/>
        <v>-160</v>
      </c>
      <c r="E271" s="32">
        <f t="shared" si="27"/>
        <v>2.5600000000000001E-2</v>
      </c>
      <c r="F271" s="134">
        <f>G151</f>
        <v>0</v>
      </c>
      <c r="G271" s="135">
        <f>G270</f>
        <v>148</v>
      </c>
      <c r="H271" s="134">
        <f>ROUND(E271*G271*F271,2)</f>
        <v>0</v>
      </c>
      <c r="I271" s="136" t="s">
        <v>173</v>
      </c>
      <c r="N271" s="255"/>
      <c r="O271" s="255"/>
      <c r="P271" s="255"/>
    </row>
    <row r="272" spans="1:16" s="43" customFormat="1" ht="18" customHeight="1">
      <c r="A272" s="1"/>
      <c r="B272" s="124" t="str">
        <f>B271</f>
        <v>6单银Low-E+12A+6</v>
      </c>
      <c r="C272" s="133">
        <f t="shared" si="48"/>
        <v>-160</v>
      </c>
      <c r="D272" s="133">
        <f t="shared" si="48"/>
        <v>-160</v>
      </c>
      <c r="E272" s="32">
        <f t="shared" si="27"/>
        <v>2.5600000000000001E-2</v>
      </c>
      <c r="F272" s="134">
        <f>G152</f>
        <v>0</v>
      </c>
      <c r="G272" s="135">
        <f>G271</f>
        <v>148</v>
      </c>
      <c r="H272" s="134">
        <f>ROUND(E272*G272*F272,2)</f>
        <v>0</v>
      </c>
      <c r="I272" s="136" t="s">
        <v>173</v>
      </c>
      <c r="N272" s="255"/>
      <c r="O272" s="255"/>
      <c r="P272" s="255"/>
    </row>
    <row r="273" spans="1:16" s="43" customFormat="1" ht="18" customHeight="1">
      <c r="A273" s="1"/>
      <c r="B273" s="48" t="s">
        <v>175</v>
      </c>
      <c r="C273" s="52"/>
      <c r="D273" s="50"/>
      <c r="E273" s="128"/>
      <c r="F273" s="50">
        <f>SUM(F270:F272)</f>
        <v>0</v>
      </c>
      <c r="G273" s="50"/>
      <c r="H273" s="52">
        <f>SUM(H270:H272)</f>
        <v>0</v>
      </c>
      <c r="I273" s="53">
        <f>ROUND((E270*F270+E271*F271+E272*F272),2)</f>
        <v>0</v>
      </c>
      <c r="N273" s="255"/>
      <c r="O273" s="255"/>
      <c r="P273" s="255"/>
    </row>
    <row r="274" spans="1:16" ht="18" customHeight="1">
      <c r="B274" s="124" t="str">
        <f>B272</f>
        <v>6单银Low-E+12A+6</v>
      </c>
      <c r="C274" s="133">
        <f t="shared" ref="C274:D279" si="49">D157-12</f>
        <v>-12</v>
      </c>
      <c r="D274" s="133">
        <f t="shared" si="49"/>
        <v>-12</v>
      </c>
      <c r="E274" s="32">
        <f t="shared" si="27"/>
        <v>1.44E-4</v>
      </c>
      <c r="F274" s="134">
        <f t="shared" ref="F274:F279" si="50">G157</f>
        <v>0</v>
      </c>
      <c r="G274" s="135">
        <f>G272</f>
        <v>148</v>
      </c>
      <c r="H274" s="134">
        <f t="shared" ref="H274:H279" si="51">ROUND(E274*G274*F274,2)</f>
        <v>0</v>
      </c>
      <c r="I274" s="136" t="s">
        <v>176</v>
      </c>
    </row>
    <row r="275" spans="1:16" ht="18" customHeight="1">
      <c r="B275" s="124" t="str">
        <f>B274</f>
        <v>6单银Low-E+12A+6</v>
      </c>
      <c r="C275" s="133">
        <f t="shared" si="49"/>
        <v>-12</v>
      </c>
      <c r="D275" s="133">
        <f t="shared" si="49"/>
        <v>-12</v>
      </c>
      <c r="E275" s="32">
        <f t="shared" si="27"/>
        <v>1.44E-4</v>
      </c>
      <c r="F275" s="134">
        <f t="shared" si="50"/>
        <v>0</v>
      </c>
      <c r="G275" s="135">
        <f>G274</f>
        <v>148</v>
      </c>
      <c r="H275" s="134">
        <f t="shared" si="51"/>
        <v>0</v>
      </c>
      <c r="I275" s="136" t="str">
        <f>I274</f>
        <v>门钢化中空玻璃</v>
      </c>
      <c r="K275" s="43" t="s">
        <v>177</v>
      </c>
    </row>
    <row r="276" spans="1:16" ht="18" customHeight="1">
      <c r="B276" s="124" t="str">
        <f>B275</f>
        <v>6单银Low-E+12A+6</v>
      </c>
      <c r="C276" s="133">
        <f t="shared" si="49"/>
        <v>-12</v>
      </c>
      <c r="D276" s="133">
        <f t="shared" si="49"/>
        <v>-12</v>
      </c>
      <c r="E276" s="32">
        <f t="shared" si="27"/>
        <v>1.44E-4</v>
      </c>
      <c r="F276" s="134">
        <f t="shared" si="50"/>
        <v>0</v>
      </c>
      <c r="G276" s="135">
        <f>G275</f>
        <v>148</v>
      </c>
      <c r="H276" s="134">
        <f t="shared" si="51"/>
        <v>0</v>
      </c>
      <c r="I276" s="136" t="str">
        <f>I275</f>
        <v>门钢化中空玻璃</v>
      </c>
    </row>
    <row r="277" spans="1:16" ht="18" customHeight="1">
      <c r="B277" s="124" t="str">
        <f>B276</f>
        <v>6单银Low-E+12A+6</v>
      </c>
      <c r="C277" s="133">
        <f t="shared" si="49"/>
        <v>-12</v>
      </c>
      <c r="D277" s="133">
        <f t="shared" si="49"/>
        <v>-12</v>
      </c>
      <c r="E277" s="32">
        <f t="shared" si="27"/>
        <v>1.44E-4</v>
      </c>
      <c r="F277" s="134">
        <f t="shared" si="50"/>
        <v>0</v>
      </c>
      <c r="G277" s="135">
        <f>G276</f>
        <v>148</v>
      </c>
      <c r="H277" s="134">
        <f t="shared" si="51"/>
        <v>0</v>
      </c>
      <c r="I277" s="136" t="str">
        <f>I276</f>
        <v>门钢化中空玻璃</v>
      </c>
    </row>
    <row r="278" spans="1:16" ht="18" customHeight="1">
      <c r="B278" s="124" t="str">
        <f>B277</f>
        <v>6单银Low-E+12A+6</v>
      </c>
      <c r="C278" s="133">
        <f t="shared" si="49"/>
        <v>-12</v>
      </c>
      <c r="D278" s="133">
        <f t="shared" si="49"/>
        <v>-12</v>
      </c>
      <c r="E278" s="32">
        <f t="shared" si="27"/>
        <v>1.44E-4</v>
      </c>
      <c r="F278" s="134">
        <f t="shared" si="50"/>
        <v>0</v>
      </c>
      <c r="G278" s="135">
        <f>G277</f>
        <v>148</v>
      </c>
      <c r="H278" s="134">
        <f t="shared" si="51"/>
        <v>0</v>
      </c>
      <c r="I278" s="136" t="str">
        <f>I277</f>
        <v>门钢化中空玻璃</v>
      </c>
    </row>
    <row r="279" spans="1:16" ht="18" customHeight="1">
      <c r="B279" s="124" t="str">
        <f>B278</f>
        <v>6单银Low-E+12A+6</v>
      </c>
      <c r="C279" s="133">
        <f t="shared" si="49"/>
        <v>-12</v>
      </c>
      <c r="D279" s="133">
        <f t="shared" si="49"/>
        <v>-12</v>
      </c>
      <c r="E279" s="32">
        <f t="shared" si="27"/>
        <v>1.44E-4</v>
      </c>
      <c r="F279" s="134">
        <f t="shared" si="50"/>
        <v>0</v>
      </c>
      <c r="G279" s="135">
        <f>G278</f>
        <v>148</v>
      </c>
      <c r="H279" s="134">
        <f t="shared" si="51"/>
        <v>0</v>
      </c>
      <c r="I279" s="136" t="str">
        <f>I278</f>
        <v>门钢化中空玻璃</v>
      </c>
    </row>
    <row r="280" spans="1:16" ht="18" customHeight="1">
      <c r="B280" s="48" t="s">
        <v>178</v>
      </c>
      <c r="C280" s="52"/>
      <c r="D280" s="50"/>
      <c r="E280" s="128"/>
      <c r="F280" s="50">
        <f>SUM(F274:F279)</f>
        <v>0</v>
      </c>
      <c r="G280" s="50"/>
      <c r="H280" s="52">
        <f>SUM(H274:H279)</f>
        <v>0</v>
      </c>
      <c r="I280" s="53">
        <f>ROUND(SUMPRODUCT(E274:E279*F274:F279),2)</f>
        <v>0</v>
      </c>
    </row>
    <row r="281" spans="1:16" ht="18" customHeight="1">
      <c r="B281" s="124" t="str">
        <f>材料价格!A10</f>
        <v>6单银Low-E+12A+6</v>
      </c>
      <c r="C281" s="133">
        <f>C252</f>
        <v>-12</v>
      </c>
      <c r="D281" s="133">
        <f>D252</f>
        <v>-12</v>
      </c>
      <c r="E281" s="32">
        <f t="shared" si="27"/>
        <v>1.44E-4</v>
      </c>
      <c r="F281" s="134"/>
      <c r="G281" s="137">
        <f>材料价格!B10</f>
        <v>148</v>
      </c>
      <c r="H281" s="134">
        <f>ROUND(E281*G281*F281,2)</f>
        <v>0</v>
      </c>
      <c r="I281" s="247" t="s">
        <v>179</v>
      </c>
    </row>
    <row r="282" spans="1:16" ht="18" customHeight="1">
      <c r="B282" s="124" t="str">
        <f>B281</f>
        <v>6单银Low-E+12A+6</v>
      </c>
      <c r="C282" s="133">
        <f>C253</f>
        <v>-12</v>
      </c>
      <c r="D282" s="133">
        <f>D253</f>
        <v>-12</v>
      </c>
      <c r="E282" s="32">
        <f t="shared" si="27"/>
        <v>1.44E-4</v>
      </c>
      <c r="F282" s="134"/>
      <c r="G282" s="135">
        <f>G281</f>
        <v>148</v>
      </c>
      <c r="H282" s="134">
        <f>ROUND(E282*G282*F282,2)</f>
        <v>0</v>
      </c>
      <c r="I282" s="247" t="s">
        <v>179</v>
      </c>
      <c r="J282" s="255"/>
      <c r="K282" s="255"/>
      <c r="L282" s="255"/>
      <c r="M282" s="255"/>
    </row>
    <row r="283" spans="1:16" ht="18" customHeight="1">
      <c r="B283" s="124" t="str">
        <f>B282</f>
        <v>6单银Low-E+12A+6</v>
      </c>
      <c r="C283" s="133">
        <f>D84-12</f>
        <v>-12</v>
      </c>
      <c r="D283" s="133">
        <f>E84-12</f>
        <v>-12</v>
      </c>
      <c r="E283" s="32">
        <f t="shared" si="27"/>
        <v>1.44E-4</v>
      </c>
      <c r="F283" s="134">
        <f>G84</f>
        <v>0</v>
      </c>
      <c r="G283" s="135">
        <f>G282</f>
        <v>148</v>
      </c>
      <c r="H283" s="134">
        <f>ROUND(E283*G283*F283,2)</f>
        <v>0</v>
      </c>
      <c r="I283" s="247" t="s">
        <v>179</v>
      </c>
      <c r="J283" s="255"/>
      <c r="K283" s="255"/>
      <c r="L283" s="255"/>
      <c r="M283" s="255"/>
    </row>
    <row r="284" spans="1:16" ht="18" customHeight="1">
      <c r="B284" s="124" t="str">
        <f>B283</f>
        <v>6单银Low-E+12A+6</v>
      </c>
      <c r="C284" s="133">
        <f>D85-12</f>
        <v>-12</v>
      </c>
      <c r="D284" s="133">
        <f>E85-12</f>
        <v>-12</v>
      </c>
      <c r="E284" s="32">
        <f t="shared" si="27"/>
        <v>1.44E-4</v>
      </c>
      <c r="F284" s="134">
        <f>G85</f>
        <v>0</v>
      </c>
      <c r="G284" s="135">
        <f>G283</f>
        <v>148</v>
      </c>
      <c r="H284" s="134">
        <f>ROUND(E284*G284*F284,2)</f>
        <v>0</v>
      </c>
      <c r="I284" s="247" t="s">
        <v>179</v>
      </c>
      <c r="J284" s="255"/>
      <c r="K284" s="255"/>
      <c r="L284" s="255"/>
      <c r="M284" s="255"/>
    </row>
    <row r="285" spans="1:16" ht="18" customHeight="1">
      <c r="B285" s="48" t="s">
        <v>180</v>
      </c>
      <c r="C285" s="52"/>
      <c r="D285" s="50"/>
      <c r="E285" s="50"/>
      <c r="F285" s="50">
        <f>SUM(F281:F284)</f>
        <v>0</v>
      </c>
      <c r="G285" s="50"/>
      <c r="H285" s="52">
        <f>SUM(H281:H284)</f>
        <v>0</v>
      </c>
      <c r="I285" s="53">
        <f>ROUND((E281*F281+E282*F282+E283*F283+E284*F284),2)</f>
        <v>0</v>
      </c>
      <c r="J285" s="255"/>
      <c r="K285" s="255"/>
      <c r="L285" s="255"/>
      <c r="M285" s="255"/>
    </row>
    <row r="286" spans="1:16" ht="18" customHeight="1">
      <c r="B286" s="124" t="str">
        <f>材料价格!A11</f>
        <v>8单银Low-E+12Ar+8+12A+8mm</v>
      </c>
      <c r="C286" s="133"/>
      <c r="D286" s="133"/>
      <c r="E286" s="32">
        <f>C286*D286/10^6</f>
        <v>0</v>
      </c>
      <c r="F286" s="134"/>
      <c r="G286" s="137">
        <f>材料价格!B11</f>
        <v>312</v>
      </c>
      <c r="H286" s="134">
        <f>ROUND(E286*G286*F286,2)</f>
        <v>0</v>
      </c>
      <c r="I286" s="247" t="s">
        <v>181</v>
      </c>
      <c r="J286" s="255"/>
      <c r="K286" s="255"/>
      <c r="L286" s="255"/>
      <c r="M286" s="255"/>
    </row>
    <row r="287" spans="1:16" ht="18" customHeight="1">
      <c r="B287" s="124" t="str">
        <f>B286</f>
        <v>8单银Low-E+12Ar+8+12A+8mm</v>
      </c>
      <c r="C287" s="133"/>
      <c r="D287" s="133"/>
      <c r="E287" s="32">
        <f>C287*D287/10^6</f>
        <v>0</v>
      </c>
      <c r="F287" s="134"/>
      <c r="G287" s="135">
        <f>G286</f>
        <v>312</v>
      </c>
      <c r="H287" s="134">
        <f>ROUND(E287*G287*F287,2)</f>
        <v>0</v>
      </c>
      <c r="I287" s="247" t="s">
        <v>181</v>
      </c>
      <c r="J287" s="255"/>
      <c r="K287" s="255"/>
      <c r="L287" s="255"/>
      <c r="M287" s="255"/>
    </row>
    <row r="288" spans="1:16" ht="18" customHeight="1">
      <c r="B288" s="138" t="str">
        <f>材料价格!A12</f>
        <v>10单银Low-E+12Ar+10+12A+10mm</v>
      </c>
      <c r="C288" s="139"/>
      <c r="D288" s="139"/>
      <c r="E288" s="140">
        <f>C288*D288/10^6</f>
        <v>0</v>
      </c>
      <c r="F288" s="141"/>
      <c r="G288" s="142">
        <f>材料价格!B12</f>
        <v>395</v>
      </c>
      <c r="H288" s="141">
        <f>ROUND(E288*G288*F288,2)</f>
        <v>0</v>
      </c>
      <c r="I288" s="143" t="s">
        <v>181</v>
      </c>
      <c r="J288" s="255"/>
      <c r="K288" s="255"/>
      <c r="L288" s="255"/>
      <c r="M288" s="255"/>
    </row>
    <row r="289" spans="2:13" ht="18" customHeight="1">
      <c r="B289" s="138" t="str">
        <f>B288</f>
        <v>10单银Low-E+12Ar+10+12A+10mm</v>
      </c>
      <c r="C289" s="139"/>
      <c r="D289" s="139"/>
      <c r="E289" s="140">
        <f>C289*D289/10^6</f>
        <v>0</v>
      </c>
      <c r="F289" s="141"/>
      <c r="G289" s="142">
        <f>G288</f>
        <v>395</v>
      </c>
      <c r="H289" s="141">
        <f>ROUND(E289*G289*F289,2)</f>
        <v>0</v>
      </c>
      <c r="I289" s="143" t="s">
        <v>181</v>
      </c>
      <c r="J289" s="255"/>
      <c r="K289" s="255"/>
      <c r="L289" s="255"/>
      <c r="M289" s="255"/>
    </row>
    <row r="290" spans="2:13" ht="18" customHeight="1">
      <c r="B290" s="48" t="s">
        <v>180</v>
      </c>
      <c r="C290" s="52"/>
      <c r="D290" s="50"/>
      <c r="E290" s="50"/>
      <c r="F290" s="50">
        <f>SUM(F286:F289)</f>
        <v>0</v>
      </c>
      <c r="G290" s="50"/>
      <c r="H290" s="52">
        <f>SUM(H286:H289)</f>
        <v>0</v>
      </c>
      <c r="I290" s="53">
        <f>ROUND((E286*F286+E287*F287+E288*F288+E289*F289),2)</f>
        <v>0</v>
      </c>
      <c r="J290" s="255"/>
      <c r="K290" s="255"/>
      <c r="L290" s="255"/>
      <c r="M290" s="255"/>
    </row>
    <row r="291" spans="2:13" ht="18" customHeight="1">
      <c r="B291" s="642" t="s">
        <v>182</v>
      </c>
      <c r="C291" s="144" t="s">
        <v>183</v>
      </c>
      <c r="D291" s="144" cm="1">
        <f t="array" ref="D291">SUMPRODUCT(E225:E232*F225:F232)+SUMPRODUCT(E243:E249*F243:F249)</f>
        <v>0.97396799999999994</v>
      </c>
      <c r="E291" s="144" t="s">
        <v>184</v>
      </c>
      <c r="F291" s="145">
        <f>F233+F250</f>
        <v>2</v>
      </c>
      <c r="G291" s="145" t="s">
        <v>185</v>
      </c>
      <c r="H291" s="144">
        <f>H233+H250</f>
        <v>144.15</v>
      </c>
      <c r="I291" s="146">
        <f>H291/F366</f>
        <v>116.54135338345864</v>
      </c>
      <c r="J291" s="255"/>
      <c r="K291" s="255"/>
      <c r="L291" s="255"/>
      <c r="M291" s="255"/>
    </row>
    <row r="292" spans="2:13" ht="18" customHeight="1">
      <c r="B292" s="642"/>
      <c r="C292" s="144" t="s">
        <v>186</v>
      </c>
      <c r="D292" s="144">
        <f>SUMPRODUCT(E234:E241*F234:F241)+SUMPRODUCT(E251:E257*F251:F257)+SUMPRODUCT(E259:E264*F259:F264)+SUMPRODUCT(E266:E268*F266:F268)+SUMPRODUCT(E270:E272*F270:F272)+SUMPRODUCT(E281:E284*F281:F284)+SUMPRODUCT(E286:E289*F286:F289)+SUMPRODUCT(E274:E279*F274:F279)</f>
        <v>0</v>
      </c>
      <c r="E292" s="144" t="s">
        <v>186</v>
      </c>
      <c r="F292" s="145">
        <f>F242+F258+F265+F269+F273+F285+F290+F280</f>
        <v>0</v>
      </c>
      <c r="G292" s="145" t="s">
        <v>185</v>
      </c>
      <c r="H292" s="144">
        <f>H242+H258+H265+H269+H273+H280+H285+H290</f>
        <v>0</v>
      </c>
      <c r="I292" s="146">
        <f>H292/F366</f>
        <v>0</v>
      </c>
      <c r="J292" s="255"/>
      <c r="K292" s="255"/>
      <c r="L292" s="255"/>
      <c r="M292" s="255"/>
    </row>
    <row r="293" spans="2:13" ht="18" customHeight="1">
      <c r="B293" s="23" t="s">
        <v>187</v>
      </c>
      <c r="C293" s="252" t="s">
        <v>188</v>
      </c>
      <c r="D293" s="68" t="s">
        <v>189</v>
      </c>
      <c r="E293" s="252" t="s">
        <v>8</v>
      </c>
      <c r="F293" s="252" t="s">
        <v>190</v>
      </c>
      <c r="G293" s="252" t="s">
        <v>191</v>
      </c>
      <c r="H293" s="252" t="s">
        <v>160</v>
      </c>
      <c r="I293" s="25" t="s">
        <v>1</v>
      </c>
      <c r="J293" s="255"/>
      <c r="K293" s="255"/>
      <c r="L293" s="255"/>
      <c r="M293" s="255"/>
    </row>
    <row r="294" spans="2:13" ht="18" customHeight="1">
      <c r="B294" s="629" t="s">
        <v>192</v>
      </c>
      <c r="C294" s="253">
        <f>D26</f>
        <v>0</v>
      </c>
      <c r="D294" s="250"/>
      <c r="E294" s="250"/>
      <c r="F294" s="250" t="s">
        <v>193</v>
      </c>
      <c r="G294" s="108">
        <f>材料价格!B14</f>
        <v>153</v>
      </c>
      <c r="H294" s="147">
        <f>E294*G294</f>
        <v>0</v>
      </c>
      <c r="I294" s="632" t="s">
        <v>194</v>
      </c>
      <c r="J294" s="255"/>
      <c r="K294" s="255"/>
      <c r="L294" s="255"/>
      <c r="M294" s="255"/>
    </row>
    <row r="295" spans="2:13" ht="18" customHeight="1">
      <c r="B295" s="629"/>
      <c r="C295" s="253"/>
      <c r="D295" s="250"/>
      <c r="E295" s="250"/>
      <c r="F295" s="250"/>
      <c r="G295" s="108"/>
      <c r="H295" s="147">
        <f t="shared" ref="H295:H303" si="52">E295*G295</f>
        <v>0</v>
      </c>
      <c r="I295" s="633"/>
      <c r="J295" s="255"/>
      <c r="K295" s="255"/>
      <c r="L295" s="255"/>
      <c r="M295" s="255"/>
    </row>
    <row r="296" spans="2:13" ht="18" customHeight="1">
      <c r="B296" s="629" t="s">
        <v>195</v>
      </c>
      <c r="C296" s="253"/>
      <c r="D296" s="148"/>
      <c r="E296" s="250"/>
      <c r="F296" s="250" t="str">
        <f>F294</f>
        <v>坚朗</v>
      </c>
      <c r="G296" s="108">
        <f>材料价格!B15</f>
        <v>80</v>
      </c>
      <c r="H296" s="147">
        <f t="shared" si="52"/>
        <v>0</v>
      </c>
      <c r="I296" s="632" t="s">
        <v>196</v>
      </c>
      <c r="J296" s="255"/>
      <c r="K296" s="255"/>
      <c r="L296" s="255"/>
      <c r="M296" s="255"/>
    </row>
    <row r="297" spans="2:13" ht="18" customHeight="1">
      <c r="B297" s="629"/>
      <c r="C297" s="253"/>
      <c r="D297" s="148"/>
      <c r="E297" s="250"/>
      <c r="F297" s="250"/>
      <c r="G297" s="108"/>
      <c r="H297" s="147">
        <f t="shared" si="52"/>
        <v>0</v>
      </c>
      <c r="I297" s="633"/>
      <c r="J297" s="255"/>
      <c r="K297" s="255"/>
      <c r="L297" s="255"/>
      <c r="M297" s="255"/>
    </row>
    <row r="298" spans="2:13" ht="18" customHeight="1">
      <c r="B298" s="629" t="s">
        <v>197</v>
      </c>
      <c r="C298" s="253"/>
      <c r="D298" s="148"/>
      <c r="E298" s="250"/>
      <c r="F298" s="250" t="str">
        <f>F296</f>
        <v>坚朗</v>
      </c>
      <c r="G298" s="108">
        <f>材料价格!B16</f>
        <v>88</v>
      </c>
      <c r="H298" s="147">
        <f t="shared" si="52"/>
        <v>0</v>
      </c>
      <c r="I298" s="633"/>
      <c r="J298" s="255"/>
      <c r="K298" s="255"/>
      <c r="L298" s="255"/>
      <c r="M298" s="255"/>
    </row>
    <row r="299" spans="2:13" ht="18" customHeight="1">
      <c r="B299" s="629"/>
      <c r="C299" s="253"/>
      <c r="D299" s="148"/>
      <c r="E299" s="250"/>
      <c r="F299" s="250"/>
      <c r="G299" s="108"/>
      <c r="H299" s="147">
        <f t="shared" si="52"/>
        <v>0</v>
      </c>
      <c r="I299" s="633"/>
      <c r="J299" s="255"/>
      <c r="K299" s="255"/>
      <c r="L299" s="255"/>
      <c r="M299" s="255"/>
    </row>
    <row r="300" spans="2:13" ht="18" customHeight="1">
      <c r="B300" s="629" t="s">
        <v>198</v>
      </c>
      <c r="C300" s="253">
        <f>D35</f>
        <v>0</v>
      </c>
      <c r="D300" s="148"/>
      <c r="E300" s="250"/>
      <c r="F300" s="250" t="str">
        <f>F298</f>
        <v>坚朗</v>
      </c>
      <c r="G300" s="108">
        <f>材料价格!B17</f>
        <v>115</v>
      </c>
      <c r="H300" s="147">
        <f t="shared" si="52"/>
        <v>0</v>
      </c>
      <c r="I300" s="149"/>
      <c r="J300" s="255"/>
      <c r="K300" s="255"/>
      <c r="L300" s="255"/>
      <c r="M300" s="255"/>
    </row>
    <row r="301" spans="2:13" ht="18" customHeight="1">
      <c r="B301" s="629"/>
      <c r="C301" s="253"/>
      <c r="D301" s="148"/>
      <c r="E301" s="250"/>
      <c r="F301" s="250"/>
      <c r="G301" s="108"/>
      <c r="H301" s="147">
        <f t="shared" si="52"/>
        <v>0</v>
      </c>
      <c r="I301" s="149"/>
      <c r="J301" s="255"/>
      <c r="K301" s="255"/>
      <c r="L301" s="255"/>
      <c r="M301" s="255"/>
    </row>
    <row r="302" spans="2:13" ht="18" customHeight="1">
      <c r="B302" s="629" t="s">
        <v>199</v>
      </c>
      <c r="C302" s="250" t="s">
        <v>200</v>
      </c>
      <c r="D302" s="148"/>
      <c r="E302" s="250"/>
      <c r="F302" s="250" t="str">
        <f>F300</f>
        <v>坚朗</v>
      </c>
      <c r="G302" s="108">
        <f>材料价格!B19</f>
        <v>230</v>
      </c>
      <c r="H302" s="147">
        <f t="shared" si="52"/>
        <v>0</v>
      </c>
      <c r="I302" s="247"/>
      <c r="J302" s="255"/>
      <c r="K302" s="255"/>
      <c r="L302" s="255"/>
      <c r="M302" s="255"/>
    </row>
    <row r="303" spans="2:13" ht="18" customHeight="1">
      <c r="B303" s="629"/>
      <c r="C303" s="250" t="s">
        <v>201</v>
      </c>
      <c r="D303" s="148"/>
      <c r="E303" s="250"/>
      <c r="F303" s="250" t="str">
        <f>F302</f>
        <v>坚朗</v>
      </c>
      <c r="G303" s="108">
        <f>材料价格!B20</f>
        <v>335</v>
      </c>
      <c r="H303" s="147">
        <f t="shared" si="52"/>
        <v>0</v>
      </c>
      <c r="I303" s="247"/>
      <c r="J303" s="255"/>
      <c r="K303" s="255"/>
      <c r="L303" s="255"/>
      <c r="M303" s="255"/>
    </row>
    <row r="304" spans="2:13" ht="18" customHeight="1">
      <c r="B304" s="150" t="s">
        <v>202</v>
      </c>
      <c r="C304" s="50"/>
      <c r="D304" s="50"/>
      <c r="E304" s="50">
        <f>SUM(E294:E303)</f>
        <v>0</v>
      </c>
      <c r="F304" s="50"/>
      <c r="G304" s="166"/>
      <c r="H304" s="151">
        <f>SUM(H294:H303)</f>
        <v>0</v>
      </c>
      <c r="I304" s="152"/>
      <c r="J304" s="42"/>
    </row>
    <row r="305" spans="1:16" ht="18" customHeight="1">
      <c r="B305" s="246" t="s">
        <v>300</v>
      </c>
      <c r="C305" s="250"/>
      <c r="D305" s="148"/>
      <c r="E305" s="253">
        <f>E294+E296</f>
        <v>0</v>
      </c>
      <c r="F305" s="148"/>
      <c r="G305" s="148">
        <f>材料价格!B27</f>
        <v>0</v>
      </c>
      <c r="H305" s="154">
        <f>E305*G305</f>
        <v>0</v>
      </c>
      <c r="I305" s="247" t="s">
        <v>203</v>
      </c>
    </row>
    <row r="306" spans="1:16" s="16" customFormat="1" ht="18" customHeight="1">
      <c r="A306" s="1"/>
      <c r="B306" s="246" t="s">
        <v>204</v>
      </c>
      <c r="C306" s="250"/>
      <c r="D306" s="148"/>
      <c r="E306" s="253">
        <f>E298+E299+E300+E301</f>
        <v>0</v>
      </c>
      <c r="F306" s="148"/>
      <c r="G306" s="148">
        <f>材料价格!B28</f>
        <v>118</v>
      </c>
      <c r="H306" s="154">
        <f>E306*G306</f>
        <v>0</v>
      </c>
      <c r="I306" s="247" t="s">
        <v>205</v>
      </c>
      <c r="J306" s="43"/>
      <c r="K306" s="43"/>
      <c r="L306" s="43"/>
      <c r="M306" s="43"/>
      <c r="N306" s="255"/>
      <c r="O306" s="255"/>
      <c r="P306" s="255"/>
    </row>
    <row r="307" spans="1:16" s="16" customFormat="1" ht="18" customHeight="1">
      <c r="A307" s="1"/>
      <c r="B307" s="246" t="s">
        <v>206</v>
      </c>
      <c r="C307" s="250"/>
      <c r="D307" s="148"/>
      <c r="E307" s="253"/>
      <c r="F307" s="148"/>
      <c r="G307" s="148"/>
      <c r="H307" s="154">
        <f>E307*G307</f>
        <v>0</v>
      </c>
      <c r="I307" s="247" t="s">
        <v>207</v>
      </c>
      <c r="J307" s="43"/>
      <c r="K307" s="43"/>
      <c r="L307" s="43"/>
      <c r="M307" s="43"/>
      <c r="N307" s="255"/>
      <c r="O307" s="255"/>
      <c r="P307" s="255"/>
    </row>
    <row r="308" spans="1:16" s="16" customFormat="1" ht="18" customHeight="1">
      <c r="A308" s="1"/>
      <c r="B308" s="150" t="s">
        <v>208</v>
      </c>
      <c r="C308" s="50"/>
      <c r="D308" s="50"/>
      <c r="E308" s="100">
        <f>SUM(E305:E307)</f>
        <v>0</v>
      </c>
      <c r="F308" s="50"/>
      <c r="G308" s="166"/>
      <c r="H308" s="155">
        <f>SUM(H305:H307)</f>
        <v>0</v>
      </c>
      <c r="I308" s="152"/>
      <c r="J308" s="43"/>
      <c r="K308" s="43"/>
      <c r="L308" s="43"/>
      <c r="M308" s="43"/>
      <c r="N308" s="255"/>
      <c r="O308" s="255"/>
      <c r="P308" s="255"/>
    </row>
    <row r="309" spans="1:16" s="16" customFormat="1" ht="18" customHeight="1">
      <c r="A309" s="1"/>
      <c r="B309" s="156" t="s">
        <v>209</v>
      </c>
      <c r="C309" s="157">
        <f>ROUND(IF(D4&lt;=200,4,0)+IF(D4&gt;200,(D4/200+1))+IF(E4&lt;=200,4,0)+IF(E4&gt;200,(E4/200+1)),0)</f>
        <v>14</v>
      </c>
      <c r="D309" s="148"/>
      <c r="E309" s="148"/>
      <c r="F309" s="148"/>
      <c r="G309" s="158">
        <v>0.5</v>
      </c>
      <c r="H309" s="159">
        <f>ROUND(C309*G309,2)</f>
        <v>7</v>
      </c>
      <c r="I309" s="247" t="s">
        <v>210</v>
      </c>
      <c r="J309" s="43"/>
      <c r="K309" s="43"/>
      <c r="L309" s="43"/>
      <c r="M309" s="43"/>
      <c r="N309" s="255"/>
      <c r="O309" s="255"/>
      <c r="P309" s="255"/>
    </row>
    <row r="310" spans="1:16" s="16" customFormat="1" ht="18" customHeight="1">
      <c r="A310" s="1"/>
      <c r="B310" s="156" t="s">
        <v>211</v>
      </c>
      <c r="C310" s="157">
        <f>C309*2</f>
        <v>28</v>
      </c>
      <c r="D310" s="148">
        <f>D309*2</f>
        <v>0</v>
      </c>
      <c r="E310" s="148"/>
      <c r="F310" s="148"/>
      <c r="G310" s="158">
        <v>0.3</v>
      </c>
      <c r="H310" s="159">
        <f>ROUND(C310*G310,2)</f>
        <v>8.4</v>
      </c>
      <c r="I310" s="247" t="s">
        <v>212</v>
      </c>
      <c r="J310" s="43"/>
      <c r="K310" s="43"/>
      <c r="L310" s="255"/>
      <c r="M310" s="255"/>
      <c r="N310" s="255"/>
      <c r="O310" s="255"/>
      <c r="P310" s="255"/>
    </row>
    <row r="311" spans="1:16" s="16" customFormat="1" ht="18" customHeight="1">
      <c r="A311" s="1"/>
      <c r="B311" s="160" t="s">
        <v>213</v>
      </c>
      <c r="C311" s="161">
        <f>F6</f>
        <v>1.2143999999999999</v>
      </c>
      <c r="D311" s="162"/>
      <c r="E311" s="162"/>
      <c r="F311" s="162"/>
      <c r="G311" s="163">
        <v>5</v>
      </c>
      <c r="H311" s="159">
        <f>ROUND(C311*G311,2)</f>
        <v>6.07</v>
      </c>
      <c r="I311" s="247"/>
      <c r="J311" s="43"/>
      <c r="K311" s="43"/>
      <c r="L311" s="255"/>
      <c r="M311" s="255"/>
      <c r="N311" s="255"/>
      <c r="O311" s="255"/>
      <c r="P311" s="255"/>
    </row>
    <row r="312" spans="1:16" s="16" customFormat="1" ht="18" customHeight="1">
      <c r="A312" s="1"/>
      <c r="B312" s="160" t="s">
        <v>214</v>
      </c>
      <c r="C312" s="161"/>
      <c r="D312" s="162"/>
      <c r="E312" s="162"/>
      <c r="F312" s="162"/>
      <c r="G312" s="163"/>
      <c r="H312" s="159">
        <f>ROUND(C312*G312,2)</f>
        <v>0</v>
      </c>
      <c r="I312" s="247"/>
      <c r="J312" s="43"/>
      <c r="K312" s="43"/>
      <c r="L312" s="255"/>
      <c r="M312" s="255"/>
      <c r="N312" s="255"/>
      <c r="O312" s="255"/>
      <c r="P312" s="255"/>
    </row>
    <row r="313" spans="1:16" s="16" customFormat="1" ht="18" customHeight="1">
      <c r="A313" s="1"/>
      <c r="B313" s="164" t="s">
        <v>397</v>
      </c>
      <c r="C313" s="161">
        <f>D291+D292</f>
        <v>0.97396799999999994</v>
      </c>
      <c r="D313" s="162"/>
      <c r="E313" s="162"/>
      <c r="F313" s="162"/>
      <c r="G313" s="163">
        <f>10+5</f>
        <v>15</v>
      </c>
      <c r="H313" s="159">
        <f>ROUND(C313*G313,2)</f>
        <v>14.61</v>
      </c>
      <c r="I313" s="247"/>
      <c r="J313" s="43"/>
      <c r="K313" s="43"/>
      <c r="L313" s="255"/>
      <c r="M313" s="255"/>
      <c r="N313" s="255"/>
      <c r="O313" s="255"/>
      <c r="P313" s="255"/>
    </row>
    <row r="314" spans="1:16" s="16" customFormat="1" ht="18" customHeight="1">
      <c r="A314" s="1"/>
      <c r="B314" s="150" t="s">
        <v>215</v>
      </c>
      <c r="C314" s="165"/>
      <c r="D314" s="50"/>
      <c r="E314" s="50"/>
      <c r="F314" s="50"/>
      <c r="G314" s="166"/>
      <c r="H314" s="155">
        <f>SUM(H309:H313)</f>
        <v>36.08</v>
      </c>
      <c r="I314" s="152"/>
      <c r="J314" s="43"/>
      <c r="K314" s="43"/>
      <c r="L314" s="255"/>
      <c r="M314" s="255"/>
      <c r="N314" s="255"/>
      <c r="O314" s="255"/>
      <c r="P314" s="255"/>
    </row>
    <row r="315" spans="1:16" s="16" customFormat="1" ht="18" customHeight="1">
      <c r="A315" s="1"/>
      <c r="B315" s="156" t="s">
        <v>216</v>
      </c>
      <c r="C315" s="167">
        <f>E203+E205+E207+I203+I205+E209+I207</f>
        <v>4</v>
      </c>
      <c r="D315" s="148"/>
      <c r="E315" s="148"/>
      <c r="F315" s="148"/>
      <c r="G315" s="168">
        <v>1.9</v>
      </c>
      <c r="H315" s="154">
        <f t="shared" ref="H315:H318" si="53">ROUND(C315*G315,2)</f>
        <v>7.6</v>
      </c>
      <c r="I315" s="224" t="s">
        <v>340</v>
      </c>
      <c r="J315" s="255"/>
      <c r="K315" s="43"/>
      <c r="L315" s="255"/>
      <c r="M315" s="255"/>
      <c r="N315" s="255"/>
      <c r="O315" s="255"/>
      <c r="P315" s="255"/>
    </row>
    <row r="316" spans="1:16" s="16" customFormat="1" ht="18" customHeight="1">
      <c r="A316" s="1"/>
      <c r="B316" s="156" t="s">
        <v>217</v>
      </c>
      <c r="C316" s="167">
        <f>ROUND((D4+E4)*2/1000,2)</f>
        <v>4.8</v>
      </c>
      <c r="D316" s="148"/>
      <c r="E316" s="238">
        <v>4</v>
      </c>
      <c r="F316" s="235">
        <f>材料价格!B25</f>
        <v>8.52</v>
      </c>
      <c r="G316" s="168">
        <f t="shared" ref="G316:G321" si="54">F316/E316</f>
        <v>2.13</v>
      </c>
      <c r="H316" s="154">
        <f t="shared" si="53"/>
        <v>10.220000000000001</v>
      </c>
      <c r="I316" s="169" t="s">
        <v>218</v>
      </c>
      <c r="J316" s="255"/>
      <c r="K316" s="43"/>
      <c r="L316" s="255"/>
      <c r="M316" s="255"/>
      <c r="N316" s="255"/>
      <c r="O316" s="255"/>
      <c r="P316" s="255"/>
    </row>
    <row r="317" spans="1:16" s="16" customFormat="1" ht="18" customHeight="1">
      <c r="A317" s="1"/>
      <c r="B317" s="156" t="s">
        <v>219</v>
      </c>
      <c r="C317" s="167">
        <f>C316</f>
        <v>4.8</v>
      </c>
      <c r="D317" s="148"/>
      <c r="E317" s="238">
        <v>3</v>
      </c>
      <c r="F317" s="235">
        <f>F316</f>
        <v>8.52</v>
      </c>
      <c r="G317" s="168">
        <f t="shared" si="54"/>
        <v>2.84</v>
      </c>
      <c r="H317" s="154">
        <f t="shared" si="53"/>
        <v>13.63</v>
      </c>
      <c r="I317" s="169" t="s">
        <v>220</v>
      </c>
      <c r="J317" s="255"/>
      <c r="K317" s="43"/>
      <c r="L317" s="255"/>
      <c r="M317" s="255"/>
      <c r="N317" s="255"/>
      <c r="O317" s="255"/>
      <c r="P317" s="255"/>
    </row>
    <row r="318" spans="1:16" s="16" customFormat="1" ht="18" customHeight="1">
      <c r="A318" s="1"/>
      <c r="B318" s="156" t="s">
        <v>221</v>
      </c>
      <c r="C318" s="167">
        <f>C316</f>
        <v>4.8</v>
      </c>
      <c r="D318" s="148"/>
      <c r="E318" s="238">
        <v>6.5</v>
      </c>
      <c r="F318" s="235">
        <f>材料价格!B26</f>
        <v>23</v>
      </c>
      <c r="G318" s="168">
        <f t="shared" si="54"/>
        <v>3.5384615384615383</v>
      </c>
      <c r="H318" s="154">
        <f t="shared" si="53"/>
        <v>16.98</v>
      </c>
      <c r="I318" s="224" t="s">
        <v>222</v>
      </c>
      <c r="J318" s="255"/>
      <c r="K318" s="43"/>
      <c r="L318" s="255"/>
      <c r="M318" s="255"/>
      <c r="N318" s="255"/>
      <c r="O318" s="255"/>
      <c r="P318" s="255"/>
    </row>
    <row r="319" spans="1:16" s="16" customFormat="1" ht="18" customHeight="1">
      <c r="A319" s="1"/>
      <c r="B319" s="156" t="s">
        <v>341</v>
      </c>
      <c r="C319" s="167">
        <f>ROUND((C97+C104+C88+C146+C153+C163)*1,2)</f>
        <v>6.62</v>
      </c>
      <c r="D319" s="77">
        <v>1</v>
      </c>
      <c r="E319" s="238">
        <f>10</f>
        <v>10</v>
      </c>
      <c r="F319" s="235">
        <f>F317</f>
        <v>8.52</v>
      </c>
      <c r="G319" s="168">
        <f>F319/E319</f>
        <v>0.85199999999999998</v>
      </c>
      <c r="H319" s="154">
        <f>ROUND(C319*G319,2)</f>
        <v>5.64</v>
      </c>
      <c r="I319" s="247" t="s">
        <v>223</v>
      </c>
      <c r="J319" s="255"/>
      <c r="K319" s="43"/>
      <c r="L319" s="255"/>
      <c r="M319" s="255"/>
      <c r="N319" s="255"/>
      <c r="O319" s="255"/>
      <c r="P319" s="255"/>
    </row>
    <row r="320" spans="1:16" s="16" customFormat="1" ht="18" customHeight="1">
      <c r="A320" s="1"/>
      <c r="B320" s="156" t="s">
        <v>342</v>
      </c>
      <c r="C320" s="167">
        <f>C319</f>
        <v>6.62</v>
      </c>
      <c r="D320" s="77">
        <v>1</v>
      </c>
      <c r="E320" s="238">
        <v>6</v>
      </c>
      <c r="F320" s="235">
        <f>F319</f>
        <v>8.52</v>
      </c>
      <c r="G320" s="168">
        <f t="shared" si="54"/>
        <v>1.42</v>
      </c>
      <c r="H320" s="154">
        <f>ROUND(C320*G320,2)</f>
        <v>9.4</v>
      </c>
      <c r="I320" s="247" t="s">
        <v>224</v>
      </c>
      <c r="J320" s="255"/>
      <c r="K320" s="170"/>
      <c r="L320" s="170"/>
      <c r="M320" s="170"/>
      <c r="N320" s="170"/>
      <c r="O320" s="170"/>
      <c r="P320" s="170"/>
    </row>
    <row r="321" spans="1:16" s="16" customFormat="1" ht="18" customHeight="1">
      <c r="A321" s="1"/>
      <c r="B321" s="156" t="s">
        <v>225</v>
      </c>
      <c r="C321" s="167">
        <f>C334*D334+C324*D324+C327*D327</f>
        <v>1.4119999999999999</v>
      </c>
      <c r="D321" s="77">
        <v>1</v>
      </c>
      <c r="E321" s="238">
        <f>10</f>
        <v>10</v>
      </c>
      <c r="F321" s="235">
        <f>F317</f>
        <v>8.52</v>
      </c>
      <c r="G321" s="168">
        <f t="shared" si="54"/>
        <v>0.85199999999999998</v>
      </c>
      <c r="H321" s="154">
        <f>ROUND(C321*G321,2)</f>
        <v>1.2</v>
      </c>
      <c r="I321" s="247" t="s">
        <v>226</v>
      </c>
      <c r="J321" s="255"/>
      <c r="K321" s="170"/>
      <c r="L321" s="170"/>
      <c r="M321" s="170"/>
      <c r="N321" s="170"/>
      <c r="O321" s="170"/>
      <c r="P321" s="170"/>
    </row>
    <row r="322" spans="1:16" s="16" customFormat="1" ht="18" customHeight="1">
      <c r="A322" s="1"/>
      <c r="B322" s="150" t="s">
        <v>227</v>
      </c>
      <c r="C322" s="165"/>
      <c r="D322" s="50"/>
      <c r="E322" s="50"/>
      <c r="F322" s="50"/>
      <c r="G322" s="166" t="s">
        <v>396</v>
      </c>
      <c r="H322" s="155">
        <f>SUM(H315:H321)</f>
        <v>64.67</v>
      </c>
      <c r="I322" s="152"/>
      <c r="J322" s="244" t="s">
        <v>399</v>
      </c>
      <c r="K322" s="245" t="s">
        <v>379</v>
      </c>
      <c r="L322" s="170"/>
      <c r="M322" s="170"/>
      <c r="N322" s="170"/>
      <c r="O322" s="170"/>
      <c r="P322" s="170"/>
    </row>
    <row r="323" spans="1:16" s="16" customFormat="1" ht="18" customHeight="1">
      <c r="A323" s="1"/>
      <c r="B323" s="156" t="s">
        <v>356</v>
      </c>
      <c r="C323" s="167">
        <f>C31</f>
        <v>0</v>
      </c>
      <c r="D323" s="239">
        <v>1</v>
      </c>
      <c r="E323" s="148"/>
      <c r="F323" s="148"/>
      <c r="G323" s="236">
        <f>0.45+0.85</f>
        <v>1.3</v>
      </c>
      <c r="H323" s="154">
        <f>ROUND(C323*D323*G323,2)</f>
        <v>0</v>
      </c>
      <c r="I323" s="247" t="s">
        <v>345</v>
      </c>
      <c r="J323" s="244">
        <v>1.76</v>
      </c>
      <c r="K323" s="245" t="s">
        <v>400</v>
      </c>
      <c r="L323" s="170"/>
      <c r="M323" s="171"/>
      <c r="N323" s="170"/>
      <c r="O323" s="170"/>
      <c r="P323" s="170"/>
    </row>
    <row r="324" spans="1:16" s="16" customFormat="1" ht="18" customHeight="1">
      <c r="A324" s="1"/>
      <c r="B324" s="156" t="s">
        <v>347</v>
      </c>
      <c r="C324" s="167">
        <f>C323</f>
        <v>0</v>
      </c>
      <c r="D324" s="239">
        <v>1</v>
      </c>
      <c r="E324" s="148"/>
      <c r="F324" s="148"/>
      <c r="G324" s="236">
        <v>6.89</v>
      </c>
      <c r="H324" s="154">
        <f t="shared" ref="H324:H329" si="55">ROUND(C324*D324*G324,2)</f>
        <v>0</v>
      </c>
      <c r="I324" s="247" t="s">
        <v>346</v>
      </c>
      <c r="J324" s="244">
        <v>12.25</v>
      </c>
      <c r="K324" s="245" t="s">
        <v>376</v>
      </c>
      <c r="L324" s="170"/>
      <c r="M324" s="171"/>
      <c r="N324" s="170"/>
      <c r="O324" s="170"/>
      <c r="P324" s="170"/>
    </row>
    <row r="325" spans="1:16" s="16" customFormat="1" ht="18" customHeight="1">
      <c r="A325" s="1"/>
      <c r="B325" s="156" t="s">
        <v>357</v>
      </c>
      <c r="C325" s="167">
        <f>C38</f>
        <v>0</v>
      </c>
      <c r="D325" s="239">
        <v>1</v>
      </c>
      <c r="E325" s="148"/>
      <c r="F325" s="148"/>
      <c r="G325" s="236">
        <f>0.85+0.61</f>
        <v>1.46</v>
      </c>
      <c r="H325" s="154">
        <f t="shared" si="55"/>
        <v>0</v>
      </c>
      <c r="I325" s="247" t="s">
        <v>354</v>
      </c>
      <c r="J325" s="244">
        <v>1.76</v>
      </c>
      <c r="K325" s="245" t="s">
        <v>378</v>
      </c>
      <c r="L325" s="170"/>
      <c r="M325" s="171"/>
      <c r="N325" s="170"/>
      <c r="O325" s="170"/>
      <c r="P325" s="170"/>
    </row>
    <row r="326" spans="1:16" s="16" customFormat="1" ht="18" customHeight="1">
      <c r="A326" s="1"/>
      <c r="B326" s="156" t="s">
        <v>355</v>
      </c>
      <c r="C326" s="167">
        <f>C325</f>
        <v>0</v>
      </c>
      <c r="D326" s="239">
        <v>1</v>
      </c>
      <c r="E326" s="148"/>
      <c r="F326" s="148"/>
      <c r="G326" s="236">
        <v>3.27</v>
      </c>
      <c r="H326" s="154">
        <f>ROUND(C326*D326*G326,2)</f>
        <v>0</v>
      </c>
      <c r="I326" s="247" t="s">
        <v>358</v>
      </c>
      <c r="J326" s="244">
        <v>3.27</v>
      </c>
      <c r="K326" s="245" t="s">
        <v>358</v>
      </c>
      <c r="L326" s="170"/>
      <c r="M326" s="171"/>
      <c r="N326" s="170"/>
      <c r="O326" s="170"/>
      <c r="P326" s="170"/>
    </row>
    <row r="327" spans="1:16" s="16" customFormat="1" ht="18" customHeight="1">
      <c r="A327" s="1"/>
      <c r="B327" s="156" t="s">
        <v>228</v>
      </c>
      <c r="C327" s="167">
        <f>C126</f>
        <v>0</v>
      </c>
      <c r="D327" s="239">
        <v>1</v>
      </c>
      <c r="E327" s="110"/>
      <c r="F327" s="148"/>
      <c r="G327" s="236">
        <v>6.89</v>
      </c>
      <c r="H327" s="154">
        <f t="shared" si="55"/>
        <v>0</v>
      </c>
      <c r="I327" s="247" t="s">
        <v>346</v>
      </c>
      <c r="J327" s="244">
        <v>12.25</v>
      </c>
      <c r="K327" s="245" t="s">
        <v>346</v>
      </c>
      <c r="L327" s="170"/>
      <c r="M327" s="171"/>
      <c r="N327" s="170"/>
      <c r="O327" s="170"/>
      <c r="P327" s="170"/>
    </row>
    <row r="328" spans="1:16" s="16" customFormat="1" ht="18" customHeight="1">
      <c r="A328" s="1"/>
      <c r="B328" s="156" t="s">
        <v>229</v>
      </c>
      <c r="C328" s="167">
        <f>C327</f>
        <v>0</v>
      </c>
      <c r="D328" s="239">
        <v>1</v>
      </c>
      <c r="E328" s="110"/>
      <c r="F328" s="148"/>
      <c r="G328" s="236">
        <f>G3233</f>
        <v>0</v>
      </c>
      <c r="H328" s="154">
        <f t="shared" si="55"/>
        <v>0</v>
      </c>
      <c r="I328" s="247" t="s">
        <v>345</v>
      </c>
      <c r="J328" s="244">
        <v>0</v>
      </c>
      <c r="K328" s="245" t="s">
        <v>400</v>
      </c>
      <c r="L328" s="170"/>
      <c r="M328" s="171"/>
      <c r="N328" s="170"/>
      <c r="O328" s="170"/>
      <c r="P328" s="170"/>
    </row>
    <row r="329" spans="1:16" s="16" customFormat="1" ht="18" customHeight="1">
      <c r="A329" s="1"/>
      <c r="B329" s="156" t="s">
        <v>230</v>
      </c>
      <c r="C329" s="167">
        <f>C119</f>
        <v>0</v>
      </c>
      <c r="D329" s="239">
        <v>1</v>
      </c>
      <c r="E329" s="148"/>
      <c r="F329" s="148"/>
      <c r="G329" s="236">
        <f>G3253</f>
        <v>0</v>
      </c>
      <c r="H329" s="154">
        <f t="shared" si="55"/>
        <v>0</v>
      </c>
      <c r="I329" s="247" t="s">
        <v>354</v>
      </c>
      <c r="J329" s="244">
        <v>0</v>
      </c>
      <c r="K329" s="245" t="s">
        <v>378</v>
      </c>
      <c r="L329" s="170"/>
      <c r="M329" s="171"/>
      <c r="N329" s="170"/>
      <c r="O329" s="170"/>
      <c r="P329" s="170"/>
    </row>
    <row r="330" spans="1:16" s="16" customFormat="1" ht="18" customHeight="1">
      <c r="A330" s="1"/>
      <c r="B330" s="156" t="s">
        <v>362</v>
      </c>
      <c r="C330" s="167">
        <f>C329</f>
        <v>0</v>
      </c>
      <c r="D330" s="239">
        <v>1</v>
      </c>
      <c r="E330" s="148"/>
      <c r="F330" s="148"/>
      <c r="G330" s="236">
        <v>3.27</v>
      </c>
      <c r="H330" s="154">
        <f>ROUND(C330*D330*G330,2)</f>
        <v>0</v>
      </c>
      <c r="I330" s="247" t="s">
        <v>358</v>
      </c>
      <c r="J330" s="244">
        <v>3.27</v>
      </c>
      <c r="K330" s="245" t="s">
        <v>358</v>
      </c>
      <c r="L330" s="170"/>
      <c r="M330" s="171"/>
      <c r="N330" s="170"/>
      <c r="O330" s="170"/>
      <c r="P330" s="170"/>
    </row>
    <row r="331" spans="1:16" s="16" customFormat="1" ht="18" customHeight="1">
      <c r="A331" s="1"/>
      <c r="B331" s="156" t="s">
        <v>343</v>
      </c>
      <c r="C331" s="167">
        <f>C319</f>
        <v>6.62</v>
      </c>
      <c r="D331" s="239">
        <v>1</v>
      </c>
      <c r="E331" s="148"/>
      <c r="F331" s="148"/>
      <c r="G331" s="236">
        <v>1.25</v>
      </c>
      <c r="H331" s="154">
        <f>C331*D331*G331</f>
        <v>8.2750000000000004</v>
      </c>
      <c r="I331" s="247" t="s">
        <v>344</v>
      </c>
      <c r="J331" s="244">
        <v>1.25</v>
      </c>
      <c r="K331" s="245" t="s">
        <v>344</v>
      </c>
      <c r="L331" s="170"/>
      <c r="M331" s="171"/>
      <c r="N331" s="170"/>
      <c r="O331" s="170"/>
      <c r="P331" s="170"/>
    </row>
    <row r="332" spans="1:16" s="16" customFormat="1" ht="18" customHeight="1">
      <c r="A332" s="1"/>
      <c r="B332" s="156" t="s">
        <v>350</v>
      </c>
      <c r="C332" s="167" cm="1">
        <f t="array" ref="C332">SUMPRODUCT(D26:D30*G26:G30)/1000</f>
        <v>0</v>
      </c>
      <c r="D332" s="239">
        <v>1</v>
      </c>
      <c r="E332" s="148"/>
      <c r="F332" s="148"/>
      <c r="G332" s="236">
        <v>0.41</v>
      </c>
      <c r="H332" s="154">
        <f>C332*D332*G332</f>
        <v>0</v>
      </c>
      <c r="I332" s="247" t="s">
        <v>348</v>
      </c>
      <c r="J332" s="244">
        <v>0.41</v>
      </c>
      <c r="K332" s="245" t="s">
        <v>348</v>
      </c>
      <c r="L332" s="170"/>
      <c r="M332" s="171"/>
      <c r="N332" s="170"/>
      <c r="O332" s="170"/>
      <c r="P332" s="170"/>
    </row>
    <row r="333" spans="1:16" s="16" customFormat="1" ht="18" customHeight="1">
      <c r="A333" s="1"/>
      <c r="B333" s="156" t="s">
        <v>349</v>
      </c>
      <c r="C333" s="167">
        <f>C88+C97+C104+C153+C163+C146</f>
        <v>6.6159999999999997</v>
      </c>
      <c r="D333" s="239">
        <v>1</v>
      </c>
      <c r="E333" s="148"/>
      <c r="F333" s="148"/>
      <c r="G333" s="236">
        <v>0.49</v>
      </c>
      <c r="H333" s="154">
        <f>C333*D333*G333</f>
        <v>3.2418399999999998</v>
      </c>
      <c r="I333" s="247" t="s">
        <v>351</v>
      </c>
      <c r="J333" s="244">
        <v>0.49</v>
      </c>
      <c r="K333" s="245" t="s">
        <v>351</v>
      </c>
      <c r="L333" s="170"/>
      <c r="M333" s="171"/>
      <c r="N333" s="170"/>
      <c r="O333" s="170"/>
      <c r="P333" s="170"/>
    </row>
    <row r="334" spans="1:16" s="16" customFormat="1" ht="18" customHeight="1">
      <c r="A334" s="1"/>
      <c r="B334" s="156" t="s">
        <v>353</v>
      </c>
      <c r="C334" s="167">
        <f t="array" ref="C334">SUMPRODUCT(D157:D162*G157:G162)/1000+SUM(G157:G162)*0.3+SUMPRODUCT(D68:D87*G68:G87)/1000+SUM(G68:G87)*0.3</f>
        <v>1.4119999999999999</v>
      </c>
      <c r="D334" s="239">
        <v>1</v>
      </c>
      <c r="E334" s="148"/>
      <c r="F334" s="148"/>
      <c r="G334" s="237">
        <v>5.36</v>
      </c>
      <c r="H334" s="154">
        <f>C334*G334</f>
        <v>7.5683199999999999</v>
      </c>
      <c r="I334" s="247" t="s">
        <v>352</v>
      </c>
      <c r="J334" s="244">
        <v>9.5500000000000007</v>
      </c>
      <c r="K334" s="245" t="s">
        <v>377</v>
      </c>
      <c r="L334" s="170"/>
      <c r="M334" s="171"/>
      <c r="N334" s="170"/>
      <c r="O334" s="170"/>
      <c r="P334" s="170"/>
    </row>
    <row r="335" spans="1:16" s="16" customFormat="1" ht="18" customHeight="1">
      <c r="A335" s="1"/>
      <c r="B335" s="156" t="s">
        <v>364</v>
      </c>
      <c r="C335" s="167">
        <f>C319</f>
        <v>6.62</v>
      </c>
      <c r="D335" s="239">
        <v>1</v>
      </c>
      <c r="E335" s="148"/>
      <c r="F335" s="148"/>
      <c r="G335" s="237">
        <v>1.25</v>
      </c>
      <c r="H335" s="154"/>
      <c r="I335" s="149" t="s">
        <v>363</v>
      </c>
      <c r="J335" s="244">
        <v>1.25</v>
      </c>
      <c r="K335" s="245" t="s">
        <v>363</v>
      </c>
      <c r="L335" s="170"/>
      <c r="M335" s="171"/>
      <c r="N335" s="170"/>
      <c r="O335" s="170"/>
      <c r="P335" s="170"/>
    </row>
    <row r="336" spans="1:16" s="16" customFormat="1" ht="18" customHeight="1">
      <c r="A336" s="1"/>
      <c r="B336" s="156" t="s">
        <v>365</v>
      </c>
      <c r="C336" s="167">
        <f>C320</f>
        <v>6.62</v>
      </c>
      <c r="D336" s="239">
        <v>1</v>
      </c>
      <c r="E336" s="148"/>
      <c r="F336" s="148"/>
      <c r="G336" s="237">
        <v>1.63</v>
      </c>
      <c r="H336" s="154"/>
      <c r="I336" s="149" t="s">
        <v>363</v>
      </c>
      <c r="J336" s="244">
        <v>1.63</v>
      </c>
      <c r="K336" s="245" t="s">
        <v>363</v>
      </c>
      <c r="L336" s="170"/>
      <c r="M336" s="171"/>
      <c r="N336" s="170"/>
      <c r="O336" s="170"/>
      <c r="P336" s="170"/>
    </row>
    <row r="337" spans="1:16" s="16" customFormat="1" ht="18" customHeight="1">
      <c r="A337" s="1"/>
      <c r="B337" s="150" t="s">
        <v>231</v>
      </c>
      <c r="C337" s="165"/>
      <c r="D337" s="50"/>
      <c r="E337" s="50"/>
      <c r="F337" s="50"/>
      <c r="G337" s="166"/>
      <c r="H337" s="155">
        <f>SUM(H323:H336)*1.05</f>
        <v>20.039418000000001</v>
      </c>
      <c r="I337" s="152"/>
      <c r="J337" s="172"/>
      <c r="K337" s="170"/>
      <c r="L337" s="170"/>
      <c r="M337" s="170"/>
      <c r="N337" s="170"/>
      <c r="O337" s="170"/>
      <c r="P337" s="170"/>
    </row>
    <row r="338" spans="1:16" s="16" customFormat="1" ht="18" customHeight="1">
      <c r="A338" s="1"/>
      <c r="B338" s="173" t="s">
        <v>366</v>
      </c>
      <c r="C338" s="174">
        <f>F250+F258+F265+F280+F285+F290</f>
        <v>2</v>
      </c>
      <c r="D338" s="175">
        <v>2</v>
      </c>
      <c r="E338" s="176"/>
      <c r="F338" s="176"/>
      <c r="G338" s="240">
        <v>0.5</v>
      </c>
      <c r="H338" s="177">
        <f t="shared" ref="H338:H343" si="56">D338*G338*C338</f>
        <v>2</v>
      </c>
      <c r="I338" s="178" t="s">
        <v>233</v>
      </c>
      <c r="J338" s="172"/>
      <c r="K338" s="170"/>
      <c r="L338" s="170"/>
      <c r="M338" s="170"/>
      <c r="N338" s="170"/>
      <c r="O338" s="170"/>
      <c r="P338" s="170"/>
    </row>
    <row r="339" spans="1:16" s="16" customFormat="1" ht="18" customHeight="1">
      <c r="A339" s="1"/>
      <c r="B339" s="173" t="s">
        <v>367</v>
      </c>
      <c r="C339" s="174">
        <f>F233+F242+F269+F273</f>
        <v>0</v>
      </c>
      <c r="D339" s="175">
        <v>4</v>
      </c>
      <c r="E339" s="176"/>
      <c r="F339" s="176"/>
      <c r="G339" s="240">
        <v>0.63</v>
      </c>
      <c r="H339" s="177">
        <f t="shared" si="56"/>
        <v>0</v>
      </c>
      <c r="I339" s="178" t="s">
        <v>234</v>
      </c>
      <c r="J339" s="172"/>
      <c r="K339" s="170"/>
      <c r="L339" s="170"/>
      <c r="M339" s="170"/>
      <c r="N339" s="170"/>
      <c r="O339" s="170"/>
      <c r="P339" s="170"/>
    </row>
    <row r="340" spans="1:16" s="16" customFormat="1" ht="18" customHeight="1">
      <c r="A340" s="1"/>
      <c r="B340" s="173" t="s">
        <v>366</v>
      </c>
      <c r="C340" s="174">
        <f>SUM(G157:G162)</f>
        <v>0</v>
      </c>
      <c r="D340" s="175">
        <f>IF(E113&gt;2200,2,0)</f>
        <v>0</v>
      </c>
      <c r="E340" s="176"/>
      <c r="F340" s="176"/>
      <c r="G340" s="240">
        <v>0.5</v>
      </c>
      <c r="H340" s="177">
        <f t="shared" si="56"/>
        <v>0</v>
      </c>
      <c r="I340" s="178" t="s">
        <v>235</v>
      </c>
      <c r="J340" s="172"/>
      <c r="K340" s="170"/>
      <c r="L340" s="170"/>
      <c r="M340" s="170"/>
      <c r="N340" s="170"/>
      <c r="O340" s="170"/>
      <c r="P340" s="170"/>
    </row>
    <row r="341" spans="1:16" s="16" customFormat="1" ht="18" customHeight="1">
      <c r="A341" s="1"/>
      <c r="B341" s="173" t="s">
        <v>367</v>
      </c>
      <c r="C341" s="174">
        <f>SUM(G116:G118)</f>
        <v>0</v>
      </c>
      <c r="D341" s="175">
        <v>4</v>
      </c>
      <c r="E341" s="176"/>
      <c r="F341" s="176"/>
      <c r="G341" s="240">
        <v>0.63</v>
      </c>
      <c r="H341" s="177">
        <f t="shared" si="56"/>
        <v>0</v>
      </c>
      <c r="I341" s="178" t="s">
        <v>236</v>
      </c>
      <c r="J341" s="172"/>
      <c r="K341" s="170"/>
      <c r="L341" s="170"/>
      <c r="M341" s="170"/>
      <c r="N341" s="170"/>
      <c r="O341" s="170"/>
      <c r="P341" s="170"/>
    </row>
    <row r="342" spans="1:16" ht="18" customHeight="1">
      <c r="B342" s="173" t="s">
        <v>237</v>
      </c>
      <c r="C342" s="174">
        <v>1</v>
      </c>
      <c r="D342" s="175">
        <f>(F291+F292)*10</f>
        <v>20</v>
      </c>
      <c r="E342" s="176"/>
      <c r="F342" s="176"/>
      <c r="G342" s="240">
        <v>0.37</v>
      </c>
      <c r="H342" s="177">
        <f t="shared" si="56"/>
        <v>7.4</v>
      </c>
      <c r="I342" s="178"/>
      <c r="J342" s="172"/>
      <c r="K342" s="172"/>
      <c r="L342" s="172"/>
      <c r="N342" s="43"/>
    </row>
    <row r="343" spans="1:16" ht="18" customHeight="1">
      <c r="B343" s="173" t="s">
        <v>232</v>
      </c>
      <c r="C343" s="174">
        <f>C338</f>
        <v>2</v>
      </c>
      <c r="D343" s="175">
        <v>0</v>
      </c>
      <c r="E343" s="176"/>
      <c r="F343" s="176"/>
      <c r="G343" s="240">
        <v>0.49</v>
      </c>
      <c r="H343" s="177">
        <f t="shared" si="56"/>
        <v>0</v>
      </c>
      <c r="I343" s="178" t="s">
        <v>238</v>
      </c>
      <c r="J343" s="172"/>
      <c r="K343" s="172"/>
      <c r="L343" s="172"/>
      <c r="N343" s="43"/>
    </row>
    <row r="344" spans="1:16" ht="18" customHeight="1">
      <c r="B344" s="156" t="s">
        <v>239</v>
      </c>
      <c r="C344" s="157"/>
      <c r="D344" s="250">
        <f>E203+E205*2+E207*2+I203+I205*2+I207*2</f>
        <v>4</v>
      </c>
      <c r="E344" s="148"/>
      <c r="F344" s="148"/>
      <c r="G344" s="148">
        <v>0.2</v>
      </c>
      <c r="H344" s="179">
        <f>D344*G344</f>
        <v>0.8</v>
      </c>
      <c r="I344" s="247" t="s">
        <v>368</v>
      </c>
      <c r="J344" s="172"/>
      <c r="K344" s="172"/>
      <c r="L344" s="172"/>
    </row>
    <row r="345" spans="1:16" ht="18" customHeight="1">
      <c r="B345" s="156" t="s">
        <v>240</v>
      </c>
      <c r="C345" s="157"/>
      <c r="D345" s="250">
        <f>4*(E52+E53+E54+E55+G52+G53+G54+G55+G60+G61+G62+G63+E130+E131+E132+G130+G131+G132+G137+G138)</f>
        <v>4</v>
      </c>
      <c r="E345" s="148"/>
      <c r="F345" s="148"/>
      <c r="G345" s="148">
        <v>0.22</v>
      </c>
      <c r="H345" s="179">
        <f>D345*G345</f>
        <v>0.88</v>
      </c>
      <c r="I345" s="247" t="s">
        <v>241</v>
      </c>
      <c r="J345" s="172"/>
      <c r="K345" s="172"/>
      <c r="L345" s="172"/>
    </row>
    <row r="346" spans="1:16" ht="18" customHeight="1">
      <c r="B346" s="156" t="s">
        <v>242</v>
      </c>
      <c r="C346" s="157"/>
      <c r="D346" s="250">
        <f>D345/2</f>
        <v>2</v>
      </c>
      <c r="E346" s="148"/>
      <c r="F346" s="148"/>
      <c r="G346" s="148">
        <v>0.22</v>
      </c>
      <c r="H346" s="179">
        <f>ROUND(D346*G346,2)</f>
        <v>0.44</v>
      </c>
      <c r="I346" s="247" t="s">
        <v>243</v>
      </c>
      <c r="J346" s="172"/>
      <c r="K346" s="172"/>
      <c r="L346" s="172"/>
    </row>
    <row r="347" spans="1:16" ht="18" customHeight="1">
      <c r="B347" s="156" t="s">
        <v>369</v>
      </c>
      <c r="C347" s="157"/>
      <c r="D347" s="250">
        <f>D346</f>
        <v>2</v>
      </c>
      <c r="E347" s="148"/>
      <c r="F347" s="148"/>
      <c r="G347" s="148">
        <v>1.37</v>
      </c>
      <c r="H347" s="179">
        <f>ROUND(D347*G347,2)</f>
        <v>2.74</v>
      </c>
      <c r="I347" s="247" t="s">
        <v>370</v>
      </c>
      <c r="J347" s="172"/>
      <c r="K347" s="172"/>
      <c r="L347" s="172"/>
    </row>
    <row r="348" spans="1:16" ht="18" customHeight="1">
      <c r="B348" s="156" t="s">
        <v>244</v>
      </c>
      <c r="C348" s="157"/>
      <c r="D348" s="250">
        <f>(F291+F292)*2</f>
        <v>4</v>
      </c>
      <c r="E348" s="148"/>
      <c r="F348" s="148"/>
      <c r="G348" s="148">
        <v>0.48</v>
      </c>
      <c r="H348" s="179">
        <f>ROUND(D348*G348,2)</f>
        <v>1.92</v>
      </c>
      <c r="I348" s="247" t="s">
        <v>245</v>
      </c>
      <c r="J348" s="255"/>
    </row>
    <row r="349" spans="1:16" ht="18" customHeight="1">
      <c r="B349" s="156" t="s">
        <v>246</v>
      </c>
      <c r="C349" s="157"/>
      <c r="D349" s="250">
        <f>ROUND((D4+E4-240)*2/200+E217*F217/200,0)</f>
        <v>26</v>
      </c>
      <c r="E349" s="148"/>
      <c r="F349" s="148"/>
      <c r="G349" s="148">
        <v>0.05</v>
      </c>
      <c r="H349" s="179">
        <f>ROUND(D349*G349,2)</f>
        <v>1.3</v>
      </c>
      <c r="I349" s="247" t="s">
        <v>247</v>
      </c>
      <c r="J349" s="255"/>
    </row>
    <row r="350" spans="1:16" ht="18" customHeight="1">
      <c r="B350" s="150" t="s">
        <v>248</v>
      </c>
      <c r="C350" s="165"/>
      <c r="D350" s="50"/>
      <c r="E350" s="50"/>
      <c r="F350" s="50"/>
      <c r="G350" s="166"/>
      <c r="H350" s="155">
        <f>SUM(H338:H349)</f>
        <v>17.48</v>
      </c>
      <c r="I350" s="152"/>
    </row>
    <row r="351" spans="1:16" ht="18" customHeight="1">
      <c r="B351" s="156" t="s">
        <v>359</v>
      </c>
      <c r="C351" s="157"/>
      <c r="D351" s="250">
        <f>SUMPRODUCT(G26:G30)*8+SUMPRODUCT(G35:G37)*8+SUMPRODUCT(G116:G118)*8+SUMPRODUCT(G123:G125)*8</f>
        <v>0</v>
      </c>
      <c r="E351" s="148"/>
      <c r="F351" s="148"/>
      <c r="G351" s="148">
        <v>1.26</v>
      </c>
      <c r="H351" s="154">
        <f>ROUND(D351*G351,2)</f>
        <v>0</v>
      </c>
      <c r="I351" s="247" t="s">
        <v>386</v>
      </c>
    </row>
    <row r="352" spans="1:16" ht="18" customHeight="1">
      <c r="B352" s="156" t="s">
        <v>360</v>
      </c>
      <c r="C352" s="157"/>
      <c r="D352" s="250">
        <f>G26*4+G27*4+G28*4+G29*4+G30*4</f>
        <v>0</v>
      </c>
      <c r="E352" s="148"/>
      <c r="F352" s="148"/>
      <c r="G352" s="148">
        <v>2</v>
      </c>
      <c r="H352" s="154">
        <f>ROUND(D352*G352,2)</f>
        <v>0</v>
      </c>
      <c r="I352" s="247" t="s">
        <v>361</v>
      </c>
    </row>
    <row r="353" spans="1:22" ht="18" customHeight="1">
      <c r="B353" s="156" t="s">
        <v>249</v>
      </c>
      <c r="C353" s="157"/>
      <c r="D353" s="250"/>
      <c r="E353" s="148"/>
      <c r="F353" s="148"/>
      <c r="G353" s="148">
        <v>1.6</v>
      </c>
      <c r="H353" s="154"/>
      <c r="I353" s="247"/>
    </row>
    <row r="354" spans="1:22" ht="18" customHeight="1">
      <c r="B354" s="156" t="s">
        <v>250</v>
      </c>
      <c r="C354" s="157"/>
      <c r="D354" s="44">
        <f>C22+C31+C38+C48+C56+C64+C112+C119+C126+C133+C139+C199</f>
        <v>5.7540000000000004</v>
      </c>
      <c r="E354" s="148"/>
      <c r="F354" s="148"/>
      <c r="G354" s="179">
        <v>4</v>
      </c>
      <c r="H354" s="154">
        <f t="shared" ref="H354:H356" si="57">ROUND(D354*G354,2)</f>
        <v>23.02</v>
      </c>
      <c r="I354" s="247"/>
    </row>
    <row r="355" spans="1:22" ht="18" customHeight="1">
      <c r="B355" s="156" t="s">
        <v>251</v>
      </c>
      <c r="C355" s="157" t="s">
        <v>252</v>
      </c>
      <c r="D355" s="44">
        <f>C88+C163</f>
        <v>6.6159999999999997</v>
      </c>
      <c r="E355" s="148"/>
      <c r="F355" s="148"/>
      <c r="G355" s="179">
        <v>3.15</v>
      </c>
      <c r="H355" s="154">
        <f t="shared" si="57"/>
        <v>20.84</v>
      </c>
      <c r="I355" s="247"/>
    </row>
    <row r="356" spans="1:22" ht="18" customHeight="1">
      <c r="B356" s="156" t="s">
        <v>253</v>
      </c>
      <c r="C356" s="157" t="s">
        <v>254</v>
      </c>
      <c r="D356" s="44">
        <f>C97+C104+C146+C153</f>
        <v>0</v>
      </c>
      <c r="E356" s="148"/>
      <c r="F356" s="148"/>
      <c r="G356" s="179">
        <v>3.65</v>
      </c>
      <c r="H356" s="154">
        <f t="shared" si="57"/>
        <v>0</v>
      </c>
      <c r="I356" s="247"/>
    </row>
    <row r="357" spans="1:22" ht="18" customHeight="1">
      <c r="B357" s="156" t="s">
        <v>387</v>
      </c>
      <c r="C357" s="157"/>
      <c r="D357" s="44">
        <f>F291+F292</f>
        <v>2</v>
      </c>
      <c r="E357" s="148"/>
      <c r="F357" s="148"/>
      <c r="G357" s="179">
        <v>6</v>
      </c>
      <c r="H357" s="154"/>
      <c r="I357" s="247"/>
    </row>
    <row r="358" spans="1:22" ht="18" customHeight="1">
      <c r="B358" s="156" t="s">
        <v>255</v>
      </c>
      <c r="C358" s="157"/>
      <c r="D358" s="180">
        <f>F14*2</f>
        <v>8.9600000000000009</v>
      </c>
      <c r="E358" s="148"/>
      <c r="F358" s="148"/>
      <c r="G358" s="148">
        <v>70</v>
      </c>
      <c r="H358" s="154">
        <f>D358*G358</f>
        <v>627.20000000000005</v>
      </c>
      <c r="I358" s="247"/>
    </row>
    <row r="359" spans="1:22" ht="18" customHeight="1">
      <c r="B359" s="156" t="s">
        <v>858</v>
      </c>
      <c r="C359" s="157"/>
      <c r="D359" s="180">
        <f>D4*2/1000</f>
        <v>2</v>
      </c>
      <c r="E359" s="148"/>
      <c r="F359" s="148"/>
      <c r="G359" s="148">
        <v>180</v>
      </c>
      <c r="H359" s="154">
        <f>D359*G359</f>
        <v>360</v>
      </c>
      <c r="I359" s="247"/>
    </row>
    <row r="360" spans="1:22" ht="18" customHeight="1">
      <c r="B360" s="156" t="s">
        <v>388</v>
      </c>
      <c r="C360" s="157"/>
      <c r="D360" s="250">
        <v>1</v>
      </c>
      <c r="E360" s="148"/>
      <c r="F360" s="148"/>
      <c r="G360" s="148">
        <v>9.6</v>
      </c>
      <c r="H360" s="154">
        <f>ROUND(D360*G360,2)</f>
        <v>9.6</v>
      </c>
      <c r="I360" s="247"/>
    </row>
    <row r="361" spans="1:22" ht="18" customHeight="1">
      <c r="B361" s="156" t="s">
        <v>901</v>
      </c>
      <c r="C361" s="157"/>
      <c r="D361" s="463">
        <f>(D4+E4)*2/1000</f>
        <v>4.8</v>
      </c>
      <c r="E361" s="148"/>
      <c r="F361" s="148"/>
      <c r="G361" s="148">
        <v>45</v>
      </c>
      <c r="H361" s="154">
        <f>ROUND(D361*G361,2)</f>
        <v>216</v>
      </c>
      <c r="I361" s="468"/>
    </row>
    <row r="362" spans="1:22" ht="18" customHeight="1">
      <c r="B362" s="181" t="s">
        <v>398</v>
      </c>
      <c r="C362" s="157"/>
      <c r="D362" s="182">
        <f>F366</f>
        <v>1.2369000000000001</v>
      </c>
      <c r="E362" s="148"/>
      <c r="F362" s="148"/>
      <c r="G362" s="148">
        <v>3</v>
      </c>
      <c r="H362" s="154">
        <f>D362*G362</f>
        <v>3.7107000000000001</v>
      </c>
      <c r="I362" s="247"/>
    </row>
    <row r="363" spans="1:22" ht="18" customHeight="1">
      <c r="B363" s="150" t="s">
        <v>256</v>
      </c>
      <c r="C363" s="50"/>
      <c r="D363" s="50"/>
      <c r="E363" s="50"/>
      <c r="F363" s="50"/>
      <c r="G363" s="166"/>
      <c r="H363" s="155">
        <f>SUM(H351:H362)</f>
        <v>1260.3706999999999</v>
      </c>
      <c r="I363" s="183"/>
    </row>
    <row r="364" spans="1:22" ht="18" customHeight="1">
      <c r="B364" s="248" t="s">
        <v>257</v>
      </c>
      <c r="C364" s="185"/>
      <c r="D364" s="186"/>
      <c r="E364" s="185"/>
      <c r="F364" s="186"/>
      <c r="G364" s="186"/>
      <c r="H364" s="187">
        <f>SUM(H363,H350,H337,H322,H314,H308,H304)</f>
        <v>1398.640118</v>
      </c>
      <c r="I364" s="188"/>
    </row>
    <row r="365" spans="1:22" ht="18" customHeight="1">
      <c r="A365" s="189"/>
      <c r="B365" s="190" t="s">
        <v>258</v>
      </c>
      <c r="C365" s="10" t="s">
        <v>14</v>
      </c>
      <c r="D365" s="10" t="s">
        <v>16</v>
      </c>
      <c r="E365" s="10" t="s">
        <v>17</v>
      </c>
      <c r="F365" s="10" t="s">
        <v>7</v>
      </c>
      <c r="G365" s="10" t="s">
        <v>5</v>
      </c>
      <c r="H365" s="10" t="s">
        <v>18</v>
      </c>
      <c r="I365" s="191" t="s">
        <v>259</v>
      </c>
      <c r="L365" s="192"/>
      <c r="M365" s="192"/>
    </row>
    <row r="366" spans="1:22" ht="18" customHeight="1">
      <c r="B366" s="48">
        <f>ROUND(I366/F366,2)</f>
        <v>2329.29</v>
      </c>
      <c r="C366" s="50" t="s">
        <v>299</v>
      </c>
      <c r="D366" s="50">
        <f>D5</f>
        <v>930</v>
      </c>
      <c r="E366" s="50">
        <f>E5</f>
        <v>1330</v>
      </c>
      <c r="F366" s="49">
        <f>E366*D366/1000000</f>
        <v>1.2369000000000001</v>
      </c>
      <c r="G366" s="50">
        <f>G4</f>
        <v>1</v>
      </c>
      <c r="H366" s="49">
        <f>F366</f>
        <v>1.2369000000000001</v>
      </c>
      <c r="I366" s="193">
        <f>H364+H291+H292+I223+I12</f>
        <v>2881.0968786759995</v>
      </c>
      <c r="K366" s="192"/>
    </row>
    <row r="367" spans="1:22" ht="18" customHeight="1">
      <c r="B367" s="194" t="s">
        <v>258</v>
      </c>
      <c r="C367" s="195" t="s">
        <v>260</v>
      </c>
      <c r="D367" s="195" t="s">
        <v>261</v>
      </c>
      <c r="E367" s="195" t="s">
        <v>262</v>
      </c>
      <c r="F367" s="195" t="s">
        <v>263</v>
      </c>
      <c r="G367" s="195" t="s">
        <v>264</v>
      </c>
      <c r="H367" s="195" t="s">
        <v>265</v>
      </c>
      <c r="I367" s="196" t="s">
        <v>266</v>
      </c>
    </row>
    <row r="368" spans="1:22" ht="30" customHeight="1" thickBot="1">
      <c r="B368" s="197">
        <f>ROUND(I366/H366,2)</f>
        <v>2329.29</v>
      </c>
      <c r="C368" s="198">
        <f>E294+E296+E298+E300+E302+E303+E297+E299</f>
        <v>0</v>
      </c>
      <c r="D368" s="199"/>
      <c r="E368" s="199"/>
      <c r="F368" s="200"/>
      <c r="G368" s="200"/>
      <c r="H368" s="200"/>
      <c r="I368" s="201"/>
      <c r="O368" s="631" t="s">
        <v>603</v>
      </c>
      <c r="P368" s="631"/>
      <c r="Q368" s="631"/>
      <c r="R368" s="631"/>
      <c r="S368" s="631"/>
      <c r="T368" s="631"/>
      <c r="U368" s="631"/>
      <c r="V368" s="631"/>
    </row>
    <row r="369" spans="2:22" ht="20.100000000000001" customHeight="1">
      <c r="B369" s="42"/>
      <c r="L369" s="202"/>
      <c r="M369" s="202"/>
      <c r="N369" s="202"/>
      <c r="O369" s="634" t="s">
        <v>604</v>
      </c>
      <c r="P369" s="634"/>
      <c r="Q369" s="634"/>
      <c r="R369" s="634"/>
      <c r="S369" s="634"/>
      <c r="T369" s="634"/>
      <c r="U369" s="634"/>
      <c r="V369" s="634"/>
    </row>
    <row r="370" spans="2:22" ht="20.100000000000001" customHeight="1">
      <c r="B370" s="102" t="s">
        <v>862</v>
      </c>
      <c r="C370" s="203"/>
      <c r="D370" s="203" t="s">
        <v>267</v>
      </c>
      <c r="E370" s="203"/>
      <c r="J370" s="102"/>
      <c r="O370" s="285" t="s">
        <v>279</v>
      </c>
      <c r="P370" s="624" t="s">
        <v>633</v>
      </c>
      <c r="Q370" s="625"/>
      <c r="R370" s="312" t="str">
        <f ca="1">B4</f>
        <v>C1014</v>
      </c>
      <c r="S370" s="312"/>
      <c r="T370" s="313"/>
      <c r="U370" s="287" t="s">
        <v>605</v>
      </c>
      <c r="V370" s="288"/>
    </row>
    <row r="371" spans="2:22" ht="24.95" customHeight="1">
      <c r="B371" s="102">
        <f>ROUND(I366/F6,2)</f>
        <v>2372.44</v>
      </c>
      <c r="C371" s="203">
        <f>U392</f>
        <v>3285.429973828363</v>
      </c>
      <c r="D371" s="203">
        <f>E304</f>
        <v>0</v>
      </c>
      <c r="E371" s="203"/>
      <c r="J371" s="102"/>
      <c r="O371" s="635" t="s">
        <v>606</v>
      </c>
      <c r="P371" s="623" t="s">
        <v>626</v>
      </c>
      <c r="Q371" s="623"/>
      <c r="R371" s="623"/>
      <c r="S371" s="623"/>
      <c r="T371" s="637"/>
      <c r="U371" s="291" t="s">
        <v>607</v>
      </c>
      <c r="V371" s="292" t="s">
        <v>313</v>
      </c>
    </row>
    <row r="372" spans="2:22" ht="24.95" customHeight="1">
      <c r="L372" s="102"/>
      <c r="M372" s="102"/>
      <c r="N372" s="102"/>
      <c r="O372" s="636"/>
      <c r="P372" s="638"/>
      <c r="Q372" s="638"/>
      <c r="R372" s="638"/>
      <c r="S372" s="638"/>
      <c r="T372" s="638"/>
      <c r="U372" s="291" t="s">
        <v>268</v>
      </c>
      <c r="V372" s="293">
        <f>F4</f>
        <v>1.1000000000000001</v>
      </c>
    </row>
    <row r="373" spans="2:22" ht="24.95" customHeight="1">
      <c r="J373" s="102"/>
      <c r="K373" s="102"/>
      <c r="L373" s="102"/>
      <c r="M373" s="102"/>
      <c r="N373" s="102"/>
      <c r="O373" s="311" t="s">
        <v>0</v>
      </c>
      <c r="P373" s="289" t="s">
        <v>608</v>
      </c>
      <c r="Q373" s="289" t="s">
        <v>627</v>
      </c>
      <c r="R373" s="289" t="s">
        <v>269</v>
      </c>
      <c r="S373" s="294" t="s">
        <v>8</v>
      </c>
      <c r="T373" s="295" t="s">
        <v>609</v>
      </c>
      <c r="U373" s="296" t="s">
        <v>270</v>
      </c>
      <c r="V373" s="295" t="s">
        <v>610</v>
      </c>
    </row>
    <row r="374" spans="2:22" ht="20.100000000000001" customHeight="1">
      <c r="J374" s="102"/>
      <c r="K374" s="102"/>
      <c r="L374" s="102"/>
      <c r="M374" s="102"/>
      <c r="N374" s="102"/>
      <c r="O374" s="297" t="s">
        <v>305</v>
      </c>
      <c r="P374" s="298" t="s">
        <v>611</v>
      </c>
      <c r="Q374" s="298"/>
      <c r="R374" s="286"/>
      <c r="S374" s="299"/>
      <c r="T374" s="300"/>
      <c r="U374" s="301">
        <f>SUM(U375:U383)</f>
        <v>2813.6441426759998</v>
      </c>
      <c r="V374" s="286"/>
    </row>
    <row r="375" spans="2:22" ht="20.100000000000001" customHeight="1">
      <c r="J375" s="102"/>
      <c r="K375" s="102"/>
      <c r="L375" s="102"/>
      <c r="M375" s="102"/>
      <c r="N375" s="102"/>
      <c r="O375" s="286">
        <v>1</v>
      </c>
      <c r="P375" s="302" t="s">
        <v>612</v>
      </c>
      <c r="Q375" s="307"/>
      <c r="R375" s="286" t="s">
        <v>271</v>
      </c>
      <c r="S375" s="303">
        <f>E223</f>
        <v>27.433604000000006</v>
      </c>
      <c r="T375" s="304">
        <f>I223/E223</f>
        <v>46.32481976032021</v>
      </c>
      <c r="U375" s="305">
        <f t="shared" ref="U375:U383" si="58">T375*S375</f>
        <v>1270.8567606759998</v>
      </c>
      <c r="V375" s="306"/>
    </row>
    <row r="376" spans="2:22" ht="20.100000000000001" customHeight="1">
      <c r="J376" s="102"/>
      <c r="K376" s="102"/>
      <c r="L376" s="102"/>
      <c r="M376" s="102"/>
      <c r="N376" s="102"/>
      <c r="O376" s="286">
        <v>2</v>
      </c>
      <c r="P376" s="290" t="s">
        <v>613</v>
      </c>
      <c r="Q376" s="307"/>
      <c r="R376" s="286" t="s">
        <v>276</v>
      </c>
      <c r="S376" s="303">
        <f>D358</f>
        <v>8.9600000000000009</v>
      </c>
      <c r="T376" s="304">
        <f>G358</f>
        <v>70</v>
      </c>
      <c r="U376" s="305">
        <f t="shared" si="58"/>
        <v>627.20000000000005</v>
      </c>
      <c r="V376" s="306"/>
    </row>
    <row r="377" spans="2:22" ht="20.100000000000001" customHeight="1">
      <c r="J377" s="102"/>
      <c r="K377" s="102"/>
      <c r="L377" s="102"/>
      <c r="M377" s="102"/>
      <c r="N377" s="102"/>
      <c r="O377" s="286">
        <v>3</v>
      </c>
      <c r="P377" s="302" t="s">
        <v>614</v>
      </c>
      <c r="Q377" s="302"/>
      <c r="R377" s="286" t="s">
        <v>312</v>
      </c>
      <c r="S377" s="303">
        <f>D291+D292</f>
        <v>0.97396799999999994</v>
      </c>
      <c r="T377" s="304">
        <f>材料价格!B10</f>
        <v>148</v>
      </c>
      <c r="U377" s="305">
        <f t="shared" si="58"/>
        <v>144.14726399999998</v>
      </c>
      <c r="V377" s="306"/>
    </row>
    <row r="378" spans="2:22" ht="20.100000000000001" customHeight="1">
      <c r="B378" s="630" t="s">
        <v>277</v>
      </c>
      <c r="C378" s="630"/>
      <c r="D378" s="630"/>
      <c r="E378" s="630"/>
      <c r="F378" s="630"/>
      <c r="G378" s="630"/>
      <c r="H378" s="630"/>
      <c r="I378" s="630"/>
      <c r="J378" s="102"/>
      <c r="K378" s="102"/>
      <c r="L378" s="102"/>
      <c r="M378" s="102"/>
      <c r="N378" s="102"/>
      <c r="O378" s="286">
        <v>4</v>
      </c>
      <c r="P378" s="302" t="s">
        <v>615</v>
      </c>
      <c r="Q378" s="306"/>
      <c r="R378" s="286" t="s">
        <v>278</v>
      </c>
      <c r="S378" s="303">
        <f>(H316+H317+H319+H320+H321)/F316</f>
        <v>4.7053990610328649</v>
      </c>
      <c r="T378" s="304">
        <f>材料价格!B25</f>
        <v>8.52</v>
      </c>
      <c r="U378" s="305">
        <f t="shared" si="58"/>
        <v>40.090000000000003</v>
      </c>
      <c r="V378" s="306"/>
    </row>
    <row r="379" spans="2:22" ht="20.100000000000001" customHeight="1">
      <c r="B379" s="204" t="s">
        <v>279</v>
      </c>
      <c r="C379" s="205" t="s">
        <v>280</v>
      </c>
      <c r="D379" s="205" t="s">
        <v>281</v>
      </c>
      <c r="E379" s="205" t="s">
        <v>282</v>
      </c>
      <c r="F379" s="205" t="s">
        <v>379</v>
      </c>
      <c r="G379" s="205"/>
      <c r="H379" s="205" t="s">
        <v>28</v>
      </c>
      <c r="I379" s="205" t="s">
        <v>259</v>
      </c>
      <c r="J379" s="102"/>
      <c r="K379" s="102"/>
      <c r="L379" s="102"/>
      <c r="M379" s="102"/>
      <c r="N379" s="102"/>
      <c r="O379" s="286">
        <v>5</v>
      </c>
      <c r="P379" s="306" t="s">
        <v>616</v>
      </c>
      <c r="Q379" s="302"/>
      <c r="R379" s="286" t="s">
        <v>628</v>
      </c>
      <c r="S379" s="303">
        <f>H337/21</f>
        <v>0.95425800000000005</v>
      </c>
      <c r="T379" s="304">
        <v>21</v>
      </c>
      <c r="U379" s="305">
        <f t="shared" si="58"/>
        <v>20.039418000000001</v>
      </c>
      <c r="V379" s="306"/>
    </row>
    <row r="380" spans="2:22" ht="20.100000000000001" customHeight="1">
      <c r="B380" s="206" t="s">
        <v>284</v>
      </c>
      <c r="C380" s="208" t="s">
        <v>384</v>
      </c>
      <c r="D380" s="207">
        <f>C22+C31+C38+C48+C56+C112+C119+C126+C133+C139+C177+C184+C191+C199</f>
        <v>5.7540000000000004</v>
      </c>
      <c r="E380" s="207" t="s">
        <v>383</v>
      </c>
      <c r="F380" s="206"/>
      <c r="G380" s="206"/>
      <c r="H380" s="241">
        <v>2.4</v>
      </c>
      <c r="I380" s="207"/>
      <c r="J380" s="102"/>
      <c r="K380" s="102"/>
      <c r="L380" s="102"/>
      <c r="M380" s="102"/>
      <c r="N380" s="102"/>
      <c r="O380" s="286">
        <v>6</v>
      </c>
      <c r="P380" s="302" t="s">
        <v>319</v>
      </c>
      <c r="Q380" s="302"/>
      <c r="R380" s="286" t="s">
        <v>273</v>
      </c>
      <c r="S380" s="303"/>
      <c r="T380" s="304"/>
      <c r="U380" s="305">
        <f t="shared" si="58"/>
        <v>0</v>
      </c>
      <c r="V380" s="306"/>
    </row>
    <row r="381" spans="2:22" ht="20.100000000000001" customHeight="1">
      <c r="B381" s="206" t="s">
        <v>286</v>
      </c>
      <c r="C381" s="206" t="s">
        <v>287</v>
      </c>
      <c r="D381" s="209">
        <f>(J22+J31+J38+J48+J112+J119+J126)*4+(J56+J133)*2</f>
        <v>6</v>
      </c>
      <c r="E381" s="207" t="s">
        <v>285</v>
      </c>
      <c r="F381" s="206"/>
      <c r="G381" s="206"/>
      <c r="H381" s="241">
        <v>0.5</v>
      </c>
      <c r="I381" s="207">
        <f>H381*D381</f>
        <v>3</v>
      </c>
      <c r="J381" s="102"/>
      <c r="K381" s="102"/>
      <c r="L381" s="102"/>
      <c r="M381" s="102"/>
      <c r="N381" s="102"/>
      <c r="O381" s="286">
        <v>7</v>
      </c>
      <c r="P381" s="302" t="s">
        <v>295</v>
      </c>
      <c r="Q381" s="302"/>
      <c r="R381" s="286" t="s">
        <v>273</v>
      </c>
      <c r="S381" s="303"/>
      <c r="T381" s="304">
        <f>材料价格!B19</f>
        <v>230</v>
      </c>
      <c r="U381" s="305">
        <f t="shared" si="58"/>
        <v>0</v>
      </c>
      <c r="V381" s="306"/>
    </row>
    <row r="382" spans="2:22" ht="20.100000000000001" customHeight="1">
      <c r="B382" s="206" t="s">
        <v>289</v>
      </c>
      <c r="C382" s="206"/>
      <c r="D382" s="210">
        <f>ROUND((C22+C56*2+C64*2+C112+C133*2+C139*2)/0.3,0)+2</f>
        <v>25</v>
      </c>
      <c r="E382" s="207" t="s">
        <v>285</v>
      </c>
      <c r="F382" s="206"/>
      <c r="G382" s="206"/>
      <c r="H382" s="241">
        <v>0.3</v>
      </c>
      <c r="I382" s="207">
        <f t="shared" ref="I382:I387" si="59">H382*D382</f>
        <v>7.5</v>
      </c>
      <c r="J382" s="102"/>
      <c r="K382" s="102"/>
      <c r="L382" s="102"/>
      <c r="M382" s="102"/>
      <c r="N382" s="102"/>
      <c r="O382" s="286">
        <v>8</v>
      </c>
      <c r="P382" s="302" t="s">
        <v>296</v>
      </c>
      <c r="Q382" s="302"/>
      <c r="R382" s="286" t="s">
        <v>273</v>
      </c>
      <c r="S382" s="303">
        <f>E303</f>
        <v>0</v>
      </c>
      <c r="T382" s="304">
        <f>材料价格!B20</f>
        <v>335</v>
      </c>
      <c r="U382" s="305">
        <f t="shared" si="58"/>
        <v>0</v>
      </c>
      <c r="V382" s="306"/>
    </row>
    <row r="383" spans="2:22" ht="20.100000000000001" customHeight="1">
      <c r="B383" s="206" t="s">
        <v>381</v>
      </c>
      <c r="C383" s="206" t="s">
        <v>389</v>
      </c>
      <c r="D383" s="211">
        <f>C22+C31+C38+C56*2+C64*2+C112+C119+C126+C133*2</f>
        <v>7.0280000000000005</v>
      </c>
      <c r="E383" s="207" t="s">
        <v>285</v>
      </c>
      <c r="F383" s="206" t="s">
        <v>380</v>
      </c>
      <c r="G383" s="206"/>
      <c r="H383" s="241">
        <v>2.81</v>
      </c>
      <c r="I383" s="207">
        <f>H383*D383</f>
        <v>19.74868</v>
      </c>
      <c r="J383" s="102"/>
      <c r="K383" s="102"/>
      <c r="L383" s="102"/>
      <c r="M383" s="102"/>
      <c r="N383" s="102"/>
      <c r="O383" s="286">
        <v>9</v>
      </c>
      <c r="P383" s="302" t="s">
        <v>617</v>
      </c>
      <c r="Q383" s="302"/>
      <c r="R383" s="286" t="s">
        <v>618</v>
      </c>
      <c r="S383" s="296">
        <v>1</v>
      </c>
      <c r="T383" s="304">
        <f>H363-H358+H350+H318+H315+H314</f>
        <v>711.3107</v>
      </c>
      <c r="U383" s="305">
        <f t="shared" si="58"/>
        <v>711.3107</v>
      </c>
      <c r="V383" s="306"/>
    </row>
    <row r="384" spans="2:22" ht="20.100000000000001" customHeight="1">
      <c r="B384" s="206" t="s">
        <v>390</v>
      </c>
      <c r="C384" s="206" t="s">
        <v>392</v>
      </c>
      <c r="D384" s="211">
        <f>C22+C88+C112+C163</f>
        <v>11.096</v>
      </c>
      <c r="E384" s="207" t="s">
        <v>285</v>
      </c>
      <c r="F384" s="206" t="s">
        <v>394</v>
      </c>
      <c r="G384" s="206"/>
      <c r="H384" s="241">
        <v>3.27</v>
      </c>
      <c r="I384" s="207">
        <f t="shared" ref="I384" si="60">H384*D384</f>
        <v>36.283920000000002</v>
      </c>
      <c r="J384" s="102"/>
      <c r="K384" s="102"/>
      <c r="L384" s="102"/>
      <c r="M384" s="102"/>
      <c r="N384" s="102"/>
      <c r="O384" s="297" t="s">
        <v>306</v>
      </c>
      <c r="P384" s="308" t="s">
        <v>314</v>
      </c>
      <c r="Q384" s="298"/>
      <c r="R384" s="286"/>
      <c r="S384" s="296"/>
      <c r="T384" s="309"/>
      <c r="U384" s="301">
        <f>SUM(U385:U386)</f>
        <v>176</v>
      </c>
      <c r="V384" s="286"/>
    </row>
    <row r="385" spans="2:22" ht="20.100000000000001" customHeight="1">
      <c r="B385" s="206" t="s">
        <v>391</v>
      </c>
      <c r="C385" s="206" t="s">
        <v>393</v>
      </c>
      <c r="D385" s="211">
        <f>(C97+C104+C119+C126)*2</f>
        <v>0</v>
      </c>
      <c r="E385" s="207" t="s">
        <v>285</v>
      </c>
      <c r="F385" s="206" t="s">
        <v>395</v>
      </c>
      <c r="G385" s="206"/>
      <c r="H385" s="241">
        <v>1.74</v>
      </c>
      <c r="I385" s="207">
        <f t="shared" si="59"/>
        <v>0</v>
      </c>
      <c r="J385" s="102"/>
      <c r="K385" s="102"/>
      <c r="L385" s="102"/>
      <c r="M385" s="102"/>
      <c r="N385" s="102"/>
      <c r="O385" s="286">
        <v>1</v>
      </c>
      <c r="P385" s="307" t="s">
        <v>619</v>
      </c>
      <c r="Q385" s="307"/>
      <c r="R385" s="300" t="s">
        <v>312</v>
      </c>
      <c r="S385" s="296">
        <f>V372</f>
        <v>1.1000000000000001</v>
      </c>
      <c r="T385" s="310">
        <v>60</v>
      </c>
      <c r="U385" s="305">
        <f>T385*S385</f>
        <v>66</v>
      </c>
      <c r="V385" s="286"/>
    </row>
    <row r="386" spans="2:22" ht="20.100000000000001" customHeight="1">
      <c r="B386" s="208" t="s">
        <v>382</v>
      </c>
      <c r="C386" s="206" t="s">
        <v>291</v>
      </c>
      <c r="D386" s="211">
        <f>D338+D339+D341</f>
        <v>10</v>
      </c>
      <c r="E386" s="207" t="s">
        <v>285</v>
      </c>
      <c r="F386" s="206"/>
      <c r="G386" s="206"/>
      <c r="H386" s="241">
        <v>0.56999999999999995</v>
      </c>
      <c r="I386" s="207">
        <f>H386*D386</f>
        <v>5.6999999999999993</v>
      </c>
      <c r="J386" s="102"/>
      <c r="K386" s="102"/>
      <c r="L386" s="102"/>
      <c r="M386" s="102"/>
      <c r="N386" s="102"/>
      <c r="O386" s="286">
        <v>2</v>
      </c>
      <c r="P386" s="307" t="s">
        <v>288</v>
      </c>
      <c r="Q386" s="307"/>
      <c r="R386" s="300" t="s">
        <v>312</v>
      </c>
      <c r="S386" s="296">
        <f>V372</f>
        <v>1.1000000000000001</v>
      </c>
      <c r="T386" s="310">
        <v>100</v>
      </c>
      <c r="U386" s="305">
        <f>T386*S386</f>
        <v>110.00000000000001</v>
      </c>
      <c r="V386" s="286"/>
    </row>
    <row r="387" spans="2:22" ht="20.100000000000001" customHeight="1">
      <c r="B387" s="206" t="s">
        <v>292</v>
      </c>
      <c r="C387" s="206"/>
      <c r="D387" s="211">
        <f>H366</f>
        <v>1.2369000000000001</v>
      </c>
      <c r="E387" s="207" t="s">
        <v>285</v>
      </c>
      <c r="F387" s="206"/>
      <c r="G387" s="206"/>
      <c r="H387" s="241">
        <v>20</v>
      </c>
      <c r="I387" s="207">
        <f t="shared" si="59"/>
        <v>24.738000000000003</v>
      </c>
      <c r="J387" s="102"/>
      <c r="K387" s="102"/>
      <c r="L387" s="102"/>
      <c r="M387" s="102"/>
      <c r="N387" s="102"/>
      <c r="O387" s="297" t="s">
        <v>307</v>
      </c>
      <c r="P387" s="308" t="s">
        <v>290</v>
      </c>
      <c r="Q387" s="298"/>
      <c r="R387" s="286"/>
      <c r="S387" s="296"/>
      <c r="T387" s="309"/>
      <c r="U387" s="301">
        <f>SUM(U388)</f>
        <v>22</v>
      </c>
      <c r="V387" s="286"/>
    </row>
    <row r="388" spans="2:22" ht="20.100000000000001" customHeight="1">
      <c r="B388" s="212" t="s">
        <v>4</v>
      </c>
      <c r="C388" s="213"/>
      <c r="D388" s="212"/>
      <c r="E388" s="212"/>
      <c r="F388" s="212"/>
      <c r="G388" s="212"/>
      <c r="H388" s="212"/>
      <c r="I388" s="213">
        <f>SUM(I380:I387)</f>
        <v>96.970600000000005</v>
      </c>
      <c r="J388" s="242"/>
      <c r="K388" s="102"/>
      <c r="L388" s="102"/>
      <c r="M388" s="102"/>
      <c r="N388" s="102"/>
      <c r="O388" s="286">
        <v>1</v>
      </c>
      <c r="P388" s="307" t="s">
        <v>290</v>
      </c>
      <c r="Q388" s="307"/>
      <c r="R388" s="300" t="s">
        <v>312</v>
      </c>
      <c r="S388" s="296">
        <f>V372</f>
        <v>1.1000000000000001</v>
      </c>
      <c r="T388" s="310">
        <v>20</v>
      </c>
      <c r="U388" s="305">
        <f>T388*S388</f>
        <v>22</v>
      </c>
      <c r="V388" s="286"/>
    </row>
    <row r="389" spans="2:22" ht="20.100000000000001" customHeight="1">
      <c r="J389" s="102"/>
      <c r="K389" s="102"/>
      <c r="L389" s="102"/>
      <c r="M389" s="102"/>
      <c r="N389" s="102"/>
      <c r="O389" s="286" t="s">
        <v>308</v>
      </c>
      <c r="P389" s="618" t="s">
        <v>620</v>
      </c>
      <c r="Q389" s="619"/>
      <c r="R389" s="620"/>
      <c r="S389" s="621"/>
      <c r="T389" s="622"/>
      <c r="U389" s="301">
        <f>U374+U384+U387</f>
        <v>3011.6441426759998</v>
      </c>
      <c r="V389" s="286"/>
    </row>
    <row r="390" spans="2:22" ht="20.100000000000001" customHeight="1">
      <c r="J390" s="102"/>
      <c r="K390" s="102"/>
      <c r="L390" s="102"/>
      <c r="M390" s="102"/>
      <c r="N390" s="102"/>
      <c r="O390" s="286" t="s">
        <v>309</v>
      </c>
      <c r="P390" s="618" t="s">
        <v>621</v>
      </c>
      <c r="Q390" s="619"/>
      <c r="R390" s="626">
        <v>0.2</v>
      </c>
      <c r="S390" s="627"/>
      <c r="T390" s="628"/>
      <c r="U390" s="301">
        <f>U389*R390</f>
        <v>602.32882853519993</v>
      </c>
      <c r="V390" s="286"/>
    </row>
    <row r="391" spans="2:22" ht="20.100000000000001" customHeight="1">
      <c r="J391" s="102"/>
      <c r="K391" s="102"/>
      <c r="L391" s="102"/>
      <c r="M391" s="102"/>
      <c r="N391" s="102"/>
      <c r="O391" s="286" t="s">
        <v>310</v>
      </c>
      <c r="P391" s="618" t="s">
        <v>622</v>
      </c>
      <c r="Q391" s="619"/>
      <c r="R391" s="620"/>
      <c r="S391" s="621"/>
      <c r="T391" s="622"/>
      <c r="U391" s="301">
        <f>U389+U390</f>
        <v>3613.9729712111998</v>
      </c>
      <c r="V391" s="286"/>
    </row>
    <row r="392" spans="2:22" ht="30" customHeight="1">
      <c r="L392" s="102"/>
      <c r="M392" s="102"/>
      <c r="N392" s="102"/>
      <c r="O392" s="297" t="s">
        <v>311</v>
      </c>
      <c r="P392" s="618" t="s">
        <v>623</v>
      </c>
      <c r="Q392" s="619"/>
      <c r="R392" s="620"/>
      <c r="S392" s="621"/>
      <c r="T392" s="622"/>
      <c r="U392" s="301">
        <f>U391/V372</f>
        <v>3285.429973828363</v>
      </c>
      <c r="V392" s="286" t="s">
        <v>624</v>
      </c>
    </row>
    <row r="393" spans="2:22" ht="45" customHeight="1">
      <c r="L393" s="102"/>
      <c r="M393" s="102"/>
      <c r="N393" s="102"/>
      <c r="O393" s="623" t="s">
        <v>625</v>
      </c>
      <c r="P393" s="623"/>
      <c r="Q393" s="623"/>
      <c r="R393" s="623"/>
      <c r="S393" s="623"/>
      <c r="T393" s="623"/>
      <c r="U393" s="623"/>
      <c r="V393" s="623"/>
    </row>
    <row r="394" spans="2:22" ht="18" customHeight="1">
      <c r="L394" s="102"/>
      <c r="M394" s="102"/>
      <c r="N394" s="102"/>
      <c r="O394" s="102"/>
      <c r="P394" s="102"/>
    </row>
    <row r="395" spans="2:22">
      <c r="L395" s="102"/>
      <c r="M395" s="102"/>
      <c r="N395" s="102"/>
      <c r="O395" s="102"/>
      <c r="P395" s="102"/>
    </row>
    <row r="396" spans="2:22">
      <c r="L396" s="102"/>
      <c r="M396" s="102"/>
      <c r="N396" s="102"/>
      <c r="O396" s="102"/>
      <c r="P396" s="102"/>
    </row>
    <row r="397" spans="2:22">
      <c r="L397" s="102"/>
      <c r="M397" s="102"/>
      <c r="N397" s="102"/>
      <c r="O397" s="102"/>
      <c r="P397" s="102"/>
    </row>
    <row r="398" spans="2:22">
      <c r="L398" s="102"/>
      <c r="M398" s="102"/>
      <c r="N398" s="102"/>
      <c r="O398" s="102"/>
      <c r="P398" s="102"/>
    </row>
    <row r="399" spans="2:22">
      <c r="L399" s="102"/>
      <c r="M399" s="102"/>
      <c r="N399" s="102"/>
      <c r="O399" s="102"/>
      <c r="P399" s="102"/>
    </row>
    <row r="400" spans="2:22">
      <c r="L400" s="102"/>
      <c r="M400" s="102"/>
      <c r="N400" s="102"/>
      <c r="O400" s="102"/>
      <c r="P400" s="102"/>
    </row>
    <row r="401" spans="12:16">
      <c r="L401" s="102"/>
      <c r="M401" s="102"/>
      <c r="N401" s="102"/>
      <c r="O401" s="102"/>
      <c r="P401" s="102"/>
    </row>
    <row r="402" spans="12:16">
      <c r="L402" s="102"/>
      <c r="M402" s="102"/>
      <c r="N402" s="102"/>
      <c r="O402" s="102"/>
      <c r="P402" s="102"/>
    </row>
    <row r="403" spans="12:16">
      <c r="L403" s="102"/>
      <c r="M403" s="102"/>
      <c r="N403" s="102"/>
      <c r="O403" s="102"/>
      <c r="P403" s="102"/>
    </row>
    <row r="404" spans="12:16">
      <c r="L404" s="102"/>
      <c r="M404" s="102"/>
      <c r="N404" s="102"/>
      <c r="O404" s="102"/>
      <c r="P404" s="102"/>
    </row>
    <row r="405" spans="12:16">
      <c r="L405" s="102"/>
      <c r="M405" s="102"/>
      <c r="N405" s="102"/>
      <c r="O405" s="102"/>
      <c r="P405" s="102"/>
    </row>
    <row r="406" spans="12:16">
      <c r="L406" s="102"/>
      <c r="M406" s="102"/>
      <c r="N406" s="102"/>
      <c r="O406" s="102"/>
      <c r="P406" s="102"/>
    </row>
    <row r="407" spans="12:16">
      <c r="L407" s="102"/>
      <c r="M407" s="102"/>
      <c r="N407" s="102"/>
      <c r="O407" s="102"/>
      <c r="P407" s="102"/>
    </row>
    <row r="408" spans="12:16">
      <c r="L408" s="102"/>
      <c r="M408" s="102"/>
      <c r="N408" s="102"/>
      <c r="O408" s="102"/>
      <c r="P408" s="102"/>
    </row>
    <row r="409" spans="12:16">
      <c r="L409" s="102"/>
      <c r="M409" s="102"/>
      <c r="N409" s="102"/>
      <c r="O409" s="102"/>
      <c r="P409" s="102"/>
    </row>
    <row r="410" spans="12:16">
      <c r="L410" s="102"/>
      <c r="M410" s="102"/>
      <c r="N410" s="102"/>
      <c r="O410" s="102"/>
      <c r="P410" s="102"/>
    </row>
    <row r="411" spans="12:16">
      <c r="L411" s="102"/>
      <c r="M411" s="102"/>
      <c r="N411" s="102"/>
      <c r="O411" s="102"/>
      <c r="P411" s="102"/>
    </row>
    <row r="412" spans="12:16">
      <c r="L412" s="102"/>
      <c r="M412" s="102"/>
      <c r="N412" s="102"/>
      <c r="O412" s="102"/>
      <c r="P412" s="102"/>
    </row>
    <row r="413" spans="12:16">
      <c r="L413" s="102"/>
      <c r="M413" s="102"/>
      <c r="N413" s="102"/>
      <c r="O413" s="102"/>
      <c r="P413" s="102"/>
    </row>
    <row r="414" spans="12:16">
      <c r="L414" s="102"/>
      <c r="M414" s="102"/>
      <c r="N414" s="102"/>
      <c r="O414" s="102"/>
      <c r="P414" s="102"/>
    </row>
    <row r="415" spans="12:16">
      <c r="L415" s="102"/>
      <c r="M415" s="102"/>
      <c r="N415" s="102"/>
      <c r="O415" s="102"/>
      <c r="P415" s="102"/>
    </row>
    <row r="416" spans="12:16">
      <c r="L416" s="102"/>
      <c r="M416" s="102"/>
      <c r="N416" s="102"/>
      <c r="O416" s="102"/>
      <c r="P416" s="102"/>
    </row>
    <row r="417" spans="10:16">
      <c r="L417" s="102"/>
      <c r="M417" s="102"/>
      <c r="N417" s="102"/>
      <c r="O417" s="102"/>
      <c r="P417" s="102"/>
    </row>
    <row r="418" spans="10:16">
      <c r="L418" s="102"/>
      <c r="M418" s="102"/>
      <c r="N418" s="102"/>
      <c r="O418" s="102"/>
      <c r="P418" s="102"/>
    </row>
    <row r="419" spans="10:16">
      <c r="L419" s="102"/>
      <c r="M419" s="102"/>
      <c r="N419" s="102"/>
      <c r="O419" s="102"/>
      <c r="P419" s="102"/>
    </row>
    <row r="420" spans="10:16">
      <c r="L420" s="102"/>
      <c r="M420" s="102"/>
      <c r="N420" s="102"/>
      <c r="O420" s="102"/>
      <c r="P420" s="102"/>
    </row>
    <row r="421" spans="10:16">
      <c r="L421" s="102"/>
      <c r="M421" s="102"/>
      <c r="N421" s="102"/>
      <c r="O421" s="102"/>
      <c r="P421" s="102"/>
    </row>
    <row r="422" spans="10:16">
      <c r="L422" s="102"/>
      <c r="M422" s="102"/>
      <c r="N422" s="102"/>
      <c r="O422" s="102"/>
      <c r="P422" s="102"/>
    </row>
    <row r="423" spans="10:16">
      <c r="L423" s="102"/>
      <c r="M423" s="102"/>
      <c r="N423" s="102"/>
      <c r="O423" s="102"/>
      <c r="P423" s="102"/>
    </row>
    <row r="424" spans="10:16">
      <c r="L424" s="102"/>
      <c r="M424" s="102"/>
      <c r="N424" s="102"/>
      <c r="O424" s="102"/>
      <c r="P424" s="102"/>
    </row>
    <row r="425" spans="10:16">
      <c r="L425" s="102"/>
      <c r="M425" s="102"/>
      <c r="N425" s="102"/>
      <c r="O425" s="102"/>
      <c r="P425" s="102"/>
    </row>
    <row r="426" spans="10:16">
      <c r="L426" s="102"/>
      <c r="M426" s="102"/>
      <c r="N426" s="102"/>
      <c r="O426" s="102"/>
      <c r="P426" s="102"/>
    </row>
    <row r="427" spans="10:16">
      <c r="J427" s="102"/>
      <c r="K427" s="102"/>
      <c r="L427" s="102"/>
      <c r="M427" s="102"/>
      <c r="N427" s="102"/>
      <c r="O427" s="102"/>
      <c r="P427" s="102"/>
    </row>
    <row r="428" spans="10:16">
      <c r="J428" s="102"/>
      <c r="K428" s="102"/>
      <c r="L428" s="102"/>
      <c r="M428" s="102"/>
      <c r="N428" s="102"/>
      <c r="O428" s="102"/>
      <c r="P428" s="102"/>
    </row>
    <row r="429" spans="10:16">
      <c r="J429" s="102"/>
      <c r="K429" s="102"/>
      <c r="L429" s="102"/>
      <c r="M429" s="102"/>
      <c r="N429" s="102"/>
      <c r="O429" s="102"/>
      <c r="P429" s="102"/>
    </row>
    <row r="430" spans="10:16">
      <c r="J430" s="102"/>
      <c r="K430" s="102"/>
      <c r="L430" s="102"/>
      <c r="M430" s="102"/>
      <c r="N430" s="102"/>
      <c r="O430" s="102"/>
      <c r="P430" s="102"/>
    </row>
    <row r="431" spans="10:16">
      <c r="J431" s="102"/>
      <c r="K431" s="102"/>
      <c r="L431" s="102"/>
      <c r="M431" s="102"/>
      <c r="N431" s="102"/>
      <c r="O431" s="102"/>
      <c r="P431" s="102"/>
    </row>
    <row r="432" spans="10:16">
      <c r="J432" s="102"/>
      <c r="K432" s="102"/>
      <c r="L432" s="102"/>
      <c r="M432" s="102"/>
      <c r="N432" s="102"/>
      <c r="O432" s="102"/>
      <c r="P432" s="102"/>
    </row>
    <row r="433" spans="10:16">
      <c r="J433" s="102"/>
      <c r="K433" s="102"/>
      <c r="L433" s="102"/>
      <c r="M433" s="102"/>
      <c r="N433" s="102"/>
      <c r="O433" s="102"/>
      <c r="P433" s="102"/>
    </row>
    <row r="434" spans="10:16">
      <c r="J434" s="102"/>
      <c r="K434" s="102"/>
      <c r="L434" s="102"/>
      <c r="M434" s="102"/>
      <c r="N434" s="102"/>
      <c r="O434" s="102"/>
      <c r="P434" s="102"/>
    </row>
    <row r="435" spans="10:16">
      <c r="J435" s="102"/>
      <c r="K435" s="102"/>
      <c r="L435" s="102"/>
      <c r="M435" s="102"/>
      <c r="N435" s="102"/>
      <c r="O435" s="102"/>
      <c r="P435" s="102"/>
    </row>
    <row r="436" spans="10:16">
      <c r="J436" s="102"/>
      <c r="K436" s="102"/>
      <c r="L436" s="102"/>
      <c r="M436" s="102"/>
      <c r="N436" s="102"/>
      <c r="O436" s="102"/>
      <c r="P436" s="102"/>
    </row>
    <row r="437" spans="10:16">
      <c r="J437" s="102"/>
      <c r="K437" s="102"/>
      <c r="L437" s="102"/>
      <c r="M437" s="102"/>
      <c r="N437" s="102"/>
      <c r="O437" s="102"/>
      <c r="P437" s="102"/>
    </row>
    <row r="438" spans="10:16">
      <c r="J438" s="102"/>
      <c r="K438" s="102"/>
      <c r="L438" s="102"/>
      <c r="M438" s="102"/>
      <c r="N438" s="102"/>
      <c r="O438" s="102"/>
      <c r="P438" s="102"/>
    </row>
    <row r="439" spans="10:16">
      <c r="J439" s="102"/>
      <c r="K439" s="102"/>
      <c r="L439" s="102"/>
      <c r="M439" s="102"/>
      <c r="N439" s="102"/>
      <c r="O439" s="102"/>
      <c r="P439" s="102"/>
    </row>
    <row r="440" spans="10:16">
      <c r="J440" s="102"/>
      <c r="K440" s="102"/>
      <c r="L440" s="102"/>
      <c r="M440" s="102"/>
      <c r="N440" s="102"/>
      <c r="O440" s="102"/>
      <c r="P440" s="102"/>
    </row>
    <row r="441" spans="10:16">
      <c r="J441" s="102"/>
      <c r="K441" s="102"/>
      <c r="L441" s="102"/>
      <c r="M441" s="102"/>
      <c r="N441" s="102"/>
      <c r="O441" s="102"/>
      <c r="P441" s="102"/>
    </row>
    <row r="442" spans="10:16">
      <c r="J442" s="102"/>
      <c r="K442" s="102"/>
      <c r="L442" s="102"/>
      <c r="M442" s="102"/>
      <c r="N442" s="102"/>
      <c r="O442" s="102"/>
      <c r="P442" s="102"/>
    </row>
    <row r="443" spans="10:16">
      <c r="J443" s="102"/>
      <c r="K443" s="102"/>
      <c r="L443" s="102"/>
      <c r="M443" s="102"/>
      <c r="N443" s="102"/>
      <c r="O443" s="102"/>
      <c r="P443" s="102"/>
    </row>
    <row r="444" spans="10:16">
      <c r="J444" s="102"/>
      <c r="K444" s="102"/>
      <c r="L444" s="102"/>
      <c r="M444" s="102"/>
      <c r="N444" s="102"/>
      <c r="O444" s="102"/>
      <c r="P444" s="102"/>
    </row>
    <row r="445" spans="10:16">
      <c r="J445" s="102"/>
      <c r="K445" s="102"/>
      <c r="L445" s="102"/>
      <c r="M445" s="102"/>
      <c r="N445" s="102"/>
      <c r="O445" s="102"/>
      <c r="P445" s="102"/>
    </row>
    <row r="446" spans="10:16">
      <c r="J446" s="102"/>
      <c r="K446" s="102"/>
      <c r="L446" s="102"/>
      <c r="M446" s="102"/>
      <c r="N446" s="102"/>
      <c r="O446" s="102"/>
      <c r="P446" s="102"/>
    </row>
    <row r="447" spans="10:16">
      <c r="J447" s="102"/>
      <c r="K447" s="102"/>
      <c r="L447" s="102"/>
      <c r="M447" s="102"/>
      <c r="N447" s="102"/>
      <c r="O447" s="102"/>
      <c r="P447" s="102"/>
    </row>
    <row r="448" spans="10:16">
      <c r="J448" s="102"/>
      <c r="K448" s="102"/>
      <c r="L448" s="102"/>
      <c r="M448" s="102"/>
      <c r="N448" s="102"/>
      <c r="O448" s="102"/>
      <c r="P448" s="102"/>
    </row>
    <row r="449" spans="10:16">
      <c r="J449" s="102"/>
      <c r="K449" s="102"/>
      <c r="L449" s="102"/>
      <c r="M449" s="102"/>
      <c r="N449" s="102"/>
      <c r="O449" s="102"/>
      <c r="P449" s="102"/>
    </row>
    <row r="450" spans="10:16">
      <c r="J450" s="102"/>
      <c r="K450" s="102"/>
      <c r="L450" s="102"/>
      <c r="M450" s="102"/>
      <c r="N450" s="102"/>
      <c r="O450" s="102"/>
      <c r="P450" s="102"/>
    </row>
    <row r="451" spans="10:16">
      <c r="J451" s="102"/>
      <c r="K451" s="102"/>
      <c r="L451" s="102"/>
      <c r="M451" s="102"/>
      <c r="N451" s="102"/>
      <c r="O451" s="102"/>
      <c r="P451" s="102"/>
    </row>
    <row r="452" spans="10:16">
      <c r="J452" s="102"/>
      <c r="K452" s="102"/>
      <c r="L452" s="102"/>
      <c r="M452" s="102"/>
      <c r="N452" s="102"/>
      <c r="O452" s="102"/>
      <c r="P452" s="102"/>
    </row>
    <row r="453" spans="10:16">
      <c r="J453" s="102"/>
      <c r="K453" s="102"/>
      <c r="L453" s="102"/>
      <c r="M453" s="102"/>
      <c r="N453" s="102"/>
      <c r="O453" s="102"/>
      <c r="P453" s="102"/>
    </row>
    <row r="454" spans="10:16">
      <c r="J454" s="102"/>
      <c r="K454" s="102"/>
      <c r="L454" s="102"/>
      <c r="M454" s="102"/>
      <c r="N454" s="102"/>
      <c r="O454" s="102"/>
      <c r="P454" s="102"/>
    </row>
    <row r="455" spans="10:16">
      <c r="J455" s="102"/>
      <c r="K455" s="102"/>
      <c r="L455" s="102"/>
      <c r="M455" s="102"/>
      <c r="N455" s="102"/>
      <c r="O455" s="102"/>
      <c r="P455" s="102"/>
    </row>
    <row r="456" spans="10:16">
      <c r="J456" s="102"/>
      <c r="K456" s="102"/>
      <c r="L456" s="102"/>
      <c r="M456" s="102"/>
      <c r="N456" s="102"/>
      <c r="O456" s="102"/>
      <c r="P456" s="102"/>
    </row>
    <row r="457" spans="10:16">
      <c r="J457" s="102"/>
      <c r="K457" s="102"/>
      <c r="L457" s="102"/>
      <c r="M457" s="102"/>
      <c r="N457" s="102"/>
      <c r="O457" s="102"/>
      <c r="P457" s="102"/>
    </row>
    <row r="458" spans="10:16">
      <c r="J458" s="102"/>
      <c r="K458" s="102"/>
      <c r="L458" s="102"/>
      <c r="M458" s="102"/>
      <c r="N458" s="102"/>
      <c r="O458" s="102"/>
      <c r="P458" s="102"/>
    </row>
    <row r="459" spans="10:16">
      <c r="J459" s="102"/>
      <c r="K459" s="102"/>
      <c r="L459" s="102"/>
      <c r="M459" s="102"/>
      <c r="N459" s="102"/>
      <c r="O459" s="102"/>
      <c r="P459" s="102"/>
    </row>
    <row r="460" spans="10:16">
      <c r="J460" s="102"/>
      <c r="K460" s="102"/>
      <c r="L460" s="102"/>
      <c r="M460" s="102"/>
      <c r="N460" s="102"/>
      <c r="O460" s="102"/>
      <c r="P460" s="102"/>
    </row>
    <row r="461" spans="10:16">
      <c r="J461" s="102"/>
      <c r="K461" s="102"/>
      <c r="L461" s="102"/>
      <c r="M461" s="102"/>
      <c r="N461" s="102"/>
      <c r="O461" s="102"/>
      <c r="P461" s="102"/>
    </row>
    <row r="462" spans="10:16">
      <c r="J462" s="102"/>
      <c r="K462" s="102"/>
      <c r="L462" s="102"/>
      <c r="M462" s="102"/>
      <c r="N462" s="102"/>
      <c r="O462" s="102"/>
      <c r="P462" s="102"/>
    </row>
    <row r="463" spans="10:16">
      <c r="J463" s="102"/>
      <c r="K463" s="102"/>
      <c r="L463" s="102"/>
      <c r="M463" s="102"/>
      <c r="N463" s="102"/>
      <c r="O463" s="102"/>
      <c r="P463" s="102"/>
    </row>
    <row r="464" spans="10:16">
      <c r="J464" s="102"/>
      <c r="K464" s="102"/>
      <c r="L464" s="102"/>
      <c r="M464" s="102"/>
      <c r="N464" s="102"/>
      <c r="O464" s="102"/>
      <c r="P464" s="102"/>
    </row>
  </sheetData>
  <mergeCells count="95">
    <mergeCell ref="F2:H2"/>
    <mergeCell ref="I2:I6"/>
    <mergeCell ref="J2:M2"/>
    <mergeCell ref="B4:B6"/>
    <mergeCell ref="B14:B21"/>
    <mergeCell ref="C14:C21"/>
    <mergeCell ref="B26:B30"/>
    <mergeCell ref="C26:C30"/>
    <mergeCell ref="B35:B37"/>
    <mergeCell ref="C35:C37"/>
    <mergeCell ref="B42:B47"/>
    <mergeCell ref="C42:C44"/>
    <mergeCell ref="C45:C47"/>
    <mergeCell ref="B52:B55"/>
    <mergeCell ref="C52:C55"/>
    <mergeCell ref="D59:F59"/>
    <mergeCell ref="B60:B63"/>
    <mergeCell ref="C60:C61"/>
    <mergeCell ref="D60:F60"/>
    <mergeCell ref="D61:F61"/>
    <mergeCell ref="C62:C63"/>
    <mergeCell ref="D62:F62"/>
    <mergeCell ref="D63:F63"/>
    <mergeCell ref="B68:B87"/>
    <mergeCell ref="C68:C74"/>
    <mergeCell ref="C75:C81"/>
    <mergeCell ref="C82:C87"/>
    <mergeCell ref="B92:B96"/>
    <mergeCell ref="C92:C96"/>
    <mergeCell ref="B137:B138"/>
    <mergeCell ref="C137:C138"/>
    <mergeCell ref="D137:F137"/>
    <mergeCell ref="D138:F138"/>
    <mergeCell ref="B101:B103"/>
    <mergeCell ref="C101:C103"/>
    <mergeCell ref="B108:B111"/>
    <mergeCell ref="C108:C111"/>
    <mergeCell ref="B116:B118"/>
    <mergeCell ref="C116:C118"/>
    <mergeCell ref="B123:B125"/>
    <mergeCell ref="C123:C125"/>
    <mergeCell ref="B130:B132"/>
    <mergeCell ref="C130:C132"/>
    <mergeCell ref="D136:F136"/>
    <mergeCell ref="B143:B145"/>
    <mergeCell ref="C143:C145"/>
    <mergeCell ref="B150:B152"/>
    <mergeCell ref="C150:C152"/>
    <mergeCell ref="B157:B162"/>
    <mergeCell ref="C157:C162"/>
    <mergeCell ref="B167:B169"/>
    <mergeCell ref="C167:C169"/>
    <mergeCell ref="B174:B176"/>
    <mergeCell ref="C174:C176"/>
    <mergeCell ref="B181:B183"/>
    <mergeCell ref="C181:C183"/>
    <mergeCell ref="F209:F210"/>
    <mergeCell ref="B188:B190"/>
    <mergeCell ref="C188:C190"/>
    <mergeCell ref="D194:F194"/>
    <mergeCell ref="B195:B196"/>
    <mergeCell ref="C195:C196"/>
    <mergeCell ref="D195:F195"/>
    <mergeCell ref="D196:F196"/>
    <mergeCell ref="B197:B198"/>
    <mergeCell ref="C197:C198"/>
    <mergeCell ref="D197:F197"/>
    <mergeCell ref="D198:F198"/>
    <mergeCell ref="F203:F204"/>
    <mergeCell ref="O369:V369"/>
    <mergeCell ref="F211:F212"/>
    <mergeCell ref="F213:F214"/>
    <mergeCell ref="B291:B292"/>
    <mergeCell ref="B294:B295"/>
    <mergeCell ref="I294:I295"/>
    <mergeCell ref="B296:B297"/>
    <mergeCell ref="I296:I297"/>
    <mergeCell ref="B298:B299"/>
    <mergeCell ref="I298:I299"/>
    <mergeCell ref="B300:B301"/>
    <mergeCell ref="B302:B303"/>
    <mergeCell ref="O368:V368"/>
    <mergeCell ref="P370:Q370"/>
    <mergeCell ref="O371:O372"/>
    <mergeCell ref="P371:T372"/>
    <mergeCell ref="B378:I378"/>
    <mergeCell ref="P389:Q389"/>
    <mergeCell ref="R389:T389"/>
    <mergeCell ref="O393:V393"/>
    <mergeCell ref="P390:Q390"/>
    <mergeCell ref="R390:T390"/>
    <mergeCell ref="P391:Q391"/>
    <mergeCell ref="R391:T391"/>
    <mergeCell ref="P392:Q392"/>
    <mergeCell ref="R392:T392"/>
  </mergeCells>
  <phoneticPr fontId="5" type="noConversion"/>
  <pageMargins left="0.19685039370078741" right="0.19685039370078741" top="0.74803149606299213" bottom="0.74803149606299213" header="0.31496062992125984" footer="0.31496062992125984"/>
  <pageSetup paperSize="9" scale="78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F098-296E-4E21-AAD4-7715DFF117B3}">
  <sheetPr>
    <tabColor rgb="FF7030A0"/>
    <pageSetUpPr fitToPage="1"/>
  </sheetPr>
  <dimension ref="A1:V464"/>
  <sheetViews>
    <sheetView showZeros="0" topLeftCell="A343" zoomScaleNormal="100" workbookViewId="0">
      <selection activeCell="C372" sqref="C372"/>
    </sheetView>
  </sheetViews>
  <sheetFormatPr defaultColWidth="25.25" defaultRowHeight="13.5"/>
  <cols>
    <col min="1" max="1" width="0.5" style="1" customWidth="1"/>
    <col min="2" max="2" width="25.25" style="102" customWidth="1"/>
    <col min="3" max="3" width="14.75" style="102" customWidth="1"/>
    <col min="4" max="4" width="11.5" style="102" customWidth="1"/>
    <col min="5" max="5" width="11.25" style="102" customWidth="1"/>
    <col min="6" max="6" width="12.25" style="102" customWidth="1"/>
    <col min="7" max="7" width="10" style="102" customWidth="1"/>
    <col min="8" max="8" width="9.875" style="102" customWidth="1"/>
    <col min="9" max="9" width="26.875" style="102" customWidth="1"/>
    <col min="10" max="10" width="11.125" style="43" customWidth="1"/>
    <col min="11" max="11" width="7.875" style="43" customWidth="1"/>
    <col min="12" max="12" width="7.25" style="43" customWidth="1"/>
    <col min="13" max="13" width="9.125" style="43" customWidth="1"/>
    <col min="14" max="14" width="15.125" style="255" customWidth="1"/>
    <col min="15" max="15" width="13.125" style="255" customWidth="1"/>
    <col min="16" max="16" width="24.375" style="255" customWidth="1"/>
    <col min="17" max="17" width="13.75" style="255" customWidth="1"/>
    <col min="18" max="18" width="11.25" style="255" customWidth="1"/>
    <col min="19" max="19" width="10.75" style="255" customWidth="1"/>
    <col min="20" max="20" width="10" style="255" customWidth="1"/>
    <col min="21" max="21" width="9.875" style="255" customWidth="1"/>
    <col min="22" max="22" width="26.125" style="255" customWidth="1"/>
    <col min="23" max="23" width="11.125" style="255" customWidth="1"/>
    <col min="24" max="24" width="7.875" style="255" customWidth="1"/>
    <col min="25" max="25" width="7.25" style="255" customWidth="1"/>
    <col min="26" max="26" width="9.125" style="255" customWidth="1"/>
    <col min="27" max="27" width="15.125" style="255" customWidth="1"/>
    <col min="28" max="28" width="7.75" style="255" customWidth="1"/>
    <col min="29" max="29" width="7.125" style="255" customWidth="1"/>
    <col min="30" max="30" width="12.125" style="255" customWidth="1"/>
    <col min="31" max="31" width="8.25" style="255" customWidth="1"/>
    <col min="32" max="33" width="10.375" style="255" customWidth="1"/>
    <col min="34" max="34" width="15.625" style="255" customWidth="1"/>
    <col min="35" max="35" width="15.875" style="255" customWidth="1"/>
    <col min="36" max="36" width="8.125" style="255" customWidth="1"/>
    <col min="37" max="40" width="10.375" style="255" customWidth="1"/>
    <col min="41" max="41" width="7.25" style="255" customWidth="1"/>
    <col min="42" max="42" width="7.125" style="255" customWidth="1"/>
    <col min="43" max="43" width="9.5" style="255" customWidth="1"/>
    <col min="44" max="45" width="9" style="255" customWidth="1"/>
    <col min="46" max="46" width="16.125" style="255" customWidth="1"/>
    <col min="47" max="77" width="9" style="255" customWidth="1"/>
    <col min="78" max="237" width="25.25" style="255"/>
    <col min="238" max="267" width="9" style="255" customWidth="1"/>
    <col min="268" max="268" width="0.5" style="255" customWidth="1"/>
    <col min="269" max="269" width="25.25" style="255"/>
    <col min="270" max="270" width="0.5" style="255" customWidth="1"/>
    <col min="271" max="271" width="25.25" style="255"/>
    <col min="272" max="272" width="14.75" style="255" customWidth="1"/>
    <col min="273" max="273" width="11.5" style="255" customWidth="1"/>
    <col min="274" max="274" width="11.25" style="255" customWidth="1"/>
    <col min="275" max="275" width="10.75" style="255" customWidth="1"/>
    <col min="276" max="276" width="10" style="255" customWidth="1"/>
    <col min="277" max="277" width="9.875" style="255" customWidth="1"/>
    <col min="278" max="278" width="26.125" style="255" customWidth="1"/>
    <col min="279" max="279" width="11.125" style="255" customWidth="1"/>
    <col min="280" max="280" width="7.875" style="255" customWidth="1"/>
    <col min="281" max="281" width="7.25" style="255" customWidth="1"/>
    <col min="282" max="282" width="9.125" style="255" customWidth="1"/>
    <col min="283" max="283" width="15.125" style="255" customWidth="1"/>
    <col min="284" max="284" width="7.75" style="255" customWidth="1"/>
    <col min="285" max="285" width="7.125" style="255" customWidth="1"/>
    <col min="286" max="286" width="12.125" style="255" customWidth="1"/>
    <col min="287" max="287" width="8.25" style="255" customWidth="1"/>
    <col min="288" max="289" width="10.375" style="255" customWidth="1"/>
    <col min="290" max="290" width="15.625" style="255" customWidth="1"/>
    <col min="291" max="291" width="15.875" style="255" customWidth="1"/>
    <col min="292" max="292" width="8.125" style="255" customWidth="1"/>
    <col min="293" max="296" width="10.375" style="255" customWidth="1"/>
    <col min="297" max="297" width="7.25" style="255" customWidth="1"/>
    <col min="298" max="298" width="7.125" style="255" customWidth="1"/>
    <col min="299" max="299" width="9.5" style="255" customWidth="1"/>
    <col min="300" max="301" width="9" style="255" customWidth="1"/>
    <col min="302" max="302" width="16.125" style="255" customWidth="1"/>
    <col min="303" max="333" width="9" style="255" customWidth="1"/>
    <col min="334" max="493" width="25.25" style="255"/>
    <col min="494" max="523" width="9" style="255" customWidth="1"/>
    <col min="524" max="524" width="0.5" style="255" customWidth="1"/>
    <col min="525" max="525" width="25.25" style="255"/>
    <col min="526" max="526" width="0.5" style="255" customWidth="1"/>
    <col min="527" max="527" width="25.25" style="255"/>
    <col min="528" max="528" width="14.75" style="255" customWidth="1"/>
    <col min="529" max="529" width="11.5" style="255" customWidth="1"/>
    <col min="530" max="530" width="11.25" style="255" customWidth="1"/>
    <col min="531" max="531" width="10.75" style="255" customWidth="1"/>
    <col min="532" max="532" width="10" style="255" customWidth="1"/>
    <col min="533" max="533" width="9.875" style="255" customWidth="1"/>
    <col min="534" max="534" width="26.125" style="255" customWidth="1"/>
    <col min="535" max="535" width="11.125" style="255" customWidth="1"/>
    <col min="536" max="536" width="7.875" style="255" customWidth="1"/>
    <col min="537" max="537" width="7.25" style="255" customWidth="1"/>
    <col min="538" max="538" width="9.125" style="255" customWidth="1"/>
    <col min="539" max="539" width="15.125" style="255" customWidth="1"/>
    <col min="540" max="540" width="7.75" style="255" customWidth="1"/>
    <col min="541" max="541" width="7.125" style="255" customWidth="1"/>
    <col min="542" max="542" width="12.125" style="255" customWidth="1"/>
    <col min="543" max="543" width="8.25" style="255" customWidth="1"/>
    <col min="544" max="545" width="10.375" style="255" customWidth="1"/>
    <col min="546" max="546" width="15.625" style="255" customWidth="1"/>
    <col min="547" max="547" width="15.875" style="255" customWidth="1"/>
    <col min="548" max="548" width="8.125" style="255" customWidth="1"/>
    <col min="549" max="552" width="10.375" style="255" customWidth="1"/>
    <col min="553" max="553" width="7.25" style="255" customWidth="1"/>
    <col min="554" max="554" width="7.125" style="255" customWidth="1"/>
    <col min="555" max="555" width="9.5" style="255" customWidth="1"/>
    <col min="556" max="557" width="9" style="255" customWidth="1"/>
    <col min="558" max="558" width="16.125" style="255" customWidth="1"/>
    <col min="559" max="589" width="9" style="255" customWidth="1"/>
    <col min="590" max="749" width="25.25" style="255"/>
    <col min="750" max="779" width="9" style="255" customWidth="1"/>
    <col min="780" max="780" width="0.5" style="255" customWidth="1"/>
    <col min="781" max="781" width="25.25" style="255"/>
    <col min="782" max="782" width="0.5" style="255" customWidth="1"/>
    <col min="783" max="783" width="25.25" style="255"/>
    <col min="784" max="784" width="14.75" style="255" customWidth="1"/>
    <col min="785" max="785" width="11.5" style="255" customWidth="1"/>
    <col min="786" max="786" width="11.25" style="255" customWidth="1"/>
    <col min="787" max="787" width="10.75" style="255" customWidth="1"/>
    <col min="788" max="788" width="10" style="255" customWidth="1"/>
    <col min="789" max="789" width="9.875" style="255" customWidth="1"/>
    <col min="790" max="790" width="26.125" style="255" customWidth="1"/>
    <col min="791" max="791" width="11.125" style="255" customWidth="1"/>
    <col min="792" max="792" width="7.875" style="255" customWidth="1"/>
    <col min="793" max="793" width="7.25" style="255" customWidth="1"/>
    <col min="794" max="794" width="9.125" style="255" customWidth="1"/>
    <col min="795" max="795" width="15.125" style="255" customWidth="1"/>
    <col min="796" max="796" width="7.75" style="255" customWidth="1"/>
    <col min="797" max="797" width="7.125" style="255" customWidth="1"/>
    <col min="798" max="798" width="12.125" style="255" customWidth="1"/>
    <col min="799" max="799" width="8.25" style="255" customWidth="1"/>
    <col min="800" max="801" width="10.375" style="255" customWidth="1"/>
    <col min="802" max="802" width="15.625" style="255" customWidth="1"/>
    <col min="803" max="803" width="15.875" style="255" customWidth="1"/>
    <col min="804" max="804" width="8.125" style="255" customWidth="1"/>
    <col min="805" max="808" width="10.375" style="255" customWidth="1"/>
    <col min="809" max="809" width="7.25" style="255" customWidth="1"/>
    <col min="810" max="810" width="7.125" style="255" customWidth="1"/>
    <col min="811" max="811" width="9.5" style="255" customWidth="1"/>
    <col min="812" max="813" width="9" style="255" customWidth="1"/>
    <col min="814" max="814" width="16.125" style="255" customWidth="1"/>
    <col min="815" max="845" width="9" style="255" customWidth="1"/>
    <col min="846" max="1005" width="25.25" style="255"/>
    <col min="1006" max="1035" width="9" style="255" customWidth="1"/>
    <col min="1036" max="1036" width="0.5" style="255" customWidth="1"/>
    <col min="1037" max="1037" width="25.25" style="255"/>
    <col min="1038" max="1038" width="0.5" style="255" customWidth="1"/>
    <col min="1039" max="1039" width="25.25" style="255"/>
    <col min="1040" max="1040" width="14.75" style="255" customWidth="1"/>
    <col min="1041" max="1041" width="11.5" style="255" customWidth="1"/>
    <col min="1042" max="1042" width="11.25" style="255" customWidth="1"/>
    <col min="1043" max="1043" width="10.75" style="255" customWidth="1"/>
    <col min="1044" max="1044" width="10" style="255" customWidth="1"/>
    <col min="1045" max="1045" width="9.875" style="255" customWidth="1"/>
    <col min="1046" max="1046" width="26.125" style="255" customWidth="1"/>
    <col min="1047" max="1047" width="11.125" style="255" customWidth="1"/>
    <col min="1048" max="1048" width="7.875" style="255" customWidth="1"/>
    <col min="1049" max="1049" width="7.25" style="255" customWidth="1"/>
    <col min="1050" max="1050" width="9.125" style="255" customWidth="1"/>
    <col min="1051" max="1051" width="15.125" style="255" customWidth="1"/>
    <col min="1052" max="1052" width="7.75" style="255" customWidth="1"/>
    <col min="1053" max="1053" width="7.125" style="255" customWidth="1"/>
    <col min="1054" max="1054" width="12.125" style="255" customWidth="1"/>
    <col min="1055" max="1055" width="8.25" style="255" customWidth="1"/>
    <col min="1056" max="1057" width="10.375" style="255" customWidth="1"/>
    <col min="1058" max="1058" width="15.625" style="255" customWidth="1"/>
    <col min="1059" max="1059" width="15.875" style="255" customWidth="1"/>
    <col min="1060" max="1060" width="8.125" style="255" customWidth="1"/>
    <col min="1061" max="1064" width="10.375" style="255" customWidth="1"/>
    <col min="1065" max="1065" width="7.25" style="255" customWidth="1"/>
    <col min="1066" max="1066" width="7.125" style="255" customWidth="1"/>
    <col min="1067" max="1067" width="9.5" style="255" customWidth="1"/>
    <col min="1068" max="1069" width="9" style="255" customWidth="1"/>
    <col min="1070" max="1070" width="16.125" style="255" customWidth="1"/>
    <col min="1071" max="1101" width="9" style="255" customWidth="1"/>
    <col min="1102" max="1261" width="25.25" style="255"/>
    <col min="1262" max="1291" width="9" style="255" customWidth="1"/>
    <col min="1292" max="1292" width="0.5" style="255" customWidth="1"/>
    <col min="1293" max="1293" width="25.25" style="255"/>
    <col min="1294" max="1294" width="0.5" style="255" customWidth="1"/>
    <col min="1295" max="1295" width="25.25" style="255"/>
    <col min="1296" max="1296" width="14.75" style="255" customWidth="1"/>
    <col min="1297" max="1297" width="11.5" style="255" customWidth="1"/>
    <col min="1298" max="1298" width="11.25" style="255" customWidth="1"/>
    <col min="1299" max="1299" width="10.75" style="255" customWidth="1"/>
    <col min="1300" max="1300" width="10" style="255" customWidth="1"/>
    <col min="1301" max="1301" width="9.875" style="255" customWidth="1"/>
    <col min="1302" max="1302" width="26.125" style="255" customWidth="1"/>
    <col min="1303" max="1303" width="11.125" style="255" customWidth="1"/>
    <col min="1304" max="1304" width="7.875" style="255" customWidth="1"/>
    <col min="1305" max="1305" width="7.25" style="255" customWidth="1"/>
    <col min="1306" max="1306" width="9.125" style="255" customWidth="1"/>
    <col min="1307" max="1307" width="15.125" style="255" customWidth="1"/>
    <col min="1308" max="1308" width="7.75" style="255" customWidth="1"/>
    <col min="1309" max="1309" width="7.125" style="255" customWidth="1"/>
    <col min="1310" max="1310" width="12.125" style="255" customWidth="1"/>
    <col min="1311" max="1311" width="8.25" style="255" customWidth="1"/>
    <col min="1312" max="1313" width="10.375" style="255" customWidth="1"/>
    <col min="1314" max="1314" width="15.625" style="255" customWidth="1"/>
    <col min="1315" max="1315" width="15.875" style="255" customWidth="1"/>
    <col min="1316" max="1316" width="8.125" style="255" customWidth="1"/>
    <col min="1317" max="1320" width="10.375" style="255" customWidth="1"/>
    <col min="1321" max="1321" width="7.25" style="255" customWidth="1"/>
    <col min="1322" max="1322" width="7.125" style="255" customWidth="1"/>
    <col min="1323" max="1323" width="9.5" style="255" customWidth="1"/>
    <col min="1324" max="1325" width="9" style="255" customWidth="1"/>
    <col min="1326" max="1326" width="16.125" style="255" customWidth="1"/>
    <col min="1327" max="1357" width="9" style="255" customWidth="1"/>
    <col min="1358" max="1517" width="25.25" style="255"/>
    <col min="1518" max="1547" width="9" style="255" customWidth="1"/>
    <col min="1548" max="1548" width="0.5" style="255" customWidth="1"/>
    <col min="1549" max="1549" width="25.25" style="255"/>
    <col min="1550" max="1550" width="0.5" style="255" customWidth="1"/>
    <col min="1551" max="1551" width="25.25" style="255"/>
    <col min="1552" max="1552" width="14.75" style="255" customWidth="1"/>
    <col min="1553" max="1553" width="11.5" style="255" customWidth="1"/>
    <col min="1554" max="1554" width="11.25" style="255" customWidth="1"/>
    <col min="1555" max="1555" width="10.75" style="255" customWidth="1"/>
    <col min="1556" max="1556" width="10" style="255" customWidth="1"/>
    <col min="1557" max="1557" width="9.875" style="255" customWidth="1"/>
    <col min="1558" max="1558" width="26.125" style="255" customWidth="1"/>
    <col min="1559" max="1559" width="11.125" style="255" customWidth="1"/>
    <col min="1560" max="1560" width="7.875" style="255" customWidth="1"/>
    <col min="1561" max="1561" width="7.25" style="255" customWidth="1"/>
    <col min="1562" max="1562" width="9.125" style="255" customWidth="1"/>
    <col min="1563" max="1563" width="15.125" style="255" customWidth="1"/>
    <col min="1564" max="1564" width="7.75" style="255" customWidth="1"/>
    <col min="1565" max="1565" width="7.125" style="255" customWidth="1"/>
    <col min="1566" max="1566" width="12.125" style="255" customWidth="1"/>
    <col min="1567" max="1567" width="8.25" style="255" customWidth="1"/>
    <col min="1568" max="1569" width="10.375" style="255" customWidth="1"/>
    <col min="1570" max="1570" width="15.625" style="255" customWidth="1"/>
    <col min="1571" max="1571" width="15.875" style="255" customWidth="1"/>
    <col min="1572" max="1572" width="8.125" style="255" customWidth="1"/>
    <col min="1573" max="1576" width="10.375" style="255" customWidth="1"/>
    <col min="1577" max="1577" width="7.25" style="255" customWidth="1"/>
    <col min="1578" max="1578" width="7.125" style="255" customWidth="1"/>
    <col min="1579" max="1579" width="9.5" style="255" customWidth="1"/>
    <col min="1580" max="1581" width="9" style="255" customWidth="1"/>
    <col min="1582" max="1582" width="16.125" style="255" customWidth="1"/>
    <col min="1583" max="1613" width="9" style="255" customWidth="1"/>
    <col min="1614" max="1773" width="25.25" style="255"/>
    <col min="1774" max="1803" width="9" style="255" customWidth="1"/>
    <col min="1804" max="1804" width="0.5" style="255" customWidth="1"/>
    <col min="1805" max="1805" width="25.25" style="255"/>
    <col min="1806" max="1806" width="0.5" style="255" customWidth="1"/>
    <col min="1807" max="1807" width="25.25" style="255"/>
    <col min="1808" max="1808" width="14.75" style="255" customWidth="1"/>
    <col min="1809" max="1809" width="11.5" style="255" customWidth="1"/>
    <col min="1810" max="1810" width="11.25" style="255" customWidth="1"/>
    <col min="1811" max="1811" width="10.75" style="255" customWidth="1"/>
    <col min="1812" max="1812" width="10" style="255" customWidth="1"/>
    <col min="1813" max="1813" width="9.875" style="255" customWidth="1"/>
    <col min="1814" max="1814" width="26.125" style="255" customWidth="1"/>
    <col min="1815" max="1815" width="11.125" style="255" customWidth="1"/>
    <col min="1816" max="1816" width="7.875" style="255" customWidth="1"/>
    <col min="1817" max="1817" width="7.25" style="255" customWidth="1"/>
    <col min="1818" max="1818" width="9.125" style="255" customWidth="1"/>
    <col min="1819" max="1819" width="15.125" style="255" customWidth="1"/>
    <col min="1820" max="1820" width="7.75" style="255" customWidth="1"/>
    <col min="1821" max="1821" width="7.125" style="255" customWidth="1"/>
    <col min="1822" max="1822" width="12.125" style="255" customWidth="1"/>
    <col min="1823" max="1823" width="8.25" style="255" customWidth="1"/>
    <col min="1824" max="1825" width="10.375" style="255" customWidth="1"/>
    <col min="1826" max="1826" width="15.625" style="255" customWidth="1"/>
    <col min="1827" max="1827" width="15.875" style="255" customWidth="1"/>
    <col min="1828" max="1828" width="8.125" style="255" customWidth="1"/>
    <col min="1829" max="1832" width="10.375" style="255" customWidth="1"/>
    <col min="1833" max="1833" width="7.25" style="255" customWidth="1"/>
    <col min="1834" max="1834" width="7.125" style="255" customWidth="1"/>
    <col min="1835" max="1835" width="9.5" style="255" customWidth="1"/>
    <col min="1836" max="1837" width="9" style="255" customWidth="1"/>
    <col min="1838" max="1838" width="16.125" style="255" customWidth="1"/>
    <col min="1839" max="1869" width="9" style="255" customWidth="1"/>
    <col min="1870" max="2029" width="25.25" style="255"/>
    <col min="2030" max="2059" width="9" style="255" customWidth="1"/>
    <col min="2060" max="2060" width="0.5" style="255" customWidth="1"/>
    <col min="2061" max="2061" width="25.25" style="255"/>
    <col min="2062" max="2062" width="0.5" style="255" customWidth="1"/>
    <col min="2063" max="2063" width="25.25" style="255"/>
    <col min="2064" max="2064" width="14.75" style="255" customWidth="1"/>
    <col min="2065" max="2065" width="11.5" style="255" customWidth="1"/>
    <col min="2066" max="2066" width="11.25" style="255" customWidth="1"/>
    <col min="2067" max="2067" width="10.75" style="255" customWidth="1"/>
    <col min="2068" max="2068" width="10" style="255" customWidth="1"/>
    <col min="2069" max="2069" width="9.875" style="255" customWidth="1"/>
    <col min="2070" max="2070" width="26.125" style="255" customWidth="1"/>
    <col min="2071" max="2071" width="11.125" style="255" customWidth="1"/>
    <col min="2072" max="2072" width="7.875" style="255" customWidth="1"/>
    <col min="2073" max="2073" width="7.25" style="255" customWidth="1"/>
    <col min="2074" max="2074" width="9.125" style="255" customWidth="1"/>
    <col min="2075" max="2075" width="15.125" style="255" customWidth="1"/>
    <col min="2076" max="2076" width="7.75" style="255" customWidth="1"/>
    <col min="2077" max="2077" width="7.125" style="255" customWidth="1"/>
    <col min="2078" max="2078" width="12.125" style="255" customWidth="1"/>
    <col min="2079" max="2079" width="8.25" style="255" customWidth="1"/>
    <col min="2080" max="2081" width="10.375" style="255" customWidth="1"/>
    <col min="2082" max="2082" width="15.625" style="255" customWidth="1"/>
    <col min="2083" max="2083" width="15.875" style="255" customWidth="1"/>
    <col min="2084" max="2084" width="8.125" style="255" customWidth="1"/>
    <col min="2085" max="2088" width="10.375" style="255" customWidth="1"/>
    <col min="2089" max="2089" width="7.25" style="255" customWidth="1"/>
    <col min="2090" max="2090" width="7.125" style="255" customWidth="1"/>
    <col min="2091" max="2091" width="9.5" style="255" customWidth="1"/>
    <col min="2092" max="2093" width="9" style="255" customWidth="1"/>
    <col min="2094" max="2094" width="16.125" style="255" customWidth="1"/>
    <col min="2095" max="2125" width="9" style="255" customWidth="1"/>
    <col min="2126" max="2285" width="25.25" style="255"/>
    <col min="2286" max="2315" width="9" style="255" customWidth="1"/>
    <col min="2316" max="2316" width="0.5" style="255" customWidth="1"/>
    <col min="2317" max="2317" width="25.25" style="255"/>
    <col min="2318" max="2318" width="0.5" style="255" customWidth="1"/>
    <col min="2319" max="2319" width="25.25" style="255"/>
    <col min="2320" max="2320" width="14.75" style="255" customWidth="1"/>
    <col min="2321" max="2321" width="11.5" style="255" customWidth="1"/>
    <col min="2322" max="2322" width="11.25" style="255" customWidth="1"/>
    <col min="2323" max="2323" width="10.75" style="255" customWidth="1"/>
    <col min="2324" max="2324" width="10" style="255" customWidth="1"/>
    <col min="2325" max="2325" width="9.875" style="255" customWidth="1"/>
    <col min="2326" max="2326" width="26.125" style="255" customWidth="1"/>
    <col min="2327" max="2327" width="11.125" style="255" customWidth="1"/>
    <col min="2328" max="2328" width="7.875" style="255" customWidth="1"/>
    <col min="2329" max="2329" width="7.25" style="255" customWidth="1"/>
    <col min="2330" max="2330" width="9.125" style="255" customWidth="1"/>
    <col min="2331" max="2331" width="15.125" style="255" customWidth="1"/>
    <col min="2332" max="2332" width="7.75" style="255" customWidth="1"/>
    <col min="2333" max="2333" width="7.125" style="255" customWidth="1"/>
    <col min="2334" max="2334" width="12.125" style="255" customWidth="1"/>
    <col min="2335" max="2335" width="8.25" style="255" customWidth="1"/>
    <col min="2336" max="2337" width="10.375" style="255" customWidth="1"/>
    <col min="2338" max="2338" width="15.625" style="255" customWidth="1"/>
    <col min="2339" max="2339" width="15.875" style="255" customWidth="1"/>
    <col min="2340" max="2340" width="8.125" style="255" customWidth="1"/>
    <col min="2341" max="2344" width="10.375" style="255" customWidth="1"/>
    <col min="2345" max="2345" width="7.25" style="255" customWidth="1"/>
    <col min="2346" max="2346" width="7.125" style="255" customWidth="1"/>
    <col min="2347" max="2347" width="9.5" style="255" customWidth="1"/>
    <col min="2348" max="2349" width="9" style="255" customWidth="1"/>
    <col min="2350" max="2350" width="16.125" style="255" customWidth="1"/>
    <col min="2351" max="2381" width="9" style="255" customWidth="1"/>
    <col min="2382" max="2541" width="25.25" style="255"/>
    <col min="2542" max="2571" width="9" style="255" customWidth="1"/>
    <col min="2572" max="2572" width="0.5" style="255" customWidth="1"/>
    <col min="2573" max="2573" width="25.25" style="255"/>
    <col min="2574" max="2574" width="0.5" style="255" customWidth="1"/>
    <col min="2575" max="2575" width="25.25" style="255"/>
    <col min="2576" max="2576" width="14.75" style="255" customWidth="1"/>
    <col min="2577" max="2577" width="11.5" style="255" customWidth="1"/>
    <col min="2578" max="2578" width="11.25" style="255" customWidth="1"/>
    <col min="2579" max="2579" width="10.75" style="255" customWidth="1"/>
    <col min="2580" max="2580" width="10" style="255" customWidth="1"/>
    <col min="2581" max="2581" width="9.875" style="255" customWidth="1"/>
    <col min="2582" max="2582" width="26.125" style="255" customWidth="1"/>
    <col min="2583" max="2583" width="11.125" style="255" customWidth="1"/>
    <col min="2584" max="2584" width="7.875" style="255" customWidth="1"/>
    <col min="2585" max="2585" width="7.25" style="255" customWidth="1"/>
    <col min="2586" max="2586" width="9.125" style="255" customWidth="1"/>
    <col min="2587" max="2587" width="15.125" style="255" customWidth="1"/>
    <col min="2588" max="2588" width="7.75" style="255" customWidth="1"/>
    <col min="2589" max="2589" width="7.125" style="255" customWidth="1"/>
    <col min="2590" max="2590" width="12.125" style="255" customWidth="1"/>
    <col min="2591" max="2591" width="8.25" style="255" customWidth="1"/>
    <col min="2592" max="2593" width="10.375" style="255" customWidth="1"/>
    <col min="2594" max="2594" width="15.625" style="255" customWidth="1"/>
    <col min="2595" max="2595" width="15.875" style="255" customWidth="1"/>
    <col min="2596" max="2596" width="8.125" style="255" customWidth="1"/>
    <col min="2597" max="2600" width="10.375" style="255" customWidth="1"/>
    <col min="2601" max="2601" width="7.25" style="255" customWidth="1"/>
    <col min="2602" max="2602" width="7.125" style="255" customWidth="1"/>
    <col min="2603" max="2603" width="9.5" style="255" customWidth="1"/>
    <col min="2604" max="2605" width="9" style="255" customWidth="1"/>
    <col min="2606" max="2606" width="16.125" style="255" customWidth="1"/>
    <col min="2607" max="2637" width="9" style="255" customWidth="1"/>
    <col min="2638" max="2797" width="25.25" style="255"/>
    <col min="2798" max="2827" width="9" style="255" customWidth="1"/>
    <col min="2828" max="2828" width="0.5" style="255" customWidth="1"/>
    <col min="2829" max="2829" width="25.25" style="255"/>
    <col min="2830" max="2830" width="0.5" style="255" customWidth="1"/>
    <col min="2831" max="2831" width="25.25" style="255"/>
    <col min="2832" max="2832" width="14.75" style="255" customWidth="1"/>
    <col min="2833" max="2833" width="11.5" style="255" customWidth="1"/>
    <col min="2834" max="2834" width="11.25" style="255" customWidth="1"/>
    <col min="2835" max="2835" width="10.75" style="255" customWidth="1"/>
    <col min="2836" max="2836" width="10" style="255" customWidth="1"/>
    <col min="2837" max="2837" width="9.875" style="255" customWidth="1"/>
    <col min="2838" max="2838" width="26.125" style="255" customWidth="1"/>
    <col min="2839" max="2839" width="11.125" style="255" customWidth="1"/>
    <col min="2840" max="2840" width="7.875" style="255" customWidth="1"/>
    <col min="2841" max="2841" width="7.25" style="255" customWidth="1"/>
    <col min="2842" max="2842" width="9.125" style="255" customWidth="1"/>
    <col min="2843" max="2843" width="15.125" style="255" customWidth="1"/>
    <col min="2844" max="2844" width="7.75" style="255" customWidth="1"/>
    <col min="2845" max="2845" width="7.125" style="255" customWidth="1"/>
    <col min="2846" max="2846" width="12.125" style="255" customWidth="1"/>
    <col min="2847" max="2847" width="8.25" style="255" customWidth="1"/>
    <col min="2848" max="2849" width="10.375" style="255" customWidth="1"/>
    <col min="2850" max="2850" width="15.625" style="255" customWidth="1"/>
    <col min="2851" max="2851" width="15.875" style="255" customWidth="1"/>
    <col min="2852" max="2852" width="8.125" style="255" customWidth="1"/>
    <col min="2853" max="2856" width="10.375" style="255" customWidth="1"/>
    <col min="2857" max="2857" width="7.25" style="255" customWidth="1"/>
    <col min="2858" max="2858" width="7.125" style="255" customWidth="1"/>
    <col min="2859" max="2859" width="9.5" style="255" customWidth="1"/>
    <col min="2860" max="2861" width="9" style="255" customWidth="1"/>
    <col min="2862" max="2862" width="16.125" style="255" customWidth="1"/>
    <col min="2863" max="2893" width="9" style="255" customWidth="1"/>
    <col min="2894" max="3053" width="25.25" style="255"/>
    <col min="3054" max="3083" width="9" style="255" customWidth="1"/>
    <col min="3084" max="3084" width="0.5" style="255" customWidth="1"/>
    <col min="3085" max="3085" width="25.25" style="255"/>
    <col min="3086" max="3086" width="0.5" style="255" customWidth="1"/>
    <col min="3087" max="3087" width="25.25" style="255"/>
    <col min="3088" max="3088" width="14.75" style="255" customWidth="1"/>
    <col min="3089" max="3089" width="11.5" style="255" customWidth="1"/>
    <col min="3090" max="3090" width="11.25" style="255" customWidth="1"/>
    <col min="3091" max="3091" width="10.75" style="255" customWidth="1"/>
    <col min="3092" max="3092" width="10" style="255" customWidth="1"/>
    <col min="3093" max="3093" width="9.875" style="255" customWidth="1"/>
    <col min="3094" max="3094" width="26.125" style="255" customWidth="1"/>
    <col min="3095" max="3095" width="11.125" style="255" customWidth="1"/>
    <col min="3096" max="3096" width="7.875" style="255" customWidth="1"/>
    <col min="3097" max="3097" width="7.25" style="255" customWidth="1"/>
    <col min="3098" max="3098" width="9.125" style="255" customWidth="1"/>
    <col min="3099" max="3099" width="15.125" style="255" customWidth="1"/>
    <col min="3100" max="3100" width="7.75" style="255" customWidth="1"/>
    <col min="3101" max="3101" width="7.125" style="255" customWidth="1"/>
    <col min="3102" max="3102" width="12.125" style="255" customWidth="1"/>
    <col min="3103" max="3103" width="8.25" style="255" customWidth="1"/>
    <col min="3104" max="3105" width="10.375" style="255" customWidth="1"/>
    <col min="3106" max="3106" width="15.625" style="255" customWidth="1"/>
    <col min="3107" max="3107" width="15.875" style="255" customWidth="1"/>
    <col min="3108" max="3108" width="8.125" style="255" customWidth="1"/>
    <col min="3109" max="3112" width="10.375" style="255" customWidth="1"/>
    <col min="3113" max="3113" width="7.25" style="255" customWidth="1"/>
    <col min="3114" max="3114" width="7.125" style="255" customWidth="1"/>
    <col min="3115" max="3115" width="9.5" style="255" customWidth="1"/>
    <col min="3116" max="3117" width="9" style="255" customWidth="1"/>
    <col min="3118" max="3118" width="16.125" style="255" customWidth="1"/>
    <col min="3119" max="3149" width="9" style="255" customWidth="1"/>
    <col min="3150" max="3309" width="25.25" style="255"/>
    <col min="3310" max="3339" width="9" style="255" customWidth="1"/>
    <col min="3340" max="3340" width="0.5" style="255" customWidth="1"/>
    <col min="3341" max="3341" width="25.25" style="255"/>
    <col min="3342" max="3342" width="0.5" style="255" customWidth="1"/>
    <col min="3343" max="3343" width="25.25" style="255"/>
    <col min="3344" max="3344" width="14.75" style="255" customWidth="1"/>
    <col min="3345" max="3345" width="11.5" style="255" customWidth="1"/>
    <col min="3346" max="3346" width="11.25" style="255" customWidth="1"/>
    <col min="3347" max="3347" width="10.75" style="255" customWidth="1"/>
    <col min="3348" max="3348" width="10" style="255" customWidth="1"/>
    <col min="3349" max="3349" width="9.875" style="255" customWidth="1"/>
    <col min="3350" max="3350" width="26.125" style="255" customWidth="1"/>
    <col min="3351" max="3351" width="11.125" style="255" customWidth="1"/>
    <col min="3352" max="3352" width="7.875" style="255" customWidth="1"/>
    <col min="3353" max="3353" width="7.25" style="255" customWidth="1"/>
    <col min="3354" max="3354" width="9.125" style="255" customWidth="1"/>
    <col min="3355" max="3355" width="15.125" style="255" customWidth="1"/>
    <col min="3356" max="3356" width="7.75" style="255" customWidth="1"/>
    <col min="3357" max="3357" width="7.125" style="255" customWidth="1"/>
    <col min="3358" max="3358" width="12.125" style="255" customWidth="1"/>
    <col min="3359" max="3359" width="8.25" style="255" customWidth="1"/>
    <col min="3360" max="3361" width="10.375" style="255" customWidth="1"/>
    <col min="3362" max="3362" width="15.625" style="255" customWidth="1"/>
    <col min="3363" max="3363" width="15.875" style="255" customWidth="1"/>
    <col min="3364" max="3364" width="8.125" style="255" customWidth="1"/>
    <col min="3365" max="3368" width="10.375" style="255" customWidth="1"/>
    <col min="3369" max="3369" width="7.25" style="255" customWidth="1"/>
    <col min="3370" max="3370" width="7.125" style="255" customWidth="1"/>
    <col min="3371" max="3371" width="9.5" style="255" customWidth="1"/>
    <col min="3372" max="3373" width="9" style="255" customWidth="1"/>
    <col min="3374" max="3374" width="16.125" style="255" customWidth="1"/>
    <col min="3375" max="3405" width="9" style="255" customWidth="1"/>
    <col min="3406" max="3565" width="25.25" style="255"/>
    <col min="3566" max="3595" width="9" style="255" customWidth="1"/>
    <col min="3596" max="3596" width="0.5" style="255" customWidth="1"/>
    <col min="3597" max="3597" width="25.25" style="255"/>
    <col min="3598" max="3598" width="0.5" style="255" customWidth="1"/>
    <col min="3599" max="3599" width="25.25" style="255"/>
    <col min="3600" max="3600" width="14.75" style="255" customWidth="1"/>
    <col min="3601" max="3601" width="11.5" style="255" customWidth="1"/>
    <col min="3602" max="3602" width="11.25" style="255" customWidth="1"/>
    <col min="3603" max="3603" width="10.75" style="255" customWidth="1"/>
    <col min="3604" max="3604" width="10" style="255" customWidth="1"/>
    <col min="3605" max="3605" width="9.875" style="255" customWidth="1"/>
    <col min="3606" max="3606" width="26.125" style="255" customWidth="1"/>
    <col min="3607" max="3607" width="11.125" style="255" customWidth="1"/>
    <col min="3608" max="3608" width="7.875" style="255" customWidth="1"/>
    <col min="3609" max="3609" width="7.25" style="255" customWidth="1"/>
    <col min="3610" max="3610" width="9.125" style="255" customWidth="1"/>
    <col min="3611" max="3611" width="15.125" style="255" customWidth="1"/>
    <col min="3612" max="3612" width="7.75" style="255" customWidth="1"/>
    <col min="3613" max="3613" width="7.125" style="255" customWidth="1"/>
    <col min="3614" max="3614" width="12.125" style="255" customWidth="1"/>
    <col min="3615" max="3615" width="8.25" style="255" customWidth="1"/>
    <col min="3616" max="3617" width="10.375" style="255" customWidth="1"/>
    <col min="3618" max="3618" width="15.625" style="255" customWidth="1"/>
    <col min="3619" max="3619" width="15.875" style="255" customWidth="1"/>
    <col min="3620" max="3620" width="8.125" style="255" customWidth="1"/>
    <col min="3621" max="3624" width="10.375" style="255" customWidth="1"/>
    <col min="3625" max="3625" width="7.25" style="255" customWidth="1"/>
    <col min="3626" max="3626" width="7.125" style="255" customWidth="1"/>
    <col min="3627" max="3627" width="9.5" style="255" customWidth="1"/>
    <col min="3628" max="3629" width="9" style="255" customWidth="1"/>
    <col min="3630" max="3630" width="16.125" style="255" customWidth="1"/>
    <col min="3631" max="3661" width="9" style="255" customWidth="1"/>
    <col min="3662" max="3821" width="25.25" style="255"/>
    <col min="3822" max="3851" width="9" style="255" customWidth="1"/>
    <col min="3852" max="3852" width="0.5" style="255" customWidth="1"/>
    <col min="3853" max="3853" width="25.25" style="255"/>
    <col min="3854" max="3854" width="0.5" style="255" customWidth="1"/>
    <col min="3855" max="3855" width="25.25" style="255"/>
    <col min="3856" max="3856" width="14.75" style="255" customWidth="1"/>
    <col min="3857" max="3857" width="11.5" style="255" customWidth="1"/>
    <col min="3858" max="3858" width="11.25" style="255" customWidth="1"/>
    <col min="3859" max="3859" width="10.75" style="255" customWidth="1"/>
    <col min="3860" max="3860" width="10" style="255" customWidth="1"/>
    <col min="3861" max="3861" width="9.875" style="255" customWidth="1"/>
    <col min="3862" max="3862" width="26.125" style="255" customWidth="1"/>
    <col min="3863" max="3863" width="11.125" style="255" customWidth="1"/>
    <col min="3864" max="3864" width="7.875" style="255" customWidth="1"/>
    <col min="3865" max="3865" width="7.25" style="255" customWidth="1"/>
    <col min="3866" max="3866" width="9.125" style="255" customWidth="1"/>
    <col min="3867" max="3867" width="15.125" style="255" customWidth="1"/>
    <col min="3868" max="3868" width="7.75" style="255" customWidth="1"/>
    <col min="3869" max="3869" width="7.125" style="255" customWidth="1"/>
    <col min="3870" max="3870" width="12.125" style="255" customWidth="1"/>
    <col min="3871" max="3871" width="8.25" style="255" customWidth="1"/>
    <col min="3872" max="3873" width="10.375" style="255" customWidth="1"/>
    <col min="3874" max="3874" width="15.625" style="255" customWidth="1"/>
    <col min="3875" max="3875" width="15.875" style="255" customWidth="1"/>
    <col min="3876" max="3876" width="8.125" style="255" customWidth="1"/>
    <col min="3877" max="3880" width="10.375" style="255" customWidth="1"/>
    <col min="3881" max="3881" width="7.25" style="255" customWidth="1"/>
    <col min="3882" max="3882" width="7.125" style="255" customWidth="1"/>
    <col min="3883" max="3883" width="9.5" style="255" customWidth="1"/>
    <col min="3884" max="3885" width="9" style="255" customWidth="1"/>
    <col min="3886" max="3886" width="16.125" style="255" customWidth="1"/>
    <col min="3887" max="3917" width="9" style="255" customWidth="1"/>
    <col min="3918" max="4077" width="25.25" style="255"/>
    <col min="4078" max="4107" width="9" style="255" customWidth="1"/>
    <col min="4108" max="4108" width="0.5" style="255" customWidth="1"/>
    <col min="4109" max="4109" width="25.25" style="255"/>
    <col min="4110" max="4110" width="0.5" style="255" customWidth="1"/>
    <col min="4111" max="4111" width="25.25" style="255"/>
    <col min="4112" max="4112" width="14.75" style="255" customWidth="1"/>
    <col min="4113" max="4113" width="11.5" style="255" customWidth="1"/>
    <col min="4114" max="4114" width="11.25" style="255" customWidth="1"/>
    <col min="4115" max="4115" width="10.75" style="255" customWidth="1"/>
    <col min="4116" max="4116" width="10" style="255" customWidth="1"/>
    <col min="4117" max="4117" width="9.875" style="255" customWidth="1"/>
    <col min="4118" max="4118" width="26.125" style="255" customWidth="1"/>
    <col min="4119" max="4119" width="11.125" style="255" customWidth="1"/>
    <col min="4120" max="4120" width="7.875" style="255" customWidth="1"/>
    <col min="4121" max="4121" width="7.25" style="255" customWidth="1"/>
    <col min="4122" max="4122" width="9.125" style="255" customWidth="1"/>
    <col min="4123" max="4123" width="15.125" style="255" customWidth="1"/>
    <col min="4124" max="4124" width="7.75" style="255" customWidth="1"/>
    <col min="4125" max="4125" width="7.125" style="255" customWidth="1"/>
    <col min="4126" max="4126" width="12.125" style="255" customWidth="1"/>
    <col min="4127" max="4127" width="8.25" style="255" customWidth="1"/>
    <col min="4128" max="4129" width="10.375" style="255" customWidth="1"/>
    <col min="4130" max="4130" width="15.625" style="255" customWidth="1"/>
    <col min="4131" max="4131" width="15.875" style="255" customWidth="1"/>
    <col min="4132" max="4132" width="8.125" style="255" customWidth="1"/>
    <col min="4133" max="4136" width="10.375" style="255" customWidth="1"/>
    <col min="4137" max="4137" width="7.25" style="255" customWidth="1"/>
    <col min="4138" max="4138" width="7.125" style="255" customWidth="1"/>
    <col min="4139" max="4139" width="9.5" style="255" customWidth="1"/>
    <col min="4140" max="4141" width="9" style="255" customWidth="1"/>
    <col min="4142" max="4142" width="16.125" style="255" customWidth="1"/>
    <col min="4143" max="4173" width="9" style="255" customWidth="1"/>
    <col min="4174" max="4333" width="25.25" style="255"/>
    <col min="4334" max="4363" width="9" style="255" customWidth="1"/>
    <col min="4364" max="4364" width="0.5" style="255" customWidth="1"/>
    <col min="4365" max="4365" width="25.25" style="255"/>
    <col min="4366" max="4366" width="0.5" style="255" customWidth="1"/>
    <col min="4367" max="4367" width="25.25" style="255"/>
    <col min="4368" max="4368" width="14.75" style="255" customWidth="1"/>
    <col min="4369" max="4369" width="11.5" style="255" customWidth="1"/>
    <col min="4370" max="4370" width="11.25" style="255" customWidth="1"/>
    <col min="4371" max="4371" width="10.75" style="255" customWidth="1"/>
    <col min="4372" max="4372" width="10" style="255" customWidth="1"/>
    <col min="4373" max="4373" width="9.875" style="255" customWidth="1"/>
    <col min="4374" max="4374" width="26.125" style="255" customWidth="1"/>
    <col min="4375" max="4375" width="11.125" style="255" customWidth="1"/>
    <col min="4376" max="4376" width="7.875" style="255" customWidth="1"/>
    <col min="4377" max="4377" width="7.25" style="255" customWidth="1"/>
    <col min="4378" max="4378" width="9.125" style="255" customWidth="1"/>
    <col min="4379" max="4379" width="15.125" style="255" customWidth="1"/>
    <col min="4380" max="4380" width="7.75" style="255" customWidth="1"/>
    <col min="4381" max="4381" width="7.125" style="255" customWidth="1"/>
    <col min="4382" max="4382" width="12.125" style="255" customWidth="1"/>
    <col min="4383" max="4383" width="8.25" style="255" customWidth="1"/>
    <col min="4384" max="4385" width="10.375" style="255" customWidth="1"/>
    <col min="4386" max="4386" width="15.625" style="255" customWidth="1"/>
    <col min="4387" max="4387" width="15.875" style="255" customWidth="1"/>
    <col min="4388" max="4388" width="8.125" style="255" customWidth="1"/>
    <col min="4389" max="4392" width="10.375" style="255" customWidth="1"/>
    <col min="4393" max="4393" width="7.25" style="255" customWidth="1"/>
    <col min="4394" max="4394" width="7.125" style="255" customWidth="1"/>
    <col min="4395" max="4395" width="9.5" style="255" customWidth="1"/>
    <col min="4396" max="4397" width="9" style="255" customWidth="1"/>
    <col min="4398" max="4398" width="16.125" style="255" customWidth="1"/>
    <col min="4399" max="4429" width="9" style="255" customWidth="1"/>
    <col min="4430" max="4589" width="25.25" style="255"/>
    <col min="4590" max="4619" width="9" style="255" customWidth="1"/>
    <col min="4620" max="4620" width="0.5" style="255" customWidth="1"/>
    <col min="4621" max="4621" width="25.25" style="255"/>
    <col min="4622" max="4622" width="0.5" style="255" customWidth="1"/>
    <col min="4623" max="4623" width="25.25" style="255"/>
    <col min="4624" max="4624" width="14.75" style="255" customWidth="1"/>
    <col min="4625" max="4625" width="11.5" style="255" customWidth="1"/>
    <col min="4626" max="4626" width="11.25" style="255" customWidth="1"/>
    <col min="4627" max="4627" width="10.75" style="255" customWidth="1"/>
    <col min="4628" max="4628" width="10" style="255" customWidth="1"/>
    <col min="4629" max="4629" width="9.875" style="255" customWidth="1"/>
    <col min="4630" max="4630" width="26.125" style="255" customWidth="1"/>
    <col min="4631" max="4631" width="11.125" style="255" customWidth="1"/>
    <col min="4632" max="4632" width="7.875" style="255" customWidth="1"/>
    <col min="4633" max="4633" width="7.25" style="255" customWidth="1"/>
    <col min="4634" max="4634" width="9.125" style="255" customWidth="1"/>
    <col min="4635" max="4635" width="15.125" style="255" customWidth="1"/>
    <col min="4636" max="4636" width="7.75" style="255" customWidth="1"/>
    <col min="4637" max="4637" width="7.125" style="255" customWidth="1"/>
    <col min="4638" max="4638" width="12.125" style="255" customWidth="1"/>
    <col min="4639" max="4639" width="8.25" style="255" customWidth="1"/>
    <col min="4640" max="4641" width="10.375" style="255" customWidth="1"/>
    <col min="4642" max="4642" width="15.625" style="255" customWidth="1"/>
    <col min="4643" max="4643" width="15.875" style="255" customWidth="1"/>
    <col min="4644" max="4644" width="8.125" style="255" customWidth="1"/>
    <col min="4645" max="4648" width="10.375" style="255" customWidth="1"/>
    <col min="4649" max="4649" width="7.25" style="255" customWidth="1"/>
    <col min="4650" max="4650" width="7.125" style="255" customWidth="1"/>
    <col min="4651" max="4651" width="9.5" style="255" customWidth="1"/>
    <col min="4652" max="4653" width="9" style="255" customWidth="1"/>
    <col min="4654" max="4654" width="16.125" style="255" customWidth="1"/>
    <col min="4655" max="4685" width="9" style="255" customWidth="1"/>
    <col min="4686" max="4845" width="25.25" style="255"/>
    <col min="4846" max="4875" width="9" style="255" customWidth="1"/>
    <col min="4876" max="4876" width="0.5" style="255" customWidth="1"/>
    <col min="4877" max="4877" width="25.25" style="255"/>
    <col min="4878" max="4878" width="0.5" style="255" customWidth="1"/>
    <col min="4879" max="4879" width="25.25" style="255"/>
    <col min="4880" max="4880" width="14.75" style="255" customWidth="1"/>
    <col min="4881" max="4881" width="11.5" style="255" customWidth="1"/>
    <col min="4882" max="4882" width="11.25" style="255" customWidth="1"/>
    <col min="4883" max="4883" width="10.75" style="255" customWidth="1"/>
    <col min="4884" max="4884" width="10" style="255" customWidth="1"/>
    <col min="4885" max="4885" width="9.875" style="255" customWidth="1"/>
    <col min="4886" max="4886" width="26.125" style="255" customWidth="1"/>
    <col min="4887" max="4887" width="11.125" style="255" customWidth="1"/>
    <col min="4888" max="4888" width="7.875" style="255" customWidth="1"/>
    <col min="4889" max="4889" width="7.25" style="255" customWidth="1"/>
    <col min="4890" max="4890" width="9.125" style="255" customWidth="1"/>
    <col min="4891" max="4891" width="15.125" style="255" customWidth="1"/>
    <col min="4892" max="4892" width="7.75" style="255" customWidth="1"/>
    <col min="4893" max="4893" width="7.125" style="255" customWidth="1"/>
    <col min="4894" max="4894" width="12.125" style="255" customWidth="1"/>
    <col min="4895" max="4895" width="8.25" style="255" customWidth="1"/>
    <col min="4896" max="4897" width="10.375" style="255" customWidth="1"/>
    <col min="4898" max="4898" width="15.625" style="255" customWidth="1"/>
    <col min="4899" max="4899" width="15.875" style="255" customWidth="1"/>
    <col min="4900" max="4900" width="8.125" style="255" customWidth="1"/>
    <col min="4901" max="4904" width="10.375" style="255" customWidth="1"/>
    <col min="4905" max="4905" width="7.25" style="255" customWidth="1"/>
    <col min="4906" max="4906" width="7.125" style="255" customWidth="1"/>
    <col min="4907" max="4907" width="9.5" style="255" customWidth="1"/>
    <col min="4908" max="4909" width="9" style="255" customWidth="1"/>
    <col min="4910" max="4910" width="16.125" style="255" customWidth="1"/>
    <col min="4911" max="4941" width="9" style="255" customWidth="1"/>
    <col min="4942" max="5101" width="25.25" style="255"/>
    <col min="5102" max="5131" width="9" style="255" customWidth="1"/>
    <col min="5132" max="5132" width="0.5" style="255" customWidth="1"/>
    <col min="5133" max="5133" width="25.25" style="255"/>
    <col min="5134" max="5134" width="0.5" style="255" customWidth="1"/>
    <col min="5135" max="5135" width="25.25" style="255"/>
    <col min="5136" max="5136" width="14.75" style="255" customWidth="1"/>
    <col min="5137" max="5137" width="11.5" style="255" customWidth="1"/>
    <col min="5138" max="5138" width="11.25" style="255" customWidth="1"/>
    <col min="5139" max="5139" width="10.75" style="255" customWidth="1"/>
    <col min="5140" max="5140" width="10" style="255" customWidth="1"/>
    <col min="5141" max="5141" width="9.875" style="255" customWidth="1"/>
    <col min="5142" max="5142" width="26.125" style="255" customWidth="1"/>
    <col min="5143" max="5143" width="11.125" style="255" customWidth="1"/>
    <col min="5144" max="5144" width="7.875" style="255" customWidth="1"/>
    <col min="5145" max="5145" width="7.25" style="255" customWidth="1"/>
    <col min="5146" max="5146" width="9.125" style="255" customWidth="1"/>
    <col min="5147" max="5147" width="15.125" style="255" customWidth="1"/>
    <col min="5148" max="5148" width="7.75" style="255" customWidth="1"/>
    <col min="5149" max="5149" width="7.125" style="255" customWidth="1"/>
    <col min="5150" max="5150" width="12.125" style="255" customWidth="1"/>
    <col min="5151" max="5151" width="8.25" style="255" customWidth="1"/>
    <col min="5152" max="5153" width="10.375" style="255" customWidth="1"/>
    <col min="5154" max="5154" width="15.625" style="255" customWidth="1"/>
    <col min="5155" max="5155" width="15.875" style="255" customWidth="1"/>
    <col min="5156" max="5156" width="8.125" style="255" customWidth="1"/>
    <col min="5157" max="5160" width="10.375" style="255" customWidth="1"/>
    <col min="5161" max="5161" width="7.25" style="255" customWidth="1"/>
    <col min="5162" max="5162" width="7.125" style="255" customWidth="1"/>
    <col min="5163" max="5163" width="9.5" style="255" customWidth="1"/>
    <col min="5164" max="5165" width="9" style="255" customWidth="1"/>
    <col min="5166" max="5166" width="16.125" style="255" customWidth="1"/>
    <col min="5167" max="5197" width="9" style="255" customWidth="1"/>
    <col min="5198" max="5357" width="25.25" style="255"/>
    <col min="5358" max="5387" width="9" style="255" customWidth="1"/>
    <col min="5388" max="5388" width="0.5" style="255" customWidth="1"/>
    <col min="5389" max="5389" width="25.25" style="255"/>
    <col min="5390" max="5390" width="0.5" style="255" customWidth="1"/>
    <col min="5391" max="5391" width="25.25" style="255"/>
    <col min="5392" max="5392" width="14.75" style="255" customWidth="1"/>
    <col min="5393" max="5393" width="11.5" style="255" customWidth="1"/>
    <col min="5394" max="5394" width="11.25" style="255" customWidth="1"/>
    <col min="5395" max="5395" width="10.75" style="255" customWidth="1"/>
    <col min="5396" max="5396" width="10" style="255" customWidth="1"/>
    <col min="5397" max="5397" width="9.875" style="255" customWidth="1"/>
    <col min="5398" max="5398" width="26.125" style="255" customWidth="1"/>
    <col min="5399" max="5399" width="11.125" style="255" customWidth="1"/>
    <col min="5400" max="5400" width="7.875" style="255" customWidth="1"/>
    <col min="5401" max="5401" width="7.25" style="255" customWidth="1"/>
    <col min="5402" max="5402" width="9.125" style="255" customWidth="1"/>
    <col min="5403" max="5403" width="15.125" style="255" customWidth="1"/>
    <col min="5404" max="5404" width="7.75" style="255" customWidth="1"/>
    <col min="5405" max="5405" width="7.125" style="255" customWidth="1"/>
    <col min="5406" max="5406" width="12.125" style="255" customWidth="1"/>
    <col min="5407" max="5407" width="8.25" style="255" customWidth="1"/>
    <col min="5408" max="5409" width="10.375" style="255" customWidth="1"/>
    <col min="5410" max="5410" width="15.625" style="255" customWidth="1"/>
    <col min="5411" max="5411" width="15.875" style="255" customWidth="1"/>
    <col min="5412" max="5412" width="8.125" style="255" customWidth="1"/>
    <col min="5413" max="5416" width="10.375" style="255" customWidth="1"/>
    <col min="5417" max="5417" width="7.25" style="255" customWidth="1"/>
    <col min="5418" max="5418" width="7.125" style="255" customWidth="1"/>
    <col min="5419" max="5419" width="9.5" style="255" customWidth="1"/>
    <col min="5420" max="5421" width="9" style="255" customWidth="1"/>
    <col min="5422" max="5422" width="16.125" style="255" customWidth="1"/>
    <col min="5423" max="5453" width="9" style="255" customWidth="1"/>
    <col min="5454" max="5613" width="25.25" style="255"/>
    <col min="5614" max="5643" width="9" style="255" customWidth="1"/>
    <col min="5644" max="5644" width="0.5" style="255" customWidth="1"/>
    <col min="5645" max="5645" width="25.25" style="255"/>
    <col min="5646" max="5646" width="0.5" style="255" customWidth="1"/>
    <col min="5647" max="5647" width="25.25" style="255"/>
    <col min="5648" max="5648" width="14.75" style="255" customWidth="1"/>
    <col min="5649" max="5649" width="11.5" style="255" customWidth="1"/>
    <col min="5650" max="5650" width="11.25" style="255" customWidth="1"/>
    <col min="5651" max="5651" width="10.75" style="255" customWidth="1"/>
    <col min="5652" max="5652" width="10" style="255" customWidth="1"/>
    <col min="5653" max="5653" width="9.875" style="255" customWidth="1"/>
    <col min="5654" max="5654" width="26.125" style="255" customWidth="1"/>
    <col min="5655" max="5655" width="11.125" style="255" customWidth="1"/>
    <col min="5656" max="5656" width="7.875" style="255" customWidth="1"/>
    <col min="5657" max="5657" width="7.25" style="255" customWidth="1"/>
    <col min="5658" max="5658" width="9.125" style="255" customWidth="1"/>
    <col min="5659" max="5659" width="15.125" style="255" customWidth="1"/>
    <col min="5660" max="5660" width="7.75" style="255" customWidth="1"/>
    <col min="5661" max="5661" width="7.125" style="255" customWidth="1"/>
    <col min="5662" max="5662" width="12.125" style="255" customWidth="1"/>
    <col min="5663" max="5663" width="8.25" style="255" customWidth="1"/>
    <col min="5664" max="5665" width="10.375" style="255" customWidth="1"/>
    <col min="5666" max="5666" width="15.625" style="255" customWidth="1"/>
    <col min="5667" max="5667" width="15.875" style="255" customWidth="1"/>
    <col min="5668" max="5668" width="8.125" style="255" customWidth="1"/>
    <col min="5669" max="5672" width="10.375" style="255" customWidth="1"/>
    <col min="5673" max="5673" width="7.25" style="255" customWidth="1"/>
    <col min="5674" max="5674" width="7.125" style="255" customWidth="1"/>
    <col min="5675" max="5675" width="9.5" style="255" customWidth="1"/>
    <col min="5676" max="5677" width="9" style="255" customWidth="1"/>
    <col min="5678" max="5678" width="16.125" style="255" customWidth="1"/>
    <col min="5679" max="5709" width="9" style="255" customWidth="1"/>
    <col min="5710" max="5869" width="25.25" style="255"/>
    <col min="5870" max="5899" width="9" style="255" customWidth="1"/>
    <col min="5900" max="5900" width="0.5" style="255" customWidth="1"/>
    <col min="5901" max="5901" width="25.25" style="255"/>
    <col min="5902" max="5902" width="0.5" style="255" customWidth="1"/>
    <col min="5903" max="5903" width="25.25" style="255"/>
    <col min="5904" max="5904" width="14.75" style="255" customWidth="1"/>
    <col min="5905" max="5905" width="11.5" style="255" customWidth="1"/>
    <col min="5906" max="5906" width="11.25" style="255" customWidth="1"/>
    <col min="5907" max="5907" width="10.75" style="255" customWidth="1"/>
    <col min="5908" max="5908" width="10" style="255" customWidth="1"/>
    <col min="5909" max="5909" width="9.875" style="255" customWidth="1"/>
    <col min="5910" max="5910" width="26.125" style="255" customWidth="1"/>
    <col min="5911" max="5911" width="11.125" style="255" customWidth="1"/>
    <col min="5912" max="5912" width="7.875" style="255" customWidth="1"/>
    <col min="5913" max="5913" width="7.25" style="255" customWidth="1"/>
    <col min="5914" max="5914" width="9.125" style="255" customWidth="1"/>
    <col min="5915" max="5915" width="15.125" style="255" customWidth="1"/>
    <col min="5916" max="5916" width="7.75" style="255" customWidth="1"/>
    <col min="5917" max="5917" width="7.125" style="255" customWidth="1"/>
    <col min="5918" max="5918" width="12.125" style="255" customWidth="1"/>
    <col min="5919" max="5919" width="8.25" style="255" customWidth="1"/>
    <col min="5920" max="5921" width="10.375" style="255" customWidth="1"/>
    <col min="5922" max="5922" width="15.625" style="255" customWidth="1"/>
    <col min="5923" max="5923" width="15.875" style="255" customWidth="1"/>
    <col min="5924" max="5924" width="8.125" style="255" customWidth="1"/>
    <col min="5925" max="5928" width="10.375" style="255" customWidth="1"/>
    <col min="5929" max="5929" width="7.25" style="255" customWidth="1"/>
    <col min="5930" max="5930" width="7.125" style="255" customWidth="1"/>
    <col min="5931" max="5931" width="9.5" style="255" customWidth="1"/>
    <col min="5932" max="5933" width="9" style="255" customWidth="1"/>
    <col min="5934" max="5934" width="16.125" style="255" customWidth="1"/>
    <col min="5935" max="5965" width="9" style="255" customWidth="1"/>
    <col min="5966" max="6125" width="25.25" style="255"/>
    <col min="6126" max="6155" width="9" style="255" customWidth="1"/>
    <col min="6156" max="6156" width="0.5" style="255" customWidth="1"/>
    <col min="6157" max="6157" width="25.25" style="255"/>
    <col min="6158" max="6158" width="0.5" style="255" customWidth="1"/>
    <col min="6159" max="6159" width="25.25" style="255"/>
    <col min="6160" max="6160" width="14.75" style="255" customWidth="1"/>
    <col min="6161" max="6161" width="11.5" style="255" customWidth="1"/>
    <col min="6162" max="6162" width="11.25" style="255" customWidth="1"/>
    <col min="6163" max="6163" width="10.75" style="255" customWidth="1"/>
    <col min="6164" max="6164" width="10" style="255" customWidth="1"/>
    <col min="6165" max="6165" width="9.875" style="255" customWidth="1"/>
    <col min="6166" max="6166" width="26.125" style="255" customWidth="1"/>
    <col min="6167" max="6167" width="11.125" style="255" customWidth="1"/>
    <col min="6168" max="6168" width="7.875" style="255" customWidth="1"/>
    <col min="6169" max="6169" width="7.25" style="255" customWidth="1"/>
    <col min="6170" max="6170" width="9.125" style="255" customWidth="1"/>
    <col min="6171" max="6171" width="15.125" style="255" customWidth="1"/>
    <col min="6172" max="6172" width="7.75" style="255" customWidth="1"/>
    <col min="6173" max="6173" width="7.125" style="255" customWidth="1"/>
    <col min="6174" max="6174" width="12.125" style="255" customWidth="1"/>
    <col min="6175" max="6175" width="8.25" style="255" customWidth="1"/>
    <col min="6176" max="6177" width="10.375" style="255" customWidth="1"/>
    <col min="6178" max="6178" width="15.625" style="255" customWidth="1"/>
    <col min="6179" max="6179" width="15.875" style="255" customWidth="1"/>
    <col min="6180" max="6180" width="8.125" style="255" customWidth="1"/>
    <col min="6181" max="6184" width="10.375" style="255" customWidth="1"/>
    <col min="6185" max="6185" width="7.25" style="255" customWidth="1"/>
    <col min="6186" max="6186" width="7.125" style="255" customWidth="1"/>
    <col min="6187" max="6187" width="9.5" style="255" customWidth="1"/>
    <col min="6188" max="6189" width="9" style="255" customWidth="1"/>
    <col min="6190" max="6190" width="16.125" style="255" customWidth="1"/>
    <col min="6191" max="6221" width="9" style="255" customWidth="1"/>
    <col min="6222" max="6381" width="25.25" style="255"/>
    <col min="6382" max="6411" width="9" style="255" customWidth="1"/>
    <col min="6412" max="6412" width="0.5" style="255" customWidth="1"/>
    <col min="6413" max="6413" width="25.25" style="255"/>
    <col min="6414" max="6414" width="0.5" style="255" customWidth="1"/>
    <col min="6415" max="6415" width="25.25" style="255"/>
    <col min="6416" max="6416" width="14.75" style="255" customWidth="1"/>
    <col min="6417" max="6417" width="11.5" style="255" customWidth="1"/>
    <col min="6418" max="6418" width="11.25" style="255" customWidth="1"/>
    <col min="6419" max="6419" width="10.75" style="255" customWidth="1"/>
    <col min="6420" max="6420" width="10" style="255" customWidth="1"/>
    <col min="6421" max="6421" width="9.875" style="255" customWidth="1"/>
    <col min="6422" max="6422" width="26.125" style="255" customWidth="1"/>
    <col min="6423" max="6423" width="11.125" style="255" customWidth="1"/>
    <col min="6424" max="6424" width="7.875" style="255" customWidth="1"/>
    <col min="6425" max="6425" width="7.25" style="255" customWidth="1"/>
    <col min="6426" max="6426" width="9.125" style="255" customWidth="1"/>
    <col min="6427" max="6427" width="15.125" style="255" customWidth="1"/>
    <col min="6428" max="6428" width="7.75" style="255" customWidth="1"/>
    <col min="6429" max="6429" width="7.125" style="255" customWidth="1"/>
    <col min="6430" max="6430" width="12.125" style="255" customWidth="1"/>
    <col min="6431" max="6431" width="8.25" style="255" customWidth="1"/>
    <col min="6432" max="6433" width="10.375" style="255" customWidth="1"/>
    <col min="6434" max="6434" width="15.625" style="255" customWidth="1"/>
    <col min="6435" max="6435" width="15.875" style="255" customWidth="1"/>
    <col min="6436" max="6436" width="8.125" style="255" customWidth="1"/>
    <col min="6437" max="6440" width="10.375" style="255" customWidth="1"/>
    <col min="6441" max="6441" width="7.25" style="255" customWidth="1"/>
    <col min="6442" max="6442" width="7.125" style="255" customWidth="1"/>
    <col min="6443" max="6443" width="9.5" style="255" customWidth="1"/>
    <col min="6444" max="6445" width="9" style="255" customWidth="1"/>
    <col min="6446" max="6446" width="16.125" style="255" customWidth="1"/>
    <col min="6447" max="6477" width="9" style="255" customWidth="1"/>
    <col min="6478" max="6637" width="25.25" style="255"/>
    <col min="6638" max="6667" width="9" style="255" customWidth="1"/>
    <col min="6668" max="6668" width="0.5" style="255" customWidth="1"/>
    <col min="6669" max="6669" width="25.25" style="255"/>
    <col min="6670" max="6670" width="0.5" style="255" customWidth="1"/>
    <col min="6671" max="6671" width="25.25" style="255"/>
    <col min="6672" max="6672" width="14.75" style="255" customWidth="1"/>
    <col min="6673" max="6673" width="11.5" style="255" customWidth="1"/>
    <col min="6674" max="6674" width="11.25" style="255" customWidth="1"/>
    <col min="6675" max="6675" width="10.75" style="255" customWidth="1"/>
    <col min="6676" max="6676" width="10" style="255" customWidth="1"/>
    <col min="6677" max="6677" width="9.875" style="255" customWidth="1"/>
    <col min="6678" max="6678" width="26.125" style="255" customWidth="1"/>
    <col min="6679" max="6679" width="11.125" style="255" customWidth="1"/>
    <col min="6680" max="6680" width="7.875" style="255" customWidth="1"/>
    <col min="6681" max="6681" width="7.25" style="255" customWidth="1"/>
    <col min="6682" max="6682" width="9.125" style="255" customWidth="1"/>
    <col min="6683" max="6683" width="15.125" style="255" customWidth="1"/>
    <col min="6684" max="6684" width="7.75" style="255" customWidth="1"/>
    <col min="6685" max="6685" width="7.125" style="255" customWidth="1"/>
    <col min="6686" max="6686" width="12.125" style="255" customWidth="1"/>
    <col min="6687" max="6687" width="8.25" style="255" customWidth="1"/>
    <col min="6688" max="6689" width="10.375" style="255" customWidth="1"/>
    <col min="6690" max="6690" width="15.625" style="255" customWidth="1"/>
    <col min="6691" max="6691" width="15.875" style="255" customWidth="1"/>
    <col min="6692" max="6692" width="8.125" style="255" customWidth="1"/>
    <col min="6693" max="6696" width="10.375" style="255" customWidth="1"/>
    <col min="6697" max="6697" width="7.25" style="255" customWidth="1"/>
    <col min="6698" max="6698" width="7.125" style="255" customWidth="1"/>
    <col min="6699" max="6699" width="9.5" style="255" customWidth="1"/>
    <col min="6700" max="6701" width="9" style="255" customWidth="1"/>
    <col min="6702" max="6702" width="16.125" style="255" customWidth="1"/>
    <col min="6703" max="6733" width="9" style="255" customWidth="1"/>
    <col min="6734" max="6893" width="25.25" style="255"/>
    <col min="6894" max="6923" width="9" style="255" customWidth="1"/>
    <col min="6924" max="6924" width="0.5" style="255" customWidth="1"/>
    <col min="6925" max="6925" width="25.25" style="255"/>
    <col min="6926" max="6926" width="0.5" style="255" customWidth="1"/>
    <col min="6927" max="6927" width="25.25" style="255"/>
    <col min="6928" max="6928" width="14.75" style="255" customWidth="1"/>
    <col min="6929" max="6929" width="11.5" style="255" customWidth="1"/>
    <col min="6930" max="6930" width="11.25" style="255" customWidth="1"/>
    <col min="6931" max="6931" width="10.75" style="255" customWidth="1"/>
    <col min="6932" max="6932" width="10" style="255" customWidth="1"/>
    <col min="6933" max="6933" width="9.875" style="255" customWidth="1"/>
    <col min="6934" max="6934" width="26.125" style="255" customWidth="1"/>
    <col min="6935" max="6935" width="11.125" style="255" customWidth="1"/>
    <col min="6936" max="6936" width="7.875" style="255" customWidth="1"/>
    <col min="6937" max="6937" width="7.25" style="255" customWidth="1"/>
    <col min="6938" max="6938" width="9.125" style="255" customWidth="1"/>
    <col min="6939" max="6939" width="15.125" style="255" customWidth="1"/>
    <col min="6940" max="6940" width="7.75" style="255" customWidth="1"/>
    <col min="6941" max="6941" width="7.125" style="255" customWidth="1"/>
    <col min="6942" max="6942" width="12.125" style="255" customWidth="1"/>
    <col min="6943" max="6943" width="8.25" style="255" customWidth="1"/>
    <col min="6944" max="6945" width="10.375" style="255" customWidth="1"/>
    <col min="6946" max="6946" width="15.625" style="255" customWidth="1"/>
    <col min="6947" max="6947" width="15.875" style="255" customWidth="1"/>
    <col min="6948" max="6948" width="8.125" style="255" customWidth="1"/>
    <col min="6949" max="6952" width="10.375" style="255" customWidth="1"/>
    <col min="6953" max="6953" width="7.25" style="255" customWidth="1"/>
    <col min="6954" max="6954" width="7.125" style="255" customWidth="1"/>
    <col min="6955" max="6955" width="9.5" style="255" customWidth="1"/>
    <col min="6956" max="6957" width="9" style="255" customWidth="1"/>
    <col min="6958" max="6958" width="16.125" style="255" customWidth="1"/>
    <col min="6959" max="6989" width="9" style="255" customWidth="1"/>
    <col min="6990" max="7149" width="25.25" style="255"/>
    <col min="7150" max="7179" width="9" style="255" customWidth="1"/>
    <col min="7180" max="7180" width="0.5" style="255" customWidth="1"/>
    <col min="7181" max="7181" width="25.25" style="255"/>
    <col min="7182" max="7182" width="0.5" style="255" customWidth="1"/>
    <col min="7183" max="7183" width="25.25" style="255"/>
    <col min="7184" max="7184" width="14.75" style="255" customWidth="1"/>
    <col min="7185" max="7185" width="11.5" style="255" customWidth="1"/>
    <col min="7186" max="7186" width="11.25" style="255" customWidth="1"/>
    <col min="7187" max="7187" width="10.75" style="255" customWidth="1"/>
    <col min="7188" max="7188" width="10" style="255" customWidth="1"/>
    <col min="7189" max="7189" width="9.875" style="255" customWidth="1"/>
    <col min="7190" max="7190" width="26.125" style="255" customWidth="1"/>
    <col min="7191" max="7191" width="11.125" style="255" customWidth="1"/>
    <col min="7192" max="7192" width="7.875" style="255" customWidth="1"/>
    <col min="7193" max="7193" width="7.25" style="255" customWidth="1"/>
    <col min="7194" max="7194" width="9.125" style="255" customWidth="1"/>
    <col min="7195" max="7195" width="15.125" style="255" customWidth="1"/>
    <col min="7196" max="7196" width="7.75" style="255" customWidth="1"/>
    <col min="7197" max="7197" width="7.125" style="255" customWidth="1"/>
    <col min="7198" max="7198" width="12.125" style="255" customWidth="1"/>
    <col min="7199" max="7199" width="8.25" style="255" customWidth="1"/>
    <col min="7200" max="7201" width="10.375" style="255" customWidth="1"/>
    <col min="7202" max="7202" width="15.625" style="255" customWidth="1"/>
    <col min="7203" max="7203" width="15.875" style="255" customWidth="1"/>
    <col min="7204" max="7204" width="8.125" style="255" customWidth="1"/>
    <col min="7205" max="7208" width="10.375" style="255" customWidth="1"/>
    <col min="7209" max="7209" width="7.25" style="255" customWidth="1"/>
    <col min="7210" max="7210" width="7.125" style="255" customWidth="1"/>
    <col min="7211" max="7211" width="9.5" style="255" customWidth="1"/>
    <col min="7212" max="7213" width="9" style="255" customWidth="1"/>
    <col min="7214" max="7214" width="16.125" style="255" customWidth="1"/>
    <col min="7215" max="7245" width="9" style="255" customWidth="1"/>
    <col min="7246" max="7405" width="25.25" style="255"/>
    <col min="7406" max="7435" width="9" style="255" customWidth="1"/>
    <col min="7436" max="7436" width="0.5" style="255" customWidth="1"/>
    <col min="7437" max="7437" width="25.25" style="255"/>
    <col min="7438" max="7438" width="0.5" style="255" customWidth="1"/>
    <col min="7439" max="7439" width="25.25" style="255"/>
    <col min="7440" max="7440" width="14.75" style="255" customWidth="1"/>
    <col min="7441" max="7441" width="11.5" style="255" customWidth="1"/>
    <col min="7442" max="7442" width="11.25" style="255" customWidth="1"/>
    <col min="7443" max="7443" width="10.75" style="255" customWidth="1"/>
    <col min="7444" max="7444" width="10" style="255" customWidth="1"/>
    <col min="7445" max="7445" width="9.875" style="255" customWidth="1"/>
    <col min="7446" max="7446" width="26.125" style="255" customWidth="1"/>
    <col min="7447" max="7447" width="11.125" style="255" customWidth="1"/>
    <col min="7448" max="7448" width="7.875" style="255" customWidth="1"/>
    <col min="7449" max="7449" width="7.25" style="255" customWidth="1"/>
    <col min="7450" max="7450" width="9.125" style="255" customWidth="1"/>
    <col min="7451" max="7451" width="15.125" style="255" customWidth="1"/>
    <col min="7452" max="7452" width="7.75" style="255" customWidth="1"/>
    <col min="7453" max="7453" width="7.125" style="255" customWidth="1"/>
    <col min="7454" max="7454" width="12.125" style="255" customWidth="1"/>
    <col min="7455" max="7455" width="8.25" style="255" customWidth="1"/>
    <col min="7456" max="7457" width="10.375" style="255" customWidth="1"/>
    <col min="7458" max="7458" width="15.625" style="255" customWidth="1"/>
    <col min="7459" max="7459" width="15.875" style="255" customWidth="1"/>
    <col min="7460" max="7460" width="8.125" style="255" customWidth="1"/>
    <col min="7461" max="7464" width="10.375" style="255" customWidth="1"/>
    <col min="7465" max="7465" width="7.25" style="255" customWidth="1"/>
    <col min="7466" max="7466" width="7.125" style="255" customWidth="1"/>
    <col min="7467" max="7467" width="9.5" style="255" customWidth="1"/>
    <col min="7468" max="7469" width="9" style="255" customWidth="1"/>
    <col min="7470" max="7470" width="16.125" style="255" customWidth="1"/>
    <col min="7471" max="7501" width="9" style="255" customWidth="1"/>
    <col min="7502" max="7661" width="25.25" style="255"/>
    <col min="7662" max="7691" width="9" style="255" customWidth="1"/>
    <col min="7692" max="7692" width="0.5" style="255" customWidth="1"/>
    <col min="7693" max="7693" width="25.25" style="255"/>
    <col min="7694" max="7694" width="0.5" style="255" customWidth="1"/>
    <col min="7695" max="7695" width="25.25" style="255"/>
    <col min="7696" max="7696" width="14.75" style="255" customWidth="1"/>
    <col min="7697" max="7697" width="11.5" style="255" customWidth="1"/>
    <col min="7698" max="7698" width="11.25" style="255" customWidth="1"/>
    <col min="7699" max="7699" width="10.75" style="255" customWidth="1"/>
    <col min="7700" max="7700" width="10" style="255" customWidth="1"/>
    <col min="7701" max="7701" width="9.875" style="255" customWidth="1"/>
    <col min="7702" max="7702" width="26.125" style="255" customWidth="1"/>
    <col min="7703" max="7703" width="11.125" style="255" customWidth="1"/>
    <col min="7704" max="7704" width="7.875" style="255" customWidth="1"/>
    <col min="7705" max="7705" width="7.25" style="255" customWidth="1"/>
    <col min="7706" max="7706" width="9.125" style="255" customWidth="1"/>
    <col min="7707" max="7707" width="15.125" style="255" customWidth="1"/>
    <col min="7708" max="7708" width="7.75" style="255" customWidth="1"/>
    <col min="7709" max="7709" width="7.125" style="255" customWidth="1"/>
    <col min="7710" max="7710" width="12.125" style="255" customWidth="1"/>
    <col min="7711" max="7711" width="8.25" style="255" customWidth="1"/>
    <col min="7712" max="7713" width="10.375" style="255" customWidth="1"/>
    <col min="7714" max="7714" width="15.625" style="255" customWidth="1"/>
    <col min="7715" max="7715" width="15.875" style="255" customWidth="1"/>
    <col min="7716" max="7716" width="8.125" style="255" customWidth="1"/>
    <col min="7717" max="7720" width="10.375" style="255" customWidth="1"/>
    <col min="7721" max="7721" width="7.25" style="255" customWidth="1"/>
    <col min="7722" max="7722" width="7.125" style="255" customWidth="1"/>
    <col min="7723" max="7723" width="9.5" style="255" customWidth="1"/>
    <col min="7724" max="7725" width="9" style="255" customWidth="1"/>
    <col min="7726" max="7726" width="16.125" style="255" customWidth="1"/>
    <col min="7727" max="7757" width="9" style="255" customWidth="1"/>
    <col min="7758" max="7917" width="25.25" style="255"/>
    <col min="7918" max="7947" width="9" style="255" customWidth="1"/>
    <col min="7948" max="7948" width="0.5" style="255" customWidth="1"/>
    <col min="7949" max="7949" width="25.25" style="255"/>
    <col min="7950" max="7950" width="0.5" style="255" customWidth="1"/>
    <col min="7951" max="7951" width="25.25" style="255"/>
    <col min="7952" max="7952" width="14.75" style="255" customWidth="1"/>
    <col min="7953" max="7953" width="11.5" style="255" customWidth="1"/>
    <col min="7954" max="7954" width="11.25" style="255" customWidth="1"/>
    <col min="7955" max="7955" width="10.75" style="255" customWidth="1"/>
    <col min="7956" max="7956" width="10" style="255" customWidth="1"/>
    <col min="7957" max="7957" width="9.875" style="255" customWidth="1"/>
    <col min="7958" max="7958" width="26.125" style="255" customWidth="1"/>
    <col min="7959" max="7959" width="11.125" style="255" customWidth="1"/>
    <col min="7960" max="7960" width="7.875" style="255" customWidth="1"/>
    <col min="7961" max="7961" width="7.25" style="255" customWidth="1"/>
    <col min="7962" max="7962" width="9.125" style="255" customWidth="1"/>
    <col min="7963" max="7963" width="15.125" style="255" customWidth="1"/>
    <col min="7964" max="7964" width="7.75" style="255" customWidth="1"/>
    <col min="7965" max="7965" width="7.125" style="255" customWidth="1"/>
    <col min="7966" max="7966" width="12.125" style="255" customWidth="1"/>
    <col min="7967" max="7967" width="8.25" style="255" customWidth="1"/>
    <col min="7968" max="7969" width="10.375" style="255" customWidth="1"/>
    <col min="7970" max="7970" width="15.625" style="255" customWidth="1"/>
    <col min="7971" max="7971" width="15.875" style="255" customWidth="1"/>
    <col min="7972" max="7972" width="8.125" style="255" customWidth="1"/>
    <col min="7973" max="7976" width="10.375" style="255" customWidth="1"/>
    <col min="7977" max="7977" width="7.25" style="255" customWidth="1"/>
    <col min="7978" max="7978" width="7.125" style="255" customWidth="1"/>
    <col min="7979" max="7979" width="9.5" style="255" customWidth="1"/>
    <col min="7980" max="7981" width="9" style="255" customWidth="1"/>
    <col min="7982" max="7982" width="16.125" style="255" customWidth="1"/>
    <col min="7983" max="8013" width="9" style="255" customWidth="1"/>
    <col min="8014" max="8173" width="25.25" style="255"/>
    <col min="8174" max="8203" width="9" style="255" customWidth="1"/>
    <col min="8204" max="8204" width="0.5" style="255" customWidth="1"/>
    <col min="8205" max="8205" width="25.25" style="255"/>
    <col min="8206" max="8206" width="0.5" style="255" customWidth="1"/>
    <col min="8207" max="8207" width="25.25" style="255"/>
    <col min="8208" max="8208" width="14.75" style="255" customWidth="1"/>
    <col min="8209" max="8209" width="11.5" style="255" customWidth="1"/>
    <col min="8210" max="8210" width="11.25" style="255" customWidth="1"/>
    <col min="8211" max="8211" width="10.75" style="255" customWidth="1"/>
    <col min="8212" max="8212" width="10" style="255" customWidth="1"/>
    <col min="8213" max="8213" width="9.875" style="255" customWidth="1"/>
    <col min="8214" max="8214" width="26.125" style="255" customWidth="1"/>
    <col min="8215" max="8215" width="11.125" style="255" customWidth="1"/>
    <col min="8216" max="8216" width="7.875" style="255" customWidth="1"/>
    <col min="8217" max="8217" width="7.25" style="255" customWidth="1"/>
    <col min="8218" max="8218" width="9.125" style="255" customWidth="1"/>
    <col min="8219" max="8219" width="15.125" style="255" customWidth="1"/>
    <col min="8220" max="8220" width="7.75" style="255" customWidth="1"/>
    <col min="8221" max="8221" width="7.125" style="255" customWidth="1"/>
    <col min="8222" max="8222" width="12.125" style="255" customWidth="1"/>
    <col min="8223" max="8223" width="8.25" style="255" customWidth="1"/>
    <col min="8224" max="8225" width="10.375" style="255" customWidth="1"/>
    <col min="8226" max="8226" width="15.625" style="255" customWidth="1"/>
    <col min="8227" max="8227" width="15.875" style="255" customWidth="1"/>
    <col min="8228" max="8228" width="8.125" style="255" customWidth="1"/>
    <col min="8229" max="8232" width="10.375" style="255" customWidth="1"/>
    <col min="8233" max="8233" width="7.25" style="255" customWidth="1"/>
    <col min="8234" max="8234" width="7.125" style="255" customWidth="1"/>
    <col min="8235" max="8235" width="9.5" style="255" customWidth="1"/>
    <col min="8236" max="8237" width="9" style="255" customWidth="1"/>
    <col min="8238" max="8238" width="16.125" style="255" customWidth="1"/>
    <col min="8239" max="8269" width="9" style="255" customWidth="1"/>
    <col min="8270" max="8429" width="25.25" style="255"/>
    <col min="8430" max="8459" width="9" style="255" customWidth="1"/>
    <col min="8460" max="8460" width="0.5" style="255" customWidth="1"/>
    <col min="8461" max="8461" width="25.25" style="255"/>
    <col min="8462" max="8462" width="0.5" style="255" customWidth="1"/>
    <col min="8463" max="8463" width="25.25" style="255"/>
    <col min="8464" max="8464" width="14.75" style="255" customWidth="1"/>
    <col min="8465" max="8465" width="11.5" style="255" customWidth="1"/>
    <col min="8466" max="8466" width="11.25" style="255" customWidth="1"/>
    <col min="8467" max="8467" width="10.75" style="255" customWidth="1"/>
    <col min="8468" max="8468" width="10" style="255" customWidth="1"/>
    <col min="8469" max="8469" width="9.875" style="255" customWidth="1"/>
    <col min="8470" max="8470" width="26.125" style="255" customWidth="1"/>
    <col min="8471" max="8471" width="11.125" style="255" customWidth="1"/>
    <col min="8472" max="8472" width="7.875" style="255" customWidth="1"/>
    <col min="8473" max="8473" width="7.25" style="255" customWidth="1"/>
    <col min="8474" max="8474" width="9.125" style="255" customWidth="1"/>
    <col min="8475" max="8475" width="15.125" style="255" customWidth="1"/>
    <col min="8476" max="8476" width="7.75" style="255" customWidth="1"/>
    <col min="8477" max="8477" width="7.125" style="255" customWidth="1"/>
    <col min="8478" max="8478" width="12.125" style="255" customWidth="1"/>
    <col min="8479" max="8479" width="8.25" style="255" customWidth="1"/>
    <col min="8480" max="8481" width="10.375" style="255" customWidth="1"/>
    <col min="8482" max="8482" width="15.625" style="255" customWidth="1"/>
    <col min="8483" max="8483" width="15.875" style="255" customWidth="1"/>
    <col min="8484" max="8484" width="8.125" style="255" customWidth="1"/>
    <col min="8485" max="8488" width="10.375" style="255" customWidth="1"/>
    <col min="8489" max="8489" width="7.25" style="255" customWidth="1"/>
    <col min="8490" max="8490" width="7.125" style="255" customWidth="1"/>
    <col min="8491" max="8491" width="9.5" style="255" customWidth="1"/>
    <col min="8492" max="8493" width="9" style="255" customWidth="1"/>
    <col min="8494" max="8494" width="16.125" style="255" customWidth="1"/>
    <col min="8495" max="8525" width="9" style="255" customWidth="1"/>
    <col min="8526" max="8685" width="25.25" style="255"/>
    <col min="8686" max="8715" width="9" style="255" customWidth="1"/>
    <col min="8716" max="8716" width="0.5" style="255" customWidth="1"/>
    <col min="8717" max="8717" width="25.25" style="255"/>
    <col min="8718" max="8718" width="0.5" style="255" customWidth="1"/>
    <col min="8719" max="8719" width="25.25" style="255"/>
    <col min="8720" max="8720" width="14.75" style="255" customWidth="1"/>
    <col min="8721" max="8721" width="11.5" style="255" customWidth="1"/>
    <col min="8722" max="8722" width="11.25" style="255" customWidth="1"/>
    <col min="8723" max="8723" width="10.75" style="255" customWidth="1"/>
    <col min="8724" max="8724" width="10" style="255" customWidth="1"/>
    <col min="8725" max="8725" width="9.875" style="255" customWidth="1"/>
    <col min="8726" max="8726" width="26.125" style="255" customWidth="1"/>
    <col min="8727" max="8727" width="11.125" style="255" customWidth="1"/>
    <col min="8728" max="8728" width="7.875" style="255" customWidth="1"/>
    <col min="8729" max="8729" width="7.25" style="255" customWidth="1"/>
    <col min="8730" max="8730" width="9.125" style="255" customWidth="1"/>
    <col min="8731" max="8731" width="15.125" style="255" customWidth="1"/>
    <col min="8732" max="8732" width="7.75" style="255" customWidth="1"/>
    <col min="8733" max="8733" width="7.125" style="255" customWidth="1"/>
    <col min="8734" max="8734" width="12.125" style="255" customWidth="1"/>
    <col min="8735" max="8735" width="8.25" style="255" customWidth="1"/>
    <col min="8736" max="8737" width="10.375" style="255" customWidth="1"/>
    <col min="8738" max="8738" width="15.625" style="255" customWidth="1"/>
    <col min="8739" max="8739" width="15.875" style="255" customWidth="1"/>
    <col min="8740" max="8740" width="8.125" style="255" customWidth="1"/>
    <col min="8741" max="8744" width="10.375" style="255" customWidth="1"/>
    <col min="8745" max="8745" width="7.25" style="255" customWidth="1"/>
    <col min="8746" max="8746" width="7.125" style="255" customWidth="1"/>
    <col min="8747" max="8747" width="9.5" style="255" customWidth="1"/>
    <col min="8748" max="8749" width="9" style="255" customWidth="1"/>
    <col min="8750" max="8750" width="16.125" style="255" customWidth="1"/>
    <col min="8751" max="8781" width="9" style="255" customWidth="1"/>
    <col min="8782" max="8941" width="25.25" style="255"/>
    <col min="8942" max="8971" width="9" style="255" customWidth="1"/>
    <col min="8972" max="8972" width="0.5" style="255" customWidth="1"/>
    <col min="8973" max="8973" width="25.25" style="255"/>
    <col min="8974" max="8974" width="0.5" style="255" customWidth="1"/>
    <col min="8975" max="8975" width="25.25" style="255"/>
    <col min="8976" max="8976" width="14.75" style="255" customWidth="1"/>
    <col min="8977" max="8977" width="11.5" style="255" customWidth="1"/>
    <col min="8978" max="8978" width="11.25" style="255" customWidth="1"/>
    <col min="8979" max="8979" width="10.75" style="255" customWidth="1"/>
    <col min="8980" max="8980" width="10" style="255" customWidth="1"/>
    <col min="8981" max="8981" width="9.875" style="255" customWidth="1"/>
    <col min="8982" max="8982" width="26.125" style="255" customWidth="1"/>
    <col min="8983" max="8983" width="11.125" style="255" customWidth="1"/>
    <col min="8984" max="8984" width="7.875" style="255" customWidth="1"/>
    <col min="8985" max="8985" width="7.25" style="255" customWidth="1"/>
    <col min="8986" max="8986" width="9.125" style="255" customWidth="1"/>
    <col min="8987" max="8987" width="15.125" style="255" customWidth="1"/>
    <col min="8988" max="8988" width="7.75" style="255" customWidth="1"/>
    <col min="8989" max="8989" width="7.125" style="255" customWidth="1"/>
    <col min="8990" max="8990" width="12.125" style="255" customWidth="1"/>
    <col min="8991" max="8991" width="8.25" style="255" customWidth="1"/>
    <col min="8992" max="8993" width="10.375" style="255" customWidth="1"/>
    <col min="8994" max="8994" width="15.625" style="255" customWidth="1"/>
    <col min="8995" max="8995" width="15.875" style="255" customWidth="1"/>
    <col min="8996" max="8996" width="8.125" style="255" customWidth="1"/>
    <col min="8997" max="9000" width="10.375" style="255" customWidth="1"/>
    <col min="9001" max="9001" width="7.25" style="255" customWidth="1"/>
    <col min="9002" max="9002" width="7.125" style="255" customWidth="1"/>
    <col min="9003" max="9003" width="9.5" style="255" customWidth="1"/>
    <col min="9004" max="9005" width="9" style="255" customWidth="1"/>
    <col min="9006" max="9006" width="16.125" style="255" customWidth="1"/>
    <col min="9007" max="9037" width="9" style="255" customWidth="1"/>
    <col min="9038" max="9197" width="25.25" style="255"/>
    <col min="9198" max="9227" width="9" style="255" customWidth="1"/>
    <col min="9228" max="9228" width="0.5" style="255" customWidth="1"/>
    <col min="9229" max="9229" width="25.25" style="255"/>
    <col min="9230" max="9230" width="0.5" style="255" customWidth="1"/>
    <col min="9231" max="9231" width="25.25" style="255"/>
    <col min="9232" max="9232" width="14.75" style="255" customWidth="1"/>
    <col min="9233" max="9233" width="11.5" style="255" customWidth="1"/>
    <col min="9234" max="9234" width="11.25" style="255" customWidth="1"/>
    <col min="9235" max="9235" width="10.75" style="255" customWidth="1"/>
    <col min="9236" max="9236" width="10" style="255" customWidth="1"/>
    <col min="9237" max="9237" width="9.875" style="255" customWidth="1"/>
    <col min="9238" max="9238" width="26.125" style="255" customWidth="1"/>
    <col min="9239" max="9239" width="11.125" style="255" customWidth="1"/>
    <col min="9240" max="9240" width="7.875" style="255" customWidth="1"/>
    <col min="9241" max="9241" width="7.25" style="255" customWidth="1"/>
    <col min="9242" max="9242" width="9.125" style="255" customWidth="1"/>
    <col min="9243" max="9243" width="15.125" style="255" customWidth="1"/>
    <col min="9244" max="9244" width="7.75" style="255" customWidth="1"/>
    <col min="9245" max="9245" width="7.125" style="255" customWidth="1"/>
    <col min="9246" max="9246" width="12.125" style="255" customWidth="1"/>
    <col min="9247" max="9247" width="8.25" style="255" customWidth="1"/>
    <col min="9248" max="9249" width="10.375" style="255" customWidth="1"/>
    <col min="9250" max="9250" width="15.625" style="255" customWidth="1"/>
    <col min="9251" max="9251" width="15.875" style="255" customWidth="1"/>
    <col min="9252" max="9252" width="8.125" style="255" customWidth="1"/>
    <col min="9253" max="9256" width="10.375" style="255" customWidth="1"/>
    <col min="9257" max="9257" width="7.25" style="255" customWidth="1"/>
    <col min="9258" max="9258" width="7.125" style="255" customWidth="1"/>
    <col min="9259" max="9259" width="9.5" style="255" customWidth="1"/>
    <col min="9260" max="9261" width="9" style="255" customWidth="1"/>
    <col min="9262" max="9262" width="16.125" style="255" customWidth="1"/>
    <col min="9263" max="9293" width="9" style="255" customWidth="1"/>
    <col min="9294" max="9453" width="25.25" style="255"/>
    <col min="9454" max="9483" width="9" style="255" customWidth="1"/>
    <col min="9484" max="9484" width="0.5" style="255" customWidth="1"/>
    <col min="9485" max="9485" width="25.25" style="255"/>
    <col min="9486" max="9486" width="0.5" style="255" customWidth="1"/>
    <col min="9487" max="9487" width="25.25" style="255"/>
    <col min="9488" max="9488" width="14.75" style="255" customWidth="1"/>
    <col min="9489" max="9489" width="11.5" style="255" customWidth="1"/>
    <col min="9490" max="9490" width="11.25" style="255" customWidth="1"/>
    <col min="9491" max="9491" width="10.75" style="255" customWidth="1"/>
    <col min="9492" max="9492" width="10" style="255" customWidth="1"/>
    <col min="9493" max="9493" width="9.875" style="255" customWidth="1"/>
    <col min="9494" max="9494" width="26.125" style="255" customWidth="1"/>
    <col min="9495" max="9495" width="11.125" style="255" customWidth="1"/>
    <col min="9496" max="9496" width="7.875" style="255" customWidth="1"/>
    <col min="9497" max="9497" width="7.25" style="255" customWidth="1"/>
    <col min="9498" max="9498" width="9.125" style="255" customWidth="1"/>
    <col min="9499" max="9499" width="15.125" style="255" customWidth="1"/>
    <col min="9500" max="9500" width="7.75" style="255" customWidth="1"/>
    <col min="9501" max="9501" width="7.125" style="255" customWidth="1"/>
    <col min="9502" max="9502" width="12.125" style="255" customWidth="1"/>
    <col min="9503" max="9503" width="8.25" style="255" customWidth="1"/>
    <col min="9504" max="9505" width="10.375" style="255" customWidth="1"/>
    <col min="9506" max="9506" width="15.625" style="255" customWidth="1"/>
    <col min="9507" max="9507" width="15.875" style="255" customWidth="1"/>
    <col min="9508" max="9508" width="8.125" style="255" customWidth="1"/>
    <col min="9509" max="9512" width="10.375" style="255" customWidth="1"/>
    <col min="9513" max="9513" width="7.25" style="255" customWidth="1"/>
    <col min="9514" max="9514" width="7.125" style="255" customWidth="1"/>
    <col min="9515" max="9515" width="9.5" style="255" customWidth="1"/>
    <col min="9516" max="9517" width="9" style="255" customWidth="1"/>
    <col min="9518" max="9518" width="16.125" style="255" customWidth="1"/>
    <col min="9519" max="9549" width="9" style="255" customWidth="1"/>
    <col min="9550" max="9709" width="25.25" style="255"/>
    <col min="9710" max="9739" width="9" style="255" customWidth="1"/>
    <col min="9740" max="9740" width="0.5" style="255" customWidth="1"/>
    <col min="9741" max="9741" width="25.25" style="255"/>
    <col min="9742" max="9742" width="0.5" style="255" customWidth="1"/>
    <col min="9743" max="9743" width="25.25" style="255"/>
    <col min="9744" max="9744" width="14.75" style="255" customWidth="1"/>
    <col min="9745" max="9745" width="11.5" style="255" customWidth="1"/>
    <col min="9746" max="9746" width="11.25" style="255" customWidth="1"/>
    <col min="9747" max="9747" width="10.75" style="255" customWidth="1"/>
    <col min="9748" max="9748" width="10" style="255" customWidth="1"/>
    <col min="9749" max="9749" width="9.875" style="255" customWidth="1"/>
    <col min="9750" max="9750" width="26.125" style="255" customWidth="1"/>
    <col min="9751" max="9751" width="11.125" style="255" customWidth="1"/>
    <col min="9752" max="9752" width="7.875" style="255" customWidth="1"/>
    <col min="9753" max="9753" width="7.25" style="255" customWidth="1"/>
    <col min="9754" max="9754" width="9.125" style="255" customWidth="1"/>
    <col min="9755" max="9755" width="15.125" style="255" customWidth="1"/>
    <col min="9756" max="9756" width="7.75" style="255" customWidth="1"/>
    <col min="9757" max="9757" width="7.125" style="255" customWidth="1"/>
    <col min="9758" max="9758" width="12.125" style="255" customWidth="1"/>
    <col min="9759" max="9759" width="8.25" style="255" customWidth="1"/>
    <col min="9760" max="9761" width="10.375" style="255" customWidth="1"/>
    <col min="9762" max="9762" width="15.625" style="255" customWidth="1"/>
    <col min="9763" max="9763" width="15.875" style="255" customWidth="1"/>
    <col min="9764" max="9764" width="8.125" style="255" customWidth="1"/>
    <col min="9765" max="9768" width="10.375" style="255" customWidth="1"/>
    <col min="9769" max="9769" width="7.25" style="255" customWidth="1"/>
    <col min="9770" max="9770" width="7.125" style="255" customWidth="1"/>
    <col min="9771" max="9771" width="9.5" style="255" customWidth="1"/>
    <col min="9772" max="9773" width="9" style="255" customWidth="1"/>
    <col min="9774" max="9774" width="16.125" style="255" customWidth="1"/>
    <col min="9775" max="9805" width="9" style="255" customWidth="1"/>
    <col min="9806" max="9965" width="25.25" style="255"/>
    <col min="9966" max="9995" width="9" style="255" customWidth="1"/>
    <col min="9996" max="9996" width="0.5" style="255" customWidth="1"/>
    <col min="9997" max="9997" width="25.25" style="255"/>
    <col min="9998" max="9998" width="0.5" style="255" customWidth="1"/>
    <col min="9999" max="9999" width="25.25" style="255"/>
    <col min="10000" max="10000" width="14.75" style="255" customWidth="1"/>
    <col min="10001" max="10001" width="11.5" style="255" customWidth="1"/>
    <col min="10002" max="10002" width="11.25" style="255" customWidth="1"/>
    <col min="10003" max="10003" width="10.75" style="255" customWidth="1"/>
    <col min="10004" max="10004" width="10" style="255" customWidth="1"/>
    <col min="10005" max="10005" width="9.875" style="255" customWidth="1"/>
    <col min="10006" max="10006" width="26.125" style="255" customWidth="1"/>
    <col min="10007" max="10007" width="11.125" style="255" customWidth="1"/>
    <col min="10008" max="10008" width="7.875" style="255" customWidth="1"/>
    <col min="10009" max="10009" width="7.25" style="255" customWidth="1"/>
    <col min="10010" max="10010" width="9.125" style="255" customWidth="1"/>
    <col min="10011" max="10011" width="15.125" style="255" customWidth="1"/>
    <col min="10012" max="10012" width="7.75" style="255" customWidth="1"/>
    <col min="10013" max="10013" width="7.125" style="255" customWidth="1"/>
    <col min="10014" max="10014" width="12.125" style="255" customWidth="1"/>
    <col min="10015" max="10015" width="8.25" style="255" customWidth="1"/>
    <col min="10016" max="10017" width="10.375" style="255" customWidth="1"/>
    <col min="10018" max="10018" width="15.625" style="255" customWidth="1"/>
    <col min="10019" max="10019" width="15.875" style="255" customWidth="1"/>
    <col min="10020" max="10020" width="8.125" style="255" customWidth="1"/>
    <col min="10021" max="10024" width="10.375" style="255" customWidth="1"/>
    <col min="10025" max="10025" width="7.25" style="255" customWidth="1"/>
    <col min="10026" max="10026" width="7.125" style="255" customWidth="1"/>
    <col min="10027" max="10027" width="9.5" style="255" customWidth="1"/>
    <col min="10028" max="10029" width="9" style="255" customWidth="1"/>
    <col min="10030" max="10030" width="16.125" style="255" customWidth="1"/>
    <col min="10031" max="10061" width="9" style="255" customWidth="1"/>
    <col min="10062" max="10221" width="25.25" style="255"/>
    <col min="10222" max="10251" width="9" style="255" customWidth="1"/>
    <col min="10252" max="10252" width="0.5" style="255" customWidth="1"/>
    <col min="10253" max="10253" width="25.25" style="255"/>
    <col min="10254" max="10254" width="0.5" style="255" customWidth="1"/>
    <col min="10255" max="10255" width="25.25" style="255"/>
    <col min="10256" max="10256" width="14.75" style="255" customWidth="1"/>
    <col min="10257" max="10257" width="11.5" style="255" customWidth="1"/>
    <col min="10258" max="10258" width="11.25" style="255" customWidth="1"/>
    <col min="10259" max="10259" width="10.75" style="255" customWidth="1"/>
    <col min="10260" max="10260" width="10" style="255" customWidth="1"/>
    <col min="10261" max="10261" width="9.875" style="255" customWidth="1"/>
    <col min="10262" max="10262" width="26.125" style="255" customWidth="1"/>
    <col min="10263" max="10263" width="11.125" style="255" customWidth="1"/>
    <col min="10264" max="10264" width="7.875" style="255" customWidth="1"/>
    <col min="10265" max="10265" width="7.25" style="255" customWidth="1"/>
    <col min="10266" max="10266" width="9.125" style="255" customWidth="1"/>
    <col min="10267" max="10267" width="15.125" style="255" customWidth="1"/>
    <col min="10268" max="10268" width="7.75" style="255" customWidth="1"/>
    <col min="10269" max="10269" width="7.125" style="255" customWidth="1"/>
    <col min="10270" max="10270" width="12.125" style="255" customWidth="1"/>
    <col min="10271" max="10271" width="8.25" style="255" customWidth="1"/>
    <col min="10272" max="10273" width="10.375" style="255" customWidth="1"/>
    <col min="10274" max="10274" width="15.625" style="255" customWidth="1"/>
    <col min="10275" max="10275" width="15.875" style="255" customWidth="1"/>
    <col min="10276" max="10276" width="8.125" style="255" customWidth="1"/>
    <col min="10277" max="10280" width="10.375" style="255" customWidth="1"/>
    <col min="10281" max="10281" width="7.25" style="255" customWidth="1"/>
    <col min="10282" max="10282" width="7.125" style="255" customWidth="1"/>
    <col min="10283" max="10283" width="9.5" style="255" customWidth="1"/>
    <col min="10284" max="10285" width="9" style="255" customWidth="1"/>
    <col min="10286" max="10286" width="16.125" style="255" customWidth="1"/>
    <col min="10287" max="10317" width="9" style="255" customWidth="1"/>
    <col min="10318" max="10477" width="25.25" style="255"/>
    <col min="10478" max="10507" width="9" style="255" customWidth="1"/>
    <col min="10508" max="10508" width="0.5" style="255" customWidth="1"/>
    <col min="10509" max="10509" width="25.25" style="255"/>
    <col min="10510" max="10510" width="0.5" style="255" customWidth="1"/>
    <col min="10511" max="10511" width="25.25" style="255"/>
    <col min="10512" max="10512" width="14.75" style="255" customWidth="1"/>
    <col min="10513" max="10513" width="11.5" style="255" customWidth="1"/>
    <col min="10514" max="10514" width="11.25" style="255" customWidth="1"/>
    <col min="10515" max="10515" width="10.75" style="255" customWidth="1"/>
    <col min="10516" max="10516" width="10" style="255" customWidth="1"/>
    <col min="10517" max="10517" width="9.875" style="255" customWidth="1"/>
    <col min="10518" max="10518" width="26.125" style="255" customWidth="1"/>
    <col min="10519" max="10519" width="11.125" style="255" customWidth="1"/>
    <col min="10520" max="10520" width="7.875" style="255" customWidth="1"/>
    <col min="10521" max="10521" width="7.25" style="255" customWidth="1"/>
    <col min="10522" max="10522" width="9.125" style="255" customWidth="1"/>
    <col min="10523" max="10523" width="15.125" style="255" customWidth="1"/>
    <col min="10524" max="10524" width="7.75" style="255" customWidth="1"/>
    <col min="10525" max="10525" width="7.125" style="255" customWidth="1"/>
    <col min="10526" max="10526" width="12.125" style="255" customWidth="1"/>
    <col min="10527" max="10527" width="8.25" style="255" customWidth="1"/>
    <col min="10528" max="10529" width="10.375" style="255" customWidth="1"/>
    <col min="10530" max="10530" width="15.625" style="255" customWidth="1"/>
    <col min="10531" max="10531" width="15.875" style="255" customWidth="1"/>
    <col min="10532" max="10532" width="8.125" style="255" customWidth="1"/>
    <col min="10533" max="10536" width="10.375" style="255" customWidth="1"/>
    <col min="10537" max="10537" width="7.25" style="255" customWidth="1"/>
    <col min="10538" max="10538" width="7.125" style="255" customWidth="1"/>
    <col min="10539" max="10539" width="9.5" style="255" customWidth="1"/>
    <col min="10540" max="10541" width="9" style="255" customWidth="1"/>
    <col min="10542" max="10542" width="16.125" style="255" customWidth="1"/>
    <col min="10543" max="10573" width="9" style="255" customWidth="1"/>
    <col min="10574" max="10733" width="25.25" style="255"/>
    <col min="10734" max="10763" width="9" style="255" customWidth="1"/>
    <col min="10764" max="10764" width="0.5" style="255" customWidth="1"/>
    <col min="10765" max="10765" width="25.25" style="255"/>
    <col min="10766" max="10766" width="0.5" style="255" customWidth="1"/>
    <col min="10767" max="10767" width="25.25" style="255"/>
    <col min="10768" max="10768" width="14.75" style="255" customWidth="1"/>
    <col min="10769" max="10769" width="11.5" style="255" customWidth="1"/>
    <col min="10770" max="10770" width="11.25" style="255" customWidth="1"/>
    <col min="10771" max="10771" width="10.75" style="255" customWidth="1"/>
    <col min="10772" max="10772" width="10" style="255" customWidth="1"/>
    <col min="10773" max="10773" width="9.875" style="255" customWidth="1"/>
    <col min="10774" max="10774" width="26.125" style="255" customWidth="1"/>
    <col min="10775" max="10775" width="11.125" style="255" customWidth="1"/>
    <col min="10776" max="10776" width="7.875" style="255" customWidth="1"/>
    <col min="10777" max="10777" width="7.25" style="255" customWidth="1"/>
    <col min="10778" max="10778" width="9.125" style="255" customWidth="1"/>
    <col min="10779" max="10779" width="15.125" style="255" customWidth="1"/>
    <col min="10780" max="10780" width="7.75" style="255" customWidth="1"/>
    <col min="10781" max="10781" width="7.125" style="255" customWidth="1"/>
    <col min="10782" max="10782" width="12.125" style="255" customWidth="1"/>
    <col min="10783" max="10783" width="8.25" style="255" customWidth="1"/>
    <col min="10784" max="10785" width="10.375" style="255" customWidth="1"/>
    <col min="10786" max="10786" width="15.625" style="255" customWidth="1"/>
    <col min="10787" max="10787" width="15.875" style="255" customWidth="1"/>
    <col min="10788" max="10788" width="8.125" style="255" customWidth="1"/>
    <col min="10789" max="10792" width="10.375" style="255" customWidth="1"/>
    <col min="10793" max="10793" width="7.25" style="255" customWidth="1"/>
    <col min="10794" max="10794" width="7.125" style="255" customWidth="1"/>
    <col min="10795" max="10795" width="9.5" style="255" customWidth="1"/>
    <col min="10796" max="10797" width="9" style="255" customWidth="1"/>
    <col min="10798" max="10798" width="16.125" style="255" customWidth="1"/>
    <col min="10799" max="10829" width="9" style="255" customWidth="1"/>
    <col min="10830" max="10989" width="25.25" style="255"/>
    <col min="10990" max="11019" width="9" style="255" customWidth="1"/>
    <col min="11020" max="11020" width="0.5" style="255" customWidth="1"/>
    <col min="11021" max="11021" width="25.25" style="255"/>
    <col min="11022" max="11022" width="0.5" style="255" customWidth="1"/>
    <col min="11023" max="11023" width="25.25" style="255"/>
    <col min="11024" max="11024" width="14.75" style="255" customWidth="1"/>
    <col min="11025" max="11025" width="11.5" style="255" customWidth="1"/>
    <col min="11026" max="11026" width="11.25" style="255" customWidth="1"/>
    <col min="11027" max="11027" width="10.75" style="255" customWidth="1"/>
    <col min="11028" max="11028" width="10" style="255" customWidth="1"/>
    <col min="11029" max="11029" width="9.875" style="255" customWidth="1"/>
    <col min="11030" max="11030" width="26.125" style="255" customWidth="1"/>
    <col min="11031" max="11031" width="11.125" style="255" customWidth="1"/>
    <col min="11032" max="11032" width="7.875" style="255" customWidth="1"/>
    <col min="11033" max="11033" width="7.25" style="255" customWidth="1"/>
    <col min="11034" max="11034" width="9.125" style="255" customWidth="1"/>
    <col min="11035" max="11035" width="15.125" style="255" customWidth="1"/>
    <col min="11036" max="11036" width="7.75" style="255" customWidth="1"/>
    <col min="11037" max="11037" width="7.125" style="255" customWidth="1"/>
    <col min="11038" max="11038" width="12.125" style="255" customWidth="1"/>
    <col min="11039" max="11039" width="8.25" style="255" customWidth="1"/>
    <col min="11040" max="11041" width="10.375" style="255" customWidth="1"/>
    <col min="11042" max="11042" width="15.625" style="255" customWidth="1"/>
    <col min="11043" max="11043" width="15.875" style="255" customWidth="1"/>
    <col min="11044" max="11044" width="8.125" style="255" customWidth="1"/>
    <col min="11045" max="11048" width="10.375" style="255" customWidth="1"/>
    <col min="11049" max="11049" width="7.25" style="255" customWidth="1"/>
    <col min="11050" max="11050" width="7.125" style="255" customWidth="1"/>
    <col min="11051" max="11051" width="9.5" style="255" customWidth="1"/>
    <col min="11052" max="11053" width="9" style="255" customWidth="1"/>
    <col min="11054" max="11054" width="16.125" style="255" customWidth="1"/>
    <col min="11055" max="11085" width="9" style="255" customWidth="1"/>
    <col min="11086" max="11245" width="25.25" style="255"/>
    <col min="11246" max="11275" width="9" style="255" customWidth="1"/>
    <col min="11276" max="11276" width="0.5" style="255" customWidth="1"/>
    <col min="11277" max="11277" width="25.25" style="255"/>
    <col min="11278" max="11278" width="0.5" style="255" customWidth="1"/>
    <col min="11279" max="11279" width="25.25" style="255"/>
    <col min="11280" max="11280" width="14.75" style="255" customWidth="1"/>
    <col min="11281" max="11281" width="11.5" style="255" customWidth="1"/>
    <col min="11282" max="11282" width="11.25" style="255" customWidth="1"/>
    <col min="11283" max="11283" width="10.75" style="255" customWidth="1"/>
    <col min="11284" max="11284" width="10" style="255" customWidth="1"/>
    <col min="11285" max="11285" width="9.875" style="255" customWidth="1"/>
    <col min="11286" max="11286" width="26.125" style="255" customWidth="1"/>
    <col min="11287" max="11287" width="11.125" style="255" customWidth="1"/>
    <col min="11288" max="11288" width="7.875" style="255" customWidth="1"/>
    <col min="11289" max="11289" width="7.25" style="255" customWidth="1"/>
    <col min="11290" max="11290" width="9.125" style="255" customWidth="1"/>
    <col min="11291" max="11291" width="15.125" style="255" customWidth="1"/>
    <col min="11292" max="11292" width="7.75" style="255" customWidth="1"/>
    <col min="11293" max="11293" width="7.125" style="255" customWidth="1"/>
    <col min="11294" max="11294" width="12.125" style="255" customWidth="1"/>
    <col min="11295" max="11295" width="8.25" style="255" customWidth="1"/>
    <col min="11296" max="11297" width="10.375" style="255" customWidth="1"/>
    <col min="11298" max="11298" width="15.625" style="255" customWidth="1"/>
    <col min="11299" max="11299" width="15.875" style="255" customWidth="1"/>
    <col min="11300" max="11300" width="8.125" style="255" customWidth="1"/>
    <col min="11301" max="11304" width="10.375" style="255" customWidth="1"/>
    <col min="11305" max="11305" width="7.25" style="255" customWidth="1"/>
    <col min="11306" max="11306" width="7.125" style="255" customWidth="1"/>
    <col min="11307" max="11307" width="9.5" style="255" customWidth="1"/>
    <col min="11308" max="11309" width="9" style="255" customWidth="1"/>
    <col min="11310" max="11310" width="16.125" style="255" customWidth="1"/>
    <col min="11311" max="11341" width="9" style="255" customWidth="1"/>
    <col min="11342" max="11501" width="25.25" style="255"/>
    <col min="11502" max="11531" width="9" style="255" customWidth="1"/>
    <col min="11532" max="11532" width="0.5" style="255" customWidth="1"/>
    <col min="11533" max="11533" width="25.25" style="255"/>
    <col min="11534" max="11534" width="0.5" style="255" customWidth="1"/>
    <col min="11535" max="11535" width="25.25" style="255"/>
    <col min="11536" max="11536" width="14.75" style="255" customWidth="1"/>
    <col min="11537" max="11537" width="11.5" style="255" customWidth="1"/>
    <col min="11538" max="11538" width="11.25" style="255" customWidth="1"/>
    <col min="11539" max="11539" width="10.75" style="255" customWidth="1"/>
    <col min="11540" max="11540" width="10" style="255" customWidth="1"/>
    <col min="11541" max="11541" width="9.875" style="255" customWidth="1"/>
    <col min="11542" max="11542" width="26.125" style="255" customWidth="1"/>
    <col min="11543" max="11543" width="11.125" style="255" customWidth="1"/>
    <col min="11544" max="11544" width="7.875" style="255" customWidth="1"/>
    <col min="11545" max="11545" width="7.25" style="255" customWidth="1"/>
    <col min="11546" max="11546" width="9.125" style="255" customWidth="1"/>
    <col min="11547" max="11547" width="15.125" style="255" customWidth="1"/>
    <col min="11548" max="11548" width="7.75" style="255" customWidth="1"/>
    <col min="11549" max="11549" width="7.125" style="255" customWidth="1"/>
    <col min="11550" max="11550" width="12.125" style="255" customWidth="1"/>
    <col min="11551" max="11551" width="8.25" style="255" customWidth="1"/>
    <col min="11552" max="11553" width="10.375" style="255" customWidth="1"/>
    <col min="11554" max="11554" width="15.625" style="255" customWidth="1"/>
    <col min="11555" max="11555" width="15.875" style="255" customWidth="1"/>
    <col min="11556" max="11556" width="8.125" style="255" customWidth="1"/>
    <col min="11557" max="11560" width="10.375" style="255" customWidth="1"/>
    <col min="11561" max="11561" width="7.25" style="255" customWidth="1"/>
    <col min="11562" max="11562" width="7.125" style="255" customWidth="1"/>
    <col min="11563" max="11563" width="9.5" style="255" customWidth="1"/>
    <col min="11564" max="11565" width="9" style="255" customWidth="1"/>
    <col min="11566" max="11566" width="16.125" style="255" customWidth="1"/>
    <col min="11567" max="11597" width="9" style="255" customWidth="1"/>
    <col min="11598" max="11757" width="25.25" style="255"/>
    <col min="11758" max="11787" width="9" style="255" customWidth="1"/>
    <col min="11788" max="11788" width="0.5" style="255" customWidth="1"/>
    <col min="11789" max="11789" width="25.25" style="255"/>
    <col min="11790" max="11790" width="0.5" style="255" customWidth="1"/>
    <col min="11791" max="11791" width="25.25" style="255"/>
    <col min="11792" max="11792" width="14.75" style="255" customWidth="1"/>
    <col min="11793" max="11793" width="11.5" style="255" customWidth="1"/>
    <col min="11794" max="11794" width="11.25" style="255" customWidth="1"/>
    <col min="11795" max="11795" width="10.75" style="255" customWidth="1"/>
    <col min="11796" max="11796" width="10" style="255" customWidth="1"/>
    <col min="11797" max="11797" width="9.875" style="255" customWidth="1"/>
    <col min="11798" max="11798" width="26.125" style="255" customWidth="1"/>
    <col min="11799" max="11799" width="11.125" style="255" customWidth="1"/>
    <col min="11800" max="11800" width="7.875" style="255" customWidth="1"/>
    <col min="11801" max="11801" width="7.25" style="255" customWidth="1"/>
    <col min="11802" max="11802" width="9.125" style="255" customWidth="1"/>
    <col min="11803" max="11803" width="15.125" style="255" customWidth="1"/>
    <col min="11804" max="11804" width="7.75" style="255" customWidth="1"/>
    <col min="11805" max="11805" width="7.125" style="255" customWidth="1"/>
    <col min="11806" max="11806" width="12.125" style="255" customWidth="1"/>
    <col min="11807" max="11807" width="8.25" style="255" customWidth="1"/>
    <col min="11808" max="11809" width="10.375" style="255" customWidth="1"/>
    <col min="11810" max="11810" width="15.625" style="255" customWidth="1"/>
    <col min="11811" max="11811" width="15.875" style="255" customWidth="1"/>
    <col min="11812" max="11812" width="8.125" style="255" customWidth="1"/>
    <col min="11813" max="11816" width="10.375" style="255" customWidth="1"/>
    <col min="11817" max="11817" width="7.25" style="255" customWidth="1"/>
    <col min="11818" max="11818" width="7.125" style="255" customWidth="1"/>
    <col min="11819" max="11819" width="9.5" style="255" customWidth="1"/>
    <col min="11820" max="11821" width="9" style="255" customWidth="1"/>
    <col min="11822" max="11822" width="16.125" style="255" customWidth="1"/>
    <col min="11823" max="11853" width="9" style="255" customWidth="1"/>
    <col min="11854" max="12013" width="25.25" style="255"/>
    <col min="12014" max="12043" width="9" style="255" customWidth="1"/>
    <col min="12044" max="12044" width="0.5" style="255" customWidth="1"/>
    <col min="12045" max="12045" width="25.25" style="255"/>
    <col min="12046" max="12046" width="0.5" style="255" customWidth="1"/>
    <col min="12047" max="12047" width="25.25" style="255"/>
    <col min="12048" max="12048" width="14.75" style="255" customWidth="1"/>
    <col min="12049" max="12049" width="11.5" style="255" customWidth="1"/>
    <col min="12050" max="12050" width="11.25" style="255" customWidth="1"/>
    <col min="12051" max="12051" width="10.75" style="255" customWidth="1"/>
    <col min="12052" max="12052" width="10" style="255" customWidth="1"/>
    <col min="12053" max="12053" width="9.875" style="255" customWidth="1"/>
    <col min="12054" max="12054" width="26.125" style="255" customWidth="1"/>
    <col min="12055" max="12055" width="11.125" style="255" customWidth="1"/>
    <col min="12056" max="12056" width="7.875" style="255" customWidth="1"/>
    <col min="12057" max="12057" width="7.25" style="255" customWidth="1"/>
    <col min="12058" max="12058" width="9.125" style="255" customWidth="1"/>
    <col min="12059" max="12059" width="15.125" style="255" customWidth="1"/>
    <col min="12060" max="12060" width="7.75" style="255" customWidth="1"/>
    <col min="12061" max="12061" width="7.125" style="255" customWidth="1"/>
    <col min="12062" max="12062" width="12.125" style="255" customWidth="1"/>
    <col min="12063" max="12063" width="8.25" style="255" customWidth="1"/>
    <col min="12064" max="12065" width="10.375" style="255" customWidth="1"/>
    <col min="12066" max="12066" width="15.625" style="255" customWidth="1"/>
    <col min="12067" max="12067" width="15.875" style="255" customWidth="1"/>
    <col min="12068" max="12068" width="8.125" style="255" customWidth="1"/>
    <col min="12069" max="12072" width="10.375" style="255" customWidth="1"/>
    <col min="12073" max="12073" width="7.25" style="255" customWidth="1"/>
    <col min="12074" max="12074" width="7.125" style="255" customWidth="1"/>
    <col min="12075" max="12075" width="9.5" style="255" customWidth="1"/>
    <col min="12076" max="12077" width="9" style="255" customWidth="1"/>
    <col min="12078" max="12078" width="16.125" style="255" customWidth="1"/>
    <col min="12079" max="12109" width="9" style="255" customWidth="1"/>
    <col min="12110" max="12269" width="25.25" style="255"/>
    <col min="12270" max="12299" width="9" style="255" customWidth="1"/>
    <col min="12300" max="12300" width="0.5" style="255" customWidth="1"/>
    <col min="12301" max="12301" width="25.25" style="255"/>
    <col min="12302" max="12302" width="0.5" style="255" customWidth="1"/>
    <col min="12303" max="12303" width="25.25" style="255"/>
    <col min="12304" max="12304" width="14.75" style="255" customWidth="1"/>
    <col min="12305" max="12305" width="11.5" style="255" customWidth="1"/>
    <col min="12306" max="12306" width="11.25" style="255" customWidth="1"/>
    <col min="12307" max="12307" width="10.75" style="255" customWidth="1"/>
    <col min="12308" max="12308" width="10" style="255" customWidth="1"/>
    <col min="12309" max="12309" width="9.875" style="255" customWidth="1"/>
    <col min="12310" max="12310" width="26.125" style="255" customWidth="1"/>
    <col min="12311" max="12311" width="11.125" style="255" customWidth="1"/>
    <col min="12312" max="12312" width="7.875" style="255" customWidth="1"/>
    <col min="12313" max="12313" width="7.25" style="255" customWidth="1"/>
    <col min="12314" max="12314" width="9.125" style="255" customWidth="1"/>
    <col min="12315" max="12315" width="15.125" style="255" customWidth="1"/>
    <col min="12316" max="12316" width="7.75" style="255" customWidth="1"/>
    <col min="12317" max="12317" width="7.125" style="255" customWidth="1"/>
    <col min="12318" max="12318" width="12.125" style="255" customWidth="1"/>
    <col min="12319" max="12319" width="8.25" style="255" customWidth="1"/>
    <col min="12320" max="12321" width="10.375" style="255" customWidth="1"/>
    <col min="12322" max="12322" width="15.625" style="255" customWidth="1"/>
    <col min="12323" max="12323" width="15.875" style="255" customWidth="1"/>
    <col min="12324" max="12324" width="8.125" style="255" customWidth="1"/>
    <col min="12325" max="12328" width="10.375" style="255" customWidth="1"/>
    <col min="12329" max="12329" width="7.25" style="255" customWidth="1"/>
    <col min="12330" max="12330" width="7.125" style="255" customWidth="1"/>
    <col min="12331" max="12331" width="9.5" style="255" customWidth="1"/>
    <col min="12332" max="12333" width="9" style="255" customWidth="1"/>
    <col min="12334" max="12334" width="16.125" style="255" customWidth="1"/>
    <col min="12335" max="12365" width="9" style="255" customWidth="1"/>
    <col min="12366" max="12525" width="25.25" style="255"/>
    <col min="12526" max="12555" width="9" style="255" customWidth="1"/>
    <col min="12556" max="12556" width="0.5" style="255" customWidth="1"/>
    <col min="12557" max="12557" width="25.25" style="255"/>
    <col min="12558" max="12558" width="0.5" style="255" customWidth="1"/>
    <col min="12559" max="12559" width="25.25" style="255"/>
    <col min="12560" max="12560" width="14.75" style="255" customWidth="1"/>
    <col min="12561" max="12561" width="11.5" style="255" customWidth="1"/>
    <col min="12562" max="12562" width="11.25" style="255" customWidth="1"/>
    <col min="12563" max="12563" width="10.75" style="255" customWidth="1"/>
    <col min="12564" max="12564" width="10" style="255" customWidth="1"/>
    <col min="12565" max="12565" width="9.875" style="255" customWidth="1"/>
    <col min="12566" max="12566" width="26.125" style="255" customWidth="1"/>
    <col min="12567" max="12567" width="11.125" style="255" customWidth="1"/>
    <col min="12568" max="12568" width="7.875" style="255" customWidth="1"/>
    <col min="12569" max="12569" width="7.25" style="255" customWidth="1"/>
    <col min="12570" max="12570" width="9.125" style="255" customWidth="1"/>
    <col min="12571" max="12571" width="15.125" style="255" customWidth="1"/>
    <col min="12572" max="12572" width="7.75" style="255" customWidth="1"/>
    <col min="12573" max="12573" width="7.125" style="255" customWidth="1"/>
    <col min="12574" max="12574" width="12.125" style="255" customWidth="1"/>
    <col min="12575" max="12575" width="8.25" style="255" customWidth="1"/>
    <col min="12576" max="12577" width="10.375" style="255" customWidth="1"/>
    <col min="12578" max="12578" width="15.625" style="255" customWidth="1"/>
    <col min="12579" max="12579" width="15.875" style="255" customWidth="1"/>
    <col min="12580" max="12580" width="8.125" style="255" customWidth="1"/>
    <col min="12581" max="12584" width="10.375" style="255" customWidth="1"/>
    <col min="12585" max="12585" width="7.25" style="255" customWidth="1"/>
    <col min="12586" max="12586" width="7.125" style="255" customWidth="1"/>
    <col min="12587" max="12587" width="9.5" style="255" customWidth="1"/>
    <col min="12588" max="12589" width="9" style="255" customWidth="1"/>
    <col min="12590" max="12590" width="16.125" style="255" customWidth="1"/>
    <col min="12591" max="12621" width="9" style="255" customWidth="1"/>
    <col min="12622" max="12781" width="25.25" style="255"/>
    <col min="12782" max="12811" width="9" style="255" customWidth="1"/>
    <col min="12812" max="12812" width="0.5" style="255" customWidth="1"/>
    <col min="12813" max="12813" width="25.25" style="255"/>
    <col min="12814" max="12814" width="0.5" style="255" customWidth="1"/>
    <col min="12815" max="12815" width="25.25" style="255"/>
    <col min="12816" max="12816" width="14.75" style="255" customWidth="1"/>
    <col min="12817" max="12817" width="11.5" style="255" customWidth="1"/>
    <col min="12818" max="12818" width="11.25" style="255" customWidth="1"/>
    <col min="12819" max="12819" width="10.75" style="255" customWidth="1"/>
    <col min="12820" max="12820" width="10" style="255" customWidth="1"/>
    <col min="12821" max="12821" width="9.875" style="255" customWidth="1"/>
    <col min="12822" max="12822" width="26.125" style="255" customWidth="1"/>
    <col min="12823" max="12823" width="11.125" style="255" customWidth="1"/>
    <col min="12824" max="12824" width="7.875" style="255" customWidth="1"/>
    <col min="12825" max="12825" width="7.25" style="255" customWidth="1"/>
    <col min="12826" max="12826" width="9.125" style="255" customWidth="1"/>
    <col min="12827" max="12827" width="15.125" style="255" customWidth="1"/>
    <col min="12828" max="12828" width="7.75" style="255" customWidth="1"/>
    <col min="12829" max="12829" width="7.125" style="255" customWidth="1"/>
    <col min="12830" max="12830" width="12.125" style="255" customWidth="1"/>
    <col min="12831" max="12831" width="8.25" style="255" customWidth="1"/>
    <col min="12832" max="12833" width="10.375" style="255" customWidth="1"/>
    <col min="12834" max="12834" width="15.625" style="255" customWidth="1"/>
    <col min="12835" max="12835" width="15.875" style="255" customWidth="1"/>
    <col min="12836" max="12836" width="8.125" style="255" customWidth="1"/>
    <col min="12837" max="12840" width="10.375" style="255" customWidth="1"/>
    <col min="12841" max="12841" width="7.25" style="255" customWidth="1"/>
    <col min="12842" max="12842" width="7.125" style="255" customWidth="1"/>
    <col min="12843" max="12843" width="9.5" style="255" customWidth="1"/>
    <col min="12844" max="12845" width="9" style="255" customWidth="1"/>
    <col min="12846" max="12846" width="16.125" style="255" customWidth="1"/>
    <col min="12847" max="12877" width="9" style="255" customWidth="1"/>
    <col min="12878" max="13037" width="25.25" style="255"/>
    <col min="13038" max="13067" width="9" style="255" customWidth="1"/>
    <col min="13068" max="13068" width="0.5" style="255" customWidth="1"/>
    <col min="13069" max="13069" width="25.25" style="255"/>
    <col min="13070" max="13070" width="0.5" style="255" customWidth="1"/>
    <col min="13071" max="13071" width="25.25" style="255"/>
    <col min="13072" max="13072" width="14.75" style="255" customWidth="1"/>
    <col min="13073" max="13073" width="11.5" style="255" customWidth="1"/>
    <col min="13074" max="13074" width="11.25" style="255" customWidth="1"/>
    <col min="13075" max="13075" width="10.75" style="255" customWidth="1"/>
    <col min="13076" max="13076" width="10" style="255" customWidth="1"/>
    <col min="13077" max="13077" width="9.875" style="255" customWidth="1"/>
    <col min="13078" max="13078" width="26.125" style="255" customWidth="1"/>
    <col min="13079" max="13079" width="11.125" style="255" customWidth="1"/>
    <col min="13080" max="13080" width="7.875" style="255" customWidth="1"/>
    <col min="13081" max="13081" width="7.25" style="255" customWidth="1"/>
    <col min="13082" max="13082" width="9.125" style="255" customWidth="1"/>
    <col min="13083" max="13083" width="15.125" style="255" customWidth="1"/>
    <col min="13084" max="13084" width="7.75" style="255" customWidth="1"/>
    <col min="13085" max="13085" width="7.125" style="255" customWidth="1"/>
    <col min="13086" max="13086" width="12.125" style="255" customWidth="1"/>
    <col min="13087" max="13087" width="8.25" style="255" customWidth="1"/>
    <col min="13088" max="13089" width="10.375" style="255" customWidth="1"/>
    <col min="13090" max="13090" width="15.625" style="255" customWidth="1"/>
    <col min="13091" max="13091" width="15.875" style="255" customWidth="1"/>
    <col min="13092" max="13092" width="8.125" style="255" customWidth="1"/>
    <col min="13093" max="13096" width="10.375" style="255" customWidth="1"/>
    <col min="13097" max="13097" width="7.25" style="255" customWidth="1"/>
    <col min="13098" max="13098" width="7.125" style="255" customWidth="1"/>
    <col min="13099" max="13099" width="9.5" style="255" customWidth="1"/>
    <col min="13100" max="13101" width="9" style="255" customWidth="1"/>
    <col min="13102" max="13102" width="16.125" style="255" customWidth="1"/>
    <col min="13103" max="13133" width="9" style="255" customWidth="1"/>
    <col min="13134" max="13293" width="25.25" style="255"/>
    <col min="13294" max="13323" width="9" style="255" customWidth="1"/>
    <col min="13324" max="13324" width="0.5" style="255" customWidth="1"/>
    <col min="13325" max="13325" width="25.25" style="255"/>
    <col min="13326" max="13326" width="0.5" style="255" customWidth="1"/>
    <col min="13327" max="13327" width="25.25" style="255"/>
    <col min="13328" max="13328" width="14.75" style="255" customWidth="1"/>
    <col min="13329" max="13329" width="11.5" style="255" customWidth="1"/>
    <col min="13330" max="13330" width="11.25" style="255" customWidth="1"/>
    <col min="13331" max="13331" width="10.75" style="255" customWidth="1"/>
    <col min="13332" max="13332" width="10" style="255" customWidth="1"/>
    <col min="13333" max="13333" width="9.875" style="255" customWidth="1"/>
    <col min="13334" max="13334" width="26.125" style="255" customWidth="1"/>
    <col min="13335" max="13335" width="11.125" style="255" customWidth="1"/>
    <col min="13336" max="13336" width="7.875" style="255" customWidth="1"/>
    <col min="13337" max="13337" width="7.25" style="255" customWidth="1"/>
    <col min="13338" max="13338" width="9.125" style="255" customWidth="1"/>
    <col min="13339" max="13339" width="15.125" style="255" customWidth="1"/>
    <col min="13340" max="13340" width="7.75" style="255" customWidth="1"/>
    <col min="13341" max="13341" width="7.125" style="255" customWidth="1"/>
    <col min="13342" max="13342" width="12.125" style="255" customWidth="1"/>
    <col min="13343" max="13343" width="8.25" style="255" customWidth="1"/>
    <col min="13344" max="13345" width="10.375" style="255" customWidth="1"/>
    <col min="13346" max="13346" width="15.625" style="255" customWidth="1"/>
    <col min="13347" max="13347" width="15.875" style="255" customWidth="1"/>
    <col min="13348" max="13348" width="8.125" style="255" customWidth="1"/>
    <col min="13349" max="13352" width="10.375" style="255" customWidth="1"/>
    <col min="13353" max="13353" width="7.25" style="255" customWidth="1"/>
    <col min="13354" max="13354" width="7.125" style="255" customWidth="1"/>
    <col min="13355" max="13355" width="9.5" style="255" customWidth="1"/>
    <col min="13356" max="13357" width="9" style="255" customWidth="1"/>
    <col min="13358" max="13358" width="16.125" style="255" customWidth="1"/>
    <col min="13359" max="13389" width="9" style="255" customWidth="1"/>
    <col min="13390" max="13549" width="25.25" style="255"/>
    <col min="13550" max="13579" width="9" style="255" customWidth="1"/>
    <col min="13580" max="13580" width="0.5" style="255" customWidth="1"/>
    <col min="13581" max="13581" width="25.25" style="255"/>
    <col min="13582" max="13582" width="0.5" style="255" customWidth="1"/>
    <col min="13583" max="13583" width="25.25" style="255"/>
    <col min="13584" max="13584" width="14.75" style="255" customWidth="1"/>
    <col min="13585" max="13585" width="11.5" style="255" customWidth="1"/>
    <col min="13586" max="13586" width="11.25" style="255" customWidth="1"/>
    <col min="13587" max="13587" width="10.75" style="255" customWidth="1"/>
    <col min="13588" max="13588" width="10" style="255" customWidth="1"/>
    <col min="13589" max="13589" width="9.875" style="255" customWidth="1"/>
    <col min="13590" max="13590" width="26.125" style="255" customWidth="1"/>
    <col min="13591" max="13591" width="11.125" style="255" customWidth="1"/>
    <col min="13592" max="13592" width="7.875" style="255" customWidth="1"/>
    <col min="13593" max="13593" width="7.25" style="255" customWidth="1"/>
    <col min="13594" max="13594" width="9.125" style="255" customWidth="1"/>
    <col min="13595" max="13595" width="15.125" style="255" customWidth="1"/>
    <col min="13596" max="13596" width="7.75" style="255" customWidth="1"/>
    <col min="13597" max="13597" width="7.125" style="255" customWidth="1"/>
    <col min="13598" max="13598" width="12.125" style="255" customWidth="1"/>
    <col min="13599" max="13599" width="8.25" style="255" customWidth="1"/>
    <col min="13600" max="13601" width="10.375" style="255" customWidth="1"/>
    <col min="13602" max="13602" width="15.625" style="255" customWidth="1"/>
    <col min="13603" max="13603" width="15.875" style="255" customWidth="1"/>
    <col min="13604" max="13604" width="8.125" style="255" customWidth="1"/>
    <col min="13605" max="13608" width="10.375" style="255" customWidth="1"/>
    <col min="13609" max="13609" width="7.25" style="255" customWidth="1"/>
    <col min="13610" max="13610" width="7.125" style="255" customWidth="1"/>
    <col min="13611" max="13611" width="9.5" style="255" customWidth="1"/>
    <col min="13612" max="13613" width="9" style="255" customWidth="1"/>
    <col min="13614" max="13614" width="16.125" style="255" customWidth="1"/>
    <col min="13615" max="13645" width="9" style="255" customWidth="1"/>
    <col min="13646" max="13805" width="25.25" style="255"/>
    <col min="13806" max="13835" width="9" style="255" customWidth="1"/>
    <col min="13836" max="13836" width="0.5" style="255" customWidth="1"/>
    <col min="13837" max="13837" width="25.25" style="255"/>
    <col min="13838" max="13838" width="0.5" style="255" customWidth="1"/>
    <col min="13839" max="13839" width="25.25" style="255"/>
    <col min="13840" max="13840" width="14.75" style="255" customWidth="1"/>
    <col min="13841" max="13841" width="11.5" style="255" customWidth="1"/>
    <col min="13842" max="13842" width="11.25" style="255" customWidth="1"/>
    <col min="13843" max="13843" width="10.75" style="255" customWidth="1"/>
    <col min="13844" max="13844" width="10" style="255" customWidth="1"/>
    <col min="13845" max="13845" width="9.875" style="255" customWidth="1"/>
    <col min="13846" max="13846" width="26.125" style="255" customWidth="1"/>
    <col min="13847" max="13847" width="11.125" style="255" customWidth="1"/>
    <col min="13848" max="13848" width="7.875" style="255" customWidth="1"/>
    <col min="13849" max="13849" width="7.25" style="255" customWidth="1"/>
    <col min="13850" max="13850" width="9.125" style="255" customWidth="1"/>
    <col min="13851" max="13851" width="15.125" style="255" customWidth="1"/>
    <col min="13852" max="13852" width="7.75" style="255" customWidth="1"/>
    <col min="13853" max="13853" width="7.125" style="255" customWidth="1"/>
    <col min="13854" max="13854" width="12.125" style="255" customWidth="1"/>
    <col min="13855" max="13855" width="8.25" style="255" customWidth="1"/>
    <col min="13856" max="13857" width="10.375" style="255" customWidth="1"/>
    <col min="13858" max="13858" width="15.625" style="255" customWidth="1"/>
    <col min="13859" max="13859" width="15.875" style="255" customWidth="1"/>
    <col min="13860" max="13860" width="8.125" style="255" customWidth="1"/>
    <col min="13861" max="13864" width="10.375" style="255" customWidth="1"/>
    <col min="13865" max="13865" width="7.25" style="255" customWidth="1"/>
    <col min="13866" max="13866" width="7.125" style="255" customWidth="1"/>
    <col min="13867" max="13867" width="9.5" style="255" customWidth="1"/>
    <col min="13868" max="13869" width="9" style="255" customWidth="1"/>
    <col min="13870" max="13870" width="16.125" style="255" customWidth="1"/>
    <col min="13871" max="13901" width="9" style="255" customWidth="1"/>
    <col min="13902" max="14061" width="25.25" style="255"/>
    <col min="14062" max="14091" width="9" style="255" customWidth="1"/>
    <col min="14092" max="14092" width="0.5" style="255" customWidth="1"/>
    <col min="14093" max="14093" width="25.25" style="255"/>
    <col min="14094" max="14094" width="0.5" style="255" customWidth="1"/>
    <col min="14095" max="14095" width="25.25" style="255"/>
    <col min="14096" max="14096" width="14.75" style="255" customWidth="1"/>
    <col min="14097" max="14097" width="11.5" style="255" customWidth="1"/>
    <col min="14098" max="14098" width="11.25" style="255" customWidth="1"/>
    <col min="14099" max="14099" width="10.75" style="255" customWidth="1"/>
    <col min="14100" max="14100" width="10" style="255" customWidth="1"/>
    <col min="14101" max="14101" width="9.875" style="255" customWidth="1"/>
    <col min="14102" max="14102" width="26.125" style="255" customWidth="1"/>
    <col min="14103" max="14103" width="11.125" style="255" customWidth="1"/>
    <col min="14104" max="14104" width="7.875" style="255" customWidth="1"/>
    <col min="14105" max="14105" width="7.25" style="255" customWidth="1"/>
    <col min="14106" max="14106" width="9.125" style="255" customWidth="1"/>
    <col min="14107" max="14107" width="15.125" style="255" customWidth="1"/>
    <col min="14108" max="14108" width="7.75" style="255" customWidth="1"/>
    <col min="14109" max="14109" width="7.125" style="255" customWidth="1"/>
    <col min="14110" max="14110" width="12.125" style="255" customWidth="1"/>
    <col min="14111" max="14111" width="8.25" style="255" customWidth="1"/>
    <col min="14112" max="14113" width="10.375" style="255" customWidth="1"/>
    <col min="14114" max="14114" width="15.625" style="255" customWidth="1"/>
    <col min="14115" max="14115" width="15.875" style="255" customWidth="1"/>
    <col min="14116" max="14116" width="8.125" style="255" customWidth="1"/>
    <col min="14117" max="14120" width="10.375" style="255" customWidth="1"/>
    <col min="14121" max="14121" width="7.25" style="255" customWidth="1"/>
    <col min="14122" max="14122" width="7.125" style="255" customWidth="1"/>
    <col min="14123" max="14123" width="9.5" style="255" customWidth="1"/>
    <col min="14124" max="14125" width="9" style="255" customWidth="1"/>
    <col min="14126" max="14126" width="16.125" style="255" customWidth="1"/>
    <col min="14127" max="14157" width="9" style="255" customWidth="1"/>
    <col min="14158" max="14317" width="25.25" style="255"/>
    <col min="14318" max="14347" width="9" style="255" customWidth="1"/>
    <col min="14348" max="14348" width="0.5" style="255" customWidth="1"/>
    <col min="14349" max="14349" width="25.25" style="255"/>
    <col min="14350" max="14350" width="0.5" style="255" customWidth="1"/>
    <col min="14351" max="14351" width="25.25" style="255"/>
    <col min="14352" max="14352" width="14.75" style="255" customWidth="1"/>
    <col min="14353" max="14353" width="11.5" style="255" customWidth="1"/>
    <col min="14354" max="14354" width="11.25" style="255" customWidth="1"/>
    <col min="14355" max="14355" width="10.75" style="255" customWidth="1"/>
    <col min="14356" max="14356" width="10" style="255" customWidth="1"/>
    <col min="14357" max="14357" width="9.875" style="255" customWidth="1"/>
    <col min="14358" max="14358" width="26.125" style="255" customWidth="1"/>
    <col min="14359" max="14359" width="11.125" style="255" customWidth="1"/>
    <col min="14360" max="14360" width="7.875" style="255" customWidth="1"/>
    <col min="14361" max="14361" width="7.25" style="255" customWidth="1"/>
    <col min="14362" max="14362" width="9.125" style="255" customWidth="1"/>
    <col min="14363" max="14363" width="15.125" style="255" customWidth="1"/>
    <col min="14364" max="14364" width="7.75" style="255" customWidth="1"/>
    <col min="14365" max="14365" width="7.125" style="255" customWidth="1"/>
    <col min="14366" max="14366" width="12.125" style="255" customWidth="1"/>
    <col min="14367" max="14367" width="8.25" style="255" customWidth="1"/>
    <col min="14368" max="14369" width="10.375" style="255" customWidth="1"/>
    <col min="14370" max="14370" width="15.625" style="255" customWidth="1"/>
    <col min="14371" max="14371" width="15.875" style="255" customWidth="1"/>
    <col min="14372" max="14372" width="8.125" style="255" customWidth="1"/>
    <col min="14373" max="14376" width="10.375" style="255" customWidth="1"/>
    <col min="14377" max="14377" width="7.25" style="255" customWidth="1"/>
    <col min="14378" max="14378" width="7.125" style="255" customWidth="1"/>
    <col min="14379" max="14379" width="9.5" style="255" customWidth="1"/>
    <col min="14380" max="14381" width="9" style="255" customWidth="1"/>
    <col min="14382" max="14382" width="16.125" style="255" customWidth="1"/>
    <col min="14383" max="14413" width="9" style="255" customWidth="1"/>
    <col min="14414" max="14573" width="25.25" style="255"/>
    <col min="14574" max="14603" width="9" style="255" customWidth="1"/>
    <col min="14604" max="14604" width="0.5" style="255" customWidth="1"/>
    <col min="14605" max="14605" width="25.25" style="255"/>
    <col min="14606" max="14606" width="0.5" style="255" customWidth="1"/>
    <col min="14607" max="14607" width="25.25" style="255"/>
    <col min="14608" max="14608" width="14.75" style="255" customWidth="1"/>
    <col min="14609" max="14609" width="11.5" style="255" customWidth="1"/>
    <col min="14610" max="14610" width="11.25" style="255" customWidth="1"/>
    <col min="14611" max="14611" width="10.75" style="255" customWidth="1"/>
    <col min="14612" max="14612" width="10" style="255" customWidth="1"/>
    <col min="14613" max="14613" width="9.875" style="255" customWidth="1"/>
    <col min="14614" max="14614" width="26.125" style="255" customWidth="1"/>
    <col min="14615" max="14615" width="11.125" style="255" customWidth="1"/>
    <col min="14616" max="14616" width="7.875" style="255" customWidth="1"/>
    <col min="14617" max="14617" width="7.25" style="255" customWidth="1"/>
    <col min="14618" max="14618" width="9.125" style="255" customWidth="1"/>
    <col min="14619" max="14619" width="15.125" style="255" customWidth="1"/>
    <col min="14620" max="14620" width="7.75" style="255" customWidth="1"/>
    <col min="14621" max="14621" width="7.125" style="255" customWidth="1"/>
    <col min="14622" max="14622" width="12.125" style="255" customWidth="1"/>
    <col min="14623" max="14623" width="8.25" style="255" customWidth="1"/>
    <col min="14624" max="14625" width="10.375" style="255" customWidth="1"/>
    <col min="14626" max="14626" width="15.625" style="255" customWidth="1"/>
    <col min="14627" max="14627" width="15.875" style="255" customWidth="1"/>
    <col min="14628" max="14628" width="8.125" style="255" customWidth="1"/>
    <col min="14629" max="14632" width="10.375" style="255" customWidth="1"/>
    <col min="14633" max="14633" width="7.25" style="255" customWidth="1"/>
    <col min="14634" max="14634" width="7.125" style="255" customWidth="1"/>
    <col min="14635" max="14635" width="9.5" style="255" customWidth="1"/>
    <col min="14636" max="14637" width="9" style="255" customWidth="1"/>
    <col min="14638" max="14638" width="16.125" style="255" customWidth="1"/>
    <col min="14639" max="14669" width="9" style="255" customWidth="1"/>
    <col min="14670" max="14829" width="25.25" style="255"/>
    <col min="14830" max="14859" width="9" style="255" customWidth="1"/>
    <col min="14860" max="14860" width="0.5" style="255" customWidth="1"/>
    <col min="14861" max="14861" width="25.25" style="255"/>
    <col min="14862" max="14862" width="0.5" style="255" customWidth="1"/>
    <col min="14863" max="14863" width="25.25" style="255"/>
    <col min="14864" max="14864" width="14.75" style="255" customWidth="1"/>
    <col min="14865" max="14865" width="11.5" style="255" customWidth="1"/>
    <col min="14866" max="14866" width="11.25" style="255" customWidth="1"/>
    <col min="14867" max="14867" width="10.75" style="255" customWidth="1"/>
    <col min="14868" max="14868" width="10" style="255" customWidth="1"/>
    <col min="14869" max="14869" width="9.875" style="255" customWidth="1"/>
    <col min="14870" max="14870" width="26.125" style="255" customWidth="1"/>
    <col min="14871" max="14871" width="11.125" style="255" customWidth="1"/>
    <col min="14872" max="14872" width="7.875" style="255" customWidth="1"/>
    <col min="14873" max="14873" width="7.25" style="255" customWidth="1"/>
    <col min="14874" max="14874" width="9.125" style="255" customWidth="1"/>
    <col min="14875" max="14875" width="15.125" style="255" customWidth="1"/>
    <col min="14876" max="14876" width="7.75" style="255" customWidth="1"/>
    <col min="14877" max="14877" width="7.125" style="255" customWidth="1"/>
    <col min="14878" max="14878" width="12.125" style="255" customWidth="1"/>
    <col min="14879" max="14879" width="8.25" style="255" customWidth="1"/>
    <col min="14880" max="14881" width="10.375" style="255" customWidth="1"/>
    <col min="14882" max="14882" width="15.625" style="255" customWidth="1"/>
    <col min="14883" max="14883" width="15.875" style="255" customWidth="1"/>
    <col min="14884" max="14884" width="8.125" style="255" customWidth="1"/>
    <col min="14885" max="14888" width="10.375" style="255" customWidth="1"/>
    <col min="14889" max="14889" width="7.25" style="255" customWidth="1"/>
    <col min="14890" max="14890" width="7.125" style="255" customWidth="1"/>
    <col min="14891" max="14891" width="9.5" style="255" customWidth="1"/>
    <col min="14892" max="14893" width="9" style="255" customWidth="1"/>
    <col min="14894" max="14894" width="16.125" style="255" customWidth="1"/>
    <col min="14895" max="14925" width="9" style="255" customWidth="1"/>
    <col min="14926" max="15085" width="25.25" style="255"/>
    <col min="15086" max="15115" width="9" style="255" customWidth="1"/>
    <col min="15116" max="15116" width="0.5" style="255" customWidth="1"/>
    <col min="15117" max="15117" width="25.25" style="255"/>
    <col min="15118" max="15118" width="0.5" style="255" customWidth="1"/>
    <col min="15119" max="15119" width="25.25" style="255"/>
    <col min="15120" max="15120" width="14.75" style="255" customWidth="1"/>
    <col min="15121" max="15121" width="11.5" style="255" customWidth="1"/>
    <col min="15122" max="15122" width="11.25" style="255" customWidth="1"/>
    <col min="15123" max="15123" width="10.75" style="255" customWidth="1"/>
    <col min="15124" max="15124" width="10" style="255" customWidth="1"/>
    <col min="15125" max="15125" width="9.875" style="255" customWidth="1"/>
    <col min="15126" max="15126" width="26.125" style="255" customWidth="1"/>
    <col min="15127" max="15127" width="11.125" style="255" customWidth="1"/>
    <col min="15128" max="15128" width="7.875" style="255" customWidth="1"/>
    <col min="15129" max="15129" width="7.25" style="255" customWidth="1"/>
    <col min="15130" max="15130" width="9.125" style="255" customWidth="1"/>
    <col min="15131" max="15131" width="15.125" style="255" customWidth="1"/>
    <col min="15132" max="15132" width="7.75" style="255" customWidth="1"/>
    <col min="15133" max="15133" width="7.125" style="255" customWidth="1"/>
    <col min="15134" max="15134" width="12.125" style="255" customWidth="1"/>
    <col min="15135" max="15135" width="8.25" style="255" customWidth="1"/>
    <col min="15136" max="15137" width="10.375" style="255" customWidth="1"/>
    <col min="15138" max="15138" width="15.625" style="255" customWidth="1"/>
    <col min="15139" max="15139" width="15.875" style="255" customWidth="1"/>
    <col min="15140" max="15140" width="8.125" style="255" customWidth="1"/>
    <col min="15141" max="15144" width="10.375" style="255" customWidth="1"/>
    <col min="15145" max="15145" width="7.25" style="255" customWidth="1"/>
    <col min="15146" max="15146" width="7.125" style="255" customWidth="1"/>
    <col min="15147" max="15147" width="9.5" style="255" customWidth="1"/>
    <col min="15148" max="15149" width="9" style="255" customWidth="1"/>
    <col min="15150" max="15150" width="16.125" style="255" customWidth="1"/>
    <col min="15151" max="15181" width="9" style="255" customWidth="1"/>
    <col min="15182" max="15341" width="25.25" style="255"/>
    <col min="15342" max="15371" width="9" style="255" customWidth="1"/>
    <col min="15372" max="15372" width="0.5" style="255" customWidth="1"/>
    <col min="15373" max="15373" width="25.25" style="255"/>
    <col min="15374" max="15374" width="0.5" style="255" customWidth="1"/>
    <col min="15375" max="15375" width="25.25" style="255"/>
    <col min="15376" max="15376" width="14.75" style="255" customWidth="1"/>
    <col min="15377" max="15377" width="11.5" style="255" customWidth="1"/>
    <col min="15378" max="15378" width="11.25" style="255" customWidth="1"/>
    <col min="15379" max="15379" width="10.75" style="255" customWidth="1"/>
    <col min="15380" max="15380" width="10" style="255" customWidth="1"/>
    <col min="15381" max="15381" width="9.875" style="255" customWidth="1"/>
    <col min="15382" max="15382" width="26.125" style="255" customWidth="1"/>
    <col min="15383" max="15383" width="11.125" style="255" customWidth="1"/>
    <col min="15384" max="15384" width="7.875" style="255" customWidth="1"/>
    <col min="15385" max="15385" width="7.25" style="255" customWidth="1"/>
    <col min="15386" max="15386" width="9.125" style="255" customWidth="1"/>
    <col min="15387" max="15387" width="15.125" style="255" customWidth="1"/>
    <col min="15388" max="15388" width="7.75" style="255" customWidth="1"/>
    <col min="15389" max="15389" width="7.125" style="255" customWidth="1"/>
    <col min="15390" max="15390" width="12.125" style="255" customWidth="1"/>
    <col min="15391" max="15391" width="8.25" style="255" customWidth="1"/>
    <col min="15392" max="15393" width="10.375" style="255" customWidth="1"/>
    <col min="15394" max="15394" width="15.625" style="255" customWidth="1"/>
    <col min="15395" max="15395" width="15.875" style="255" customWidth="1"/>
    <col min="15396" max="15396" width="8.125" style="255" customWidth="1"/>
    <col min="15397" max="15400" width="10.375" style="255" customWidth="1"/>
    <col min="15401" max="15401" width="7.25" style="255" customWidth="1"/>
    <col min="15402" max="15402" width="7.125" style="255" customWidth="1"/>
    <col min="15403" max="15403" width="9.5" style="255" customWidth="1"/>
    <col min="15404" max="15405" width="9" style="255" customWidth="1"/>
    <col min="15406" max="15406" width="16.125" style="255" customWidth="1"/>
    <col min="15407" max="15437" width="9" style="255" customWidth="1"/>
    <col min="15438" max="15597" width="25.25" style="255"/>
    <col min="15598" max="15627" width="9" style="255" customWidth="1"/>
    <col min="15628" max="15628" width="0.5" style="255" customWidth="1"/>
    <col min="15629" max="15629" width="25.25" style="255"/>
    <col min="15630" max="15630" width="0.5" style="255" customWidth="1"/>
    <col min="15631" max="15631" width="25.25" style="255"/>
    <col min="15632" max="15632" width="14.75" style="255" customWidth="1"/>
    <col min="15633" max="15633" width="11.5" style="255" customWidth="1"/>
    <col min="15634" max="15634" width="11.25" style="255" customWidth="1"/>
    <col min="15635" max="15635" width="10.75" style="255" customWidth="1"/>
    <col min="15636" max="15636" width="10" style="255" customWidth="1"/>
    <col min="15637" max="15637" width="9.875" style="255" customWidth="1"/>
    <col min="15638" max="15638" width="26.125" style="255" customWidth="1"/>
    <col min="15639" max="15639" width="11.125" style="255" customWidth="1"/>
    <col min="15640" max="15640" width="7.875" style="255" customWidth="1"/>
    <col min="15641" max="15641" width="7.25" style="255" customWidth="1"/>
    <col min="15642" max="15642" width="9.125" style="255" customWidth="1"/>
    <col min="15643" max="15643" width="15.125" style="255" customWidth="1"/>
    <col min="15644" max="15644" width="7.75" style="255" customWidth="1"/>
    <col min="15645" max="15645" width="7.125" style="255" customWidth="1"/>
    <col min="15646" max="15646" width="12.125" style="255" customWidth="1"/>
    <col min="15647" max="15647" width="8.25" style="255" customWidth="1"/>
    <col min="15648" max="15649" width="10.375" style="255" customWidth="1"/>
    <col min="15650" max="15650" width="15.625" style="255" customWidth="1"/>
    <col min="15651" max="15651" width="15.875" style="255" customWidth="1"/>
    <col min="15652" max="15652" width="8.125" style="255" customWidth="1"/>
    <col min="15653" max="15656" width="10.375" style="255" customWidth="1"/>
    <col min="15657" max="15657" width="7.25" style="255" customWidth="1"/>
    <col min="15658" max="15658" width="7.125" style="255" customWidth="1"/>
    <col min="15659" max="15659" width="9.5" style="255" customWidth="1"/>
    <col min="15660" max="15661" width="9" style="255" customWidth="1"/>
    <col min="15662" max="15662" width="16.125" style="255" customWidth="1"/>
    <col min="15663" max="15693" width="9" style="255" customWidth="1"/>
    <col min="15694" max="15853" width="25.25" style="255"/>
    <col min="15854" max="15883" width="9" style="255" customWidth="1"/>
    <col min="15884" max="15884" width="0.5" style="255" customWidth="1"/>
    <col min="15885" max="15885" width="25.25" style="255"/>
    <col min="15886" max="15886" width="0.5" style="255" customWidth="1"/>
    <col min="15887" max="15887" width="25.25" style="255"/>
    <col min="15888" max="15888" width="14.75" style="255" customWidth="1"/>
    <col min="15889" max="15889" width="11.5" style="255" customWidth="1"/>
    <col min="15890" max="15890" width="11.25" style="255" customWidth="1"/>
    <col min="15891" max="15891" width="10.75" style="255" customWidth="1"/>
    <col min="15892" max="15892" width="10" style="255" customWidth="1"/>
    <col min="15893" max="15893" width="9.875" style="255" customWidth="1"/>
    <col min="15894" max="15894" width="26.125" style="255" customWidth="1"/>
    <col min="15895" max="15895" width="11.125" style="255" customWidth="1"/>
    <col min="15896" max="15896" width="7.875" style="255" customWidth="1"/>
    <col min="15897" max="15897" width="7.25" style="255" customWidth="1"/>
    <col min="15898" max="15898" width="9.125" style="255" customWidth="1"/>
    <col min="15899" max="15899" width="15.125" style="255" customWidth="1"/>
    <col min="15900" max="15900" width="7.75" style="255" customWidth="1"/>
    <col min="15901" max="15901" width="7.125" style="255" customWidth="1"/>
    <col min="15902" max="15902" width="12.125" style="255" customWidth="1"/>
    <col min="15903" max="15903" width="8.25" style="255" customWidth="1"/>
    <col min="15904" max="15905" width="10.375" style="255" customWidth="1"/>
    <col min="15906" max="15906" width="15.625" style="255" customWidth="1"/>
    <col min="15907" max="15907" width="15.875" style="255" customWidth="1"/>
    <col min="15908" max="15908" width="8.125" style="255" customWidth="1"/>
    <col min="15909" max="15912" width="10.375" style="255" customWidth="1"/>
    <col min="15913" max="15913" width="7.25" style="255" customWidth="1"/>
    <col min="15914" max="15914" width="7.125" style="255" customWidth="1"/>
    <col min="15915" max="15915" width="9.5" style="255" customWidth="1"/>
    <col min="15916" max="15917" width="9" style="255" customWidth="1"/>
    <col min="15918" max="15918" width="16.125" style="255" customWidth="1"/>
    <col min="15919" max="15949" width="9" style="255" customWidth="1"/>
    <col min="15950" max="16109" width="25.25" style="255"/>
    <col min="16110" max="16139" width="9" style="255" customWidth="1"/>
    <col min="16140" max="16140" width="0.5" style="255" customWidth="1"/>
    <col min="16141" max="16384" width="25.25" style="255"/>
  </cols>
  <sheetData>
    <row r="1" spans="1:16" ht="14.25" thickBot="1"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1"/>
      <c r="O1" s="1"/>
      <c r="P1" s="1"/>
    </row>
    <row r="2" spans="1:16" ht="18" customHeight="1">
      <c r="A2" s="5"/>
      <c r="B2" s="6" t="s">
        <v>402</v>
      </c>
      <c r="C2" s="254"/>
      <c r="D2" s="254" t="s">
        <v>9</v>
      </c>
      <c r="E2" s="254" t="s">
        <v>10</v>
      </c>
      <c r="F2" s="661" t="s">
        <v>11</v>
      </c>
      <c r="G2" s="661"/>
      <c r="H2" s="661"/>
      <c r="I2" s="662" t="s">
        <v>12</v>
      </c>
      <c r="J2" s="664" t="s">
        <v>13</v>
      </c>
      <c r="K2" s="665"/>
      <c r="L2" s="665"/>
      <c r="M2" s="666"/>
      <c r="N2" s="8"/>
      <c r="O2" s="8"/>
      <c r="P2" s="8"/>
    </row>
    <row r="3" spans="1:16" ht="18" customHeight="1">
      <c r="B3" s="9" t="s">
        <v>14</v>
      </c>
      <c r="C3" s="10" t="s">
        <v>15</v>
      </c>
      <c r="D3" s="10" t="s">
        <v>16</v>
      </c>
      <c r="E3" s="10" t="s">
        <v>17</v>
      </c>
      <c r="F3" s="10" t="s">
        <v>7</v>
      </c>
      <c r="G3" s="10" t="s">
        <v>5</v>
      </c>
      <c r="H3" s="10" t="s">
        <v>18</v>
      </c>
      <c r="I3" s="663"/>
      <c r="J3" s="11" t="s">
        <v>19</v>
      </c>
      <c r="K3" s="12" t="s">
        <v>20</v>
      </c>
      <c r="L3" s="12" t="s">
        <v>21</v>
      </c>
      <c r="M3" s="13" t="s">
        <v>22</v>
      </c>
      <c r="N3" s="14"/>
      <c r="P3" s="15"/>
    </row>
    <row r="4" spans="1:16" ht="18" customHeight="1">
      <c r="B4" s="667" t="str">
        <f ca="1">MID(CELL("filename",Q13),FIND("]",CELL("filename",Q13))+1,30)</f>
        <v>C1117</v>
      </c>
      <c r="C4" s="17" t="s">
        <v>23</v>
      </c>
      <c r="D4" s="17">
        <v>1100</v>
      </c>
      <c r="E4" s="17">
        <v>1700</v>
      </c>
      <c r="F4" s="18">
        <v>1.74</v>
      </c>
      <c r="G4" s="17">
        <v>1</v>
      </c>
      <c r="H4" s="17">
        <f>F4*G4</f>
        <v>1.74</v>
      </c>
      <c r="I4" s="663"/>
      <c r="J4" s="19">
        <v>40</v>
      </c>
      <c r="K4" s="20">
        <v>20</v>
      </c>
      <c r="L4" s="21">
        <v>1.5</v>
      </c>
      <c r="M4" s="22">
        <f t="shared" ref="M4:M11" si="0">ROUND(((J4*K4)-(J4-2*L4)*(K4-2*L4))*7.8/1000,3)</f>
        <v>1.3340000000000001</v>
      </c>
    </row>
    <row r="5" spans="1:16" ht="18" customHeight="1">
      <c r="B5" s="668"/>
      <c r="C5" s="221" t="s">
        <v>299</v>
      </c>
      <c r="D5" s="221">
        <f>D4-70</f>
        <v>1030</v>
      </c>
      <c r="E5" s="221">
        <f>E4-70</f>
        <v>1630</v>
      </c>
      <c r="F5" s="222">
        <f>D5*E5/10^6</f>
        <v>1.6789000000000001</v>
      </c>
      <c r="G5" s="221">
        <v>1</v>
      </c>
      <c r="H5" s="222">
        <f>F5*G5</f>
        <v>1.6789000000000001</v>
      </c>
      <c r="I5" s="663"/>
      <c r="J5" s="19">
        <v>40</v>
      </c>
      <c r="K5" s="20">
        <v>20</v>
      </c>
      <c r="L5" s="21">
        <v>2</v>
      </c>
      <c r="M5" s="22">
        <f t="shared" si="0"/>
        <v>1.7470000000000001</v>
      </c>
    </row>
    <row r="6" spans="1:16" ht="18" customHeight="1">
      <c r="B6" s="669"/>
      <c r="C6" s="17" t="s">
        <v>24</v>
      </c>
      <c r="D6" s="17">
        <f>D4-80</f>
        <v>1020</v>
      </c>
      <c r="E6" s="17">
        <f>E4-80</f>
        <v>1620</v>
      </c>
      <c r="F6" s="18">
        <f>D6*E6/10^6</f>
        <v>1.6524000000000001</v>
      </c>
      <c r="G6" s="17">
        <v>1</v>
      </c>
      <c r="H6" s="18">
        <f>F6*G6</f>
        <v>1.6524000000000001</v>
      </c>
      <c r="I6" s="663"/>
      <c r="J6" s="19">
        <v>40</v>
      </c>
      <c r="K6" s="20">
        <v>20</v>
      </c>
      <c r="L6" s="21">
        <v>2</v>
      </c>
      <c r="M6" s="22">
        <f t="shared" si="0"/>
        <v>1.7470000000000001</v>
      </c>
    </row>
    <row r="7" spans="1:16" ht="18" customHeight="1">
      <c r="B7" s="23" t="s">
        <v>25</v>
      </c>
      <c r="C7" s="252" t="s">
        <v>16</v>
      </c>
      <c r="D7" s="252" t="s">
        <v>26</v>
      </c>
      <c r="E7" s="252" t="s">
        <v>17</v>
      </c>
      <c r="F7" s="252" t="s">
        <v>27</v>
      </c>
      <c r="G7" s="252" t="s">
        <v>22</v>
      </c>
      <c r="H7" s="252" t="s">
        <v>28</v>
      </c>
      <c r="I7" s="25" t="s">
        <v>29</v>
      </c>
      <c r="J7" s="19">
        <v>80</v>
      </c>
      <c r="K7" s="20">
        <v>40</v>
      </c>
      <c r="L7" s="21">
        <v>2</v>
      </c>
      <c r="M7" s="22">
        <f t="shared" si="0"/>
        <v>3.6190000000000002</v>
      </c>
    </row>
    <row r="8" spans="1:16" ht="18" customHeight="1">
      <c r="B8" s="251" t="s">
        <v>30</v>
      </c>
      <c r="C8" s="27">
        <f>D4-30</f>
        <v>1070</v>
      </c>
      <c r="D8" s="27">
        <v>2</v>
      </c>
      <c r="E8" s="27">
        <f>E4-30</f>
        <v>1670</v>
      </c>
      <c r="F8" s="27">
        <v>2</v>
      </c>
      <c r="G8" s="28">
        <v>1.7470000000000001</v>
      </c>
      <c r="H8" s="29">
        <f>材料价格!B3</f>
        <v>7.5</v>
      </c>
      <c r="I8" s="30">
        <f>ROUND((C8*D8+E8*F8)*G8*H8/1000*1.1,2)</f>
        <v>78.98</v>
      </c>
      <c r="J8" s="19">
        <v>40</v>
      </c>
      <c r="K8" s="20">
        <v>20</v>
      </c>
      <c r="L8" s="21">
        <v>1.4</v>
      </c>
      <c r="M8" s="22">
        <f>ROUND(((J8*K8)-(J8-2*L8)*(K8-2*L8))*2.71/1000,3)</f>
        <v>0.434</v>
      </c>
    </row>
    <row r="9" spans="1:16" ht="18" customHeight="1">
      <c r="B9" s="251" t="s">
        <v>30</v>
      </c>
      <c r="C9" s="250"/>
      <c r="D9" s="250"/>
      <c r="E9" s="250"/>
      <c r="F9" s="250"/>
      <c r="G9" s="28">
        <v>1.7470000000000001</v>
      </c>
      <c r="H9" s="32">
        <f>H8</f>
        <v>7.5</v>
      </c>
      <c r="I9" s="30">
        <f>ROUND((C9*D9+E9*F9)*G9*H9/1000*1.1,2)</f>
        <v>0</v>
      </c>
      <c r="J9" s="19"/>
      <c r="K9" s="20"/>
      <c r="L9" s="21"/>
      <c r="M9" s="22">
        <f t="shared" si="0"/>
        <v>0</v>
      </c>
    </row>
    <row r="10" spans="1:16" ht="18" customHeight="1">
      <c r="B10" s="251" t="s">
        <v>31</v>
      </c>
      <c r="C10" s="250"/>
      <c r="D10" s="250"/>
      <c r="E10" s="250"/>
      <c r="F10" s="250"/>
      <c r="G10" s="28">
        <v>3.6190000000000002</v>
      </c>
      <c r="H10" s="32">
        <f>H9</f>
        <v>7.5</v>
      </c>
      <c r="I10" s="30">
        <f>ROUND((C10*D10+E10*F10)*G10*H10/1000*1.1,2)</f>
        <v>0</v>
      </c>
      <c r="J10" s="19"/>
      <c r="K10" s="20"/>
      <c r="L10" s="12"/>
      <c r="M10" s="22">
        <f t="shared" si="0"/>
        <v>0</v>
      </c>
    </row>
    <row r="11" spans="1:16" ht="18" customHeight="1" thickBot="1">
      <c r="B11" s="251" t="s">
        <v>32</v>
      </c>
      <c r="C11" s="250"/>
      <c r="D11" s="250"/>
      <c r="E11" s="250"/>
      <c r="F11" s="250"/>
      <c r="G11" s="28">
        <v>2.9950000000000001</v>
      </c>
      <c r="H11" s="32">
        <f>H10</f>
        <v>7.5</v>
      </c>
      <c r="I11" s="30">
        <f>ROUND((C11*D11+E11*F11)*G11*H11/1000*1.1,2)</f>
        <v>0</v>
      </c>
      <c r="J11" s="33"/>
      <c r="K11" s="34"/>
      <c r="L11" s="35"/>
      <c r="M11" s="36">
        <f t="shared" si="0"/>
        <v>0</v>
      </c>
    </row>
    <row r="12" spans="1:16" ht="18" customHeight="1">
      <c r="B12" s="37" t="s">
        <v>33</v>
      </c>
      <c r="C12" s="38">
        <f>((I9+I10+I8+I11)/H8)/F4</f>
        <v>6.0521072796934865</v>
      </c>
      <c r="D12" s="39" t="s">
        <v>34</v>
      </c>
      <c r="E12" s="38">
        <f>(I9+I10+I8+I11)/F4</f>
        <v>45.390804597701155</v>
      </c>
      <c r="F12" s="40" t="s">
        <v>35</v>
      </c>
      <c r="G12" s="39"/>
      <c r="H12" s="39">
        <f>ROUND(SUM(I8:I11)/H8,2)</f>
        <v>10.53</v>
      </c>
      <c r="I12" s="41">
        <f>SUM(I8:I11)</f>
        <v>78.98</v>
      </c>
      <c r="J12" s="42"/>
    </row>
    <row r="13" spans="1:16" ht="18" customHeight="1">
      <c r="B13" s="23" t="s">
        <v>36</v>
      </c>
      <c r="C13" s="252" t="s">
        <v>14</v>
      </c>
      <c r="D13" s="252" t="s">
        <v>37</v>
      </c>
      <c r="E13" s="252" t="s">
        <v>38</v>
      </c>
      <c r="F13" s="252" t="s">
        <v>39</v>
      </c>
      <c r="G13" s="252" t="s">
        <v>8</v>
      </c>
      <c r="H13" s="252" t="s">
        <v>22</v>
      </c>
      <c r="I13" s="25" t="s">
        <v>40</v>
      </c>
    </row>
    <row r="14" spans="1:16" ht="18" customHeight="1">
      <c r="B14" s="648" t="s">
        <v>41</v>
      </c>
      <c r="C14" s="649" t="s">
        <v>404</v>
      </c>
      <c r="D14" s="250">
        <f>D6</f>
        <v>1020</v>
      </c>
      <c r="E14" s="250">
        <v>550</v>
      </c>
      <c r="F14" s="44">
        <f>ROUND((D14+E14)*2/1000,4)</f>
        <v>3.14</v>
      </c>
      <c r="G14" s="250">
        <v>1</v>
      </c>
      <c r="H14" s="250">
        <v>1.47</v>
      </c>
      <c r="I14" s="284">
        <f>ROUND(F14*G14*H14,3)*1.5</f>
        <v>6.9239999999999995</v>
      </c>
      <c r="J14" s="42"/>
      <c r="K14" s="46"/>
      <c r="L14" s="46"/>
      <c r="M14" s="42"/>
    </row>
    <row r="15" spans="1:16" ht="18" customHeight="1">
      <c r="B15" s="648"/>
      <c r="C15" s="650"/>
      <c r="D15" s="250">
        <f>D14</f>
        <v>1020</v>
      </c>
      <c r="E15" s="250">
        <f>E6-E14</f>
        <v>1070</v>
      </c>
      <c r="F15" s="44">
        <f t="shared" ref="F15:F21" si="1">ROUND((D15+E15)*2/1000,4)</f>
        <v>4.18</v>
      </c>
      <c r="G15" s="250">
        <v>1</v>
      </c>
      <c r="H15" s="250">
        <f t="shared" ref="H15:H21" si="2">H14</f>
        <v>1.47</v>
      </c>
      <c r="I15" s="247">
        <f t="shared" ref="I15:I21" si="3">ROUND(F15*G15*H15,3)</f>
        <v>6.1449999999999996</v>
      </c>
      <c r="K15" s="47"/>
      <c r="M15" s="255"/>
    </row>
    <row r="16" spans="1:16" ht="18" customHeight="1">
      <c r="B16" s="648"/>
      <c r="C16" s="650"/>
      <c r="D16" s="250"/>
      <c r="E16" s="250"/>
      <c r="F16" s="44">
        <f t="shared" si="1"/>
        <v>0</v>
      </c>
      <c r="G16" s="250"/>
      <c r="H16" s="250">
        <f t="shared" si="2"/>
        <v>1.47</v>
      </c>
      <c r="I16" s="247">
        <f t="shared" si="3"/>
        <v>0</v>
      </c>
      <c r="K16" s="47"/>
      <c r="L16" s="46"/>
      <c r="M16" s="42"/>
    </row>
    <row r="17" spans="2:15" ht="18" customHeight="1">
      <c r="B17" s="648"/>
      <c r="C17" s="650"/>
      <c r="D17" s="250"/>
      <c r="E17" s="250"/>
      <c r="F17" s="44">
        <f t="shared" si="1"/>
        <v>0</v>
      </c>
      <c r="G17" s="250"/>
      <c r="H17" s="250">
        <f t="shared" si="2"/>
        <v>1.47</v>
      </c>
      <c r="I17" s="247">
        <f t="shared" si="3"/>
        <v>0</v>
      </c>
      <c r="K17" s="47"/>
      <c r="M17" s="42"/>
    </row>
    <row r="18" spans="2:15" ht="18" customHeight="1">
      <c r="B18" s="648"/>
      <c r="C18" s="650"/>
      <c r="D18" s="250"/>
      <c r="E18" s="250"/>
      <c r="F18" s="44">
        <f t="shared" si="1"/>
        <v>0</v>
      </c>
      <c r="G18" s="250"/>
      <c r="H18" s="250">
        <f t="shared" si="2"/>
        <v>1.47</v>
      </c>
      <c r="I18" s="247">
        <f t="shared" si="3"/>
        <v>0</v>
      </c>
      <c r="M18" s="42"/>
    </row>
    <row r="19" spans="2:15" ht="18" customHeight="1">
      <c r="B19" s="648"/>
      <c r="C19" s="650"/>
      <c r="D19" s="250"/>
      <c r="E19" s="250"/>
      <c r="F19" s="44">
        <f t="shared" si="1"/>
        <v>0</v>
      </c>
      <c r="G19" s="250"/>
      <c r="H19" s="250">
        <f t="shared" si="2"/>
        <v>1.47</v>
      </c>
      <c r="I19" s="247">
        <f t="shared" si="3"/>
        <v>0</v>
      </c>
      <c r="M19" s="42"/>
    </row>
    <row r="20" spans="2:15" ht="18" customHeight="1">
      <c r="B20" s="648"/>
      <c r="C20" s="650"/>
      <c r="D20" s="250"/>
      <c r="E20" s="250"/>
      <c r="F20" s="44">
        <f t="shared" si="1"/>
        <v>0</v>
      </c>
      <c r="G20" s="250"/>
      <c r="H20" s="250">
        <f t="shared" si="2"/>
        <v>1.47</v>
      </c>
      <c r="I20" s="247">
        <f t="shared" si="3"/>
        <v>0</v>
      </c>
      <c r="K20" s="47"/>
      <c r="M20" s="42"/>
    </row>
    <row r="21" spans="2:15" ht="18" customHeight="1">
      <c r="B21" s="648"/>
      <c r="C21" s="651"/>
      <c r="D21" s="250"/>
      <c r="E21" s="250"/>
      <c r="F21" s="44">
        <f t="shared" si="1"/>
        <v>0</v>
      </c>
      <c r="G21" s="250"/>
      <c r="H21" s="250">
        <f t="shared" si="2"/>
        <v>1.47</v>
      </c>
      <c r="I21" s="247">
        <f t="shared" si="3"/>
        <v>0</v>
      </c>
    </row>
    <row r="22" spans="2:15" ht="18" customHeight="1">
      <c r="B22" s="48" t="s">
        <v>42</v>
      </c>
      <c r="C22" s="49">
        <f>SUMPRODUCT(F14:F21*G14:G21)</f>
        <v>7.32</v>
      </c>
      <c r="D22" s="50" t="s">
        <v>43</v>
      </c>
      <c r="E22" s="49">
        <f>SUM(I14:I21)*1.1</f>
        <v>14.3759</v>
      </c>
      <c r="F22" s="50" t="s">
        <v>44</v>
      </c>
      <c r="G22" s="51">
        <f>(C$218+C$219)/1000</f>
        <v>46.081499999999998</v>
      </c>
      <c r="H22" s="52" t="s">
        <v>45</v>
      </c>
      <c r="I22" s="53">
        <f>ROUND(E22*G22,2)</f>
        <v>662.46</v>
      </c>
      <c r="J22" s="243">
        <f>SUM(G14:G21)</f>
        <v>2</v>
      </c>
    </row>
    <row r="23" spans="2:15" ht="18" customHeight="1">
      <c r="B23" s="48" t="s">
        <v>46</v>
      </c>
      <c r="C23" s="50">
        <v>207.36</v>
      </c>
      <c r="D23" s="50" t="s">
        <v>47</v>
      </c>
      <c r="E23" s="49">
        <f>ROUND(C22*(C23/1000),2)</f>
        <v>1.52</v>
      </c>
      <c r="F23" s="50" t="s">
        <v>48</v>
      </c>
      <c r="G23" s="50">
        <v>10</v>
      </c>
      <c r="H23" s="52" t="s">
        <v>49</v>
      </c>
      <c r="I23" s="53">
        <f>E23*G23</f>
        <v>15.2</v>
      </c>
    </row>
    <row r="24" spans="2:15" ht="18" customHeight="1" thickBot="1">
      <c r="B24" s="48" t="s">
        <v>50</v>
      </c>
      <c r="C24" s="50">
        <v>169.96</v>
      </c>
      <c r="D24" s="50" t="s">
        <v>51</v>
      </c>
      <c r="E24" s="49">
        <f>ROUND(C22*(C24/1000),2)</f>
        <v>1.24</v>
      </c>
      <c r="F24" s="50" t="s">
        <v>48</v>
      </c>
      <c r="G24" s="50">
        <v>10</v>
      </c>
      <c r="H24" s="52" t="s">
        <v>49</v>
      </c>
      <c r="I24" s="53">
        <f>E24*G24</f>
        <v>12.4</v>
      </c>
    </row>
    <row r="25" spans="2:15" ht="18" hidden="1" customHeight="1">
      <c r="B25" s="23" t="s">
        <v>36</v>
      </c>
      <c r="C25" s="252" t="s">
        <v>14</v>
      </c>
      <c r="D25" s="252" t="s">
        <v>37</v>
      </c>
      <c r="E25" s="252" t="s">
        <v>38</v>
      </c>
      <c r="F25" s="252" t="s">
        <v>39</v>
      </c>
      <c r="G25" s="252" t="s">
        <v>8</v>
      </c>
      <c r="H25" s="252" t="s">
        <v>22</v>
      </c>
      <c r="I25" s="25" t="s">
        <v>40</v>
      </c>
      <c r="J25" s="54" t="s">
        <v>2</v>
      </c>
      <c r="K25" s="55" t="s">
        <v>3</v>
      </c>
      <c r="L25" s="55" t="s">
        <v>52</v>
      </c>
      <c r="M25" s="55" t="s">
        <v>53</v>
      </c>
      <c r="N25" s="56" t="s">
        <v>14</v>
      </c>
    </row>
    <row r="26" spans="2:15" ht="18" hidden="1" customHeight="1">
      <c r="B26" s="648" t="s">
        <v>54</v>
      </c>
      <c r="C26" s="649" t="s">
        <v>55</v>
      </c>
      <c r="D26" s="253">
        <f>J26-IF(L26=1,44,IF(L26=2,30,IF(L26=3,16,0)))</f>
        <v>0</v>
      </c>
      <c r="E26" s="253">
        <f>K26-IF(M26=1,44,IF(M26=2,30,IF(M26=3,16,0)))</f>
        <v>0</v>
      </c>
      <c r="F26" s="44">
        <f>ROUND((D26+E26)*2/1000,4)</f>
        <v>0</v>
      </c>
      <c r="G26" s="250"/>
      <c r="H26" s="58">
        <v>1.62</v>
      </c>
      <c r="I26" s="59">
        <f>IF(AND(D26&gt;0,E26&gt;0,F26&gt;0),F26*G26*H26,0)</f>
        <v>0</v>
      </c>
      <c r="J26" s="60"/>
      <c r="K26" s="61"/>
      <c r="L26" s="61"/>
      <c r="M26" s="61"/>
      <c r="N26" s="62" t="s">
        <v>56</v>
      </c>
      <c r="O26" s="63" t="s">
        <v>57</v>
      </c>
    </row>
    <row r="27" spans="2:15" ht="18" hidden="1" customHeight="1">
      <c r="B27" s="648"/>
      <c r="C27" s="650"/>
      <c r="D27" s="253">
        <f t="shared" ref="D27:E30" si="4">J27-IF(L27=1,44,IF(L27=2,30,IF(L27=3,16,0)))</f>
        <v>0</v>
      </c>
      <c r="E27" s="253">
        <f t="shared" si="4"/>
        <v>0</v>
      </c>
      <c r="F27" s="44">
        <f>ROUND((D27+E27)*2/1000,4)</f>
        <v>0</v>
      </c>
      <c r="G27" s="250"/>
      <c r="H27" s="58">
        <f>H26</f>
        <v>1.62</v>
      </c>
      <c r="I27" s="59">
        <f>IF(AND(D27&gt;0,E27&gt;0,F27&gt;0),F27*G27*H27,0)</f>
        <v>0</v>
      </c>
      <c r="J27" s="60"/>
      <c r="K27" s="61"/>
      <c r="L27" s="61"/>
      <c r="M27" s="61"/>
      <c r="N27" s="62" t="s">
        <v>58</v>
      </c>
      <c r="O27" s="63" t="s">
        <v>59</v>
      </c>
    </row>
    <row r="28" spans="2:15" ht="18" hidden="1" customHeight="1">
      <c r="B28" s="648"/>
      <c r="C28" s="650"/>
      <c r="D28" s="253">
        <f t="shared" si="4"/>
        <v>0</v>
      </c>
      <c r="E28" s="253">
        <f t="shared" si="4"/>
        <v>0</v>
      </c>
      <c r="F28" s="44">
        <f>ROUND((D28+E28)*2/1000,4)</f>
        <v>0</v>
      </c>
      <c r="G28" s="250"/>
      <c r="H28" s="58">
        <f>H27</f>
        <v>1.62</v>
      </c>
      <c r="I28" s="59">
        <f>IF(AND(D28&gt;0,E28&gt;0,F28&gt;0),F28*G28*H28,0)</f>
        <v>0</v>
      </c>
      <c r="J28" s="60"/>
      <c r="K28" s="61"/>
      <c r="L28" s="61"/>
      <c r="M28" s="61"/>
      <c r="N28" s="62" t="s">
        <v>60</v>
      </c>
      <c r="O28" s="63" t="s">
        <v>59</v>
      </c>
    </row>
    <row r="29" spans="2:15" ht="18" hidden="1" customHeight="1">
      <c r="B29" s="648"/>
      <c r="C29" s="650"/>
      <c r="D29" s="253">
        <f t="shared" si="4"/>
        <v>0</v>
      </c>
      <c r="E29" s="253">
        <f t="shared" si="4"/>
        <v>0</v>
      </c>
      <c r="F29" s="44">
        <f>ROUND((D29+E29)*2/1000,4)</f>
        <v>0</v>
      </c>
      <c r="G29" s="250"/>
      <c r="H29" s="58">
        <f>H28</f>
        <v>1.62</v>
      </c>
      <c r="I29" s="59">
        <f>IF(AND(D29&gt;0,E29&gt;0,F29&gt;0),F29*G29*H29,0)</f>
        <v>0</v>
      </c>
      <c r="J29" s="60"/>
      <c r="K29" s="61"/>
      <c r="L29" s="61"/>
      <c r="M29" s="61"/>
      <c r="N29" s="62"/>
    </row>
    <row r="30" spans="2:15" ht="18" hidden="1" customHeight="1" thickBot="1">
      <c r="B30" s="648"/>
      <c r="C30" s="651"/>
      <c r="D30" s="253">
        <f t="shared" si="4"/>
        <v>0</v>
      </c>
      <c r="E30" s="253">
        <f t="shared" si="4"/>
        <v>0</v>
      </c>
      <c r="F30" s="44">
        <f>ROUND((D30+E30)*2/1000,4)</f>
        <v>0</v>
      </c>
      <c r="G30" s="250"/>
      <c r="H30" s="58">
        <f>H29</f>
        <v>1.62</v>
      </c>
      <c r="I30" s="59">
        <f>IF(AND(D30&gt;0,E30&gt;0,F30&gt;0),F30*G30*H30,0)</f>
        <v>0</v>
      </c>
      <c r="J30" s="64"/>
      <c r="K30" s="65"/>
      <c r="L30" s="65"/>
      <c r="M30" s="65"/>
      <c r="N30" s="66"/>
    </row>
    <row r="31" spans="2:15" ht="18" hidden="1" customHeight="1">
      <c r="B31" s="48" t="s">
        <v>42</v>
      </c>
      <c r="C31" s="49">
        <f>SUMPRODUCT(F26:F30*G26:G30)</f>
        <v>0</v>
      </c>
      <c r="D31" s="50" t="s">
        <v>43</v>
      </c>
      <c r="E31" s="49">
        <f>SUM(I26:I30)*1.1</f>
        <v>0</v>
      </c>
      <c r="F31" s="50" t="s">
        <v>44</v>
      </c>
      <c r="G31" s="51">
        <f>(C$218+C$221)/1000</f>
        <v>46.081499999999998</v>
      </c>
      <c r="H31" s="52" t="s">
        <v>45</v>
      </c>
      <c r="I31" s="53">
        <f>ROUND(E31*G31,2)</f>
        <v>0</v>
      </c>
      <c r="J31" s="243">
        <f>SUM(G26:G30)</f>
        <v>0</v>
      </c>
    </row>
    <row r="32" spans="2:15" ht="18" hidden="1" customHeight="1">
      <c r="B32" s="48" t="s">
        <v>46</v>
      </c>
      <c r="C32" s="50">
        <v>183.32</v>
      </c>
      <c r="D32" s="50" t="s">
        <v>47</v>
      </c>
      <c r="E32" s="49">
        <f>ROUND(C31*(C32/1000),2)</f>
        <v>0</v>
      </c>
      <c r="F32" s="50" t="s">
        <v>48</v>
      </c>
      <c r="G32" s="50">
        <f>G$23</f>
        <v>10</v>
      </c>
      <c r="H32" s="52" t="s">
        <v>49</v>
      </c>
      <c r="I32" s="53">
        <f>E32*G32</f>
        <v>0</v>
      </c>
    </row>
    <row r="33" spans="2:14" ht="18" hidden="1" customHeight="1" thickBot="1">
      <c r="B33" s="48" t="s">
        <v>50</v>
      </c>
      <c r="C33" s="50">
        <v>257.82</v>
      </c>
      <c r="D33" s="50" t="s">
        <v>51</v>
      </c>
      <c r="E33" s="49">
        <f>ROUND(C31*(C33/1000),2)</f>
        <v>0</v>
      </c>
      <c r="F33" s="50" t="s">
        <v>48</v>
      </c>
      <c r="G33" s="50">
        <f>G$24</f>
        <v>10</v>
      </c>
      <c r="H33" s="52" t="s">
        <v>49</v>
      </c>
      <c r="I33" s="53">
        <f>E33*G33</f>
        <v>0</v>
      </c>
    </row>
    <row r="34" spans="2:14" ht="18" customHeight="1" thickBot="1">
      <c r="B34" s="67" t="s">
        <v>36</v>
      </c>
      <c r="C34" s="68" t="s">
        <v>14</v>
      </c>
      <c r="D34" s="68" t="s">
        <v>37</v>
      </c>
      <c r="E34" s="68" t="s">
        <v>38</v>
      </c>
      <c r="F34" s="68" t="s">
        <v>39</v>
      </c>
      <c r="G34" s="68" t="s">
        <v>8</v>
      </c>
      <c r="H34" s="68" t="s">
        <v>22</v>
      </c>
      <c r="I34" s="69" t="s">
        <v>40</v>
      </c>
      <c r="J34" s="54" t="s">
        <v>2</v>
      </c>
      <c r="K34" s="55" t="s">
        <v>3</v>
      </c>
      <c r="L34" s="55" t="s">
        <v>61</v>
      </c>
      <c r="M34" s="55" t="s">
        <v>62</v>
      </c>
      <c r="N34" s="70" t="s">
        <v>14</v>
      </c>
    </row>
    <row r="35" spans="2:14" ht="18" customHeight="1">
      <c r="B35" s="648" t="s">
        <v>63</v>
      </c>
      <c r="C35" s="649" t="s">
        <v>64</v>
      </c>
      <c r="D35" s="253">
        <f t="shared" ref="D35:E37" si="5">J35-IF(L35=1,44,IF(L35=2,30,IF(L35=3,16,IF(L35=11,118,IF(L35=12,100,IF(L35=13,76.8,0))))))</f>
        <v>480</v>
      </c>
      <c r="E35" s="253">
        <f t="shared" si="5"/>
        <v>1026</v>
      </c>
      <c r="F35" s="250">
        <f>ROUND((D35+E35)*2/1000,4)</f>
        <v>3.012</v>
      </c>
      <c r="G35" s="250">
        <v>2</v>
      </c>
      <c r="H35" s="58">
        <v>1.8140000000000001</v>
      </c>
      <c r="I35" s="59">
        <f>ROUND(F35*G35*H35,3)</f>
        <v>10.928000000000001</v>
      </c>
      <c r="J35" s="60">
        <f>D14/2</f>
        <v>510</v>
      </c>
      <c r="K35" s="61">
        <f>E15</f>
        <v>1070</v>
      </c>
      <c r="L35" s="61">
        <v>2</v>
      </c>
      <c r="M35" s="61">
        <v>1</v>
      </c>
      <c r="N35" s="71" t="s">
        <v>56</v>
      </c>
    </row>
    <row r="36" spans="2:14" ht="18" customHeight="1">
      <c r="B36" s="660"/>
      <c r="C36" s="650"/>
      <c r="D36" s="253">
        <f t="shared" si="5"/>
        <v>0</v>
      </c>
      <c r="E36" s="253">
        <f t="shared" si="5"/>
        <v>0</v>
      </c>
      <c r="F36" s="250">
        <f>ROUND((D36+E36)*2/1000,4)</f>
        <v>0</v>
      </c>
      <c r="G36" s="250"/>
      <c r="H36" s="58">
        <f>H35</f>
        <v>1.8140000000000001</v>
      </c>
      <c r="I36" s="59">
        <f>ROUND(F36*G36*H36,3)</f>
        <v>0</v>
      </c>
      <c r="J36" s="60"/>
      <c r="K36" s="61"/>
      <c r="L36" s="61"/>
      <c r="M36" s="61"/>
      <c r="N36" s="72" t="s">
        <v>58</v>
      </c>
    </row>
    <row r="37" spans="2:14" ht="18" customHeight="1">
      <c r="B37" s="660"/>
      <c r="C37" s="651"/>
      <c r="D37" s="253">
        <f t="shared" si="5"/>
        <v>0</v>
      </c>
      <c r="E37" s="253">
        <f t="shared" si="5"/>
        <v>0</v>
      </c>
      <c r="F37" s="250">
        <f>ROUND((D37+E37)*2/1000,4)</f>
        <v>0</v>
      </c>
      <c r="G37" s="250"/>
      <c r="H37" s="58">
        <f>H36</f>
        <v>1.8140000000000001</v>
      </c>
      <c r="I37" s="59">
        <f>ROUND(F37*G37*H37,3)</f>
        <v>0</v>
      </c>
      <c r="J37" s="60"/>
      <c r="K37" s="61"/>
      <c r="L37" s="61"/>
      <c r="M37" s="61"/>
      <c r="N37" s="72" t="s">
        <v>60</v>
      </c>
    </row>
    <row r="38" spans="2:14" ht="18" customHeight="1">
      <c r="B38" s="48" t="s">
        <v>42</v>
      </c>
      <c r="C38" s="49">
        <f>SUMPRODUCT(F35:F37*G35:G37)</f>
        <v>6.024</v>
      </c>
      <c r="D38" s="50" t="s">
        <v>43</v>
      </c>
      <c r="E38" s="49">
        <f>SUM(I35:I37)*1.1</f>
        <v>12.020800000000001</v>
      </c>
      <c r="F38" s="50" t="s">
        <v>44</v>
      </c>
      <c r="G38" s="51">
        <f>(C$218+C$219)/1000</f>
        <v>46.081499999999998</v>
      </c>
      <c r="H38" s="52" t="s">
        <v>45</v>
      </c>
      <c r="I38" s="53">
        <f>ROUND(E38*G38,2)</f>
        <v>553.94000000000005</v>
      </c>
      <c r="J38" s="243">
        <f>SUM(G35:G37)</f>
        <v>2</v>
      </c>
      <c r="K38" s="255"/>
      <c r="L38" s="255"/>
      <c r="M38" s="255"/>
      <c r="N38" s="73" t="s">
        <v>65</v>
      </c>
    </row>
    <row r="39" spans="2:14" ht="18" customHeight="1">
      <c r="B39" s="48" t="s">
        <v>46</v>
      </c>
      <c r="C39" s="50">
        <v>320.14</v>
      </c>
      <c r="D39" s="50" t="s">
        <v>47</v>
      </c>
      <c r="E39" s="49">
        <f>ROUND(C38*(C39/1000),2)</f>
        <v>1.93</v>
      </c>
      <c r="F39" s="50" t="s">
        <v>48</v>
      </c>
      <c r="G39" s="50">
        <f>G$23</f>
        <v>10</v>
      </c>
      <c r="H39" s="52" t="s">
        <v>49</v>
      </c>
      <c r="I39" s="53">
        <f>E39*G39</f>
        <v>19.3</v>
      </c>
      <c r="J39" s="255"/>
      <c r="K39" s="255"/>
      <c r="L39" s="255"/>
      <c r="M39" s="255"/>
      <c r="N39" s="73" t="s">
        <v>66</v>
      </c>
    </row>
    <row r="40" spans="2:14" ht="18" customHeight="1" thickBot="1">
      <c r="B40" s="48" t="s">
        <v>50</v>
      </c>
      <c r="C40" s="50">
        <v>156.99</v>
      </c>
      <c r="D40" s="50" t="s">
        <v>51</v>
      </c>
      <c r="E40" s="49">
        <f>ROUND(C38*(C40/1000),2)</f>
        <v>0.95</v>
      </c>
      <c r="F40" s="50" t="s">
        <v>48</v>
      </c>
      <c r="G40" s="50">
        <f>G$24</f>
        <v>10</v>
      </c>
      <c r="H40" s="52" t="s">
        <v>49</v>
      </c>
      <c r="I40" s="53">
        <f>E40*G40</f>
        <v>9.5</v>
      </c>
      <c r="J40" s="255"/>
      <c r="K40" s="255"/>
      <c r="L40" s="255"/>
      <c r="M40" s="255"/>
      <c r="N40" s="74" t="s">
        <v>67</v>
      </c>
    </row>
    <row r="41" spans="2:14" ht="18" customHeight="1" thickBot="1">
      <c r="B41" s="23" t="s">
        <v>36</v>
      </c>
      <c r="C41" s="252" t="s">
        <v>14</v>
      </c>
      <c r="D41" s="252" t="s">
        <v>37</v>
      </c>
      <c r="E41" s="252" t="s">
        <v>38</v>
      </c>
      <c r="F41" s="252" t="s">
        <v>39</v>
      </c>
      <c r="G41" s="252" t="s">
        <v>8</v>
      </c>
      <c r="H41" s="252" t="s">
        <v>22</v>
      </c>
      <c r="I41" s="25" t="s">
        <v>40</v>
      </c>
      <c r="J41" s="54" t="s">
        <v>2</v>
      </c>
      <c r="K41" s="55" t="s">
        <v>3</v>
      </c>
      <c r="L41" s="55" t="s">
        <v>61</v>
      </c>
      <c r="M41" s="55" t="s">
        <v>62</v>
      </c>
      <c r="N41" s="70" t="s">
        <v>14</v>
      </c>
    </row>
    <row r="42" spans="2:14" ht="18" customHeight="1">
      <c r="B42" s="648" t="s">
        <v>68</v>
      </c>
      <c r="C42" s="649" t="s">
        <v>69</v>
      </c>
      <c r="D42" s="253">
        <f>J42-IF(L42=1,46,IF(L42=2,34.5,IF(L42=3,23)))</f>
        <v>0</v>
      </c>
      <c r="E42" s="253">
        <f>K42-IF(M42=1,46,IF(M42=2,34.5,IF(M42=3,23)))</f>
        <v>0</v>
      </c>
      <c r="F42" s="250">
        <f t="shared" ref="F42:F47" si="6">ROUND((D42+E42)*2/1000,4)</f>
        <v>0</v>
      </c>
      <c r="G42" s="250"/>
      <c r="H42" s="250">
        <v>1.26</v>
      </c>
      <c r="I42" s="59">
        <f t="shared" ref="I42:I47" si="7">ROUND(F42*G42*H42,3)</f>
        <v>0</v>
      </c>
      <c r="J42" s="60"/>
      <c r="K42" s="61"/>
      <c r="L42" s="61"/>
      <c r="M42" s="61"/>
      <c r="N42" s="71" t="s">
        <v>56</v>
      </c>
    </row>
    <row r="43" spans="2:14" ht="18" customHeight="1">
      <c r="B43" s="648"/>
      <c r="C43" s="650"/>
      <c r="D43" s="253">
        <f t="shared" ref="D43:E47" si="8">J43-IF(L43=1,46,IF(L43=2,34.5,IF(L43=3,23)))</f>
        <v>0</v>
      </c>
      <c r="E43" s="253">
        <f t="shared" si="8"/>
        <v>0</v>
      </c>
      <c r="F43" s="250">
        <f t="shared" si="6"/>
        <v>0</v>
      </c>
      <c r="G43" s="250"/>
      <c r="H43" s="250">
        <f>H42</f>
        <v>1.26</v>
      </c>
      <c r="I43" s="59">
        <f t="shared" si="7"/>
        <v>0</v>
      </c>
      <c r="J43" s="60"/>
      <c r="K43" s="61"/>
      <c r="L43" s="61"/>
      <c r="M43" s="61"/>
      <c r="N43" s="72" t="s">
        <v>58</v>
      </c>
    </row>
    <row r="44" spans="2:14" ht="18" customHeight="1">
      <c r="B44" s="648"/>
      <c r="C44" s="651"/>
      <c r="D44" s="253">
        <f t="shared" si="8"/>
        <v>0</v>
      </c>
      <c r="E44" s="253">
        <f t="shared" si="8"/>
        <v>0</v>
      </c>
      <c r="F44" s="250">
        <f t="shared" si="6"/>
        <v>0</v>
      </c>
      <c r="G44" s="250"/>
      <c r="H44" s="250">
        <f>H43</f>
        <v>1.26</v>
      </c>
      <c r="I44" s="59">
        <f t="shared" si="7"/>
        <v>0</v>
      </c>
      <c r="J44" s="60"/>
      <c r="K44" s="61"/>
      <c r="L44" s="61"/>
      <c r="M44" s="61"/>
      <c r="N44" s="72" t="s">
        <v>60</v>
      </c>
    </row>
    <row r="45" spans="2:14" ht="18" customHeight="1">
      <c r="B45" s="648"/>
      <c r="C45" s="649" t="s">
        <v>70</v>
      </c>
      <c r="D45" s="253">
        <f t="shared" si="8"/>
        <v>0</v>
      </c>
      <c r="E45" s="253">
        <f t="shared" si="8"/>
        <v>0</v>
      </c>
      <c r="F45" s="250">
        <f t="shared" si="6"/>
        <v>0</v>
      </c>
      <c r="G45" s="250"/>
      <c r="H45" s="250">
        <f>H44</f>
        <v>1.26</v>
      </c>
      <c r="I45" s="59">
        <f t="shared" si="7"/>
        <v>0</v>
      </c>
      <c r="J45" s="60"/>
      <c r="K45" s="61"/>
      <c r="L45" s="61"/>
      <c r="M45" s="61"/>
      <c r="N45" s="71" t="s">
        <v>56</v>
      </c>
    </row>
    <row r="46" spans="2:14" ht="18" customHeight="1">
      <c r="B46" s="648"/>
      <c r="C46" s="650"/>
      <c r="D46" s="253">
        <f t="shared" si="8"/>
        <v>0</v>
      </c>
      <c r="E46" s="253">
        <f t="shared" si="8"/>
        <v>0</v>
      </c>
      <c r="F46" s="250">
        <f t="shared" si="6"/>
        <v>0</v>
      </c>
      <c r="G46" s="250"/>
      <c r="H46" s="250">
        <f>H45</f>
        <v>1.26</v>
      </c>
      <c r="I46" s="59">
        <f t="shared" si="7"/>
        <v>0</v>
      </c>
      <c r="J46" s="60"/>
      <c r="K46" s="61"/>
      <c r="L46" s="61"/>
      <c r="M46" s="61"/>
      <c r="N46" s="72" t="s">
        <v>58</v>
      </c>
    </row>
    <row r="47" spans="2:14" ht="18" customHeight="1" thickBot="1">
      <c r="B47" s="648"/>
      <c r="C47" s="651"/>
      <c r="D47" s="253">
        <f t="shared" si="8"/>
        <v>0</v>
      </c>
      <c r="E47" s="253">
        <f t="shared" si="8"/>
        <v>0</v>
      </c>
      <c r="F47" s="250">
        <f t="shared" si="6"/>
        <v>0</v>
      </c>
      <c r="G47" s="250"/>
      <c r="H47" s="250">
        <f>H46</f>
        <v>1.26</v>
      </c>
      <c r="I47" s="59">
        <f t="shared" si="7"/>
        <v>0</v>
      </c>
      <c r="J47" s="64"/>
      <c r="K47" s="65"/>
      <c r="L47" s="65"/>
      <c r="M47" s="65"/>
      <c r="N47" s="75" t="s">
        <v>60</v>
      </c>
    </row>
    <row r="48" spans="2:14" ht="18" customHeight="1">
      <c r="B48" s="48" t="s">
        <v>42</v>
      </c>
      <c r="C48" s="49">
        <f>SUMPRODUCT(F42:F47*G42:G47)</f>
        <v>0</v>
      </c>
      <c r="D48" s="50" t="s">
        <v>43</v>
      </c>
      <c r="E48" s="49">
        <f>SUM(I42:I47)*1.1</f>
        <v>0</v>
      </c>
      <c r="F48" s="50" t="s">
        <v>44</v>
      </c>
      <c r="G48" s="51">
        <f>(C$218+C$219)/1000</f>
        <v>46.081499999999998</v>
      </c>
      <c r="H48" s="52" t="s">
        <v>45</v>
      </c>
      <c r="I48" s="53">
        <f>ROUND(E48*G48,2)</f>
        <v>0</v>
      </c>
      <c r="J48" s="243">
        <f>SUM(G42:G47)</f>
        <v>0</v>
      </c>
      <c r="K48" s="255"/>
      <c r="L48" s="255"/>
      <c r="M48" s="255"/>
    </row>
    <row r="49" spans="2:14" ht="18" customHeight="1">
      <c r="B49" s="48" t="s">
        <v>46</v>
      </c>
      <c r="C49" s="50">
        <v>132.47999999999999</v>
      </c>
      <c r="D49" s="50" t="s">
        <v>47</v>
      </c>
      <c r="E49" s="49">
        <f>ROUND(C48*(C49/1000),2)</f>
        <v>0</v>
      </c>
      <c r="F49" s="50" t="s">
        <v>48</v>
      </c>
      <c r="G49" s="50">
        <f>G$23</f>
        <v>10</v>
      </c>
      <c r="H49" s="52" t="s">
        <v>49</v>
      </c>
      <c r="I49" s="53">
        <f>E49*G49</f>
        <v>0</v>
      </c>
      <c r="J49" s="255"/>
      <c r="K49" s="255"/>
      <c r="L49" s="255"/>
      <c r="M49" s="255"/>
    </row>
    <row r="50" spans="2:14" ht="18" customHeight="1" thickBot="1">
      <c r="B50" s="48" t="s">
        <v>50</v>
      </c>
      <c r="C50" s="50">
        <v>202.06</v>
      </c>
      <c r="D50" s="50" t="s">
        <v>51</v>
      </c>
      <c r="E50" s="49">
        <f>ROUND(C48*(C50/1000),2)</f>
        <v>0</v>
      </c>
      <c r="F50" s="50" t="s">
        <v>48</v>
      </c>
      <c r="G50" s="50">
        <f>G$24</f>
        <v>10</v>
      </c>
      <c r="H50" s="52" t="s">
        <v>49</v>
      </c>
      <c r="I50" s="53">
        <f>E50*G50</f>
        <v>0</v>
      </c>
      <c r="J50" s="255"/>
    </row>
    <row r="51" spans="2:14" ht="18" customHeight="1" thickBot="1">
      <c r="B51" s="23" t="s">
        <v>36</v>
      </c>
      <c r="C51" s="252" t="s">
        <v>14</v>
      </c>
      <c r="D51" s="252" t="s">
        <v>37</v>
      </c>
      <c r="E51" s="252" t="s">
        <v>71</v>
      </c>
      <c r="F51" s="252" t="s">
        <v>38</v>
      </c>
      <c r="G51" s="252" t="s">
        <v>72</v>
      </c>
      <c r="H51" s="252" t="s">
        <v>22</v>
      </c>
      <c r="I51" s="25" t="s">
        <v>40</v>
      </c>
      <c r="J51" s="54" t="s">
        <v>2</v>
      </c>
      <c r="K51" s="55" t="s">
        <v>3</v>
      </c>
      <c r="L51" s="55" t="s">
        <v>61</v>
      </c>
      <c r="M51" s="55" t="s">
        <v>62</v>
      </c>
      <c r="N51" s="70" t="s">
        <v>14</v>
      </c>
    </row>
    <row r="52" spans="2:14" ht="18" customHeight="1">
      <c r="B52" s="648" t="s">
        <v>73</v>
      </c>
      <c r="C52" s="649" t="s">
        <v>405</v>
      </c>
      <c r="D52" s="253">
        <f>J52-IF(L52=1,46,IF(L52=2,32,IF(L52=3,18,0)))</f>
        <v>0</v>
      </c>
      <c r="E52" s="253"/>
      <c r="F52" s="253">
        <f>K52-IF(M52=1,46,IF(M52=2,32,IF(M52=3,118,0)))</f>
        <v>1024</v>
      </c>
      <c r="G52" s="250">
        <v>1</v>
      </c>
      <c r="H52" s="250">
        <v>1.6379999999999999</v>
      </c>
      <c r="I52" s="59">
        <f>ROUND((D52*E52+F52*G52)/1000*H52,3)</f>
        <v>1.677</v>
      </c>
      <c r="J52" s="60"/>
      <c r="K52" s="61">
        <f>K35</f>
        <v>1070</v>
      </c>
      <c r="L52" s="61"/>
      <c r="M52" s="61">
        <v>1</v>
      </c>
      <c r="N52" s="76" t="s">
        <v>56</v>
      </c>
    </row>
    <row r="53" spans="2:14" ht="18" customHeight="1">
      <c r="B53" s="648"/>
      <c r="C53" s="650"/>
      <c r="D53" s="253">
        <f t="shared" ref="D53:D55" si="9">J53-IF(L53=1,46,IF(L53=2,32,IF(L53=3,18,0)))</f>
        <v>0</v>
      </c>
      <c r="E53" s="253"/>
      <c r="F53" s="253">
        <f t="shared" ref="F53:F55" si="10">K53-IF(M53=1,46,IF(M53=2,32,IF(M53=3,118,0)))</f>
        <v>0</v>
      </c>
      <c r="G53" s="250"/>
      <c r="H53" s="250">
        <f>H52</f>
        <v>1.6379999999999999</v>
      </c>
      <c r="I53" s="59">
        <f>ROUND((D53*E53+F53*G53)/1000*H53,3)</f>
        <v>0</v>
      </c>
      <c r="J53" s="60"/>
      <c r="K53" s="61"/>
      <c r="L53" s="61"/>
      <c r="M53" s="61"/>
      <c r="N53" s="76" t="s">
        <v>58</v>
      </c>
    </row>
    <row r="54" spans="2:14" ht="18" customHeight="1">
      <c r="B54" s="648"/>
      <c r="C54" s="650"/>
      <c r="D54" s="253">
        <f t="shared" si="9"/>
        <v>0</v>
      </c>
      <c r="E54" s="253"/>
      <c r="F54" s="253">
        <f t="shared" si="10"/>
        <v>0</v>
      </c>
      <c r="G54" s="250"/>
      <c r="H54" s="250">
        <f>H53</f>
        <v>1.6379999999999999</v>
      </c>
      <c r="I54" s="59">
        <f>ROUND((D54*E54+F54*G54)/1000*H54,3)</f>
        <v>0</v>
      </c>
      <c r="J54" s="60"/>
      <c r="K54" s="61"/>
      <c r="L54" s="61"/>
      <c r="M54" s="61"/>
      <c r="N54" s="76" t="s">
        <v>60</v>
      </c>
    </row>
    <row r="55" spans="2:14" ht="18" customHeight="1" thickBot="1">
      <c r="B55" s="648"/>
      <c r="C55" s="651"/>
      <c r="D55" s="253">
        <f t="shared" si="9"/>
        <v>0</v>
      </c>
      <c r="E55" s="253"/>
      <c r="F55" s="253">
        <f t="shared" si="10"/>
        <v>0</v>
      </c>
      <c r="G55" s="250"/>
      <c r="H55" s="77">
        <f>H54</f>
        <v>1.6379999999999999</v>
      </c>
      <c r="I55" s="59">
        <f>ROUND((D55*E55+F55*G55)/1000*H55,3)</f>
        <v>0</v>
      </c>
      <c r="J55" s="78"/>
      <c r="K55" s="79"/>
      <c r="L55" s="79"/>
      <c r="M55" s="79"/>
      <c r="N55" s="80"/>
    </row>
    <row r="56" spans="2:14" ht="18" customHeight="1">
      <c r="B56" s="48" t="s">
        <v>42</v>
      </c>
      <c r="C56" s="49">
        <f>SUMPRODUCT(D52:D55*E52:E55+F52:F55*G52:G55)/1000</f>
        <v>1.024</v>
      </c>
      <c r="D56" s="50" t="s">
        <v>43</v>
      </c>
      <c r="E56" s="49">
        <f>SUM(I52:I55)*1.1</f>
        <v>1.8447000000000002</v>
      </c>
      <c r="F56" s="50" t="s">
        <v>44</v>
      </c>
      <c r="G56" s="51">
        <f>(C$218+C$219)/1000</f>
        <v>46.081499999999998</v>
      </c>
      <c r="H56" s="52" t="s">
        <v>45</v>
      </c>
      <c r="I56" s="53">
        <f>ROUND(E56*G56,2)</f>
        <v>85.01</v>
      </c>
      <c r="J56" s="243">
        <f>SUM(E52:E55)+SUM(G52:G55)</f>
        <v>1</v>
      </c>
    </row>
    <row r="57" spans="2:14" ht="18" customHeight="1">
      <c r="B57" s="48" t="s">
        <v>46</v>
      </c>
      <c r="C57" s="50">
        <v>265.52999999999997</v>
      </c>
      <c r="D57" s="50" t="s">
        <v>47</v>
      </c>
      <c r="E57" s="49">
        <f>ROUND(C56*(C57/1000),2)</f>
        <v>0.27</v>
      </c>
      <c r="F57" s="50" t="s">
        <v>48</v>
      </c>
      <c r="G57" s="50">
        <f>G$23</f>
        <v>10</v>
      </c>
      <c r="H57" s="52" t="s">
        <v>49</v>
      </c>
      <c r="I57" s="53">
        <f>E57*G57</f>
        <v>2.7</v>
      </c>
      <c r="L57" s="47"/>
    </row>
    <row r="58" spans="2:14" ht="18" customHeight="1">
      <c r="B58" s="48" t="s">
        <v>50</v>
      </c>
      <c r="C58" s="50">
        <v>173.62</v>
      </c>
      <c r="D58" s="50" t="s">
        <v>51</v>
      </c>
      <c r="E58" s="49">
        <f>ROUND(C56*(C58/1000),2)</f>
        <v>0.18</v>
      </c>
      <c r="F58" s="50" t="s">
        <v>48</v>
      </c>
      <c r="G58" s="50">
        <f>G$24</f>
        <v>10</v>
      </c>
      <c r="H58" s="52" t="s">
        <v>49</v>
      </c>
      <c r="I58" s="53">
        <f>E58*G58</f>
        <v>1.7999999999999998</v>
      </c>
      <c r="L58" s="47"/>
    </row>
    <row r="59" spans="2:14" ht="18" customHeight="1">
      <c r="B59" s="23" t="s">
        <v>36</v>
      </c>
      <c r="C59" s="252" t="s">
        <v>14</v>
      </c>
      <c r="D59" s="652" t="s">
        <v>74</v>
      </c>
      <c r="E59" s="652"/>
      <c r="F59" s="652"/>
      <c r="G59" s="252" t="s">
        <v>75</v>
      </c>
      <c r="H59" s="252" t="s">
        <v>22</v>
      </c>
      <c r="I59" s="25" t="s">
        <v>40</v>
      </c>
      <c r="L59" s="47"/>
    </row>
    <row r="60" spans="2:14" ht="18" customHeight="1">
      <c r="B60" s="648" t="s">
        <v>76</v>
      </c>
      <c r="C60" s="649" t="s">
        <v>77</v>
      </c>
      <c r="D60" s="646"/>
      <c r="E60" s="646"/>
      <c r="F60" s="646"/>
      <c r="G60" s="250"/>
      <c r="H60" s="250">
        <v>1.9339999999999999</v>
      </c>
      <c r="I60" s="59">
        <f>ROUND(D60*G60*H60/1000,3)</f>
        <v>0</v>
      </c>
      <c r="L60" s="47"/>
    </row>
    <row r="61" spans="2:14" ht="18" customHeight="1">
      <c r="B61" s="648"/>
      <c r="C61" s="651"/>
      <c r="D61" s="646"/>
      <c r="E61" s="646"/>
      <c r="F61" s="646"/>
      <c r="G61" s="250"/>
      <c r="H61" s="250">
        <v>1.9339999999999999</v>
      </c>
      <c r="I61" s="59">
        <f>ROUND(D61*G61*H61/1000,3)</f>
        <v>0</v>
      </c>
    </row>
    <row r="62" spans="2:14" ht="18" customHeight="1">
      <c r="B62" s="648"/>
      <c r="C62" s="649" t="s">
        <v>78</v>
      </c>
      <c r="D62" s="646"/>
      <c r="E62" s="646"/>
      <c r="F62" s="646"/>
      <c r="G62" s="250"/>
      <c r="H62" s="250">
        <v>2.3130000000000002</v>
      </c>
      <c r="I62" s="59">
        <f>ROUND(D62*G62*H62/1000,3)</f>
        <v>0</v>
      </c>
    </row>
    <row r="63" spans="2:14" ht="18" customHeight="1">
      <c r="B63" s="648"/>
      <c r="C63" s="651"/>
      <c r="D63" s="646"/>
      <c r="E63" s="646"/>
      <c r="F63" s="646"/>
      <c r="G63" s="250"/>
      <c r="H63" s="250">
        <v>2.3130000000000002</v>
      </c>
      <c r="I63" s="59">
        <f>ROUND(D63*G63*H63/1000,3)</f>
        <v>0</v>
      </c>
    </row>
    <row r="64" spans="2:14" ht="18" customHeight="1">
      <c r="B64" s="48" t="s">
        <v>42</v>
      </c>
      <c r="C64" s="49">
        <f>SUMPRODUCT(D60:F63*G60:G63)/1000</f>
        <v>0</v>
      </c>
      <c r="D64" s="50" t="s">
        <v>43</v>
      </c>
      <c r="E64" s="49">
        <f>SUM(I60:I63)*1.1</f>
        <v>0</v>
      </c>
      <c r="F64" s="50" t="s">
        <v>44</v>
      </c>
      <c r="G64" s="51">
        <f>(C$218+C$219)/1000</f>
        <v>46.081499999999998</v>
      </c>
      <c r="H64" s="52" t="s">
        <v>45</v>
      </c>
      <c r="I64" s="53">
        <f>ROUND(E64*G64,2)</f>
        <v>0</v>
      </c>
      <c r="J64" s="43">
        <f>SUM(G60:G63)</f>
        <v>0</v>
      </c>
    </row>
    <row r="65" spans="2:14" ht="18" customHeight="1">
      <c r="B65" s="48" t="s">
        <v>46</v>
      </c>
      <c r="C65" s="50">
        <v>337.92</v>
      </c>
      <c r="D65" s="50" t="s">
        <v>47</v>
      </c>
      <c r="E65" s="49">
        <f>ROUND(C64*(C65/1000),2)</f>
        <v>0</v>
      </c>
      <c r="F65" s="50" t="s">
        <v>48</v>
      </c>
      <c r="G65" s="50">
        <f>G$23</f>
        <v>10</v>
      </c>
      <c r="H65" s="52" t="s">
        <v>49</v>
      </c>
      <c r="I65" s="53">
        <f>E65*G65</f>
        <v>0</v>
      </c>
    </row>
    <row r="66" spans="2:14" ht="18" customHeight="1" thickBot="1">
      <c r="B66" s="48" t="s">
        <v>50</v>
      </c>
      <c r="C66" s="50">
        <v>175.93</v>
      </c>
      <c r="D66" s="50" t="s">
        <v>51</v>
      </c>
      <c r="E66" s="49">
        <f>ROUND(C64*(C66/1000),2)</f>
        <v>0</v>
      </c>
      <c r="F66" s="50" t="s">
        <v>48</v>
      </c>
      <c r="G66" s="50">
        <f>G$24</f>
        <v>10</v>
      </c>
      <c r="H66" s="52" t="s">
        <v>49</v>
      </c>
      <c r="I66" s="53">
        <f>E66*G66</f>
        <v>0</v>
      </c>
    </row>
    <row r="67" spans="2:14" ht="18" customHeight="1" thickBot="1">
      <c r="B67" s="23" t="s">
        <v>36</v>
      </c>
      <c r="C67" s="252" t="s">
        <v>14</v>
      </c>
      <c r="D67" s="252" t="s">
        <v>37</v>
      </c>
      <c r="E67" s="252" t="s">
        <v>38</v>
      </c>
      <c r="F67" s="252" t="s">
        <v>39</v>
      </c>
      <c r="G67" s="252" t="s">
        <v>8</v>
      </c>
      <c r="H67" s="252" t="s">
        <v>22</v>
      </c>
      <c r="I67" s="25" t="s">
        <v>40</v>
      </c>
      <c r="J67" s="54" t="s">
        <v>2</v>
      </c>
      <c r="K67" s="55" t="s">
        <v>3</v>
      </c>
      <c r="L67" s="55" t="s">
        <v>52</v>
      </c>
      <c r="M67" s="55" t="s">
        <v>53</v>
      </c>
      <c r="N67" s="70" t="s">
        <v>14</v>
      </c>
    </row>
    <row r="68" spans="2:14" ht="18" customHeight="1">
      <c r="B68" s="648" t="s">
        <v>79</v>
      </c>
      <c r="C68" s="649" t="s">
        <v>323</v>
      </c>
      <c r="D68" s="81">
        <f>J68-IF(L68=1,72,IF(L68=2,54,IF(L68=3,26,IF(L68=11,102.8,IF(L68=12,88.8,IF(L68=13,74.8,0))))))</f>
        <v>948</v>
      </c>
      <c r="E68" s="81">
        <f>K68-IF(M68=1,72,IF(M68=2,24,IF(M68=3,26,IF(M68=11,102.8,IF(M68=12,88.8,IF(M68=13,74.8,0))))))</f>
        <v>478</v>
      </c>
      <c r="F68" s="81">
        <f>2*(D68+E68)/1000</f>
        <v>2.8519999999999999</v>
      </c>
      <c r="G68" s="82">
        <v>1</v>
      </c>
      <c r="H68" s="250">
        <v>0.224</v>
      </c>
      <c r="I68" s="283">
        <f>ROUND(F68*G68*H68,3)*1.5</f>
        <v>0.95850000000000002</v>
      </c>
      <c r="J68" s="83">
        <f>D14</f>
        <v>1020</v>
      </c>
      <c r="K68" s="83">
        <f>E14</f>
        <v>550</v>
      </c>
      <c r="L68" s="84">
        <v>1</v>
      </c>
      <c r="M68" s="84">
        <v>1</v>
      </c>
      <c r="N68" s="71" t="s">
        <v>56</v>
      </c>
    </row>
    <row r="69" spans="2:14" ht="18" customHeight="1">
      <c r="B69" s="648"/>
      <c r="C69" s="650"/>
      <c r="D69" s="81">
        <f t="shared" ref="D69:D87" si="11">J69-IF(L69=1,72,IF(L69=2,54,IF(L69=3,26,IF(L69=11,102.8,IF(L69=12,88.8,IF(L69=13,74.8,0))))))</f>
        <v>0</v>
      </c>
      <c r="E69" s="81">
        <f t="shared" ref="E69:E87" si="12">K69-IF(M69=1,72,IF(M69=2,24,IF(M69=3,26,IF(M69=11,102.8,IF(M69=12,88.8,IF(M69=13,74.8,0))))))</f>
        <v>0</v>
      </c>
      <c r="F69" s="81">
        <f t="shared" ref="F69:F87" si="13">2*(D69+E69)/1000</f>
        <v>0</v>
      </c>
      <c r="G69" s="82"/>
      <c r="H69" s="250">
        <f>H68</f>
        <v>0.224</v>
      </c>
      <c r="I69" s="59">
        <f t="shared" ref="I69:I87" si="14">ROUND(F69*G69*H69,3)</f>
        <v>0</v>
      </c>
      <c r="J69" s="83"/>
      <c r="K69" s="84"/>
      <c r="L69" s="84"/>
      <c r="M69" s="84"/>
      <c r="N69" s="72" t="s">
        <v>58</v>
      </c>
    </row>
    <row r="70" spans="2:14" ht="18" customHeight="1">
      <c r="B70" s="648"/>
      <c r="C70" s="650"/>
      <c r="D70" s="81">
        <f t="shared" si="11"/>
        <v>0</v>
      </c>
      <c r="E70" s="81">
        <f t="shared" si="12"/>
        <v>0</v>
      </c>
      <c r="F70" s="81">
        <f t="shared" si="13"/>
        <v>0</v>
      </c>
      <c r="G70" s="82"/>
      <c r="H70" s="250">
        <f>H69</f>
        <v>0.224</v>
      </c>
      <c r="I70" s="59">
        <f t="shared" si="14"/>
        <v>0</v>
      </c>
      <c r="J70" s="83"/>
      <c r="K70" s="84"/>
      <c r="L70" s="84"/>
      <c r="M70" s="84"/>
      <c r="N70" s="72" t="s">
        <v>60</v>
      </c>
    </row>
    <row r="71" spans="2:14" ht="18" customHeight="1">
      <c r="B71" s="648"/>
      <c r="C71" s="650"/>
      <c r="D71" s="81">
        <f t="shared" si="11"/>
        <v>0</v>
      </c>
      <c r="E71" s="81">
        <f t="shared" si="12"/>
        <v>0</v>
      </c>
      <c r="F71" s="81">
        <f t="shared" si="13"/>
        <v>0</v>
      </c>
      <c r="G71" s="82"/>
      <c r="H71" s="77">
        <f>H70</f>
        <v>0.224</v>
      </c>
      <c r="I71" s="59">
        <f t="shared" si="14"/>
        <v>0</v>
      </c>
      <c r="J71" s="85"/>
      <c r="K71" s="86"/>
      <c r="L71" s="86"/>
      <c r="M71" s="86"/>
      <c r="N71" s="72" t="s">
        <v>65</v>
      </c>
    </row>
    <row r="72" spans="2:14" ht="18" customHeight="1">
      <c r="B72" s="648"/>
      <c r="C72" s="650"/>
      <c r="D72" s="81">
        <f t="shared" si="11"/>
        <v>0</v>
      </c>
      <c r="E72" s="81">
        <f t="shared" si="12"/>
        <v>0</v>
      </c>
      <c r="F72" s="81">
        <f t="shared" si="13"/>
        <v>0</v>
      </c>
      <c r="G72" s="82"/>
      <c r="H72" s="77">
        <f>H71</f>
        <v>0.224</v>
      </c>
      <c r="I72" s="87">
        <f t="shared" si="14"/>
        <v>0</v>
      </c>
      <c r="J72" s="85"/>
      <c r="K72" s="86"/>
      <c r="L72" s="86"/>
      <c r="M72" s="86"/>
      <c r="N72" s="72" t="s">
        <v>66</v>
      </c>
    </row>
    <row r="73" spans="2:14" ht="18" customHeight="1">
      <c r="B73" s="648"/>
      <c r="C73" s="650"/>
      <c r="D73" s="81">
        <f t="shared" si="11"/>
        <v>0</v>
      </c>
      <c r="E73" s="81">
        <f t="shared" si="12"/>
        <v>0</v>
      </c>
      <c r="F73" s="81">
        <f t="shared" si="13"/>
        <v>0</v>
      </c>
      <c r="G73" s="82"/>
      <c r="H73" s="250">
        <f>H70</f>
        <v>0.224</v>
      </c>
      <c r="I73" s="87">
        <f t="shared" si="14"/>
        <v>0</v>
      </c>
      <c r="J73" s="83"/>
      <c r="K73" s="84"/>
      <c r="L73" s="84"/>
      <c r="M73" s="84"/>
      <c r="N73" s="72" t="s">
        <v>67</v>
      </c>
    </row>
    <row r="74" spans="2:14" ht="18" customHeight="1">
      <c r="B74" s="648"/>
      <c r="C74" s="651"/>
      <c r="D74" s="81">
        <f t="shared" si="11"/>
        <v>0</v>
      </c>
      <c r="E74" s="81">
        <f t="shared" si="12"/>
        <v>0</v>
      </c>
      <c r="F74" s="81">
        <f t="shared" si="13"/>
        <v>0</v>
      </c>
      <c r="G74" s="82"/>
      <c r="H74" s="250">
        <f>H73</f>
        <v>0.224</v>
      </c>
      <c r="I74" s="87">
        <f t="shared" si="14"/>
        <v>0</v>
      </c>
      <c r="J74" s="83"/>
      <c r="K74" s="84"/>
      <c r="L74" s="84"/>
      <c r="M74" s="84"/>
      <c r="N74" s="88"/>
    </row>
    <row r="75" spans="2:14" ht="18" customHeight="1">
      <c r="B75" s="648"/>
      <c r="C75" s="649" t="s">
        <v>324</v>
      </c>
      <c r="D75" s="89">
        <f t="shared" si="11"/>
        <v>0</v>
      </c>
      <c r="E75" s="89">
        <f t="shared" si="12"/>
        <v>0</v>
      </c>
      <c r="F75" s="89">
        <f t="shared" si="13"/>
        <v>0</v>
      </c>
      <c r="G75" s="90"/>
      <c r="H75" s="91">
        <f>H74</f>
        <v>0.224</v>
      </c>
      <c r="I75" s="92">
        <f t="shared" si="14"/>
        <v>0</v>
      </c>
      <c r="J75" s="83"/>
      <c r="K75" s="84"/>
      <c r="L75" s="84"/>
      <c r="M75" s="84"/>
      <c r="N75" s="93" t="s">
        <v>80</v>
      </c>
    </row>
    <row r="76" spans="2:14" ht="18" customHeight="1">
      <c r="B76" s="648"/>
      <c r="C76" s="650"/>
      <c r="D76" s="89">
        <f t="shared" si="11"/>
        <v>0</v>
      </c>
      <c r="E76" s="89">
        <f t="shared" si="12"/>
        <v>0</v>
      </c>
      <c r="F76" s="89">
        <f t="shared" si="13"/>
        <v>0</v>
      </c>
      <c r="G76" s="90"/>
      <c r="H76" s="91">
        <f>H72</f>
        <v>0.224</v>
      </c>
      <c r="I76" s="92">
        <f t="shared" si="14"/>
        <v>0</v>
      </c>
      <c r="J76" s="83"/>
      <c r="K76" s="84"/>
      <c r="L76" s="84"/>
      <c r="M76" s="84"/>
      <c r="N76" s="93" t="s">
        <v>80</v>
      </c>
    </row>
    <row r="77" spans="2:14" ht="18" customHeight="1">
      <c r="B77" s="648"/>
      <c r="C77" s="650"/>
      <c r="D77" s="89">
        <f t="shared" si="11"/>
        <v>0</v>
      </c>
      <c r="E77" s="89">
        <f t="shared" si="12"/>
        <v>0</v>
      </c>
      <c r="F77" s="89">
        <f t="shared" si="13"/>
        <v>0</v>
      </c>
      <c r="G77" s="90"/>
      <c r="H77" s="91">
        <f t="shared" ref="H77:H87" si="15">H76</f>
        <v>0.224</v>
      </c>
      <c r="I77" s="92">
        <f t="shared" si="14"/>
        <v>0</v>
      </c>
      <c r="J77" s="83"/>
      <c r="K77" s="84"/>
      <c r="L77" s="84"/>
      <c r="M77" s="84"/>
      <c r="N77" s="93" t="s">
        <v>80</v>
      </c>
    </row>
    <row r="78" spans="2:14" ht="18" customHeight="1">
      <c r="B78" s="648"/>
      <c r="C78" s="650"/>
      <c r="D78" s="89">
        <f t="shared" si="11"/>
        <v>0</v>
      </c>
      <c r="E78" s="89">
        <f t="shared" si="12"/>
        <v>0</v>
      </c>
      <c r="F78" s="89">
        <f t="shared" si="13"/>
        <v>0</v>
      </c>
      <c r="G78" s="90"/>
      <c r="H78" s="91">
        <f t="shared" si="15"/>
        <v>0.224</v>
      </c>
      <c r="I78" s="92">
        <f t="shared" si="14"/>
        <v>0</v>
      </c>
      <c r="J78" s="83"/>
      <c r="K78" s="84"/>
      <c r="L78" s="84"/>
      <c r="M78" s="84"/>
      <c r="N78" s="93" t="s">
        <v>80</v>
      </c>
    </row>
    <row r="79" spans="2:14" ht="18" customHeight="1">
      <c r="B79" s="648"/>
      <c r="C79" s="650"/>
      <c r="D79" s="89">
        <f t="shared" si="11"/>
        <v>0</v>
      </c>
      <c r="E79" s="89">
        <f t="shared" si="12"/>
        <v>0</v>
      </c>
      <c r="F79" s="89">
        <f t="shared" si="13"/>
        <v>0</v>
      </c>
      <c r="G79" s="90"/>
      <c r="H79" s="91">
        <f t="shared" si="15"/>
        <v>0.224</v>
      </c>
      <c r="I79" s="94">
        <f t="shared" si="14"/>
        <v>0</v>
      </c>
      <c r="J79" s="83"/>
      <c r="K79" s="84"/>
      <c r="L79" s="84"/>
      <c r="M79" s="84"/>
      <c r="N79" s="93" t="s">
        <v>80</v>
      </c>
    </row>
    <row r="80" spans="2:14" ht="18" customHeight="1">
      <c r="B80" s="648"/>
      <c r="C80" s="650"/>
      <c r="D80" s="89">
        <f t="shared" si="11"/>
        <v>0</v>
      </c>
      <c r="E80" s="89">
        <f t="shared" si="12"/>
        <v>0</v>
      </c>
      <c r="F80" s="89">
        <f t="shared" si="13"/>
        <v>0</v>
      </c>
      <c r="G80" s="90"/>
      <c r="H80" s="91">
        <f t="shared" si="15"/>
        <v>0.224</v>
      </c>
      <c r="I80" s="94">
        <f t="shared" si="14"/>
        <v>0</v>
      </c>
      <c r="J80" s="83"/>
      <c r="K80" s="84"/>
      <c r="L80" s="84"/>
      <c r="M80" s="84"/>
      <c r="N80" s="93" t="s">
        <v>80</v>
      </c>
    </row>
    <row r="81" spans="2:14" ht="18" customHeight="1">
      <c r="B81" s="648"/>
      <c r="C81" s="651"/>
      <c r="D81" s="89">
        <f t="shared" si="11"/>
        <v>0</v>
      </c>
      <c r="E81" s="89">
        <f t="shared" si="12"/>
        <v>0</v>
      </c>
      <c r="F81" s="89">
        <f t="shared" si="13"/>
        <v>0</v>
      </c>
      <c r="G81" s="90"/>
      <c r="H81" s="91">
        <f t="shared" si="15"/>
        <v>0.224</v>
      </c>
      <c r="I81" s="94">
        <f t="shared" si="14"/>
        <v>0</v>
      </c>
      <c r="J81" s="95"/>
      <c r="K81" s="96"/>
      <c r="L81" s="96"/>
      <c r="M81" s="96"/>
      <c r="N81" s="93" t="s">
        <v>81</v>
      </c>
    </row>
    <row r="82" spans="2:14" ht="18" customHeight="1">
      <c r="B82" s="648"/>
      <c r="C82" s="639" t="s">
        <v>325</v>
      </c>
      <c r="D82" s="81">
        <f t="shared" si="11"/>
        <v>0</v>
      </c>
      <c r="E82" s="81">
        <f t="shared" si="12"/>
        <v>0</v>
      </c>
      <c r="F82" s="81">
        <f t="shared" si="13"/>
        <v>0</v>
      </c>
      <c r="G82" s="82"/>
      <c r="H82" s="250">
        <f t="shared" si="15"/>
        <v>0.224</v>
      </c>
      <c r="I82" s="59">
        <f t="shared" si="14"/>
        <v>0</v>
      </c>
      <c r="J82" s="83"/>
      <c r="K82" s="84"/>
      <c r="L82" s="84"/>
      <c r="M82" s="84"/>
      <c r="N82" s="88"/>
    </row>
    <row r="83" spans="2:14" ht="18" customHeight="1">
      <c r="B83" s="648"/>
      <c r="C83" s="645"/>
      <c r="D83" s="81">
        <f t="shared" si="11"/>
        <v>0</v>
      </c>
      <c r="E83" s="81">
        <f t="shared" si="12"/>
        <v>0</v>
      </c>
      <c r="F83" s="81">
        <f t="shared" si="13"/>
        <v>0</v>
      </c>
      <c r="G83" s="82"/>
      <c r="H83" s="250">
        <f t="shared" si="15"/>
        <v>0.224</v>
      </c>
      <c r="I83" s="59">
        <f t="shared" si="14"/>
        <v>0</v>
      </c>
      <c r="J83" s="83"/>
      <c r="K83" s="84"/>
      <c r="L83" s="84"/>
      <c r="M83" s="84"/>
      <c r="N83" s="88"/>
    </row>
    <row r="84" spans="2:14" ht="18" customHeight="1">
      <c r="B84" s="648"/>
      <c r="C84" s="645"/>
      <c r="D84" s="81">
        <f t="shared" si="11"/>
        <v>0</v>
      </c>
      <c r="E84" s="81">
        <f t="shared" si="12"/>
        <v>0</v>
      </c>
      <c r="F84" s="81">
        <f t="shared" si="13"/>
        <v>0</v>
      </c>
      <c r="G84" s="82"/>
      <c r="H84" s="250">
        <f t="shared" si="15"/>
        <v>0.224</v>
      </c>
      <c r="I84" s="59">
        <f t="shared" si="14"/>
        <v>0</v>
      </c>
      <c r="J84" s="83"/>
      <c r="K84" s="84"/>
      <c r="L84" s="84"/>
      <c r="M84" s="84"/>
      <c r="N84" s="76"/>
    </row>
    <row r="85" spans="2:14" ht="18" customHeight="1">
      <c r="B85" s="648"/>
      <c r="C85" s="645"/>
      <c r="D85" s="81">
        <f t="shared" si="11"/>
        <v>0</v>
      </c>
      <c r="E85" s="81">
        <f t="shared" si="12"/>
        <v>0</v>
      </c>
      <c r="F85" s="81">
        <f t="shared" si="13"/>
        <v>0</v>
      </c>
      <c r="G85" s="82"/>
      <c r="H85" s="250">
        <f t="shared" si="15"/>
        <v>0.224</v>
      </c>
      <c r="I85" s="59">
        <f t="shared" si="14"/>
        <v>0</v>
      </c>
      <c r="J85" s="83"/>
      <c r="K85" s="84"/>
      <c r="L85" s="84"/>
      <c r="M85" s="84"/>
      <c r="N85" s="76"/>
    </row>
    <row r="86" spans="2:14" ht="18" customHeight="1">
      <c r="B86" s="648"/>
      <c r="C86" s="645"/>
      <c r="D86" s="81">
        <f t="shared" si="11"/>
        <v>0</v>
      </c>
      <c r="E86" s="81">
        <f t="shared" si="12"/>
        <v>0</v>
      </c>
      <c r="F86" s="81">
        <f t="shared" si="13"/>
        <v>0</v>
      </c>
      <c r="G86" s="82"/>
      <c r="H86" s="250">
        <f t="shared" si="15"/>
        <v>0.224</v>
      </c>
      <c r="I86" s="59">
        <f t="shared" si="14"/>
        <v>0</v>
      </c>
      <c r="J86" s="85"/>
      <c r="K86" s="86"/>
      <c r="L86" s="86"/>
      <c r="M86" s="86"/>
      <c r="N86" s="76"/>
    </row>
    <row r="87" spans="2:14" ht="18" customHeight="1" thickBot="1">
      <c r="B87" s="648"/>
      <c r="C87" s="640"/>
      <c r="D87" s="81">
        <f t="shared" si="11"/>
        <v>0</v>
      </c>
      <c r="E87" s="81">
        <f t="shared" si="12"/>
        <v>0</v>
      </c>
      <c r="F87" s="81">
        <f t="shared" si="13"/>
        <v>0</v>
      </c>
      <c r="G87" s="82"/>
      <c r="H87" s="250">
        <f t="shared" si="15"/>
        <v>0.224</v>
      </c>
      <c r="I87" s="59">
        <f t="shared" si="14"/>
        <v>0</v>
      </c>
      <c r="J87" s="97"/>
      <c r="K87" s="98"/>
      <c r="L87" s="98"/>
      <c r="M87" s="98"/>
      <c r="N87" s="80"/>
    </row>
    <row r="88" spans="2:14" ht="18" customHeight="1">
      <c r="B88" s="48" t="s">
        <v>42</v>
      </c>
      <c r="C88" s="49">
        <f>SUMPRODUCT(F68:F87*G68:G87)</f>
        <v>2.8519999999999999</v>
      </c>
      <c r="D88" s="50" t="s">
        <v>43</v>
      </c>
      <c r="E88" s="49">
        <f>SUM(I68:I87)*1.1</f>
        <v>1.0543500000000001</v>
      </c>
      <c r="F88" s="50" t="s">
        <v>44</v>
      </c>
      <c r="G88" s="51">
        <f>(C$218+C$222)/1000</f>
        <v>39.781500000000001</v>
      </c>
      <c r="H88" s="52" t="s">
        <v>45</v>
      </c>
      <c r="I88" s="53">
        <f>ROUND(E88*G88,2)</f>
        <v>41.94</v>
      </c>
      <c r="J88" s="255"/>
      <c r="K88" s="255"/>
      <c r="L88" s="255"/>
      <c r="M88" s="255"/>
    </row>
    <row r="89" spans="2:14" ht="18" customHeight="1">
      <c r="B89" s="48" t="s">
        <v>46</v>
      </c>
      <c r="C89" s="50">
        <v>181.72</v>
      </c>
      <c r="D89" s="50" t="s">
        <v>47</v>
      </c>
      <c r="E89" s="49">
        <f>ROUND(C88*(C89/1000),2)</f>
        <v>0.52</v>
      </c>
      <c r="F89" s="50" t="s">
        <v>48</v>
      </c>
      <c r="G89" s="50">
        <f>G$23</f>
        <v>10</v>
      </c>
      <c r="H89" s="52" t="s">
        <v>49</v>
      </c>
      <c r="I89" s="53">
        <f>E89*G89</f>
        <v>5.2</v>
      </c>
      <c r="J89" s="255"/>
      <c r="K89" s="255"/>
      <c r="L89" s="255"/>
      <c r="M89" s="255"/>
    </row>
    <row r="90" spans="2:14" ht="18" customHeight="1">
      <c r="B90" s="48" t="s">
        <v>50</v>
      </c>
      <c r="C90" s="50"/>
      <c r="D90" s="50" t="s">
        <v>51</v>
      </c>
      <c r="E90" s="49">
        <f>ROUND(C88*(C90/1000),2)</f>
        <v>0</v>
      </c>
      <c r="F90" s="50" t="s">
        <v>48</v>
      </c>
      <c r="G90" s="50">
        <f>G$24</f>
        <v>10</v>
      </c>
      <c r="H90" s="52" t="s">
        <v>49</v>
      </c>
      <c r="I90" s="53">
        <f>E90*G90</f>
        <v>0</v>
      </c>
      <c r="J90" s="255"/>
      <c r="K90" s="255"/>
      <c r="L90" s="255"/>
      <c r="M90" s="255"/>
    </row>
    <row r="91" spans="2:14" ht="18" customHeight="1">
      <c r="B91" s="23" t="s">
        <v>36</v>
      </c>
      <c r="C91" s="252" t="s">
        <v>14</v>
      </c>
      <c r="D91" s="252" t="s">
        <v>37</v>
      </c>
      <c r="E91" s="252" t="s">
        <v>38</v>
      </c>
      <c r="F91" s="252" t="s">
        <v>39</v>
      </c>
      <c r="G91" s="252" t="s">
        <v>8</v>
      </c>
      <c r="H91" s="252" t="s">
        <v>22</v>
      </c>
      <c r="I91" s="25" t="s">
        <v>40</v>
      </c>
      <c r="J91" s="255"/>
      <c r="K91" s="255"/>
      <c r="L91" s="255"/>
      <c r="M91" s="255"/>
    </row>
    <row r="92" spans="2:14" ht="18" customHeight="1">
      <c r="B92" s="648" t="s">
        <v>82</v>
      </c>
      <c r="C92" s="653" t="s">
        <v>326</v>
      </c>
      <c r="D92" s="253">
        <f>D26-90</f>
        <v>-90</v>
      </c>
      <c r="E92" s="253">
        <f>E26-90</f>
        <v>-90</v>
      </c>
      <c r="F92" s="253">
        <f>2*(D92+E92)/1000</f>
        <v>-0.36</v>
      </c>
      <c r="G92" s="250">
        <f>G26</f>
        <v>0</v>
      </c>
      <c r="H92" s="250">
        <v>0.27100000000000002</v>
      </c>
      <c r="I92" s="59">
        <f>ROUND(F92*G92*H92,3)</f>
        <v>0</v>
      </c>
    </row>
    <row r="93" spans="2:14" ht="18" customHeight="1">
      <c r="B93" s="648"/>
      <c r="C93" s="658"/>
      <c r="D93" s="253">
        <f t="shared" ref="D93:E96" si="16">D27-90</f>
        <v>-90</v>
      </c>
      <c r="E93" s="253">
        <f t="shared" si="16"/>
        <v>-90</v>
      </c>
      <c r="F93" s="253">
        <f>2*(D93+E93)/1000</f>
        <v>-0.36</v>
      </c>
      <c r="G93" s="250">
        <f>G27</f>
        <v>0</v>
      </c>
      <c r="H93" s="250">
        <f>H92</f>
        <v>0.27100000000000002</v>
      </c>
      <c r="I93" s="59">
        <f>ROUND(F93*G93*H93,3)</f>
        <v>0</v>
      </c>
      <c r="M93" s="42"/>
    </row>
    <row r="94" spans="2:14" ht="18" customHeight="1">
      <c r="B94" s="648"/>
      <c r="C94" s="658"/>
      <c r="D94" s="253">
        <f t="shared" si="16"/>
        <v>-90</v>
      </c>
      <c r="E94" s="253">
        <f t="shared" si="16"/>
        <v>-90</v>
      </c>
      <c r="F94" s="253">
        <f>2*(D94+E94)/1000</f>
        <v>-0.36</v>
      </c>
      <c r="G94" s="250">
        <f>G28</f>
        <v>0</v>
      </c>
      <c r="H94" s="250">
        <f>H93</f>
        <v>0.27100000000000002</v>
      </c>
      <c r="I94" s="59">
        <f>ROUND(F94*G94*H94,3)</f>
        <v>0</v>
      </c>
    </row>
    <row r="95" spans="2:14" ht="18" customHeight="1">
      <c r="B95" s="648"/>
      <c r="C95" s="658"/>
      <c r="D95" s="253">
        <f t="shared" si="16"/>
        <v>-90</v>
      </c>
      <c r="E95" s="253">
        <f t="shared" si="16"/>
        <v>-90</v>
      </c>
      <c r="F95" s="253">
        <f>2*(D95+E95)/1000</f>
        <v>-0.36</v>
      </c>
      <c r="G95" s="250">
        <f>G29</f>
        <v>0</v>
      </c>
      <c r="H95" s="250">
        <f>H94</f>
        <v>0.27100000000000002</v>
      </c>
      <c r="I95" s="59">
        <f>ROUND(F95*G95*H95,3)</f>
        <v>0</v>
      </c>
    </row>
    <row r="96" spans="2:14" ht="18" customHeight="1">
      <c r="B96" s="648"/>
      <c r="C96" s="659"/>
      <c r="D96" s="253">
        <f t="shared" si="16"/>
        <v>-90</v>
      </c>
      <c r="E96" s="253">
        <f t="shared" si="16"/>
        <v>-90</v>
      </c>
      <c r="F96" s="253">
        <f>2*(D96+E96)/1000</f>
        <v>-0.36</v>
      </c>
      <c r="G96" s="250">
        <f>G30</f>
        <v>0</v>
      </c>
      <c r="H96" s="250">
        <f>H95</f>
        <v>0.27100000000000002</v>
      </c>
      <c r="I96" s="59">
        <f>ROUND(F96*G96*H96,3)</f>
        <v>0</v>
      </c>
    </row>
    <row r="97" spans="2:13" ht="18" customHeight="1">
      <c r="B97" s="48" t="s">
        <v>42</v>
      </c>
      <c r="C97" s="49">
        <f>SUMPRODUCT(F92:F96*G92:G96)</f>
        <v>0</v>
      </c>
      <c r="D97" s="50" t="s">
        <v>43</v>
      </c>
      <c r="E97" s="49">
        <f>SUM(I92:I96)*1.1</f>
        <v>0</v>
      </c>
      <c r="F97" s="50" t="s">
        <v>44</v>
      </c>
      <c r="G97" s="51">
        <f>(C$218+C$222)/1000</f>
        <v>39.781500000000001</v>
      </c>
      <c r="H97" s="52" t="s">
        <v>45</v>
      </c>
      <c r="I97" s="53">
        <f>ROUND(E97*G97,2)</f>
        <v>0</v>
      </c>
    </row>
    <row r="98" spans="2:13" ht="18" customHeight="1">
      <c r="B98" s="48" t="s">
        <v>46</v>
      </c>
      <c r="C98" s="50">
        <v>186.72</v>
      </c>
      <c r="D98" s="50" t="s">
        <v>47</v>
      </c>
      <c r="E98" s="49">
        <f>ROUND(C97*(C98/1000),2)</f>
        <v>0</v>
      </c>
      <c r="F98" s="50" t="s">
        <v>48</v>
      </c>
      <c r="G98" s="50">
        <f>G$23</f>
        <v>10</v>
      </c>
      <c r="H98" s="52" t="s">
        <v>49</v>
      </c>
      <c r="I98" s="53">
        <f>E98*G98</f>
        <v>0</v>
      </c>
    </row>
    <row r="99" spans="2:13" ht="18" customHeight="1">
      <c r="B99" s="48" t="s">
        <v>50</v>
      </c>
      <c r="C99" s="50">
        <v>0</v>
      </c>
      <c r="D99" s="50" t="s">
        <v>51</v>
      </c>
      <c r="E99" s="49">
        <f>ROUND(C97*(C99/1000),2)</f>
        <v>0</v>
      </c>
      <c r="F99" s="50" t="s">
        <v>48</v>
      </c>
      <c r="G99" s="50">
        <f>G$24</f>
        <v>10</v>
      </c>
      <c r="H99" s="52" t="s">
        <v>49</v>
      </c>
      <c r="I99" s="53">
        <f>E99*G99</f>
        <v>0</v>
      </c>
    </row>
    <row r="100" spans="2:13" ht="18" customHeight="1">
      <c r="B100" s="23" t="s">
        <v>36</v>
      </c>
      <c r="C100" s="252" t="s">
        <v>14</v>
      </c>
      <c r="D100" s="252" t="s">
        <v>37</v>
      </c>
      <c r="E100" s="252" t="s">
        <v>38</v>
      </c>
      <c r="F100" s="252" t="s">
        <v>39</v>
      </c>
      <c r="G100" s="252" t="s">
        <v>8</v>
      </c>
      <c r="H100" s="252" t="s">
        <v>22</v>
      </c>
      <c r="I100" s="25" t="s">
        <v>40</v>
      </c>
    </row>
    <row r="101" spans="2:13" ht="18" customHeight="1">
      <c r="B101" s="648" t="s">
        <v>84</v>
      </c>
      <c r="C101" s="653" t="str">
        <f>C92</f>
        <v>SDL2281</v>
      </c>
      <c r="D101" s="253">
        <f>D35-122</f>
        <v>358</v>
      </c>
      <c r="E101" s="253">
        <f t="shared" ref="D101:E103" si="17">E35-122</f>
        <v>904</v>
      </c>
      <c r="F101" s="253">
        <f>2*(D101+E101)/1000</f>
        <v>2.524</v>
      </c>
      <c r="G101" s="250">
        <f>G35</f>
        <v>2</v>
      </c>
      <c r="H101" s="250">
        <f>H96</f>
        <v>0.27100000000000002</v>
      </c>
      <c r="I101" s="59">
        <f>ROUND(F101*G101*H101,3)</f>
        <v>1.3680000000000001</v>
      </c>
    </row>
    <row r="102" spans="2:13" ht="18" customHeight="1">
      <c r="B102" s="648"/>
      <c r="C102" s="650"/>
      <c r="D102" s="253">
        <f t="shared" si="17"/>
        <v>-122</v>
      </c>
      <c r="E102" s="253">
        <f t="shared" si="17"/>
        <v>-122</v>
      </c>
      <c r="F102" s="253">
        <f>2*(D102+E102)/1000</f>
        <v>-0.48799999999999999</v>
      </c>
      <c r="G102" s="250">
        <f>G36</f>
        <v>0</v>
      </c>
      <c r="H102" s="250">
        <f>H101</f>
        <v>0.27100000000000002</v>
      </c>
      <c r="I102" s="59">
        <f>ROUND(F102*G102*H102,3)</f>
        <v>0</v>
      </c>
      <c r="K102" s="99"/>
      <c r="M102" s="99"/>
    </row>
    <row r="103" spans="2:13" ht="18" customHeight="1">
      <c r="B103" s="648"/>
      <c r="C103" s="651"/>
      <c r="D103" s="253">
        <f t="shared" si="17"/>
        <v>-122</v>
      </c>
      <c r="E103" s="253">
        <f t="shared" si="17"/>
        <v>-122</v>
      </c>
      <c r="F103" s="253">
        <f>2*(D103+E103)/1000</f>
        <v>-0.48799999999999999</v>
      </c>
      <c r="G103" s="250">
        <f>G37</f>
        <v>0</v>
      </c>
      <c r="H103" s="250">
        <f>H102</f>
        <v>0.27100000000000002</v>
      </c>
      <c r="I103" s="59">
        <f>ROUND(F103*G103*H103,3)</f>
        <v>0</v>
      </c>
      <c r="M103" s="99"/>
    </row>
    <row r="104" spans="2:13" ht="18" customHeight="1">
      <c r="B104" s="48" t="s">
        <v>42</v>
      </c>
      <c r="C104" s="49">
        <f>SUMPRODUCT(F101:F103*G101:G103)</f>
        <v>5.048</v>
      </c>
      <c r="D104" s="50" t="s">
        <v>43</v>
      </c>
      <c r="E104" s="49">
        <f>SUM(I101:I103)*1.1</f>
        <v>1.5048000000000001</v>
      </c>
      <c r="F104" s="50" t="s">
        <v>44</v>
      </c>
      <c r="G104" s="51">
        <f>(C$218+C$222)/1000</f>
        <v>39.781500000000001</v>
      </c>
      <c r="H104" s="52" t="s">
        <v>45</v>
      </c>
      <c r="I104" s="53">
        <f>ROUND(E104*G104,2)</f>
        <v>59.86</v>
      </c>
    </row>
    <row r="105" spans="2:13" ht="18" customHeight="1">
      <c r="B105" s="48" t="s">
        <v>46</v>
      </c>
      <c r="C105" s="50">
        <v>186.72</v>
      </c>
      <c r="D105" s="50" t="s">
        <v>47</v>
      </c>
      <c r="E105" s="49">
        <f>ROUND(C104*(C105/1000),2)</f>
        <v>0.94</v>
      </c>
      <c r="F105" s="50" t="s">
        <v>48</v>
      </c>
      <c r="G105" s="50">
        <f>G$23</f>
        <v>10</v>
      </c>
      <c r="H105" s="52" t="s">
        <v>49</v>
      </c>
      <c r="I105" s="53">
        <f>ROUND(E105*G105,2)</f>
        <v>9.4</v>
      </c>
    </row>
    <row r="106" spans="2:13" ht="18" customHeight="1">
      <c r="B106" s="48" t="s">
        <v>50</v>
      </c>
      <c r="C106" s="50">
        <v>0</v>
      </c>
      <c r="D106" s="50" t="s">
        <v>51</v>
      </c>
      <c r="E106" s="49">
        <f>ROUND(C104*(C106/1000),2)</f>
        <v>0</v>
      </c>
      <c r="F106" s="50" t="s">
        <v>48</v>
      </c>
      <c r="G106" s="50">
        <f>G$24</f>
        <v>10</v>
      </c>
      <c r="H106" s="52" t="s">
        <v>49</v>
      </c>
      <c r="I106" s="53">
        <f>ROUND(E106*G106,2)</f>
        <v>0</v>
      </c>
    </row>
    <row r="107" spans="2:13" ht="18" customHeight="1">
      <c r="B107" s="23" t="s">
        <v>36</v>
      </c>
      <c r="C107" s="252" t="s">
        <v>14</v>
      </c>
      <c r="D107" s="252" t="s">
        <v>37</v>
      </c>
      <c r="E107" s="252" t="s">
        <v>38</v>
      </c>
      <c r="F107" s="252" t="s">
        <v>39</v>
      </c>
      <c r="G107" s="252" t="s">
        <v>8</v>
      </c>
      <c r="H107" s="252" t="s">
        <v>22</v>
      </c>
      <c r="I107" s="25" t="s">
        <v>40</v>
      </c>
    </row>
    <row r="108" spans="2:13" ht="18" customHeight="1">
      <c r="B108" s="648" t="s">
        <v>85</v>
      </c>
      <c r="C108" s="655" t="s">
        <v>86</v>
      </c>
      <c r="D108" s="250"/>
      <c r="E108" s="250"/>
      <c r="F108" s="250">
        <f>ROUND((D108+E108)*2/1000,4)</f>
        <v>0</v>
      </c>
      <c r="G108" s="250"/>
      <c r="H108" s="250">
        <v>1.857</v>
      </c>
      <c r="I108" s="59">
        <f>ROUND(F108*G108*H108,3)</f>
        <v>0</v>
      </c>
    </row>
    <row r="109" spans="2:13" ht="18" customHeight="1">
      <c r="B109" s="648"/>
      <c r="C109" s="656"/>
      <c r="D109" s="250"/>
      <c r="E109" s="250"/>
      <c r="F109" s="250">
        <f>ROUND((D109+E109)*2/1000,4)</f>
        <v>0</v>
      </c>
      <c r="G109" s="250"/>
      <c r="H109" s="250">
        <f>H108</f>
        <v>1.857</v>
      </c>
      <c r="I109" s="59">
        <f>ROUND(F109*G109*H109,3)</f>
        <v>0</v>
      </c>
      <c r="K109" s="42"/>
      <c r="L109" s="42"/>
      <c r="M109" s="42"/>
    </row>
    <row r="110" spans="2:13" ht="18" customHeight="1">
      <c r="B110" s="648"/>
      <c r="C110" s="656"/>
      <c r="D110" s="250"/>
      <c r="E110" s="250"/>
      <c r="F110" s="250">
        <f>ROUND((D110+E110)*2/1000,4)</f>
        <v>0</v>
      </c>
      <c r="G110" s="250"/>
      <c r="H110" s="250">
        <f>H109</f>
        <v>1.857</v>
      </c>
      <c r="I110" s="59">
        <f>ROUND(F110*G110*H110,3)</f>
        <v>0</v>
      </c>
      <c r="K110" s="42"/>
      <c r="L110" s="42"/>
      <c r="M110" s="42"/>
    </row>
    <row r="111" spans="2:13" ht="18" customHeight="1">
      <c r="B111" s="648"/>
      <c r="C111" s="657"/>
      <c r="D111" s="250"/>
      <c r="E111" s="250"/>
      <c r="F111" s="250">
        <f>ROUND((D111+E111)*2/1000,4)</f>
        <v>0</v>
      </c>
      <c r="G111" s="250"/>
      <c r="H111" s="250">
        <f>H110</f>
        <v>1.857</v>
      </c>
      <c r="I111" s="59">
        <f>ROUND(F111*G111*H111,3)</f>
        <v>0</v>
      </c>
      <c r="K111" s="42"/>
      <c r="L111" s="42"/>
      <c r="M111" s="42"/>
    </row>
    <row r="112" spans="2:13" ht="18" customHeight="1">
      <c r="B112" s="48" t="s">
        <v>42</v>
      </c>
      <c r="C112" s="49">
        <f>SUMPRODUCT(F108:F111*G108:G111)</f>
        <v>0</v>
      </c>
      <c r="D112" s="50" t="s">
        <v>43</v>
      </c>
      <c r="E112" s="49">
        <f>SUM(I108:I111)*1.1</f>
        <v>0</v>
      </c>
      <c r="F112" s="50" t="s">
        <v>44</v>
      </c>
      <c r="G112" s="51">
        <f>(C$218+C$219)/1000</f>
        <v>46.081499999999998</v>
      </c>
      <c r="H112" s="52" t="s">
        <v>45</v>
      </c>
      <c r="I112" s="53">
        <f>ROUND(E112*G112,2)</f>
        <v>0</v>
      </c>
      <c r="J112" s="243">
        <f>SUM(G108:G111)</f>
        <v>0</v>
      </c>
      <c r="K112" s="42"/>
      <c r="L112" s="42"/>
      <c r="M112" s="42"/>
    </row>
    <row r="113" spans="2:14" ht="18" customHeight="1">
      <c r="B113" s="48" t="s">
        <v>46</v>
      </c>
      <c r="C113" s="50">
        <v>241.03</v>
      </c>
      <c r="D113" s="50" t="s">
        <v>47</v>
      </c>
      <c r="E113" s="49">
        <f>ROUND(C112*(C113/1000),2)</f>
        <v>0</v>
      </c>
      <c r="F113" s="50" t="s">
        <v>48</v>
      </c>
      <c r="G113" s="50">
        <f>G$23</f>
        <v>10</v>
      </c>
      <c r="H113" s="52" t="s">
        <v>49</v>
      </c>
      <c r="I113" s="53">
        <f>E113*G113</f>
        <v>0</v>
      </c>
      <c r="K113" s="42"/>
      <c r="L113" s="42"/>
      <c r="M113" s="42"/>
    </row>
    <row r="114" spans="2:14" ht="18" customHeight="1" thickBot="1">
      <c r="B114" s="48" t="s">
        <v>50</v>
      </c>
      <c r="C114" s="50">
        <v>204.38</v>
      </c>
      <c r="D114" s="50" t="s">
        <v>51</v>
      </c>
      <c r="E114" s="49">
        <f>ROUND(C112*(C114/1000),2)</f>
        <v>0</v>
      </c>
      <c r="F114" s="50" t="s">
        <v>48</v>
      </c>
      <c r="G114" s="50">
        <f>G$24</f>
        <v>10</v>
      </c>
      <c r="H114" s="52" t="s">
        <v>49</v>
      </c>
      <c r="I114" s="53">
        <f>E114*G114</f>
        <v>0</v>
      </c>
    </row>
    <row r="115" spans="2:14" ht="18" customHeight="1" thickBot="1">
      <c r="B115" s="23" t="s">
        <v>36</v>
      </c>
      <c r="C115" s="252" t="s">
        <v>14</v>
      </c>
      <c r="D115" s="252" t="s">
        <v>37</v>
      </c>
      <c r="E115" s="252" t="s">
        <v>38</v>
      </c>
      <c r="F115" s="252" t="s">
        <v>39</v>
      </c>
      <c r="G115" s="252" t="s">
        <v>8</v>
      </c>
      <c r="H115" s="252" t="s">
        <v>22</v>
      </c>
      <c r="I115" s="25" t="s">
        <v>40</v>
      </c>
      <c r="J115" s="54" t="s">
        <v>2</v>
      </c>
      <c r="K115" s="55" t="s">
        <v>3</v>
      </c>
      <c r="L115" s="55" t="s">
        <v>61</v>
      </c>
      <c r="M115" s="55" t="s">
        <v>62</v>
      </c>
      <c r="N115" s="70" t="s">
        <v>14</v>
      </c>
    </row>
    <row r="116" spans="2:14" ht="18" customHeight="1">
      <c r="B116" s="648" t="s">
        <v>87</v>
      </c>
      <c r="C116" s="649" t="s">
        <v>88</v>
      </c>
      <c r="D116" s="253">
        <f t="shared" ref="D116:E118" si="18">J116-IF(L116=1,78,IF(L116=2,55.5,IF(L116=3,41,0)))</f>
        <v>0</v>
      </c>
      <c r="E116" s="253">
        <f t="shared" si="18"/>
        <v>0</v>
      </c>
      <c r="F116" s="250">
        <f>ROUND((D116+E116)*2/1000,4)</f>
        <v>0</v>
      </c>
      <c r="G116" s="250"/>
      <c r="H116" s="58">
        <v>2.456</v>
      </c>
      <c r="I116" s="59">
        <f>ROUND(F116*G116*H116,3)</f>
        <v>0</v>
      </c>
      <c r="J116" s="60"/>
      <c r="K116" s="61"/>
      <c r="L116" s="61"/>
      <c r="M116" s="61"/>
      <c r="N116" s="76" t="s">
        <v>56</v>
      </c>
    </row>
    <row r="117" spans="2:14" ht="18" customHeight="1">
      <c r="B117" s="648"/>
      <c r="C117" s="650"/>
      <c r="D117" s="253">
        <f t="shared" si="18"/>
        <v>0</v>
      </c>
      <c r="E117" s="253">
        <f t="shared" si="18"/>
        <v>0</v>
      </c>
      <c r="F117" s="250">
        <f>ROUND((D117+E117)*2/1000,4)</f>
        <v>0</v>
      </c>
      <c r="G117" s="250">
        <v>0</v>
      </c>
      <c r="H117" s="58">
        <f>H116</f>
        <v>2.456</v>
      </c>
      <c r="I117" s="59">
        <f>ROUND(F117*G117*H117,3)</f>
        <v>0</v>
      </c>
      <c r="J117" s="60"/>
      <c r="K117" s="61"/>
      <c r="L117" s="61"/>
      <c r="M117" s="61"/>
      <c r="N117" s="76" t="s">
        <v>58</v>
      </c>
    </row>
    <row r="118" spans="2:14" ht="18" customHeight="1" thickBot="1">
      <c r="B118" s="648"/>
      <c r="C118" s="651"/>
      <c r="D118" s="253">
        <f t="shared" si="18"/>
        <v>0</v>
      </c>
      <c r="E118" s="253">
        <f t="shared" si="18"/>
        <v>0</v>
      </c>
      <c r="F118" s="250">
        <f>ROUND((D118+E118)*2/1000,4)</f>
        <v>0</v>
      </c>
      <c r="G118" s="250">
        <v>0</v>
      </c>
      <c r="H118" s="58">
        <f>H117</f>
        <v>2.456</v>
      </c>
      <c r="I118" s="59">
        <f>ROUND(F118*G118*H118,3)</f>
        <v>0</v>
      </c>
      <c r="J118" s="64"/>
      <c r="K118" s="65"/>
      <c r="L118" s="65"/>
      <c r="M118" s="65"/>
      <c r="N118" s="80" t="s">
        <v>89</v>
      </c>
    </row>
    <row r="119" spans="2:14" ht="18" customHeight="1">
      <c r="B119" s="48" t="s">
        <v>42</v>
      </c>
      <c r="C119" s="49">
        <f>SUMPRODUCT(F116:F118*G116:G118)</f>
        <v>0</v>
      </c>
      <c r="D119" s="100" t="s">
        <v>43</v>
      </c>
      <c r="E119" s="100">
        <f>SUM(I116:I118)*1.1</f>
        <v>0</v>
      </c>
      <c r="F119" s="50" t="s">
        <v>44</v>
      </c>
      <c r="G119" s="51">
        <f>(C$218+C$219)/1000</f>
        <v>46.081499999999998</v>
      </c>
      <c r="H119" s="52" t="s">
        <v>45</v>
      </c>
      <c r="I119" s="53">
        <f>ROUND(E119*G119,2)</f>
        <v>0</v>
      </c>
      <c r="J119" s="243">
        <f>SUM(G116:G118)</f>
        <v>0</v>
      </c>
      <c r="K119" s="255"/>
      <c r="L119" s="255"/>
      <c r="M119" s="255"/>
    </row>
    <row r="120" spans="2:14" ht="18" customHeight="1">
      <c r="B120" s="48" t="s">
        <v>46</v>
      </c>
      <c r="C120" s="50">
        <v>350.56</v>
      </c>
      <c r="D120" s="100" t="s">
        <v>47</v>
      </c>
      <c r="E120" s="100">
        <f>ROUND(C119*(C120/1000),2)</f>
        <v>0</v>
      </c>
      <c r="F120" s="50" t="s">
        <v>48</v>
      </c>
      <c r="G120" s="50">
        <f>G$23</f>
        <v>10</v>
      </c>
      <c r="H120" s="52" t="s">
        <v>49</v>
      </c>
      <c r="I120" s="53">
        <f>E120*G120</f>
        <v>0</v>
      </c>
      <c r="J120" s="255"/>
      <c r="K120" s="255"/>
      <c r="L120" s="255"/>
      <c r="M120" s="255"/>
    </row>
    <row r="121" spans="2:14" ht="18" customHeight="1" thickBot="1">
      <c r="B121" s="48" t="s">
        <v>50</v>
      </c>
      <c r="C121" s="50">
        <v>189.03</v>
      </c>
      <c r="D121" s="100" t="s">
        <v>51</v>
      </c>
      <c r="E121" s="100">
        <f>ROUND(C119*(C121/1000),2)</f>
        <v>0</v>
      </c>
      <c r="F121" s="50" t="s">
        <v>48</v>
      </c>
      <c r="G121" s="50">
        <f>G$24</f>
        <v>10</v>
      </c>
      <c r="H121" s="52" t="s">
        <v>49</v>
      </c>
      <c r="I121" s="53">
        <f>E121*G121</f>
        <v>0</v>
      </c>
      <c r="J121" s="255"/>
    </row>
    <row r="122" spans="2:14" ht="18" customHeight="1" thickBot="1">
      <c r="B122" s="23" t="s">
        <v>36</v>
      </c>
      <c r="C122" s="252" t="s">
        <v>14</v>
      </c>
      <c r="D122" s="101" t="s">
        <v>37</v>
      </c>
      <c r="E122" s="101" t="s">
        <v>38</v>
      </c>
      <c r="F122" s="252" t="s">
        <v>39</v>
      </c>
      <c r="G122" s="252" t="s">
        <v>8</v>
      </c>
      <c r="H122" s="252" t="s">
        <v>22</v>
      </c>
      <c r="I122" s="25" t="s">
        <v>40</v>
      </c>
      <c r="J122" s="54" t="s">
        <v>2</v>
      </c>
      <c r="K122" s="55" t="s">
        <v>3</v>
      </c>
      <c r="L122" s="55" t="s">
        <v>61</v>
      </c>
      <c r="M122" s="55" t="s">
        <v>62</v>
      </c>
      <c r="N122" s="70" t="s">
        <v>14</v>
      </c>
    </row>
    <row r="123" spans="2:14" ht="18" customHeight="1">
      <c r="B123" s="648" t="s">
        <v>90</v>
      </c>
      <c r="C123" s="649" t="s">
        <v>91</v>
      </c>
      <c r="D123" s="253">
        <f t="shared" ref="D123:E125" si="19">J123-IF(L123=1,78,IF(L123=2,55.5,IF(L123=3,41,0)))</f>
        <v>0</v>
      </c>
      <c r="E123" s="253">
        <f t="shared" si="19"/>
        <v>0</v>
      </c>
      <c r="F123" s="250">
        <f>ROUND((D123+E123)*2/1000,4)</f>
        <v>0</v>
      </c>
      <c r="G123" s="250"/>
      <c r="H123" s="58">
        <v>2.4710000000000001</v>
      </c>
      <c r="I123" s="59">
        <f>ROUND(F123*G123*H123,3)</f>
        <v>0</v>
      </c>
      <c r="J123" s="60"/>
      <c r="K123" s="61"/>
      <c r="L123" s="61"/>
      <c r="M123" s="61"/>
      <c r="N123" s="76" t="s">
        <v>56</v>
      </c>
    </row>
    <row r="124" spans="2:14" ht="18" customHeight="1">
      <c r="B124" s="648"/>
      <c r="C124" s="650"/>
      <c r="D124" s="253">
        <f t="shared" si="19"/>
        <v>0</v>
      </c>
      <c r="E124" s="253">
        <f t="shared" si="19"/>
        <v>0</v>
      </c>
      <c r="F124" s="250">
        <f>ROUND((D124+E124)*2/1000,4)</f>
        <v>0</v>
      </c>
      <c r="G124" s="250"/>
      <c r="H124" s="58">
        <f>H123</f>
        <v>2.4710000000000001</v>
      </c>
      <c r="I124" s="59">
        <f>ROUND(F124*G124*H124,3)</f>
        <v>0</v>
      </c>
      <c r="J124" s="60"/>
      <c r="K124" s="61"/>
      <c r="L124" s="61"/>
      <c r="M124" s="61"/>
      <c r="N124" s="76" t="s">
        <v>58</v>
      </c>
    </row>
    <row r="125" spans="2:14" ht="18" customHeight="1" thickBot="1">
      <c r="B125" s="648"/>
      <c r="C125" s="651"/>
      <c r="D125" s="253">
        <f t="shared" si="19"/>
        <v>0</v>
      </c>
      <c r="E125" s="253">
        <f t="shared" si="19"/>
        <v>0</v>
      </c>
      <c r="F125" s="250">
        <f>ROUND((D125+E125)*2/1000,4)</f>
        <v>0</v>
      </c>
      <c r="G125" s="250"/>
      <c r="H125" s="58">
        <f>H124</f>
        <v>2.4710000000000001</v>
      </c>
      <c r="I125" s="59">
        <f>ROUND(F125*G125*H125,3)</f>
        <v>0</v>
      </c>
      <c r="J125" s="64"/>
      <c r="K125" s="65"/>
      <c r="L125" s="65"/>
      <c r="M125" s="65"/>
      <c r="N125" s="80" t="s">
        <v>89</v>
      </c>
    </row>
    <row r="126" spans="2:14" ht="18" customHeight="1">
      <c r="B126" s="48" t="s">
        <v>42</v>
      </c>
      <c r="C126" s="49">
        <f>SUMPRODUCT(F123:F125*G123:G125)</f>
        <v>0</v>
      </c>
      <c r="D126" s="50" t="s">
        <v>43</v>
      </c>
      <c r="E126" s="49">
        <f>SUM(I123:I125)*1.1</f>
        <v>0</v>
      </c>
      <c r="F126" s="50" t="s">
        <v>44</v>
      </c>
      <c r="G126" s="51">
        <f>(C$218+C$221)/1000</f>
        <v>46.081499999999998</v>
      </c>
      <c r="H126" s="52" t="s">
        <v>45</v>
      </c>
      <c r="I126" s="53">
        <f>ROUND(E126*G126,2)</f>
        <v>0</v>
      </c>
      <c r="J126" s="243">
        <f>SUM(G123:G125)</f>
        <v>0</v>
      </c>
      <c r="K126" s="255"/>
      <c r="L126" s="255"/>
      <c r="M126" s="255"/>
    </row>
    <row r="127" spans="2:14" ht="18" customHeight="1">
      <c r="B127" s="48" t="s">
        <v>46</v>
      </c>
      <c r="C127" s="50">
        <v>236.53</v>
      </c>
      <c r="D127" s="50" t="s">
        <v>47</v>
      </c>
      <c r="E127" s="49">
        <f>ROUND(C126*(C127/1000),2)</f>
        <v>0</v>
      </c>
      <c r="F127" s="50" t="s">
        <v>48</v>
      </c>
      <c r="G127" s="50">
        <f>G$23</f>
        <v>10</v>
      </c>
      <c r="H127" s="52" t="s">
        <v>49</v>
      </c>
      <c r="I127" s="53">
        <f>E127*G127</f>
        <v>0</v>
      </c>
      <c r="J127" s="255"/>
      <c r="K127" s="255"/>
      <c r="L127" s="255"/>
      <c r="M127" s="255"/>
    </row>
    <row r="128" spans="2:14" ht="18" customHeight="1" thickBot="1">
      <c r="B128" s="48" t="s">
        <v>50</v>
      </c>
      <c r="C128" s="50">
        <v>311.02999999999997</v>
      </c>
      <c r="D128" s="50" t="s">
        <v>51</v>
      </c>
      <c r="E128" s="49">
        <f>ROUND(C126*(C128/1000),2)</f>
        <v>0</v>
      </c>
      <c r="F128" s="50" t="s">
        <v>48</v>
      </c>
      <c r="G128" s="50">
        <f>G$24</f>
        <v>10</v>
      </c>
      <c r="H128" s="52" t="s">
        <v>49</v>
      </c>
      <c r="I128" s="53">
        <f>E128*G128</f>
        <v>0</v>
      </c>
      <c r="J128" s="255"/>
    </row>
    <row r="129" spans="2:14" ht="18" customHeight="1" thickBot="1">
      <c r="B129" s="23" t="s">
        <v>36</v>
      </c>
      <c r="C129" s="252" t="s">
        <v>14</v>
      </c>
      <c r="D129" s="252" t="s">
        <v>37</v>
      </c>
      <c r="E129" s="252" t="s">
        <v>71</v>
      </c>
      <c r="F129" s="252" t="s">
        <v>38</v>
      </c>
      <c r="G129" s="252" t="s">
        <v>72</v>
      </c>
      <c r="H129" s="252" t="s">
        <v>22</v>
      </c>
      <c r="I129" s="25" t="s">
        <v>40</v>
      </c>
      <c r="J129" s="54" t="s">
        <v>2</v>
      </c>
      <c r="K129" s="55" t="s">
        <v>3</v>
      </c>
      <c r="L129" s="55" t="s">
        <v>61</v>
      </c>
      <c r="M129" s="55" t="s">
        <v>62</v>
      </c>
      <c r="N129" s="70" t="s">
        <v>14</v>
      </c>
    </row>
    <row r="130" spans="2:14" ht="18" customHeight="1">
      <c r="B130" s="648" t="s">
        <v>92</v>
      </c>
      <c r="C130" s="649" t="s">
        <v>93</v>
      </c>
      <c r="D130" s="253">
        <f>J130-IF(L130=1,81,IF(L130=2,58.5,IF(L130=3,36,0)))</f>
        <v>0</v>
      </c>
      <c r="E130" s="253">
        <v>0</v>
      </c>
      <c r="F130" s="253">
        <f>K130-IF(M130=1,81,IF(M130=2,58.5,IF(M130=3,36,0)))</f>
        <v>0</v>
      </c>
      <c r="G130" s="250">
        <v>0</v>
      </c>
      <c r="H130" s="250">
        <v>2.0489999999999999</v>
      </c>
      <c r="I130" s="59">
        <f>ROUND((D130*E130+F130*G130)/1000*H130,3)</f>
        <v>0</v>
      </c>
      <c r="J130" s="60"/>
      <c r="K130" s="61"/>
      <c r="L130" s="61"/>
      <c r="M130" s="61"/>
      <c r="N130" s="76" t="s">
        <v>56</v>
      </c>
    </row>
    <row r="131" spans="2:14" ht="18" customHeight="1">
      <c r="B131" s="648"/>
      <c r="C131" s="650"/>
      <c r="D131" s="253">
        <f>J131-IF(L131=1,81,IF(L131=2,58.5,IF(L131=3,36,0)))</f>
        <v>0</v>
      </c>
      <c r="E131" s="253">
        <v>0</v>
      </c>
      <c r="F131" s="253">
        <f>K131-IF(M131=1,81,IF(M131=2,58.5,IF(M131=3,36,0)))</f>
        <v>0</v>
      </c>
      <c r="G131" s="250"/>
      <c r="H131" s="250">
        <f>H130</f>
        <v>2.0489999999999999</v>
      </c>
      <c r="I131" s="59">
        <f>ROUND((D131*E131+F131*G131)/1000*H131,3)</f>
        <v>0</v>
      </c>
      <c r="J131" s="60"/>
      <c r="K131" s="61"/>
      <c r="L131" s="61"/>
      <c r="M131" s="61"/>
      <c r="N131" s="76" t="s">
        <v>58</v>
      </c>
    </row>
    <row r="132" spans="2:14" ht="18" customHeight="1" thickBot="1">
      <c r="B132" s="648"/>
      <c r="C132" s="651"/>
      <c r="D132" s="253">
        <f>J132-IF(L132=1,81,IF(L132=2,58.5,IF(L132=3,36,0)))</f>
        <v>0</v>
      </c>
      <c r="E132" s="253"/>
      <c r="F132" s="253">
        <f>K132-IF(M132=1,81,IF(M132=2,58.5,IF(M132=3,36,0)))</f>
        <v>0</v>
      </c>
      <c r="G132" s="250"/>
      <c r="H132" s="250">
        <f>H131</f>
        <v>2.0489999999999999</v>
      </c>
      <c r="I132" s="59">
        <f>ROUND((D132*E132+F132*G132)/1000*H132,3)</f>
        <v>0</v>
      </c>
      <c r="J132" s="64"/>
      <c r="K132" s="65"/>
      <c r="L132" s="65"/>
      <c r="M132" s="65"/>
      <c r="N132" s="80" t="s">
        <v>89</v>
      </c>
    </row>
    <row r="133" spans="2:14" ht="18" customHeight="1">
      <c r="B133" s="48" t="s">
        <v>42</v>
      </c>
      <c r="C133" s="49">
        <f>SUMPRODUCT(D130:D132*E130:E132+F130:F132*G130:G132)/1000</f>
        <v>0</v>
      </c>
      <c r="D133" s="50" t="s">
        <v>43</v>
      </c>
      <c r="E133" s="49">
        <f>SUM(I130:I132)*1.1</f>
        <v>0</v>
      </c>
      <c r="F133" s="50" t="s">
        <v>44</v>
      </c>
      <c r="G133" s="51">
        <f>(C$218+C$219)/1000</f>
        <v>46.081499999999998</v>
      </c>
      <c r="H133" s="52" t="s">
        <v>45</v>
      </c>
      <c r="I133" s="53">
        <f>ROUND(E133*G133,2)</f>
        <v>0</v>
      </c>
      <c r="J133" s="243">
        <f>SUM(G130:G132)+SUM(E130:E132)</f>
        <v>0</v>
      </c>
    </row>
    <row r="134" spans="2:14" ht="18" customHeight="1">
      <c r="B134" s="48" t="s">
        <v>46</v>
      </c>
      <c r="C134" s="50">
        <v>298.42</v>
      </c>
      <c r="D134" s="50" t="s">
        <v>47</v>
      </c>
      <c r="E134" s="49">
        <f>ROUND(C133*(C134/1000),2)</f>
        <v>0</v>
      </c>
      <c r="F134" s="50" t="s">
        <v>48</v>
      </c>
      <c r="G134" s="50">
        <f>G$23</f>
        <v>10</v>
      </c>
      <c r="H134" s="52" t="s">
        <v>49</v>
      </c>
      <c r="I134" s="53">
        <f>ROUND(E134*G134,2)</f>
        <v>0</v>
      </c>
    </row>
    <row r="135" spans="2:14" ht="18" customHeight="1">
      <c r="B135" s="48" t="s">
        <v>50</v>
      </c>
      <c r="C135" s="50">
        <v>208.08</v>
      </c>
      <c r="D135" s="50" t="s">
        <v>51</v>
      </c>
      <c r="E135" s="49">
        <f>ROUND(C133*(C135/1000),2)</f>
        <v>0</v>
      </c>
      <c r="F135" s="50" t="s">
        <v>48</v>
      </c>
      <c r="G135" s="50">
        <f>G$24</f>
        <v>10</v>
      </c>
      <c r="H135" s="52" t="s">
        <v>49</v>
      </c>
      <c r="I135" s="53">
        <f>ROUND(E135*G135,2)</f>
        <v>0</v>
      </c>
    </row>
    <row r="136" spans="2:14" ht="18" customHeight="1">
      <c r="B136" s="23" t="s">
        <v>36</v>
      </c>
      <c r="C136" s="252" t="s">
        <v>14</v>
      </c>
      <c r="D136" s="652" t="s">
        <v>38</v>
      </c>
      <c r="E136" s="652"/>
      <c r="F136" s="652"/>
      <c r="G136" s="252" t="s">
        <v>72</v>
      </c>
      <c r="H136" s="252" t="s">
        <v>22</v>
      </c>
      <c r="I136" s="25" t="s">
        <v>40</v>
      </c>
    </row>
    <row r="137" spans="2:14" ht="18" customHeight="1">
      <c r="B137" s="648" t="s">
        <v>94</v>
      </c>
      <c r="C137" s="649" t="s">
        <v>95</v>
      </c>
      <c r="D137" s="654">
        <f>E116</f>
        <v>0</v>
      </c>
      <c r="E137" s="646"/>
      <c r="F137" s="646"/>
      <c r="G137" s="250"/>
      <c r="H137" s="250">
        <v>1.3360000000000001</v>
      </c>
      <c r="I137" s="59">
        <f>ROUND(D137*H137*G137/1000,3)</f>
        <v>0</v>
      </c>
    </row>
    <row r="138" spans="2:14" ht="18" customHeight="1">
      <c r="B138" s="648"/>
      <c r="C138" s="651"/>
      <c r="D138" s="654"/>
      <c r="E138" s="646"/>
      <c r="F138" s="646"/>
      <c r="G138" s="250"/>
      <c r="H138" s="250">
        <f>H137</f>
        <v>1.3360000000000001</v>
      </c>
      <c r="I138" s="59">
        <f>ROUND(D138*H138*G138/1000,3)</f>
        <v>0</v>
      </c>
    </row>
    <row r="139" spans="2:14" ht="18" customHeight="1">
      <c r="B139" s="48" t="s">
        <v>42</v>
      </c>
      <c r="C139" s="49">
        <f>SUMPRODUCT(D137:F138*G137:G138)/1000</f>
        <v>0</v>
      </c>
      <c r="D139" s="50" t="s">
        <v>43</v>
      </c>
      <c r="E139" s="49">
        <f>SUM(I137:I138)*1.1</f>
        <v>0</v>
      </c>
      <c r="F139" s="50" t="s">
        <v>44</v>
      </c>
      <c r="G139" s="51">
        <f>(C$218+C$219)/1000</f>
        <v>46.081499999999998</v>
      </c>
      <c r="H139" s="52" t="s">
        <v>45</v>
      </c>
      <c r="I139" s="53">
        <f>ROUND(E139*G139,2)</f>
        <v>0</v>
      </c>
    </row>
    <row r="140" spans="2:14" ht="18" customHeight="1">
      <c r="B140" s="48" t="s">
        <v>46</v>
      </c>
      <c r="C140" s="50">
        <v>143.24</v>
      </c>
      <c r="D140" s="50" t="s">
        <v>47</v>
      </c>
      <c r="E140" s="49">
        <f>ROUND(C139*(C140/1000),2)</f>
        <v>0</v>
      </c>
      <c r="F140" s="50" t="s">
        <v>48</v>
      </c>
      <c r="G140" s="50">
        <f>G$23</f>
        <v>10</v>
      </c>
      <c r="H140" s="52" t="s">
        <v>49</v>
      </c>
      <c r="I140" s="53">
        <f>E140*G140</f>
        <v>0</v>
      </c>
    </row>
    <row r="141" spans="2:14" ht="18" customHeight="1">
      <c r="B141" s="48" t="s">
        <v>50</v>
      </c>
      <c r="C141" s="50">
        <v>85.04</v>
      </c>
      <c r="D141" s="50" t="s">
        <v>51</v>
      </c>
      <c r="E141" s="49">
        <f>ROUND(C139*(C141/1000),2)</f>
        <v>0</v>
      </c>
      <c r="F141" s="50" t="s">
        <v>48</v>
      </c>
      <c r="G141" s="50">
        <f>G$24</f>
        <v>10</v>
      </c>
      <c r="H141" s="52" t="s">
        <v>49</v>
      </c>
      <c r="I141" s="53">
        <f>E141*G141</f>
        <v>0</v>
      </c>
    </row>
    <row r="142" spans="2:14" ht="18" customHeight="1">
      <c r="B142" s="23" t="s">
        <v>36</v>
      </c>
      <c r="C142" s="252" t="s">
        <v>14</v>
      </c>
      <c r="D142" s="252" t="s">
        <v>37</v>
      </c>
      <c r="E142" s="252" t="s">
        <v>38</v>
      </c>
      <c r="F142" s="252" t="s">
        <v>39</v>
      </c>
      <c r="G142" s="252" t="s">
        <v>8</v>
      </c>
      <c r="H142" s="252" t="s">
        <v>22</v>
      </c>
      <c r="I142" s="25" t="s">
        <v>40</v>
      </c>
    </row>
    <row r="143" spans="2:14" ht="18" customHeight="1">
      <c r="B143" s="648" t="s">
        <v>96</v>
      </c>
      <c r="C143" s="653" t="s">
        <v>83</v>
      </c>
      <c r="D143" s="253">
        <f t="shared" ref="D143:E145" si="20">D116-154</f>
        <v>-154</v>
      </c>
      <c r="E143" s="253">
        <f t="shared" si="20"/>
        <v>-154</v>
      </c>
      <c r="F143" s="253">
        <f>(D143+E143)*2/1000</f>
        <v>-0.61599999999999999</v>
      </c>
      <c r="G143" s="250">
        <f>G116</f>
        <v>0</v>
      </c>
      <c r="H143" s="250">
        <v>0.27100000000000002</v>
      </c>
      <c r="I143" s="59">
        <f>ROUND((F143*G143)*H143,3)</f>
        <v>0</v>
      </c>
    </row>
    <row r="144" spans="2:14" ht="18" customHeight="1">
      <c r="B144" s="648"/>
      <c r="C144" s="650"/>
      <c r="D144" s="253">
        <f t="shared" si="20"/>
        <v>-154</v>
      </c>
      <c r="E144" s="253">
        <f t="shared" si="20"/>
        <v>-154</v>
      </c>
      <c r="F144" s="253">
        <f>(D144+E144)*2/1000</f>
        <v>-0.61599999999999999</v>
      </c>
      <c r="G144" s="250">
        <f>G117</f>
        <v>0</v>
      </c>
      <c r="H144" s="250">
        <f>H143</f>
        <v>0.27100000000000002</v>
      </c>
      <c r="I144" s="59">
        <f>ROUND((F144*G144)*H144,3)</f>
        <v>0</v>
      </c>
    </row>
    <row r="145" spans="2:14" ht="18" customHeight="1">
      <c r="B145" s="648"/>
      <c r="C145" s="651"/>
      <c r="D145" s="253">
        <f t="shared" si="20"/>
        <v>-154</v>
      </c>
      <c r="E145" s="253">
        <f t="shared" si="20"/>
        <v>-154</v>
      </c>
      <c r="F145" s="253">
        <f>(D145+E145)*2/1000</f>
        <v>-0.61599999999999999</v>
      </c>
      <c r="G145" s="250">
        <f>G118</f>
        <v>0</v>
      </c>
      <c r="H145" s="250">
        <f>H144</f>
        <v>0.27100000000000002</v>
      </c>
      <c r="I145" s="59">
        <f>ROUND((F145*G145)*H145,3)</f>
        <v>0</v>
      </c>
    </row>
    <row r="146" spans="2:14" ht="18" customHeight="1">
      <c r="B146" s="48" t="s">
        <v>42</v>
      </c>
      <c r="C146" s="49">
        <f>SUMPRODUCT(F143:F145*G143:G145)</f>
        <v>0</v>
      </c>
      <c r="D146" s="50" t="s">
        <v>43</v>
      </c>
      <c r="E146" s="49">
        <f>SUM(I143:I145)*1.1</f>
        <v>0</v>
      </c>
      <c r="F146" s="50" t="s">
        <v>44</v>
      </c>
      <c r="G146" s="51">
        <f>(C$218+C$222)/1000</f>
        <v>39.781500000000001</v>
      </c>
      <c r="H146" s="52" t="s">
        <v>45</v>
      </c>
      <c r="I146" s="53">
        <f>ROUND(E146*G146,2)</f>
        <v>0</v>
      </c>
    </row>
    <row r="147" spans="2:14" ht="18" customHeight="1">
      <c r="B147" s="48" t="s">
        <v>46</v>
      </c>
      <c r="C147" s="50">
        <v>186.72</v>
      </c>
      <c r="D147" s="50" t="s">
        <v>47</v>
      </c>
      <c r="E147" s="49">
        <f>ROUND(C146*(C147/1000),2)</f>
        <v>0</v>
      </c>
      <c r="F147" s="50" t="s">
        <v>48</v>
      </c>
      <c r="G147" s="50">
        <f>G$23</f>
        <v>10</v>
      </c>
      <c r="H147" s="52" t="s">
        <v>49</v>
      </c>
      <c r="I147" s="53">
        <f>E147*G147</f>
        <v>0</v>
      </c>
      <c r="K147" s="42"/>
      <c r="L147" s="42"/>
      <c r="M147" s="42"/>
    </row>
    <row r="148" spans="2:14" ht="18" customHeight="1">
      <c r="B148" s="48" t="s">
        <v>50</v>
      </c>
      <c r="C148" s="50">
        <v>0</v>
      </c>
      <c r="D148" s="50" t="s">
        <v>51</v>
      </c>
      <c r="E148" s="49">
        <f>ROUND(C146*(C148/1000),2)</f>
        <v>0</v>
      </c>
      <c r="F148" s="50" t="s">
        <v>48</v>
      </c>
      <c r="G148" s="50">
        <f>G$24</f>
        <v>10</v>
      </c>
      <c r="H148" s="52" t="s">
        <v>49</v>
      </c>
      <c r="I148" s="53">
        <f>E148*G148</f>
        <v>0</v>
      </c>
      <c r="K148" s="42"/>
      <c r="L148" s="42"/>
      <c r="M148" s="42"/>
    </row>
    <row r="149" spans="2:14" ht="18" customHeight="1">
      <c r="B149" s="23" t="s">
        <v>36</v>
      </c>
      <c r="C149" s="252" t="s">
        <v>14</v>
      </c>
      <c r="D149" s="252" t="s">
        <v>37</v>
      </c>
      <c r="E149" s="252" t="s">
        <v>38</v>
      </c>
      <c r="F149" s="252" t="s">
        <v>39</v>
      </c>
      <c r="G149" s="252" t="s">
        <v>8</v>
      </c>
      <c r="H149" s="252" t="s">
        <v>22</v>
      </c>
      <c r="I149" s="25" t="s">
        <v>40</v>
      </c>
      <c r="K149" s="42"/>
      <c r="L149" s="42"/>
      <c r="M149" s="42"/>
    </row>
    <row r="150" spans="2:14" ht="18" customHeight="1">
      <c r="B150" s="648" t="s">
        <v>97</v>
      </c>
      <c r="C150" s="653" t="s">
        <v>83</v>
      </c>
      <c r="D150" s="253">
        <f t="shared" ref="D150:E152" si="21">D123-160</f>
        <v>-160</v>
      </c>
      <c r="E150" s="253">
        <f t="shared" si="21"/>
        <v>-160</v>
      </c>
      <c r="F150" s="253">
        <f>(D150+E150)*2/1000</f>
        <v>-0.64</v>
      </c>
      <c r="G150" s="250">
        <f>G123</f>
        <v>0</v>
      </c>
      <c r="H150" s="250">
        <f>H145</f>
        <v>0.27100000000000002</v>
      </c>
      <c r="I150" s="59">
        <f>ROUND((F150*G150)*H150,3)</f>
        <v>0</v>
      </c>
      <c r="K150" s="42"/>
      <c r="L150" s="42"/>
      <c r="M150" s="42"/>
    </row>
    <row r="151" spans="2:14" ht="18" customHeight="1">
      <c r="B151" s="648"/>
      <c r="C151" s="650"/>
      <c r="D151" s="253">
        <f t="shared" si="21"/>
        <v>-160</v>
      </c>
      <c r="E151" s="253">
        <f t="shared" si="21"/>
        <v>-160</v>
      </c>
      <c r="F151" s="253">
        <f>(D151+E151)*2/1000</f>
        <v>-0.64</v>
      </c>
      <c r="G151" s="250">
        <f>G124</f>
        <v>0</v>
      </c>
      <c r="H151" s="250">
        <f>H150</f>
        <v>0.27100000000000002</v>
      </c>
      <c r="I151" s="59">
        <f>ROUND((F151*G151)*H151,3)</f>
        <v>0</v>
      </c>
      <c r="K151" s="42"/>
      <c r="L151" s="42"/>
      <c r="M151" s="42"/>
    </row>
    <row r="152" spans="2:14" ht="18" customHeight="1">
      <c r="B152" s="648"/>
      <c r="C152" s="651"/>
      <c r="D152" s="253">
        <f t="shared" si="21"/>
        <v>-160</v>
      </c>
      <c r="E152" s="253">
        <f t="shared" si="21"/>
        <v>-160</v>
      </c>
      <c r="F152" s="253">
        <f>(D152+E152)*2/1000</f>
        <v>-0.64</v>
      </c>
      <c r="G152" s="250">
        <f>G125</f>
        <v>0</v>
      </c>
      <c r="H152" s="250">
        <f>H151</f>
        <v>0.27100000000000002</v>
      </c>
      <c r="I152" s="59">
        <f>ROUND((F152*G152)*H152,3)</f>
        <v>0</v>
      </c>
      <c r="K152" s="42"/>
      <c r="L152" s="42"/>
      <c r="M152" s="42"/>
    </row>
    <row r="153" spans="2:14" ht="18" customHeight="1">
      <c r="B153" s="48" t="s">
        <v>42</v>
      </c>
      <c r="C153" s="49">
        <f>SUMPRODUCT(F150:F152*G150:G152)</f>
        <v>0</v>
      </c>
      <c r="D153" s="50" t="s">
        <v>43</v>
      </c>
      <c r="E153" s="49">
        <f>SUM(I150:I152)*1.1</f>
        <v>0</v>
      </c>
      <c r="F153" s="50" t="s">
        <v>44</v>
      </c>
      <c r="G153" s="51">
        <f>(C$218+C$222)/1000</f>
        <v>39.781500000000001</v>
      </c>
      <c r="H153" s="52" t="s">
        <v>45</v>
      </c>
      <c r="I153" s="53">
        <f>ROUND(E153*G153,2)</f>
        <v>0</v>
      </c>
      <c r="K153" s="42"/>
      <c r="L153" s="42"/>
      <c r="M153" s="42"/>
    </row>
    <row r="154" spans="2:14" ht="18" customHeight="1">
      <c r="B154" s="48" t="s">
        <v>46</v>
      </c>
      <c r="C154" s="50">
        <v>186.72</v>
      </c>
      <c r="D154" s="50" t="s">
        <v>47</v>
      </c>
      <c r="E154" s="49">
        <f>ROUND(C153*(C154/1000),2)</f>
        <v>0</v>
      </c>
      <c r="F154" s="50" t="s">
        <v>48</v>
      </c>
      <c r="G154" s="50">
        <f>G$23</f>
        <v>10</v>
      </c>
      <c r="H154" s="52" t="s">
        <v>49</v>
      </c>
      <c r="I154" s="53">
        <f>E154*G154</f>
        <v>0</v>
      </c>
    </row>
    <row r="155" spans="2:14" ht="18" customHeight="1" thickBot="1">
      <c r="B155" s="48" t="s">
        <v>50</v>
      </c>
      <c r="C155" s="50">
        <v>0</v>
      </c>
      <c r="D155" s="50" t="s">
        <v>51</v>
      </c>
      <c r="E155" s="49">
        <f>ROUND(C153*(C155/1000),2)</f>
        <v>0</v>
      </c>
      <c r="F155" s="50" t="s">
        <v>48</v>
      </c>
      <c r="G155" s="50">
        <f>G$24</f>
        <v>10</v>
      </c>
      <c r="H155" s="52" t="s">
        <v>49</v>
      </c>
      <c r="I155" s="53">
        <f>E155*G155</f>
        <v>0</v>
      </c>
    </row>
    <row r="156" spans="2:14" ht="18" customHeight="1" thickBot="1">
      <c r="B156" s="23" t="s">
        <v>36</v>
      </c>
      <c r="C156" s="252" t="s">
        <v>14</v>
      </c>
      <c r="D156" s="252" t="s">
        <v>37</v>
      </c>
      <c r="E156" s="252" t="s">
        <v>38</v>
      </c>
      <c r="F156" s="252" t="s">
        <v>39</v>
      </c>
      <c r="G156" s="252" t="s">
        <v>8</v>
      </c>
      <c r="H156" s="252" t="s">
        <v>22</v>
      </c>
      <c r="I156" s="25" t="s">
        <v>40</v>
      </c>
      <c r="J156" s="54" t="s">
        <v>2</v>
      </c>
      <c r="K156" s="55" t="s">
        <v>3</v>
      </c>
      <c r="L156" s="55" t="s">
        <v>61</v>
      </c>
      <c r="M156" s="55" t="s">
        <v>62</v>
      </c>
      <c r="N156" s="70" t="s">
        <v>14</v>
      </c>
    </row>
    <row r="157" spans="2:14" ht="18" customHeight="1">
      <c r="B157" s="648" t="s">
        <v>98</v>
      </c>
      <c r="C157" s="649" t="s">
        <v>99</v>
      </c>
      <c r="D157" s="253">
        <f t="shared" ref="D157:E162" si="22">J157-IF(L157=1,90,IF(L157=2,67.5,IF(L157=3,45,0)))</f>
        <v>0</v>
      </c>
      <c r="E157" s="253">
        <f t="shared" si="22"/>
        <v>0</v>
      </c>
      <c r="F157" s="253">
        <f t="shared" ref="F157:F162" si="23">2*(D157+E157)/1000</f>
        <v>0</v>
      </c>
      <c r="G157" s="250">
        <v>0</v>
      </c>
      <c r="H157" s="250">
        <f>H68</f>
        <v>0.224</v>
      </c>
      <c r="I157" s="59">
        <f t="shared" ref="I157:I162" si="24">ROUND((F157*G157)*H157,3)</f>
        <v>0</v>
      </c>
      <c r="J157" s="60"/>
      <c r="K157" s="61"/>
      <c r="L157" s="61"/>
      <c r="M157" s="61"/>
      <c r="N157" s="76" t="s">
        <v>56</v>
      </c>
    </row>
    <row r="158" spans="2:14" ht="18" customHeight="1">
      <c r="B158" s="648"/>
      <c r="C158" s="650"/>
      <c r="D158" s="253">
        <f t="shared" si="22"/>
        <v>0</v>
      </c>
      <c r="E158" s="253">
        <f t="shared" si="22"/>
        <v>0</v>
      </c>
      <c r="F158" s="253">
        <f t="shared" si="23"/>
        <v>0</v>
      </c>
      <c r="G158" s="250"/>
      <c r="H158" s="250">
        <f>H157</f>
        <v>0.224</v>
      </c>
      <c r="I158" s="59">
        <f t="shared" si="24"/>
        <v>0</v>
      </c>
      <c r="J158" s="60"/>
      <c r="K158" s="61"/>
      <c r="L158" s="61"/>
      <c r="M158" s="61"/>
      <c r="N158" s="76" t="s">
        <v>58</v>
      </c>
    </row>
    <row r="159" spans="2:14" ht="18" customHeight="1">
      <c r="B159" s="648"/>
      <c r="C159" s="650"/>
      <c r="D159" s="253">
        <f t="shared" si="22"/>
        <v>0</v>
      </c>
      <c r="E159" s="253">
        <f t="shared" si="22"/>
        <v>0</v>
      </c>
      <c r="F159" s="253">
        <f t="shared" si="23"/>
        <v>0</v>
      </c>
      <c r="G159" s="250"/>
      <c r="H159" s="250">
        <f>H158</f>
        <v>0.224</v>
      </c>
      <c r="I159" s="59">
        <f t="shared" si="24"/>
        <v>0</v>
      </c>
      <c r="J159" s="60"/>
      <c r="K159" s="61"/>
      <c r="L159" s="61"/>
      <c r="M159" s="61"/>
      <c r="N159" s="76" t="s">
        <v>60</v>
      </c>
    </row>
    <row r="160" spans="2:14" ht="18" customHeight="1">
      <c r="B160" s="648"/>
      <c r="C160" s="650"/>
      <c r="D160" s="253">
        <f t="shared" si="22"/>
        <v>0</v>
      </c>
      <c r="E160" s="253">
        <f t="shared" si="22"/>
        <v>0</v>
      </c>
      <c r="F160" s="253">
        <f t="shared" si="23"/>
        <v>0</v>
      </c>
      <c r="G160" s="250">
        <v>0</v>
      </c>
      <c r="H160" s="77">
        <f>H159</f>
        <v>0.224</v>
      </c>
      <c r="I160" s="59">
        <f t="shared" si="24"/>
        <v>0</v>
      </c>
      <c r="J160" s="60"/>
      <c r="K160" s="61"/>
      <c r="L160" s="61"/>
      <c r="M160" s="61"/>
      <c r="N160" s="76"/>
    </row>
    <row r="161" spans="2:16" ht="18" customHeight="1">
      <c r="B161" s="648"/>
      <c r="C161" s="650"/>
      <c r="D161" s="253">
        <f t="shared" si="22"/>
        <v>0</v>
      </c>
      <c r="E161" s="253">
        <f t="shared" si="22"/>
        <v>0</v>
      </c>
      <c r="F161" s="253">
        <f t="shared" si="23"/>
        <v>0</v>
      </c>
      <c r="G161" s="250"/>
      <c r="H161" s="250">
        <f>H160</f>
        <v>0.224</v>
      </c>
      <c r="I161" s="59">
        <f t="shared" si="24"/>
        <v>0</v>
      </c>
      <c r="J161" s="60"/>
      <c r="K161" s="61"/>
      <c r="L161" s="61"/>
      <c r="M161" s="61"/>
      <c r="N161" s="76"/>
    </row>
    <row r="162" spans="2:16" ht="18" customHeight="1" thickBot="1">
      <c r="B162" s="648"/>
      <c r="C162" s="651"/>
      <c r="D162" s="253">
        <f t="shared" si="22"/>
        <v>0</v>
      </c>
      <c r="E162" s="253">
        <f t="shared" si="22"/>
        <v>0</v>
      </c>
      <c r="F162" s="253">
        <f t="shared" si="23"/>
        <v>0</v>
      </c>
      <c r="G162" s="250"/>
      <c r="H162" s="250">
        <f>H160</f>
        <v>0.224</v>
      </c>
      <c r="I162" s="59">
        <f t="shared" si="24"/>
        <v>0</v>
      </c>
      <c r="J162" s="64"/>
      <c r="K162" s="65"/>
      <c r="L162" s="65"/>
      <c r="M162" s="65"/>
      <c r="N162" s="80"/>
    </row>
    <row r="163" spans="2:16" ht="18" customHeight="1">
      <c r="B163" s="48" t="s">
        <v>42</v>
      </c>
      <c r="C163" s="49">
        <f>SUMPRODUCT(F157:F162*G157:G162)</f>
        <v>0</v>
      </c>
      <c r="D163" s="50" t="s">
        <v>43</v>
      </c>
      <c r="E163" s="49">
        <f>SUM(I157:I162)*1.1</f>
        <v>0</v>
      </c>
      <c r="F163" s="50" t="s">
        <v>44</v>
      </c>
      <c r="G163" s="51">
        <f>(C$218+C$222)/1000</f>
        <v>39.781500000000001</v>
      </c>
      <c r="H163" s="52" t="s">
        <v>45</v>
      </c>
      <c r="I163" s="53">
        <f>ROUND(E163*G163,2)</f>
        <v>0</v>
      </c>
      <c r="J163" s="102"/>
      <c r="K163" s="102"/>
      <c r="L163" s="102"/>
      <c r="M163" s="102"/>
      <c r="O163" s="102"/>
      <c r="P163" s="102"/>
    </row>
    <row r="164" spans="2:16" ht="18" customHeight="1">
      <c r="B164" s="48" t="s">
        <v>46</v>
      </c>
      <c r="C164" s="50">
        <v>181.72</v>
      </c>
      <c r="D164" s="50" t="s">
        <v>47</v>
      </c>
      <c r="E164" s="49">
        <f>ROUND(C163*(C164/1000),2)</f>
        <v>0</v>
      </c>
      <c r="F164" s="50" t="s">
        <v>48</v>
      </c>
      <c r="G164" s="50">
        <f>G$23</f>
        <v>10</v>
      </c>
      <c r="H164" s="52" t="s">
        <v>49</v>
      </c>
      <c r="I164" s="53">
        <f>E164*G164</f>
        <v>0</v>
      </c>
      <c r="J164" s="102"/>
      <c r="K164" s="102"/>
      <c r="L164" s="102"/>
      <c r="M164" s="102"/>
      <c r="O164" s="102"/>
      <c r="P164" s="102"/>
    </row>
    <row r="165" spans="2:16" ht="18" customHeight="1">
      <c r="B165" s="48" t="s">
        <v>50</v>
      </c>
      <c r="C165" s="50"/>
      <c r="D165" s="50" t="s">
        <v>51</v>
      </c>
      <c r="E165" s="49">
        <f>ROUND(C163*(C165/1000),2)</f>
        <v>0</v>
      </c>
      <c r="F165" s="50" t="s">
        <v>48</v>
      </c>
      <c r="G165" s="50">
        <f>G$24</f>
        <v>10</v>
      </c>
      <c r="H165" s="52" t="s">
        <v>49</v>
      </c>
      <c r="I165" s="53">
        <f>E165*G165</f>
        <v>0</v>
      </c>
      <c r="K165" s="43">
        <f>J165*E165</f>
        <v>0</v>
      </c>
    </row>
    <row r="166" spans="2:16" ht="18" customHeight="1">
      <c r="B166" s="23" t="s">
        <v>36</v>
      </c>
      <c r="C166" s="252" t="s">
        <v>14</v>
      </c>
      <c r="D166" s="252" t="s">
        <v>37</v>
      </c>
      <c r="E166" s="252" t="s">
        <v>71</v>
      </c>
      <c r="F166" s="252" t="s">
        <v>38</v>
      </c>
      <c r="G166" s="252" t="s">
        <v>72</v>
      </c>
      <c r="H166" s="252" t="s">
        <v>22</v>
      </c>
      <c r="I166" s="25" t="s">
        <v>40</v>
      </c>
    </row>
    <row r="167" spans="2:16" ht="18" customHeight="1">
      <c r="B167" s="648" t="s">
        <v>100</v>
      </c>
      <c r="C167" s="649" t="s">
        <v>101</v>
      </c>
      <c r="D167" s="250"/>
      <c r="E167" s="250"/>
      <c r="F167" s="250"/>
      <c r="G167" s="250"/>
      <c r="H167" s="28">
        <v>6.3E-2</v>
      </c>
      <c r="I167" s="59">
        <f>ROUND((D167*E167+F167*G167)/1000*H167,3)</f>
        <v>0</v>
      </c>
    </row>
    <row r="168" spans="2:16" ht="18" customHeight="1">
      <c r="B168" s="648"/>
      <c r="C168" s="650"/>
      <c r="D168" s="250"/>
      <c r="E168" s="250"/>
      <c r="F168" s="250"/>
      <c r="G168" s="250"/>
      <c r="H168" s="28">
        <f>H167</f>
        <v>6.3E-2</v>
      </c>
      <c r="I168" s="59">
        <f>ROUND((D168*E168+F168*G168)/1000*H168,3)</f>
        <v>0</v>
      </c>
    </row>
    <row r="169" spans="2:16" ht="18" customHeight="1">
      <c r="B169" s="648"/>
      <c r="C169" s="651"/>
      <c r="D169" s="250"/>
      <c r="E169" s="250"/>
      <c r="F169" s="250"/>
      <c r="G169" s="250"/>
      <c r="H169" s="28">
        <f>H168</f>
        <v>6.3E-2</v>
      </c>
      <c r="I169" s="59">
        <f>ROUND((D169*E169+F169*G169)/1000*H169,3)</f>
        <v>0</v>
      </c>
    </row>
    <row r="170" spans="2:16" ht="18" customHeight="1">
      <c r="B170" s="48" t="s">
        <v>42</v>
      </c>
      <c r="C170" s="49">
        <f>SUMPRODUCT(D167:D169*E167:E169+F167:F169*G167:G169)/1000</f>
        <v>0</v>
      </c>
      <c r="D170" s="50" t="s">
        <v>43</v>
      </c>
      <c r="E170" s="49">
        <f>SUM(I167:I169)*1.1</f>
        <v>0</v>
      </c>
      <c r="F170" s="50" t="s">
        <v>44</v>
      </c>
      <c r="G170" s="51">
        <f>(C$218+$C$222)/1000</f>
        <v>39.781500000000001</v>
      </c>
      <c r="H170" s="52" t="s">
        <v>45</v>
      </c>
      <c r="I170" s="53">
        <f>ROUND(E170*G170,2)</f>
        <v>0</v>
      </c>
    </row>
    <row r="171" spans="2:16" ht="18" customHeight="1">
      <c r="B171" s="48" t="s">
        <v>46</v>
      </c>
      <c r="C171" s="50">
        <v>105.66</v>
      </c>
      <c r="D171" s="50" t="s">
        <v>47</v>
      </c>
      <c r="E171" s="49">
        <f>ROUND(C170*(C171/1000),2)</f>
        <v>0</v>
      </c>
      <c r="F171" s="50" t="s">
        <v>48</v>
      </c>
      <c r="G171" s="50">
        <f>G$23</f>
        <v>10</v>
      </c>
      <c r="H171" s="52" t="s">
        <v>49</v>
      </c>
      <c r="I171" s="53">
        <f>E171*G171</f>
        <v>0</v>
      </c>
    </row>
    <row r="172" spans="2:16" ht="18" customHeight="1">
      <c r="B172" s="48" t="s">
        <v>50</v>
      </c>
      <c r="C172" s="50">
        <v>125.66</v>
      </c>
      <c r="D172" s="50" t="s">
        <v>51</v>
      </c>
      <c r="E172" s="49">
        <f>ROUND(C170*(C172/1000),2)</f>
        <v>0</v>
      </c>
      <c r="F172" s="50" t="s">
        <v>48</v>
      </c>
      <c r="G172" s="50">
        <f>G$24</f>
        <v>10</v>
      </c>
      <c r="H172" s="52" t="s">
        <v>49</v>
      </c>
      <c r="I172" s="53">
        <f>E172*G172</f>
        <v>0</v>
      </c>
    </row>
    <row r="173" spans="2:16" ht="18" customHeight="1">
      <c r="B173" s="23" t="s">
        <v>36</v>
      </c>
      <c r="C173" s="252" t="s">
        <v>14</v>
      </c>
      <c r="D173" s="252" t="s">
        <v>37</v>
      </c>
      <c r="E173" s="252" t="s">
        <v>71</v>
      </c>
      <c r="F173" s="252" t="s">
        <v>38</v>
      </c>
      <c r="G173" s="252" t="s">
        <v>72</v>
      </c>
      <c r="H173" s="252" t="s">
        <v>22</v>
      </c>
      <c r="I173" s="25" t="s">
        <v>40</v>
      </c>
    </row>
    <row r="174" spans="2:16" ht="18" customHeight="1">
      <c r="B174" s="648" t="s">
        <v>102</v>
      </c>
      <c r="C174" s="649" t="s">
        <v>103</v>
      </c>
      <c r="D174" s="250"/>
      <c r="E174" s="250"/>
      <c r="F174" s="250"/>
      <c r="G174" s="250"/>
      <c r="H174" s="28">
        <v>1.0980000000000001</v>
      </c>
      <c r="I174" s="59">
        <f>ROUND((D174*E174+F174*G174)/1000*H174,3)</f>
        <v>0</v>
      </c>
    </row>
    <row r="175" spans="2:16" ht="18" customHeight="1">
      <c r="B175" s="648"/>
      <c r="C175" s="650"/>
      <c r="D175" s="250"/>
      <c r="E175" s="250"/>
      <c r="F175" s="250"/>
      <c r="G175" s="250"/>
      <c r="H175" s="28">
        <f>H174</f>
        <v>1.0980000000000001</v>
      </c>
      <c r="I175" s="59">
        <f>ROUND((D175*E175+F175*G175)/1000*H175,3)</f>
        <v>0</v>
      </c>
    </row>
    <row r="176" spans="2:16" ht="18" customHeight="1">
      <c r="B176" s="648"/>
      <c r="C176" s="651"/>
      <c r="D176" s="250"/>
      <c r="E176" s="250"/>
      <c r="F176" s="250"/>
      <c r="G176" s="250"/>
      <c r="H176" s="28">
        <f>H175</f>
        <v>1.0980000000000001</v>
      </c>
      <c r="I176" s="59">
        <f>ROUND((D176*E176+F176*G176)/1000*H176,3)</f>
        <v>0</v>
      </c>
    </row>
    <row r="177" spans="2:9" ht="18" customHeight="1">
      <c r="B177" s="48" t="s">
        <v>42</v>
      </c>
      <c r="C177" s="49">
        <f>SUMPRODUCT(D174:D176*E174:E176+F174:F176*G174:G176)/1000</f>
        <v>0</v>
      </c>
      <c r="D177" s="50" t="s">
        <v>43</v>
      </c>
      <c r="E177" s="49">
        <f>SUM(I174:I176)*1.1</f>
        <v>0</v>
      </c>
      <c r="F177" s="50" t="s">
        <v>44</v>
      </c>
      <c r="G177" s="51">
        <f>(C$218+C$219)/1000</f>
        <v>46.081499999999998</v>
      </c>
      <c r="H177" s="52" t="s">
        <v>45</v>
      </c>
      <c r="I177" s="53">
        <f>ROUND(E177*G177,2)</f>
        <v>0</v>
      </c>
    </row>
    <row r="178" spans="2:9" ht="18" customHeight="1">
      <c r="B178" s="48" t="s">
        <v>46</v>
      </c>
      <c r="C178" s="50">
        <v>105.66</v>
      </c>
      <c r="D178" s="50" t="s">
        <v>47</v>
      </c>
      <c r="E178" s="49">
        <f>ROUND(C177*(C178/1000),2)</f>
        <v>0</v>
      </c>
      <c r="F178" s="50" t="s">
        <v>48</v>
      </c>
      <c r="G178" s="50">
        <f>G$23</f>
        <v>10</v>
      </c>
      <c r="H178" s="52" t="s">
        <v>49</v>
      </c>
      <c r="I178" s="53">
        <f>E178*G178</f>
        <v>0</v>
      </c>
    </row>
    <row r="179" spans="2:9" ht="18" customHeight="1">
      <c r="B179" s="48" t="s">
        <v>50</v>
      </c>
      <c r="C179" s="50">
        <v>125.66</v>
      </c>
      <c r="D179" s="50" t="s">
        <v>51</v>
      </c>
      <c r="E179" s="49">
        <f>ROUND(C177*(C179/1000),2)</f>
        <v>0</v>
      </c>
      <c r="F179" s="50" t="s">
        <v>48</v>
      </c>
      <c r="G179" s="50">
        <f>G$24</f>
        <v>10</v>
      </c>
      <c r="H179" s="52" t="s">
        <v>49</v>
      </c>
      <c r="I179" s="53">
        <f>E179*G179</f>
        <v>0</v>
      </c>
    </row>
    <row r="180" spans="2:9" ht="18" customHeight="1">
      <c r="B180" s="23" t="s">
        <v>36</v>
      </c>
      <c r="C180" s="252" t="s">
        <v>14</v>
      </c>
      <c r="D180" s="252" t="s">
        <v>37</v>
      </c>
      <c r="E180" s="252" t="s">
        <v>71</v>
      </c>
      <c r="F180" s="252" t="s">
        <v>38</v>
      </c>
      <c r="G180" s="252" t="s">
        <v>72</v>
      </c>
      <c r="H180" s="252" t="s">
        <v>22</v>
      </c>
      <c r="I180" s="25" t="s">
        <v>40</v>
      </c>
    </row>
    <row r="181" spans="2:9" ht="18" customHeight="1">
      <c r="B181" s="648" t="s">
        <v>104</v>
      </c>
      <c r="C181" s="649" t="s">
        <v>105</v>
      </c>
      <c r="D181" s="250">
        <f>D6</f>
        <v>1020</v>
      </c>
      <c r="E181" s="250">
        <v>1</v>
      </c>
      <c r="F181" s="250"/>
      <c r="G181" s="250"/>
      <c r="H181" s="28">
        <v>1.5629999999999999</v>
      </c>
      <c r="I181" s="59">
        <f>ROUND((D181*E181+F181*G181)/1000*H181,3)</f>
        <v>1.5940000000000001</v>
      </c>
    </row>
    <row r="182" spans="2:9" ht="18" customHeight="1">
      <c r="B182" s="648"/>
      <c r="C182" s="650"/>
      <c r="D182" s="250"/>
      <c r="E182" s="250"/>
      <c r="F182" s="250"/>
      <c r="G182" s="250"/>
      <c r="H182" s="28">
        <f>H181</f>
        <v>1.5629999999999999</v>
      </c>
      <c r="I182" s="59">
        <f>ROUND((D182*E182+F182*G182)/1000*H182,3)</f>
        <v>0</v>
      </c>
    </row>
    <row r="183" spans="2:9" ht="18" customHeight="1">
      <c r="B183" s="648"/>
      <c r="C183" s="651"/>
      <c r="D183" s="250"/>
      <c r="E183" s="250"/>
      <c r="F183" s="250"/>
      <c r="G183" s="250"/>
      <c r="H183" s="28">
        <f>H182</f>
        <v>1.5629999999999999</v>
      </c>
      <c r="I183" s="59">
        <f>ROUND((D183*E183+F183*G183)/1000*H183,3)</f>
        <v>0</v>
      </c>
    </row>
    <row r="184" spans="2:9" ht="18" customHeight="1">
      <c r="B184" s="48" t="s">
        <v>42</v>
      </c>
      <c r="C184" s="49">
        <f>SUMPRODUCT(D181:D183*E181:E183+F181:F183*G181:G183)/1000</f>
        <v>1.02</v>
      </c>
      <c r="D184" s="50" t="s">
        <v>43</v>
      </c>
      <c r="E184" s="49">
        <f>SUM(I181:I183)*1.1</f>
        <v>1.7534000000000003</v>
      </c>
      <c r="F184" s="50" t="s">
        <v>44</v>
      </c>
      <c r="G184" s="51">
        <f>(C$218+C$219)/1000</f>
        <v>46.081499999999998</v>
      </c>
      <c r="H184" s="52" t="s">
        <v>45</v>
      </c>
      <c r="I184" s="53">
        <f>ROUND(E184*G184,2)</f>
        <v>80.8</v>
      </c>
    </row>
    <row r="185" spans="2:9" ht="18" customHeight="1">
      <c r="B185" s="48" t="s">
        <v>46</v>
      </c>
      <c r="C185" s="50">
        <v>105.66</v>
      </c>
      <c r="D185" s="50" t="s">
        <v>47</v>
      </c>
      <c r="E185" s="49">
        <f>ROUND(C184*(C185/1000),2)</f>
        <v>0.11</v>
      </c>
      <c r="F185" s="50" t="s">
        <v>48</v>
      </c>
      <c r="G185" s="50">
        <f>G$23</f>
        <v>10</v>
      </c>
      <c r="H185" s="52" t="s">
        <v>49</v>
      </c>
      <c r="I185" s="53">
        <f>E185*G185</f>
        <v>1.1000000000000001</v>
      </c>
    </row>
    <row r="186" spans="2:9" ht="18" customHeight="1">
      <c r="B186" s="48" t="s">
        <v>50</v>
      </c>
      <c r="C186" s="50">
        <v>125.66</v>
      </c>
      <c r="D186" s="50" t="s">
        <v>51</v>
      </c>
      <c r="E186" s="49">
        <f>ROUND(C184*(C186/1000),2)</f>
        <v>0.13</v>
      </c>
      <c r="F186" s="50" t="s">
        <v>48</v>
      </c>
      <c r="G186" s="50">
        <f>G$24</f>
        <v>10</v>
      </c>
      <c r="H186" s="52" t="s">
        <v>49</v>
      </c>
      <c r="I186" s="53">
        <f>E186*G186</f>
        <v>1.3</v>
      </c>
    </row>
    <row r="187" spans="2:9" ht="18" customHeight="1">
      <c r="B187" s="23" t="s">
        <v>36</v>
      </c>
      <c r="C187" s="252" t="s">
        <v>14</v>
      </c>
      <c r="D187" s="252" t="s">
        <v>37</v>
      </c>
      <c r="E187" s="252" t="s">
        <v>71</v>
      </c>
      <c r="F187" s="252" t="s">
        <v>38</v>
      </c>
      <c r="G187" s="252" t="s">
        <v>72</v>
      </c>
      <c r="H187" s="252" t="s">
        <v>22</v>
      </c>
      <c r="I187" s="25" t="s">
        <v>40</v>
      </c>
    </row>
    <row r="188" spans="2:9" ht="18" customHeight="1">
      <c r="B188" s="648" t="s">
        <v>106</v>
      </c>
      <c r="C188" s="649" t="s">
        <v>107</v>
      </c>
      <c r="D188" s="250"/>
      <c r="E188" s="250"/>
      <c r="F188" s="250"/>
      <c r="G188" s="250"/>
      <c r="H188" s="28">
        <v>1.732</v>
      </c>
      <c r="I188" s="59">
        <f>ROUND((D188*E188+F188*G188)/1000*H188,3)</f>
        <v>0</v>
      </c>
    </row>
    <row r="189" spans="2:9" ht="18" customHeight="1">
      <c r="B189" s="648"/>
      <c r="C189" s="650"/>
      <c r="D189" s="250"/>
      <c r="E189" s="250"/>
      <c r="F189" s="250"/>
      <c r="G189" s="250"/>
      <c r="H189" s="28">
        <f>H188</f>
        <v>1.732</v>
      </c>
      <c r="I189" s="59">
        <f>ROUND((D189*E189+F189*G189)/1000*H189,3)</f>
        <v>0</v>
      </c>
    </row>
    <row r="190" spans="2:9" ht="18" customHeight="1">
      <c r="B190" s="648"/>
      <c r="C190" s="651"/>
      <c r="D190" s="250"/>
      <c r="E190" s="250"/>
      <c r="F190" s="250">
        <f>E6</f>
        <v>1620</v>
      </c>
      <c r="G190" s="250"/>
      <c r="H190" s="28">
        <f>H189</f>
        <v>1.732</v>
      </c>
      <c r="I190" s="59">
        <f>ROUND((D190*E190+F190*G190)/1000*H190,3)</f>
        <v>0</v>
      </c>
    </row>
    <row r="191" spans="2:9" ht="18" customHeight="1">
      <c r="B191" s="48" t="s">
        <v>42</v>
      </c>
      <c r="C191" s="49">
        <f>SUMPRODUCT(D188:D190*E188:E190+F188:F190*G188:G190)/1000</f>
        <v>0</v>
      </c>
      <c r="D191" s="50" t="s">
        <v>43</v>
      </c>
      <c r="E191" s="49">
        <f>SUM(I188:I190)*1.1</f>
        <v>0</v>
      </c>
      <c r="F191" s="50" t="s">
        <v>44</v>
      </c>
      <c r="G191" s="51">
        <f>(C$218+C$219)/1000</f>
        <v>46.081499999999998</v>
      </c>
      <c r="H191" s="52" t="s">
        <v>45</v>
      </c>
      <c r="I191" s="53">
        <f>ROUND(E191*G191,2)</f>
        <v>0</v>
      </c>
    </row>
    <row r="192" spans="2:9" ht="18" customHeight="1">
      <c r="B192" s="48" t="s">
        <v>46</v>
      </c>
      <c r="C192" s="50">
        <v>105.66</v>
      </c>
      <c r="D192" s="50" t="s">
        <v>47</v>
      </c>
      <c r="E192" s="49">
        <f>ROUND(C191*(C192/1000),2)</f>
        <v>0</v>
      </c>
      <c r="F192" s="50" t="s">
        <v>48</v>
      </c>
      <c r="G192" s="50">
        <f>G$23</f>
        <v>10</v>
      </c>
      <c r="H192" s="52" t="s">
        <v>49</v>
      </c>
      <c r="I192" s="53">
        <f>E192*G192</f>
        <v>0</v>
      </c>
    </row>
    <row r="193" spans="2:15" ht="18" customHeight="1">
      <c r="B193" s="48" t="s">
        <v>50</v>
      </c>
      <c r="C193" s="50">
        <v>125.66</v>
      </c>
      <c r="D193" s="50" t="s">
        <v>51</v>
      </c>
      <c r="E193" s="49">
        <f>ROUND(C191*(C193/1000),2)</f>
        <v>0</v>
      </c>
      <c r="F193" s="50" t="s">
        <v>48</v>
      </c>
      <c r="G193" s="50">
        <f>G$24</f>
        <v>10</v>
      </c>
      <c r="H193" s="52" t="s">
        <v>49</v>
      </c>
      <c r="I193" s="53">
        <f>E193*G193</f>
        <v>0</v>
      </c>
    </row>
    <row r="194" spans="2:15" ht="18" customHeight="1">
      <c r="B194" s="23" t="s">
        <v>36</v>
      </c>
      <c r="C194" s="252" t="s">
        <v>14</v>
      </c>
      <c r="D194" s="652" t="s">
        <v>38</v>
      </c>
      <c r="E194" s="652"/>
      <c r="F194" s="652"/>
      <c r="G194" s="252" t="s">
        <v>72</v>
      </c>
      <c r="H194" s="252" t="s">
        <v>22</v>
      </c>
      <c r="I194" s="25" t="s">
        <v>40</v>
      </c>
    </row>
    <row r="195" spans="2:15" ht="18" customHeight="1">
      <c r="B195" s="643" t="s">
        <v>108</v>
      </c>
      <c r="C195" s="645" t="s">
        <v>109</v>
      </c>
      <c r="D195" s="646"/>
      <c r="E195" s="646"/>
      <c r="F195" s="646"/>
      <c r="G195" s="250"/>
      <c r="H195" s="250">
        <v>1.796</v>
      </c>
      <c r="I195" s="59">
        <f>ROUND((D195*G195*H195)/1000,3)</f>
        <v>0</v>
      </c>
    </row>
    <row r="196" spans="2:15" ht="18" customHeight="1">
      <c r="B196" s="644"/>
      <c r="C196" s="640"/>
      <c r="D196" s="646"/>
      <c r="E196" s="646"/>
      <c r="F196" s="646"/>
      <c r="G196" s="250"/>
      <c r="H196" s="250">
        <f>H195</f>
        <v>1.796</v>
      </c>
      <c r="I196" s="59">
        <f>ROUND((D196*G196*H196)/1000,3)</f>
        <v>0</v>
      </c>
    </row>
    <row r="197" spans="2:15" ht="18" customHeight="1">
      <c r="B197" s="643" t="s">
        <v>110</v>
      </c>
      <c r="C197" s="645" t="s">
        <v>111</v>
      </c>
      <c r="D197" s="646"/>
      <c r="E197" s="646"/>
      <c r="F197" s="646"/>
      <c r="G197" s="250"/>
      <c r="H197" s="250">
        <v>1.355</v>
      </c>
      <c r="I197" s="59"/>
    </row>
    <row r="198" spans="2:15" ht="18" customHeight="1">
      <c r="B198" s="644"/>
      <c r="C198" s="640"/>
      <c r="D198" s="646"/>
      <c r="E198" s="646"/>
      <c r="F198" s="646"/>
      <c r="G198" s="250"/>
      <c r="H198" s="250">
        <f>H197</f>
        <v>1.355</v>
      </c>
      <c r="I198" s="59"/>
    </row>
    <row r="199" spans="2:15" ht="18" customHeight="1">
      <c r="B199" s="48" t="s">
        <v>42</v>
      </c>
      <c r="C199" s="49">
        <f>SUMPRODUCT(D195:F198*G195:G198)/1000</f>
        <v>0</v>
      </c>
      <c r="D199" s="50" t="s">
        <v>43</v>
      </c>
      <c r="E199" s="49">
        <f>SUM(I195:I198)*1.1</f>
        <v>0</v>
      </c>
      <c r="F199" s="50" t="s">
        <v>44</v>
      </c>
      <c r="G199" s="51">
        <f>(C$218+C$219)/1000</f>
        <v>46.081499999999998</v>
      </c>
      <c r="H199" s="52" t="s">
        <v>45</v>
      </c>
      <c r="I199" s="53">
        <f>ROUND(E199*G199,2)</f>
        <v>0</v>
      </c>
    </row>
    <row r="200" spans="2:15" ht="18" customHeight="1">
      <c r="B200" s="48" t="s">
        <v>46</v>
      </c>
      <c r="C200" s="50">
        <v>267.77999999999997</v>
      </c>
      <c r="D200" s="50" t="s">
        <v>47</v>
      </c>
      <c r="E200" s="49">
        <f>ROUND(C199*(C200/1000),2)</f>
        <v>0</v>
      </c>
      <c r="F200" s="50" t="s">
        <v>48</v>
      </c>
      <c r="G200" s="50">
        <f>G$23</f>
        <v>10</v>
      </c>
      <c r="H200" s="52" t="s">
        <v>49</v>
      </c>
      <c r="I200" s="53">
        <f>E200*G200</f>
        <v>0</v>
      </c>
    </row>
    <row r="201" spans="2:15" ht="18" customHeight="1">
      <c r="B201" s="48" t="s">
        <v>50</v>
      </c>
      <c r="C201" s="50">
        <v>104.29</v>
      </c>
      <c r="D201" s="50" t="s">
        <v>51</v>
      </c>
      <c r="E201" s="49">
        <f>ROUND(C199*(C201/1000),2)</f>
        <v>0</v>
      </c>
      <c r="F201" s="50" t="s">
        <v>48</v>
      </c>
      <c r="G201" s="50">
        <f>G$24</f>
        <v>10</v>
      </c>
      <c r="H201" s="52" t="s">
        <v>49</v>
      </c>
      <c r="I201" s="53">
        <f>E201*G201</f>
        <v>0</v>
      </c>
    </row>
    <row r="202" spans="2:15" ht="18" customHeight="1">
      <c r="B202" s="103" t="s">
        <v>112</v>
      </c>
      <c r="C202" s="104" t="s">
        <v>113</v>
      </c>
      <c r="D202" s="104" t="s">
        <v>28</v>
      </c>
      <c r="E202" s="104" t="s">
        <v>8</v>
      </c>
      <c r="F202" s="104" t="s">
        <v>112</v>
      </c>
      <c r="G202" s="104" t="s">
        <v>113</v>
      </c>
      <c r="H202" s="104" t="s">
        <v>28</v>
      </c>
      <c r="I202" s="105" t="s">
        <v>8</v>
      </c>
      <c r="N202" s="106"/>
      <c r="O202" s="102"/>
    </row>
    <row r="203" spans="2:15" ht="18" customHeight="1">
      <c r="B203" s="251" t="s">
        <v>327</v>
      </c>
      <c r="C203" s="107" t="s">
        <v>114</v>
      </c>
      <c r="D203" s="108">
        <v>2.15</v>
      </c>
      <c r="E203" s="253">
        <f>SUM(G14:G21)*4</f>
        <v>8</v>
      </c>
      <c r="F203" s="647" t="s">
        <v>115</v>
      </c>
      <c r="G203" s="107" t="s">
        <v>116</v>
      </c>
      <c r="H203" s="108">
        <v>2.46</v>
      </c>
      <c r="I203" s="247">
        <f>SUM(G108:G111)*4</f>
        <v>0</v>
      </c>
      <c r="J203" s="42"/>
      <c r="N203" s="106"/>
      <c r="O203" s="102"/>
    </row>
    <row r="204" spans="2:15" ht="18" customHeight="1">
      <c r="B204" s="251" t="s">
        <v>328</v>
      </c>
      <c r="C204" s="107" t="s">
        <v>117</v>
      </c>
      <c r="D204" s="108">
        <v>1.72</v>
      </c>
      <c r="E204" s="253">
        <f>E203</f>
        <v>8</v>
      </c>
      <c r="F204" s="646"/>
      <c r="G204" s="107" t="s">
        <v>118</v>
      </c>
      <c r="H204" s="108">
        <v>3.11</v>
      </c>
      <c r="I204" s="247">
        <f>I203</f>
        <v>0</v>
      </c>
      <c r="J204" s="42"/>
      <c r="N204" s="106"/>
      <c r="O204" s="102"/>
    </row>
    <row r="205" spans="2:15" ht="18" customHeight="1">
      <c r="B205" s="109" t="s">
        <v>330</v>
      </c>
      <c r="C205" s="107" t="s">
        <v>119</v>
      </c>
      <c r="D205" s="108">
        <v>2.68</v>
      </c>
      <c r="E205" s="253">
        <f>SUM(G26:G30)*4</f>
        <v>0</v>
      </c>
      <c r="F205" s="110" t="s">
        <v>120</v>
      </c>
      <c r="G205" s="107" t="s">
        <v>121</v>
      </c>
      <c r="H205" s="111">
        <v>4.76</v>
      </c>
      <c r="I205" s="247">
        <f>SUM(G123:G125)*4</f>
        <v>0</v>
      </c>
      <c r="J205" s="42"/>
      <c r="N205" s="106"/>
      <c r="O205" s="102"/>
    </row>
    <row r="206" spans="2:15" ht="18" customHeight="1">
      <c r="B206" s="109" t="s">
        <v>329</v>
      </c>
      <c r="C206" s="107" t="s">
        <v>122</v>
      </c>
      <c r="D206" s="108">
        <v>1.27</v>
      </c>
      <c r="E206" s="253">
        <f>E205</f>
        <v>0</v>
      </c>
      <c r="F206" s="110" t="s">
        <v>123</v>
      </c>
      <c r="G206" s="107" t="s">
        <v>124</v>
      </c>
      <c r="H206" s="111">
        <v>3.85</v>
      </c>
      <c r="I206" s="247">
        <f>I205</f>
        <v>0</v>
      </c>
      <c r="J206" s="42"/>
      <c r="N206" s="106"/>
      <c r="O206" s="102"/>
    </row>
    <row r="207" spans="2:15" ht="18" customHeight="1">
      <c r="B207" s="109" t="s">
        <v>331</v>
      </c>
      <c r="C207" s="107" t="s">
        <v>125</v>
      </c>
      <c r="D207" s="111" t="s">
        <v>126</v>
      </c>
      <c r="E207" s="253">
        <f>SUM(G35:G37)*4</f>
        <v>8</v>
      </c>
      <c r="F207" s="110" t="s">
        <v>127</v>
      </c>
      <c r="G207" s="107" t="s">
        <v>128</v>
      </c>
      <c r="H207" s="111">
        <v>4.29</v>
      </c>
      <c r="I207" s="247">
        <f>SUM(G116:G118)*4</f>
        <v>0</v>
      </c>
      <c r="J207" s="42"/>
      <c r="N207" s="106"/>
      <c r="O207" s="102"/>
    </row>
    <row r="208" spans="2:15" ht="18" customHeight="1">
      <c r="B208" s="109" t="s">
        <v>332</v>
      </c>
      <c r="C208" s="107" t="s">
        <v>129</v>
      </c>
      <c r="D208" s="111" t="s">
        <v>130</v>
      </c>
      <c r="E208" s="253">
        <f>E207</f>
        <v>8</v>
      </c>
      <c r="F208" s="110" t="s">
        <v>131</v>
      </c>
      <c r="G208" s="107" t="s">
        <v>132</v>
      </c>
      <c r="H208" s="111">
        <v>4.5</v>
      </c>
      <c r="I208" s="247">
        <f>I207</f>
        <v>0</v>
      </c>
      <c r="J208" s="42"/>
      <c r="N208" s="106"/>
      <c r="O208" s="102"/>
    </row>
    <row r="209" spans="2:15" ht="18" customHeight="1">
      <c r="B209" s="249" t="s">
        <v>333</v>
      </c>
      <c r="C209" s="250">
        <v>12.6</v>
      </c>
      <c r="D209" s="111">
        <v>1.32</v>
      </c>
      <c r="E209" s="253">
        <f>SUM(G42:G47)*4</f>
        <v>0</v>
      </c>
      <c r="F209" s="639"/>
      <c r="G209" s="107"/>
      <c r="H209" s="28"/>
      <c r="I209" s="247"/>
      <c r="N209" s="106"/>
      <c r="O209" s="102"/>
    </row>
    <row r="210" spans="2:15" ht="18" customHeight="1">
      <c r="B210" s="249" t="s">
        <v>334</v>
      </c>
      <c r="C210" s="250">
        <v>15.8</v>
      </c>
      <c r="D210" s="111">
        <v>1.18</v>
      </c>
      <c r="E210" s="253">
        <f>E209</f>
        <v>0</v>
      </c>
      <c r="F210" s="640"/>
      <c r="G210" s="107"/>
      <c r="H210" s="28"/>
      <c r="I210" s="231"/>
      <c r="N210" s="106"/>
      <c r="O210" s="102"/>
    </row>
    <row r="211" spans="2:15" ht="18" customHeight="1">
      <c r="B211" s="251" t="s">
        <v>335</v>
      </c>
      <c r="C211" s="107" t="s">
        <v>337</v>
      </c>
      <c r="D211" s="111">
        <v>2.81</v>
      </c>
      <c r="E211" s="250">
        <f>SUM(E52+E53+E54+E55+G52+G53+G54+G55+G60+G61+G62+G63)*2</f>
        <v>2</v>
      </c>
      <c r="F211" s="641" t="s">
        <v>133</v>
      </c>
      <c r="G211" s="111">
        <f>SUMPRODUCT(D35:D37,G35:G37)/1000</f>
        <v>0.96</v>
      </c>
      <c r="H211" s="28">
        <v>0.16</v>
      </c>
      <c r="I211" s="232">
        <f>G211*H211</f>
        <v>0.15359999999999999</v>
      </c>
      <c r="N211" s="106"/>
      <c r="O211" s="102"/>
    </row>
    <row r="212" spans="2:15" ht="18" customHeight="1">
      <c r="B212" s="251" t="s">
        <v>336</v>
      </c>
      <c r="C212" s="107" t="s">
        <v>338</v>
      </c>
      <c r="D212" s="111">
        <v>3.51</v>
      </c>
      <c r="E212" s="250">
        <f>E211</f>
        <v>2</v>
      </c>
      <c r="F212" s="641"/>
      <c r="G212" s="111">
        <f>SUMPRODUCT(D26:D30,G26:G30)/1000</f>
        <v>0</v>
      </c>
      <c r="H212" s="28">
        <v>0.16</v>
      </c>
      <c r="I212" s="232">
        <f>G212*H212</f>
        <v>0</v>
      </c>
      <c r="N212" s="106"/>
      <c r="O212" s="102"/>
    </row>
    <row r="213" spans="2:15" ht="18" customHeight="1">
      <c r="B213" s="251" t="s">
        <v>134</v>
      </c>
      <c r="C213" s="250">
        <v>30.6</v>
      </c>
      <c r="D213" s="111">
        <v>2.81</v>
      </c>
      <c r="E213" s="253">
        <f>SUM(+E130+E131+E132+G130+G131+G132)*2</f>
        <v>0</v>
      </c>
      <c r="F213" s="641" t="s">
        <v>135</v>
      </c>
      <c r="G213" s="111">
        <f>SUMPRODUCT(E26:E30,G26:G30)/1000</f>
        <v>0</v>
      </c>
      <c r="H213" s="28">
        <v>0.16</v>
      </c>
      <c r="I213" s="232">
        <f>G213*H213</f>
        <v>0</v>
      </c>
      <c r="N213" s="106"/>
      <c r="O213" s="102"/>
    </row>
    <row r="214" spans="2:15" ht="18" customHeight="1">
      <c r="B214" s="251" t="s">
        <v>136</v>
      </c>
      <c r="C214" s="250">
        <v>30.6</v>
      </c>
      <c r="D214" s="111">
        <v>3.51</v>
      </c>
      <c r="E214" s="253">
        <f>E213</f>
        <v>0</v>
      </c>
      <c r="F214" s="641"/>
      <c r="G214" s="111">
        <f>SUMPRODUCT(E35:E37,G35:G37)/1000</f>
        <v>2.052</v>
      </c>
      <c r="H214" s="28">
        <v>0.16</v>
      </c>
      <c r="I214" s="232">
        <f>G214*H214</f>
        <v>0.32832</v>
      </c>
      <c r="N214" s="106"/>
      <c r="O214" s="102"/>
    </row>
    <row r="215" spans="2:15" ht="18" customHeight="1">
      <c r="B215" s="52" t="s">
        <v>137</v>
      </c>
      <c r="C215" s="112" cm="1">
        <f t="array" ref="C215">SUMPRODUCT(D203:D214*E203:E214)+SUMPRODUCT(H203:H210*I203:I210)</f>
        <v>83.92</v>
      </c>
      <c r="D215" s="52"/>
      <c r="E215" s="52"/>
      <c r="F215" s="52"/>
      <c r="G215" s="52" t="s">
        <v>138</v>
      </c>
      <c r="H215" s="52" cm="1">
        <f t="array" ref="H215">SUMPRODUCT(G211:G214*H211:H214)</f>
        <v>0.48192000000000002</v>
      </c>
      <c r="I215" s="233">
        <f>H215*1.08</f>
        <v>0.52047360000000009</v>
      </c>
      <c r="N215" s="106"/>
      <c r="O215" s="102"/>
    </row>
    <row r="216" spans="2:15" ht="18" customHeight="1">
      <c r="B216" s="23" t="s">
        <v>139</v>
      </c>
      <c r="C216" s="252" t="s">
        <v>14</v>
      </c>
      <c r="D216" s="252" t="s">
        <v>22</v>
      </c>
      <c r="E216" s="252" t="s">
        <v>8</v>
      </c>
      <c r="F216" s="252" t="s">
        <v>113</v>
      </c>
      <c r="G216" s="252" t="s">
        <v>40</v>
      </c>
      <c r="H216" s="252" t="s">
        <v>28</v>
      </c>
      <c r="I216" s="25" t="s">
        <v>29</v>
      </c>
      <c r="N216" s="106"/>
      <c r="O216" s="102"/>
    </row>
    <row r="217" spans="2:15" ht="18" customHeight="1">
      <c r="B217" s="48" t="s">
        <v>140</v>
      </c>
      <c r="C217" s="52" t="s">
        <v>141</v>
      </c>
      <c r="D217" s="50">
        <v>0.14199999999999999</v>
      </c>
      <c r="E217" s="50">
        <v>1</v>
      </c>
      <c r="F217" s="50">
        <f>D6</f>
        <v>1020</v>
      </c>
      <c r="G217" s="128">
        <f>D217*F217*E217/1000*1.1</f>
        <v>0.15932399999999997</v>
      </c>
      <c r="H217" s="52">
        <f>(C218+C222)/1000</f>
        <v>39.781500000000001</v>
      </c>
      <c r="I217" s="193">
        <f>G217*H217</f>
        <v>6.3381477059999991</v>
      </c>
      <c r="N217" s="106"/>
      <c r="O217" s="102"/>
    </row>
    <row r="218" spans="2:15" ht="18" customHeight="1">
      <c r="B218" s="37" t="s">
        <v>142</v>
      </c>
      <c r="C218" s="113">
        <f>材料价格!B4</f>
        <v>22081.5</v>
      </c>
      <c r="D218" s="39" t="s">
        <v>143</v>
      </c>
      <c r="E218" s="114">
        <f>E139+E133+E126+E119+E112+E199+E177+E64+E56+E48+E38+E31+E22+E184+E191</f>
        <v>29.994799999999998</v>
      </c>
      <c r="F218" s="39" t="s">
        <v>144</v>
      </c>
      <c r="G218" s="115">
        <f>I218/E218-C218/1000</f>
        <v>24.000154153386596</v>
      </c>
      <c r="H218" s="39" t="s">
        <v>145</v>
      </c>
      <c r="I218" s="116">
        <f>I22+I31+I38+I48+I56+I64+I199+I112+I119+I126+I133+I139+I177+I184+I191</f>
        <v>1382.21</v>
      </c>
      <c r="N218" s="106"/>
      <c r="O218" s="102"/>
    </row>
    <row r="219" spans="2:15" ht="18" customHeight="1">
      <c r="B219" s="117" t="s">
        <v>146</v>
      </c>
      <c r="C219" s="118">
        <f>材料价格!B5</f>
        <v>24000</v>
      </c>
      <c r="D219" s="39" t="s">
        <v>147</v>
      </c>
      <c r="E219" s="114">
        <f>E163+E153+E146+E104+E97+E88+G217+E170</f>
        <v>2.7184740000000001</v>
      </c>
      <c r="F219" s="39" t="s">
        <v>148</v>
      </c>
      <c r="G219" s="119">
        <f>I219/E219-C218/1000</f>
        <v>17.697489133609515</v>
      </c>
      <c r="H219" s="39" t="s">
        <v>149</v>
      </c>
      <c r="I219" s="116">
        <f>I88+I97+I104+I146+I153+I163+I217+I170</f>
        <v>108.138147706</v>
      </c>
      <c r="N219" s="106"/>
      <c r="O219" s="102"/>
    </row>
    <row r="220" spans="2:15" ht="18" customHeight="1">
      <c r="B220" s="117" t="s">
        <v>150</v>
      </c>
      <c r="C220" s="118">
        <f>C219</f>
        <v>24000</v>
      </c>
      <c r="D220" s="39" t="s">
        <v>151</v>
      </c>
      <c r="E220" s="120">
        <f>I215</f>
        <v>0.52047360000000009</v>
      </c>
      <c r="F220" s="39" t="s">
        <v>152</v>
      </c>
      <c r="G220" s="119">
        <f>I220/E220-C218/1000</f>
        <v>2.8957514878756534</v>
      </c>
      <c r="H220" s="39" t="s">
        <v>153</v>
      </c>
      <c r="I220" s="116">
        <f>ROUND(E220*(C218+C223)/1000,2)</f>
        <v>13</v>
      </c>
      <c r="N220" s="106"/>
      <c r="O220" s="102"/>
    </row>
    <row r="221" spans="2:15" ht="18" customHeight="1">
      <c r="B221" s="117" t="s">
        <v>154</v>
      </c>
      <c r="C221" s="121">
        <f>C220</f>
        <v>24000</v>
      </c>
      <c r="D221" s="39" t="s">
        <v>155</v>
      </c>
      <c r="E221" s="39"/>
      <c r="F221" s="39" t="s">
        <v>156</v>
      </c>
      <c r="G221" s="39"/>
      <c r="H221" s="39" t="s">
        <v>49</v>
      </c>
      <c r="I221" s="116">
        <f>E221*G221</f>
        <v>0</v>
      </c>
      <c r="J221" s="42"/>
      <c r="K221" s="255"/>
    </row>
    <row r="222" spans="2:15" ht="18" customHeight="1">
      <c r="B222" s="117" t="s">
        <v>148</v>
      </c>
      <c r="C222" s="122">
        <f>材料价格!B6</f>
        <v>17700</v>
      </c>
      <c r="D222" s="39" t="s">
        <v>157</v>
      </c>
      <c r="E222" s="39"/>
      <c r="F222" s="39" t="s">
        <v>156</v>
      </c>
      <c r="G222" s="39"/>
      <c r="H222" s="39" t="s">
        <v>49</v>
      </c>
      <c r="I222" s="116">
        <f>E222*G222</f>
        <v>0</v>
      </c>
      <c r="J222" s="123"/>
      <c r="K222" s="123"/>
      <c r="L222" s="123"/>
    </row>
    <row r="223" spans="2:15" ht="18" customHeight="1">
      <c r="B223" s="117" t="s">
        <v>152</v>
      </c>
      <c r="C223" s="122">
        <f>材料价格!B9</f>
        <v>2900</v>
      </c>
      <c r="D223" s="39" t="s">
        <v>158</v>
      </c>
      <c r="E223" s="114">
        <f>SUM(E218:E220)</f>
        <v>33.233747600000001</v>
      </c>
      <c r="F223" s="39"/>
      <c r="G223" s="39" t="s">
        <v>339</v>
      </c>
      <c r="H223" s="39"/>
      <c r="I223" s="234">
        <f>SUM(I218:I222)+C215</f>
        <v>1587.268147706</v>
      </c>
      <c r="J223" s="123"/>
      <c r="K223" s="123"/>
      <c r="L223" s="123"/>
    </row>
    <row r="224" spans="2:15" ht="18" customHeight="1">
      <c r="B224" s="23" t="s">
        <v>159</v>
      </c>
      <c r="C224" s="252" t="s">
        <v>113</v>
      </c>
      <c r="D224" s="252" t="s">
        <v>16</v>
      </c>
      <c r="E224" s="252" t="s">
        <v>7</v>
      </c>
      <c r="F224" s="252" t="s">
        <v>8</v>
      </c>
      <c r="G224" s="252" t="s">
        <v>28</v>
      </c>
      <c r="H224" s="252" t="s">
        <v>160</v>
      </c>
      <c r="I224" s="25" t="s">
        <v>1</v>
      </c>
      <c r="J224" s="255"/>
      <c r="K224" s="255"/>
      <c r="L224" s="255"/>
      <c r="M224" s="255"/>
    </row>
    <row r="225" spans="2:13" ht="18" customHeight="1">
      <c r="B225" s="124" t="str">
        <f>材料价格!A10</f>
        <v>6单银Low-E+12A+6</v>
      </c>
      <c r="C225" s="253">
        <f t="shared" ref="C225:D229" si="25">D92</f>
        <v>-90</v>
      </c>
      <c r="D225" s="253">
        <f t="shared" si="25"/>
        <v>-90</v>
      </c>
      <c r="E225" s="32">
        <f>C225*D225/10^6</f>
        <v>8.0999999999999996E-3</v>
      </c>
      <c r="F225" s="250">
        <f>G26</f>
        <v>0</v>
      </c>
      <c r="G225" s="125">
        <f>材料价格!B10</f>
        <v>148</v>
      </c>
      <c r="H225" s="250">
        <f>ROUND(E225*G225*F225,2)</f>
        <v>0</v>
      </c>
      <c r="I225" s="247" t="s">
        <v>161</v>
      </c>
      <c r="J225" s="255"/>
      <c r="K225" s="255"/>
      <c r="L225" s="255"/>
      <c r="M225" s="255"/>
    </row>
    <row r="226" spans="2:13" ht="18" customHeight="1">
      <c r="B226" s="124" t="str">
        <f t="shared" ref="B226:B232" si="26">B225</f>
        <v>6单银Low-E+12A+6</v>
      </c>
      <c r="C226" s="253">
        <f t="shared" si="25"/>
        <v>-90</v>
      </c>
      <c r="D226" s="253">
        <f t="shared" si="25"/>
        <v>-90</v>
      </c>
      <c r="E226" s="32">
        <f t="shared" ref="E226:E284" si="27">C226*D226/10^6</f>
        <v>8.0999999999999996E-3</v>
      </c>
      <c r="F226" s="250">
        <f>G27</f>
        <v>0</v>
      </c>
      <c r="G226" s="126">
        <f t="shared" ref="G226:G232" si="28">G225</f>
        <v>148</v>
      </c>
      <c r="H226" s="250">
        <f t="shared" ref="H226:H241" si="29">ROUND(E226*G226*F226,2)</f>
        <v>0</v>
      </c>
      <c r="I226" s="247" t="s">
        <v>162</v>
      </c>
      <c r="J226" s="255"/>
      <c r="K226" s="255"/>
      <c r="L226" s="255"/>
      <c r="M226" s="255"/>
    </row>
    <row r="227" spans="2:13" ht="18" customHeight="1">
      <c r="B227" s="124" t="str">
        <f t="shared" si="26"/>
        <v>6单银Low-E+12A+6</v>
      </c>
      <c r="C227" s="253">
        <f t="shared" si="25"/>
        <v>-90</v>
      </c>
      <c r="D227" s="253">
        <f t="shared" si="25"/>
        <v>-90</v>
      </c>
      <c r="E227" s="32">
        <f t="shared" si="27"/>
        <v>8.0999999999999996E-3</v>
      </c>
      <c r="F227" s="250">
        <f>G28</f>
        <v>0</v>
      </c>
      <c r="G227" s="126">
        <f t="shared" si="28"/>
        <v>148</v>
      </c>
      <c r="H227" s="250">
        <f t="shared" si="29"/>
        <v>0</v>
      </c>
      <c r="I227" s="247" t="s">
        <v>162</v>
      </c>
      <c r="J227" s="255"/>
      <c r="K227" s="255"/>
      <c r="L227" s="255"/>
      <c r="M227" s="255"/>
    </row>
    <row r="228" spans="2:13" ht="18" customHeight="1">
      <c r="B228" s="124" t="str">
        <f t="shared" si="26"/>
        <v>6单银Low-E+12A+6</v>
      </c>
      <c r="C228" s="253">
        <f t="shared" si="25"/>
        <v>-90</v>
      </c>
      <c r="D228" s="253">
        <f t="shared" si="25"/>
        <v>-90</v>
      </c>
      <c r="E228" s="32">
        <f t="shared" si="27"/>
        <v>8.0999999999999996E-3</v>
      </c>
      <c r="F228" s="250">
        <f>G29</f>
        <v>0</v>
      </c>
      <c r="G228" s="126">
        <f t="shared" si="28"/>
        <v>148</v>
      </c>
      <c r="H228" s="250">
        <f t="shared" si="29"/>
        <v>0</v>
      </c>
      <c r="I228" s="247" t="s">
        <v>162</v>
      </c>
      <c r="J228" s="255"/>
      <c r="K228" s="255"/>
      <c r="L228" s="255"/>
      <c r="M228" s="255"/>
    </row>
    <row r="229" spans="2:13" ht="18" customHeight="1">
      <c r="B229" s="124" t="str">
        <f t="shared" si="26"/>
        <v>6单银Low-E+12A+6</v>
      </c>
      <c r="C229" s="253">
        <f t="shared" si="25"/>
        <v>-90</v>
      </c>
      <c r="D229" s="253">
        <f t="shared" si="25"/>
        <v>-90</v>
      </c>
      <c r="E229" s="32">
        <f t="shared" si="27"/>
        <v>8.0999999999999996E-3</v>
      </c>
      <c r="F229" s="250">
        <f>G30</f>
        <v>0</v>
      </c>
      <c r="G229" s="126">
        <f t="shared" si="28"/>
        <v>148</v>
      </c>
      <c r="H229" s="250">
        <f t="shared" si="29"/>
        <v>0</v>
      </c>
      <c r="I229" s="247" t="s">
        <v>162</v>
      </c>
      <c r="J229" s="123"/>
      <c r="K229" s="123"/>
      <c r="L229" s="123"/>
    </row>
    <row r="230" spans="2:13" ht="18" customHeight="1">
      <c r="B230" s="124" t="str">
        <f t="shared" si="26"/>
        <v>6单银Low-E+12A+6</v>
      </c>
      <c r="C230" s="253">
        <f t="shared" ref="C230:D232" si="30">D101</f>
        <v>358</v>
      </c>
      <c r="D230" s="253">
        <f t="shared" si="30"/>
        <v>904</v>
      </c>
      <c r="E230" s="32">
        <f t="shared" si="27"/>
        <v>0.32363199999999998</v>
      </c>
      <c r="F230" s="250">
        <f>G101</f>
        <v>2</v>
      </c>
      <c r="G230" s="126">
        <f t="shared" si="28"/>
        <v>148</v>
      </c>
      <c r="H230" s="250">
        <f t="shared" si="29"/>
        <v>95.8</v>
      </c>
      <c r="I230" s="127" t="s">
        <v>163</v>
      </c>
      <c r="J230" s="123"/>
      <c r="K230" s="123"/>
      <c r="L230" s="123"/>
    </row>
    <row r="231" spans="2:13" ht="18" customHeight="1">
      <c r="B231" s="124" t="str">
        <f t="shared" si="26"/>
        <v>6单银Low-E+12A+6</v>
      </c>
      <c r="C231" s="253">
        <f t="shared" si="30"/>
        <v>-122</v>
      </c>
      <c r="D231" s="253">
        <f t="shared" si="30"/>
        <v>-122</v>
      </c>
      <c r="E231" s="32">
        <f t="shared" si="27"/>
        <v>1.4884E-2</v>
      </c>
      <c r="F231" s="250">
        <f>G102</f>
        <v>0</v>
      </c>
      <c r="G231" s="126">
        <f t="shared" si="28"/>
        <v>148</v>
      </c>
      <c r="H231" s="250">
        <f t="shared" si="29"/>
        <v>0</v>
      </c>
      <c r="I231" s="127" t="s">
        <v>163</v>
      </c>
    </row>
    <row r="232" spans="2:13" ht="18" customHeight="1">
      <c r="B232" s="124" t="str">
        <f t="shared" si="26"/>
        <v>6单银Low-E+12A+6</v>
      </c>
      <c r="C232" s="253">
        <f t="shared" si="30"/>
        <v>-122</v>
      </c>
      <c r="D232" s="253">
        <f t="shared" si="30"/>
        <v>-122</v>
      </c>
      <c r="E232" s="32">
        <f t="shared" si="27"/>
        <v>1.4884E-2</v>
      </c>
      <c r="F232" s="250">
        <f>G103</f>
        <v>0</v>
      </c>
      <c r="G232" s="126">
        <f t="shared" si="28"/>
        <v>148</v>
      </c>
      <c r="H232" s="250">
        <f t="shared" si="29"/>
        <v>0</v>
      </c>
      <c r="I232" s="127" t="s">
        <v>163</v>
      </c>
    </row>
    <row r="233" spans="2:13" ht="18" customHeight="1">
      <c r="B233" s="48" t="s">
        <v>164</v>
      </c>
      <c r="C233" s="52"/>
      <c r="D233" s="50"/>
      <c r="E233" s="128"/>
      <c r="F233" s="50">
        <f>SUM(F225:F232)</f>
        <v>2</v>
      </c>
      <c r="G233" s="50"/>
      <c r="H233" s="52">
        <f>SUM(H225:H232)</f>
        <v>95.8</v>
      </c>
      <c r="I233" s="53">
        <f>ROUND((E225*F225+E226*F226+E227*F227+E228*F228+E229*F229+E230*F230+E231*F231+E232*F232),2)</f>
        <v>0.65</v>
      </c>
    </row>
    <row r="234" spans="2:13" ht="18" customHeight="1">
      <c r="B234" s="124" t="str">
        <f>B232</f>
        <v>6单银Low-E+12A+6</v>
      </c>
      <c r="C234" s="253">
        <f>C225</f>
        <v>-90</v>
      </c>
      <c r="D234" s="253">
        <f>D225</f>
        <v>-90</v>
      </c>
      <c r="E234" s="32">
        <f t="shared" si="27"/>
        <v>8.0999999999999996E-3</v>
      </c>
      <c r="F234" s="250">
        <f>IF(F225=0,G26,0)</f>
        <v>0</v>
      </c>
      <c r="G234" s="126">
        <f>G232</f>
        <v>148</v>
      </c>
      <c r="H234" s="250">
        <f t="shared" si="29"/>
        <v>0</v>
      </c>
      <c r="I234" s="247" t="s">
        <v>165</v>
      </c>
      <c r="J234" s="129"/>
    </row>
    <row r="235" spans="2:13" ht="18" customHeight="1">
      <c r="B235" s="124" t="str">
        <f t="shared" ref="B235:B241" si="31">B234</f>
        <v>6单银Low-E+12A+6</v>
      </c>
      <c r="C235" s="253">
        <f t="shared" ref="C235:D241" si="32">C226</f>
        <v>-90</v>
      </c>
      <c r="D235" s="253">
        <f t="shared" si="32"/>
        <v>-90</v>
      </c>
      <c r="E235" s="32">
        <f t="shared" si="27"/>
        <v>8.0999999999999996E-3</v>
      </c>
      <c r="F235" s="250">
        <f>IF(F226=0,G27,0)</f>
        <v>0</v>
      </c>
      <c r="G235" s="126">
        <f>G234</f>
        <v>148</v>
      </c>
      <c r="H235" s="250">
        <f t="shared" si="29"/>
        <v>0</v>
      </c>
      <c r="I235" s="247" t="s">
        <v>165</v>
      </c>
      <c r="J235" s="129"/>
    </row>
    <row r="236" spans="2:13" ht="18" customHeight="1">
      <c r="B236" s="124" t="str">
        <f t="shared" si="31"/>
        <v>6单银Low-E+12A+6</v>
      </c>
      <c r="C236" s="253">
        <f t="shared" si="32"/>
        <v>-90</v>
      </c>
      <c r="D236" s="253">
        <f t="shared" si="32"/>
        <v>-90</v>
      </c>
      <c r="E236" s="32">
        <f t="shared" si="27"/>
        <v>8.0999999999999996E-3</v>
      </c>
      <c r="F236" s="250">
        <f>IF(F227=0,G28,0)</f>
        <v>0</v>
      </c>
      <c r="G236" s="126">
        <f t="shared" ref="G236:G241" si="33">G234</f>
        <v>148</v>
      </c>
      <c r="H236" s="250">
        <f t="shared" si="29"/>
        <v>0</v>
      </c>
      <c r="I236" s="247" t="s">
        <v>165</v>
      </c>
      <c r="J236" s="129"/>
    </row>
    <row r="237" spans="2:13" ht="18" customHeight="1">
      <c r="B237" s="124" t="str">
        <f t="shared" si="31"/>
        <v>6单银Low-E+12A+6</v>
      </c>
      <c r="C237" s="253">
        <f t="shared" si="32"/>
        <v>-90</v>
      </c>
      <c r="D237" s="253">
        <f t="shared" si="32"/>
        <v>-90</v>
      </c>
      <c r="E237" s="32">
        <f t="shared" si="27"/>
        <v>8.0999999999999996E-3</v>
      </c>
      <c r="F237" s="250">
        <f>IF(F228=0,G29,0)</f>
        <v>0</v>
      </c>
      <c r="G237" s="126">
        <f t="shared" si="33"/>
        <v>148</v>
      </c>
      <c r="H237" s="250">
        <f t="shared" si="29"/>
        <v>0</v>
      </c>
      <c r="I237" s="247" t="s">
        <v>165</v>
      </c>
      <c r="J237" s="129"/>
    </row>
    <row r="238" spans="2:13" ht="18" customHeight="1">
      <c r="B238" s="124" t="str">
        <f t="shared" si="31"/>
        <v>6单银Low-E+12A+6</v>
      </c>
      <c r="C238" s="253">
        <f t="shared" si="32"/>
        <v>-90</v>
      </c>
      <c r="D238" s="253">
        <f t="shared" si="32"/>
        <v>-90</v>
      </c>
      <c r="E238" s="32">
        <f t="shared" si="27"/>
        <v>8.0999999999999996E-3</v>
      </c>
      <c r="F238" s="250">
        <f>IF(F229=0,G30,0)</f>
        <v>0</v>
      </c>
      <c r="G238" s="126">
        <f t="shared" si="33"/>
        <v>148</v>
      </c>
      <c r="H238" s="250">
        <f t="shared" si="29"/>
        <v>0</v>
      </c>
      <c r="I238" s="247" t="s">
        <v>165</v>
      </c>
      <c r="J238" s="129"/>
    </row>
    <row r="239" spans="2:13" ht="18" customHeight="1">
      <c r="B239" s="124" t="str">
        <f t="shared" si="31"/>
        <v>6单银Low-E+12A+6</v>
      </c>
      <c r="C239" s="253">
        <f t="shared" si="32"/>
        <v>358</v>
      </c>
      <c r="D239" s="253">
        <f t="shared" si="32"/>
        <v>904</v>
      </c>
      <c r="E239" s="32">
        <f t="shared" si="27"/>
        <v>0.32363199999999998</v>
      </c>
      <c r="F239" s="250">
        <f>IF(F230=0,G35,0)</f>
        <v>0</v>
      </c>
      <c r="G239" s="126">
        <f t="shared" si="33"/>
        <v>148</v>
      </c>
      <c r="H239" s="250">
        <f t="shared" si="29"/>
        <v>0</v>
      </c>
      <c r="I239" s="127" t="s">
        <v>166</v>
      </c>
      <c r="J239" s="129"/>
    </row>
    <row r="240" spans="2:13" ht="18" customHeight="1">
      <c r="B240" s="124" t="str">
        <f t="shared" si="31"/>
        <v>6单银Low-E+12A+6</v>
      </c>
      <c r="C240" s="253">
        <f t="shared" si="32"/>
        <v>-122</v>
      </c>
      <c r="D240" s="253">
        <f t="shared" si="32"/>
        <v>-122</v>
      </c>
      <c r="E240" s="32">
        <f t="shared" si="27"/>
        <v>1.4884E-2</v>
      </c>
      <c r="F240" s="250">
        <f>IF(F231=0,G36,0)</f>
        <v>0</v>
      </c>
      <c r="G240" s="126">
        <f t="shared" si="33"/>
        <v>148</v>
      </c>
      <c r="H240" s="250">
        <f t="shared" si="29"/>
        <v>0</v>
      </c>
      <c r="I240" s="127" t="s">
        <v>166</v>
      </c>
      <c r="J240" s="129"/>
    </row>
    <row r="241" spans="1:16" ht="18" customHeight="1">
      <c r="B241" s="124" t="str">
        <f t="shared" si="31"/>
        <v>6单银Low-E+12A+6</v>
      </c>
      <c r="C241" s="253">
        <f t="shared" si="32"/>
        <v>-122</v>
      </c>
      <c r="D241" s="253">
        <f t="shared" si="32"/>
        <v>-122</v>
      </c>
      <c r="E241" s="32">
        <f t="shared" si="27"/>
        <v>1.4884E-2</v>
      </c>
      <c r="F241" s="250">
        <f>IF(F232=0,G37,0)</f>
        <v>0</v>
      </c>
      <c r="G241" s="126">
        <f t="shared" si="33"/>
        <v>148</v>
      </c>
      <c r="H241" s="250">
        <f t="shared" si="29"/>
        <v>0</v>
      </c>
      <c r="I241" s="127" t="s">
        <v>166</v>
      </c>
      <c r="J241" s="129"/>
    </row>
    <row r="242" spans="1:16" s="43" customFormat="1" ht="18" customHeight="1">
      <c r="A242" s="1"/>
      <c r="B242" s="48" t="s">
        <v>167</v>
      </c>
      <c r="C242" s="52"/>
      <c r="D242" s="50"/>
      <c r="E242" s="128"/>
      <c r="F242" s="50">
        <f>SUM(F234:F241)</f>
        <v>0</v>
      </c>
      <c r="G242" s="50"/>
      <c r="H242" s="52">
        <f>SUM(H234:H241)</f>
        <v>0</v>
      </c>
      <c r="I242" s="53">
        <f>ROUND(SUMPRODUCT(E234:E241*F234:F241),2)</f>
        <v>0</v>
      </c>
      <c r="J242" s="129"/>
      <c r="N242" s="255"/>
      <c r="O242" s="255"/>
      <c r="P242" s="255"/>
    </row>
    <row r="243" spans="1:16" s="43" customFormat="1" ht="18" customHeight="1">
      <c r="A243" s="1"/>
      <c r="B243" s="124" t="str">
        <f>B240</f>
        <v>6单银Low-E+12A+6</v>
      </c>
      <c r="C243" s="253">
        <f t="shared" ref="C243:D249" si="34">D68-12</f>
        <v>936</v>
      </c>
      <c r="D243" s="253">
        <f t="shared" si="34"/>
        <v>466</v>
      </c>
      <c r="E243" s="32">
        <f t="shared" si="27"/>
        <v>0.43617600000000001</v>
      </c>
      <c r="F243" s="82">
        <f t="shared" ref="F243:F249" si="35">G68</f>
        <v>1</v>
      </c>
      <c r="G243" s="130">
        <f>G241</f>
        <v>148</v>
      </c>
      <c r="H243" s="250">
        <f t="shared" ref="H243:H249" si="36">ROUND(E243*G243*F243,2)</f>
        <v>64.55</v>
      </c>
      <c r="I243" s="247" t="s">
        <v>168</v>
      </c>
      <c r="J243" s="129"/>
      <c r="N243" s="255"/>
      <c r="O243" s="255"/>
      <c r="P243" s="255"/>
    </row>
    <row r="244" spans="1:16" s="43" customFormat="1" ht="18" customHeight="1">
      <c r="A244" s="1"/>
      <c r="B244" s="124" t="str">
        <f t="shared" ref="B244:B249" si="37">B243</f>
        <v>6单银Low-E+12A+6</v>
      </c>
      <c r="C244" s="253">
        <f t="shared" si="34"/>
        <v>-12</v>
      </c>
      <c r="D244" s="253">
        <f t="shared" si="34"/>
        <v>-12</v>
      </c>
      <c r="E244" s="32">
        <f t="shared" si="27"/>
        <v>1.44E-4</v>
      </c>
      <c r="F244" s="82">
        <f t="shared" si="35"/>
        <v>0</v>
      </c>
      <c r="G244" s="130">
        <f t="shared" ref="G244:G249" si="38">G243</f>
        <v>148</v>
      </c>
      <c r="H244" s="250">
        <f t="shared" si="36"/>
        <v>0</v>
      </c>
      <c r="I244" s="247" t="s">
        <v>168</v>
      </c>
      <c r="J244" s="129"/>
      <c r="N244" s="255"/>
      <c r="O244" s="255"/>
      <c r="P244" s="255"/>
    </row>
    <row r="245" spans="1:16" s="43" customFormat="1" ht="18" customHeight="1">
      <c r="A245" s="1"/>
      <c r="B245" s="124" t="str">
        <f t="shared" si="37"/>
        <v>6单银Low-E+12A+6</v>
      </c>
      <c r="C245" s="253">
        <f t="shared" si="34"/>
        <v>-12</v>
      </c>
      <c r="D245" s="253">
        <f t="shared" si="34"/>
        <v>-12</v>
      </c>
      <c r="E245" s="32">
        <f t="shared" si="27"/>
        <v>1.44E-4</v>
      </c>
      <c r="F245" s="82">
        <f t="shared" si="35"/>
        <v>0</v>
      </c>
      <c r="G245" s="130">
        <f t="shared" si="38"/>
        <v>148</v>
      </c>
      <c r="H245" s="250">
        <f t="shared" si="36"/>
        <v>0</v>
      </c>
      <c r="I245" s="247" t="s">
        <v>168</v>
      </c>
      <c r="J245" s="129"/>
      <c r="N245" s="255"/>
      <c r="O245" s="255"/>
      <c r="P245" s="255"/>
    </row>
    <row r="246" spans="1:16" s="43" customFormat="1" ht="18" customHeight="1">
      <c r="A246" s="1"/>
      <c r="B246" s="124" t="str">
        <f t="shared" si="37"/>
        <v>6单银Low-E+12A+6</v>
      </c>
      <c r="C246" s="253">
        <f t="shared" si="34"/>
        <v>-12</v>
      </c>
      <c r="D246" s="253">
        <f t="shared" si="34"/>
        <v>-12</v>
      </c>
      <c r="E246" s="32">
        <f t="shared" si="27"/>
        <v>1.44E-4</v>
      </c>
      <c r="F246" s="82">
        <f t="shared" si="35"/>
        <v>0</v>
      </c>
      <c r="G246" s="130">
        <f t="shared" si="38"/>
        <v>148</v>
      </c>
      <c r="H246" s="250">
        <f t="shared" si="36"/>
        <v>0</v>
      </c>
      <c r="I246" s="247" t="s">
        <v>168</v>
      </c>
      <c r="J246" s="129"/>
      <c r="N246" s="255"/>
      <c r="O246" s="255"/>
      <c r="P246" s="255"/>
    </row>
    <row r="247" spans="1:16" s="43" customFormat="1" ht="18" customHeight="1">
      <c r="A247" s="1"/>
      <c r="B247" s="124" t="str">
        <f t="shared" si="37"/>
        <v>6单银Low-E+12A+6</v>
      </c>
      <c r="C247" s="253">
        <f t="shared" si="34"/>
        <v>-12</v>
      </c>
      <c r="D247" s="253">
        <f t="shared" si="34"/>
        <v>-12</v>
      </c>
      <c r="E247" s="32">
        <f t="shared" si="27"/>
        <v>1.44E-4</v>
      </c>
      <c r="F247" s="82">
        <f t="shared" si="35"/>
        <v>0</v>
      </c>
      <c r="G247" s="130">
        <f t="shared" si="38"/>
        <v>148</v>
      </c>
      <c r="H247" s="250">
        <f t="shared" si="36"/>
        <v>0</v>
      </c>
      <c r="I247" s="247" t="s">
        <v>168</v>
      </c>
      <c r="J247" s="129"/>
      <c r="N247" s="255"/>
      <c r="O247" s="255"/>
      <c r="P247" s="255"/>
    </row>
    <row r="248" spans="1:16" s="43" customFormat="1" ht="18" customHeight="1">
      <c r="A248" s="1"/>
      <c r="B248" s="124" t="str">
        <f t="shared" si="37"/>
        <v>6单银Low-E+12A+6</v>
      </c>
      <c r="C248" s="253">
        <f t="shared" si="34"/>
        <v>-12</v>
      </c>
      <c r="D248" s="253">
        <f t="shared" si="34"/>
        <v>-12</v>
      </c>
      <c r="E248" s="32">
        <f t="shared" si="27"/>
        <v>1.44E-4</v>
      </c>
      <c r="F248" s="82">
        <f t="shared" si="35"/>
        <v>0</v>
      </c>
      <c r="G248" s="130">
        <f t="shared" si="38"/>
        <v>148</v>
      </c>
      <c r="H248" s="250">
        <f t="shared" si="36"/>
        <v>0</v>
      </c>
      <c r="I248" s="247" t="s">
        <v>168</v>
      </c>
      <c r="J248" s="129"/>
      <c r="N248" s="255"/>
      <c r="O248" s="255"/>
      <c r="P248" s="255"/>
    </row>
    <row r="249" spans="1:16" s="43" customFormat="1" ht="18" customHeight="1">
      <c r="A249" s="1"/>
      <c r="B249" s="124" t="str">
        <f t="shared" si="37"/>
        <v>6单银Low-E+12A+6</v>
      </c>
      <c r="C249" s="253">
        <f t="shared" si="34"/>
        <v>-12</v>
      </c>
      <c r="D249" s="253">
        <f t="shared" si="34"/>
        <v>-12</v>
      </c>
      <c r="E249" s="32">
        <f t="shared" si="27"/>
        <v>1.44E-4</v>
      </c>
      <c r="F249" s="82">
        <f t="shared" si="35"/>
        <v>0</v>
      </c>
      <c r="G249" s="130">
        <f t="shared" si="38"/>
        <v>148</v>
      </c>
      <c r="H249" s="250">
        <f t="shared" si="36"/>
        <v>0</v>
      </c>
      <c r="I249" s="247" t="s">
        <v>168</v>
      </c>
      <c r="J249" s="129"/>
      <c r="N249" s="255"/>
      <c r="O249" s="255"/>
      <c r="P249" s="255"/>
    </row>
    <row r="250" spans="1:16" s="43" customFormat="1" ht="18" customHeight="1">
      <c r="A250" s="1"/>
      <c r="B250" s="131" t="str">
        <f>B246</f>
        <v>6单银Low-E+12A+6</v>
      </c>
      <c r="C250" s="52"/>
      <c r="D250" s="50"/>
      <c r="E250" s="128"/>
      <c r="F250" s="50">
        <f>SUM(F243:F249)</f>
        <v>1</v>
      </c>
      <c r="G250" s="50"/>
      <c r="H250" s="52">
        <f>SUM(H243:H249)</f>
        <v>64.55</v>
      </c>
      <c r="I250" s="53">
        <f>ROUND((E243*F243+E244*F244+E245*F245+E246*F246+E247*F247+E248*F248+E249*F249),2)</f>
        <v>0.44</v>
      </c>
      <c r="J250" s="43">
        <f>(I242+I258+I273+I280)</f>
        <v>0</v>
      </c>
      <c r="N250" s="255"/>
      <c r="O250" s="255"/>
      <c r="P250" s="255"/>
    </row>
    <row r="251" spans="1:16" s="43" customFormat="1" ht="18" customHeight="1">
      <c r="A251" s="1"/>
      <c r="B251" s="124" t="str">
        <f>B249</f>
        <v>6单银Low-E+12A+6</v>
      </c>
      <c r="C251" s="253">
        <f t="shared" ref="C251:D257" si="39">D75-12</f>
        <v>-12</v>
      </c>
      <c r="D251" s="253">
        <f t="shared" si="39"/>
        <v>-12</v>
      </c>
      <c r="E251" s="32">
        <f t="shared" si="27"/>
        <v>1.44E-4</v>
      </c>
      <c r="F251" s="82">
        <f t="shared" ref="F251:F257" si="40">G75</f>
        <v>0</v>
      </c>
      <c r="G251" s="130">
        <f>G249</f>
        <v>148</v>
      </c>
      <c r="H251" s="250">
        <f>ROUND(E251*G251*F251,2)</f>
        <v>0</v>
      </c>
      <c r="I251" s="132" t="s">
        <v>169</v>
      </c>
      <c r="N251" s="255"/>
      <c r="O251" s="255"/>
      <c r="P251" s="255"/>
    </row>
    <row r="252" spans="1:16" s="43" customFormat="1" ht="18" customHeight="1">
      <c r="A252" s="1"/>
      <c r="B252" s="124" t="str">
        <f t="shared" ref="B252:B257" si="41">B251</f>
        <v>6单银Low-E+12A+6</v>
      </c>
      <c r="C252" s="253">
        <f t="shared" si="39"/>
        <v>-12</v>
      </c>
      <c r="D252" s="253">
        <f t="shared" si="39"/>
        <v>-12</v>
      </c>
      <c r="E252" s="32">
        <f t="shared" si="27"/>
        <v>1.44E-4</v>
      </c>
      <c r="F252" s="82">
        <f t="shared" si="40"/>
        <v>0</v>
      </c>
      <c r="G252" s="130">
        <f t="shared" ref="G252:G257" si="42">G251</f>
        <v>148</v>
      </c>
      <c r="H252" s="250">
        <f t="shared" ref="H252:H264" si="43">ROUND(E252*G252*F252,2)</f>
        <v>0</v>
      </c>
      <c r="I252" s="132" t="str">
        <f t="shared" ref="I252:I257" si="44">I251</f>
        <v>固定钢化中空</v>
      </c>
      <c r="N252" s="255"/>
      <c r="O252" s="255"/>
      <c r="P252" s="255"/>
    </row>
    <row r="253" spans="1:16" s="43" customFormat="1" ht="18" customHeight="1">
      <c r="A253" s="1"/>
      <c r="B253" s="124" t="str">
        <f t="shared" si="41"/>
        <v>6单银Low-E+12A+6</v>
      </c>
      <c r="C253" s="253">
        <f t="shared" si="39"/>
        <v>-12</v>
      </c>
      <c r="D253" s="253">
        <f t="shared" si="39"/>
        <v>-12</v>
      </c>
      <c r="E253" s="32">
        <f t="shared" si="27"/>
        <v>1.44E-4</v>
      </c>
      <c r="F253" s="82">
        <f t="shared" si="40"/>
        <v>0</v>
      </c>
      <c r="G253" s="130">
        <f t="shared" si="42"/>
        <v>148</v>
      </c>
      <c r="H253" s="250">
        <f t="shared" si="43"/>
        <v>0</v>
      </c>
      <c r="I253" s="132" t="str">
        <f t="shared" si="44"/>
        <v>固定钢化中空</v>
      </c>
      <c r="N253" s="255"/>
      <c r="O253" s="255"/>
      <c r="P253" s="255"/>
    </row>
    <row r="254" spans="1:16" s="43" customFormat="1" ht="18" customHeight="1">
      <c r="A254" s="1"/>
      <c r="B254" s="124" t="str">
        <f t="shared" si="41"/>
        <v>6单银Low-E+12A+6</v>
      </c>
      <c r="C254" s="253">
        <f t="shared" si="39"/>
        <v>-12</v>
      </c>
      <c r="D254" s="253">
        <f t="shared" si="39"/>
        <v>-12</v>
      </c>
      <c r="E254" s="32">
        <f t="shared" si="27"/>
        <v>1.44E-4</v>
      </c>
      <c r="F254" s="82">
        <f t="shared" si="40"/>
        <v>0</v>
      </c>
      <c r="G254" s="130">
        <f t="shared" si="42"/>
        <v>148</v>
      </c>
      <c r="H254" s="250">
        <f t="shared" si="43"/>
        <v>0</v>
      </c>
      <c r="I254" s="132" t="str">
        <f t="shared" si="44"/>
        <v>固定钢化中空</v>
      </c>
      <c r="J254" s="42"/>
      <c r="N254" s="255"/>
      <c r="O254" s="255"/>
      <c r="P254" s="255"/>
    </row>
    <row r="255" spans="1:16" s="43" customFormat="1" ht="18" customHeight="1">
      <c r="A255" s="1"/>
      <c r="B255" s="124" t="str">
        <f t="shared" si="41"/>
        <v>6单银Low-E+12A+6</v>
      </c>
      <c r="C255" s="253">
        <f t="shared" si="39"/>
        <v>-12</v>
      </c>
      <c r="D255" s="253">
        <f t="shared" si="39"/>
        <v>-12</v>
      </c>
      <c r="E255" s="32">
        <f t="shared" si="27"/>
        <v>1.44E-4</v>
      </c>
      <c r="F255" s="82">
        <f t="shared" si="40"/>
        <v>0</v>
      </c>
      <c r="G255" s="130">
        <f t="shared" si="42"/>
        <v>148</v>
      </c>
      <c r="H255" s="250">
        <f t="shared" si="43"/>
        <v>0</v>
      </c>
      <c r="I255" s="132" t="str">
        <f t="shared" si="44"/>
        <v>固定钢化中空</v>
      </c>
      <c r="N255" s="255"/>
      <c r="O255" s="255"/>
      <c r="P255" s="255"/>
    </row>
    <row r="256" spans="1:16" s="43" customFormat="1" ht="18" customHeight="1">
      <c r="A256" s="1"/>
      <c r="B256" s="124" t="str">
        <f t="shared" si="41"/>
        <v>6单银Low-E+12A+6</v>
      </c>
      <c r="C256" s="253">
        <f t="shared" si="39"/>
        <v>-12</v>
      </c>
      <c r="D256" s="253">
        <f t="shared" si="39"/>
        <v>-12</v>
      </c>
      <c r="E256" s="32">
        <f t="shared" si="27"/>
        <v>1.44E-4</v>
      </c>
      <c r="F256" s="82">
        <f t="shared" si="40"/>
        <v>0</v>
      </c>
      <c r="G256" s="130">
        <f t="shared" si="42"/>
        <v>148</v>
      </c>
      <c r="H256" s="250">
        <f t="shared" si="43"/>
        <v>0</v>
      </c>
      <c r="I256" s="132" t="str">
        <f t="shared" si="44"/>
        <v>固定钢化中空</v>
      </c>
      <c r="N256" s="255"/>
      <c r="O256" s="255"/>
      <c r="P256" s="255"/>
    </row>
    <row r="257" spans="1:16" s="43" customFormat="1" ht="18" customHeight="1">
      <c r="A257" s="1"/>
      <c r="B257" s="124" t="str">
        <f t="shared" si="41"/>
        <v>6单银Low-E+12A+6</v>
      </c>
      <c r="C257" s="253">
        <f t="shared" si="39"/>
        <v>-12</v>
      </c>
      <c r="D257" s="253">
        <f t="shared" si="39"/>
        <v>-12</v>
      </c>
      <c r="E257" s="32">
        <f t="shared" si="27"/>
        <v>1.44E-4</v>
      </c>
      <c r="F257" s="82">
        <f t="shared" si="40"/>
        <v>0</v>
      </c>
      <c r="G257" s="130">
        <f t="shared" si="42"/>
        <v>148</v>
      </c>
      <c r="H257" s="250">
        <f t="shared" si="43"/>
        <v>0</v>
      </c>
      <c r="I257" s="132" t="str">
        <f t="shared" si="44"/>
        <v>固定钢化中空</v>
      </c>
      <c r="N257" s="255"/>
      <c r="O257" s="255"/>
      <c r="P257" s="255"/>
    </row>
    <row r="258" spans="1:16" s="43" customFormat="1" ht="18" customHeight="1">
      <c r="A258" s="1"/>
      <c r="B258" s="48" t="s">
        <v>170</v>
      </c>
      <c r="C258" s="52"/>
      <c r="D258" s="50"/>
      <c r="E258" s="128"/>
      <c r="F258" s="50">
        <f>SUM(F251:F257)</f>
        <v>0</v>
      </c>
      <c r="G258" s="50"/>
      <c r="H258" s="52">
        <f>SUM(H251:H257)</f>
        <v>0</v>
      </c>
      <c r="I258" s="53">
        <f>ROUND((E251*F251+E252*F252+E253*F253+E254*F254+E255*F255+E256*F256+E257*F257),2)</f>
        <v>0</v>
      </c>
      <c r="N258" s="255"/>
      <c r="O258" s="255"/>
      <c r="P258" s="255"/>
    </row>
    <row r="259" spans="1:16" s="43" customFormat="1" ht="18" customHeight="1">
      <c r="A259" s="1"/>
      <c r="B259" s="124" t="str">
        <f>B257</f>
        <v>6单银Low-E+12A+6</v>
      </c>
      <c r="C259" s="253">
        <f t="shared" ref="C259:D264" si="45">D82-12</f>
        <v>-12</v>
      </c>
      <c r="D259" s="253">
        <f t="shared" si="45"/>
        <v>-12</v>
      </c>
      <c r="E259" s="32">
        <f t="shared" si="27"/>
        <v>1.44E-4</v>
      </c>
      <c r="F259" s="82">
        <f t="shared" ref="F259:F264" si="46">G82</f>
        <v>0</v>
      </c>
      <c r="G259" s="130">
        <f>G257</f>
        <v>148</v>
      </c>
      <c r="H259" s="250">
        <f t="shared" si="43"/>
        <v>0</v>
      </c>
      <c r="I259" s="247" t="s">
        <v>171</v>
      </c>
      <c r="N259" s="255"/>
      <c r="O259" s="255"/>
      <c r="P259" s="255"/>
    </row>
    <row r="260" spans="1:16" s="43" customFormat="1" ht="18" customHeight="1">
      <c r="A260" s="1"/>
      <c r="B260" s="124" t="str">
        <f>B259</f>
        <v>6单银Low-E+12A+6</v>
      </c>
      <c r="C260" s="253">
        <f t="shared" si="45"/>
        <v>-12</v>
      </c>
      <c r="D260" s="253">
        <f t="shared" si="45"/>
        <v>-12</v>
      </c>
      <c r="E260" s="32">
        <f t="shared" si="27"/>
        <v>1.44E-4</v>
      </c>
      <c r="F260" s="82">
        <f t="shared" si="46"/>
        <v>0</v>
      </c>
      <c r="G260" s="130">
        <f>G259</f>
        <v>148</v>
      </c>
      <c r="H260" s="250">
        <f t="shared" si="43"/>
        <v>0</v>
      </c>
      <c r="I260" s="247" t="s">
        <v>171</v>
      </c>
      <c r="N260" s="255"/>
      <c r="O260" s="255"/>
      <c r="P260" s="255"/>
    </row>
    <row r="261" spans="1:16" s="43" customFormat="1" ht="18" customHeight="1">
      <c r="A261" s="1"/>
      <c r="B261" s="124" t="str">
        <f>B260</f>
        <v>6单银Low-E+12A+6</v>
      </c>
      <c r="C261" s="253">
        <f t="shared" si="45"/>
        <v>-12</v>
      </c>
      <c r="D261" s="253">
        <f t="shared" si="45"/>
        <v>-12</v>
      </c>
      <c r="E261" s="32">
        <f t="shared" si="27"/>
        <v>1.44E-4</v>
      </c>
      <c r="F261" s="82">
        <f t="shared" si="46"/>
        <v>0</v>
      </c>
      <c r="G261" s="130">
        <f>G260</f>
        <v>148</v>
      </c>
      <c r="H261" s="250">
        <f t="shared" si="43"/>
        <v>0</v>
      </c>
      <c r="I261" s="247" t="s">
        <v>171</v>
      </c>
      <c r="N261" s="255"/>
      <c r="O261" s="255"/>
      <c r="P261" s="255"/>
    </row>
    <row r="262" spans="1:16" s="43" customFormat="1" ht="18" customHeight="1">
      <c r="A262" s="1"/>
      <c r="B262" s="124" t="str">
        <f>B261</f>
        <v>6单银Low-E+12A+6</v>
      </c>
      <c r="C262" s="253">
        <f t="shared" si="45"/>
        <v>-12</v>
      </c>
      <c r="D262" s="253">
        <f t="shared" si="45"/>
        <v>-12</v>
      </c>
      <c r="E262" s="32">
        <f t="shared" si="27"/>
        <v>1.44E-4</v>
      </c>
      <c r="F262" s="82">
        <f t="shared" si="46"/>
        <v>0</v>
      </c>
      <c r="G262" s="130">
        <f>G261</f>
        <v>148</v>
      </c>
      <c r="H262" s="250">
        <f t="shared" si="43"/>
        <v>0</v>
      </c>
      <c r="I262" s="247" t="s">
        <v>171</v>
      </c>
      <c r="N262" s="255"/>
      <c r="O262" s="255"/>
      <c r="P262" s="255"/>
    </row>
    <row r="263" spans="1:16" s="43" customFormat="1" ht="18" customHeight="1">
      <c r="A263" s="1"/>
      <c r="B263" s="124" t="str">
        <f>B262</f>
        <v>6单银Low-E+12A+6</v>
      </c>
      <c r="C263" s="253">
        <f t="shared" si="45"/>
        <v>-12</v>
      </c>
      <c r="D263" s="253">
        <f t="shared" si="45"/>
        <v>-12</v>
      </c>
      <c r="E263" s="32">
        <f t="shared" si="27"/>
        <v>1.44E-4</v>
      </c>
      <c r="F263" s="82">
        <f t="shared" si="46"/>
        <v>0</v>
      </c>
      <c r="G263" s="130">
        <f>G262</f>
        <v>148</v>
      </c>
      <c r="H263" s="250">
        <f t="shared" si="43"/>
        <v>0</v>
      </c>
      <c r="I263" s="247" t="s">
        <v>171</v>
      </c>
      <c r="N263" s="255"/>
      <c r="O263" s="255"/>
      <c r="P263" s="255"/>
    </row>
    <row r="264" spans="1:16" s="43" customFormat="1" ht="18" customHeight="1">
      <c r="A264" s="1"/>
      <c r="B264" s="124" t="str">
        <f>B263</f>
        <v>6单银Low-E+12A+6</v>
      </c>
      <c r="C264" s="253">
        <f t="shared" si="45"/>
        <v>-12</v>
      </c>
      <c r="D264" s="253">
        <f t="shared" si="45"/>
        <v>-12</v>
      </c>
      <c r="E264" s="32">
        <f t="shared" si="27"/>
        <v>1.44E-4</v>
      </c>
      <c r="F264" s="82">
        <f t="shared" si="46"/>
        <v>0</v>
      </c>
      <c r="G264" s="130">
        <f>G263</f>
        <v>148</v>
      </c>
      <c r="H264" s="250">
        <f t="shared" si="43"/>
        <v>0</v>
      </c>
      <c r="I264" s="247" t="s">
        <v>171</v>
      </c>
      <c r="N264" s="255"/>
      <c r="O264" s="255"/>
      <c r="P264" s="255"/>
    </row>
    <row r="265" spans="1:16" s="43" customFormat="1" ht="18" customHeight="1">
      <c r="A265" s="1"/>
      <c r="B265" s="48" t="s">
        <v>172</v>
      </c>
      <c r="C265" s="52"/>
      <c r="D265" s="50"/>
      <c r="E265" s="128"/>
      <c r="F265" s="50">
        <f>SUM(F259:F264)</f>
        <v>0</v>
      </c>
      <c r="G265" s="50"/>
      <c r="H265" s="52">
        <f>SUM(H259:H264)</f>
        <v>0</v>
      </c>
      <c r="I265" s="53">
        <f>ROUND(SUMPRODUCT(E259:E264*F259:F264),2)</f>
        <v>0</v>
      </c>
      <c r="N265" s="255"/>
      <c r="O265" s="255"/>
      <c r="P265" s="255"/>
    </row>
    <row r="266" spans="1:16" s="43" customFormat="1" ht="18" customHeight="1">
      <c r="A266" s="1"/>
      <c r="B266" s="124" t="str">
        <f>B264</f>
        <v>6单银Low-E+12A+6</v>
      </c>
      <c r="C266" s="133">
        <f t="shared" ref="C266:D268" si="47">D143</f>
        <v>-154</v>
      </c>
      <c r="D266" s="133">
        <f t="shared" si="47"/>
        <v>-154</v>
      </c>
      <c r="E266" s="32">
        <f t="shared" si="27"/>
        <v>2.3716000000000001E-2</v>
      </c>
      <c r="F266" s="134">
        <f>G143</f>
        <v>0</v>
      </c>
      <c r="G266" s="135">
        <f>G264</f>
        <v>148</v>
      </c>
      <c r="H266" s="134">
        <f>ROUND(E266*G266*F266,2)</f>
        <v>0</v>
      </c>
      <c r="I266" s="136" t="s">
        <v>173</v>
      </c>
      <c r="N266" s="255"/>
      <c r="O266" s="255"/>
      <c r="P266" s="255"/>
    </row>
    <row r="267" spans="1:16" s="43" customFormat="1" ht="18" customHeight="1">
      <c r="A267" s="1"/>
      <c r="B267" s="124" t="str">
        <f>B264</f>
        <v>6单银Low-E+12A+6</v>
      </c>
      <c r="C267" s="133">
        <f t="shared" si="47"/>
        <v>-154</v>
      </c>
      <c r="D267" s="133">
        <f t="shared" si="47"/>
        <v>-154</v>
      </c>
      <c r="E267" s="32">
        <f t="shared" si="27"/>
        <v>2.3716000000000001E-2</v>
      </c>
      <c r="F267" s="134">
        <f>G144</f>
        <v>0</v>
      </c>
      <c r="G267" s="135">
        <f>G266</f>
        <v>148</v>
      </c>
      <c r="H267" s="134">
        <f>ROUND(E267*G267*F267,2)</f>
        <v>0</v>
      </c>
      <c r="I267" s="136" t="s">
        <v>173</v>
      </c>
      <c r="N267" s="255"/>
      <c r="O267" s="255"/>
      <c r="P267" s="255"/>
    </row>
    <row r="268" spans="1:16" s="43" customFormat="1" ht="18" customHeight="1">
      <c r="A268" s="1"/>
      <c r="B268" s="124" t="str">
        <f>B267</f>
        <v>6单银Low-E+12A+6</v>
      </c>
      <c r="C268" s="133">
        <f t="shared" si="47"/>
        <v>-154</v>
      </c>
      <c r="D268" s="133">
        <f t="shared" si="47"/>
        <v>-154</v>
      </c>
      <c r="E268" s="32">
        <f t="shared" si="27"/>
        <v>2.3716000000000001E-2</v>
      </c>
      <c r="F268" s="134">
        <f>G145</f>
        <v>0</v>
      </c>
      <c r="G268" s="135">
        <f>G267</f>
        <v>148</v>
      </c>
      <c r="H268" s="134">
        <f>ROUND(E268*G268*F268,2)</f>
        <v>0</v>
      </c>
      <c r="I268" s="136" t="s">
        <v>173</v>
      </c>
      <c r="N268" s="255"/>
      <c r="O268" s="255"/>
      <c r="P268" s="255"/>
    </row>
    <row r="269" spans="1:16" s="43" customFormat="1" ht="18" customHeight="1">
      <c r="A269" s="1"/>
      <c r="B269" s="48" t="s">
        <v>174</v>
      </c>
      <c r="C269" s="52"/>
      <c r="D269" s="50"/>
      <c r="E269" s="128"/>
      <c r="F269" s="50">
        <f>SUM(F266:F268)</f>
        <v>0</v>
      </c>
      <c r="G269" s="50"/>
      <c r="H269" s="52">
        <f>SUM(H266:H268)</f>
        <v>0</v>
      </c>
      <c r="I269" s="53">
        <f>ROUND((E266*F266+E267*F267+E268*F268),2)</f>
        <v>0</v>
      </c>
      <c r="N269" s="255"/>
      <c r="O269" s="255"/>
      <c r="P269" s="255"/>
    </row>
    <row r="270" spans="1:16" s="43" customFormat="1" ht="18" customHeight="1">
      <c r="A270" s="1"/>
      <c r="B270" s="124" t="str">
        <f>B268</f>
        <v>6单银Low-E+12A+6</v>
      </c>
      <c r="C270" s="133">
        <f t="shared" ref="C270:D272" si="48">D150</f>
        <v>-160</v>
      </c>
      <c r="D270" s="133">
        <f t="shared" si="48"/>
        <v>-160</v>
      </c>
      <c r="E270" s="32">
        <f t="shared" si="27"/>
        <v>2.5600000000000001E-2</v>
      </c>
      <c r="F270" s="134">
        <f>G150</f>
        <v>0</v>
      </c>
      <c r="G270" s="135">
        <f>G268</f>
        <v>148</v>
      </c>
      <c r="H270" s="134">
        <f>ROUND(E270*G270*F270,2)</f>
        <v>0</v>
      </c>
      <c r="I270" s="136" t="s">
        <v>173</v>
      </c>
      <c r="N270" s="255"/>
      <c r="O270" s="255"/>
      <c r="P270" s="255"/>
    </row>
    <row r="271" spans="1:16" s="43" customFormat="1" ht="18" customHeight="1">
      <c r="A271" s="1"/>
      <c r="B271" s="124" t="str">
        <f>B270</f>
        <v>6单银Low-E+12A+6</v>
      </c>
      <c r="C271" s="133">
        <f t="shared" si="48"/>
        <v>-160</v>
      </c>
      <c r="D271" s="133">
        <f t="shared" si="48"/>
        <v>-160</v>
      </c>
      <c r="E271" s="32">
        <f t="shared" si="27"/>
        <v>2.5600000000000001E-2</v>
      </c>
      <c r="F271" s="134">
        <f>G151</f>
        <v>0</v>
      </c>
      <c r="G271" s="135">
        <f>G270</f>
        <v>148</v>
      </c>
      <c r="H271" s="134">
        <f>ROUND(E271*G271*F271,2)</f>
        <v>0</v>
      </c>
      <c r="I271" s="136" t="s">
        <v>173</v>
      </c>
      <c r="N271" s="255"/>
      <c r="O271" s="255"/>
      <c r="P271" s="255"/>
    </row>
    <row r="272" spans="1:16" s="43" customFormat="1" ht="18" customHeight="1">
      <c r="A272" s="1"/>
      <c r="B272" s="124" t="str">
        <f>B271</f>
        <v>6单银Low-E+12A+6</v>
      </c>
      <c r="C272" s="133">
        <f t="shared" si="48"/>
        <v>-160</v>
      </c>
      <c r="D272" s="133">
        <f t="shared" si="48"/>
        <v>-160</v>
      </c>
      <c r="E272" s="32">
        <f t="shared" si="27"/>
        <v>2.5600000000000001E-2</v>
      </c>
      <c r="F272" s="134">
        <f>G152</f>
        <v>0</v>
      </c>
      <c r="G272" s="135">
        <f>G271</f>
        <v>148</v>
      </c>
      <c r="H272" s="134">
        <f>ROUND(E272*G272*F272,2)</f>
        <v>0</v>
      </c>
      <c r="I272" s="136" t="s">
        <v>173</v>
      </c>
      <c r="N272" s="255"/>
      <c r="O272" s="255"/>
      <c r="P272" s="255"/>
    </row>
    <row r="273" spans="1:16" s="43" customFormat="1" ht="18" customHeight="1">
      <c r="A273" s="1"/>
      <c r="B273" s="48" t="s">
        <v>175</v>
      </c>
      <c r="C273" s="52"/>
      <c r="D273" s="50"/>
      <c r="E273" s="128"/>
      <c r="F273" s="50">
        <f>SUM(F270:F272)</f>
        <v>0</v>
      </c>
      <c r="G273" s="50"/>
      <c r="H273" s="52">
        <f>SUM(H270:H272)</f>
        <v>0</v>
      </c>
      <c r="I273" s="53">
        <f>ROUND((E270*F270+E271*F271+E272*F272),2)</f>
        <v>0</v>
      </c>
      <c r="N273" s="255"/>
      <c r="O273" s="255"/>
      <c r="P273" s="255"/>
    </row>
    <row r="274" spans="1:16" ht="18" customHeight="1">
      <c r="B274" s="124" t="str">
        <f>B272</f>
        <v>6单银Low-E+12A+6</v>
      </c>
      <c r="C274" s="133">
        <f t="shared" ref="C274:D279" si="49">D157-12</f>
        <v>-12</v>
      </c>
      <c r="D274" s="133">
        <f t="shared" si="49"/>
        <v>-12</v>
      </c>
      <c r="E274" s="32">
        <f t="shared" si="27"/>
        <v>1.44E-4</v>
      </c>
      <c r="F274" s="134">
        <f t="shared" ref="F274:F279" si="50">G157</f>
        <v>0</v>
      </c>
      <c r="G274" s="135">
        <f>G272</f>
        <v>148</v>
      </c>
      <c r="H274" s="134">
        <f t="shared" ref="H274:H279" si="51">ROUND(E274*G274*F274,2)</f>
        <v>0</v>
      </c>
      <c r="I274" s="136" t="s">
        <v>176</v>
      </c>
    </row>
    <row r="275" spans="1:16" ht="18" customHeight="1">
      <c r="B275" s="124" t="str">
        <f>B274</f>
        <v>6单银Low-E+12A+6</v>
      </c>
      <c r="C275" s="133">
        <f t="shared" si="49"/>
        <v>-12</v>
      </c>
      <c r="D275" s="133">
        <f t="shared" si="49"/>
        <v>-12</v>
      </c>
      <c r="E275" s="32">
        <f t="shared" si="27"/>
        <v>1.44E-4</v>
      </c>
      <c r="F275" s="134">
        <f t="shared" si="50"/>
        <v>0</v>
      </c>
      <c r="G275" s="135">
        <f>G274</f>
        <v>148</v>
      </c>
      <c r="H275" s="134">
        <f t="shared" si="51"/>
        <v>0</v>
      </c>
      <c r="I275" s="136" t="str">
        <f>I274</f>
        <v>门钢化中空玻璃</v>
      </c>
      <c r="K275" s="43" t="s">
        <v>177</v>
      </c>
    </row>
    <row r="276" spans="1:16" ht="18" customHeight="1">
      <c r="B276" s="124" t="str">
        <f>B275</f>
        <v>6单银Low-E+12A+6</v>
      </c>
      <c r="C276" s="133">
        <f t="shared" si="49"/>
        <v>-12</v>
      </c>
      <c r="D276" s="133">
        <f t="shared" si="49"/>
        <v>-12</v>
      </c>
      <c r="E276" s="32">
        <f t="shared" si="27"/>
        <v>1.44E-4</v>
      </c>
      <c r="F276" s="134">
        <f t="shared" si="50"/>
        <v>0</v>
      </c>
      <c r="G276" s="135">
        <f>G275</f>
        <v>148</v>
      </c>
      <c r="H276" s="134">
        <f t="shared" si="51"/>
        <v>0</v>
      </c>
      <c r="I276" s="136" t="str">
        <f>I275</f>
        <v>门钢化中空玻璃</v>
      </c>
    </row>
    <row r="277" spans="1:16" ht="18" customHeight="1">
      <c r="B277" s="124" t="str">
        <f>B276</f>
        <v>6单银Low-E+12A+6</v>
      </c>
      <c r="C277" s="133">
        <f t="shared" si="49"/>
        <v>-12</v>
      </c>
      <c r="D277" s="133">
        <f t="shared" si="49"/>
        <v>-12</v>
      </c>
      <c r="E277" s="32">
        <f t="shared" si="27"/>
        <v>1.44E-4</v>
      </c>
      <c r="F277" s="134">
        <f t="shared" si="50"/>
        <v>0</v>
      </c>
      <c r="G277" s="135">
        <f>G276</f>
        <v>148</v>
      </c>
      <c r="H277" s="134">
        <f t="shared" si="51"/>
        <v>0</v>
      </c>
      <c r="I277" s="136" t="str">
        <f>I276</f>
        <v>门钢化中空玻璃</v>
      </c>
    </row>
    <row r="278" spans="1:16" ht="18" customHeight="1">
      <c r="B278" s="124" t="str">
        <f>B277</f>
        <v>6单银Low-E+12A+6</v>
      </c>
      <c r="C278" s="133">
        <f t="shared" si="49"/>
        <v>-12</v>
      </c>
      <c r="D278" s="133">
        <f t="shared" si="49"/>
        <v>-12</v>
      </c>
      <c r="E278" s="32">
        <f t="shared" si="27"/>
        <v>1.44E-4</v>
      </c>
      <c r="F278" s="134">
        <f t="shared" si="50"/>
        <v>0</v>
      </c>
      <c r="G278" s="135">
        <f>G277</f>
        <v>148</v>
      </c>
      <c r="H278" s="134">
        <f t="shared" si="51"/>
        <v>0</v>
      </c>
      <c r="I278" s="136" t="str">
        <f>I277</f>
        <v>门钢化中空玻璃</v>
      </c>
    </row>
    <row r="279" spans="1:16" ht="18" customHeight="1">
      <c r="B279" s="124" t="str">
        <f>B278</f>
        <v>6单银Low-E+12A+6</v>
      </c>
      <c r="C279" s="133">
        <f t="shared" si="49"/>
        <v>-12</v>
      </c>
      <c r="D279" s="133">
        <f t="shared" si="49"/>
        <v>-12</v>
      </c>
      <c r="E279" s="32">
        <f t="shared" si="27"/>
        <v>1.44E-4</v>
      </c>
      <c r="F279" s="134">
        <f t="shared" si="50"/>
        <v>0</v>
      </c>
      <c r="G279" s="135">
        <f>G278</f>
        <v>148</v>
      </c>
      <c r="H279" s="134">
        <f t="shared" si="51"/>
        <v>0</v>
      </c>
      <c r="I279" s="136" t="str">
        <f>I278</f>
        <v>门钢化中空玻璃</v>
      </c>
    </row>
    <row r="280" spans="1:16" ht="18" customHeight="1">
      <c r="B280" s="48" t="s">
        <v>178</v>
      </c>
      <c r="C280" s="52"/>
      <c r="D280" s="50"/>
      <c r="E280" s="128"/>
      <c r="F280" s="50">
        <f>SUM(F274:F279)</f>
        <v>0</v>
      </c>
      <c r="G280" s="50"/>
      <c r="H280" s="52">
        <f>SUM(H274:H279)</f>
        <v>0</v>
      </c>
      <c r="I280" s="53">
        <f>ROUND(SUMPRODUCT(E274:E279*F274:F279),2)</f>
        <v>0</v>
      </c>
    </row>
    <row r="281" spans="1:16" ht="18" customHeight="1">
      <c r="B281" s="124" t="str">
        <f>材料价格!A10</f>
        <v>6单银Low-E+12A+6</v>
      </c>
      <c r="C281" s="133">
        <f>C252</f>
        <v>-12</v>
      </c>
      <c r="D281" s="133">
        <f>D252</f>
        <v>-12</v>
      </c>
      <c r="E281" s="32">
        <f t="shared" si="27"/>
        <v>1.44E-4</v>
      </c>
      <c r="F281" s="134"/>
      <c r="G281" s="137">
        <f>材料价格!B10</f>
        <v>148</v>
      </c>
      <c r="H281" s="134">
        <f>ROUND(E281*G281*F281,2)</f>
        <v>0</v>
      </c>
      <c r="I281" s="247" t="s">
        <v>179</v>
      </c>
    </row>
    <row r="282" spans="1:16" ht="18" customHeight="1">
      <c r="B282" s="124" t="str">
        <f>B281</f>
        <v>6单银Low-E+12A+6</v>
      </c>
      <c r="C282" s="133">
        <f>C253</f>
        <v>-12</v>
      </c>
      <c r="D282" s="133">
        <f>D253</f>
        <v>-12</v>
      </c>
      <c r="E282" s="32">
        <f t="shared" si="27"/>
        <v>1.44E-4</v>
      </c>
      <c r="F282" s="134"/>
      <c r="G282" s="135">
        <f>G281</f>
        <v>148</v>
      </c>
      <c r="H282" s="134">
        <f>ROUND(E282*G282*F282,2)</f>
        <v>0</v>
      </c>
      <c r="I282" s="247" t="s">
        <v>179</v>
      </c>
      <c r="J282" s="255"/>
      <c r="K282" s="255"/>
      <c r="L282" s="255"/>
      <c r="M282" s="255"/>
    </row>
    <row r="283" spans="1:16" ht="18" customHeight="1">
      <c r="B283" s="124" t="str">
        <f>B282</f>
        <v>6单银Low-E+12A+6</v>
      </c>
      <c r="C283" s="133">
        <f>D84-12</f>
        <v>-12</v>
      </c>
      <c r="D283" s="133">
        <f>E84-12</f>
        <v>-12</v>
      </c>
      <c r="E283" s="32">
        <f t="shared" si="27"/>
        <v>1.44E-4</v>
      </c>
      <c r="F283" s="134">
        <f>G84</f>
        <v>0</v>
      </c>
      <c r="G283" s="135">
        <f>G282</f>
        <v>148</v>
      </c>
      <c r="H283" s="134">
        <f>ROUND(E283*G283*F283,2)</f>
        <v>0</v>
      </c>
      <c r="I283" s="247" t="s">
        <v>179</v>
      </c>
      <c r="J283" s="255"/>
      <c r="K283" s="255"/>
      <c r="L283" s="255"/>
      <c r="M283" s="255"/>
    </row>
    <row r="284" spans="1:16" ht="18" customHeight="1">
      <c r="B284" s="124" t="str">
        <f>B283</f>
        <v>6单银Low-E+12A+6</v>
      </c>
      <c r="C284" s="133">
        <f>D85-12</f>
        <v>-12</v>
      </c>
      <c r="D284" s="133">
        <f>E85-12</f>
        <v>-12</v>
      </c>
      <c r="E284" s="32">
        <f t="shared" si="27"/>
        <v>1.44E-4</v>
      </c>
      <c r="F284" s="134">
        <f>G85</f>
        <v>0</v>
      </c>
      <c r="G284" s="135">
        <f>G283</f>
        <v>148</v>
      </c>
      <c r="H284" s="134">
        <f>ROUND(E284*G284*F284,2)</f>
        <v>0</v>
      </c>
      <c r="I284" s="247" t="s">
        <v>179</v>
      </c>
      <c r="J284" s="255"/>
      <c r="K284" s="255"/>
      <c r="L284" s="255"/>
      <c r="M284" s="255"/>
    </row>
    <row r="285" spans="1:16" ht="18" customHeight="1">
      <c r="B285" s="48" t="s">
        <v>180</v>
      </c>
      <c r="C285" s="52"/>
      <c r="D285" s="50"/>
      <c r="E285" s="50"/>
      <c r="F285" s="50">
        <f>SUM(F281:F284)</f>
        <v>0</v>
      </c>
      <c r="G285" s="50"/>
      <c r="H285" s="52">
        <f>SUM(H281:H284)</f>
        <v>0</v>
      </c>
      <c r="I285" s="53">
        <f>ROUND((E281*F281+E282*F282+E283*F283+E284*F284),2)</f>
        <v>0</v>
      </c>
      <c r="J285" s="255"/>
      <c r="K285" s="255"/>
      <c r="L285" s="255"/>
      <c r="M285" s="255"/>
    </row>
    <row r="286" spans="1:16" ht="18" customHeight="1">
      <c r="B286" s="124" t="str">
        <f>材料价格!A11</f>
        <v>8单银Low-E+12Ar+8+12A+8mm</v>
      </c>
      <c r="C286" s="133"/>
      <c r="D286" s="133"/>
      <c r="E286" s="32">
        <f>C286*D286/10^6</f>
        <v>0</v>
      </c>
      <c r="F286" s="134"/>
      <c r="G286" s="137">
        <f>材料价格!B11</f>
        <v>312</v>
      </c>
      <c r="H286" s="134">
        <f>ROUND(E286*G286*F286,2)</f>
        <v>0</v>
      </c>
      <c r="I286" s="247" t="s">
        <v>181</v>
      </c>
      <c r="J286" s="255"/>
      <c r="K286" s="255"/>
      <c r="L286" s="255"/>
      <c r="M286" s="255"/>
    </row>
    <row r="287" spans="1:16" ht="18" customHeight="1">
      <c r="B287" s="124" t="str">
        <f>B286</f>
        <v>8单银Low-E+12Ar+8+12A+8mm</v>
      </c>
      <c r="C287" s="133"/>
      <c r="D287" s="133"/>
      <c r="E287" s="32">
        <f>C287*D287/10^6</f>
        <v>0</v>
      </c>
      <c r="F287" s="134"/>
      <c r="G287" s="135">
        <f>G286</f>
        <v>312</v>
      </c>
      <c r="H287" s="134">
        <f>ROUND(E287*G287*F287,2)</f>
        <v>0</v>
      </c>
      <c r="I287" s="247" t="s">
        <v>181</v>
      </c>
      <c r="J287" s="255"/>
      <c r="K287" s="255"/>
      <c r="L287" s="255"/>
      <c r="M287" s="255"/>
    </row>
    <row r="288" spans="1:16" ht="18" customHeight="1">
      <c r="B288" s="138" t="str">
        <f>材料价格!A12</f>
        <v>10单银Low-E+12Ar+10+12A+10mm</v>
      </c>
      <c r="C288" s="139"/>
      <c r="D288" s="139"/>
      <c r="E288" s="140">
        <f>C288*D288/10^6</f>
        <v>0</v>
      </c>
      <c r="F288" s="141"/>
      <c r="G288" s="142">
        <f>材料价格!B12</f>
        <v>395</v>
      </c>
      <c r="H288" s="141">
        <f>ROUND(E288*G288*F288,2)</f>
        <v>0</v>
      </c>
      <c r="I288" s="143" t="s">
        <v>181</v>
      </c>
      <c r="J288" s="255"/>
      <c r="K288" s="255"/>
      <c r="L288" s="255"/>
      <c r="M288" s="255"/>
    </row>
    <row r="289" spans="2:13" ht="18" customHeight="1">
      <c r="B289" s="138" t="str">
        <f>B288</f>
        <v>10单银Low-E+12Ar+10+12A+10mm</v>
      </c>
      <c r="C289" s="139"/>
      <c r="D289" s="139"/>
      <c r="E289" s="140">
        <f>C289*D289/10^6</f>
        <v>0</v>
      </c>
      <c r="F289" s="141"/>
      <c r="G289" s="142">
        <f>G288</f>
        <v>395</v>
      </c>
      <c r="H289" s="141">
        <f>ROUND(E289*G289*F289,2)</f>
        <v>0</v>
      </c>
      <c r="I289" s="143" t="s">
        <v>181</v>
      </c>
      <c r="J289" s="255"/>
      <c r="K289" s="255"/>
      <c r="L289" s="255"/>
      <c r="M289" s="255"/>
    </row>
    <row r="290" spans="2:13" ht="18" customHeight="1">
      <c r="B290" s="48" t="s">
        <v>180</v>
      </c>
      <c r="C290" s="52"/>
      <c r="D290" s="50"/>
      <c r="E290" s="50"/>
      <c r="F290" s="50">
        <f>SUM(F286:F289)</f>
        <v>0</v>
      </c>
      <c r="G290" s="50"/>
      <c r="H290" s="52">
        <f>SUM(H286:H289)</f>
        <v>0</v>
      </c>
      <c r="I290" s="53">
        <f>ROUND((E286*F286+E287*F287+E288*F288+E289*F289),2)</f>
        <v>0</v>
      </c>
      <c r="J290" s="255"/>
      <c r="K290" s="255"/>
      <c r="L290" s="255"/>
      <c r="M290" s="255"/>
    </row>
    <row r="291" spans="2:13" ht="18" customHeight="1">
      <c r="B291" s="642" t="s">
        <v>182</v>
      </c>
      <c r="C291" s="144" t="s">
        <v>183</v>
      </c>
      <c r="D291" s="144" cm="1">
        <f t="array" ref="D291">SUMPRODUCT(E225:E232*F225:F232)+SUMPRODUCT(E243:E249*F243:F249)</f>
        <v>1.08344</v>
      </c>
      <c r="E291" s="144" t="s">
        <v>184</v>
      </c>
      <c r="F291" s="145">
        <f>F233+F250</f>
        <v>3</v>
      </c>
      <c r="G291" s="145" t="s">
        <v>185</v>
      </c>
      <c r="H291" s="144">
        <f>H233+H250</f>
        <v>160.35</v>
      </c>
      <c r="I291" s="146">
        <f>H291/F366</f>
        <v>95.508964202751798</v>
      </c>
      <c r="J291" s="255"/>
      <c r="K291" s="255"/>
      <c r="L291" s="255"/>
      <c r="M291" s="255"/>
    </row>
    <row r="292" spans="2:13" ht="18" customHeight="1">
      <c r="B292" s="642"/>
      <c r="C292" s="144" t="s">
        <v>186</v>
      </c>
      <c r="D292" s="144">
        <f>SUMPRODUCT(E234:E241*F234:F241)+SUMPRODUCT(E251:E257*F251:F257)+SUMPRODUCT(E259:E264*F259:F264)+SUMPRODUCT(E266:E268*F266:F268)+SUMPRODUCT(E270:E272*F270:F272)+SUMPRODUCT(E281:E284*F281:F284)+SUMPRODUCT(E286:E289*F286:F289)+SUMPRODUCT(E274:E279*F274:F279)</f>
        <v>0</v>
      </c>
      <c r="E292" s="144" t="s">
        <v>186</v>
      </c>
      <c r="F292" s="145">
        <f>F242+F258+F265+F269+F273+F285+F290+F280</f>
        <v>0</v>
      </c>
      <c r="G292" s="145" t="s">
        <v>185</v>
      </c>
      <c r="H292" s="144">
        <f>H242+H258+H265+H269+H273+H280+H285+H290</f>
        <v>0</v>
      </c>
      <c r="I292" s="146">
        <f>H292/F366</f>
        <v>0</v>
      </c>
      <c r="J292" s="255"/>
      <c r="K292" s="255"/>
      <c r="L292" s="255"/>
      <c r="M292" s="255"/>
    </row>
    <row r="293" spans="2:13" ht="18" customHeight="1">
      <c r="B293" s="23" t="s">
        <v>187</v>
      </c>
      <c r="C293" s="252" t="s">
        <v>188</v>
      </c>
      <c r="D293" s="68" t="s">
        <v>189</v>
      </c>
      <c r="E293" s="252" t="s">
        <v>8</v>
      </c>
      <c r="F293" s="252" t="s">
        <v>190</v>
      </c>
      <c r="G293" s="252" t="s">
        <v>191</v>
      </c>
      <c r="H293" s="252" t="s">
        <v>160</v>
      </c>
      <c r="I293" s="25" t="s">
        <v>1</v>
      </c>
      <c r="J293" s="255"/>
      <c r="K293" s="255"/>
      <c r="L293" s="255"/>
      <c r="M293" s="255"/>
    </row>
    <row r="294" spans="2:13" ht="18" customHeight="1">
      <c r="B294" s="629" t="s">
        <v>192</v>
      </c>
      <c r="C294" s="253">
        <f>D26</f>
        <v>0</v>
      </c>
      <c r="D294" s="250"/>
      <c r="E294" s="250"/>
      <c r="F294" s="250" t="s">
        <v>193</v>
      </c>
      <c r="G294" s="108">
        <f>材料价格!B14</f>
        <v>153</v>
      </c>
      <c r="H294" s="147">
        <f>E294*G294</f>
        <v>0</v>
      </c>
      <c r="I294" s="632" t="s">
        <v>194</v>
      </c>
      <c r="J294" s="255"/>
      <c r="K294" s="255"/>
      <c r="L294" s="255"/>
      <c r="M294" s="255"/>
    </row>
    <row r="295" spans="2:13" ht="18" customHeight="1">
      <c r="B295" s="629"/>
      <c r="C295" s="253"/>
      <c r="D295" s="250"/>
      <c r="E295" s="250"/>
      <c r="F295" s="250"/>
      <c r="G295" s="108"/>
      <c r="H295" s="147">
        <f t="shared" ref="H295:H303" si="52">E295*G295</f>
        <v>0</v>
      </c>
      <c r="I295" s="633"/>
      <c r="J295" s="255"/>
      <c r="K295" s="255"/>
      <c r="L295" s="255"/>
      <c r="M295" s="255"/>
    </row>
    <row r="296" spans="2:13" ht="18" customHeight="1">
      <c r="B296" s="629" t="s">
        <v>195</v>
      </c>
      <c r="C296" s="253"/>
      <c r="D296" s="148"/>
      <c r="E296" s="250"/>
      <c r="F296" s="250" t="str">
        <f>F294</f>
        <v>坚朗</v>
      </c>
      <c r="G296" s="108">
        <f>材料价格!B15</f>
        <v>80</v>
      </c>
      <c r="H296" s="147">
        <f t="shared" si="52"/>
        <v>0</v>
      </c>
      <c r="I296" s="632" t="s">
        <v>196</v>
      </c>
      <c r="J296" s="255"/>
      <c r="K296" s="255"/>
      <c r="L296" s="255"/>
      <c r="M296" s="255"/>
    </row>
    <row r="297" spans="2:13" ht="18" customHeight="1">
      <c r="B297" s="629"/>
      <c r="C297" s="253"/>
      <c r="D297" s="148"/>
      <c r="E297" s="250"/>
      <c r="F297" s="250"/>
      <c r="G297" s="108"/>
      <c r="H297" s="147">
        <f t="shared" si="52"/>
        <v>0</v>
      </c>
      <c r="I297" s="633"/>
      <c r="J297" s="255"/>
      <c r="K297" s="255"/>
      <c r="L297" s="255"/>
      <c r="M297" s="255"/>
    </row>
    <row r="298" spans="2:13" ht="18" customHeight="1">
      <c r="B298" s="629" t="s">
        <v>197</v>
      </c>
      <c r="C298" s="253"/>
      <c r="D298" s="148"/>
      <c r="E298" s="250">
        <v>2</v>
      </c>
      <c r="F298" s="250" t="str">
        <f>F296</f>
        <v>坚朗</v>
      </c>
      <c r="G298" s="108">
        <f>材料价格!B16</f>
        <v>88</v>
      </c>
      <c r="H298" s="147">
        <f t="shared" si="52"/>
        <v>176</v>
      </c>
      <c r="I298" s="633"/>
      <c r="J298" s="255"/>
      <c r="K298" s="255"/>
      <c r="L298" s="255"/>
      <c r="M298" s="255"/>
    </row>
    <row r="299" spans="2:13" ht="18" customHeight="1">
      <c r="B299" s="629"/>
      <c r="C299" s="253"/>
      <c r="D299" s="148"/>
      <c r="E299" s="250"/>
      <c r="F299" s="250"/>
      <c r="G299" s="108"/>
      <c r="H299" s="147">
        <f t="shared" si="52"/>
        <v>0</v>
      </c>
      <c r="I299" s="633"/>
      <c r="J299" s="255"/>
      <c r="K299" s="255"/>
      <c r="L299" s="255"/>
      <c r="M299" s="255"/>
    </row>
    <row r="300" spans="2:13" ht="18" customHeight="1">
      <c r="B300" s="629" t="s">
        <v>198</v>
      </c>
      <c r="C300" s="253">
        <f>D35</f>
        <v>480</v>
      </c>
      <c r="D300" s="148"/>
      <c r="E300" s="250"/>
      <c r="F300" s="250" t="str">
        <f>F298</f>
        <v>坚朗</v>
      </c>
      <c r="G300" s="108">
        <f>材料价格!B17</f>
        <v>115</v>
      </c>
      <c r="H300" s="147">
        <f t="shared" si="52"/>
        <v>0</v>
      </c>
      <c r="I300" s="149"/>
      <c r="J300" s="255"/>
      <c r="K300" s="255"/>
      <c r="L300" s="255"/>
      <c r="M300" s="255"/>
    </row>
    <row r="301" spans="2:13" ht="18" customHeight="1">
      <c r="B301" s="629"/>
      <c r="C301" s="253"/>
      <c r="D301" s="148"/>
      <c r="E301" s="250"/>
      <c r="F301" s="250"/>
      <c r="G301" s="108"/>
      <c r="H301" s="147">
        <f t="shared" si="52"/>
        <v>0</v>
      </c>
      <c r="I301" s="149"/>
      <c r="J301" s="255"/>
      <c r="K301" s="255"/>
      <c r="L301" s="255"/>
      <c r="M301" s="255"/>
    </row>
    <row r="302" spans="2:13" ht="18" customHeight="1">
      <c r="B302" s="629" t="s">
        <v>199</v>
      </c>
      <c r="C302" s="250" t="s">
        <v>200</v>
      </c>
      <c r="D302" s="148"/>
      <c r="E302" s="250"/>
      <c r="F302" s="250" t="str">
        <f>F300</f>
        <v>坚朗</v>
      </c>
      <c r="G302" s="108">
        <f>材料价格!B19</f>
        <v>230</v>
      </c>
      <c r="H302" s="147">
        <f t="shared" si="52"/>
        <v>0</v>
      </c>
      <c r="I302" s="247"/>
      <c r="J302" s="255"/>
      <c r="K302" s="255"/>
      <c r="L302" s="255"/>
      <c r="M302" s="255"/>
    </row>
    <row r="303" spans="2:13" ht="18" customHeight="1">
      <c r="B303" s="629"/>
      <c r="C303" s="250" t="s">
        <v>201</v>
      </c>
      <c r="D303" s="148"/>
      <c r="E303" s="250"/>
      <c r="F303" s="250" t="str">
        <f>F302</f>
        <v>坚朗</v>
      </c>
      <c r="G303" s="108">
        <f>材料价格!B20</f>
        <v>335</v>
      </c>
      <c r="H303" s="147">
        <f t="shared" si="52"/>
        <v>0</v>
      </c>
      <c r="I303" s="247"/>
      <c r="J303" s="255"/>
      <c r="K303" s="255"/>
      <c r="L303" s="255"/>
      <c r="M303" s="255"/>
    </row>
    <row r="304" spans="2:13" ht="18" customHeight="1">
      <c r="B304" s="150" t="s">
        <v>202</v>
      </c>
      <c r="C304" s="50"/>
      <c r="D304" s="50"/>
      <c r="E304" s="50">
        <f>SUM(E294:E303)</f>
        <v>2</v>
      </c>
      <c r="F304" s="50"/>
      <c r="G304" s="166"/>
      <c r="H304" s="151">
        <f>SUM(H294:H303)</f>
        <v>176</v>
      </c>
      <c r="I304" s="152"/>
      <c r="J304" s="42"/>
    </row>
    <row r="305" spans="1:16" ht="18" customHeight="1">
      <c r="B305" s="246" t="s">
        <v>300</v>
      </c>
      <c r="C305" s="250"/>
      <c r="D305" s="148"/>
      <c r="E305" s="253">
        <f>E294+E296</f>
        <v>0</v>
      </c>
      <c r="F305" s="148"/>
      <c r="G305" s="148">
        <f>材料价格!B27</f>
        <v>0</v>
      </c>
      <c r="H305" s="154">
        <f>E305*G305</f>
        <v>0</v>
      </c>
      <c r="I305" s="247" t="s">
        <v>203</v>
      </c>
    </row>
    <row r="306" spans="1:16" s="16" customFormat="1" ht="18" customHeight="1">
      <c r="A306" s="1"/>
      <c r="B306" s="246" t="s">
        <v>204</v>
      </c>
      <c r="C306" s="250"/>
      <c r="D306" s="148"/>
      <c r="E306" s="253">
        <f>E298+E299+E300+E301</f>
        <v>2</v>
      </c>
      <c r="F306" s="148"/>
      <c r="G306" s="148">
        <f>材料价格!B28</f>
        <v>118</v>
      </c>
      <c r="H306" s="154">
        <f>E306*G306</f>
        <v>236</v>
      </c>
      <c r="I306" s="247" t="s">
        <v>205</v>
      </c>
      <c r="J306" s="43"/>
      <c r="K306" s="43"/>
      <c r="L306" s="43"/>
      <c r="M306" s="43"/>
      <c r="N306" s="255"/>
      <c r="O306" s="255"/>
      <c r="P306" s="255"/>
    </row>
    <row r="307" spans="1:16" s="16" customFormat="1" ht="18" customHeight="1">
      <c r="A307" s="1"/>
      <c r="B307" s="246" t="s">
        <v>206</v>
      </c>
      <c r="C307" s="250"/>
      <c r="D307" s="148"/>
      <c r="E307" s="253"/>
      <c r="F307" s="148"/>
      <c r="G307" s="148"/>
      <c r="H307" s="154">
        <f>E307*G307</f>
        <v>0</v>
      </c>
      <c r="I307" s="247" t="s">
        <v>207</v>
      </c>
      <c r="J307" s="43"/>
      <c r="K307" s="43"/>
      <c r="L307" s="43"/>
      <c r="M307" s="43"/>
      <c r="N307" s="255"/>
      <c r="O307" s="255"/>
      <c r="P307" s="255"/>
    </row>
    <row r="308" spans="1:16" s="16" customFormat="1" ht="18" customHeight="1">
      <c r="A308" s="1"/>
      <c r="B308" s="150" t="s">
        <v>208</v>
      </c>
      <c r="C308" s="50"/>
      <c r="D308" s="50"/>
      <c r="E308" s="100">
        <f>SUM(E305:E307)</f>
        <v>2</v>
      </c>
      <c r="F308" s="50"/>
      <c r="G308" s="166"/>
      <c r="H308" s="155">
        <f>SUM(H305:H307)</f>
        <v>236</v>
      </c>
      <c r="I308" s="152"/>
      <c r="J308" s="43"/>
      <c r="K308" s="43"/>
      <c r="L308" s="43"/>
      <c r="M308" s="43"/>
      <c r="N308" s="255"/>
      <c r="O308" s="255"/>
      <c r="P308" s="255"/>
    </row>
    <row r="309" spans="1:16" s="16" customFormat="1" ht="18" customHeight="1">
      <c r="A309" s="1"/>
      <c r="B309" s="156" t="s">
        <v>209</v>
      </c>
      <c r="C309" s="157">
        <f>ROUND(IF(D4&lt;=200,4,0)+IF(D4&gt;200,(D4/200+1))+IF(E4&lt;=200,4,0)+IF(E4&gt;200,(E4/200+1)),0)</f>
        <v>16</v>
      </c>
      <c r="D309" s="148"/>
      <c r="E309" s="148"/>
      <c r="F309" s="148"/>
      <c r="G309" s="158">
        <v>0.5</v>
      </c>
      <c r="H309" s="159">
        <f>ROUND(C309*G309,2)</f>
        <v>8</v>
      </c>
      <c r="I309" s="247" t="s">
        <v>210</v>
      </c>
      <c r="J309" s="43"/>
      <c r="K309" s="43"/>
      <c r="L309" s="43"/>
      <c r="M309" s="43"/>
      <c r="N309" s="255"/>
      <c r="O309" s="255"/>
      <c r="P309" s="255"/>
    </row>
    <row r="310" spans="1:16" s="16" customFormat="1" ht="18" customHeight="1">
      <c r="A310" s="1"/>
      <c r="B310" s="156" t="s">
        <v>211</v>
      </c>
      <c r="C310" s="157">
        <f>C309*2</f>
        <v>32</v>
      </c>
      <c r="D310" s="148">
        <f>D309*2</f>
        <v>0</v>
      </c>
      <c r="E310" s="148"/>
      <c r="F310" s="148"/>
      <c r="G310" s="158">
        <v>0.3</v>
      </c>
      <c r="H310" s="159">
        <f>ROUND(C310*G310,2)</f>
        <v>9.6</v>
      </c>
      <c r="I310" s="247" t="s">
        <v>212</v>
      </c>
      <c r="J310" s="43"/>
      <c r="K310" s="43"/>
      <c r="L310" s="255"/>
      <c r="M310" s="255"/>
      <c r="N310" s="255"/>
      <c r="O310" s="255"/>
      <c r="P310" s="255"/>
    </row>
    <row r="311" spans="1:16" s="16" customFormat="1" ht="18" customHeight="1">
      <c r="A311" s="1"/>
      <c r="B311" s="160" t="s">
        <v>213</v>
      </c>
      <c r="C311" s="161">
        <f>F6</f>
        <v>1.6524000000000001</v>
      </c>
      <c r="D311" s="162"/>
      <c r="E311" s="162"/>
      <c r="F311" s="162"/>
      <c r="G311" s="163">
        <v>5</v>
      </c>
      <c r="H311" s="159">
        <f>ROUND(C311*G311,2)</f>
        <v>8.26</v>
      </c>
      <c r="I311" s="247"/>
      <c r="J311" s="43"/>
      <c r="K311" s="43"/>
      <c r="L311" s="255"/>
      <c r="M311" s="255"/>
      <c r="N311" s="255"/>
      <c r="O311" s="255"/>
      <c r="P311" s="255"/>
    </row>
    <row r="312" spans="1:16" s="16" customFormat="1" ht="18" customHeight="1">
      <c r="A312" s="1"/>
      <c r="B312" s="160" t="s">
        <v>214</v>
      </c>
      <c r="C312" s="161"/>
      <c r="D312" s="162"/>
      <c r="E312" s="162"/>
      <c r="F312" s="162"/>
      <c r="G312" s="163"/>
      <c r="H312" s="159">
        <f>ROUND(C312*G312,2)</f>
        <v>0</v>
      </c>
      <c r="I312" s="247"/>
      <c r="J312" s="43"/>
      <c r="K312" s="43"/>
      <c r="L312" s="255"/>
      <c r="M312" s="255"/>
      <c r="N312" s="255"/>
      <c r="O312" s="255"/>
      <c r="P312" s="255"/>
    </row>
    <row r="313" spans="1:16" s="16" customFormat="1" ht="18" customHeight="1">
      <c r="A313" s="1"/>
      <c r="B313" s="164" t="s">
        <v>397</v>
      </c>
      <c r="C313" s="161">
        <f>D291+D292</f>
        <v>1.08344</v>
      </c>
      <c r="D313" s="162"/>
      <c r="E313" s="162"/>
      <c r="F313" s="162"/>
      <c r="G313" s="163">
        <f>10+5</f>
        <v>15</v>
      </c>
      <c r="H313" s="159">
        <f>ROUND(C313*G313,2)</f>
        <v>16.25</v>
      </c>
      <c r="I313" s="247"/>
      <c r="J313" s="43"/>
      <c r="K313" s="43"/>
      <c r="L313" s="255"/>
      <c r="M313" s="255"/>
      <c r="N313" s="255"/>
      <c r="O313" s="255"/>
      <c r="P313" s="255"/>
    </row>
    <row r="314" spans="1:16" s="16" customFormat="1" ht="18" customHeight="1">
      <c r="A314" s="1"/>
      <c r="B314" s="150" t="s">
        <v>215</v>
      </c>
      <c r="C314" s="165"/>
      <c r="D314" s="50"/>
      <c r="E314" s="50"/>
      <c r="F314" s="50"/>
      <c r="G314" s="166"/>
      <c r="H314" s="155">
        <f>SUM(H309:H313)</f>
        <v>42.11</v>
      </c>
      <c r="I314" s="152"/>
      <c r="J314" s="43"/>
      <c r="K314" s="43"/>
      <c r="L314" s="255"/>
      <c r="M314" s="255"/>
      <c r="N314" s="255"/>
      <c r="O314" s="255"/>
      <c r="P314" s="255"/>
    </row>
    <row r="315" spans="1:16" s="16" customFormat="1" ht="18" customHeight="1">
      <c r="A315" s="1"/>
      <c r="B315" s="156" t="s">
        <v>216</v>
      </c>
      <c r="C315" s="167">
        <f>E203+E205+E207+I203+I205+E209+I207</f>
        <v>16</v>
      </c>
      <c r="D315" s="148"/>
      <c r="E315" s="148"/>
      <c r="F315" s="148"/>
      <c r="G315" s="168">
        <v>1.9</v>
      </c>
      <c r="H315" s="154">
        <f t="shared" ref="H315:H318" si="53">ROUND(C315*G315,2)</f>
        <v>30.4</v>
      </c>
      <c r="I315" s="224" t="s">
        <v>340</v>
      </c>
      <c r="J315" s="255"/>
      <c r="K315" s="43"/>
      <c r="L315" s="255"/>
      <c r="M315" s="255"/>
      <c r="N315" s="255"/>
      <c r="O315" s="255"/>
      <c r="P315" s="255"/>
    </row>
    <row r="316" spans="1:16" s="16" customFormat="1" ht="18" customHeight="1">
      <c r="A316" s="1"/>
      <c r="B316" s="156" t="s">
        <v>217</v>
      </c>
      <c r="C316" s="167">
        <f>ROUND((D4+E4)*2/1000,2)</f>
        <v>5.6</v>
      </c>
      <c r="D316" s="148"/>
      <c r="E316" s="238">
        <v>4</v>
      </c>
      <c r="F316" s="235">
        <f>材料价格!B25</f>
        <v>8.52</v>
      </c>
      <c r="G316" s="168">
        <f t="shared" ref="G316:G321" si="54">F316/E316</f>
        <v>2.13</v>
      </c>
      <c r="H316" s="154">
        <f t="shared" si="53"/>
        <v>11.93</v>
      </c>
      <c r="I316" s="169" t="s">
        <v>218</v>
      </c>
      <c r="J316" s="255"/>
      <c r="K316" s="43"/>
      <c r="L316" s="255"/>
      <c r="M316" s="255"/>
      <c r="N316" s="255"/>
      <c r="O316" s="255"/>
      <c r="P316" s="255"/>
    </row>
    <row r="317" spans="1:16" s="16" customFormat="1" ht="18" customHeight="1">
      <c r="A317" s="1"/>
      <c r="B317" s="156" t="s">
        <v>219</v>
      </c>
      <c r="C317" s="167">
        <f>C316</f>
        <v>5.6</v>
      </c>
      <c r="D317" s="148"/>
      <c r="E317" s="238">
        <v>3</v>
      </c>
      <c r="F317" s="235">
        <f>F316</f>
        <v>8.52</v>
      </c>
      <c r="G317" s="168">
        <f t="shared" si="54"/>
        <v>2.84</v>
      </c>
      <c r="H317" s="154">
        <f t="shared" si="53"/>
        <v>15.9</v>
      </c>
      <c r="I317" s="169" t="s">
        <v>220</v>
      </c>
      <c r="J317" s="255"/>
      <c r="K317" s="43"/>
      <c r="L317" s="255"/>
      <c r="M317" s="255"/>
      <c r="N317" s="255"/>
      <c r="O317" s="255"/>
      <c r="P317" s="255"/>
    </row>
    <row r="318" spans="1:16" s="16" customFormat="1" ht="18" customHeight="1">
      <c r="A318" s="1"/>
      <c r="B318" s="156" t="s">
        <v>221</v>
      </c>
      <c r="C318" s="167">
        <f>C316</f>
        <v>5.6</v>
      </c>
      <c r="D318" s="148"/>
      <c r="E318" s="238">
        <v>6.5</v>
      </c>
      <c r="F318" s="235">
        <f>材料价格!B26</f>
        <v>23</v>
      </c>
      <c r="G318" s="168">
        <f t="shared" si="54"/>
        <v>3.5384615384615383</v>
      </c>
      <c r="H318" s="154">
        <f t="shared" si="53"/>
        <v>19.82</v>
      </c>
      <c r="I318" s="224" t="s">
        <v>222</v>
      </c>
      <c r="J318" s="255"/>
      <c r="K318" s="43"/>
      <c r="L318" s="255"/>
      <c r="M318" s="255"/>
      <c r="N318" s="255"/>
      <c r="O318" s="255"/>
      <c r="P318" s="255"/>
    </row>
    <row r="319" spans="1:16" s="16" customFormat="1" ht="18" customHeight="1">
      <c r="A319" s="1"/>
      <c r="B319" s="156" t="s">
        <v>341</v>
      </c>
      <c r="C319" s="167">
        <f>ROUND((C97+C104+C88+C146+C153+C163)*1,2)</f>
        <v>7.9</v>
      </c>
      <c r="D319" s="77">
        <v>1</v>
      </c>
      <c r="E319" s="238">
        <f>10</f>
        <v>10</v>
      </c>
      <c r="F319" s="235">
        <f>F317</f>
        <v>8.52</v>
      </c>
      <c r="G319" s="168">
        <f>F319/E319</f>
        <v>0.85199999999999998</v>
      </c>
      <c r="H319" s="154">
        <f>ROUND(C319*G319,2)</f>
        <v>6.73</v>
      </c>
      <c r="I319" s="247" t="s">
        <v>223</v>
      </c>
      <c r="J319" s="255"/>
      <c r="K319" s="43"/>
      <c r="L319" s="255"/>
      <c r="M319" s="255"/>
      <c r="N319" s="255"/>
      <c r="O319" s="255"/>
      <c r="P319" s="255"/>
    </row>
    <row r="320" spans="1:16" s="16" customFormat="1" ht="18" customHeight="1">
      <c r="A320" s="1"/>
      <c r="B320" s="156" t="s">
        <v>342</v>
      </c>
      <c r="C320" s="167">
        <f>C319</f>
        <v>7.9</v>
      </c>
      <c r="D320" s="77">
        <v>1</v>
      </c>
      <c r="E320" s="238">
        <v>6</v>
      </c>
      <c r="F320" s="235">
        <f>F319</f>
        <v>8.52</v>
      </c>
      <c r="G320" s="168">
        <f t="shared" si="54"/>
        <v>1.42</v>
      </c>
      <c r="H320" s="154">
        <f>ROUND(C320*G320,2)</f>
        <v>11.22</v>
      </c>
      <c r="I320" s="247" t="s">
        <v>224</v>
      </c>
      <c r="J320" s="255"/>
      <c r="K320" s="170"/>
      <c r="L320" s="170"/>
      <c r="M320" s="170"/>
      <c r="N320" s="170"/>
      <c r="O320" s="170"/>
      <c r="P320" s="170"/>
    </row>
    <row r="321" spans="1:16" s="16" customFormat="1" ht="18" customHeight="1">
      <c r="A321" s="1"/>
      <c r="B321" s="156" t="s">
        <v>225</v>
      </c>
      <c r="C321" s="167">
        <f>C334*D334+C324*D324+C327*D327</f>
        <v>1.248</v>
      </c>
      <c r="D321" s="77">
        <v>1</v>
      </c>
      <c r="E321" s="238">
        <f>10</f>
        <v>10</v>
      </c>
      <c r="F321" s="235">
        <f>F317</f>
        <v>8.52</v>
      </c>
      <c r="G321" s="168">
        <f t="shared" si="54"/>
        <v>0.85199999999999998</v>
      </c>
      <c r="H321" s="154">
        <f>ROUND(C321*G321,2)</f>
        <v>1.06</v>
      </c>
      <c r="I321" s="247" t="s">
        <v>226</v>
      </c>
      <c r="J321" s="255"/>
      <c r="K321" s="170"/>
      <c r="L321" s="170"/>
      <c r="M321" s="170"/>
      <c r="N321" s="170"/>
      <c r="O321" s="170"/>
      <c r="P321" s="170"/>
    </row>
    <row r="322" spans="1:16" s="16" customFormat="1" ht="18" customHeight="1">
      <c r="A322" s="1"/>
      <c r="B322" s="150" t="s">
        <v>227</v>
      </c>
      <c r="C322" s="165"/>
      <c r="D322" s="50"/>
      <c r="E322" s="50"/>
      <c r="F322" s="50"/>
      <c r="G322" s="166" t="s">
        <v>396</v>
      </c>
      <c r="H322" s="155">
        <f>SUM(H315:H321)</f>
        <v>97.06</v>
      </c>
      <c r="I322" s="152"/>
      <c r="J322" s="244" t="s">
        <v>399</v>
      </c>
      <c r="K322" s="245" t="s">
        <v>379</v>
      </c>
      <c r="L322" s="170"/>
      <c r="M322" s="170"/>
      <c r="N322" s="170"/>
      <c r="O322" s="170"/>
      <c r="P322" s="170"/>
    </row>
    <row r="323" spans="1:16" s="16" customFormat="1" ht="18" customHeight="1">
      <c r="A323" s="1"/>
      <c r="B323" s="156" t="s">
        <v>356</v>
      </c>
      <c r="C323" s="167">
        <f>C31</f>
        <v>0</v>
      </c>
      <c r="D323" s="239">
        <v>1</v>
      </c>
      <c r="E323" s="148"/>
      <c r="F323" s="148"/>
      <c r="G323" s="236">
        <f>0.45+0.85</f>
        <v>1.3</v>
      </c>
      <c r="H323" s="154">
        <f>ROUND(C323*D323*G323,2)</f>
        <v>0</v>
      </c>
      <c r="I323" s="247" t="s">
        <v>345</v>
      </c>
      <c r="J323" s="244">
        <v>1.76</v>
      </c>
      <c r="K323" s="245" t="s">
        <v>400</v>
      </c>
      <c r="L323" s="170"/>
      <c r="M323" s="171"/>
      <c r="N323" s="170"/>
      <c r="O323" s="170"/>
      <c r="P323" s="170"/>
    </row>
    <row r="324" spans="1:16" s="16" customFormat="1" ht="18" customHeight="1">
      <c r="A324" s="1"/>
      <c r="B324" s="156" t="s">
        <v>347</v>
      </c>
      <c r="C324" s="167">
        <f>C323</f>
        <v>0</v>
      </c>
      <c r="D324" s="239">
        <v>1</v>
      </c>
      <c r="E324" s="148"/>
      <c r="F324" s="148"/>
      <c r="G324" s="236">
        <v>6.89</v>
      </c>
      <c r="H324" s="154">
        <f t="shared" ref="H324:H329" si="55">ROUND(C324*D324*G324,2)</f>
        <v>0</v>
      </c>
      <c r="I324" s="247" t="s">
        <v>346</v>
      </c>
      <c r="J324" s="244">
        <v>12.25</v>
      </c>
      <c r="K324" s="245" t="s">
        <v>376</v>
      </c>
      <c r="L324" s="170"/>
      <c r="M324" s="171"/>
      <c r="N324" s="170"/>
      <c r="O324" s="170"/>
      <c r="P324" s="170"/>
    </row>
    <row r="325" spans="1:16" s="16" customFormat="1" ht="18" customHeight="1">
      <c r="A325" s="1"/>
      <c r="B325" s="156" t="s">
        <v>357</v>
      </c>
      <c r="C325" s="167">
        <f>C38</f>
        <v>6.024</v>
      </c>
      <c r="D325" s="239">
        <v>1</v>
      </c>
      <c r="E325" s="148"/>
      <c r="F325" s="148"/>
      <c r="G325" s="236">
        <f>0.85+0.61</f>
        <v>1.46</v>
      </c>
      <c r="H325" s="154">
        <f t="shared" si="55"/>
        <v>8.8000000000000007</v>
      </c>
      <c r="I325" s="247" t="s">
        <v>354</v>
      </c>
      <c r="J325" s="244">
        <v>1.76</v>
      </c>
      <c r="K325" s="245" t="s">
        <v>378</v>
      </c>
      <c r="L325" s="170"/>
      <c r="M325" s="171"/>
      <c r="N325" s="170"/>
      <c r="O325" s="170"/>
      <c r="P325" s="170"/>
    </row>
    <row r="326" spans="1:16" s="16" customFormat="1" ht="18" customHeight="1">
      <c r="A326" s="1"/>
      <c r="B326" s="156" t="s">
        <v>355</v>
      </c>
      <c r="C326" s="167">
        <f>C325</f>
        <v>6.024</v>
      </c>
      <c r="D326" s="239">
        <v>1</v>
      </c>
      <c r="E326" s="148"/>
      <c r="F326" s="148"/>
      <c r="G326" s="236">
        <v>3.27</v>
      </c>
      <c r="H326" s="154">
        <f>ROUND(C326*D326*G326,2)</f>
        <v>19.7</v>
      </c>
      <c r="I326" s="247" t="s">
        <v>358</v>
      </c>
      <c r="J326" s="244">
        <v>3.27</v>
      </c>
      <c r="K326" s="245" t="s">
        <v>358</v>
      </c>
      <c r="L326" s="170"/>
      <c r="M326" s="171"/>
      <c r="N326" s="170"/>
      <c r="O326" s="170"/>
      <c r="P326" s="170"/>
    </row>
    <row r="327" spans="1:16" s="16" customFormat="1" ht="18" customHeight="1">
      <c r="A327" s="1"/>
      <c r="B327" s="156" t="s">
        <v>228</v>
      </c>
      <c r="C327" s="167">
        <f>C126</f>
        <v>0</v>
      </c>
      <c r="D327" s="239">
        <v>1</v>
      </c>
      <c r="E327" s="110"/>
      <c r="F327" s="148"/>
      <c r="G327" s="236">
        <v>6.89</v>
      </c>
      <c r="H327" s="154">
        <f t="shared" si="55"/>
        <v>0</v>
      </c>
      <c r="I327" s="247" t="s">
        <v>346</v>
      </c>
      <c r="J327" s="244">
        <v>12.25</v>
      </c>
      <c r="K327" s="245" t="s">
        <v>346</v>
      </c>
      <c r="L327" s="170"/>
      <c r="M327" s="171"/>
      <c r="N327" s="170"/>
      <c r="O327" s="170"/>
      <c r="P327" s="170"/>
    </row>
    <row r="328" spans="1:16" s="16" customFormat="1" ht="18" customHeight="1">
      <c r="A328" s="1"/>
      <c r="B328" s="156" t="s">
        <v>229</v>
      </c>
      <c r="C328" s="167">
        <f>C327</f>
        <v>0</v>
      </c>
      <c r="D328" s="239">
        <v>1</v>
      </c>
      <c r="E328" s="110"/>
      <c r="F328" s="148"/>
      <c r="G328" s="236">
        <f>G3233</f>
        <v>0</v>
      </c>
      <c r="H328" s="154">
        <f t="shared" si="55"/>
        <v>0</v>
      </c>
      <c r="I328" s="247" t="s">
        <v>345</v>
      </c>
      <c r="J328" s="244">
        <v>0</v>
      </c>
      <c r="K328" s="245" t="s">
        <v>400</v>
      </c>
      <c r="L328" s="170"/>
      <c r="M328" s="171"/>
      <c r="N328" s="170"/>
      <c r="O328" s="170"/>
      <c r="P328" s="170"/>
    </row>
    <row r="329" spans="1:16" s="16" customFormat="1" ht="18" customHeight="1">
      <c r="A329" s="1"/>
      <c r="B329" s="156" t="s">
        <v>230</v>
      </c>
      <c r="C329" s="167">
        <f>C119</f>
        <v>0</v>
      </c>
      <c r="D329" s="239">
        <v>1</v>
      </c>
      <c r="E329" s="148"/>
      <c r="F329" s="148"/>
      <c r="G329" s="236">
        <f>G3253</f>
        <v>0</v>
      </c>
      <c r="H329" s="154">
        <f t="shared" si="55"/>
        <v>0</v>
      </c>
      <c r="I329" s="247" t="s">
        <v>354</v>
      </c>
      <c r="J329" s="244">
        <v>0</v>
      </c>
      <c r="K329" s="245" t="s">
        <v>378</v>
      </c>
      <c r="L329" s="170"/>
      <c r="M329" s="171"/>
      <c r="N329" s="170"/>
      <c r="O329" s="170"/>
      <c r="P329" s="170"/>
    </row>
    <row r="330" spans="1:16" s="16" customFormat="1" ht="18" customHeight="1">
      <c r="A330" s="1"/>
      <c r="B330" s="156" t="s">
        <v>362</v>
      </c>
      <c r="C330" s="167">
        <f>C329</f>
        <v>0</v>
      </c>
      <c r="D330" s="239">
        <v>1</v>
      </c>
      <c r="E330" s="148"/>
      <c r="F330" s="148"/>
      <c r="G330" s="236">
        <v>3.27</v>
      </c>
      <c r="H330" s="154">
        <f>ROUND(C330*D330*G330,2)</f>
        <v>0</v>
      </c>
      <c r="I330" s="247" t="s">
        <v>358</v>
      </c>
      <c r="J330" s="244">
        <v>3.27</v>
      </c>
      <c r="K330" s="245" t="s">
        <v>358</v>
      </c>
      <c r="L330" s="170"/>
      <c r="M330" s="171"/>
      <c r="N330" s="170"/>
      <c r="O330" s="170"/>
      <c r="P330" s="170"/>
    </row>
    <row r="331" spans="1:16" s="16" customFormat="1" ht="18" customHeight="1">
      <c r="A331" s="1"/>
      <c r="B331" s="156" t="s">
        <v>343</v>
      </c>
      <c r="C331" s="167">
        <f>C319</f>
        <v>7.9</v>
      </c>
      <c r="D331" s="239">
        <v>1</v>
      </c>
      <c r="E331" s="148"/>
      <c r="F331" s="148"/>
      <c r="G331" s="236">
        <v>1.25</v>
      </c>
      <c r="H331" s="154">
        <f>C331*D331*G331</f>
        <v>9.875</v>
      </c>
      <c r="I331" s="247" t="s">
        <v>344</v>
      </c>
      <c r="J331" s="244">
        <v>1.25</v>
      </c>
      <c r="K331" s="245" t="s">
        <v>344</v>
      </c>
      <c r="L331" s="170"/>
      <c r="M331" s="171"/>
      <c r="N331" s="170"/>
      <c r="O331" s="170"/>
      <c r="P331" s="170"/>
    </row>
    <row r="332" spans="1:16" s="16" customFormat="1" ht="18" customHeight="1">
      <c r="A332" s="1"/>
      <c r="B332" s="156" t="s">
        <v>350</v>
      </c>
      <c r="C332" s="167" cm="1">
        <f t="array" ref="C332">SUMPRODUCT(D26:D30*G26:G30)/1000</f>
        <v>0</v>
      </c>
      <c r="D332" s="239">
        <v>1</v>
      </c>
      <c r="E332" s="148"/>
      <c r="F332" s="148"/>
      <c r="G332" s="236">
        <v>0.41</v>
      </c>
      <c r="H332" s="154">
        <f>C332*D332*G332</f>
        <v>0</v>
      </c>
      <c r="I332" s="247" t="s">
        <v>348</v>
      </c>
      <c r="J332" s="244">
        <v>0.41</v>
      </c>
      <c r="K332" s="245" t="s">
        <v>348</v>
      </c>
      <c r="L332" s="170"/>
      <c r="M332" s="171"/>
      <c r="N332" s="170"/>
      <c r="O332" s="170"/>
      <c r="P332" s="170"/>
    </row>
    <row r="333" spans="1:16" s="16" customFormat="1" ht="18" customHeight="1">
      <c r="A333" s="1"/>
      <c r="B333" s="156" t="s">
        <v>349</v>
      </c>
      <c r="C333" s="167">
        <f>C88+C97+C104+C153+C163+C146</f>
        <v>7.9</v>
      </c>
      <c r="D333" s="239">
        <v>1</v>
      </c>
      <c r="E333" s="148"/>
      <c r="F333" s="148"/>
      <c r="G333" s="236">
        <v>0.49</v>
      </c>
      <c r="H333" s="154">
        <f>C333*D333*G333</f>
        <v>3.871</v>
      </c>
      <c r="I333" s="247" t="s">
        <v>351</v>
      </c>
      <c r="J333" s="244">
        <v>0.49</v>
      </c>
      <c r="K333" s="245" t="s">
        <v>351</v>
      </c>
      <c r="L333" s="170"/>
      <c r="M333" s="171"/>
      <c r="N333" s="170"/>
      <c r="O333" s="170"/>
      <c r="P333" s="170"/>
    </row>
    <row r="334" spans="1:16" s="16" customFormat="1" ht="18" customHeight="1">
      <c r="A334" s="1"/>
      <c r="B334" s="156" t="s">
        <v>353</v>
      </c>
      <c r="C334" s="167">
        <f t="array" ref="C334">SUMPRODUCT(D157:D162*G157:G162)/1000+SUM(G157:G162)*0.3+SUMPRODUCT(D68:D87*G68:G87)/1000+SUM(G68:G87)*0.3</f>
        <v>1.248</v>
      </c>
      <c r="D334" s="239">
        <v>1</v>
      </c>
      <c r="E334" s="148"/>
      <c r="F334" s="148"/>
      <c r="G334" s="237">
        <v>5.36</v>
      </c>
      <c r="H334" s="154">
        <f>C334*G334</f>
        <v>6.6892800000000001</v>
      </c>
      <c r="I334" s="247" t="s">
        <v>352</v>
      </c>
      <c r="J334" s="244">
        <v>9.5500000000000007</v>
      </c>
      <c r="K334" s="245" t="s">
        <v>377</v>
      </c>
      <c r="L334" s="170"/>
      <c r="M334" s="171"/>
      <c r="N334" s="170"/>
      <c r="O334" s="170"/>
      <c r="P334" s="170"/>
    </row>
    <row r="335" spans="1:16" s="16" customFormat="1" ht="18" customHeight="1">
      <c r="A335" s="1"/>
      <c r="B335" s="156" t="s">
        <v>364</v>
      </c>
      <c r="C335" s="167">
        <f>C319</f>
        <v>7.9</v>
      </c>
      <c r="D335" s="239">
        <v>1</v>
      </c>
      <c r="E335" s="148"/>
      <c r="F335" s="148"/>
      <c r="G335" s="237">
        <v>1.25</v>
      </c>
      <c r="H335" s="154"/>
      <c r="I335" s="149" t="s">
        <v>363</v>
      </c>
      <c r="J335" s="244">
        <v>1.25</v>
      </c>
      <c r="K335" s="245" t="s">
        <v>363</v>
      </c>
      <c r="L335" s="170"/>
      <c r="M335" s="171"/>
      <c r="N335" s="170"/>
      <c r="O335" s="170"/>
      <c r="P335" s="170"/>
    </row>
    <row r="336" spans="1:16" s="16" customFormat="1" ht="18" customHeight="1">
      <c r="A336" s="1"/>
      <c r="B336" s="156" t="s">
        <v>365</v>
      </c>
      <c r="C336" s="167">
        <f>C320</f>
        <v>7.9</v>
      </c>
      <c r="D336" s="239">
        <v>1</v>
      </c>
      <c r="E336" s="148"/>
      <c r="F336" s="148"/>
      <c r="G336" s="237">
        <v>1.63</v>
      </c>
      <c r="H336" s="154"/>
      <c r="I336" s="149" t="s">
        <v>363</v>
      </c>
      <c r="J336" s="244">
        <v>1.63</v>
      </c>
      <c r="K336" s="245" t="s">
        <v>363</v>
      </c>
      <c r="L336" s="170"/>
      <c r="M336" s="171"/>
      <c r="N336" s="170"/>
      <c r="O336" s="170"/>
      <c r="P336" s="170"/>
    </row>
    <row r="337" spans="1:16" s="16" customFormat="1" ht="18" customHeight="1">
      <c r="A337" s="1"/>
      <c r="B337" s="150" t="s">
        <v>231</v>
      </c>
      <c r="C337" s="165"/>
      <c r="D337" s="50"/>
      <c r="E337" s="50"/>
      <c r="F337" s="50"/>
      <c r="G337" s="166"/>
      <c r="H337" s="155">
        <f>SUM(H323:H336)*1.05</f>
        <v>51.382044000000008</v>
      </c>
      <c r="I337" s="152"/>
      <c r="J337" s="172"/>
      <c r="K337" s="170"/>
      <c r="L337" s="170"/>
      <c r="M337" s="170"/>
      <c r="N337" s="170"/>
      <c r="O337" s="170"/>
      <c r="P337" s="170"/>
    </row>
    <row r="338" spans="1:16" s="16" customFormat="1" ht="18" customHeight="1">
      <c r="A338" s="1"/>
      <c r="B338" s="173" t="s">
        <v>366</v>
      </c>
      <c r="C338" s="174">
        <f>F250+F258+F265+F280+F285+F290</f>
        <v>1</v>
      </c>
      <c r="D338" s="175">
        <v>2</v>
      </c>
      <c r="E338" s="176"/>
      <c r="F338" s="176"/>
      <c r="G338" s="240">
        <v>0.5</v>
      </c>
      <c r="H338" s="177">
        <f t="shared" ref="H338:H343" si="56">D338*G338*C338</f>
        <v>1</v>
      </c>
      <c r="I338" s="178" t="s">
        <v>233</v>
      </c>
      <c r="J338" s="172"/>
      <c r="K338" s="170"/>
      <c r="L338" s="170"/>
      <c r="M338" s="170"/>
      <c r="N338" s="170"/>
      <c r="O338" s="170"/>
      <c r="P338" s="170"/>
    </row>
    <row r="339" spans="1:16" s="16" customFormat="1" ht="18" customHeight="1">
      <c r="A339" s="1"/>
      <c r="B339" s="173" t="s">
        <v>367</v>
      </c>
      <c r="C339" s="174">
        <f>F233+F242+F269+F273</f>
        <v>2</v>
      </c>
      <c r="D339" s="175">
        <v>4</v>
      </c>
      <c r="E339" s="176"/>
      <c r="F339" s="176"/>
      <c r="G339" s="240">
        <v>0.63</v>
      </c>
      <c r="H339" s="177">
        <f t="shared" si="56"/>
        <v>5.04</v>
      </c>
      <c r="I339" s="178" t="s">
        <v>234</v>
      </c>
      <c r="J339" s="172"/>
      <c r="K339" s="170"/>
      <c r="L339" s="170"/>
      <c r="M339" s="170"/>
      <c r="N339" s="170"/>
      <c r="O339" s="170"/>
      <c r="P339" s="170"/>
    </row>
    <row r="340" spans="1:16" s="16" customFormat="1" ht="18" customHeight="1">
      <c r="A340" s="1"/>
      <c r="B340" s="173" t="s">
        <v>366</v>
      </c>
      <c r="C340" s="174">
        <f>SUM(G157:G162)</f>
        <v>0</v>
      </c>
      <c r="D340" s="175">
        <f>IF(E113&gt;2200,2,0)</f>
        <v>0</v>
      </c>
      <c r="E340" s="176"/>
      <c r="F340" s="176"/>
      <c r="G340" s="240">
        <v>0.5</v>
      </c>
      <c r="H340" s="177">
        <f t="shared" si="56"/>
        <v>0</v>
      </c>
      <c r="I340" s="178" t="s">
        <v>235</v>
      </c>
      <c r="J340" s="172"/>
      <c r="K340" s="170"/>
      <c r="L340" s="170"/>
      <c r="M340" s="170"/>
      <c r="N340" s="170"/>
      <c r="O340" s="170"/>
      <c r="P340" s="170"/>
    </row>
    <row r="341" spans="1:16" s="16" customFormat="1" ht="18" customHeight="1">
      <c r="A341" s="1"/>
      <c r="B341" s="173" t="s">
        <v>367</v>
      </c>
      <c r="C341" s="174">
        <f>SUM(G116:G118)</f>
        <v>0</v>
      </c>
      <c r="D341" s="175">
        <v>4</v>
      </c>
      <c r="E341" s="176"/>
      <c r="F341" s="176"/>
      <c r="G341" s="240">
        <v>0.63</v>
      </c>
      <c r="H341" s="177">
        <f t="shared" si="56"/>
        <v>0</v>
      </c>
      <c r="I341" s="178" t="s">
        <v>236</v>
      </c>
      <c r="J341" s="172"/>
      <c r="K341" s="170"/>
      <c r="L341" s="170"/>
      <c r="M341" s="170"/>
      <c r="N341" s="170"/>
      <c r="O341" s="170"/>
      <c r="P341" s="170"/>
    </row>
    <row r="342" spans="1:16" ht="18" customHeight="1">
      <c r="B342" s="173" t="s">
        <v>237</v>
      </c>
      <c r="C342" s="174">
        <v>1</v>
      </c>
      <c r="D342" s="175">
        <f>(F291+F292)*10</f>
        <v>30</v>
      </c>
      <c r="E342" s="176"/>
      <c r="F342" s="176"/>
      <c r="G342" s="240">
        <v>0.37</v>
      </c>
      <c r="H342" s="177">
        <f t="shared" si="56"/>
        <v>11.1</v>
      </c>
      <c r="I342" s="178"/>
      <c r="J342" s="172"/>
      <c r="K342" s="172"/>
      <c r="L342" s="172"/>
      <c r="N342" s="43"/>
    </row>
    <row r="343" spans="1:16" ht="18" customHeight="1">
      <c r="B343" s="173" t="s">
        <v>232</v>
      </c>
      <c r="C343" s="174">
        <f>C338</f>
        <v>1</v>
      </c>
      <c r="D343" s="175">
        <v>0</v>
      </c>
      <c r="E343" s="176"/>
      <c r="F343" s="176"/>
      <c r="G343" s="240">
        <v>0.49</v>
      </c>
      <c r="H343" s="177">
        <f t="shared" si="56"/>
        <v>0</v>
      </c>
      <c r="I343" s="178" t="s">
        <v>238</v>
      </c>
      <c r="J343" s="172"/>
      <c r="K343" s="172"/>
      <c r="L343" s="172"/>
      <c r="N343" s="43"/>
    </row>
    <row r="344" spans="1:16" ht="18" customHeight="1">
      <c r="B344" s="156" t="s">
        <v>239</v>
      </c>
      <c r="C344" s="157"/>
      <c r="D344" s="250">
        <f>E203+E205*2+E207*2+I203+I205*2+I207*2</f>
        <v>24</v>
      </c>
      <c r="E344" s="148"/>
      <c r="F344" s="148"/>
      <c r="G344" s="148">
        <v>0.2</v>
      </c>
      <c r="H344" s="179">
        <f>D344*G344</f>
        <v>4.8000000000000007</v>
      </c>
      <c r="I344" s="247" t="s">
        <v>368</v>
      </c>
      <c r="J344" s="172"/>
      <c r="K344" s="172"/>
      <c r="L344" s="172"/>
    </row>
    <row r="345" spans="1:16" ht="18" customHeight="1">
      <c r="B345" s="156" t="s">
        <v>240</v>
      </c>
      <c r="C345" s="157"/>
      <c r="D345" s="250">
        <f>4*(E52+E53+E54+E55+G52+G53+G54+G55+G60+G61+G62+G63+E130+E131+E132+G130+G131+G132+G137+G138)</f>
        <v>4</v>
      </c>
      <c r="E345" s="148"/>
      <c r="F345" s="148"/>
      <c r="G345" s="148">
        <v>0.22</v>
      </c>
      <c r="H345" s="179">
        <f>D345*G345</f>
        <v>0.88</v>
      </c>
      <c r="I345" s="247" t="s">
        <v>241</v>
      </c>
      <c r="J345" s="172"/>
      <c r="K345" s="172"/>
      <c r="L345" s="172"/>
    </row>
    <row r="346" spans="1:16" ht="18" customHeight="1">
      <c r="B346" s="156" t="s">
        <v>242</v>
      </c>
      <c r="C346" s="157"/>
      <c r="D346" s="250">
        <f>D345/2</f>
        <v>2</v>
      </c>
      <c r="E346" s="148"/>
      <c r="F346" s="148"/>
      <c r="G346" s="148">
        <v>0.22</v>
      </c>
      <c r="H346" s="179">
        <f>ROUND(D346*G346,2)</f>
        <v>0.44</v>
      </c>
      <c r="I346" s="247" t="s">
        <v>243</v>
      </c>
      <c r="J346" s="172"/>
      <c r="K346" s="172"/>
      <c r="L346" s="172"/>
    </row>
    <row r="347" spans="1:16" ht="18" customHeight="1">
      <c r="B347" s="156" t="s">
        <v>369</v>
      </c>
      <c r="C347" s="157"/>
      <c r="D347" s="250">
        <f>D346</f>
        <v>2</v>
      </c>
      <c r="E347" s="148"/>
      <c r="F347" s="148"/>
      <c r="G347" s="148">
        <v>1.37</v>
      </c>
      <c r="H347" s="179">
        <f>ROUND(D347*G347,2)</f>
        <v>2.74</v>
      </c>
      <c r="I347" s="247" t="s">
        <v>370</v>
      </c>
      <c r="J347" s="172"/>
      <c r="K347" s="172"/>
      <c r="L347" s="172"/>
    </row>
    <row r="348" spans="1:16" ht="18" customHeight="1">
      <c r="B348" s="156" t="s">
        <v>244</v>
      </c>
      <c r="C348" s="157"/>
      <c r="D348" s="250">
        <f>(F291+F292)*2</f>
        <v>6</v>
      </c>
      <c r="E348" s="148"/>
      <c r="F348" s="148"/>
      <c r="G348" s="148">
        <v>0.48</v>
      </c>
      <c r="H348" s="179">
        <f>ROUND(D348*G348,2)</f>
        <v>2.88</v>
      </c>
      <c r="I348" s="247" t="s">
        <v>245</v>
      </c>
      <c r="J348" s="255"/>
    </row>
    <row r="349" spans="1:16" ht="18" customHeight="1">
      <c r="B349" s="156" t="s">
        <v>246</v>
      </c>
      <c r="C349" s="157"/>
      <c r="D349" s="250">
        <f>ROUND((D4+E4-240)*2/200+E217*F217/200,0)</f>
        <v>31</v>
      </c>
      <c r="E349" s="148"/>
      <c r="F349" s="148"/>
      <c r="G349" s="148">
        <v>0.05</v>
      </c>
      <c r="H349" s="179">
        <f>ROUND(D349*G349,2)</f>
        <v>1.55</v>
      </c>
      <c r="I349" s="247" t="s">
        <v>247</v>
      </c>
      <c r="J349" s="255"/>
    </row>
    <row r="350" spans="1:16" ht="18" customHeight="1">
      <c r="B350" s="150" t="s">
        <v>248</v>
      </c>
      <c r="C350" s="165"/>
      <c r="D350" s="50"/>
      <c r="E350" s="50"/>
      <c r="F350" s="50"/>
      <c r="G350" s="166"/>
      <c r="H350" s="155">
        <f>SUM(H338:H349)</f>
        <v>30.43</v>
      </c>
      <c r="I350" s="152"/>
    </row>
    <row r="351" spans="1:16" ht="18" customHeight="1">
      <c r="B351" s="156" t="s">
        <v>359</v>
      </c>
      <c r="C351" s="157"/>
      <c r="D351" s="250">
        <f>SUMPRODUCT(G26:G30)*8+SUMPRODUCT(G35:G37)*8+SUMPRODUCT(G116:G118)*8+SUMPRODUCT(G123:G125)*8</f>
        <v>16</v>
      </c>
      <c r="E351" s="148"/>
      <c r="F351" s="148"/>
      <c r="G351" s="148">
        <v>1.26</v>
      </c>
      <c r="H351" s="154">
        <f>ROUND(D351*G351,2)</f>
        <v>20.16</v>
      </c>
      <c r="I351" s="247" t="s">
        <v>386</v>
      </c>
    </row>
    <row r="352" spans="1:16" ht="18" customHeight="1">
      <c r="B352" s="156" t="s">
        <v>360</v>
      </c>
      <c r="C352" s="157"/>
      <c r="D352" s="250">
        <f>G26*4+G27*4+G28*4+G29*4+G30*4</f>
        <v>0</v>
      </c>
      <c r="E352" s="148"/>
      <c r="F352" s="148"/>
      <c r="G352" s="148">
        <v>2</v>
      </c>
      <c r="H352" s="154">
        <f>ROUND(D352*G352,2)</f>
        <v>0</v>
      </c>
      <c r="I352" s="247" t="s">
        <v>361</v>
      </c>
    </row>
    <row r="353" spans="1:22" ht="18" customHeight="1">
      <c r="B353" s="156" t="s">
        <v>249</v>
      </c>
      <c r="C353" s="157"/>
      <c r="D353" s="250"/>
      <c r="E353" s="148"/>
      <c r="F353" s="148"/>
      <c r="G353" s="148">
        <v>1.6</v>
      </c>
      <c r="H353" s="154"/>
      <c r="I353" s="247"/>
    </row>
    <row r="354" spans="1:22" ht="18" customHeight="1">
      <c r="B354" s="156" t="s">
        <v>250</v>
      </c>
      <c r="C354" s="157"/>
      <c r="D354" s="44">
        <f>C22+C31+C38+C48+C56+C64+C112+C119+C126+C133+C139+C199</f>
        <v>14.368000000000002</v>
      </c>
      <c r="E354" s="148"/>
      <c r="F354" s="148"/>
      <c r="G354" s="179">
        <v>4</v>
      </c>
      <c r="H354" s="154">
        <f t="shared" ref="H354:H356" si="57">ROUND(D354*G354,2)</f>
        <v>57.47</v>
      </c>
      <c r="I354" s="247"/>
    </row>
    <row r="355" spans="1:22" ht="18" customHeight="1">
      <c r="B355" s="156" t="s">
        <v>251</v>
      </c>
      <c r="C355" s="157" t="s">
        <v>252</v>
      </c>
      <c r="D355" s="44">
        <f>C88+C163</f>
        <v>2.8519999999999999</v>
      </c>
      <c r="E355" s="148"/>
      <c r="F355" s="148"/>
      <c r="G355" s="179">
        <v>3.15</v>
      </c>
      <c r="H355" s="154">
        <f t="shared" si="57"/>
        <v>8.98</v>
      </c>
      <c r="I355" s="247"/>
    </row>
    <row r="356" spans="1:22" ht="18" customHeight="1">
      <c r="B356" s="156" t="s">
        <v>253</v>
      </c>
      <c r="C356" s="157" t="s">
        <v>254</v>
      </c>
      <c r="D356" s="44">
        <f>C97+C104+C146+C153</f>
        <v>5.048</v>
      </c>
      <c r="E356" s="148"/>
      <c r="F356" s="148"/>
      <c r="G356" s="179">
        <v>3.65</v>
      </c>
      <c r="H356" s="154">
        <f t="shared" si="57"/>
        <v>18.43</v>
      </c>
      <c r="I356" s="247"/>
    </row>
    <row r="357" spans="1:22" ht="18" customHeight="1">
      <c r="B357" s="156" t="s">
        <v>387</v>
      </c>
      <c r="C357" s="157"/>
      <c r="D357" s="44">
        <f>F291+F292</f>
        <v>3</v>
      </c>
      <c r="E357" s="148"/>
      <c r="F357" s="148"/>
      <c r="G357" s="179">
        <v>6</v>
      </c>
      <c r="H357" s="154"/>
      <c r="I357" s="247"/>
    </row>
    <row r="358" spans="1:22" ht="18" customHeight="1">
      <c r="B358" s="156" t="s">
        <v>255</v>
      </c>
      <c r="C358" s="157"/>
      <c r="D358" s="180">
        <v>1</v>
      </c>
      <c r="E358" s="148"/>
      <c r="F358" s="148"/>
      <c r="G358" s="148">
        <v>70</v>
      </c>
      <c r="H358" s="154">
        <f>D358*G358</f>
        <v>70</v>
      </c>
      <c r="I358" s="247"/>
    </row>
    <row r="359" spans="1:22" ht="18" customHeight="1">
      <c r="B359" s="156" t="s">
        <v>858</v>
      </c>
      <c r="C359" s="157"/>
      <c r="D359" s="180">
        <f>D4/1000</f>
        <v>1.1000000000000001</v>
      </c>
      <c r="E359" s="148"/>
      <c r="F359" s="148"/>
      <c r="G359" s="148">
        <v>180</v>
      </c>
      <c r="H359" s="154">
        <f>D359*G359</f>
        <v>198.00000000000003</v>
      </c>
      <c r="I359" s="247"/>
    </row>
    <row r="360" spans="1:22" ht="18" customHeight="1">
      <c r="B360" s="156" t="s">
        <v>388</v>
      </c>
      <c r="C360" s="157"/>
      <c r="D360" s="250">
        <v>1</v>
      </c>
      <c r="E360" s="148"/>
      <c r="F360" s="148"/>
      <c r="G360" s="148">
        <v>9.6</v>
      </c>
      <c r="H360" s="154">
        <f>ROUND(D360*G360,2)</f>
        <v>9.6</v>
      </c>
      <c r="I360" s="247"/>
    </row>
    <row r="361" spans="1:22" ht="18" customHeight="1">
      <c r="B361" s="156" t="s">
        <v>901</v>
      </c>
      <c r="C361" s="157"/>
      <c r="D361" s="463">
        <f>(D4+E4)*2/1000</f>
        <v>5.6</v>
      </c>
      <c r="E361" s="148"/>
      <c r="F361" s="148"/>
      <c r="G361" s="148">
        <v>45</v>
      </c>
      <c r="H361" s="154">
        <f>ROUND(D361*G361,2)</f>
        <v>252</v>
      </c>
      <c r="I361" s="468"/>
    </row>
    <row r="362" spans="1:22" ht="18" customHeight="1">
      <c r="B362" s="181" t="s">
        <v>398</v>
      </c>
      <c r="C362" s="157"/>
      <c r="D362" s="182">
        <f>F366</f>
        <v>1.6789000000000001</v>
      </c>
      <c r="E362" s="148"/>
      <c r="F362" s="148"/>
      <c r="G362" s="148">
        <v>3</v>
      </c>
      <c r="H362" s="154">
        <f>D362*G362</f>
        <v>5.0366999999999997</v>
      </c>
      <c r="I362" s="247"/>
    </row>
    <row r="363" spans="1:22" ht="18" customHeight="1">
      <c r="B363" s="150" t="s">
        <v>256</v>
      </c>
      <c r="C363" s="50"/>
      <c r="D363" s="50"/>
      <c r="E363" s="50"/>
      <c r="F363" s="50"/>
      <c r="G363" s="166"/>
      <c r="H363" s="155">
        <f>SUM(H351:H362)</f>
        <v>639.6767000000001</v>
      </c>
      <c r="I363" s="183"/>
    </row>
    <row r="364" spans="1:22" ht="18" customHeight="1">
      <c r="B364" s="248" t="s">
        <v>257</v>
      </c>
      <c r="C364" s="185"/>
      <c r="D364" s="186"/>
      <c r="E364" s="185"/>
      <c r="F364" s="186"/>
      <c r="G364" s="186"/>
      <c r="H364" s="187">
        <f>SUM(H363,H350,H337,H322,H314,H308,H304)</f>
        <v>1272.6587439999998</v>
      </c>
      <c r="I364" s="188"/>
    </row>
    <row r="365" spans="1:22" ht="18" customHeight="1">
      <c r="A365" s="189"/>
      <c r="B365" s="190" t="s">
        <v>258</v>
      </c>
      <c r="C365" s="10" t="s">
        <v>14</v>
      </c>
      <c r="D365" s="10" t="s">
        <v>16</v>
      </c>
      <c r="E365" s="10" t="s">
        <v>17</v>
      </c>
      <c r="F365" s="10" t="s">
        <v>7</v>
      </c>
      <c r="G365" s="10" t="s">
        <v>5</v>
      </c>
      <c r="H365" s="10" t="s">
        <v>18</v>
      </c>
      <c r="I365" s="191" t="s">
        <v>259</v>
      </c>
      <c r="L365" s="192"/>
      <c r="M365" s="192"/>
    </row>
    <row r="366" spans="1:22" ht="18" customHeight="1">
      <c r="B366" s="48">
        <f>ROUND(I366/F366,2)</f>
        <v>1846</v>
      </c>
      <c r="C366" s="50" t="s">
        <v>299</v>
      </c>
      <c r="D366" s="50">
        <f>D5</f>
        <v>1030</v>
      </c>
      <c r="E366" s="50">
        <f>E5</f>
        <v>1630</v>
      </c>
      <c r="F366" s="49">
        <f>E366*D366/1000000</f>
        <v>1.6789000000000001</v>
      </c>
      <c r="G366" s="50">
        <f>G4</f>
        <v>1</v>
      </c>
      <c r="H366" s="49">
        <f>F366</f>
        <v>1.6789000000000001</v>
      </c>
      <c r="I366" s="193">
        <f>H364+H291+H292+I223+I12</f>
        <v>3099.2568917059998</v>
      </c>
      <c r="K366" s="192"/>
    </row>
    <row r="367" spans="1:22" ht="18" customHeight="1">
      <c r="B367" s="194" t="s">
        <v>258</v>
      </c>
      <c r="C367" s="195" t="s">
        <v>260</v>
      </c>
      <c r="D367" s="195" t="s">
        <v>261</v>
      </c>
      <c r="E367" s="195" t="s">
        <v>262</v>
      </c>
      <c r="F367" s="195" t="s">
        <v>263</v>
      </c>
      <c r="G367" s="195" t="s">
        <v>264</v>
      </c>
      <c r="H367" s="195" t="s">
        <v>265</v>
      </c>
      <c r="I367" s="196" t="s">
        <v>266</v>
      </c>
    </row>
    <row r="368" spans="1:22" ht="30" customHeight="1" thickBot="1">
      <c r="B368" s="197">
        <f>ROUND(I366/H366,2)</f>
        <v>1846</v>
      </c>
      <c r="C368" s="198">
        <f>E294+E296+E298+E300+E302+E303+E297+E299</f>
        <v>2</v>
      </c>
      <c r="D368" s="199"/>
      <c r="E368" s="199"/>
      <c r="F368" s="200"/>
      <c r="G368" s="200"/>
      <c r="H368" s="200"/>
      <c r="I368" s="201"/>
      <c r="O368" s="631" t="s">
        <v>603</v>
      </c>
      <c r="P368" s="631"/>
      <c r="Q368" s="631"/>
      <c r="R368" s="631"/>
      <c r="S368" s="631"/>
      <c r="T368" s="631"/>
      <c r="U368" s="631"/>
      <c r="V368" s="631"/>
    </row>
    <row r="369" spans="2:22" ht="20.100000000000001" customHeight="1">
      <c r="B369" s="42"/>
      <c r="L369" s="202"/>
      <c r="M369" s="202"/>
      <c r="N369" s="202"/>
      <c r="O369" s="634" t="s">
        <v>604</v>
      </c>
      <c r="P369" s="634"/>
      <c r="Q369" s="634"/>
      <c r="R369" s="634"/>
      <c r="S369" s="634"/>
      <c r="T369" s="634"/>
      <c r="U369" s="634"/>
      <c r="V369" s="634"/>
    </row>
    <row r="370" spans="2:22" ht="20.100000000000001" customHeight="1">
      <c r="B370" s="102" t="s">
        <v>862</v>
      </c>
      <c r="C370" s="203"/>
      <c r="D370" s="203" t="s">
        <v>267</v>
      </c>
      <c r="E370" s="203"/>
      <c r="J370" s="102"/>
      <c r="O370" s="285" t="s">
        <v>279</v>
      </c>
      <c r="P370" s="624" t="s">
        <v>633</v>
      </c>
      <c r="Q370" s="625"/>
      <c r="R370" s="312" t="str">
        <f ca="1">B4</f>
        <v>C1117</v>
      </c>
      <c r="S370" s="312"/>
      <c r="T370" s="313"/>
      <c r="U370" s="287" t="s">
        <v>605</v>
      </c>
      <c r="V370" s="288"/>
    </row>
    <row r="371" spans="2:22" ht="24.95" customHeight="1">
      <c r="B371" s="102">
        <f>ROUND(I366/F6,2)</f>
        <v>1875.61</v>
      </c>
      <c r="C371" s="203">
        <f>U392</f>
        <v>2136.19035290069</v>
      </c>
      <c r="D371" s="203">
        <f>E304</f>
        <v>2</v>
      </c>
      <c r="E371" s="203"/>
      <c r="J371" s="102"/>
      <c r="O371" s="635" t="s">
        <v>606</v>
      </c>
      <c r="P371" s="623" t="s">
        <v>626</v>
      </c>
      <c r="Q371" s="623"/>
      <c r="R371" s="623"/>
      <c r="S371" s="623"/>
      <c r="T371" s="637"/>
      <c r="U371" s="291" t="s">
        <v>607</v>
      </c>
      <c r="V371" s="292" t="s">
        <v>313</v>
      </c>
    </row>
    <row r="372" spans="2:22" ht="24.95" customHeight="1">
      <c r="L372" s="102"/>
      <c r="M372" s="102"/>
      <c r="N372" s="102"/>
      <c r="O372" s="636"/>
      <c r="P372" s="638"/>
      <c r="Q372" s="638"/>
      <c r="R372" s="638"/>
      <c r="S372" s="638"/>
      <c r="T372" s="638"/>
      <c r="U372" s="291" t="s">
        <v>268</v>
      </c>
      <c r="V372" s="293">
        <f>F4</f>
        <v>1.74</v>
      </c>
    </row>
    <row r="373" spans="2:22" ht="24.95" customHeight="1">
      <c r="J373" s="102"/>
      <c r="K373" s="102"/>
      <c r="L373" s="102"/>
      <c r="M373" s="102"/>
      <c r="N373" s="102"/>
      <c r="O373" s="311" t="s">
        <v>0</v>
      </c>
      <c r="P373" s="289" t="s">
        <v>608</v>
      </c>
      <c r="Q373" s="289" t="s">
        <v>627</v>
      </c>
      <c r="R373" s="289" t="s">
        <v>269</v>
      </c>
      <c r="S373" s="294" t="s">
        <v>8</v>
      </c>
      <c r="T373" s="295" t="s">
        <v>609</v>
      </c>
      <c r="U373" s="296" t="s">
        <v>270</v>
      </c>
      <c r="V373" s="295" t="s">
        <v>610</v>
      </c>
    </row>
    <row r="374" spans="2:22" ht="20.100000000000001" customHeight="1">
      <c r="J374" s="102"/>
      <c r="K374" s="102"/>
      <c r="L374" s="102"/>
      <c r="M374" s="102"/>
      <c r="N374" s="102"/>
      <c r="O374" s="297" t="s">
        <v>305</v>
      </c>
      <c r="P374" s="298" t="s">
        <v>611</v>
      </c>
      <c r="Q374" s="298"/>
      <c r="R374" s="286"/>
      <c r="S374" s="299"/>
      <c r="T374" s="300"/>
      <c r="U374" s="301">
        <f>SUM(U375:U383)</f>
        <v>2784.2760117060002</v>
      </c>
      <c r="V374" s="286"/>
    </row>
    <row r="375" spans="2:22" ht="20.100000000000001" customHeight="1">
      <c r="J375" s="102"/>
      <c r="K375" s="102"/>
      <c r="L375" s="102"/>
      <c r="M375" s="102"/>
      <c r="N375" s="102"/>
      <c r="O375" s="286">
        <v>1</v>
      </c>
      <c r="P375" s="302" t="s">
        <v>612</v>
      </c>
      <c r="Q375" s="307"/>
      <c r="R375" s="286" t="s">
        <v>271</v>
      </c>
      <c r="S375" s="303">
        <f>E223</f>
        <v>33.233747600000001</v>
      </c>
      <c r="T375" s="304">
        <f>I223/E223</f>
        <v>47.760733059969439</v>
      </c>
      <c r="U375" s="305">
        <f t="shared" ref="U375:U383" si="58">T375*S375</f>
        <v>1587.268147706</v>
      </c>
      <c r="V375" s="306"/>
    </row>
    <row r="376" spans="2:22" ht="20.100000000000001" customHeight="1">
      <c r="J376" s="102"/>
      <c r="K376" s="102"/>
      <c r="L376" s="102"/>
      <c r="M376" s="102"/>
      <c r="N376" s="102"/>
      <c r="O376" s="286">
        <v>2</v>
      </c>
      <c r="P376" s="290" t="s">
        <v>613</v>
      </c>
      <c r="Q376" s="307"/>
      <c r="R376" s="286" t="s">
        <v>276</v>
      </c>
      <c r="S376" s="303">
        <f>D358</f>
        <v>1</v>
      </c>
      <c r="T376" s="304">
        <f>G358</f>
        <v>70</v>
      </c>
      <c r="U376" s="305">
        <f t="shared" si="58"/>
        <v>70</v>
      </c>
      <c r="V376" s="306"/>
    </row>
    <row r="377" spans="2:22" ht="20.100000000000001" customHeight="1">
      <c r="J377" s="102"/>
      <c r="K377" s="102"/>
      <c r="L377" s="102"/>
      <c r="M377" s="102"/>
      <c r="N377" s="102"/>
      <c r="O377" s="286">
        <v>3</v>
      </c>
      <c r="P377" s="302" t="s">
        <v>614</v>
      </c>
      <c r="Q377" s="302"/>
      <c r="R377" s="286" t="s">
        <v>312</v>
      </c>
      <c r="S377" s="303">
        <f>D291+D292</f>
        <v>1.08344</v>
      </c>
      <c r="T377" s="304">
        <f>材料价格!B10</f>
        <v>148</v>
      </c>
      <c r="U377" s="305">
        <f t="shared" si="58"/>
        <v>160.34912</v>
      </c>
      <c r="V377" s="306"/>
    </row>
    <row r="378" spans="2:22" ht="20.100000000000001" customHeight="1">
      <c r="B378" s="630" t="s">
        <v>277</v>
      </c>
      <c r="C378" s="630"/>
      <c r="D378" s="630"/>
      <c r="E378" s="630"/>
      <c r="F378" s="630"/>
      <c r="G378" s="630"/>
      <c r="H378" s="630"/>
      <c r="I378" s="630"/>
      <c r="J378" s="102"/>
      <c r="K378" s="102"/>
      <c r="L378" s="102"/>
      <c r="M378" s="102"/>
      <c r="N378" s="102"/>
      <c r="O378" s="286">
        <v>4</v>
      </c>
      <c r="P378" s="302" t="s">
        <v>615</v>
      </c>
      <c r="Q378" s="306"/>
      <c r="R378" s="286" t="s">
        <v>278</v>
      </c>
      <c r="S378" s="303">
        <f>(H316+H317+H319+H320+H321)/F316</f>
        <v>5.4976525821596249</v>
      </c>
      <c r="T378" s="304">
        <f>材料价格!B25</f>
        <v>8.52</v>
      </c>
      <c r="U378" s="305">
        <f t="shared" si="58"/>
        <v>46.84</v>
      </c>
      <c r="V378" s="306"/>
    </row>
    <row r="379" spans="2:22" ht="20.100000000000001" customHeight="1">
      <c r="B379" s="204" t="s">
        <v>279</v>
      </c>
      <c r="C379" s="205" t="s">
        <v>280</v>
      </c>
      <c r="D379" s="205" t="s">
        <v>281</v>
      </c>
      <c r="E379" s="205" t="s">
        <v>282</v>
      </c>
      <c r="F379" s="205" t="s">
        <v>379</v>
      </c>
      <c r="G379" s="205"/>
      <c r="H379" s="205" t="s">
        <v>28</v>
      </c>
      <c r="I379" s="205" t="s">
        <v>259</v>
      </c>
      <c r="J379" s="102"/>
      <c r="K379" s="102"/>
      <c r="L379" s="102"/>
      <c r="M379" s="102"/>
      <c r="N379" s="102"/>
      <c r="O379" s="286">
        <v>5</v>
      </c>
      <c r="P379" s="306" t="s">
        <v>616</v>
      </c>
      <c r="Q379" s="302"/>
      <c r="R379" s="286" t="s">
        <v>628</v>
      </c>
      <c r="S379" s="303">
        <f>H337/21</f>
        <v>2.4467640000000004</v>
      </c>
      <c r="T379" s="304">
        <v>21</v>
      </c>
      <c r="U379" s="305">
        <f t="shared" si="58"/>
        <v>51.382044000000008</v>
      </c>
      <c r="V379" s="306"/>
    </row>
    <row r="380" spans="2:22" ht="20.100000000000001" customHeight="1">
      <c r="B380" s="206" t="s">
        <v>284</v>
      </c>
      <c r="C380" s="208" t="s">
        <v>384</v>
      </c>
      <c r="D380" s="207">
        <f>C22+C31+C38+C48+C56+C112+C119+C126+C133+C139+C177+C184+C191+C199</f>
        <v>15.388000000000002</v>
      </c>
      <c r="E380" s="207" t="s">
        <v>383</v>
      </c>
      <c r="F380" s="206"/>
      <c r="G380" s="206"/>
      <c r="H380" s="241">
        <v>2.4</v>
      </c>
      <c r="I380" s="207"/>
      <c r="J380" s="102"/>
      <c r="K380" s="102"/>
      <c r="L380" s="102"/>
      <c r="M380" s="102"/>
      <c r="N380" s="102"/>
      <c r="O380" s="286">
        <v>6</v>
      </c>
      <c r="P380" s="302" t="s">
        <v>319</v>
      </c>
      <c r="Q380" s="302"/>
      <c r="R380" s="286" t="s">
        <v>273</v>
      </c>
      <c r="S380" s="303">
        <f>E298</f>
        <v>2</v>
      </c>
      <c r="T380" s="304">
        <f>材料价格!B16</f>
        <v>88</v>
      </c>
      <c r="U380" s="305">
        <f t="shared" si="58"/>
        <v>176</v>
      </c>
      <c r="V380" s="306"/>
    </row>
    <row r="381" spans="2:22" ht="20.100000000000001" customHeight="1">
      <c r="B381" s="206" t="s">
        <v>286</v>
      </c>
      <c r="C381" s="206" t="s">
        <v>287</v>
      </c>
      <c r="D381" s="209">
        <f>(J22+J31+J38+J48+J112+J119+J126)*4+(J56+J133)*2</f>
        <v>18</v>
      </c>
      <c r="E381" s="207" t="s">
        <v>285</v>
      </c>
      <c r="F381" s="206"/>
      <c r="G381" s="206"/>
      <c r="H381" s="241">
        <v>0.5</v>
      </c>
      <c r="I381" s="207">
        <f>H381*D381</f>
        <v>9</v>
      </c>
      <c r="J381" s="102"/>
      <c r="K381" s="102"/>
      <c r="L381" s="102"/>
      <c r="M381" s="102"/>
      <c r="N381" s="102"/>
      <c r="O381" s="286">
        <v>7</v>
      </c>
      <c r="P381" s="302" t="s">
        <v>295</v>
      </c>
      <c r="Q381" s="302"/>
      <c r="R381" s="286" t="s">
        <v>273</v>
      </c>
      <c r="S381" s="303"/>
      <c r="T381" s="304">
        <f>材料价格!B19</f>
        <v>230</v>
      </c>
      <c r="U381" s="305">
        <f t="shared" si="58"/>
        <v>0</v>
      </c>
      <c r="V381" s="306"/>
    </row>
    <row r="382" spans="2:22" ht="20.100000000000001" customHeight="1">
      <c r="B382" s="206" t="s">
        <v>289</v>
      </c>
      <c r="C382" s="206"/>
      <c r="D382" s="210">
        <f>ROUND((C22+C56*2+C64*2+C112+C133*2+C139*2)/0.3,0)+2</f>
        <v>33</v>
      </c>
      <c r="E382" s="207" t="s">
        <v>285</v>
      </c>
      <c r="F382" s="206"/>
      <c r="G382" s="206"/>
      <c r="H382" s="241">
        <v>0.3</v>
      </c>
      <c r="I382" s="207">
        <f t="shared" ref="I382:I387" si="59">H382*D382</f>
        <v>9.9</v>
      </c>
      <c r="J382" s="102"/>
      <c r="K382" s="102"/>
      <c r="L382" s="102"/>
      <c r="M382" s="102"/>
      <c r="N382" s="102"/>
      <c r="O382" s="286">
        <v>8</v>
      </c>
      <c r="P382" s="302" t="s">
        <v>296</v>
      </c>
      <c r="Q382" s="302"/>
      <c r="R382" s="286" t="s">
        <v>273</v>
      </c>
      <c r="S382" s="303">
        <f>E303</f>
        <v>0</v>
      </c>
      <c r="T382" s="304">
        <f>材料价格!B20</f>
        <v>335</v>
      </c>
      <c r="U382" s="305">
        <f t="shared" si="58"/>
        <v>0</v>
      </c>
      <c r="V382" s="306"/>
    </row>
    <row r="383" spans="2:22" ht="20.100000000000001" customHeight="1">
      <c r="B383" s="206" t="s">
        <v>381</v>
      </c>
      <c r="C383" s="206" t="s">
        <v>389</v>
      </c>
      <c r="D383" s="211">
        <f>C22+C31+C38+C56*2+C64*2+C112+C119+C126+C133*2</f>
        <v>15.392000000000001</v>
      </c>
      <c r="E383" s="207" t="s">
        <v>285</v>
      </c>
      <c r="F383" s="206" t="s">
        <v>380</v>
      </c>
      <c r="G383" s="206"/>
      <c r="H383" s="241">
        <v>2.81</v>
      </c>
      <c r="I383" s="207">
        <f>H383*D383</f>
        <v>43.251520000000006</v>
      </c>
      <c r="J383" s="102"/>
      <c r="K383" s="102"/>
      <c r="L383" s="102"/>
      <c r="M383" s="102"/>
      <c r="N383" s="102"/>
      <c r="O383" s="286">
        <v>9</v>
      </c>
      <c r="P383" s="302" t="s">
        <v>617</v>
      </c>
      <c r="Q383" s="302"/>
      <c r="R383" s="286" t="s">
        <v>618</v>
      </c>
      <c r="S383" s="296">
        <v>1</v>
      </c>
      <c r="T383" s="304">
        <f>H363-H358+H350+H318+H315+H314</f>
        <v>692.43670000000009</v>
      </c>
      <c r="U383" s="305">
        <f t="shared" si="58"/>
        <v>692.43670000000009</v>
      </c>
      <c r="V383" s="306"/>
    </row>
    <row r="384" spans="2:22" ht="20.100000000000001" customHeight="1">
      <c r="B384" s="206" t="s">
        <v>390</v>
      </c>
      <c r="C384" s="206" t="s">
        <v>392</v>
      </c>
      <c r="D384" s="211">
        <f>C22+C88+C112+C163</f>
        <v>10.172000000000001</v>
      </c>
      <c r="E384" s="207" t="s">
        <v>285</v>
      </c>
      <c r="F384" s="206" t="s">
        <v>394</v>
      </c>
      <c r="G384" s="206"/>
      <c r="H384" s="241">
        <v>3.27</v>
      </c>
      <c r="I384" s="207">
        <f t="shared" ref="I384" si="60">H384*D384</f>
        <v>33.262440000000005</v>
      </c>
      <c r="J384" s="102"/>
      <c r="K384" s="102"/>
      <c r="L384" s="102"/>
      <c r="M384" s="102"/>
      <c r="N384" s="102"/>
      <c r="O384" s="297" t="s">
        <v>306</v>
      </c>
      <c r="P384" s="308" t="s">
        <v>314</v>
      </c>
      <c r="Q384" s="298"/>
      <c r="R384" s="286"/>
      <c r="S384" s="296"/>
      <c r="T384" s="309"/>
      <c r="U384" s="301">
        <f>SUM(U385:U386)</f>
        <v>278.39999999999998</v>
      </c>
      <c r="V384" s="286"/>
    </row>
    <row r="385" spans="2:22" ht="20.100000000000001" customHeight="1">
      <c r="B385" s="206" t="s">
        <v>391</v>
      </c>
      <c r="C385" s="206" t="s">
        <v>393</v>
      </c>
      <c r="D385" s="211">
        <f>(C97+C104+C119+C126)*2</f>
        <v>10.096</v>
      </c>
      <c r="E385" s="207" t="s">
        <v>285</v>
      </c>
      <c r="F385" s="206" t="s">
        <v>395</v>
      </c>
      <c r="G385" s="206"/>
      <c r="H385" s="241">
        <v>1.74</v>
      </c>
      <c r="I385" s="207">
        <f t="shared" si="59"/>
        <v>17.567039999999999</v>
      </c>
      <c r="J385" s="102"/>
      <c r="K385" s="102"/>
      <c r="L385" s="102"/>
      <c r="M385" s="102"/>
      <c r="N385" s="102"/>
      <c r="O385" s="286">
        <v>1</v>
      </c>
      <c r="P385" s="307" t="s">
        <v>619</v>
      </c>
      <c r="Q385" s="307"/>
      <c r="R385" s="300" t="s">
        <v>312</v>
      </c>
      <c r="S385" s="296">
        <f>V372</f>
        <v>1.74</v>
      </c>
      <c r="T385" s="310">
        <v>60</v>
      </c>
      <c r="U385" s="305">
        <f>T385*S385</f>
        <v>104.4</v>
      </c>
      <c r="V385" s="286"/>
    </row>
    <row r="386" spans="2:22" ht="20.100000000000001" customHeight="1">
      <c r="B386" s="208" t="s">
        <v>382</v>
      </c>
      <c r="C386" s="206" t="s">
        <v>291</v>
      </c>
      <c r="D386" s="211">
        <f>D338+D339+D341</f>
        <v>10</v>
      </c>
      <c r="E386" s="207" t="s">
        <v>285</v>
      </c>
      <c r="F386" s="206"/>
      <c r="G386" s="206"/>
      <c r="H386" s="241">
        <v>0.56999999999999995</v>
      </c>
      <c r="I386" s="207">
        <f>H386*D386</f>
        <v>5.6999999999999993</v>
      </c>
      <c r="J386" s="102"/>
      <c r="K386" s="102"/>
      <c r="L386" s="102"/>
      <c r="M386" s="102"/>
      <c r="N386" s="102"/>
      <c r="O386" s="286">
        <v>2</v>
      </c>
      <c r="P386" s="307" t="s">
        <v>288</v>
      </c>
      <c r="Q386" s="307"/>
      <c r="R386" s="300" t="s">
        <v>312</v>
      </c>
      <c r="S386" s="296">
        <f>V372</f>
        <v>1.74</v>
      </c>
      <c r="T386" s="310">
        <v>100</v>
      </c>
      <c r="U386" s="305">
        <f>T386*S386</f>
        <v>174</v>
      </c>
      <c r="V386" s="286"/>
    </row>
    <row r="387" spans="2:22" ht="20.100000000000001" customHeight="1">
      <c r="B387" s="206" t="s">
        <v>292</v>
      </c>
      <c r="C387" s="206"/>
      <c r="D387" s="211">
        <f>H366</f>
        <v>1.6789000000000001</v>
      </c>
      <c r="E387" s="207" t="s">
        <v>285</v>
      </c>
      <c r="F387" s="206"/>
      <c r="G387" s="206"/>
      <c r="H387" s="241">
        <v>20</v>
      </c>
      <c r="I387" s="207">
        <f t="shared" si="59"/>
        <v>33.578000000000003</v>
      </c>
      <c r="J387" s="102"/>
      <c r="K387" s="102"/>
      <c r="L387" s="102"/>
      <c r="M387" s="102"/>
      <c r="N387" s="102"/>
      <c r="O387" s="297" t="s">
        <v>307</v>
      </c>
      <c r="P387" s="308" t="s">
        <v>290</v>
      </c>
      <c r="Q387" s="298"/>
      <c r="R387" s="286"/>
      <c r="S387" s="296"/>
      <c r="T387" s="309"/>
      <c r="U387" s="301">
        <f>SUM(U388)</f>
        <v>34.799999999999997</v>
      </c>
      <c r="V387" s="286"/>
    </row>
    <row r="388" spans="2:22" ht="20.100000000000001" customHeight="1">
      <c r="B388" s="212" t="s">
        <v>4</v>
      </c>
      <c r="C388" s="213"/>
      <c r="D388" s="212"/>
      <c r="E388" s="212"/>
      <c r="F388" s="212"/>
      <c r="G388" s="212"/>
      <c r="H388" s="212"/>
      <c r="I388" s="213">
        <f>SUM(I380:I387)</f>
        <v>152.25900000000001</v>
      </c>
      <c r="J388" s="242"/>
      <c r="K388" s="102"/>
      <c r="L388" s="102"/>
      <c r="M388" s="102"/>
      <c r="N388" s="102"/>
      <c r="O388" s="286">
        <v>1</v>
      </c>
      <c r="P388" s="307" t="s">
        <v>290</v>
      </c>
      <c r="Q388" s="307"/>
      <c r="R388" s="300" t="s">
        <v>312</v>
      </c>
      <c r="S388" s="296">
        <f>V372</f>
        <v>1.74</v>
      </c>
      <c r="T388" s="310">
        <v>20</v>
      </c>
      <c r="U388" s="305">
        <f>T388*S388</f>
        <v>34.799999999999997</v>
      </c>
      <c r="V388" s="286"/>
    </row>
    <row r="389" spans="2:22" ht="20.100000000000001" customHeight="1">
      <c r="J389" s="102"/>
      <c r="K389" s="102"/>
      <c r="L389" s="102"/>
      <c r="M389" s="102"/>
      <c r="N389" s="102"/>
      <c r="O389" s="286" t="s">
        <v>308</v>
      </c>
      <c r="P389" s="618" t="s">
        <v>620</v>
      </c>
      <c r="Q389" s="619"/>
      <c r="R389" s="620"/>
      <c r="S389" s="621"/>
      <c r="T389" s="622"/>
      <c r="U389" s="301">
        <f>U374+U384+U387</f>
        <v>3097.4760117060005</v>
      </c>
      <c r="V389" s="286"/>
    </row>
    <row r="390" spans="2:22" ht="20.100000000000001" customHeight="1">
      <c r="J390" s="102"/>
      <c r="K390" s="102"/>
      <c r="L390" s="102"/>
      <c r="M390" s="102"/>
      <c r="N390" s="102"/>
      <c r="O390" s="286" t="s">
        <v>309</v>
      </c>
      <c r="P390" s="618" t="s">
        <v>621</v>
      </c>
      <c r="Q390" s="619"/>
      <c r="R390" s="626">
        <v>0.2</v>
      </c>
      <c r="S390" s="627"/>
      <c r="T390" s="628"/>
      <c r="U390" s="301">
        <f>U389*R390</f>
        <v>619.49520234120018</v>
      </c>
      <c r="V390" s="286"/>
    </row>
    <row r="391" spans="2:22" ht="20.100000000000001" customHeight="1">
      <c r="J391" s="102"/>
      <c r="K391" s="102"/>
      <c r="L391" s="102"/>
      <c r="M391" s="102"/>
      <c r="N391" s="102"/>
      <c r="O391" s="286" t="s">
        <v>310</v>
      </c>
      <c r="P391" s="618" t="s">
        <v>622</v>
      </c>
      <c r="Q391" s="619"/>
      <c r="R391" s="620"/>
      <c r="S391" s="621"/>
      <c r="T391" s="622"/>
      <c r="U391" s="301">
        <f>U389+U390</f>
        <v>3716.9712140472006</v>
      </c>
      <c r="V391" s="286"/>
    </row>
    <row r="392" spans="2:22" ht="30" customHeight="1">
      <c r="L392" s="102"/>
      <c r="M392" s="102"/>
      <c r="N392" s="102"/>
      <c r="O392" s="297" t="s">
        <v>311</v>
      </c>
      <c r="P392" s="618" t="s">
        <v>623</v>
      </c>
      <c r="Q392" s="619"/>
      <c r="R392" s="620"/>
      <c r="S392" s="621"/>
      <c r="T392" s="622"/>
      <c r="U392" s="301">
        <f>U391/V372</f>
        <v>2136.19035290069</v>
      </c>
      <c r="V392" s="286" t="s">
        <v>624</v>
      </c>
    </row>
    <row r="393" spans="2:22" ht="45" customHeight="1">
      <c r="L393" s="102"/>
      <c r="M393" s="102"/>
      <c r="N393" s="102"/>
      <c r="O393" s="623" t="s">
        <v>625</v>
      </c>
      <c r="P393" s="623"/>
      <c r="Q393" s="623"/>
      <c r="R393" s="623"/>
      <c r="S393" s="623"/>
      <c r="T393" s="623"/>
      <c r="U393" s="623"/>
      <c r="V393" s="623"/>
    </row>
    <row r="394" spans="2:22" ht="18" customHeight="1">
      <c r="L394" s="102"/>
      <c r="M394" s="102"/>
      <c r="N394" s="102"/>
      <c r="O394" s="102"/>
      <c r="P394" s="102"/>
    </row>
    <row r="395" spans="2:22">
      <c r="L395" s="102"/>
      <c r="M395" s="102"/>
      <c r="N395" s="102"/>
      <c r="O395" s="102"/>
      <c r="P395" s="102"/>
    </row>
    <row r="396" spans="2:22">
      <c r="L396" s="102"/>
      <c r="M396" s="102"/>
      <c r="N396" s="102"/>
      <c r="O396" s="102"/>
      <c r="P396" s="102"/>
    </row>
    <row r="397" spans="2:22">
      <c r="L397" s="102"/>
      <c r="M397" s="102"/>
      <c r="N397" s="102"/>
      <c r="O397" s="102"/>
      <c r="P397" s="102"/>
    </row>
    <row r="398" spans="2:22">
      <c r="L398" s="102"/>
      <c r="M398" s="102"/>
      <c r="N398" s="102"/>
      <c r="O398" s="102"/>
      <c r="P398" s="102"/>
    </row>
    <row r="399" spans="2:22">
      <c r="L399" s="102"/>
      <c r="M399" s="102"/>
      <c r="N399" s="102"/>
      <c r="O399" s="102"/>
      <c r="P399" s="102"/>
    </row>
    <row r="400" spans="2:22">
      <c r="L400" s="102"/>
      <c r="M400" s="102"/>
      <c r="N400" s="102"/>
      <c r="O400" s="102"/>
      <c r="P400" s="102"/>
    </row>
    <row r="401" spans="12:16">
      <c r="L401" s="102"/>
      <c r="M401" s="102"/>
      <c r="N401" s="102"/>
      <c r="O401" s="102"/>
      <c r="P401" s="102"/>
    </row>
    <row r="402" spans="12:16">
      <c r="L402" s="102"/>
      <c r="M402" s="102"/>
      <c r="N402" s="102"/>
      <c r="O402" s="102"/>
      <c r="P402" s="102"/>
    </row>
    <row r="403" spans="12:16">
      <c r="L403" s="102"/>
      <c r="M403" s="102"/>
      <c r="N403" s="102"/>
      <c r="O403" s="102"/>
      <c r="P403" s="102"/>
    </row>
    <row r="404" spans="12:16">
      <c r="L404" s="102"/>
      <c r="M404" s="102"/>
      <c r="N404" s="102"/>
      <c r="O404" s="102"/>
      <c r="P404" s="102"/>
    </row>
    <row r="405" spans="12:16">
      <c r="L405" s="102"/>
      <c r="M405" s="102"/>
      <c r="N405" s="102"/>
      <c r="O405" s="102"/>
      <c r="P405" s="102"/>
    </row>
    <row r="406" spans="12:16">
      <c r="L406" s="102"/>
      <c r="M406" s="102"/>
      <c r="N406" s="102"/>
      <c r="O406" s="102"/>
      <c r="P406" s="102"/>
    </row>
    <row r="407" spans="12:16">
      <c r="L407" s="102"/>
      <c r="M407" s="102"/>
      <c r="N407" s="102"/>
      <c r="O407" s="102"/>
      <c r="P407" s="102"/>
    </row>
    <row r="408" spans="12:16">
      <c r="L408" s="102"/>
      <c r="M408" s="102"/>
      <c r="N408" s="102"/>
      <c r="O408" s="102"/>
      <c r="P408" s="102"/>
    </row>
    <row r="409" spans="12:16">
      <c r="L409" s="102"/>
      <c r="M409" s="102"/>
      <c r="N409" s="102"/>
      <c r="O409" s="102"/>
      <c r="P409" s="102"/>
    </row>
    <row r="410" spans="12:16">
      <c r="L410" s="102"/>
      <c r="M410" s="102"/>
      <c r="N410" s="102"/>
      <c r="O410" s="102"/>
      <c r="P410" s="102"/>
    </row>
    <row r="411" spans="12:16">
      <c r="L411" s="102"/>
      <c r="M411" s="102"/>
      <c r="N411" s="102"/>
      <c r="O411" s="102"/>
      <c r="P411" s="102"/>
    </row>
    <row r="412" spans="12:16">
      <c r="L412" s="102"/>
      <c r="M412" s="102"/>
      <c r="N412" s="102"/>
      <c r="O412" s="102"/>
      <c r="P412" s="102"/>
    </row>
    <row r="413" spans="12:16">
      <c r="L413" s="102"/>
      <c r="M413" s="102"/>
      <c r="N413" s="102"/>
      <c r="O413" s="102"/>
      <c r="P413" s="102"/>
    </row>
    <row r="414" spans="12:16">
      <c r="L414" s="102"/>
      <c r="M414" s="102"/>
      <c r="N414" s="102"/>
      <c r="O414" s="102"/>
      <c r="P414" s="102"/>
    </row>
    <row r="415" spans="12:16">
      <c r="L415" s="102"/>
      <c r="M415" s="102"/>
      <c r="N415" s="102"/>
      <c r="O415" s="102"/>
      <c r="P415" s="102"/>
    </row>
    <row r="416" spans="12:16">
      <c r="L416" s="102"/>
      <c r="M416" s="102"/>
      <c r="N416" s="102"/>
      <c r="O416" s="102"/>
      <c r="P416" s="102"/>
    </row>
    <row r="417" spans="10:16">
      <c r="L417" s="102"/>
      <c r="M417" s="102"/>
      <c r="N417" s="102"/>
      <c r="O417" s="102"/>
      <c r="P417" s="102"/>
    </row>
    <row r="418" spans="10:16">
      <c r="L418" s="102"/>
      <c r="M418" s="102"/>
      <c r="N418" s="102"/>
      <c r="O418" s="102"/>
      <c r="P418" s="102"/>
    </row>
    <row r="419" spans="10:16">
      <c r="L419" s="102"/>
      <c r="M419" s="102"/>
      <c r="N419" s="102"/>
      <c r="O419" s="102"/>
      <c r="P419" s="102"/>
    </row>
    <row r="420" spans="10:16">
      <c r="L420" s="102"/>
      <c r="M420" s="102"/>
      <c r="N420" s="102"/>
      <c r="O420" s="102"/>
      <c r="P420" s="102"/>
    </row>
    <row r="421" spans="10:16">
      <c r="L421" s="102"/>
      <c r="M421" s="102"/>
      <c r="N421" s="102"/>
      <c r="O421" s="102"/>
      <c r="P421" s="102"/>
    </row>
    <row r="422" spans="10:16">
      <c r="L422" s="102"/>
      <c r="M422" s="102"/>
      <c r="N422" s="102"/>
      <c r="O422" s="102"/>
      <c r="P422" s="102"/>
    </row>
    <row r="423" spans="10:16">
      <c r="L423" s="102"/>
      <c r="M423" s="102"/>
      <c r="N423" s="102"/>
      <c r="O423" s="102"/>
      <c r="P423" s="102"/>
    </row>
    <row r="424" spans="10:16">
      <c r="L424" s="102"/>
      <c r="M424" s="102"/>
      <c r="N424" s="102"/>
      <c r="O424" s="102"/>
      <c r="P424" s="102"/>
    </row>
    <row r="425" spans="10:16">
      <c r="L425" s="102"/>
      <c r="M425" s="102"/>
      <c r="N425" s="102"/>
      <c r="O425" s="102"/>
      <c r="P425" s="102"/>
    </row>
    <row r="426" spans="10:16">
      <c r="L426" s="102"/>
      <c r="M426" s="102"/>
      <c r="N426" s="102"/>
      <c r="O426" s="102"/>
      <c r="P426" s="102"/>
    </row>
    <row r="427" spans="10:16">
      <c r="J427" s="102"/>
      <c r="K427" s="102"/>
      <c r="L427" s="102"/>
      <c r="M427" s="102"/>
      <c r="N427" s="102"/>
      <c r="O427" s="102"/>
      <c r="P427" s="102"/>
    </row>
    <row r="428" spans="10:16">
      <c r="J428" s="102"/>
      <c r="K428" s="102"/>
      <c r="L428" s="102"/>
      <c r="M428" s="102"/>
      <c r="N428" s="102"/>
      <c r="O428" s="102"/>
      <c r="P428" s="102"/>
    </row>
    <row r="429" spans="10:16">
      <c r="J429" s="102"/>
      <c r="K429" s="102"/>
      <c r="L429" s="102"/>
      <c r="M429" s="102"/>
      <c r="N429" s="102"/>
      <c r="O429" s="102"/>
      <c r="P429" s="102"/>
    </row>
    <row r="430" spans="10:16">
      <c r="J430" s="102"/>
      <c r="K430" s="102"/>
      <c r="L430" s="102"/>
      <c r="M430" s="102"/>
      <c r="N430" s="102"/>
      <c r="O430" s="102"/>
      <c r="P430" s="102"/>
    </row>
    <row r="431" spans="10:16">
      <c r="J431" s="102"/>
      <c r="K431" s="102"/>
      <c r="L431" s="102"/>
      <c r="M431" s="102"/>
      <c r="N431" s="102"/>
      <c r="O431" s="102"/>
      <c r="P431" s="102"/>
    </row>
    <row r="432" spans="10:16">
      <c r="J432" s="102"/>
      <c r="K432" s="102"/>
      <c r="L432" s="102"/>
      <c r="M432" s="102"/>
      <c r="N432" s="102"/>
      <c r="O432" s="102"/>
      <c r="P432" s="102"/>
    </row>
    <row r="433" spans="10:16">
      <c r="J433" s="102"/>
      <c r="K433" s="102"/>
      <c r="L433" s="102"/>
      <c r="M433" s="102"/>
      <c r="N433" s="102"/>
      <c r="O433" s="102"/>
      <c r="P433" s="102"/>
    </row>
    <row r="434" spans="10:16">
      <c r="J434" s="102"/>
      <c r="K434" s="102"/>
      <c r="L434" s="102"/>
      <c r="M434" s="102"/>
      <c r="N434" s="102"/>
      <c r="O434" s="102"/>
      <c r="P434" s="102"/>
    </row>
    <row r="435" spans="10:16">
      <c r="J435" s="102"/>
      <c r="K435" s="102"/>
      <c r="L435" s="102"/>
      <c r="M435" s="102"/>
      <c r="N435" s="102"/>
      <c r="O435" s="102"/>
      <c r="P435" s="102"/>
    </row>
    <row r="436" spans="10:16">
      <c r="J436" s="102"/>
      <c r="K436" s="102"/>
      <c r="L436" s="102"/>
      <c r="M436" s="102"/>
      <c r="N436" s="102"/>
      <c r="O436" s="102"/>
      <c r="P436" s="102"/>
    </row>
    <row r="437" spans="10:16">
      <c r="J437" s="102"/>
      <c r="K437" s="102"/>
      <c r="L437" s="102"/>
      <c r="M437" s="102"/>
      <c r="N437" s="102"/>
      <c r="O437" s="102"/>
      <c r="P437" s="102"/>
    </row>
    <row r="438" spans="10:16">
      <c r="J438" s="102"/>
      <c r="K438" s="102"/>
      <c r="L438" s="102"/>
      <c r="M438" s="102"/>
      <c r="N438" s="102"/>
      <c r="O438" s="102"/>
      <c r="P438" s="102"/>
    </row>
    <row r="439" spans="10:16">
      <c r="J439" s="102"/>
      <c r="K439" s="102"/>
      <c r="L439" s="102"/>
      <c r="M439" s="102"/>
      <c r="N439" s="102"/>
      <c r="O439" s="102"/>
      <c r="P439" s="102"/>
    </row>
    <row r="440" spans="10:16">
      <c r="J440" s="102"/>
      <c r="K440" s="102"/>
      <c r="L440" s="102"/>
      <c r="M440" s="102"/>
      <c r="N440" s="102"/>
      <c r="O440" s="102"/>
      <c r="P440" s="102"/>
    </row>
    <row r="441" spans="10:16">
      <c r="J441" s="102"/>
      <c r="K441" s="102"/>
      <c r="L441" s="102"/>
      <c r="M441" s="102"/>
      <c r="N441" s="102"/>
      <c r="O441" s="102"/>
      <c r="P441" s="102"/>
    </row>
    <row r="442" spans="10:16">
      <c r="J442" s="102"/>
      <c r="K442" s="102"/>
      <c r="L442" s="102"/>
      <c r="M442" s="102"/>
      <c r="N442" s="102"/>
      <c r="O442" s="102"/>
      <c r="P442" s="102"/>
    </row>
    <row r="443" spans="10:16">
      <c r="J443" s="102"/>
      <c r="K443" s="102"/>
      <c r="L443" s="102"/>
      <c r="M443" s="102"/>
      <c r="N443" s="102"/>
      <c r="O443" s="102"/>
      <c r="P443" s="102"/>
    </row>
    <row r="444" spans="10:16">
      <c r="J444" s="102"/>
      <c r="K444" s="102"/>
      <c r="L444" s="102"/>
      <c r="M444" s="102"/>
      <c r="N444" s="102"/>
      <c r="O444" s="102"/>
      <c r="P444" s="102"/>
    </row>
    <row r="445" spans="10:16">
      <c r="J445" s="102"/>
      <c r="K445" s="102"/>
      <c r="L445" s="102"/>
      <c r="M445" s="102"/>
      <c r="N445" s="102"/>
      <c r="O445" s="102"/>
      <c r="P445" s="102"/>
    </row>
    <row r="446" spans="10:16">
      <c r="J446" s="102"/>
      <c r="K446" s="102"/>
      <c r="L446" s="102"/>
      <c r="M446" s="102"/>
      <c r="N446" s="102"/>
      <c r="O446" s="102"/>
      <c r="P446" s="102"/>
    </row>
    <row r="447" spans="10:16">
      <c r="J447" s="102"/>
      <c r="K447" s="102"/>
      <c r="L447" s="102"/>
      <c r="M447" s="102"/>
      <c r="N447" s="102"/>
      <c r="O447" s="102"/>
      <c r="P447" s="102"/>
    </row>
    <row r="448" spans="10:16">
      <c r="J448" s="102"/>
      <c r="K448" s="102"/>
      <c r="L448" s="102"/>
      <c r="M448" s="102"/>
      <c r="N448" s="102"/>
      <c r="O448" s="102"/>
      <c r="P448" s="102"/>
    </row>
    <row r="449" spans="10:16">
      <c r="J449" s="102"/>
      <c r="K449" s="102"/>
      <c r="L449" s="102"/>
      <c r="M449" s="102"/>
      <c r="N449" s="102"/>
      <c r="O449" s="102"/>
      <c r="P449" s="102"/>
    </row>
    <row r="450" spans="10:16">
      <c r="J450" s="102"/>
      <c r="K450" s="102"/>
      <c r="L450" s="102"/>
      <c r="M450" s="102"/>
      <c r="N450" s="102"/>
      <c r="O450" s="102"/>
      <c r="P450" s="102"/>
    </row>
    <row r="451" spans="10:16">
      <c r="J451" s="102"/>
      <c r="K451" s="102"/>
      <c r="L451" s="102"/>
      <c r="M451" s="102"/>
      <c r="N451" s="102"/>
      <c r="O451" s="102"/>
      <c r="P451" s="102"/>
    </row>
    <row r="452" spans="10:16">
      <c r="J452" s="102"/>
      <c r="K452" s="102"/>
      <c r="L452" s="102"/>
      <c r="M452" s="102"/>
      <c r="N452" s="102"/>
      <c r="O452" s="102"/>
      <c r="P452" s="102"/>
    </row>
    <row r="453" spans="10:16">
      <c r="J453" s="102"/>
      <c r="K453" s="102"/>
      <c r="L453" s="102"/>
      <c r="M453" s="102"/>
      <c r="N453" s="102"/>
      <c r="O453" s="102"/>
      <c r="P453" s="102"/>
    </row>
    <row r="454" spans="10:16">
      <c r="J454" s="102"/>
      <c r="K454" s="102"/>
      <c r="L454" s="102"/>
      <c r="M454" s="102"/>
      <c r="N454" s="102"/>
      <c r="O454" s="102"/>
      <c r="P454" s="102"/>
    </row>
    <row r="455" spans="10:16">
      <c r="J455" s="102"/>
      <c r="K455" s="102"/>
      <c r="L455" s="102"/>
      <c r="M455" s="102"/>
      <c r="N455" s="102"/>
      <c r="O455" s="102"/>
      <c r="P455" s="102"/>
    </row>
    <row r="456" spans="10:16">
      <c r="J456" s="102"/>
      <c r="K456" s="102"/>
      <c r="L456" s="102"/>
      <c r="M456" s="102"/>
      <c r="N456" s="102"/>
      <c r="O456" s="102"/>
      <c r="P456" s="102"/>
    </row>
    <row r="457" spans="10:16">
      <c r="J457" s="102"/>
      <c r="K457" s="102"/>
      <c r="L457" s="102"/>
      <c r="M457" s="102"/>
      <c r="N457" s="102"/>
      <c r="O457" s="102"/>
      <c r="P457" s="102"/>
    </row>
    <row r="458" spans="10:16">
      <c r="J458" s="102"/>
      <c r="K458" s="102"/>
      <c r="L458" s="102"/>
      <c r="M458" s="102"/>
      <c r="N458" s="102"/>
      <c r="O458" s="102"/>
      <c r="P458" s="102"/>
    </row>
    <row r="459" spans="10:16">
      <c r="J459" s="102"/>
      <c r="K459" s="102"/>
      <c r="L459" s="102"/>
      <c r="M459" s="102"/>
      <c r="N459" s="102"/>
      <c r="O459" s="102"/>
      <c r="P459" s="102"/>
    </row>
    <row r="460" spans="10:16">
      <c r="J460" s="102"/>
      <c r="K460" s="102"/>
      <c r="L460" s="102"/>
      <c r="M460" s="102"/>
      <c r="N460" s="102"/>
      <c r="O460" s="102"/>
      <c r="P460" s="102"/>
    </row>
    <row r="461" spans="10:16">
      <c r="J461" s="102"/>
      <c r="K461" s="102"/>
      <c r="L461" s="102"/>
      <c r="M461" s="102"/>
      <c r="N461" s="102"/>
      <c r="O461" s="102"/>
      <c r="P461" s="102"/>
    </row>
    <row r="462" spans="10:16">
      <c r="J462" s="102"/>
      <c r="K462" s="102"/>
      <c r="L462" s="102"/>
      <c r="M462" s="102"/>
      <c r="N462" s="102"/>
      <c r="O462" s="102"/>
      <c r="P462" s="102"/>
    </row>
    <row r="463" spans="10:16">
      <c r="J463" s="102"/>
      <c r="K463" s="102"/>
      <c r="L463" s="102"/>
      <c r="M463" s="102"/>
      <c r="N463" s="102"/>
      <c r="O463" s="102"/>
      <c r="P463" s="102"/>
    </row>
    <row r="464" spans="10:16">
      <c r="J464" s="102"/>
      <c r="K464" s="102"/>
      <c r="L464" s="102"/>
      <c r="M464" s="102"/>
      <c r="N464" s="102"/>
      <c r="O464" s="102"/>
      <c r="P464" s="102"/>
    </row>
  </sheetData>
  <mergeCells count="95">
    <mergeCell ref="F2:H2"/>
    <mergeCell ref="I2:I6"/>
    <mergeCell ref="J2:M2"/>
    <mergeCell ref="B4:B6"/>
    <mergeCell ref="B14:B21"/>
    <mergeCell ref="C14:C21"/>
    <mergeCell ref="B26:B30"/>
    <mergeCell ref="C26:C30"/>
    <mergeCell ref="B35:B37"/>
    <mergeCell ref="C35:C37"/>
    <mergeCell ref="B42:B47"/>
    <mergeCell ref="C42:C44"/>
    <mergeCell ref="C45:C47"/>
    <mergeCell ref="B52:B55"/>
    <mergeCell ref="C52:C55"/>
    <mergeCell ref="D59:F59"/>
    <mergeCell ref="B60:B63"/>
    <mergeCell ref="C60:C61"/>
    <mergeCell ref="D60:F60"/>
    <mergeCell ref="D61:F61"/>
    <mergeCell ref="C62:C63"/>
    <mergeCell ref="D62:F62"/>
    <mergeCell ref="D63:F63"/>
    <mergeCell ref="B68:B87"/>
    <mergeCell ref="C68:C74"/>
    <mergeCell ref="C75:C81"/>
    <mergeCell ref="C82:C87"/>
    <mergeCell ref="B92:B96"/>
    <mergeCell ref="C92:C96"/>
    <mergeCell ref="B137:B138"/>
    <mergeCell ref="C137:C138"/>
    <mergeCell ref="D137:F137"/>
    <mergeCell ref="D138:F138"/>
    <mergeCell ref="B101:B103"/>
    <mergeCell ref="C101:C103"/>
    <mergeCell ref="B108:B111"/>
    <mergeCell ref="C108:C111"/>
    <mergeCell ref="B116:B118"/>
    <mergeCell ref="C116:C118"/>
    <mergeCell ref="B123:B125"/>
    <mergeCell ref="C123:C125"/>
    <mergeCell ref="B130:B132"/>
    <mergeCell ref="C130:C132"/>
    <mergeCell ref="D136:F136"/>
    <mergeCell ref="B143:B145"/>
    <mergeCell ref="C143:C145"/>
    <mergeCell ref="B150:B152"/>
    <mergeCell ref="C150:C152"/>
    <mergeCell ref="B157:B162"/>
    <mergeCell ref="C157:C162"/>
    <mergeCell ref="B167:B169"/>
    <mergeCell ref="C167:C169"/>
    <mergeCell ref="B174:B176"/>
    <mergeCell ref="C174:C176"/>
    <mergeCell ref="B181:B183"/>
    <mergeCell ref="C181:C183"/>
    <mergeCell ref="F209:F210"/>
    <mergeCell ref="B188:B190"/>
    <mergeCell ref="C188:C190"/>
    <mergeCell ref="D194:F194"/>
    <mergeCell ref="B195:B196"/>
    <mergeCell ref="C195:C196"/>
    <mergeCell ref="D195:F195"/>
    <mergeCell ref="D196:F196"/>
    <mergeCell ref="B197:B198"/>
    <mergeCell ref="C197:C198"/>
    <mergeCell ref="D197:F197"/>
    <mergeCell ref="D198:F198"/>
    <mergeCell ref="F203:F204"/>
    <mergeCell ref="O369:V369"/>
    <mergeCell ref="F211:F212"/>
    <mergeCell ref="F213:F214"/>
    <mergeCell ref="B291:B292"/>
    <mergeCell ref="B294:B295"/>
    <mergeCell ref="I294:I295"/>
    <mergeCell ref="B296:B297"/>
    <mergeCell ref="I296:I297"/>
    <mergeCell ref="B298:B299"/>
    <mergeCell ref="I298:I299"/>
    <mergeCell ref="B300:B301"/>
    <mergeCell ref="B302:B303"/>
    <mergeCell ref="O368:V368"/>
    <mergeCell ref="P370:Q370"/>
    <mergeCell ref="O371:O372"/>
    <mergeCell ref="P371:T372"/>
    <mergeCell ref="B378:I378"/>
    <mergeCell ref="P389:Q389"/>
    <mergeCell ref="R389:T389"/>
    <mergeCell ref="O393:V393"/>
    <mergeCell ref="P390:Q390"/>
    <mergeCell ref="R390:T390"/>
    <mergeCell ref="P391:Q391"/>
    <mergeCell ref="R391:T391"/>
    <mergeCell ref="P392:Q392"/>
    <mergeCell ref="R392:T392"/>
  </mergeCells>
  <phoneticPr fontId="5" type="noConversion"/>
  <pageMargins left="0.19685039370078741" right="0.19685039370078741" top="0.74803149606299213" bottom="0.74803149606299213" header="0.31496062992125984" footer="0.31496062992125984"/>
  <pageSetup paperSize="9" scale="78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F0660-D4FB-497D-878E-A0C679EB0DE7}">
  <sheetPr>
    <tabColor rgb="FF7030A0"/>
    <pageSetUpPr fitToPage="1"/>
  </sheetPr>
  <dimension ref="A1:V464"/>
  <sheetViews>
    <sheetView showZeros="0" topLeftCell="A6" zoomScaleNormal="100" workbookViewId="0">
      <selection activeCell="C372" sqref="C372"/>
    </sheetView>
  </sheetViews>
  <sheetFormatPr defaultColWidth="25.25" defaultRowHeight="13.5"/>
  <cols>
    <col min="1" max="1" width="0.5" style="1" customWidth="1"/>
    <col min="2" max="2" width="25.25" style="102" customWidth="1"/>
    <col min="3" max="3" width="14.75" style="102" customWidth="1"/>
    <col min="4" max="4" width="11.5" style="102" customWidth="1"/>
    <col min="5" max="5" width="11.25" style="102" customWidth="1"/>
    <col min="6" max="6" width="12.25" style="102" customWidth="1"/>
    <col min="7" max="7" width="10" style="102" customWidth="1"/>
    <col min="8" max="8" width="9.875" style="102" customWidth="1"/>
    <col min="9" max="9" width="26.875" style="102" customWidth="1"/>
    <col min="10" max="10" width="11.125" style="43" customWidth="1"/>
    <col min="11" max="11" width="7.875" style="43" customWidth="1"/>
    <col min="12" max="12" width="7.25" style="43" customWidth="1"/>
    <col min="13" max="13" width="9.125" style="43" customWidth="1"/>
    <col min="14" max="14" width="15.125" style="255" customWidth="1"/>
    <col min="15" max="15" width="13.125" style="255" customWidth="1"/>
    <col min="16" max="16" width="24.375" style="255" customWidth="1"/>
    <col min="17" max="17" width="13.75" style="255" customWidth="1"/>
    <col min="18" max="18" width="11.25" style="255" customWidth="1"/>
    <col min="19" max="19" width="10.75" style="255" customWidth="1"/>
    <col min="20" max="20" width="10" style="255" customWidth="1"/>
    <col min="21" max="21" width="9.875" style="255" customWidth="1"/>
    <col min="22" max="22" width="26.125" style="255" customWidth="1"/>
    <col min="23" max="23" width="11.125" style="255" customWidth="1"/>
    <col min="24" max="24" width="7.875" style="255" customWidth="1"/>
    <col min="25" max="25" width="7.25" style="255" customWidth="1"/>
    <col min="26" max="26" width="9.125" style="255" customWidth="1"/>
    <col min="27" max="27" width="15.125" style="255" customWidth="1"/>
    <col min="28" max="28" width="7.75" style="255" customWidth="1"/>
    <col min="29" max="29" width="7.125" style="255" customWidth="1"/>
    <col min="30" max="30" width="12.125" style="255" customWidth="1"/>
    <col min="31" max="31" width="8.25" style="255" customWidth="1"/>
    <col min="32" max="33" width="10.375" style="255" customWidth="1"/>
    <col min="34" max="34" width="15.625" style="255" customWidth="1"/>
    <col min="35" max="35" width="15.875" style="255" customWidth="1"/>
    <col min="36" max="36" width="8.125" style="255" customWidth="1"/>
    <col min="37" max="40" width="10.375" style="255" customWidth="1"/>
    <col min="41" max="41" width="7.25" style="255" customWidth="1"/>
    <col min="42" max="42" width="7.125" style="255" customWidth="1"/>
    <col min="43" max="43" width="9.5" style="255" customWidth="1"/>
    <col min="44" max="45" width="9" style="255" customWidth="1"/>
    <col min="46" max="46" width="16.125" style="255" customWidth="1"/>
    <col min="47" max="77" width="9" style="255" customWidth="1"/>
    <col min="78" max="237" width="25.25" style="255"/>
    <col min="238" max="267" width="9" style="255" customWidth="1"/>
    <col min="268" max="268" width="0.5" style="255" customWidth="1"/>
    <col min="269" max="269" width="25.25" style="255"/>
    <col min="270" max="270" width="0.5" style="255" customWidth="1"/>
    <col min="271" max="271" width="25.25" style="255"/>
    <col min="272" max="272" width="14.75" style="255" customWidth="1"/>
    <col min="273" max="273" width="11.5" style="255" customWidth="1"/>
    <col min="274" max="274" width="11.25" style="255" customWidth="1"/>
    <col min="275" max="275" width="10.75" style="255" customWidth="1"/>
    <col min="276" max="276" width="10" style="255" customWidth="1"/>
    <col min="277" max="277" width="9.875" style="255" customWidth="1"/>
    <col min="278" max="278" width="26.125" style="255" customWidth="1"/>
    <col min="279" max="279" width="11.125" style="255" customWidth="1"/>
    <col min="280" max="280" width="7.875" style="255" customWidth="1"/>
    <col min="281" max="281" width="7.25" style="255" customWidth="1"/>
    <col min="282" max="282" width="9.125" style="255" customWidth="1"/>
    <col min="283" max="283" width="15.125" style="255" customWidth="1"/>
    <col min="284" max="284" width="7.75" style="255" customWidth="1"/>
    <col min="285" max="285" width="7.125" style="255" customWidth="1"/>
    <col min="286" max="286" width="12.125" style="255" customWidth="1"/>
    <col min="287" max="287" width="8.25" style="255" customWidth="1"/>
    <col min="288" max="289" width="10.375" style="255" customWidth="1"/>
    <col min="290" max="290" width="15.625" style="255" customWidth="1"/>
    <col min="291" max="291" width="15.875" style="255" customWidth="1"/>
    <col min="292" max="292" width="8.125" style="255" customWidth="1"/>
    <col min="293" max="296" width="10.375" style="255" customWidth="1"/>
    <col min="297" max="297" width="7.25" style="255" customWidth="1"/>
    <col min="298" max="298" width="7.125" style="255" customWidth="1"/>
    <col min="299" max="299" width="9.5" style="255" customWidth="1"/>
    <col min="300" max="301" width="9" style="255" customWidth="1"/>
    <col min="302" max="302" width="16.125" style="255" customWidth="1"/>
    <col min="303" max="333" width="9" style="255" customWidth="1"/>
    <col min="334" max="493" width="25.25" style="255"/>
    <col min="494" max="523" width="9" style="255" customWidth="1"/>
    <col min="524" max="524" width="0.5" style="255" customWidth="1"/>
    <col min="525" max="525" width="25.25" style="255"/>
    <col min="526" max="526" width="0.5" style="255" customWidth="1"/>
    <col min="527" max="527" width="25.25" style="255"/>
    <col min="528" max="528" width="14.75" style="255" customWidth="1"/>
    <col min="529" max="529" width="11.5" style="255" customWidth="1"/>
    <col min="530" max="530" width="11.25" style="255" customWidth="1"/>
    <col min="531" max="531" width="10.75" style="255" customWidth="1"/>
    <col min="532" max="532" width="10" style="255" customWidth="1"/>
    <col min="533" max="533" width="9.875" style="255" customWidth="1"/>
    <col min="534" max="534" width="26.125" style="255" customWidth="1"/>
    <col min="535" max="535" width="11.125" style="255" customWidth="1"/>
    <col min="536" max="536" width="7.875" style="255" customWidth="1"/>
    <col min="537" max="537" width="7.25" style="255" customWidth="1"/>
    <col min="538" max="538" width="9.125" style="255" customWidth="1"/>
    <col min="539" max="539" width="15.125" style="255" customWidth="1"/>
    <col min="540" max="540" width="7.75" style="255" customWidth="1"/>
    <col min="541" max="541" width="7.125" style="255" customWidth="1"/>
    <col min="542" max="542" width="12.125" style="255" customWidth="1"/>
    <col min="543" max="543" width="8.25" style="255" customWidth="1"/>
    <col min="544" max="545" width="10.375" style="255" customWidth="1"/>
    <col min="546" max="546" width="15.625" style="255" customWidth="1"/>
    <col min="547" max="547" width="15.875" style="255" customWidth="1"/>
    <col min="548" max="548" width="8.125" style="255" customWidth="1"/>
    <col min="549" max="552" width="10.375" style="255" customWidth="1"/>
    <col min="553" max="553" width="7.25" style="255" customWidth="1"/>
    <col min="554" max="554" width="7.125" style="255" customWidth="1"/>
    <col min="555" max="555" width="9.5" style="255" customWidth="1"/>
    <col min="556" max="557" width="9" style="255" customWidth="1"/>
    <col min="558" max="558" width="16.125" style="255" customWidth="1"/>
    <col min="559" max="589" width="9" style="255" customWidth="1"/>
    <col min="590" max="749" width="25.25" style="255"/>
    <col min="750" max="779" width="9" style="255" customWidth="1"/>
    <col min="780" max="780" width="0.5" style="255" customWidth="1"/>
    <col min="781" max="781" width="25.25" style="255"/>
    <col min="782" max="782" width="0.5" style="255" customWidth="1"/>
    <col min="783" max="783" width="25.25" style="255"/>
    <col min="784" max="784" width="14.75" style="255" customWidth="1"/>
    <col min="785" max="785" width="11.5" style="255" customWidth="1"/>
    <col min="786" max="786" width="11.25" style="255" customWidth="1"/>
    <col min="787" max="787" width="10.75" style="255" customWidth="1"/>
    <col min="788" max="788" width="10" style="255" customWidth="1"/>
    <col min="789" max="789" width="9.875" style="255" customWidth="1"/>
    <col min="790" max="790" width="26.125" style="255" customWidth="1"/>
    <col min="791" max="791" width="11.125" style="255" customWidth="1"/>
    <col min="792" max="792" width="7.875" style="255" customWidth="1"/>
    <col min="793" max="793" width="7.25" style="255" customWidth="1"/>
    <col min="794" max="794" width="9.125" style="255" customWidth="1"/>
    <col min="795" max="795" width="15.125" style="255" customWidth="1"/>
    <col min="796" max="796" width="7.75" style="255" customWidth="1"/>
    <col min="797" max="797" width="7.125" style="255" customWidth="1"/>
    <col min="798" max="798" width="12.125" style="255" customWidth="1"/>
    <col min="799" max="799" width="8.25" style="255" customWidth="1"/>
    <col min="800" max="801" width="10.375" style="255" customWidth="1"/>
    <col min="802" max="802" width="15.625" style="255" customWidth="1"/>
    <col min="803" max="803" width="15.875" style="255" customWidth="1"/>
    <col min="804" max="804" width="8.125" style="255" customWidth="1"/>
    <col min="805" max="808" width="10.375" style="255" customWidth="1"/>
    <col min="809" max="809" width="7.25" style="255" customWidth="1"/>
    <col min="810" max="810" width="7.125" style="255" customWidth="1"/>
    <col min="811" max="811" width="9.5" style="255" customWidth="1"/>
    <col min="812" max="813" width="9" style="255" customWidth="1"/>
    <col min="814" max="814" width="16.125" style="255" customWidth="1"/>
    <col min="815" max="845" width="9" style="255" customWidth="1"/>
    <col min="846" max="1005" width="25.25" style="255"/>
    <col min="1006" max="1035" width="9" style="255" customWidth="1"/>
    <col min="1036" max="1036" width="0.5" style="255" customWidth="1"/>
    <col min="1037" max="1037" width="25.25" style="255"/>
    <col min="1038" max="1038" width="0.5" style="255" customWidth="1"/>
    <col min="1039" max="1039" width="25.25" style="255"/>
    <col min="1040" max="1040" width="14.75" style="255" customWidth="1"/>
    <col min="1041" max="1041" width="11.5" style="255" customWidth="1"/>
    <col min="1042" max="1042" width="11.25" style="255" customWidth="1"/>
    <col min="1043" max="1043" width="10.75" style="255" customWidth="1"/>
    <col min="1044" max="1044" width="10" style="255" customWidth="1"/>
    <col min="1045" max="1045" width="9.875" style="255" customWidth="1"/>
    <col min="1046" max="1046" width="26.125" style="255" customWidth="1"/>
    <col min="1047" max="1047" width="11.125" style="255" customWidth="1"/>
    <col min="1048" max="1048" width="7.875" style="255" customWidth="1"/>
    <col min="1049" max="1049" width="7.25" style="255" customWidth="1"/>
    <col min="1050" max="1050" width="9.125" style="255" customWidth="1"/>
    <col min="1051" max="1051" width="15.125" style="255" customWidth="1"/>
    <col min="1052" max="1052" width="7.75" style="255" customWidth="1"/>
    <col min="1053" max="1053" width="7.125" style="255" customWidth="1"/>
    <col min="1054" max="1054" width="12.125" style="255" customWidth="1"/>
    <col min="1055" max="1055" width="8.25" style="255" customWidth="1"/>
    <col min="1056" max="1057" width="10.375" style="255" customWidth="1"/>
    <col min="1058" max="1058" width="15.625" style="255" customWidth="1"/>
    <col min="1059" max="1059" width="15.875" style="255" customWidth="1"/>
    <col min="1060" max="1060" width="8.125" style="255" customWidth="1"/>
    <col min="1061" max="1064" width="10.375" style="255" customWidth="1"/>
    <col min="1065" max="1065" width="7.25" style="255" customWidth="1"/>
    <col min="1066" max="1066" width="7.125" style="255" customWidth="1"/>
    <col min="1067" max="1067" width="9.5" style="255" customWidth="1"/>
    <col min="1068" max="1069" width="9" style="255" customWidth="1"/>
    <col min="1070" max="1070" width="16.125" style="255" customWidth="1"/>
    <col min="1071" max="1101" width="9" style="255" customWidth="1"/>
    <col min="1102" max="1261" width="25.25" style="255"/>
    <col min="1262" max="1291" width="9" style="255" customWidth="1"/>
    <col min="1292" max="1292" width="0.5" style="255" customWidth="1"/>
    <col min="1293" max="1293" width="25.25" style="255"/>
    <col min="1294" max="1294" width="0.5" style="255" customWidth="1"/>
    <col min="1295" max="1295" width="25.25" style="255"/>
    <col min="1296" max="1296" width="14.75" style="255" customWidth="1"/>
    <col min="1297" max="1297" width="11.5" style="255" customWidth="1"/>
    <col min="1298" max="1298" width="11.25" style="255" customWidth="1"/>
    <col min="1299" max="1299" width="10.75" style="255" customWidth="1"/>
    <col min="1300" max="1300" width="10" style="255" customWidth="1"/>
    <col min="1301" max="1301" width="9.875" style="255" customWidth="1"/>
    <col min="1302" max="1302" width="26.125" style="255" customWidth="1"/>
    <col min="1303" max="1303" width="11.125" style="255" customWidth="1"/>
    <col min="1304" max="1304" width="7.875" style="255" customWidth="1"/>
    <col min="1305" max="1305" width="7.25" style="255" customWidth="1"/>
    <col min="1306" max="1306" width="9.125" style="255" customWidth="1"/>
    <col min="1307" max="1307" width="15.125" style="255" customWidth="1"/>
    <col min="1308" max="1308" width="7.75" style="255" customWidth="1"/>
    <col min="1309" max="1309" width="7.125" style="255" customWidth="1"/>
    <col min="1310" max="1310" width="12.125" style="255" customWidth="1"/>
    <col min="1311" max="1311" width="8.25" style="255" customWidth="1"/>
    <col min="1312" max="1313" width="10.375" style="255" customWidth="1"/>
    <col min="1314" max="1314" width="15.625" style="255" customWidth="1"/>
    <col min="1315" max="1315" width="15.875" style="255" customWidth="1"/>
    <col min="1316" max="1316" width="8.125" style="255" customWidth="1"/>
    <col min="1317" max="1320" width="10.375" style="255" customWidth="1"/>
    <col min="1321" max="1321" width="7.25" style="255" customWidth="1"/>
    <col min="1322" max="1322" width="7.125" style="255" customWidth="1"/>
    <col min="1323" max="1323" width="9.5" style="255" customWidth="1"/>
    <col min="1324" max="1325" width="9" style="255" customWidth="1"/>
    <col min="1326" max="1326" width="16.125" style="255" customWidth="1"/>
    <col min="1327" max="1357" width="9" style="255" customWidth="1"/>
    <col min="1358" max="1517" width="25.25" style="255"/>
    <col min="1518" max="1547" width="9" style="255" customWidth="1"/>
    <col min="1548" max="1548" width="0.5" style="255" customWidth="1"/>
    <col min="1549" max="1549" width="25.25" style="255"/>
    <col min="1550" max="1550" width="0.5" style="255" customWidth="1"/>
    <col min="1551" max="1551" width="25.25" style="255"/>
    <col min="1552" max="1552" width="14.75" style="255" customWidth="1"/>
    <col min="1553" max="1553" width="11.5" style="255" customWidth="1"/>
    <col min="1554" max="1554" width="11.25" style="255" customWidth="1"/>
    <col min="1555" max="1555" width="10.75" style="255" customWidth="1"/>
    <col min="1556" max="1556" width="10" style="255" customWidth="1"/>
    <col min="1557" max="1557" width="9.875" style="255" customWidth="1"/>
    <col min="1558" max="1558" width="26.125" style="255" customWidth="1"/>
    <col min="1559" max="1559" width="11.125" style="255" customWidth="1"/>
    <col min="1560" max="1560" width="7.875" style="255" customWidth="1"/>
    <col min="1561" max="1561" width="7.25" style="255" customWidth="1"/>
    <col min="1562" max="1562" width="9.125" style="255" customWidth="1"/>
    <col min="1563" max="1563" width="15.125" style="255" customWidth="1"/>
    <col min="1564" max="1564" width="7.75" style="255" customWidth="1"/>
    <col min="1565" max="1565" width="7.125" style="255" customWidth="1"/>
    <col min="1566" max="1566" width="12.125" style="255" customWidth="1"/>
    <col min="1567" max="1567" width="8.25" style="255" customWidth="1"/>
    <col min="1568" max="1569" width="10.375" style="255" customWidth="1"/>
    <col min="1570" max="1570" width="15.625" style="255" customWidth="1"/>
    <col min="1571" max="1571" width="15.875" style="255" customWidth="1"/>
    <col min="1572" max="1572" width="8.125" style="255" customWidth="1"/>
    <col min="1573" max="1576" width="10.375" style="255" customWidth="1"/>
    <col min="1577" max="1577" width="7.25" style="255" customWidth="1"/>
    <col min="1578" max="1578" width="7.125" style="255" customWidth="1"/>
    <col min="1579" max="1579" width="9.5" style="255" customWidth="1"/>
    <col min="1580" max="1581" width="9" style="255" customWidth="1"/>
    <col min="1582" max="1582" width="16.125" style="255" customWidth="1"/>
    <col min="1583" max="1613" width="9" style="255" customWidth="1"/>
    <col min="1614" max="1773" width="25.25" style="255"/>
    <col min="1774" max="1803" width="9" style="255" customWidth="1"/>
    <col min="1804" max="1804" width="0.5" style="255" customWidth="1"/>
    <col min="1805" max="1805" width="25.25" style="255"/>
    <col min="1806" max="1806" width="0.5" style="255" customWidth="1"/>
    <col min="1807" max="1807" width="25.25" style="255"/>
    <col min="1808" max="1808" width="14.75" style="255" customWidth="1"/>
    <col min="1809" max="1809" width="11.5" style="255" customWidth="1"/>
    <col min="1810" max="1810" width="11.25" style="255" customWidth="1"/>
    <col min="1811" max="1811" width="10.75" style="255" customWidth="1"/>
    <col min="1812" max="1812" width="10" style="255" customWidth="1"/>
    <col min="1813" max="1813" width="9.875" style="255" customWidth="1"/>
    <col min="1814" max="1814" width="26.125" style="255" customWidth="1"/>
    <col min="1815" max="1815" width="11.125" style="255" customWidth="1"/>
    <col min="1816" max="1816" width="7.875" style="255" customWidth="1"/>
    <col min="1817" max="1817" width="7.25" style="255" customWidth="1"/>
    <col min="1818" max="1818" width="9.125" style="255" customWidth="1"/>
    <col min="1819" max="1819" width="15.125" style="255" customWidth="1"/>
    <col min="1820" max="1820" width="7.75" style="255" customWidth="1"/>
    <col min="1821" max="1821" width="7.125" style="255" customWidth="1"/>
    <col min="1822" max="1822" width="12.125" style="255" customWidth="1"/>
    <col min="1823" max="1823" width="8.25" style="255" customWidth="1"/>
    <col min="1824" max="1825" width="10.375" style="255" customWidth="1"/>
    <col min="1826" max="1826" width="15.625" style="255" customWidth="1"/>
    <col min="1827" max="1827" width="15.875" style="255" customWidth="1"/>
    <col min="1828" max="1828" width="8.125" style="255" customWidth="1"/>
    <col min="1829" max="1832" width="10.375" style="255" customWidth="1"/>
    <col min="1833" max="1833" width="7.25" style="255" customWidth="1"/>
    <col min="1834" max="1834" width="7.125" style="255" customWidth="1"/>
    <col min="1835" max="1835" width="9.5" style="255" customWidth="1"/>
    <col min="1836" max="1837" width="9" style="255" customWidth="1"/>
    <col min="1838" max="1838" width="16.125" style="255" customWidth="1"/>
    <col min="1839" max="1869" width="9" style="255" customWidth="1"/>
    <col min="1870" max="2029" width="25.25" style="255"/>
    <col min="2030" max="2059" width="9" style="255" customWidth="1"/>
    <col min="2060" max="2060" width="0.5" style="255" customWidth="1"/>
    <col min="2061" max="2061" width="25.25" style="255"/>
    <col min="2062" max="2062" width="0.5" style="255" customWidth="1"/>
    <col min="2063" max="2063" width="25.25" style="255"/>
    <col min="2064" max="2064" width="14.75" style="255" customWidth="1"/>
    <col min="2065" max="2065" width="11.5" style="255" customWidth="1"/>
    <col min="2066" max="2066" width="11.25" style="255" customWidth="1"/>
    <col min="2067" max="2067" width="10.75" style="255" customWidth="1"/>
    <col min="2068" max="2068" width="10" style="255" customWidth="1"/>
    <col min="2069" max="2069" width="9.875" style="255" customWidth="1"/>
    <col min="2070" max="2070" width="26.125" style="255" customWidth="1"/>
    <col min="2071" max="2071" width="11.125" style="255" customWidth="1"/>
    <col min="2072" max="2072" width="7.875" style="255" customWidth="1"/>
    <col min="2073" max="2073" width="7.25" style="255" customWidth="1"/>
    <col min="2074" max="2074" width="9.125" style="255" customWidth="1"/>
    <col min="2075" max="2075" width="15.125" style="255" customWidth="1"/>
    <col min="2076" max="2076" width="7.75" style="255" customWidth="1"/>
    <col min="2077" max="2077" width="7.125" style="255" customWidth="1"/>
    <col min="2078" max="2078" width="12.125" style="255" customWidth="1"/>
    <col min="2079" max="2079" width="8.25" style="255" customWidth="1"/>
    <col min="2080" max="2081" width="10.375" style="255" customWidth="1"/>
    <col min="2082" max="2082" width="15.625" style="255" customWidth="1"/>
    <col min="2083" max="2083" width="15.875" style="255" customWidth="1"/>
    <col min="2084" max="2084" width="8.125" style="255" customWidth="1"/>
    <col min="2085" max="2088" width="10.375" style="255" customWidth="1"/>
    <col min="2089" max="2089" width="7.25" style="255" customWidth="1"/>
    <col min="2090" max="2090" width="7.125" style="255" customWidth="1"/>
    <col min="2091" max="2091" width="9.5" style="255" customWidth="1"/>
    <col min="2092" max="2093" width="9" style="255" customWidth="1"/>
    <col min="2094" max="2094" width="16.125" style="255" customWidth="1"/>
    <col min="2095" max="2125" width="9" style="255" customWidth="1"/>
    <col min="2126" max="2285" width="25.25" style="255"/>
    <col min="2286" max="2315" width="9" style="255" customWidth="1"/>
    <col min="2316" max="2316" width="0.5" style="255" customWidth="1"/>
    <col min="2317" max="2317" width="25.25" style="255"/>
    <col min="2318" max="2318" width="0.5" style="255" customWidth="1"/>
    <col min="2319" max="2319" width="25.25" style="255"/>
    <col min="2320" max="2320" width="14.75" style="255" customWidth="1"/>
    <col min="2321" max="2321" width="11.5" style="255" customWidth="1"/>
    <col min="2322" max="2322" width="11.25" style="255" customWidth="1"/>
    <col min="2323" max="2323" width="10.75" style="255" customWidth="1"/>
    <col min="2324" max="2324" width="10" style="255" customWidth="1"/>
    <col min="2325" max="2325" width="9.875" style="255" customWidth="1"/>
    <col min="2326" max="2326" width="26.125" style="255" customWidth="1"/>
    <col min="2327" max="2327" width="11.125" style="255" customWidth="1"/>
    <col min="2328" max="2328" width="7.875" style="255" customWidth="1"/>
    <col min="2329" max="2329" width="7.25" style="255" customWidth="1"/>
    <col min="2330" max="2330" width="9.125" style="255" customWidth="1"/>
    <col min="2331" max="2331" width="15.125" style="255" customWidth="1"/>
    <col min="2332" max="2332" width="7.75" style="255" customWidth="1"/>
    <col min="2333" max="2333" width="7.125" style="255" customWidth="1"/>
    <col min="2334" max="2334" width="12.125" style="255" customWidth="1"/>
    <col min="2335" max="2335" width="8.25" style="255" customWidth="1"/>
    <col min="2336" max="2337" width="10.375" style="255" customWidth="1"/>
    <col min="2338" max="2338" width="15.625" style="255" customWidth="1"/>
    <col min="2339" max="2339" width="15.875" style="255" customWidth="1"/>
    <col min="2340" max="2340" width="8.125" style="255" customWidth="1"/>
    <col min="2341" max="2344" width="10.375" style="255" customWidth="1"/>
    <col min="2345" max="2345" width="7.25" style="255" customWidth="1"/>
    <col min="2346" max="2346" width="7.125" style="255" customWidth="1"/>
    <col min="2347" max="2347" width="9.5" style="255" customWidth="1"/>
    <col min="2348" max="2349" width="9" style="255" customWidth="1"/>
    <col min="2350" max="2350" width="16.125" style="255" customWidth="1"/>
    <col min="2351" max="2381" width="9" style="255" customWidth="1"/>
    <col min="2382" max="2541" width="25.25" style="255"/>
    <col min="2542" max="2571" width="9" style="255" customWidth="1"/>
    <col min="2572" max="2572" width="0.5" style="255" customWidth="1"/>
    <col min="2573" max="2573" width="25.25" style="255"/>
    <col min="2574" max="2574" width="0.5" style="255" customWidth="1"/>
    <col min="2575" max="2575" width="25.25" style="255"/>
    <col min="2576" max="2576" width="14.75" style="255" customWidth="1"/>
    <col min="2577" max="2577" width="11.5" style="255" customWidth="1"/>
    <col min="2578" max="2578" width="11.25" style="255" customWidth="1"/>
    <col min="2579" max="2579" width="10.75" style="255" customWidth="1"/>
    <col min="2580" max="2580" width="10" style="255" customWidth="1"/>
    <col min="2581" max="2581" width="9.875" style="255" customWidth="1"/>
    <col min="2582" max="2582" width="26.125" style="255" customWidth="1"/>
    <col min="2583" max="2583" width="11.125" style="255" customWidth="1"/>
    <col min="2584" max="2584" width="7.875" style="255" customWidth="1"/>
    <col min="2585" max="2585" width="7.25" style="255" customWidth="1"/>
    <col min="2586" max="2586" width="9.125" style="255" customWidth="1"/>
    <col min="2587" max="2587" width="15.125" style="255" customWidth="1"/>
    <col min="2588" max="2588" width="7.75" style="255" customWidth="1"/>
    <col min="2589" max="2589" width="7.125" style="255" customWidth="1"/>
    <col min="2590" max="2590" width="12.125" style="255" customWidth="1"/>
    <col min="2591" max="2591" width="8.25" style="255" customWidth="1"/>
    <col min="2592" max="2593" width="10.375" style="255" customWidth="1"/>
    <col min="2594" max="2594" width="15.625" style="255" customWidth="1"/>
    <col min="2595" max="2595" width="15.875" style="255" customWidth="1"/>
    <col min="2596" max="2596" width="8.125" style="255" customWidth="1"/>
    <col min="2597" max="2600" width="10.375" style="255" customWidth="1"/>
    <col min="2601" max="2601" width="7.25" style="255" customWidth="1"/>
    <col min="2602" max="2602" width="7.125" style="255" customWidth="1"/>
    <col min="2603" max="2603" width="9.5" style="255" customWidth="1"/>
    <col min="2604" max="2605" width="9" style="255" customWidth="1"/>
    <col min="2606" max="2606" width="16.125" style="255" customWidth="1"/>
    <col min="2607" max="2637" width="9" style="255" customWidth="1"/>
    <col min="2638" max="2797" width="25.25" style="255"/>
    <col min="2798" max="2827" width="9" style="255" customWidth="1"/>
    <col min="2828" max="2828" width="0.5" style="255" customWidth="1"/>
    <col min="2829" max="2829" width="25.25" style="255"/>
    <col min="2830" max="2830" width="0.5" style="255" customWidth="1"/>
    <col min="2831" max="2831" width="25.25" style="255"/>
    <col min="2832" max="2832" width="14.75" style="255" customWidth="1"/>
    <col min="2833" max="2833" width="11.5" style="255" customWidth="1"/>
    <col min="2834" max="2834" width="11.25" style="255" customWidth="1"/>
    <col min="2835" max="2835" width="10.75" style="255" customWidth="1"/>
    <col min="2836" max="2836" width="10" style="255" customWidth="1"/>
    <col min="2837" max="2837" width="9.875" style="255" customWidth="1"/>
    <col min="2838" max="2838" width="26.125" style="255" customWidth="1"/>
    <col min="2839" max="2839" width="11.125" style="255" customWidth="1"/>
    <col min="2840" max="2840" width="7.875" style="255" customWidth="1"/>
    <col min="2841" max="2841" width="7.25" style="255" customWidth="1"/>
    <col min="2842" max="2842" width="9.125" style="255" customWidth="1"/>
    <col min="2843" max="2843" width="15.125" style="255" customWidth="1"/>
    <col min="2844" max="2844" width="7.75" style="255" customWidth="1"/>
    <col min="2845" max="2845" width="7.125" style="255" customWidth="1"/>
    <col min="2846" max="2846" width="12.125" style="255" customWidth="1"/>
    <col min="2847" max="2847" width="8.25" style="255" customWidth="1"/>
    <col min="2848" max="2849" width="10.375" style="255" customWidth="1"/>
    <col min="2850" max="2850" width="15.625" style="255" customWidth="1"/>
    <col min="2851" max="2851" width="15.875" style="255" customWidth="1"/>
    <col min="2852" max="2852" width="8.125" style="255" customWidth="1"/>
    <col min="2853" max="2856" width="10.375" style="255" customWidth="1"/>
    <col min="2857" max="2857" width="7.25" style="255" customWidth="1"/>
    <col min="2858" max="2858" width="7.125" style="255" customWidth="1"/>
    <col min="2859" max="2859" width="9.5" style="255" customWidth="1"/>
    <col min="2860" max="2861" width="9" style="255" customWidth="1"/>
    <col min="2862" max="2862" width="16.125" style="255" customWidth="1"/>
    <col min="2863" max="2893" width="9" style="255" customWidth="1"/>
    <col min="2894" max="3053" width="25.25" style="255"/>
    <col min="3054" max="3083" width="9" style="255" customWidth="1"/>
    <col min="3084" max="3084" width="0.5" style="255" customWidth="1"/>
    <col min="3085" max="3085" width="25.25" style="255"/>
    <col min="3086" max="3086" width="0.5" style="255" customWidth="1"/>
    <col min="3087" max="3087" width="25.25" style="255"/>
    <col min="3088" max="3088" width="14.75" style="255" customWidth="1"/>
    <col min="3089" max="3089" width="11.5" style="255" customWidth="1"/>
    <col min="3090" max="3090" width="11.25" style="255" customWidth="1"/>
    <col min="3091" max="3091" width="10.75" style="255" customWidth="1"/>
    <col min="3092" max="3092" width="10" style="255" customWidth="1"/>
    <col min="3093" max="3093" width="9.875" style="255" customWidth="1"/>
    <col min="3094" max="3094" width="26.125" style="255" customWidth="1"/>
    <col min="3095" max="3095" width="11.125" style="255" customWidth="1"/>
    <col min="3096" max="3096" width="7.875" style="255" customWidth="1"/>
    <col min="3097" max="3097" width="7.25" style="255" customWidth="1"/>
    <col min="3098" max="3098" width="9.125" style="255" customWidth="1"/>
    <col min="3099" max="3099" width="15.125" style="255" customWidth="1"/>
    <col min="3100" max="3100" width="7.75" style="255" customWidth="1"/>
    <col min="3101" max="3101" width="7.125" style="255" customWidth="1"/>
    <col min="3102" max="3102" width="12.125" style="255" customWidth="1"/>
    <col min="3103" max="3103" width="8.25" style="255" customWidth="1"/>
    <col min="3104" max="3105" width="10.375" style="255" customWidth="1"/>
    <col min="3106" max="3106" width="15.625" style="255" customWidth="1"/>
    <col min="3107" max="3107" width="15.875" style="255" customWidth="1"/>
    <col min="3108" max="3108" width="8.125" style="255" customWidth="1"/>
    <col min="3109" max="3112" width="10.375" style="255" customWidth="1"/>
    <col min="3113" max="3113" width="7.25" style="255" customWidth="1"/>
    <col min="3114" max="3114" width="7.125" style="255" customWidth="1"/>
    <col min="3115" max="3115" width="9.5" style="255" customWidth="1"/>
    <col min="3116" max="3117" width="9" style="255" customWidth="1"/>
    <col min="3118" max="3118" width="16.125" style="255" customWidth="1"/>
    <col min="3119" max="3149" width="9" style="255" customWidth="1"/>
    <col min="3150" max="3309" width="25.25" style="255"/>
    <col min="3310" max="3339" width="9" style="255" customWidth="1"/>
    <col min="3340" max="3340" width="0.5" style="255" customWidth="1"/>
    <col min="3341" max="3341" width="25.25" style="255"/>
    <col min="3342" max="3342" width="0.5" style="255" customWidth="1"/>
    <col min="3343" max="3343" width="25.25" style="255"/>
    <col min="3344" max="3344" width="14.75" style="255" customWidth="1"/>
    <col min="3345" max="3345" width="11.5" style="255" customWidth="1"/>
    <col min="3346" max="3346" width="11.25" style="255" customWidth="1"/>
    <col min="3347" max="3347" width="10.75" style="255" customWidth="1"/>
    <col min="3348" max="3348" width="10" style="255" customWidth="1"/>
    <col min="3349" max="3349" width="9.875" style="255" customWidth="1"/>
    <col min="3350" max="3350" width="26.125" style="255" customWidth="1"/>
    <col min="3351" max="3351" width="11.125" style="255" customWidth="1"/>
    <col min="3352" max="3352" width="7.875" style="255" customWidth="1"/>
    <col min="3353" max="3353" width="7.25" style="255" customWidth="1"/>
    <col min="3354" max="3354" width="9.125" style="255" customWidth="1"/>
    <col min="3355" max="3355" width="15.125" style="255" customWidth="1"/>
    <col min="3356" max="3356" width="7.75" style="255" customWidth="1"/>
    <col min="3357" max="3357" width="7.125" style="255" customWidth="1"/>
    <col min="3358" max="3358" width="12.125" style="255" customWidth="1"/>
    <col min="3359" max="3359" width="8.25" style="255" customWidth="1"/>
    <col min="3360" max="3361" width="10.375" style="255" customWidth="1"/>
    <col min="3362" max="3362" width="15.625" style="255" customWidth="1"/>
    <col min="3363" max="3363" width="15.875" style="255" customWidth="1"/>
    <col min="3364" max="3364" width="8.125" style="255" customWidth="1"/>
    <col min="3365" max="3368" width="10.375" style="255" customWidth="1"/>
    <col min="3369" max="3369" width="7.25" style="255" customWidth="1"/>
    <col min="3370" max="3370" width="7.125" style="255" customWidth="1"/>
    <col min="3371" max="3371" width="9.5" style="255" customWidth="1"/>
    <col min="3372" max="3373" width="9" style="255" customWidth="1"/>
    <col min="3374" max="3374" width="16.125" style="255" customWidth="1"/>
    <col min="3375" max="3405" width="9" style="255" customWidth="1"/>
    <col min="3406" max="3565" width="25.25" style="255"/>
    <col min="3566" max="3595" width="9" style="255" customWidth="1"/>
    <col min="3596" max="3596" width="0.5" style="255" customWidth="1"/>
    <col min="3597" max="3597" width="25.25" style="255"/>
    <col min="3598" max="3598" width="0.5" style="255" customWidth="1"/>
    <col min="3599" max="3599" width="25.25" style="255"/>
    <col min="3600" max="3600" width="14.75" style="255" customWidth="1"/>
    <col min="3601" max="3601" width="11.5" style="255" customWidth="1"/>
    <col min="3602" max="3602" width="11.25" style="255" customWidth="1"/>
    <col min="3603" max="3603" width="10.75" style="255" customWidth="1"/>
    <col min="3604" max="3604" width="10" style="255" customWidth="1"/>
    <col min="3605" max="3605" width="9.875" style="255" customWidth="1"/>
    <col min="3606" max="3606" width="26.125" style="255" customWidth="1"/>
    <col min="3607" max="3607" width="11.125" style="255" customWidth="1"/>
    <col min="3608" max="3608" width="7.875" style="255" customWidth="1"/>
    <col min="3609" max="3609" width="7.25" style="255" customWidth="1"/>
    <col min="3610" max="3610" width="9.125" style="255" customWidth="1"/>
    <col min="3611" max="3611" width="15.125" style="255" customWidth="1"/>
    <col min="3612" max="3612" width="7.75" style="255" customWidth="1"/>
    <col min="3613" max="3613" width="7.125" style="255" customWidth="1"/>
    <col min="3614" max="3614" width="12.125" style="255" customWidth="1"/>
    <col min="3615" max="3615" width="8.25" style="255" customWidth="1"/>
    <col min="3616" max="3617" width="10.375" style="255" customWidth="1"/>
    <col min="3618" max="3618" width="15.625" style="255" customWidth="1"/>
    <col min="3619" max="3619" width="15.875" style="255" customWidth="1"/>
    <col min="3620" max="3620" width="8.125" style="255" customWidth="1"/>
    <col min="3621" max="3624" width="10.375" style="255" customWidth="1"/>
    <col min="3625" max="3625" width="7.25" style="255" customWidth="1"/>
    <col min="3626" max="3626" width="7.125" style="255" customWidth="1"/>
    <col min="3627" max="3627" width="9.5" style="255" customWidth="1"/>
    <col min="3628" max="3629" width="9" style="255" customWidth="1"/>
    <col min="3630" max="3630" width="16.125" style="255" customWidth="1"/>
    <col min="3631" max="3661" width="9" style="255" customWidth="1"/>
    <col min="3662" max="3821" width="25.25" style="255"/>
    <col min="3822" max="3851" width="9" style="255" customWidth="1"/>
    <col min="3852" max="3852" width="0.5" style="255" customWidth="1"/>
    <col min="3853" max="3853" width="25.25" style="255"/>
    <col min="3854" max="3854" width="0.5" style="255" customWidth="1"/>
    <col min="3855" max="3855" width="25.25" style="255"/>
    <col min="3856" max="3856" width="14.75" style="255" customWidth="1"/>
    <col min="3857" max="3857" width="11.5" style="255" customWidth="1"/>
    <col min="3858" max="3858" width="11.25" style="255" customWidth="1"/>
    <col min="3859" max="3859" width="10.75" style="255" customWidth="1"/>
    <col min="3860" max="3860" width="10" style="255" customWidth="1"/>
    <col min="3861" max="3861" width="9.875" style="255" customWidth="1"/>
    <col min="3862" max="3862" width="26.125" style="255" customWidth="1"/>
    <col min="3863" max="3863" width="11.125" style="255" customWidth="1"/>
    <col min="3864" max="3864" width="7.875" style="255" customWidth="1"/>
    <col min="3865" max="3865" width="7.25" style="255" customWidth="1"/>
    <col min="3866" max="3866" width="9.125" style="255" customWidth="1"/>
    <col min="3867" max="3867" width="15.125" style="255" customWidth="1"/>
    <col min="3868" max="3868" width="7.75" style="255" customWidth="1"/>
    <col min="3869" max="3869" width="7.125" style="255" customWidth="1"/>
    <col min="3870" max="3870" width="12.125" style="255" customWidth="1"/>
    <col min="3871" max="3871" width="8.25" style="255" customWidth="1"/>
    <col min="3872" max="3873" width="10.375" style="255" customWidth="1"/>
    <col min="3874" max="3874" width="15.625" style="255" customWidth="1"/>
    <col min="3875" max="3875" width="15.875" style="255" customWidth="1"/>
    <col min="3876" max="3876" width="8.125" style="255" customWidth="1"/>
    <col min="3877" max="3880" width="10.375" style="255" customWidth="1"/>
    <col min="3881" max="3881" width="7.25" style="255" customWidth="1"/>
    <col min="3882" max="3882" width="7.125" style="255" customWidth="1"/>
    <col min="3883" max="3883" width="9.5" style="255" customWidth="1"/>
    <col min="3884" max="3885" width="9" style="255" customWidth="1"/>
    <col min="3886" max="3886" width="16.125" style="255" customWidth="1"/>
    <col min="3887" max="3917" width="9" style="255" customWidth="1"/>
    <col min="3918" max="4077" width="25.25" style="255"/>
    <col min="4078" max="4107" width="9" style="255" customWidth="1"/>
    <col min="4108" max="4108" width="0.5" style="255" customWidth="1"/>
    <col min="4109" max="4109" width="25.25" style="255"/>
    <col min="4110" max="4110" width="0.5" style="255" customWidth="1"/>
    <col min="4111" max="4111" width="25.25" style="255"/>
    <col min="4112" max="4112" width="14.75" style="255" customWidth="1"/>
    <col min="4113" max="4113" width="11.5" style="255" customWidth="1"/>
    <col min="4114" max="4114" width="11.25" style="255" customWidth="1"/>
    <col min="4115" max="4115" width="10.75" style="255" customWidth="1"/>
    <col min="4116" max="4116" width="10" style="255" customWidth="1"/>
    <col min="4117" max="4117" width="9.875" style="255" customWidth="1"/>
    <col min="4118" max="4118" width="26.125" style="255" customWidth="1"/>
    <col min="4119" max="4119" width="11.125" style="255" customWidth="1"/>
    <col min="4120" max="4120" width="7.875" style="255" customWidth="1"/>
    <col min="4121" max="4121" width="7.25" style="255" customWidth="1"/>
    <col min="4122" max="4122" width="9.125" style="255" customWidth="1"/>
    <col min="4123" max="4123" width="15.125" style="255" customWidth="1"/>
    <col min="4124" max="4124" width="7.75" style="255" customWidth="1"/>
    <col min="4125" max="4125" width="7.125" style="255" customWidth="1"/>
    <col min="4126" max="4126" width="12.125" style="255" customWidth="1"/>
    <col min="4127" max="4127" width="8.25" style="255" customWidth="1"/>
    <col min="4128" max="4129" width="10.375" style="255" customWidth="1"/>
    <col min="4130" max="4130" width="15.625" style="255" customWidth="1"/>
    <col min="4131" max="4131" width="15.875" style="255" customWidth="1"/>
    <col min="4132" max="4132" width="8.125" style="255" customWidth="1"/>
    <col min="4133" max="4136" width="10.375" style="255" customWidth="1"/>
    <col min="4137" max="4137" width="7.25" style="255" customWidth="1"/>
    <col min="4138" max="4138" width="7.125" style="255" customWidth="1"/>
    <col min="4139" max="4139" width="9.5" style="255" customWidth="1"/>
    <col min="4140" max="4141" width="9" style="255" customWidth="1"/>
    <col min="4142" max="4142" width="16.125" style="255" customWidth="1"/>
    <col min="4143" max="4173" width="9" style="255" customWidth="1"/>
    <col min="4174" max="4333" width="25.25" style="255"/>
    <col min="4334" max="4363" width="9" style="255" customWidth="1"/>
    <col min="4364" max="4364" width="0.5" style="255" customWidth="1"/>
    <col min="4365" max="4365" width="25.25" style="255"/>
    <col min="4366" max="4366" width="0.5" style="255" customWidth="1"/>
    <col min="4367" max="4367" width="25.25" style="255"/>
    <col min="4368" max="4368" width="14.75" style="255" customWidth="1"/>
    <col min="4369" max="4369" width="11.5" style="255" customWidth="1"/>
    <col min="4370" max="4370" width="11.25" style="255" customWidth="1"/>
    <col min="4371" max="4371" width="10.75" style="255" customWidth="1"/>
    <col min="4372" max="4372" width="10" style="255" customWidth="1"/>
    <col min="4373" max="4373" width="9.875" style="255" customWidth="1"/>
    <col min="4374" max="4374" width="26.125" style="255" customWidth="1"/>
    <col min="4375" max="4375" width="11.125" style="255" customWidth="1"/>
    <col min="4376" max="4376" width="7.875" style="255" customWidth="1"/>
    <col min="4377" max="4377" width="7.25" style="255" customWidth="1"/>
    <col min="4378" max="4378" width="9.125" style="255" customWidth="1"/>
    <col min="4379" max="4379" width="15.125" style="255" customWidth="1"/>
    <col min="4380" max="4380" width="7.75" style="255" customWidth="1"/>
    <col min="4381" max="4381" width="7.125" style="255" customWidth="1"/>
    <col min="4382" max="4382" width="12.125" style="255" customWidth="1"/>
    <col min="4383" max="4383" width="8.25" style="255" customWidth="1"/>
    <col min="4384" max="4385" width="10.375" style="255" customWidth="1"/>
    <col min="4386" max="4386" width="15.625" style="255" customWidth="1"/>
    <col min="4387" max="4387" width="15.875" style="255" customWidth="1"/>
    <col min="4388" max="4388" width="8.125" style="255" customWidth="1"/>
    <col min="4389" max="4392" width="10.375" style="255" customWidth="1"/>
    <col min="4393" max="4393" width="7.25" style="255" customWidth="1"/>
    <col min="4394" max="4394" width="7.125" style="255" customWidth="1"/>
    <col min="4395" max="4395" width="9.5" style="255" customWidth="1"/>
    <col min="4396" max="4397" width="9" style="255" customWidth="1"/>
    <col min="4398" max="4398" width="16.125" style="255" customWidth="1"/>
    <col min="4399" max="4429" width="9" style="255" customWidth="1"/>
    <col min="4430" max="4589" width="25.25" style="255"/>
    <col min="4590" max="4619" width="9" style="255" customWidth="1"/>
    <col min="4620" max="4620" width="0.5" style="255" customWidth="1"/>
    <col min="4621" max="4621" width="25.25" style="255"/>
    <col min="4622" max="4622" width="0.5" style="255" customWidth="1"/>
    <col min="4623" max="4623" width="25.25" style="255"/>
    <col min="4624" max="4624" width="14.75" style="255" customWidth="1"/>
    <col min="4625" max="4625" width="11.5" style="255" customWidth="1"/>
    <col min="4626" max="4626" width="11.25" style="255" customWidth="1"/>
    <col min="4627" max="4627" width="10.75" style="255" customWidth="1"/>
    <col min="4628" max="4628" width="10" style="255" customWidth="1"/>
    <col min="4629" max="4629" width="9.875" style="255" customWidth="1"/>
    <col min="4630" max="4630" width="26.125" style="255" customWidth="1"/>
    <col min="4631" max="4631" width="11.125" style="255" customWidth="1"/>
    <col min="4632" max="4632" width="7.875" style="255" customWidth="1"/>
    <col min="4633" max="4633" width="7.25" style="255" customWidth="1"/>
    <col min="4634" max="4634" width="9.125" style="255" customWidth="1"/>
    <col min="4635" max="4635" width="15.125" style="255" customWidth="1"/>
    <col min="4636" max="4636" width="7.75" style="255" customWidth="1"/>
    <col min="4637" max="4637" width="7.125" style="255" customWidth="1"/>
    <col min="4638" max="4638" width="12.125" style="255" customWidth="1"/>
    <col min="4639" max="4639" width="8.25" style="255" customWidth="1"/>
    <col min="4640" max="4641" width="10.375" style="255" customWidth="1"/>
    <col min="4642" max="4642" width="15.625" style="255" customWidth="1"/>
    <col min="4643" max="4643" width="15.875" style="255" customWidth="1"/>
    <col min="4644" max="4644" width="8.125" style="255" customWidth="1"/>
    <col min="4645" max="4648" width="10.375" style="255" customWidth="1"/>
    <col min="4649" max="4649" width="7.25" style="255" customWidth="1"/>
    <col min="4650" max="4650" width="7.125" style="255" customWidth="1"/>
    <col min="4651" max="4651" width="9.5" style="255" customWidth="1"/>
    <col min="4652" max="4653" width="9" style="255" customWidth="1"/>
    <col min="4654" max="4654" width="16.125" style="255" customWidth="1"/>
    <col min="4655" max="4685" width="9" style="255" customWidth="1"/>
    <col min="4686" max="4845" width="25.25" style="255"/>
    <col min="4846" max="4875" width="9" style="255" customWidth="1"/>
    <col min="4876" max="4876" width="0.5" style="255" customWidth="1"/>
    <col min="4877" max="4877" width="25.25" style="255"/>
    <col min="4878" max="4878" width="0.5" style="255" customWidth="1"/>
    <col min="4879" max="4879" width="25.25" style="255"/>
    <col min="4880" max="4880" width="14.75" style="255" customWidth="1"/>
    <col min="4881" max="4881" width="11.5" style="255" customWidth="1"/>
    <col min="4882" max="4882" width="11.25" style="255" customWidth="1"/>
    <col min="4883" max="4883" width="10.75" style="255" customWidth="1"/>
    <col min="4884" max="4884" width="10" style="255" customWidth="1"/>
    <col min="4885" max="4885" width="9.875" style="255" customWidth="1"/>
    <col min="4886" max="4886" width="26.125" style="255" customWidth="1"/>
    <col min="4887" max="4887" width="11.125" style="255" customWidth="1"/>
    <col min="4888" max="4888" width="7.875" style="255" customWidth="1"/>
    <col min="4889" max="4889" width="7.25" style="255" customWidth="1"/>
    <col min="4890" max="4890" width="9.125" style="255" customWidth="1"/>
    <col min="4891" max="4891" width="15.125" style="255" customWidth="1"/>
    <col min="4892" max="4892" width="7.75" style="255" customWidth="1"/>
    <col min="4893" max="4893" width="7.125" style="255" customWidth="1"/>
    <col min="4894" max="4894" width="12.125" style="255" customWidth="1"/>
    <col min="4895" max="4895" width="8.25" style="255" customWidth="1"/>
    <col min="4896" max="4897" width="10.375" style="255" customWidth="1"/>
    <col min="4898" max="4898" width="15.625" style="255" customWidth="1"/>
    <col min="4899" max="4899" width="15.875" style="255" customWidth="1"/>
    <col min="4900" max="4900" width="8.125" style="255" customWidth="1"/>
    <col min="4901" max="4904" width="10.375" style="255" customWidth="1"/>
    <col min="4905" max="4905" width="7.25" style="255" customWidth="1"/>
    <col min="4906" max="4906" width="7.125" style="255" customWidth="1"/>
    <col min="4907" max="4907" width="9.5" style="255" customWidth="1"/>
    <col min="4908" max="4909" width="9" style="255" customWidth="1"/>
    <col min="4910" max="4910" width="16.125" style="255" customWidth="1"/>
    <col min="4911" max="4941" width="9" style="255" customWidth="1"/>
    <col min="4942" max="5101" width="25.25" style="255"/>
    <col min="5102" max="5131" width="9" style="255" customWidth="1"/>
    <col min="5132" max="5132" width="0.5" style="255" customWidth="1"/>
    <col min="5133" max="5133" width="25.25" style="255"/>
    <col min="5134" max="5134" width="0.5" style="255" customWidth="1"/>
    <col min="5135" max="5135" width="25.25" style="255"/>
    <col min="5136" max="5136" width="14.75" style="255" customWidth="1"/>
    <col min="5137" max="5137" width="11.5" style="255" customWidth="1"/>
    <col min="5138" max="5138" width="11.25" style="255" customWidth="1"/>
    <col min="5139" max="5139" width="10.75" style="255" customWidth="1"/>
    <col min="5140" max="5140" width="10" style="255" customWidth="1"/>
    <col min="5141" max="5141" width="9.875" style="255" customWidth="1"/>
    <col min="5142" max="5142" width="26.125" style="255" customWidth="1"/>
    <col min="5143" max="5143" width="11.125" style="255" customWidth="1"/>
    <col min="5144" max="5144" width="7.875" style="255" customWidth="1"/>
    <col min="5145" max="5145" width="7.25" style="255" customWidth="1"/>
    <col min="5146" max="5146" width="9.125" style="255" customWidth="1"/>
    <col min="5147" max="5147" width="15.125" style="255" customWidth="1"/>
    <col min="5148" max="5148" width="7.75" style="255" customWidth="1"/>
    <col min="5149" max="5149" width="7.125" style="255" customWidth="1"/>
    <col min="5150" max="5150" width="12.125" style="255" customWidth="1"/>
    <col min="5151" max="5151" width="8.25" style="255" customWidth="1"/>
    <col min="5152" max="5153" width="10.375" style="255" customWidth="1"/>
    <col min="5154" max="5154" width="15.625" style="255" customWidth="1"/>
    <col min="5155" max="5155" width="15.875" style="255" customWidth="1"/>
    <col min="5156" max="5156" width="8.125" style="255" customWidth="1"/>
    <col min="5157" max="5160" width="10.375" style="255" customWidth="1"/>
    <col min="5161" max="5161" width="7.25" style="255" customWidth="1"/>
    <col min="5162" max="5162" width="7.125" style="255" customWidth="1"/>
    <col min="5163" max="5163" width="9.5" style="255" customWidth="1"/>
    <col min="5164" max="5165" width="9" style="255" customWidth="1"/>
    <col min="5166" max="5166" width="16.125" style="255" customWidth="1"/>
    <col min="5167" max="5197" width="9" style="255" customWidth="1"/>
    <col min="5198" max="5357" width="25.25" style="255"/>
    <col min="5358" max="5387" width="9" style="255" customWidth="1"/>
    <col min="5388" max="5388" width="0.5" style="255" customWidth="1"/>
    <col min="5389" max="5389" width="25.25" style="255"/>
    <col min="5390" max="5390" width="0.5" style="255" customWidth="1"/>
    <col min="5391" max="5391" width="25.25" style="255"/>
    <col min="5392" max="5392" width="14.75" style="255" customWidth="1"/>
    <col min="5393" max="5393" width="11.5" style="255" customWidth="1"/>
    <col min="5394" max="5394" width="11.25" style="255" customWidth="1"/>
    <col min="5395" max="5395" width="10.75" style="255" customWidth="1"/>
    <col min="5396" max="5396" width="10" style="255" customWidth="1"/>
    <col min="5397" max="5397" width="9.875" style="255" customWidth="1"/>
    <col min="5398" max="5398" width="26.125" style="255" customWidth="1"/>
    <col min="5399" max="5399" width="11.125" style="255" customWidth="1"/>
    <col min="5400" max="5400" width="7.875" style="255" customWidth="1"/>
    <col min="5401" max="5401" width="7.25" style="255" customWidth="1"/>
    <col min="5402" max="5402" width="9.125" style="255" customWidth="1"/>
    <col min="5403" max="5403" width="15.125" style="255" customWidth="1"/>
    <col min="5404" max="5404" width="7.75" style="255" customWidth="1"/>
    <col min="5405" max="5405" width="7.125" style="255" customWidth="1"/>
    <col min="5406" max="5406" width="12.125" style="255" customWidth="1"/>
    <col min="5407" max="5407" width="8.25" style="255" customWidth="1"/>
    <col min="5408" max="5409" width="10.375" style="255" customWidth="1"/>
    <col min="5410" max="5410" width="15.625" style="255" customWidth="1"/>
    <col min="5411" max="5411" width="15.875" style="255" customWidth="1"/>
    <col min="5412" max="5412" width="8.125" style="255" customWidth="1"/>
    <col min="5413" max="5416" width="10.375" style="255" customWidth="1"/>
    <col min="5417" max="5417" width="7.25" style="255" customWidth="1"/>
    <col min="5418" max="5418" width="7.125" style="255" customWidth="1"/>
    <col min="5419" max="5419" width="9.5" style="255" customWidth="1"/>
    <col min="5420" max="5421" width="9" style="255" customWidth="1"/>
    <col min="5422" max="5422" width="16.125" style="255" customWidth="1"/>
    <col min="5423" max="5453" width="9" style="255" customWidth="1"/>
    <col min="5454" max="5613" width="25.25" style="255"/>
    <col min="5614" max="5643" width="9" style="255" customWidth="1"/>
    <col min="5644" max="5644" width="0.5" style="255" customWidth="1"/>
    <col min="5645" max="5645" width="25.25" style="255"/>
    <col min="5646" max="5646" width="0.5" style="255" customWidth="1"/>
    <col min="5647" max="5647" width="25.25" style="255"/>
    <col min="5648" max="5648" width="14.75" style="255" customWidth="1"/>
    <col min="5649" max="5649" width="11.5" style="255" customWidth="1"/>
    <col min="5650" max="5650" width="11.25" style="255" customWidth="1"/>
    <col min="5651" max="5651" width="10.75" style="255" customWidth="1"/>
    <col min="5652" max="5652" width="10" style="255" customWidth="1"/>
    <col min="5653" max="5653" width="9.875" style="255" customWidth="1"/>
    <col min="5654" max="5654" width="26.125" style="255" customWidth="1"/>
    <col min="5655" max="5655" width="11.125" style="255" customWidth="1"/>
    <col min="5656" max="5656" width="7.875" style="255" customWidth="1"/>
    <col min="5657" max="5657" width="7.25" style="255" customWidth="1"/>
    <col min="5658" max="5658" width="9.125" style="255" customWidth="1"/>
    <col min="5659" max="5659" width="15.125" style="255" customWidth="1"/>
    <col min="5660" max="5660" width="7.75" style="255" customWidth="1"/>
    <col min="5661" max="5661" width="7.125" style="255" customWidth="1"/>
    <col min="5662" max="5662" width="12.125" style="255" customWidth="1"/>
    <col min="5663" max="5663" width="8.25" style="255" customWidth="1"/>
    <col min="5664" max="5665" width="10.375" style="255" customWidth="1"/>
    <col min="5666" max="5666" width="15.625" style="255" customWidth="1"/>
    <col min="5667" max="5667" width="15.875" style="255" customWidth="1"/>
    <col min="5668" max="5668" width="8.125" style="255" customWidth="1"/>
    <col min="5669" max="5672" width="10.375" style="255" customWidth="1"/>
    <col min="5673" max="5673" width="7.25" style="255" customWidth="1"/>
    <col min="5674" max="5674" width="7.125" style="255" customWidth="1"/>
    <col min="5675" max="5675" width="9.5" style="255" customWidth="1"/>
    <col min="5676" max="5677" width="9" style="255" customWidth="1"/>
    <col min="5678" max="5678" width="16.125" style="255" customWidth="1"/>
    <col min="5679" max="5709" width="9" style="255" customWidth="1"/>
    <col min="5710" max="5869" width="25.25" style="255"/>
    <col min="5870" max="5899" width="9" style="255" customWidth="1"/>
    <col min="5900" max="5900" width="0.5" style="255" customWidth="1"/>
    <col min="5901" max="5901" width="25.25" style="255"/>
    <col min="5902" max="5902" width="0.5" style="255" customWidth="1"/>
    <col min="5903" max="5903" width="25.25" style="255"/>
    <col min="5904" max="5904" width="14.75" style="255" customWidth="1"/>
    <col min="5905" max="5905" width="11.5" style="255" customWidth="1"/>
    <col min="5906" max="5906" width="11.25" style="255" customWidth="1"/>
    <col min="5907" max="5907" width="10.75" style="255" customWidth="1"/>
    <col min="5908" max="5908" width="10" style="255" customWidth="1"/>
    <col min="5909" max="5909" width="9.875" style="255" customWidth="1"/>
    <col min="5910" max="5910" width="26.125" style="255" customWidth="1"/>
    <col min="5911" max="5911" width="11.125" style="255" customWidth="1"/>
    <col min="5912" max="5912" width="7.875" style="255" customWidth="1"/>
    <col min="5913" max="5913" width="7.25" style="255" customWidth="1"/>
    <col min="5914" max="5914" width="9.125" style="255" customWidth="1"/>
    <col min="5915" max="5915" width="15.125" style="255" customWidth="1"/>
    <col min="5916" max="5916" width="7.75" style="255" customWidth="1"/>
    <col min="5917" max="5917" width="7.125" style="255" customWidth="1"/>
    <col min="5918" max="5918" width="12.125" style="255" customWidth="1"/>
    <col min="5919" max="5919" width="8.25" style="255" customWidth="1"/>
    <col min="5920" max="5921" width="10.375" style="255" customWidth="1"/>
    <col min="5922" max="5922" width="15.625" style="255" customWidth="1"/>
    <col min="5923" max="5923" width="15.875" style="255" customWidth="1"/>
    <col min="5924" max="5924" width="8.125" style="255" customWidth="1"/>
    <col min="5925" max="5928" width="10.375" style="255" customWidth="1"/>
    <col min="5929" max="5929" width="7.25" style="255" customWidth="1"/>
    <col min="5930" max="5930" width="7.125" style="255" customWidth="1"/>
    <col min="5931" max="5931" width="9.5" style="255" customWidth="1"/>
    <col min="5932" max="5933" width="9" style="255" customWidth="1"/>
    <col min="5934" max="5934" width="16.125" style="255" customWidth="1"/>
    <col min="5935" max="5965" width="9" style="255" customWidth="1"/>
    <col min="5966" max="6125" width="25.25" style="255"/>
    <col min="6126" max="6155" width="9" style="255" customWidth="1"/>
    <col min="6156" max="6156" width="0.5" style="255" customWidth="1"/>
    <col min="6157" max="6157" width="25.25" style="255"/>
    <col min="6158" max="6158" width="0.5" style="255" customWidth="1"/>
    <col min="6159" max="6159" width="25.25" style="255"/>
    <col min="6160" max="6160" width="14.75" style="255" customWidth="1"/>
    <col min="6161" max="6161" width="11.5" style="255" customWidth="1"/>
    <col min="6162" max="6162" width="11.25" style="255" customWidth="1"/>
    <col min="6163" max="6163" width="10.75" style="255" customWidth="1"/>
    <col min="6164" max="6164" width="10" style="255" customWidth="1"/>
    <col min="6165" max="6165" width="9.875" style="255" customWidth="1"/>
    <col min="6166" max="6166" width="26.125" style="255" customWidth="1"/>
    <col min="6167" max="6167" width="11.125" style="255" customWidth="1"/>
    <col min="6168" max="6168" width="7.875" style="255" customWidth="1"/>
    <col min="6169" max="6169" width="7.25" style="255" customWidth="1"/>
    <col min="6170" max="6170" width="9.125" style="255" customWidth="1"/>
    <col min="6171" max="6171" width="15.125" style="255" customWidth="1"/>
    <col min="6172" max="6172" width="7.75" style="255" customWidth="1"/>
    <col min="6173" max="6173" width="7.125" style="255" customWidth="1"/>
    <col min="6174" max="6174" width="12.125" style="255" customWidth="1"/>
    <col min="6175" max="6175" width="8.25" style="255" customWidth="1"/>
    <col min="6176" max="6177" width="10.375" style="255" customWidth="1"/>
    <col min="6178" max="6178" width="15.625" style="255" customWidth="1"/>
    <col min="6179" max="6179" width="15.875" style="255" customWidth="1"/>
    <col min="6180" max="6180" width="8.125" style="255" customWidth="1"/>
    <col min="6181" max="6184" width="10.375" style="255" customWidth="1"/>
    <col min="6185" max="6185" width="7.25" style="255" customWidth="1"/>
    <col min="6186" max="6186" width="7.125" style="255" customWidth="1"/>
    <col min="6187" max="6187" width="9.5" style="255" customWidth="1"/>
    <col min="6188" max="6189" width="9" style="255" customWidth="1"/>
    <col min="6190" max="6190" width="16.125" style="255" customWidth="1"/>
    <col min="6191" max="6221" width="9" style="255" customWidth="1"/>
    <col min="6222" max="6381" width="25.25" style="255"/>
    <col min="6382" max="6411" width="9" style="255" customWidth="1"/>
    <col min="6412" max="6412" width="0.5" style="255" customWidth="1"/>
    <col min="6413" max="6413" width="25.25" style="255"/>
    <col min="6414" max="6414" width="0.5" style="255" customWidth="1"/>
    <col min="6415" max="6415" width="25.25" style="255"/>
    <col min="6416" max="6416" width="14.75" style="255" customWidth="1"/>
    <col min="6417" max="6417" width="11.5" style="255" customWidth="1"/>
    <col min="6418" max="6418" width="11.25" style="255" customWidth="1"/>
    <col min="6419" max="6419" width="10.75" style="255" customWidth="1"/>
    <col min="6420" max="6420" width="10" style="255" customWidth="1"/>
    <col min="6421" max="6421" width="9.875" style="255" customWidth="1"/>
    <col min="6422" max="6422" width="26.125" style="255" customWidth="1"/>
    <col min="6423" max="6423" width="11.125" style="255" customWidth="1"/>
    <col min="6424" max="6424" width="7.875" style="255" customWidth="1"/>
    <col min="6425" max="6425" width="7.25" style="255" customWidth="1"/>
    <col min="6426" max="6426" width="9.125" style="255" customWidth="1"/>
    <col min="6427" max="6427" width="15.125" style="255" customWidth="1"/>
    <col min="6428" max="6428" width="7.75" style="255" customWidth="1"/>
    <col min="6429" max="6429" width="7.125" style="255" customWidth="1"/>
    <col min="6430" max="6430" width="12.125" style="255" customWidth="1"/>
    <col min="6431" max="6431" width="8.25" style="255" customWidth="1"/>
    <col min="6432" max="6433" width="10.375" style="255" customWidth="1"/>
    <col min="6434" max="6434" width="15.625" style="255" customWidth="1"/>
    <col min="6435" max="6435" width="15.875" style="255" customWidth="1"/>
    <col min="6436" max="6436" width="8.125" style="255" customWidth="1"/>
    <col min="6437" max="6440" width="10.375" style="255" customWidth="1"/>
    <col min="6441" max="6441" width="7.25" style="255" customWidth="1"/>
    <col min="6442" max="6442" width="7.125" style="255" customWidth="1"/>
    <col min="6443" max="6443" width="9.5" style="255" customWidth="1"/>
    <col min="6444" max="6445" width="9" style="255" customWidth="1"/>
    <col min="6446" max="6446" width="16.125" style="255" customWidth="1"/>
    <col min="6447" max="6477" width="9" style="255" customWidth="1"/>
    <col min="6478" max="6637" width="25.25" style="255"/>
    <col min="6638" max="6667" width="9" style="255" customWidth="1"/>
    <col min="6668" max="6668" width="0.5" style="255" customWidth="1"/>
    <col min="6669" max="6669" width="25.25" style="255"/>
    <col min="6670" max="6670" width="0.5" style="255" customWidth="1"/>
    <col min="6671" max="6671" width="25.25" style="255"/>
    <col min="6672" max="6672" width="14.75" style="255" customWidth="1"/>
    <col min="6673" max="6673" width="11.5" style="255" customWidth="1"/>
    <col min="6674" max="6674" width="11.25" style="255" customWidth="1"/>
    <col min="6675" max="6675" width="10.75" style="255" customWidth="1"/>
    <col min="6676" max="6676" width="10" style="255" customWidth="1"/>
    <col min="6677" max="6677" width="9.875" style="255" customWidth="1"/>
    <col min="6678" max="6678" width="26.125" style="255" customWidth="1"/>
    <col min="6679" max="6679" width="11.125" style="255" customWidth="1"/>
    <col min="6680" max="6680" width="7.875" style="255" customWidth="1"/>
    <col min="6681" max="6681" width="7.25" style="255" customWidth="1"/>
    <col min="6682" max="6682" width="9.125" style="255" customWidth="1"/>
    <col min="6683" max="6683" width="15.125" style="255" customWidth="1"/>
    <col min="6684" max="6684" width="7.75" style="255" customWidth="1"/>
    <col min="6685" max="6685" width="7.125" style="255" customWidth="1"/>
    <col min="6686" max="6686" width="12.125" style="255" customWidth="1"/>
    <col min="6687" max="6687" width="8.25" style="255" customWidth="1"/>
    <col min="6688" max="6689" width="10.375" style="255" customWidth="1"/>
    <col min="6690" max="6690" width="15.625" style="255" customWidth="1"/>
    <col min="6691" max="6691" width="15.875" style="255" customWidth="1"/>
    <col min="6692" max="6692" width="8.125" style="255" customWidth="1"/>
    <col min="6693" max="6696" width="10.375" style="255" customWidth="1"/>
    <col min="6697" max="6697" width="7.25" style="255" customWidth="1"/>
    <col min="6698" max="6698" width="7.125" style="255" customWidth="1"/>
    <col min="6699" max="6699" width="9.5" style="255" customWidth="1"/>
    <col min="6700" max="6701" width="9" style="255" customWidth="1"/>
    <col min="6702" max="6702" width="16.125" style="255" customWidth="1"/>
    <col min="6703" max="6733" width="9" style="255" customWidth="1"/>
    <col min="6734" max="6893" width="25.25" style="255"/>
    <col min="6894" max="6923" width="9" style="255" customWidth="1"/>
    <col min="6924" max="6924" width="0.5" style="255" customWidth="1"/>
    <col min="6925" max="6925" width="25.25" style="255"/>
    <col min="6926" max="6926" width="0.5" style="255" customWidth="1"/>
    <col min="6927" max="6927" width="25.25" style="255"/>
    <col min="6928" max="6928" width="14.75" style="255" customWidth="1"/>
    <col min="6929" max="6929" width="11.5" style="255" customWidth="1"/>
    <col min="6930" max="6930" width="11.25" style="255" customWidth="1"/>
    <col min="6931" max="6931" width="10.75" style="255" customWidth="1"/>
    <col min="6932" max="6932" width="10" style="255" customWidth="1"/>
    <col min="6933" max="6933" width="9.875" style="255" customWidth="1"/>
    <col min="6934" max="6934" width="26.125" style="255" customWidth="1"/>
    <col min="6935" max="6935" width="11.125" style="255" customWidth="1"/>
    <col min="6936" max="6936" width="7.875" style="255" customWidth="1"/>
    <col min="6937" max="6937" width="7.25" style="255" customWidth="1"/>
    <col min="6938" max="6938" width="9.125" style="255" customWidth="1"/>
    <col min="6939" max="6939" width="15.125" style="255" customWidth="1"/>
    <col min="6940" max="6940" width="7.75" style="255" customWidth="1"/>
    <col min="6941" max="6941" width="7.125" style="255" customWidth="1"/>
    <col min="6942" max="6942" width="12.125" style="255" customWidth="1"/>
    <col min="6943" max="6943" width="8.25" style="255" customWidth="1"/>
    <col min="6944" max="6945" width="10.375" style="255" customWidth="1"/>
    <col min="6946" max="6946" width="15.625" style="255" customWidth="1"/>
    <col min="6947" max="6947" width="15.875" style="255" customWidth="1"/>
    <col min="6948" max="6948" width="8.125" style="255" customWidth="1"/>
    <col min="6949" max="6952" width="10.375" style="255" customWidth="1"/>
    <col min="6953" max="6953" width="7.25" style="255" customWidth="1"/>
    <col min="6954" max="6954" width="7.125" style="255" customWidth="1"/>
    <col min="6955" max="6955" width="9.5" style="255" customWidth="1"/>
    <col min="6956" max="6957" width="9" style="255" customWidth="1"/>
    <col min="6958" max="6958" width="16.125" style="255" customWidth="1"/>
    <col min="6959" max="6989" width="9" style="255" customWidth="1"/>
    <col min="6990" max="7149" width="25.25" style="255"/>
    <col min="7150" max="7179" width="9" style="255" customWidth="1"/>
    <col min="7180" max="7180" width="0.5" style="255" customWidth="1"/>
    <col min="7181" max="7181" width="25.25" style="255"/>
    <col min="7182" max="7182" width="0.5" style="255" customWidth="1"/>
    <col min="7183" max="7183" width="25.25" style="255"/>
    <col min="7184" max="7184" width="14.75" style="255" customWidth="1"/>
    <col min="7185" max="7185" width="11.5" style="255" customWidth="1"/>
    <col min="7186" max="7186" width="11.25" style="255" customWidth="1"/>
    <col min="7187" max="7187" width="10.75" style="255" customWidth="1"/>
    <col min="7188" max="7188" width="10" style="255" customWidth="1"/>
    <col min="7189" max="7189" width="9.875" style="255" customWidth="1"/>
    <col min="7190" max="7190" width="26.125" style="255" customWidth="1"/>
    <col min="7191" max="7191" width="11.125" style="255" customWidth="1"/>
    <col min="7192" max="7192" width="7.875" style="255" customWidth="1"/>
    <col min="7193" max="7193" width="7.25" style="255" customWidth="1"/>
    <col min="7194" max="7194" width="9.125" style="255" customWidth="1"/>
    <col min="7195" max="7195" width="15.125" style="255" customWidth="1"/>
    <col min="7196" max="7196" width="7.75" style="255" customWidth="1"/>
    <col min="7197" max="7197" width="7.125" style="255" customWidth="1"/>
    <col min="7198" max="7198" width="12.125" style="255" customWidth="1"/>
    <col min="7199" max="7199" width="8.25" style="255" customWidth="1"/>
    <col min="7200" max="7201" width="10.375" style="255" customWidth="1"/>
    <col min="7202" max="7202" width="15.625" style="255" customWidth="1"/>
    <col min="7203" max="7203" width="15.875" style="255" customWidth="1"/>
    <col min="7204" max="7204" width="8.125" style="255" customWidth="1"/>
    <col min="7205" max="7208" width="10.375" style="255" customWidth="1"/>
    <col min="7209" max="7209" width="7.25" style="255" customWidth="1"/>
    <col min="7210" max="7210" width="7.125" style="255" customWidth="1"/>
    <col min="7211" max="7211" width="9.5" style="255" customWidth="1"/>
    <col min="7212" max="7213" width="9" style="255" customWidth="1"/>
    <col min="7214" max="7214" width="16.125" style="255" customWidth="1"/>
    <col min="7215" max="7245" width="9" style="255" customWidth="1"/>
    <col min="7246" max="7405" width="25.25" style="255"/>
    <col min="7406" max="7435" width="9" style="255" customWidth="1"/>
    <col min="7436" max="7436" width="0.5" style="255" customWidth="1"/>
    <col min="7437" max="7437" width="25.25" style="255"/>
    <col min="7438" max="7438" width="0.5" style="255" customWidth="1"/>
    <col min="7439" max="7439" width="25.25" style="255"/>
    <col min="7440" max="7440" width="14.75" style="255" customWidth="1"/>
    <col min="7441" max="7441" width="11.5" style="255" customWidth="1"/>
    <col min="7442" max="7442" width="11.25" style="255" customWidth="1"/>
    <col min="7443" max="7443" width="10.75" style="255" customWidth="1"/>
    <col min="7444" max="7444" width="10" style="255" customWidth="1"/>
    <col min="7445" max="7445" width="9.875" style="255" customWidth="1"/>
    <col min="7446" max="7446" width="26.125" style="255" customWidth="1"/>
    <col min="7447" max="7447" width="11.125" style="255" customWidth="1"/>
    <col min="7448" max="7448" width="7.875" style="255" customWidth="1"/>
    <col min="7449" max="7449" width="7.25" style="255" customWidth="1"/>
    <col min="7450" max="7450" width="9.125" style="255" customWidth="1"/>
    <col min="7451" max="7451" width="15.125" style="255" customWidth="1"/>
    <col min="7452" max="7452" width="7.75" style="255" customWidth="1"/>
    <col min="7453" max="7453" width="7.125" style="255" customWidth="1"/>
    <col min="7454" max="7454" width="12.125" style="255" customWidth="1"/>
    <col min="7455" max="7455" width="8.25" style="255" customWidth="1"/>
    <col min="7456" max="7457" width="10.375" style="255" customWidth="1"/>
    <col min="7458" max="7458" width="15.625" style="255" customWidth="1"/>
    <col min="7459" max="7459" width="15.875" style="255" customWidth="1"/>
    <col min="7460" max="7460" width="8.125" style="255" customWidth="1"/>
    <col min="7461" max="7464" width="10.375" style="255" customWidth="1"/>
    <col min="7465" max="7465" width="7.25" style="255" customWidth="1"/>
    <col min="7466" max="7466" width="7.125" style="255" customWidth="1"/>
    <col min="7467" max="7467" width="9.5" style="255" customWidth="1"/>
    <col min="7468" max="7469" width="9" style="255" customWidth="1"/>
    <col min="7470" max="7470" width="16.125" style="255" customWidth="1"/>
    <col min="7471" max="7501" width="9" style="255" customWidth="1"/>
    <col min="7502" max="7661" width="25.25" style="255"/>
    <col min="7662" max="7691" width="9" style="255" customWidth="1"/>
    <col min="7692" max="7692" width="0.5" style="255" customWidth="1"/>
    <col min="7693" max="7693" width="25.25" style="255"/>
    <col min="7694" max="7694" width="0.5" style="255" customWidth="1"/>
    <col min="7695" max="7695" width="25.25" style="255"/>
    <col min="7696" max="7696" width="14.75" style="255" customWidth="1"/>
    <col min="7697" max="7697" width="11.5" style="255" customWidth="1"/>
    <col min="7698" max="7698" width="11.25" style="255" customWidth="1"/>
    <col min="7699" max="7699" width="10.75" style="255" customWidth="1"/>
    <col min="7700" max="7700" width="10" style="255" customWidth="1"/>
    <col min="7701" max="7701" width="9.875" style="255" customWidth="1"/>
    <col min="7702" max="7702" width="26.125" style="255" customWidth="1"/>
    <col min="7703" max="7703" width="11.125" style="255" customWidth="1"/>
    <col min="7704" max="7704" width="7.875" style="255" customWidth="1"/>
    <col min="7705" max="7705" width="7.25" style="255" customWidth="1"/>
    <col min="7706" max="7706" width="9.125" style="255" customWidth="1"/>
    <col min="7707" max="7707" width="15.125" style="255" customWidth="1"/>
    <col min="7708" max="7708" width="7.75" style="255" customWidth="1"/>
    <col min="7709" max="7709" width="7.125" style="255" customWidth="1"/>
    <col min="7710" max="7710" width="12.125" style="255" customWidth="1"/>
    <col min="7711" max="7711" width="8.25" style="255" customWidth="1"/>
    <col min="7712" max="7713" width="10.375" style="255" customWidth="1"/>
    <col min="7714" max="7714" width="15.625" style="255" customWidth="1"/>
    <col min="7715" max="7715" width="15.875" style="255" customWidth="1"/>
    <col min="7716" max="7716" width="8.125" style="255" customWidth="1"/>
    <col min="7717" max="7720" width="10.375" style="255" customWidth="1"/>
    <col min="7721" max="7721" width="7.25" style="255" customWidth="1"/>
    <col min="7722" max="7722" width="7.125" style="255" customWidth="1"/>
    <col min="7723" max="7723" width="9.5" style="255" customWidth="1"/>
    <col min="7724" max="7725" width="9" style="255" customWidth="1"/>
    <col min="7726" max="7726" width="16.125" style="255" customWidth="1"/>
    <col min="7727" max="7757" width="9" style="255" customWidth="1"/>
    <col min="7758" max="7917" width="25.25" style="255"/>
    <col min="7918" max="7947" width="9" style="255" customWidth="1"/>
    <col min="7948" max="7948" width="0.5" style="255" customWidth="1"/>
    <col min="7949" max="7949" width="25.25" style="255"/>
    <col min="7950" max="7950" width="0.5" style="255" customWidth="1"/>
    <col min="7951" max="7951" width="25.25" style="255"/>
    <col min="7952" max="7952" width="14.75" style="255" customWidth="1"/>
    <col min="7953" max="7953" width="11.5" style="255" customWidth="1"/>
    <col min="7954" max="7954" width="11.25" style="255" customWidth="1"/>
    <col min="7955" max="7955" width="10.75" style="255" customWidth="1"/>
    <col min="7956" max="7956" width="10" style="255" customWidth="1"/>
    <col min="7957" max="7957" width="9.875" style="255" customWidth="1"/>
    <col min="7958" max="7958" width="26.125" style="255" customWidth="1"/>
    <col min="7959" max="7959" width="11.125" style="255" customWidth="1"/>
    <col min="7960" max="7960" width="7.875" style="255" customWidth="1"/>
    <col min="7961" max="7961" width="7.25" style="255" customWidth="1"/>
    <col min="7962" max="7962" width="9.125" style="255" customWidth="1"/>
    <col min="7963" max="7963" width="15.125" style="255" customWidth="1"/>
    <col min="7964" max="7964" width="7.75" style="255" customWidth="1"/>
    <col min="7965" max="7965" width="7.125" style="255" customWidth="1"/>
    <col min="7966" max="7966" width="12.125" style="255" customWidth="1"/>
    <col min="7967" max="7967" width="8.25" style="255" customWidth="1"/>
    <col min="7968" max="7969" width="10.375" style="255" customWidth="1"/>
    <col min="7970" max="7970" width="15.625" style="255" customWidth="1"/>
    <col min="7971" max="7971" width="15.875" style="255" customWidth="1"/>
    <col min="7972" max="7972" width="8.125" style="255" customWidth="1"/>
    <col min="7973" max="7976" width="10.375" style="255" customWidth="1"/>
    <col min="7977" max="7977" width="7.25" style="255" customWidth="1"/>
    <col min="7978" max="7978" width="7.125" style="255" customWidth="1"/>
    <col min="7979" max="7979" width="9.5" style="255" customWidth="1"/>
    <col min="7980" max="7981" width="9" style="255" customWidth="1"/>
    <col min="7982" max="7982" width="16.125" style="255" customWidth="1"/>
    <col min="7983" max="8013" width="9" style="255" customWidth="1"/>
    <col min="8014" max="8173" width="25.25" style="255"/>
    <col min="8174" max="8203" width="9" style="255" customWidth="1"/>
    <col min="8204" max="8204" width="0.5" style="255" customWidth="1"/>
    <col min="8205" max="8205" width="25.25" style="255"/>
    <col min="8206" max="8206" width="0.5" style="255" customWidth="1"/>
    <col min="8207" max="8207" width="25.25" style="255"/>
    <col min="8208" max="8208" width="14.75" style="255" customWidth="1"/>
    <col min="8209" max="8209" width="11.5" style="255" customWidth="1"/>
    <col min="8210" max="8210" width="11.25" style="255" customWidth="1"/>
    <col min="8211" max="8211" width="10.75" style="255" customWidth="1"/>
    <col min="8212" max="8212" width="10" style="255" customWidth="1"/>
    <col min="8213" max="8213" width="9.875" style="255" customWidth="1"/>
    <col min="8214" max="8214" width="26.125" style="255" customWidth="1"/>
    <col min="8215" max="8215" width="11.125" style="255" customWidth="1"/>
    <col min="8216" max="8216" width="7.875" style="255" customWidth="1"/>
    <col min="8217" max="8217" width="7.25" style="255" customWidth="1"/>
    <col min="8218" max="8218" width="9.125" style="255" customWidth="1"/>
    <col min="8219" max="8219" width="15.125" style="255" customWidth="1"/>
    <col min="8220" max="8220" width="7.75" style="255" customWidth="1"/>
    <col min="8221" max="8221" width="7.125" style="255" customWidth="1"/>
    <col min="8222" max="8222" width="12.125" style="255" customWidth="1"/>
    <col min="8223" max="8223" width="8.25" style="255" customWidth="1"/>
    <col min="8224" max="8225" width="10.375" style="255" customWidth="1"/>
    <col min="8226" max="8226" width="15.625" style="255" customWidth="1"/>
    <col min="8227" max="8227" width="15.875" style="255" customWidth="1"/>
    <col min="8228" max="8228" width="8.125" style="255" customWidth="1"/>
    <col min="8229" max="8232" width="10.375" style="255" customWidth="1"/>
    <col min="8233" max="8233" width="7.25" style="255" customWidth="1"/>
    <col min="8234" max="8234" width="7.125" style="255" customWidth="1"/>
    <col min="8235" max="8235" width="9.5" style="255" customWidth="1"/>
    <col min="8236" max="8237" width="9" style="255" customWidth="1"/>
    <col min="8238" max="8238" width="16.125" style="255" customWidth="1"/>
    <col min="8239" max="8269" width="9" style="255" customWidth="1"/>
    <col min="8270" max="8429" width="25.25" style="255"/>
    <col min="8430" max="8459" width="9" style="255" customWidth="1"/>
    <col min="8460" max="8460" width="0.5" style="255" customWidth="1"/>
    <col min="8461" max="8461" width="25.25" style="255"/>
    <col min="8462" max="8462" width="0.5" style="255" customWidth="1"/>
    <col min="8463" max="8463" width="25.25" style="255"/>
    <col min="8464" max="8464" width="14.75" style="255" customWidth="1"/>
    <col min="8465" max="8465" width="11.5" style="255" customWidth="1"/>
    <col min="8466" max="8466" width="11.25" style="255" customWidth="1"/>
    <col min="8467" max="8467" width="10.75" style="255" customWidth="1"/>
    <col min="8468" max="8468" width="10" style="255" customWidth="1"/>
    <col min="8469" max="8469" width="9.875" style="255" customWidth="1"/>
    <col min="8470" max="8470" width="26.125" style="255" customWidth="1"/>
    <col min="8471" max="8471" width="11.125" style="255" customWidth="1"/>
    <col min="8472" max="8472" width="7.875" style="255" customWidth="1"/>
    <col min="8473" max="8473" width="7.25" style="255" customWidth="1"/>
    <col min="8474" max="8474" width="9.125" style="255" customWidth="1"/>
    <col min="8475" max="8475" width="15.125" style="255" customWidth="1"/>
    <col min="8476" max="8476" width="7.75" style="255" customWidth="1"/>
    <col min="8477" max="8477" width="7.125" style="255" customWidth="1"/>
    <col min="8478" max="8478" width="12.125" style="255" customWidth="1"/>
    <col min="8479" max="8479" width="8.25" style="255" customWidth="1"/>
    <col min="8480" max="8481" width="10.375" style="255" customWidth="1"/>
    <col min="8482" max="8482" width="15.625" style="255" customWidth="1"/>
    <col min="8483" max="8483" width="15.875" style="255" customWidth="1"/>
    <col min="8484" max="8484" width="8.125" style="255" customWidth="1"/>
    <col min="8485" max="8488" width="10.375" style="255" customWidth="1"/>
    <col min="8489" max="8489" width="7.25" style="255" customWidth="1"/>
    <col min="8490" max="8490" width="7.125" style="255" customWidth="1"/>
    <col min="8491" max="8491" width="9.5" style="255" customWidth="1"/>
    <col min="8492" max="8493" width="9" style="255" customWidth="1"/>
    <col min="8494" max="8494" width="16.125" style="255" customWidth="1"/>
    <col min="8495" max="8525" width="9" style="255" customWidth="1"/>
    <col min="8526" max="8685" width="25.25" style="255"/>
    <col min="8686" max="8715" width="9" style="255" customWidth="1"/>
    <col min="8716" max="8716" width="0.5" style="255" customWidth="1"/>
    <col min="8717" max="8717" width="25.25" style="255"/>
    <col min="8718" max="8718" width="0.5" style="255" customWidth="1"/>
    <col min="8719" max="8719" width="25.25" style="255"/>
    <col min="8720" max="8720" width="14.75" style="255" customWidth="1"/>
    <col min="8721" max="8721" width="11.5" style="255" customWidth="1"/>
    <col min="8722" max="8722" width="11.25" style="255" customWidth="1"/>
    <col min="8723" max="8723" width="10.75" style="255" customWidth="1"/>
    <col min="8724" max="8724" width="10" style="255" customWidth="1"/>
    <col min="8725" max="8725" width="9.875" style="255" customWidth="1"/>
    <col min="8726" max="8726" width="26.125" style="255" customWidth="1"/>
    <col min="8727" max="8727" width="11.125" style="255" customWidth="1"/>
    <col min="8728" max="8728" width="7.875" style="255" customWidth="1"/>
    <col min="8729" max="8729" width="7.25" style="255" customWidth="1"/>
    <col min="8730" max="8730" width="9.125" style="255" customWidth="1"/>
    <col min="8731" max="8731" width="15.125" style="255" customWidth="1"/>
    <col min="8732" max="8732" width="7.75" style="255" customWidth="1"/>
    <col min="8733" max="8733" width="7.125" style="255" customWidth="1"/>
    <col min="8734" max="8734" width="12.125" style="255" customWidth="1"/>
    <col min="8735" max="8735" width="8.25" style="255" customWidth="1"/>
    <col min="8736" max="8737" width="10.375" style="255" customWidth="1"/>
    <col min="8738" max="8738" width="15.625" style="255" customWidth="1"/>
    <col min="8739" max="8739" width="15.875" style="255" customWidth="1"/>
    <col min="8740" max="8740" width="8.125" style="255" customWidth="1"/>
    <col min="8741" max="8744" width="10.375" style="255" customWidth="1"/>
    <col min="8745" max="8745" width="7.25" style="255" customWidth="1"/>
    <col min="8746" max="8746" width="7.125" style="255" customWidth="1"/>
    <col min="8747" max="8747" width="9.5" style="255" customWidth="1"/>
    <col min="8748" max="8749" width="9" style="255" customWidth="1"/>
    <col min="8750" max="8750" width="16.125" style="255" customWidth="1"/>
    <col min="8751" max="8781" width="9" style="255" customWidth="1"/>
    <col min="8782" max="8941" width="25.25" style="255"/>
    <col min="8942" max="8971" width="9" style="255" customWidth="1"/>
    <col min="8972" max="8972" width="0.5" style="255" customWidth="1"/>
    <col min="8973" max="8973" width="25.25" style="255"/>
    <col min="8974" max="8974" width="0.5" style="255" customWidth="1"/>
    <col min="8975" max="8975" width="25.25" style="255"/>
    <col min="8976" max="8976" width="14.75" style="255" customWidth="1"/>
    <col min="8977" max="8977" width="11.5" style="255" customWidth="1"/>
    <col min="8978" max="8978" width="11.25" style="255" customWidth="1"/>
    <col min="8979" max="8979" width="10.75" style="255" customWidth="1"/>
    <col min="8980" max="8980" width="10" style="255" customWidth="1"/>
    <col min="8981" max="8981" width="9.875" style="255" customWidth="1"/>
    <col min="8982" max="8982" width="26.125" style="255" customWidth="1"/>
    <col min="8983" max="8983" width="11.125" style="255" customWidth="1"/>
    <col min="8984" max="8984" width="7.875" style="255" customWidth="1"/>
    <col min="8985" max="8985" width="7.25" style="255" customWidth="1"/>
    <col min="8986" max="8986" width="9.125" style="255" customWidth="1"/>
    <col min="8987" max="8987" width="15.125" style="255" customWidth="1"/>
    <col min="8988" max="8988" width="7.75" style="255" customWidth="1"/>
    <col min="8989" max="8989" width="7.125" style="255" customWidth="1"/>
    <col min="8990" max="8990" width="12.125" style="255" customWidth="1"/>
    <col min="8991" max="8991" width="8.25" style="255" customWidth="1"/>
    <col min="8992" max="8993" width="10.375" style="255" customWidth="1"/>
    <col min="8994" max="8994" width="15.625" style="255" customWidth="1"/>
    <col min="8995" max="8995" width="15.875" style="255" customWidth="1"/>
    <col min="8996" max="8996" width="8.125" style="255" customWidth="1"/>
    <col min="8997" max="9000" width="10.375" style="255" customWidth="1"/>
    <col min="9001" max="9001" width="7.25" style="255" customWidth="1"/>
    <col min="9002" max="9002" width="7.125" style="255" customWidth="1"/>
    <col min="9003" max="9003" width="9.5" style="255" customWidth="1"/>
    <col min="9004" max="9005" width="9" style="255" customWidth="1"/>
    <col min="9006" max="9006" width="16.125" style="255" customWidth="1"/>
    <col min="9007" max="9037" width="9" style="255" customWidth="1"/>
    <col min="9038" max="9197" width="25.25" style="255"/>
    <col min="9198" max="9227" width="9" style="255" customWidth="1"/>
    <col min="9228" max="9228" width="0.5" style="255" customWidth="1"/>
    <col min="9229" max="9229" width="25.25" style="255"/>
    <col min="9230" max="9230" width="0.5" style="255" customWidth="1"/>
    <col min="9231" max="9231" width="25.25" style="255"/>
    <col min="9232" max="9232" width="14.75" style="255" customWidth="1"/>
    <col min="9233" max="9233" width="11.5" style="255" customWidth="1"/>
    <col min="9234" max="9234" width="11.25" style="255" customWidth="1"/>
    <col min="9235" max="9235" width="10.75" style="255" customWidth="1"/>
    <col min="9236" max="9236" width="10" style="255" customWidth="1"/>
    <col min="9237" max="9237" width="9.875" style="255" customWidth="1"/>
    <col min="9238" max="9238" width="26.125" style="255" customWidth="1"/>
    <col min="9239" max="9239" width="11.125" style="255" customWidth="1"/>
    <col min="9240" max="9240" width="7.875" style="255" customWidth="1"/>
    <col min="9241" max="9241" width="7.25" style="255" customWidth="1"/>
    <col min="9242" max="9242" width="9.125" style="255" customWidth="1"/>
    <col min="9243" max="9243" width="15.125" style="255" customWidth="1"/>
    <col min="9244" max="9244" width="7.75" style="255" customWidth="1"/>
    <col min="9245" max="9245" width="7.125" style="255" customWidth="1"/>
    <col min="9246" max="9246" width="12.125" style="255" customWidth="1"/>
    <col min="9247" max="9247" width="8.25" style="255" customWidth="1"/>
    <col min="9248" max="9249" width="10.375" style="255" customWidth="1"/>
    <col min="9250" max="9250" width="15.625" style="255" customWidth="1"/>
    <col min="9251" max="9251" width="15.875" style="255" customWidth="1"/>
    <col min="9252" max="9252" width="8.125" style="255" customWidth="1"/>
    <col min="9253" max="9256" width="10.375" style="255" customWidth="1"/>
    <col min="9257" max="9257" width="7.25" style="255" customWidth="1"/>
    <col min="9258" max="9258" width="7.125" style="255" customWidth="1"/>
    <col min="9259" max="9259" width="9.5" style="255" customWidth="1"/>
    <col min="9260" max="9261" width="9" style="255" customWidth="1"/>
    <col min="9262" max="9262" width="16.125" style="255" customWidth="1"/>
    <col min="9263" max="9293" width="9" style="255" customWidth="1"/>
    <col min="9294" max="9453" width="25.25" style="255"/>
    <col min="9454" max="9483" width="9" style="255" customWidth="1"/>
    <col min="9484" max="9484" width="0.5" style="255" customWidth="1"/>
    <col min="9485" max="9485" width="25.25" style="255"/>
    <col min="9486" max="9486" width="0.5" style="255" customWidth="1"/>
    <col min="9487" max="9487" width="25.25" style="255"/>
    <col min="9488" max="9488" width="14.75" style="255" customWidth="1"/>
    <col min="9489" max="9489" width="11.5" style="255" customWidth="1"/>
    <col min="9490" max="9490" width="11.25" style="255" customWidth="1"/>
    <col min="9491" max="9491" width="10.75" style="255" customWidth="1"/>
    <col min="9492" max="9492" width="10" style="255" customWidth="1"/>
    <col min="9493" max="9493" width="9.875" style="255" customWidth="1"/>
    <col min="9494" max="9494" width="26.125" style="255" customWidth="1"/>
    <col min="9495" max="9495" width="11.125" style="255" customWidth="1"/>
    <col min="9496" max="9496" width="7.875" style="255" customWidth="1"/>
    <col min="9497" max="9497" width="7.25" style="255" customWidth="1"/>
    <col min="9498" max="9498" width="9.125" style="255" customWidth="1"/>
    <col min="9499" max="9499" width="15.125" style="255" customWidth="1"/>
    <col min="9500" max="9500" width="7.75" style="255" customWidth="1"/>
    <col min="9501" max="9501" width="7.125" style="255" customWidth="1"/>
    <col min="9502" max="9502" width="12.125" style="255" customWidth="1"/>
    <col min="9503" max="9503" width="8.25" style="255" customWidth="1"/>
    <col min="9504" max="9505" width="10.375" style="255" customWidth="1"/>
    <col min="9506" max="9506" width="15.625" style="255" customWidth="1"/>
    <col min="9507" max="9507" width="15.875" style="255" customWidth="1"/>
    <col min="9508" max="9508" width="8.125" style="255" customWidth="1"/>
    <col min="9509" max="9512" width="10.375" style="255" customWidth="1"/>
    <col min="9513" max="9513" width="7.25" style="255" customWidth="1"/>
    <col min="9514" max="9514" width="7.125" style="255" customWidth="1"/>
    <col min="9515" max="9515" width="9.5" style="255" customWidth="1"/>
    <col min="9516" max="9517" width="9" style="255" customWidth="1"/>
    <col min="9518" max="9518" width="16.125" style="255" customWidth="1"/>
    <col min="9519" max="9549" width="9" style="255" customWidth="1"/>
    <col min="9550" max="9709" width="25.25" style="255"/>
    <col min="9710" max="9739" width="9" style="255" customWidth="1"/>
    <col min="9740" max="9740" width="0.5" style="255" customWidth="1"/>
    <col min="9741" max="9741" width="25.25" style="255"/>
    <col min="9742" max="9742" width="0.5" style="255" customWidth="1"/>
    <col min="9743" max="9743" width="25.25" style="255"/>
    <col min="9744" max="9744" width="14.75" style="255" customWidth="1"/>
    <col min="9745" max="9745" width="11.5" style="255" customWidth="1"/>
    <col min="9746" max="9746" width="11.25" style="255" customWidth="1"/>
    <col min="9747" max="9747" width="10.75" style="255" customWidth="1"/>
    <col min="9748" max="9748" width="10" style="255" customWidth="1"/>
    <col min="9749" max="9749" width="9.875" style="255" customWidth="1"/>
    <col min="9750" max="9750" width="26.125" style="255" customWidth="1"/>
    <col min="9751" max="9751" width="11.125" style="255" customWidth="1"/>
    <col min="9752" max="9752" width="7.875" style="255" customWidth="1"/>
    <col min="9753" max="9753" width="7.25" style="255" customWidth="1"/>
    <col min="9754" max="9754" width="9.125" style="255" customWidth="1"/>
    <col min="9755" max="9755" width="15.125" style="255" customWidth="1"/>
    <col min="9756" max="9756" width="7.75" style="255" customWidth="1"/>
    <col min="9757" max="9757" width="7.125" style="255" customWidth="1"/>
    <col min="9758" max="9758" width="12.125" style="255" customWidth="1"/>
    <col min="9759" max="9759" width="8.25" style="255" customWidth="1"/>
    <col min="9760" max="9761" width="10.375" style="255" customWidth="1"/>
    <col min="9762" max="9762" width="15.625" style="255" customWidth="1"/>
    <col min="9763" max="9763" width="15.875" style="255" customWidth="1"/>
    <col min="9764" max="9764" width="8.125" style="255" customWidth="1"/>
    <col min="9765" max="9768" width="10.375" style="255" customWidth="1"/>
    <col min="9769" max="9769" width="7.25" style="255" customWidth="1"/>
    <col min="9770" max="9770" width="7.125" style="255" customWidth="1"/>
    <col min="9771" max="9771" width="9.5" style="255" customWidth="1"/>
    <col min="9772" max="9773" width="9" style="255" customWidth="1"/>
    <col min="9774" max="9774" width="16.125" style="255" customWidth="1"/>
    <col min="9775" max="9805" width="9" style="255" customWidth="1"/>
    <col min="9806" max="9965" width="25.25" style="255"/>
    <col min="9966" max="9995" width="9" style="255" customWidth="1"/>
    <col min="9996" max="9996" width="0.5" style="255" customWidth="1"/>
    <col min="9997" max="9997" width="25.25" style="255"/>
    <col min="9998" max="9998" width="0.5" style="255" customWidth="1"/>
    <col min="9999" max="9999" width="25.25" style="255"/>
    <col min="10000" max="10000" width="14.75" style="255" customWidth="1"/>
    <col min="10001" max="10001" width="11.5" style="255" customWidth="1"/>
    <col min="10002" max="10002" width="11.25" style="255" customWidth="1"/>
    <col min="10003" max="10003" width="10.75" style="255" customWidth="1"/>
    <col min="10004" max="10004" width="10" style="255" customWidth="1"/>
    <col min="10005" max="10005" width="9.875" style="255" customWidth="1"/>
    <col min="10006" max="10006" width="26.125" style="255" customWidth="1"/>
    <col min="10007" max="10007" width="11.125" style="255" customWidth="1"/>
    <col min="10008" max="10008" width="7.875" style="255" customWidth="1"/>
    <col min="10009" max="10009" width="7.25" style="255" customWidth="1"/>
    <col min="10010" max="10010" width="9.125" style="255" customWidth="1"/>
    <col min="10011" max="10011" width="15.125" style="255" customWidth="1"/>
    <col min="10012" max="10012" width="7.75" style="255" customWidth="1"/>
    <col min="10013" max="10013" width="7.125" style="255" customWidth="1"/>
    <col min="10014" max="10014" width="12.125" style="255" customWidth="1"/>
    <col min="10015" max="10015" width="8.25" style="255" customWidth="1"/>
    <col min="10016" max="10017" width="10.375" style="255" customWidth="1"/>
    <col min="10018" max="10018" width="15.625" style="255" customWidth="1"/>
    <col min="10019" max="10019" width="15.875" style="255" customWidth="1"/>
    <col min="10020" max="10020" width="8.125" style="255" customWidth="1"/>
    <col min="10021" max="10024" width="10.375" style="255" customWidth="1"/>
    <col min="10025" max="10025" width="7.25" style="255" customWidth="1"/>
    <col min="10026" max="10026" width="7.125" style="255" customWidth="1"/>
    <col min="10027" max="10027" width="9.5" style="255" customWidth="1"/>
    <col min="10028" max="10029" width="9" style="255" customWidth="1"/>
    <col min="10030" max="10030" width="16.125" style="255" customWidth="1"/>
    <col min="10031" max="10061" width="9" style="255" customWidth="1"/>
    <col min="10062" max="10221" width="25.25" style="255"/>
    <col min="10222" max="10251" width="9" style="255" customWidth="1"/>
    <col min="10252" max="10252" width="0.5" style="255" customWidth="1"/>
    <col min="10253" max="10253" width="25.25" style="255"/>
    <col min="10254" max="10254" width="0.5" style="255" customWidth="1"/>
    <col min="10255" max="10255" width="25.25" style="255"/>
    <col min="10256" max="10256" width="14.75" style="255" customWidth="1"/>
    <col min="10257" max="10257" width="11.5" style="255" customWidth="1"/>
    <col min="10258" max="10258" width="11.25" style="255" customWidth="1"/>
    <col min="10259" max="10259" width="10.75" style="255" customWidth="1"/>
    <col min="10260" max="10260" width="10" style="255" customWidth="1"/>
    <col min="10261" max="10261" width="9.875" style="255" customWidth="1"/>
    <col min="10262" max="10262" width="26.125" style="255" customWidth="1"/>
    <col min="10263" max="10263" width="11.125" style="255" customWidth="1"/>
    <col min="10264" max="10264" width="7.875" style="255" customWidth="1"/>
    <col min="10265" max="10265" width="7.25" style="255" customWidth="1"/>
    <col min="10266" max="10266" width="9.125" style="255" customWidth="1"/>
    <col min="10267" max="10267" width="15.125" style="255" customWidth="1"/>
    <col min="10268" max="10268" width="7.75" style="255" customWidth="1"/>
    <col min="10269" max="10269" width="7.125" style="255" customWidth="1"/>
    <col min="10270" max="10270" width="12.125" style="255" customWidth="1"/>
    <col min="10271" max="10271" width="8.25" style="255" customWidth="1"/>
    <col min="10272" max="10273" width="10.375" style="255" customWidth="1"/>
    <col min="10274" max="10274" width="15.625" style="255" customWidth="1"/>
    <col min="10275" max="10275" width="15.875" style="255" customWidth="1"/>
    <col min="10276" max="10276" width="8.125" style="255" customWidth="1"/>
    <col min="10277" max="10280" width="10.375" style="255" customWidth="1"/>
    <col min="10281" max="10281" width="7.25" style="255" customWidth="1"/>
    <col min="10282" max="10282" width="7.125" style="255" customWidth="1"/>
    <col min="10283" max="10283" width="9.5" style="255" customWidth="1"/>
    <col min="10284" max="10285" width="9" style="255" customWidth="1"/>
    <col min="10286" max="10286" width="16.125" style="255" customWidth="1"/>
    <col min="10287" max="10317" width="9" style="255" customWidth="1"/>
    <col min="10318" max="10477" width="25.25" style="255"/>
    <col min="10478" max="10507" width="9" style="255" customWidth="1"/>
    <col min="10508" max="10508" width="0.5" style="255" customWidth="1"/>
    <col min="10509" max="10509" width="25.25" style="255"/>
    <col min="10510" max="10510" width="0.5" style="255" customWidth="1"/>
    <col min="10511" max="10511" width="25.25" style="255"/>
    <col min="10512" max="10512" width="14.75" style="255" customWidth="1"/>
    <col min="10513" max="10513" width="11.5" style="255" customWidth="1"/>
    <col min="10514" max="10514" width="11.25" style="255" customWidth="1"/>
    <col min="10515" max="10515" width="10.75" style="255" customWidth="1"/>
    <col min="10516" max="10516" width="10" style="255" customWidth="1"/>
    <col min="10517" max="10517" width="9.875" style="255" customWidth="1"/>
    <col min="10518" max="10518" width="26.125" style="255" customWidth="1"/>
    <col min="10519" max="10519" width="11.125" style="255" customWidth="1"/>
    <col min="10520" max="10520" width="7.875" style="255" customWidth="1"/>
    <col min="10521" max="10521" width="7.25" style="255" customWidth="1"/>
    <col min="10522" max="10522" width="9.125" style="255" customWidth="1"/>
    <col min="10523" max="10523" width="15.125" style="255" customWidth="1"/>
    <col min="10524" max="10524" width="7.75" style="255" customWidth="1"/>
    <col min="10525" max="10525" width="7.125" style="255" customWidth="1"/>
    <col min="10526" max="10526" width="12.125" style="255" customWidth="1"/>
    <col min="10527" max="10527" width="8.25" style="255" customWidth="1"/>
    <col min="10528" max="10529" width="10.375" style="255" customWidth="1"/>
    <col min="10530" max="10530" width="15.625" style="255" customWidth="1"/>
    <col min="10531" max="10531" width="15.875" style="255" customWidth="1"/>
    <col min="10532" max="10532" width="8.125" style="255" customWidth="1"/>
    <col min="10533" max="10536" width="10.375" style="255" customWidth="1"/>
    <col min="10537" max="10537" width="7.25" style="255" customWidth="1"/>
    <col min="10538" max="10538" width="7.125" style="255" customWidth="1"/>
    <col min="10539" max="10539" width="9.5" style="255" customWidth="1"/>
    <col min="10540" max="10541" width="9" style="255" customWidth="1"/>
    <col min="10542" max="10542" width="16.125" style="255" customWidth="1"/>
    <col min="10543" max="10573" width="9" style="255" customWidth="1"/>
    <col min="10574" max="10733" width="25.25" style="255"/>
    <col min="10734" max="10763" width="9" style="255" customWidth="1"/>
    <col min="10764" max="10764" width="0.5" style="255" customWidth="1"/>
    <col min="10765" max="10765" width="25.25" style="255"/>
    <col min="10766" max="10766" width="0.5" style="255" customWidth="1"/>
    <col min="10767" max="10767" width="25.25" style="255"/>
    <col min="10768" max="10768" width="14.75" style="255" customWidth="1"/>
    <col min="10769" max="10769" width="11.5" style="255" customWidth="1"/>
    <col min="10770" max="10770" width="11.25" style="255" customWidth="1"/>
    <col min="10771" max="10771" width="10.75" style="255" customWidth="1"/>
    <col min="10772" max="10772" width="10" style="255" customWidth="1"/>
    <col min="10773" max="10773" width="9.875" style="255" customWidth="1"/>
    <col min="10774" max="10774" width="26.125" style="255" customWidth="1"/>
    <col min="10775" max="10775" width="11.125" style="255" customWidth="1"/>
    <col min="10776" max="10776" width="7.875" style="255" customWidth="1"/>
    <col min="10777" max="10777" width="7.25" style="255" customWidth="1"/>
    <col min="10778" max="10778" width="9.125" style="255" customWidth="1"/>
    <col min="10779" max="10779" width="15.125" style="255" customWidth="1"/>
    <col min="10780" max="10780" width="7.75" style="255" customWidth="1"/>
    <col min="10781" max="10781" width="7.125" style="255" customWidth="1"/>
    <col min="10782" max="10782" width="12.125" style="255" customWidth="1"/>
    <col min="10783" max="10783" width="8.25" style="255" customWidth="1"/>
    <col min="10784" max="10785" width="10.375" style="255" customWidth="1"/>
    <col min="10786" max="10786" width="15.625" style="255" customWidth="1"/>
    <col min="10787" max="10787" width="15.875" style="255" customWidth="1"/>
    <col min="10788" max="10788" width="8.125" style="255" customWidth="1"/>
    <col min="10789" max="10792" width="10.375" style="255" customWidth="1"/>
    <col min="10793" max="10793" width="7.25" style="255" customWidth="1"/>
    <col min="10794" max="10794" width="7.125" style="255" customWidth="1"/>
    <col min="10795" max="10795" width="9.5" style="255" customWidth="1"/>
    <col min="10796" max="10797" width="9" style="255" customWidth="1"/>
    <col min="10798" max="10798" width="16.125" style="255" customWidth="1"/>
    <col min="10799" max="10829" width="9" style="255" customWidth="1"/>
    <col min="10830" max="10989" width="25.25" style="255"/>
    <col min="10990" max="11019" width="9" style="255" customWidth="1"/>
    <col min="11020" max="11020" width="0.5" style="255" customWidth="1"/>
    <col min="11021" max="11021" width="25.25" style="255"/>
    <col min="11022" max="11022" width="0.5" style="255" customWidth="1"/>
    <col min="11023" max="11023" width="25.25" style="255"/>
    <col min="11024" max="11024" width="14.75" style="255" customWidth="1"/>
    <col min="11025" max="11025" width="11.5" style="255" customWidth="1"/>
    <col min="11026" max="11026" width="11.25" style="255" customWidth="1"/>
    <col min="11027" max="11027" width="10.75" style="255" customWidth="1"/>
    <col min="11028" max="11028" width="10" style="255" customWidth="1"/>
    <col min="11029" max="11029" width="9.875" style="255" customWidth="1"/>
    <col min="11030" max="11030" width="26.125" style="255" customWidth="1"/>
    <col min="11031" max="11031" width="11.125" style="255" customWidth="1"/>
    <col min="11032" max="11032" width="7.875" style="255" customWidth="1"/>
    <col min="11033" max="11033" width="7.25" style="255" customWidth="1"/>
    <col min="11034" max="11034" width="9.125" style="255" customWidth="1"/>
    <col min="11035" max="11035" width="15.125" style="255" customWidth="1"/>
    <col min="11036" max="11036" width="7.75" style="255" customWidth="1"/>
    <col min="11037" max="11037" width="7.125" style="255" customWidth="1"/>
    <col min="11038" max="11038" width="12.125" style="255" customWidth="1"/>
    <col min="11039" max="11039" width="8.25" style="255" customWidth="1"/>
    <col min="11040" max="11041" width="10.375" style="255" customWidth="1"/>
    <col min="11042" max="11042" width="15.625" style="255" customWidth="1"/>
    <col min="11043" max="11043" width="15.875" style="255" customWidth="1"/>
    <col min="11044" max="11044" width="8.125" style="255" customWidth="1"/>
    <col min="11045" max="11048" width="10.375" style="255" customWidth="1"/>
    <col min="11049" max="11049" width="7.25" style="255" customWidth="1"/>
    <col min="11050" max="11050" width="7.125" style="255" customWidth="1"/>
    <col min="11051" max="11051" width="9.5" style="255" customWidth="1"/>
    <col min="11052" max="11053" width="9" style="255" customWidth="1"/>
    <col min="11054" max="11054" width="16.125" style="255" customWidth="1"/>
    <col min="11055" max="11085" width="9" style="255" customWidth="1"/>
    <col min="11086" max="11245" width="25.25" style="255"/>
    <col min="11246" max="11275" width="9" style="255" customWidth="1"/>
    <col min="11276" max="11276" width="0.5" style="255" customWidth="1"/>
    <col min="11277" max="11277" width="25.25" style="255"/>
    <col min="11278" max="11278" width="0.5" style="255" customWidth="1"/>
    <col min="11279" max="11279" width="25.25" style="255"/>
    <col min="11280" max="11280" width="14.75" style="255" customWidth="1"/>
    <col min="11281" max="11281" width="11.5" style="255" customWidth="1"/>
    <col min="11282" max="11282" width="11.25" style="255" customWidth="1"/>
    <col min="11283" max="11283" width="10.75" style="255" customWidth="1"/>
    <col min="11284" max="11284" width="10" style="255" customWidth="1"/>
    <col min="11285" max="11285" width="9.875" style="255" customWidth="1"/>
    <col min="11286" max="11286" width="26.125" style="255" customWidth="1"/>
    <col min="11287" max="11287" width="11.125" style="255" customWidth="1"/>
    <col min="11288" max="11288" width="7.875" style="255" customWidth="1"/>
    <col min="11289" max="11289" width="7.25" style="255" customWidth="1"/>
    <col min="11290" max="11290" width="9.125" style="255" customWidth="1"/>
    <col min="11291" max="11291" width="15.125" style="255" customWidth="1"/>
    <col min="11292" max="11292" width="7.75" style="255" customWidth="1"/>
    <col min="11293" max="11293" width="7.125" style="255" customWidth="1"/>
    <col min="11294" max="11294" width="12.125" style="255" customWidth="1"/>
    <col min="11295" max="11295" width="8.25" style="255" customWidth="1"/>
    <col min="11296" max="11297" width="10.375" style="255" customWidth="1"/>
    <col min="11298" max="11298" width="15.625" style="255" customWidth="1"/>
    <col min="11299" max="11299" width="15.875" style="255" customWidth="1"/>
    <col min="11300" max="11300" width="8.125" style="255" customWidth="1"/>
    <col min="11301" max="11304" width="10.375" style="255" customWidth="1"/>
    <col min="11305" max="11305" width="7.25" style="255" customWidth="1"/>
    <col min="11306" max="11306" width="7.125" style="255" customWidth="1"/>
    <col min="11307" max="11307" width="9.5" style="255" customWidth="1"/>
    <col min="11308" max="11309" width="9" style="255" customWidth="1"/>
    <col min="11310" max="11310" width="16.125" style="255" customWidth="1"/>
    <col min="11311" max="11341" width="9" style="255" customWidth="1"/>
    <col min="11342" max="11501" width="25.25" style="255"/>
    <col min="11502" max="11531" width="9" style="255" customWidth="1"/>
    <col min="11532" max="11532" width="0.5" style="255" customWidth="1"/>
    <col min="11533" max="11533" width="25.25" style="255"/>
    <col min="11534" max="11534" width="0.5" style="255" customWidth="1"/>
    <col min="11535" max="11535" width="25.25" style="255"/>
    <col min="11536" max="11536" width="14.75" style="255" customWidth="1"/>
    <col min="11537" max="11537" width="11.5" style="255" customWidth="1"/>
    <col min="11538" max="11538" width="11.25" style="255" customWidth="1"/>
    <col min="11539" max="11539" width="10.75" style="255" customWidth="1"/>
    <col min="11540" max="11540" width="10" style="255" customWidth="1"/>
    <col min="11541" max="11541" width="9.875" style="255" customWidth="1"/>
    <col min="11542" max="11542" width="26.125" style="255" customWidth="1"/>
    <col min="11543" max="11543" width="11.125" style="255" customWidth="1"/>
    <col min="11544" max="11544" width="7.875" style="255" customWidth="1"/>
    <col min="11545" max="11545" width="7.25" style="255" customWidth="1"/>
    <col min="11546" max="11546" width="9.125" style="255" customWidth="1"/>
    <col min="11547" max="11547" width="15.125" style="255" customWidth="1"/>
    <col min="11548" max="11548" width="7.75" style="255" customWidth="1"/>
    <col min="11549" max="11549" width="7.125" style="255" customWidth="1"/>
    <col min="11550" max="11550" width="12.125" style="255" customWidth="1"/>
    <col min="11551" max="11551" width="8.25" style="255" customWidth="1"/>
    <col min="11552" max="11553" width="10.375" style="255" customWidth="1"/>
    <col min="11554" max="11554" width="15.625" style="255" customWidth="1"/>
    <col min="11555" max="11555" width="15.875" style="255" customWidth="1"/>
    <col min="11556" max="11556" width="8.125" style="255" customWidth="1"/>
    <col min="11557" max="11560" width="10.375" style="255" customWidth="1"/>
    <col min="11561" max="11561" width="7.25" style="255" customWidth="1"/>
    <col min="11562" max="11562" width="7.125" style="255" customWidth="1"/>
    <col min="11563" max="11563" width="9.5" style="255" customWidth="1"/>
    <col min="11564" max="11565" width="9" style="255" customWidth="1"/>
    <col min="11566" max="11566" width="16.125" style="255" customWidth="1"/>
    <col min="11567" max="11597" width="9" style="255" customWidth="1"/>
    <col min="11598" max="11757" width="25.25" style="255"/>
    <col min="11758" max="11787" width="9" style="255" customWidth="1"/>
    <col min="11788" max="11788" width="0.5" style="255" customWidth="1"/>
    <col min="11789" max="11789" width="25.25" style="255"/>
    <col min="11790" max="11790" width="0.5" style="255" customWidth="1"/>
    <col min="11791" max="11791" width="25.25" style="255"/>
    <col min="11792" max="11792" width="14.75" style="255" customWidth="1"/>
    <col min="11793" max="11793" width="11.5" style="255" customWidth="1"/>
    <col min="11794" max="11794" width="11.25" style="255" customWidth="1"/>
    <col min="11795" max="11795" width="10.75" style="255" customWidth="1"/>
    <col min="11796" max="11796" width="10" style="255" customWidth="1"/>
    <col min="11797" max="11797" width="9.875" style="255" customWidth="1"/>
    <col min="11798" max="11798" width="26.125" style="255" customWidth="1"/>
    <col min="11799" max="11799" width="11.125" style="255" customWidth="1"/>
    <col min="11800" max="11800" width="7.875" style="255" customWidth="1"/>
    <col min="11801" max="11801" width="7.25" style="255" customWidth="1"/>
    <col min="11802" max="11802" width="9.125" style="255" customWidth="1"/>
    <col min="11803" max="11803" width="15.125" style="255" customWidth="1"/>
    <col min="11804" max="11804" width="7.75" style="255" customWidth="1"/>
    <col min="11805" max="11805" width="7.125" style="255" customWidth="1"/>
    <col min="11806" max="11806" width="12.125" style="255" customWidth="1"/>
    <col min="11807" max="11807" width="8.25" style="255" customWidth="1"/>
    <col min="11808" max="11809" width="10.375" style="255" customWidth="1"/>
    <col min="11810" max="11810" width="15.625" style="255" customWidth="1"/>
    <col min="11811" max="11811" width="15.875" style="255" customWidth="1"/>
    <col min="11812" max="11812" width="8.125" style="255" customWidth="1"/>
    <col min="11813" max="11816" width="10.375" style="255" customWidth="1"/>
    <col min="11817" max="11817" width="7.25" style="255" customWidth="1"/>
    <col min="11818" max="11818" width="7.125" style="255" customWidth="1"/>
    <col min="11819" max="11819" width="9.5" style="255" customWidth="1"/>
    <col min="11820" max="11821" width="9" style="255" customWidth="1"/>
    <col min="11822" max="11822" width="16.125" style="255" customWidth="1"/>
    <col min="11823" max="11853" width="9" style="255" customWidth="1"/>
    <col min="11854" max="12013" width="25.25" style="255"/>
    <col min="12014" max="12043" width="9" style="255" customWidth="1"/>
    <col min="12044" max="12044" width="0.5" style="255" customWidth="1"/>
    <col min="12045" max="12045" width="25.25" style="255"/>
    <col min="12046" max="12046" width="0.5" style="255" customWidth="1"/>
    <col min="12047" max="12047" width="25.25" style="255"/>
    <col min="12048" max="12048" width="14.75" style="255" customWidth="1"/>
    <col min="12049" max="12049" width="11.5" style="255" customWidth="1"/>
    <col min="12050" max="12050" width="11.25" style="255" customWidth="1"/>
    <col min="12051" max="12051" width="10.75" style="255" customWidth="1"/>
    <col min="12052" max="12052" width="10" style="255" customWidth="1"/>
    <col min="12053" max="12053" width="9.875" style="255" customWidth="1"/>
    <col min="12054" max="12054" width="26.125" style="255" customWidth="1"/>
    <col min="12055" max="12055" width="11.125" style="255" customWidth="1"/>
    <col min="12056" max="12056" width="7.875" style="255" customWidth="1"/>
    <col min="12057" max="12057" width="7.25" style="255" customWidth="1"/>
    <col min="12058" max="12058" width="9.125" style="255" customWidth="1"/>
    <col min="12059" max="12059" width="15.125" style="255" customWidth="1"/>
    <col min="12060" max="12060" width="7.75" style="255" customWidth="1"/>
    <col min="12061" max="12061" width="7.125" style="255" customWidth="1"/>
    <col min="12062" max="12062" width="12.125" style="255" customWidth="1"/>
    <col min="12063" max="12063" width="8.25" style="255" customWidth="1"/>
    <col min="12064" max="12065" width="10.375" style="255" customWidth="1"/>
    <col min="12066" max="12066" width="15.625" style="255" customWidth="1"/>
    <col min="12067" max="12067" width="15.875" style="255" customWidth="1"/>
    <col min="12068" max="12068" width="8.125" style="255" customWidth="1"/>
    <col min="12069" max="12072" width="10.375" style="255" customWidth="1"/>
    <col min="12073" max="12073" width="7.25" style="255" customWidth="1"/>
    <col min="12074" max="12074" width="7.125" style="255" customWidth="1"/>
    <col min="12075" max="12075" width="9.5" style="255" customWidth="1"/>
    <col min="12076" max="12077" width="9" style="255" customWidth="1"/>
    <col min="12078" max="12078" width="16.125" style="255" customWidth="1"/>
    <col min="12079" max="12109" width="9" style="255" customWidth="1"/>
    <col min="12110" max="12269" width="25.25" style="255"/>
    <col min="12270" max="12299" width="9" style="255" customWidth="1"/>
    <col min="12300" max="12300" width="0.5" style="255" customWidth="1"/>
    <col min="12301" max="12301" width="25.25" style="255"/>
    <col min="12302" max="12302" width="0.5" style="255" customWidth="1"/>
    <col min="12303" max="12303" width="25.25" style="255"/>
    <col min="12304" max="12304" width="14.75" style="255" customWidth="1"/>
    <col min="12305" max="12305" width="11.5" style="255" customWidth="1"/>
    <col min="12306" max="12306" width="11.25" style="255" customWidth="1"/>
    <col min="12307" max="12307" width="10.75" style="255" customWidth="1"/>
    <col min="12308" max="12308" width="10" style="255" customWidth="1"/>
    <col min="12309" max="12309" width="9.875" style="255" customWidth="1"/>
    <col min="12310" max="12310" width="26.125" style="255" customWidth="1"/>
    <col min="12311" max="12311" width="11.125" style="255" customWidth="1"/>
    <col min="12312" max="12312" width="7.875" style="255" customWidth="1"/>
    <col min="12313" max="12313" width="7.25" style="255" customWidth="1"/>
    <col min="12314" max="12314" width="9.125" style="255" customWidth="1"/>
    <col min="12315" max="12315" width="15.125" style="255" customWidth="1"/>
    <col min="12316" max="12316" width="7.75" style="255" customWidth="1"/>
    <col min="12317" max="12317" width="7.125" style="255" customWidth="1"/>
    <col min="12318" max="12318" width="12.125" style="255" customWidth="1"/>
    <col min="12319" max="12319" width="8.25" style="255" customWidth="1"/>
    <col min="12320" max="12321" width="10.375" style="255" customWidth="1"/>
    <col min="12322" max="12322" width="15.625" style="255" customWidth="1"/>
    <col min="12323" max="12323" width="15.875" style="255" customWidth="1"/>
    <col min="12324" max="12324" width="8.125" style="255" customWidth="1"/>
    <col min="12325" max="12328" width="10.375" style="255" customWidth="1"/>
    <col min="12329" max="12329" width="7.25" style="255" customWidth="1"/>
    <col min="12330" max="12330" width="7.125" style="255" customWidth="1"/>
    <col min="12331" max="12331" width="9.5" style="255" customWidth="1"/>
    <col min="12332" max="12333" width="9" style="255" customWidth="1"/>
    <col min="12334" max="12334" width="16.125" style="255" customWidth="1"/>
    <col min="12335" max="12365" width="9" style="255" customWidth="1"/>
    <col min="12366" max="12525" width="25.25" style="255"/>
    <col min="12526" max="12555" width="9" style="255" customWidth="1"/>
    <col min="12556" max="12556" width="0.5" style="255" customWidth="1"/>
    <col min="12557" max="12557" width="25.25" style="255"/>
    <col min="12558" max="12558" width="0.5" style="255" customWidth="1"/>
    <col min="12559" max="12559" width="25.25" style="255"/>
    <col min="12560" max="12560" width="14.75" style="255" customWidth="1"/>
    <col min="12561" max="12561" width="11.5" style="255" customWidth="1"/>
    <col min="12562" max="12562" width="11.25" style="255" customWidth="1"/>
    <col min="12563" max="12563" width="10.75" style="255" customWidth="1"/>
    <col min="12564" max="12564" width="10" style="255" customWidth="1"/>
    <col min="12565" max="12565" width="9.875" style="255" customWidth="1"/>
    <col min="12566" max="12566" width="26.125" style="255" customWidth="1"/>
    <col min="12567" max="12567" width="11.125" style="255" customWidth="1"/>
    <col min="12568" max="12568" width="7.875" style="255" customWidth="1"/>
    <col min="12569" max="12569" width="7.25" style="255" customWidth="1"/>
    <col min="12570" max="12570" width="9.125" style="255" customWidth="1"/>
    <col min="12571" max="12571" width="15.125" style="255" customWidth="1"/>
    <col min="12572" max="12572" width="7.75" style="255" customWidth="1"/>
    <col min="12573" max="12573" width="7.125" style="255" customWidth="1"/>
    <col min="12574" max="12574" width="12.125" style="255" customWidth="1"/>
    <col min="12575" max="12575" width="8.25" style="255" customWidth="1"/>
    <col min="12576" max="12577" width="10.375" style="255" customWidth="1"/>
    <col min="12578" max="12578" width="15.625" style="255" customWidth="1"/>
    <col min="12579" max="12579" width="15.875" style="255" customWidth="1"/>
    <col min="12580" max="12580" width="8.125" style="255" customWidth="1"/>
    <col min="12581" max="12584" width="10.375" style="255" customWidth="1"/>
    <col min="12585" max="12585" width="7.25" style="255" customWidth="1"/>
    <col min="12586" max="12586" width="7.125" style="255" customWidth="1"/>
    <col min="12587" max="12587" width="9.5" style="255" customWidth="1"/>
    <col min="12588" max="12589" width="9" style="255" customWidth="1"/>
    <col min="12590" max="12590" width="16.125" style="255" customWidth="1"/>
    <col min="12591" max="12621" width="9" style="255" customWidth="1"/>
    <col min="12622" max="12781" width="25.25" style="255"/>
    <col min="12782" max="12811" width="9" style="255" customWidth="1"/>
    <col min="12812" max="12812" width="0.5" style="255" customWidth="1"/>
    <col min="12813" max="12813" width="25.25" style="255"/>
    <col min="12814" max="12814" width="0.5" style="255" customWidth="1"/>
    <col min="12815" max="12815" width="25.25" style="255"/>
    <col min="12816" max="12816" width="14.75" style="255" customWidth="1"/>
    <col min="12817" max="12817" width="11.5" style="255" customWidth="1"/>
    <col min="12818" max="12818" width="11.25" style="255" customWidth="1"/>
    <col min="12819" max="12819" width="10.75" style="255" customWidth="1"/>
    <col min="12820" max="12820" width="10" style="255" customWidth="1"/>
    <col min="12821" max="12821" width="9.875" style="255" customWidth="1"/>
    <col min="12822" max="12822" width="26.125" style="255" customWidth="1"/>
    <col min="12823" max="12823" width="11.125" style="255" customWidth="1"/>
    <col min="12824" max="12824" width="7.875" style="255" customWidth="1"/>
    <col min="12825" max="12825" width="7.25" style="255" customWidth="1"/>
    <col min="12826" max="12826" width="9.125" style="255" customWidth="1"/>
    <col min="12827" max="12827" width="15.125" style="255" customWidth="1"/>
    <col min="12828" max="12828" width="7.75" style="255" customWidth="1"/>
    <col min="12829" max="12829" width="7.125" style="255" customWidth="1"/>
    <col min="12830" max="12830" width="12.125" style="255" customWidth="1"/>
    <col min="12831" max="12831" width="8.25" style="255" customWidth="1"/>
    <col min="12832" max="12833" width="10.375" style="255" customWidth="1"/>
    <col min="12834" max="12834" width="15.625" style="255" customWidth="1"/>
    <col min="12835" max="12835" width="15.875" style="255" customWidth="1"/>
    <col min="12836" max="12836" width="8.125" style="255" customWidth="1"/>
    <col min="12837" max="12840" width="10.375" style="255" customWidth="1"/>
    <col min="12841" max="12841" width="7.25" style="255" customWidth="1"/>
    <col min="12842" max="12842" width="7.125" style="255" customWidth="1"/>
    <col min="12843" max="12843" width="9.5" style="255" customWidth="1"/>
    <col min="12844" max="12845" width="9" style="255" customWidth="1"/>
    <col min="12846" max="12846" width="16.125" style="255" customWidth="1"/>
    <col min="12847" max="12877" width="9" style="255" customWidth="1"/>
    <col min="12878" max="13037" width="25.25" style="255"/>
    <col min="13038" max="13067" width="9" style="255" customWidth="1"/>
    <col min="13068" max="13068" width="0.5" style="255" customWidth="1"/>
    <col min="13069" max="13069" width="25.25" style="255"/>
    <col min="13070" max="13070" width="0.5" style="255" customWidth="1"/>
    <col min="13071" max="13071" width="25.25" style="255"/>
    <col min="13072" max="13072" width="14.75" style="255" customWidth="1"/>
    <col min="13073" max="13073" width="11.5" style="255" customWidth="1"/>
    <col min="13074" max="13074" width="11.25" style="255" customWidth="1"/>
    <col min="13075" max="13075" width="10.75" style="255" customWidth="1"/>
    <col min="13076" max="13076" width="10" style="255" customWidth="1"/>
    <col min="13077" max="13077" width="9.875" style="255" customWidth="1"/>
    <col min="13078" max="13078" width="26.125" style="255" customWidth="1"/>
    <col min="13079" max="13079" width="11.125" style="255" customWidth="1"/>
    <col min="13080" max="13080" width="7.875" style="255" customWidth="1"/>
    <col min="13081" max="13081" width="7.25" style="255" customWidth="1"/>
    <col min="13082" max="13082" width="9.125" style="255" customWidth="1"/>
    <col min="13083" max="13083" width="15.125" style="255" customWidth="1"/>
    <col min="13084" max="13084" width="7.75" style="255" customWidth="1"/>
    <col min="13085" max="13085" width="7.125" style="255" customWidth="1"/>
    <col min="13086" max="13086" width="12.125" style="255" customWidth="1"/>
    <col min="13087" max="13087" width="8.25" style="255" customWidth="1"/>
    <col min="13088" max="13089" width="10.375" style="255" customWidth="1"/>
    <col min="13090" max="13090" width="15.625" style="255" customWidth="1"/>
    <col min="13091" max="13091" width="15.875" style="255" customWidth="1"/>
    <col min="13092" max="13092" width="8.125" style="255" customWidth="1"/>
    <col min="13093" max="13096" width="10.375" style="255" customWidth="1"/>
    <col min="13097" max="13097" width="7.25" style="255" customWidth="1"/>
    <col min="13098" max="13098" width="7.125" style="255" customWidth="1"/>
    <col min="13099" max="13099" width="9.5" style="255" customWidth="1"/>
    <col min="13100" max="13101" width="9" style="255" customWidth="1"/>
    <col min="13102" max="13102" width="16.125" style="255" customWidth="1"/>
    <col min="13103" max="13133" width="9" style="255" customWidth="1"/>
    <col min="13134" max="13293" width="25.25" style="255"/>
    <col min="13294" max="13323" width="9" style="255" customWidth="1"/>
    <col min="13324" max="13324" width="0.5" style="255" customWidth="1"/>
    <col min="13325" max="13325" width="25.25" style="255"/>
    <col min="13326" max="13326" width="0.5" style="255" customWidth="1"/>
    <col min="13327" max="13327" width="25.25" style="255"/>
    <col min="13328" max="13328" width="14.75" style="255" customWidth="1"/>
    <col min="13329" max="13329" width="11.5" style="255" customWidth="1"/>
    <col min="13330" max="13330" width="11.25" style="255" customWidth="1"/>
    <col min="13331" max="13331" width="10.75" style="255" customWidth="1"/>
    <col min="13332" max="13332" width="10" style="255" customWidth="1"/>
    <col min="13333" max="13333" width="9.875" style="255" customWidth="1"/>
    <col min="13334" max="13334" width="26.125" style="255" customWidth="1"/>
    <col min="13335" max="13335" width="11.125" style="255" customWidth="1"/>
    <col min="13336" max="13336" width="7.875" style="255" customWidth="1"/>
    <col min="13337" max="13337" width="7.25" style="255" customWidth="1"/>
    <col min="13338" max="13338" width="9.125" style="255" customWidth="1"/>
    <col min="13339" max="13339" width="15.125" style="255" customWidth="1"/>
    <col min="13340" max="13340" width="7.75" style="255" customWidth="1"/>
    <col min="13341" max="13341" width="7.125" style="255" customWidth="1"/>
    <col min="13342" max="13342" width="12.125" style="255" customWidth="1"/>
    <col min="13343" max="13343" width="8.25" style="255" customWidth="1"/>
    <col min="13344" max="13345" width="10.375" style="255" customWidth="1"/>
    <col min="13346" max="13346" width="15.625" style="255" customWidth="1"/>
    <col min="13347" max="13347" width="15.875" style="255" customWidth="1"/>
    <col min="13348" max="13348" width="8.125" style="255" customWidth="1"/>
    <col min="13349" max="13352" width="10.375" style="255" customWidth="1"/>
    <col min="13353" max="13353" width="7.25" style="255" customWidth="1"/>
    <col min="13354" max="13354" width="7.125" style="255" customWidth="1"/>
    <col min="13355" max="13355" width="9.5" style="255" customWidth="1"/>
    <col min="13356" max="13357" width="9" style="255" customWidth="1"/>
    <col min="13358" max="13358" width="16.125" style="255" customWidth="1"/>
    <col min="13359" max="13389" width="9" style="255" customWidth="1"/>
    <col min="13390" max="13549" width="25.25" style="255"/>
    <col min="13550" max="13579" width="9" style="255" customWidth="1"/>
    <col min="13580" max="13580" width="0.5" style="255" customWidth="1"/>
    <col min="13581" max="13581" width="25.25" style="255"/>
    <col min="13582" max="13582" width="0.5" style="255" customWidth="1"/>
    <col min="13583" max="13583" width="25.25" style="255"/>
    <col min="13584" max="13584" width="14.75" style="255" customWidth="1"/>
    <col min="13585" max="13585" width="11.5" style="255" customWidth="1"/>
    <col min="13586" max="13586" width="11.25" style="255" customWidth="1"/>
    <col min="13587" max="13587" width="10.75" style="255" customWidth="1"/>
    <col min="13588" max="13588" width="10" style="255" customWidth="1"/>
    <col min="13589" max="13589" width="9.875" style="255" customWidth="1"/>
    <col min="13590" max="13590" width="26.125" style="255" customWidth="1"/>
    <col min="13591" max="13591" width="11.125" style="255" customWidth="1"/>
    <col min="13592" max="13592" width="7.875" style="255" customWidth="1"/>
    <col min="13593" max="13593" width="7.25" style="255" customWidth="1"/>
    <col min="13594" max="13594" width="9.125" style="255" customWidth="1"/>
    <col min="13595" max="13595" width="15.125" style="255" customWidth="1"/>
    <col min="13596" max="13596" width="7.75" style="255" customWidth="1"/>
    <col min="13597" max="13597" width="7.125" style="255" customWidth="1"/>
    <col min="13598" max="13598" width="12.125" style="255" customWidth="1"/>
    <col min="13599" max="13599" width="8.25" style="255" customWidth="1"/>
    <col min="13600" max="13601" width="10.375" style="255" customWidth="1"/>
    <col min="13602" max="13602" width="15.625" style="255" customWidth="1"/>
    <col min="13603" max="13603" width="15.875" style="255" customWidth="1"/>
    <col min="13604" max="13604" width="8.125" style="255" customWidth="1"/>
    <col min="13605" max="13608" width="10.375" style="255" customWidth="1"/>
    <col min="13609" max="13609" width="7.25" style="255" customWidth="1"/>
    <col min="13610" max="13610" width="7.125" style="255" customWidth="1"/>
    <col min="13611" max="13611" width="9.5" style="255" customWidth="1"/>
    <col min="13612" max="13613" width="9" style="255" customWidth="1"/>
    <col min="13614" max="13614" width="16.125" style="255" customWidth="1"/>
    <col min="13615" max="13645" width="9" style="255" customWidth="1"/>
    <col min="13646" max="13805" width="25.25" style="255"/>
    <col min="13806" max="13835" width="9" style="255" customWidth="1"/>
    <col min="13836" max="13836" width="0.5" style="255" customWidth="1"/>
    <col min="13837" max="13837" width="25.25" style="255"/>
    <col min="13838" max="13838" width="0.5" style="255" customWidth="1"/>
    <col min="13839" max="13839" width="25.25" style="255"/>
    <col min="13840" max="13840" width="14.75" style="255" customWidth="1"/>
    <col min="13841" max="13841" width="11.5" style="255" customWidth="1"/>
    <col min="13842" max="13842" width="11.25" style="255" customWidth="1"/>
    <col min="13843" max="13843" width="10.75" style="255" customWidth="1"/>
    <col min="13844" max="13844" width="10" style="255" customWidth="1"/>
    <col min="13845" max="13845" width="9.875" style="255" customWidth="1"/>
    <col min="13846" max="13846" width="26.125" style="255" customWidth="1"/>
    <col min="13847" max="13847" width="11.125" style="255" customWidth="1"/>
    <col min="13848" max="13848" width="7.875" style="255" customWidth="1"/>
    <col min="13849" max="13849" width="7.25" style="255" customWidth="1"/>
    <col min="13850" max="13850" width="9.125" style="255" customWidth="1"/>
    <col min="13851" max="13851" width="15.125" style="255" customWidth="1"/>
    <col min="13852" max="13852" width="7.75" style="255" customWidth="1"/>
    <col min="13853" max="13853" width="7.125" style="255" customWidth="1"/>
    <col min="13854" max="13854" width="12.125" style="255" customWidth="1"/>
    <col min="13855" max="13855" width="8.25" style="255" customWidth="1"/>
    <col min="13856" max="13857" width="10.375" style="255" customWidth="1"/>
    <col min="13858" max="13858" width="15.625" style="255" customWidth="1"/>
    <col min="13859" max="13859" width="15.875" style="255" customWidth="1"/>
    <col min="13860" max="13860" width="8.125" style="255" customWidth="1"/>
    <col min="13861" max="13864" width="10.375" style="255" customWidth="1"/>
    <col min="13865" max="13865" width="7.25" style="255" customWidth="1"/>
    <col min="13866" max="13866" width="7.125" style="255" customWidth="1"/>
    <col min="13867" max="13867" width="9.5" style="255" customWidth="1"/>
    <col min="13868" max="13869" width="9" style="255" customWidth="1"/>
    <col min="13870" max="13870" width="16.125" style="255" customWidth="1"/>
    <col min="13871" max="13901" width="9" style="255" customWidth="1"/>
    <col min="13902" max="14061" width="25.25" style="255"/>
    <col min="14062" max="14091" width="9" style="255" customWidth="1"/>
    <col min="14092" max="14092" width="0.5" style="255" customWidth="1"/>
    <col min="14093" max="14093" width="25.25" style="255"/>
    <col min="14094" max="14094" width="0.5" style="255" customWidth="1"/>
    <col min="14095" max="14095" width="25.25" style="255"/>
    <col min="14096" max="14096" width="14.75" style="255" customWidth="1"/>
    <col min="14097" max="14097" width="11.5" style="255" customWidth="1"/>
    <col min="14098" max="14098" width="11.25" style="255" customWidth="1"/>
    <col min="14099" max="14099" width="10.75" style="255" customWidth="1"/>
    <col min="14100" max="14100" width="10" style="255" customWidth="1"/>
    <col min="14101" max="14101" width="9.875" style="255" customWidth="1"/>
    <col min="14102" max="14102" width="26.125" style="255" customWidth="1"/>
    <col min="14103" max="14103" width="11.125" style="255" customWidth="1"/>
    <col min="14104" max="14104" width="7.875" style="255" customWidth="1"/>
    <col min="14105" max="14105" width="7.25" style="255" customWidth="1"/>
    <col min="14106" max="14106" width="9.125" style="255" customWidth="1"/>
    <col min="14107" max="14107" width="15.125" style="255" customWidth="1"/>
    <col min="14108" max="14108" width="7.75" style="255" customWidth="1"/>
    <col min="14109" max="14109" width="7.125" style="255" customWidth="1"/>
    <col min="14110" max="14110" width="12.125" style="255" customWidth="1"/>
    <col min="14111" max="14111" width="8.25" style="255" customWidth="1"/>
    <col min="14112" max="14113" width="10.375" style="255" customWidth="1"/>
    <col min="14114" max="14114" width="15.625" style="255" customWidth="1"/>
    <col min="14115" max="14115" width="15.875" style="255" customWidth="1"/>
    <col min="14116" max="14116" width="8.125" style="255" customWidth="1"/>
    <col min="14117" max="14120" width="10.375" style="255" customWidth="1"/>
    <col min="14121" max="14121" width="7.25" style="255" customWidth="1"/>
    <col min="14122" max="14122" width="7.125" style="255" customWidth="1"/>
    <col min="14123" max="14123" width="9.5" style="255" customWidth="1"/>
    <col min="14124" max="14125" width="9" style="255" customWidth="1"/>
    <col min="14126" max="14126" width="16.125" style="255" customWidth="1"/>
    <col min="14127" max="14157" width="9" style="255" customWidth="1"/>
    <col min="14158" max="14317" width="25.25" style="255"/>
    <col min="14318" max="14347" width="9" style="255" customWidth="1"/>
    <col min="14348" max="14348" width="0.5" style="255" customWidth="1"/>
    <col min="14349" max="14349" width="25.25" style="255"/>
    <col min="14350" max="14350" width="0.5" style="255" customWidth="1"/>
    <col min="14351" max="14351" width="25.25" style="255"/>
    <col min="14352" max="14352" width="14.75" style="255" customWidth="1"/>
    <col min="14353" max="14353" width="11.5" style="255" customWidth="1"/>
    <col min="14354" max="14354" width="11.25" style="255" customWidth="1"/>
    <col min="14355" max="14355" width="10.75" style="255" customWidth="1"/>
    <col min="14356" max="14356" width="10" style="255" customWidth="1"/>
    <col min="14357" max="14357" width="9.875" style="255" customWidth="1"/>
    <col min="14358" max="14358" width="26.125" style="255" customWidth="1"/>
    <col min="14359" max="14359" width="11.125" style="255" customWidth="1"/>
    <col min="14360" max="14360" width="7.875" style="255" customWidth="1"/>
    <col min="14361" max="14361" width="7.25" style="255" customWidth="1"/>
    <col min="14362" max="14362" width="9.125" style="255" customWidth="1"/>
    <col min="14363" max="14363" width="15.125" style="255" customWidth="1"/>
    <col min="14364" max="14364" width="7.75" style="255" customWidth="1"/>
    <col min="14365" max="14365" width="7.125" style="255" customWidth="1"/>
    <col min="14366" max="14366" width="12.125" style="255" customWidth="1"/>
    <col min="14367" max="14367" width="8.25" style="255" customWidth="1"/>
    <col min="14368" max="14369" width="10.375" style="255" customWidth="1"/>
    <col min="14370" max="14370" width="15.625" style="255" customWidth="1"/>
    <col min="14371" max="14371" width="15.875" style="255" customWidth="1"/>
    <col min="14372" max="14372" width="8.125" style="255" customWidth="1"/>
    <col min="14373" max="14376" width="10.375" style="255" customWidth="1"/>
    <col min="14377" max="14377" width="7.25" style="255" customWidth="1"/>
    <col min="14378" max="14378" width="7.125" style="255" customWidth="1"/>
    <col min="14379" max="14379" width="9.5" style="255" customWidth="1"/>
    <col min="14380" max="14381" width="9" style="255" customWidth="1"/>
    <col min="14382" max="14382" width="16.125" style="255" customWidth="1"/>
    <col min="14383" max="14413" width="9" style="255" customWidth="1"/>
    <col min="14414" max="14573" width="25.25" style="255"/>
    <col min="14574" max="14603" width="9" style="255" customWidth="1"/>
    <col min="14604" max="14604" width="0.5" style="255" customWidth="1"/>
    <col min="14605" max="14605" width="25.25" style="255"/>
    <col min="14606" max="14606" width="0.5" style="255" customWidth="1"/>
    <col min="14607" max="14607" width="25.25" style="255"/>
    <col min="14608" max="14608" width="14.75" style="255" customWidth="1"/>
    <col min="14609" max="14609" width="11.5" style="255" customWidth="1"/>
    <col min="14610" max="14610" width="11.25" style="255" customWidth="1"/>
    <col min="14611" max="14611" width="10.75" style="255" customWidth="1"/>
    <col min="14612" max="14612" width="10" style="255" customWidth="1"/>
    <col min="14613" max="14613" width="9.875" style="255" customWidth="1"/>
    <col min="14614" max="14614" width="26.125" style="255" customWidth="1"/>
    <col min="14615" max="14615" width="11.125" style="255" customWidth="1"/>
    <col min="14616" max="14616" width="7.875" style="255" customWidth="1"/>
    <col min="14617" max="14617" width="7.25" style="255" customWidth="1"/>
    <col min="14618" max="14618" width="9.125" style="255" customWidth="1"/>
    <col min="14619" max="14619" width="15.125" style="255" customWidth="1"/>
    <col min="14620" max="14620" width="7.75" style="255" customWidth="1"/>
    <col min="14621" max="14621" width="7.125" style="255" customWidth="1"/>
    <col min="14622" max="14622" width="12.125" style="255" customWidth="1"/>
    <col min="14623" max="14623" width="8.25" style="255" customWidth="1"/>
    <col min="14624" max="14625" width="10.375" style="255" customWidth="1"/>
    <col min="14626" max="14626" width="15.625" style="255" customWidth="1"/>
    <col min="14627" max="14627" width="15.875" style="255" customWidth="1"/>
    <col min="14628" max="14628" width="8.125" style="255" customWidth="1"/>
    <col min="14629" max="14632" width="10.375" style="255" customWidth="1"/>
    <col min="14633" max="14633" width="7.25" style="255" customWidth="1"/>
    <col min="14634" max="14634" width="7.125" style="255" customWidth="1"/>
    <col min="14635" max="14635" width="9.5" style="255" customWidth="1"/>
    <col min="14636" max="14637" width="9" style="255" customWidth="1"/>
    <col min="14638" max="14638" width="16.125" style="255" customWidth="1"/>
    <col min="14639" max="14669" width="9" style="255" customWidth="1"/>
    <col min="14670" max="14829" width="25.25" style="255"/>
    <col min="14830" max="14859" width="9" style="255" customWidth="1"/>
    <col min="14860" max="14860" width="0.5" style="255" customWidth="1"/>
    <col min="14861" max="14861" width="25.25" style="255"/>
    <col min="14862" max="14862" width="0.5" style="255" customWidth="1"/>
    <col min="14863" max="14863" width="25.25" style="255"/>
    <col min="14864" max="14864" width="14.75" style="255" customWidth="1"/>
    <col min="14865" max="14865" width="11.5" style="255" customWidth="1"/>
    <col min="14866" max="14866" width="11.25" style="255" customWidth="1"/>
    <col min="14867" max="14867" width="10.75" style="255" customWidth="1"/>
    <col min="14868" max="14868" width="10" style="255" customWidth="1"/>
    <col min="14869" max="14869" width="9.875" style="255" customWidth="1"/>
    <col min="14870" max="14870" width="26.125" style="255" customWidth="1"/>
    <col min="14871" max="14871" width="11.125" style="255" customWidth="1"/>
    <col min="14872" max="14872" width="7.875" style="255" customWidth="1"/>
    <col min="14873" max="14873" width="7.25" style="255" customWidth="1"/>
    <col min="14874" max="14874" width="9.125" style="255" customWidth="1"/>
    <col min="14875" max="14875" width="15.125" style="255" customWidth="1"/>
    <col min="14876" max="14876" width="7.75" style="255" customWidth="1"/>
    <col min="14877" max="14877" width="7.125" style="255" customWidth="1"/>
    <col min="14878" max="14878" width="12.125" style="255" customWidth="1"/>
    <col min="14879" max="14879" width="8.25" style="255" customWidth="1"/>
    <col min="14880" max="14881" width="10.375" style="255" customWidth="1"/>
    <col min="14882" max="14882" width="15.625" style="255" customWidth="1"/>
    <col min="14883" max="14883" width="15.875" style="255" customWidth="1"/>
    <col min="14884" max="14884" width="8.125" style="255" customWidth="1"/>
    <col min="14885" max="14888" width="10.375" style="255" customWidth="1"/>
    <col min="14889" max="14889" width="7.25" style="255" customWidth="1"/>
    <col min="14890" max="14890" width="7.125" style="255" customWidth="1"/>
    <col min="14891" max="14891" width="9.5" style="255" customWidth="1"/>
    <col min="14892" max="14893" width="9" style="255" customWidth="1"/>
    <col min="14894" max="14894" width="16.125" style="255" customWidth="1"/>
    <col min="14895" max="14925" width="9" style="255" customWidth="1"/>
    <col min="14926" max="15085" width="25.25" style="255"/>
    <col min="15086" max="15115" width="9" style="255" customWidth="1"/>
    <col min="15116" max="15116" width="0.5" style="255" customWidth="1"/>
    <col min="15117" max="15117" width="25.25" style="255"/>
    <col min="15118" max="15118" width="0.5" style="255" customWidth="1"/>
    <col min="15119" max="15119" width="25.25" style="255"/>
    <col min="15120" max="15120" width="14.75" style="255" customWidth="1"/>
    <col min="15121" max="15121" width="11.5" style="255" customWidth="1"/>
    <col min="15122" max="15122" width="11.25" style="255" customWidth="1"/>
    <col min="15123" max="15123" width="10.75" style="255" customWidth="1"/>
    <col min="15124" max="15124" width="10" style="255" customWidth="1"/>
    <col min="15125" max="15125" width="9.875" style="255" customWidth="1"/>
    <col min="15126" max="15126" width="26.125" style="255" customWidth="1"/>
    <col min="15127" max="15127" width="11.125" style="255" customWidth="1"/>
    <col min="15128" max="15128" width="7.875" style="255" customWidth="1"/>
    <col min="15129" max="15129" width="7.25" style="255" customWidth="1"/>
    <col min="15130" max="15130" width="9.125" style="255" customWidth="1"/>
    <col min="15131" max="15131" width="15.125" style="255" customWidth="1"/>
    <col min="15132" max="15132" width="7.75" style="255" customWidth="1"/>
    <col min="15133" max="15133" width="7.125" style="255" customWidth="1"/>
    <col min="15134" max="15134" width="12.125" style="255" customWidth="1"/>
    <col min="15135" max="15135" width="8.25" style="255" customWidth="1"/>
    <col min="15136" max="15137" width="10.375" style="255" customWidth="1"/>
    <col min="15138" max="15138" width="15.625" style="255" customWidth="1"/>
    <col min="15139" max="15139" width="15.875" style="255" customWidth="1"/>
    <col min="15140" max="15140" width="8.125" style="255" customWidth="1"/>
    <col min="15141" max="15144" width="10.375" style="255" customWidth="1"/>
    <col min="15145" max="15145" width="7.25" style="255" customWidth="1"/>
    <col min="15146" max="15146" width="7.125" style="255" customWidth="1"/>
    <col min="15147" max="15147" width="9.5" style="255" customWidth="1"/>
    <col min="15148" max="15149" width="9" style="255" customWidth="1"/>
    <col min="15150" max="15150" width="16.125" style="255" customWidth="1"/>
    <col min="15151" max="15181" width="9" style="255" customWidth="1"/>
    <col min="15182" max="15341" width="25.25" style="255"/>
    <col min="15342" max="15371" width="9" style="255" customWidth="1"/>
    <col min="15372" max="15372" width="0.5" style="255" customWidth="1"/>
    <col min="15373" max="15373" width="25.25" style="255"/>
    <col min="15374" max="15374" width="0.5" style="255" customWidth="1"/>
    <col min="15375" max="15375" width="25.25" style="255"/>
    <col min="15376" max="15376" width="14.75" style="255" customWidth="1"/>
    <col min="15377" max="15377" width="11.5" style="255" customWidth="1"/>
    <col min="15378" max="15378" width="11.25" style="255" customWidth="1"/>
    <col min="15379" max="15379" width="10.75" style="255" customWidth="1"/>
    <col min="15380" max="15380" width="10" style="255" customWidth="1"/>
    <col min="15381" max="15381" width="9.875" style="255" customWidth="1"/>
    <col min="15382" max="15382" width="26.125" style="255" customWidth="1"/>
    <col min="15383" max="15383" width="11.125" style="255" customWidth="1"/>
    <col min="15384" max="15384" width="7.875" style="255" customWidth="1"/>
    <col min="15385" max="15385" width="7.25" style="255" customWidth="1"/>
    <col min="15386" max="15386" width="9.125" style="255" customWidth="1"/>
    <col min="15387" max="15387" width="15.125" style="255" customWidth="1"/>
    <col min="15388" max="15388" width="7.75" style="255" customWidth="1"/>
    <col min="15389" max="15389" width="7.125" style="255" customWidth="1"/>
    <col min="15390" max="15390" width="12.125" style="255" customWidth="1"/>
    <col min="15391" max="15391" width="8.25" style="255" customWidth="1"/>
    <col min="15392" max="15393" width="10.375" style="255" customWidth="1"/>
    <col min="15394" max="15394" width="15.625" style="255" customWidth="1"/>
    <col min="15395" max="15395" width="15.875" style="255" customWidth="1"/>
    <col min="15396" max="15396" width="8.125" style="255" customWidth="1"/>
    <col min="15397" max="15400" width="10.375" style="255" customWidth="1"/>
    <col min="15401" max="15401" width="7.25" style="255" customWidth="1"/>
    <col min="15402" max="15402" width="7.125" style="255" customWidth="1"/>
    <col min="15403" max="15403" width="9.5" style="255" customWidth="1"/>
    <col min="15404" max="15405" width="9" style="255" customWidth="1"/>
    <col min="15406" max="15406" width="16.125" style="255" customWidth="1"/>
    <col min="15407" max="15437" width="9" style="255" customWidth="1"/>
    <col min="15438" max="15597" width="25.25" style="255"/>
    <col min="15598" max="15627" width="9" style="255" customWidth="1"/>
    <col min="15628" max="15628" width="0.5" style="255" customWidth="1"/>
    <col min="15629" max="15629" width="25.25" style="255"/>
    <col min="15630" max="15630" width="0.5" style="255" customWidth="1"/>
    <col min="15631" max="15631" width="25.25" style="255"/>
    <col min="15632" max="15632" width="14.75" style="255" customWidth="1"/>
    <col min="15633" max="15633" width="11.5" style="255" customWidth="1"/>
    <col min="15634" max="15634" width="11.25" style="255" customWidth="1"/>
    <col min="15635" max="15635" width="10.75" style="255" customWidth="1"/>
    <col min="15636" max="15636" width="10" style="255" customWidth="1"/>
    <col min="15637" max="15637" width="9.875" style="255" customWidth="1"/>
    <col min="15638" max="15638" width="26.125" style="255" customWidth="1"/>
    <col min="15639" max="15639" width="11.125" style="255" customWidth="1"/>
    <col min="15640" max="15640" width="7.875" style="255" customWidth="1"/>
    <col min="15641" max="15641" width="7.25" style="255" customWidth="1"/>
    <col min="15642" max="15642" width="9.125" style="255" customWidth="1"/>
    <col min="15643" max="15643" width="15.125" style="255" customWidth="1"/>
    <col min="15644" max="15644" width="7.75" style="255" customWidth="1"/>
    <col min="15645" max="15645" width="7.125" style="255" customWidth="1"/>
    <col min="15646" max="15646" width="12.125" style="255" customWidth="1"/>
    <col min="15647" max="15647" width="8.25" style="255" customWidth="1"/>
    <col min="15648" max="15649" width="10.375" style="255" customWidth="1"/>
    <col min="15650" max="15650" width="15.625" style="255" customWidth="1"/>
    <col min="15651" max="15651" width="15.875" style="255" customWidth="1"/>
    <col min="15652" max="15652" width="8.125" style="255" customWidth="1"/>
    <col min="15653" max="15656" width="10.375" style="255" customWidth="1"/>
    <col min="15657" max="15657" width="7.25" style="255" customWidth="1"/>
    <col min="15658" max="15658" width="7.125" style="255" customWidth="1"/>
    <col min="15659" max="15659" width="9.5" style="255" customWidth="1"/>
    <col min="15660" max="15661" width="9" style="255" customWidth="1"/>
    <col min="15662" max="15662" width="16.125" style="255" customWidth="1"/>
    <col min="15663" max="15693" width="9" style="255" customWidth="1"/>
    <col min="15694" max="15853" width="25.25" style="255"/>
    <col min="15854" max="15883" width="9" style="255" customWidth="1"/>
    <col min="15884" max="15884" width="0.5" style="255" customWidth="1"/>
    <col min="15885" max="15885" width="25.25" style="255"/>
    <col min="15886" max="15886" width="0.5" style="255" customWidth="1"/>
    <col min="15887" max="15887" width="25.25" style="255"/>
    <col min="15888" max="15888" width="14.75" style="255" customWidth="1"/>
    <col min="15889" max="15889" width="11.5" style="255" customWidth="1"/>
    <col min="15890" max="15890" width="11.25" style="255" customWidth="1"/>
    <col min="15891" max="15891" width="10.75" style="255" customWidth="1"/>
    <col min="15892" max="15892" width="10" style="255" customWidth="1"/>
    <col min="15893" max="15893" width="9.875" style="255" customWidth="1"/>
    <col min="15894" max="15894" width="26.125" style="255" customWidth="1"/>
    <col min="15895" max="15895" width="11.125" style="255" customWidth="1"/>
    <col min="15896" max="15896" width="7.875" style="255" customWidth="1"/>
    <col min="15897" max="15897" width="7.25" style="255" customWidth="1"/>
    <col min="15898" max="15898" width="9.125" style="255" customWidth="1"/>
    <col min="15899" max="15899" width="15.125" style="255" customWidth="1"/>
    <col min="15900" max="15900" width="7.75" style="255" customWidth="1"/>
    <col min="15901" max="15901" width="7.125" style="255" customWidth="1"/>
    <col min="15902" max="15902" width="12.125" style="255" customWidth="1"/>
    <col min="15903" max="15903" width="8.25" style="255" customWidth="1"/>
    <col min="15904" max="15905" width="10.375" style="255" customWidth="1"/>
    <col min="15906" max="15906" width="15.625" style="255" customWidth="1"/>
    <col min="15907" max="15907" width="15.875" style="255" customWidth="1"/>
    <col min="15908" max="15908" width="8.125" style="255" customWidth="1"/>
    <col min="15909" max="15912" width="10.375" style="255" customWidth="1"/>
    <col min="15913" max="15913" width="7.25" style="255" customWidth="1"/>
    <col min="15914" max="15914" width="7.125" style="255" customWidth="1"/>
    <col min="15915" max="15915" width="9.5" style="255" customWidth="1"/>
    <col min="15916" max="15917" width="9" style="255" customWidth="1"/>
    <col min="15918" max="15918" width="16.125" style="255" customWidth="1"/>
    <col min="15919" max="15949" width="9" style="255" customWidth="1"/>
    <col min="15950" max="16109" width="25.25" style="255"/>
    <col min="16110" max="16139" width="9" style="255" customWidth="1"/>
    <col min="16140" max="16140" width="0.5" style="255" customWidth="1"/>
    <col min="16141" max="16384" width="25.25" style="255"/>
  </cols>
  <sheetData>
    <row r="1" spans="1:16" ht="14.25" thickBot="1"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1"/>
      <c r="O1" s="1"/>
      <c r="P1" s="1"/>
    </row>
    <row r="2" spans="1:16" ht="18" customHeight="1">
      <c r="A2" s="5"/>
      <c r="B2" s="6" t="s">
        <v>402</v>
      </c>
      <c r="C2" s="254"/>
      <c r="D2" s="254" t="s">
        <v>9</v>
      </c>
      <c r="E2" s="254" t="s">
        <v>10</v>
      </c>
      <c r="F2" s="661" t="s">
        <v>11</v>
      </c>
      <c r="G2" s="661"/>
      <c r="H2" s="661"/>
      <c r="I2" s="662" t="s">
        <v>12</v>
      </c>
      <c r="J2" s="664" t="s">
        <v>13</v>
      </c>
      <c r="K2" s="665"/>
      <c r="L2" s="665"/>
      <c r="M2" s="666"/>
      <c r="N2" s="8"/>
      <c r="O2" s="8"/>
      <c r="P2" s="8"/>
    </row>
    <row r="3" spans="1:16" ht="18" customHeight="1">
      <c r="B3" s="9" t="s">
        <v>14</v>
      </c>
      <c r="C3" s="10" t="s">
        <v>15</v>
      </c>
      <c r="D3" s="10" t="s">
        <v>16</v>
      </c>
      <c r="E3" s="10" t="s">
        <v>17</v>
      </c>
      <c r="F3" s="10" t="s">
        <v>7</v>
      </c>
      <c r="G3" s="10" t="s">
        <v>5</v>
      </c>
      <c r="H3" s="10" t="s">
        <v>18</v>
      </c>
      <c r="I3" s="663"/>
      <c r="J3" s="11" t="s">
        <v>19</v>
      </c>
      <c r="K3" s="12" t="s">
        <v>20</v>
      </c>
      <c r="L3" s="12" t="s">
        <v>21</v>
      </c>
      <c r="M3" s="13" t="s">
        <v>22</v>
      </c>
      <c r="N3" s="14"/>
      <c r="P3" s="15"/>
    </row>
    <row r="4" spans="1:16" ht="18" customHeight="1">
      <c r="B4" s="667" t="str">
        <f ca="1">MID(CELL("filename",Q13),FIND("]",CELL("filename",Q13))+1,30)</f>
        <v>C1122</v>
      </c>
      <c r="C4" s="17" t="s">
        <v>23</v>
      </c>
      <c r="D4" s="17">
        <v>1100</v>
      </c>
      <c r="E4" s="17">
        <v>2150</v>
      </c>
      <c r="F4" s="18">
        <v>2.125</v>
      </c>
      <c r="G4" s="17">
        <v>1</v>
      </c>
      <c r="H4" s="17">
        <f>F4*G4</f>
        <v>2.125</v>
      </c>
      <c r="I4" s="663"/>
      <c r="J4" s="19">
        <v>40</v>
      </c>
      <c r="K4" s="20">
        <v>20</v>
      </c>
      <c r="L4" s="21">
        <v>1.5</v>
      </c>
      <c r="M4" s="22">
        <f t="shared" ref="M4:M11" si="0">ROUND(((J4*K4)-(J4-2*L4)*(K4-2*L4))*7.8/1000,3)</f>
        <v>1.3340000000000001</v>
      </c>
    </row>
    <row r="5" spans="1:16" ht="18" customHeight="1">
      <c r="B5" s="668"/>
      <c r="C5" s="221" t="s">
        <v>299</v>
      </c>
      <c r="D5" s="221">
        <f>D4-70</f>
        <v>1030</v>
      </c>
      <c r="E5" s="221">
        <f>E4-70</f>
        <v>2080</v>
      </c>
      <c r="F5" s="222">
        <f>D5*E5/10^6</f>
        <v>2.1423999999999999</v>
      </c>
      <c r="G5" s="221">
        <v>1</v>
      </c>
      <c r="H5" s="222">
        <f>F5*G5</f>
        <v>2.1423999999999999</v>
      </c>
      <c r="I5" s="663"/>
      <c r="J5" s="19">
        <v>40</v>
      </c>
      <c r="K5" s="20">
        <v>20</v>
      </c>
      <c r="L5" s="21">
        <v>2</v>
      </c>
      <c r="M5" s="22">
        <f t="shared" si="0"/>
        <v>1.7470000000000001</v>
      </c>
    </row>
    <row r="6" spans="1:16" ht="18" customHeight="1">
      <c r="B6" s="669"/>
      <c r="C6" s="17" t="s">
        <v>24</v>
      </c>
      <c r="D6" s="17">
        <f>D4-80</f>
        <v>1020</v>
      </c>
      <c r="E6" s="17">
        <f>E4-80</f>
        <v>2070</v>
      </c>
      <c r="F6" s="18">
        <f>D6*E6/10^6</f>
        <v>2.1114000000000002</v>
      </c>
      <c r="G6" s="17">
        <v>1</v>
      </c>
      <c r="H6" s="18">
        <f>F6*G6</f>
        <v>2.1114000000000002</v>
      </c>
      <c r="I6" s="663"/>
      <c r="J6" s="19">
        <v>40</v>
      </c>
      <c r="K6" s="20">
        <v>20</v>
      </c>
      <c r="L6" s="21">
        <v>2</v>
      </c>
      <c r="M6" s="22">
        <f t="shared" si="0"/>
        <v>1.7470000000000001</v>
      </c>
    </row>
    <row r="7" spans="1:16" ht="18" customHeight="1">
      <c r="B7" s="23" t="s">
        <v>25</v>
      </c>
      <c r="C7" s="252" t="s">
        <v>16</v>
      </c>
      <c r="D7" s="252" t="s">
        <v>26</v>
      </c>
      <c r="E7" s="252" t="s">
        <v>17</v>
      </c>
      <c r="F7" s="252" t="s">
        <v>27</v>
      </c>
      <c r="G7" s="252" t="s">
        <v>22</v>
      </c>
      <c r="H7" s="252" t="s">
        <v>28</v>
      </c>
      <c r="I7" s="25" t="s">
        <v>29</v>
      </c>
      <c r="J7" s="19">
        <v>80</v>
      </c>
      <c r="K7" s="20">
        <v>40</v>
      </c>
      <c r="L7" s="21">
        <v>2</v>
      </c>
      <c r="M7" s="22">
        <f t="shared" si="0"/>
        <v>3.6190000000000002</v>
      </c>
    </row>
    <row r="8" spans="1:16" ht="18" customHeight="1">
      <c r="B8" s="251" t="s">
        <v>30</v>
      </c>
      <c r="C8" s="27">
        <f>D4-30</f>
        <v>1070</v>
      </c>
      <c r="D8" s="27">
        <v>2</v>
      </c>
      <c r="E8" s="27">
        <f>E4-30</f>
        <v>2120</v>
      </c>
      <c r="F8" s="27">
        <v>2</v>
      </c>
      <c r="G8" s="28">
        <v>1.7470000000000001</v>
      </c>
      <c r="H8" s="29">
        <f>材料价格!B3</f>
        <v>7.5</v>
      </c>
      <c r="I8" s="30">
        <f>ROUND((C8*D8+E8*F8)*G8*H8/1000*1.1,2)</f>
        <v>91.95</v>
      </c>
      <c r="J8" s="19">
        <v>40</v>
      </c>
      <c r="K8" s="20">
        <v>20</v>
      </c>
      <c r="L8" s="21">
        <v>1.4</v>
      </c>
      <c r="M8" s="22">
        <f>ROUND(((J8*K8)-(J8-2*L8)*(K8-2*L8))*2.71/1000,3)</f>
        <v>0.434</v>
      </c>
    </row>
    <row r="9" spans="1:16" ht="18" customHeight="1">
      <c r="B9" s="251" t="s">
        <v>30</v>
      </c>
      <c r="C9" s="250"/>
      <c r="D9" s="250"/>
      <c r="E9" s="250"/>
      <c r="F9" s="250"/>
      <c r="G9" s="28">
        <v>1.7470000000000001</v>
      </c>
      <c r="H9" s="32">
        <f>H8</f>
        <v>7.5</v>
      </c>
      <c r="I9" s="30">
        <f>ROUND((C9*D9+E9*F9)*G9*H9/1000*1.1,2)</f>
        <v>0</v>
      </c>
      <c r="J9" s="19"/>
      <c r="K9" s="20"/>
      <c r="L9" s="21"/>
      <c r="M9" s="22">
        <f t="shared" si="0"/>
        <v>0</v>
      </c>
    </row>
    <row r="10" spans="1:16" ht="18" customHeight="1">
      <c r="B10" s="251" t="s">
        <v>31</v>
      </c>
      <c r="C10" s="250"/>
      <c r="D10" s="250"/>
      <c r="E10" s="250"/>
      <c r="F10" s="250"/>
      <c r="G10" s="28">
        <v>3.6190000000000002</v>
      </c>
      <c r="H10" s="32">
        <f>H9</f>
        <v>7.5</v>
      </c>
      <c r="I10" s="30">
        <f>ROUND((C10*D10+E10*F10)*G10*H10/1000*1.1,2)</f>
        <v>0</v>
      </c>
      <c r="J10" s="19"/>
      <c r="K10" s="20"/>
      <c r="L10" s="12"/>
      <c r="M10" s="22">
        <f t="shared" si="0"/>
        <v>0</v>
      </c>
    </row>
    <row r="11" spans="1:16" ht="18" customHeight="1" thickBot="1">
      <c r="B11" s="251" t="s">
        <v>32</v>
      </c>
      <c r="C11" s="250"/>
      <c r="D11" s="250"/>
      <c r="E11" s="250"/>
      <c r="F11" s="250"/>
      <c r="G11" s="28">
        <v>2.9950000000000001</v>
      </c>
      <c r="H11" s="32">
        <f>H10</f>
        <v>7.5</v>
      </c>
      <c r="I11" s="30">
        <f>ROUND((C11*D11+E11*F11)*G11*H11/1000*1.1,2)</f>
        <v>0</v>
      </c>
      <c r="J11" s="33"/>
      <c r="K11" s="34"/>
      <c r="L11" s="35"/>
      <c r="M11" s="36">
        <f t="shared" si="0"/>
        <v>0</v>
      </c>
    </row>
    <row r="12" spans="1:16" ht="18" customHeight="1">
      <c r="B12" s="37" t="s">
        <v>33</v>
      </c>
      <c r="C12" s="38">
        <f>((I9+I10+I8+I11)/H8)/F4</f>
        <v>5.7694117647058825</v>
      </c>
      <c r="D12" s="39" t="s">
        <v>34</v>
      </c>
      <c r="E12" s="38">
        <f>(I9+I10+I8+I11)/F4</f>
        <v>43.27058823529412</v>
      </c>
      <c r="F12" s="40" t="s">
        <v>35</v>
      </c>
      <c r="G12" s="39"/>
      <c r="H12" s="39">
        <f>ROUND(SUM(I8:I11)/H8,2)</f>
        <v>12.26</v>
      </c>
      <c r="I12" s="41">
        <f>SUM(I8:I11)</f>
        <v>91.95</v>
      </c>
      <c r="J12" s="42"/>
    </row>
    <row r="13" spans="1:16" ht="18" customHeight="1">
      <c r="B13" s="23" t="s">
        <v>36</v>
      </c>
      <c r="C13" s="252" t="s">
        <v>14</v>
      </c>
      <c r="D13" s="252" t="s">
        <v>37</v>
      </c>
      <c r="E13" s="252" t="s">
        <v>38</v>
      </c>
      <c r="F13" s="252" t="s">
        <v>39</v>
      </c>
      <c r="G13" s="252" t="s">
        <v>8</v>
      </c>
      <c r="H13" s="252" t="s">
        <v>22</v>
      </c>
      <c r="I13" s="25" t="s">
        <v>40</v>
      </c>
    </row>
    <row r="14" spans="1:16" ht="18" customHeight="1">
      <c r="B14" s="648" t="s">
        <v>41</v>
      </c>
      <c r="C14" s="649" t="s">
        <v>404</v>
      </c>
      <c r="D14" s="250">
        <f>D6</f>
        <v>1020</v>
      </c>
      <c r="E14" s="250">
        <v>550</v>
      </c>
      <c r="F14" s="44">
        <f>ROUND((D14+E14)*2/1000,4)</f>
        <v>3.14</v>
      </c>
      <c r="G14" s="250">
        <v>1</v>
      </c>
      <c r="H14" s="250">
        <v>1.47</v>
      </c>
      <c r="I14" s="284">
        <f>ROUND(F14*G14*H14,3)*1.5</f>
        <v>6.9239999999999995</v>
      </c>
      <c r="J14" s="42"/>
      <c r="K14" s="46"/>
      <c r="L14" s="46"/>
      <c r="M14" s="42"/>
    </row>
    <row r="15" spans="1:16" ht="18" customHeight="1">
      <c r="B15" s="648"/>
      <c r="C15" s="650"/>
      <c r="D15" s="250">
        <f>D14</f>
        <v>1020</v>
      </c>
      <c r="E15" s="250">
        <f>E6-E14</f>
        <v>1520</v>
      </c>
      <c r="F15" s="44">
        <f t="shared" ref="F15:F21" si="1">ROUND((D15+E15)*2/1000,4)</f>
        <v>5.08</v>
      </c>
      <c r="G15" s="250">
        <v>1</v>
      </c>
      <c r="H15" s="250">
        <f t="shared" ref="H15:H21" si="2">H14</f>
        <v>1.47</v>
      </c>
      <c r="I15" s="247">
        <f t="shared" ref="I15:I21" si="3">ROUND(F15*G15*H15,3)</f>
        <v>7.468</v>
      </c>
      <c r="K15" s="47"/>
      <c r="M15" s="255"/>
    </row>
    <row r="16" spans="1:16" ht="18" customHeight="1">
      <c r="B16" s="648"/>
      <c r="C16" s="650"/>
      <c r="D16" s="250"/>
      <c r="E16" s="250"/>
      <c r="F16" s="44">
        <f t="shared" si="1"/>
        <v>0</v>
      </c>
      <c r="G16" s="250"/>
      <c r="H16" s="250">
        <f t="shared" si="2"/>
        <v>1.47</v>
      </c>
      <c r="I16" s="247">
        <f t="shared" si="3"/>
        <v>0</v>
      </c>
      <c r="K16" s="47"/>
      <c r="L16" s="46"/>
      <c r="M16" s="42"/>
    </row>
    <row r="17" spans="2:15" ht="18" customHeight="1">
      <c r="B17" s="648"/>
      <c r="C17" s="650"/>
      <c r="D17" s="250"/>
      <c r="E17" s="250"/>
      <c r="F17" s="44">
        <f t="shared" si="1"/>
        <v>0</v>
      </c>
      <c r="G17" s="250"/>
      <c r="H17" s="250">
        <f t="shared" si="2"/>
        <v>1.47</v>
      </c>
      <c r="I17" s="247">
        <f t="shared" si="3"/>
        <v>0</v>
      </c>
      <c r="K17" s="47"/>
      <c r="M17" s="42"/>
    </row>
    <row r="18" spans="2:15" ht="18" customHeight="1">
      <c r="B18" s="648"/>
      <c r="C18" s="650"/>
      <c r="D18" s="250"/>
      <c r="E18" s="250"/>
      <c r="F18" s="44">
        <f t="shared" si="1"/>
        <v>0</v>
      </c>
      <c r="G18" s="250"/>
      <c r="H18" s="250">
        <f t="shared" si="2"/>
        <v>1.47</v>
      </c>
      <c r="I18" s="247">
        <f t="shared" si="3"/>
        <v>0</v>
      </c>
      <c r="M18" s="42"/>
    </row>
    <row r="19" spans="2:15" ht="18" customHeight="1">
      <c r="B19" s="648"/>
      <c r="C19" s="650"/>
      <c r="D19" s="250"/>
      <c r="E19" s="250"/>
      <c r="F19" s="44">
        <f t="shared" si="1"/>
        <v>0</v>
      </c>
      <c r="G19" s="250"/>
      <c r="H19" s="250">
        <f t="shared" si="2"/>
        <v>1.47</v>
      </c>
      <c r="I19" s="247">
        <f t="shared" si="3"/>
        <v>0</v>
      </c>
      <c r="M19" s="42"/>
    </row>
    <row r="20" spans="2:15" ht="18" customHeight="1">
      <c r="B20" s="648"/>
      <c r="C20" s="650"/>
      <c r="D20" s="250"/>
      <c r="E20" s="250"/>
      <c r="F20" s="44">
        <f t="shared" si="1"/>
        <v>0</v>
      </c>
      <c r="G20" s="250"/>
      <c r="H20" s="250">
        <f t="shared" si="2"/>
        <v>1.47</v>
      </c>
      <c r="I20" s="247">
        <f t="shared" si="3"/>
        <v>0</v>
      </c>
      <c r="K20" s="47"/>
      <c r="M20" s="42"/>
    </row>
    <row r="21" spans="2:15" ht="18" customHeight="1">
      <c r="B21" s="648"/>
      <c r="C21" s="651"/>
      <c r="D21" s="250"/>
      <c r="E21" s="250"/>
      <c r="F21" s="44">
        <f t="shared" si="1"/>
        <v>0</v>
      </c>
      <c r="G21" s="250"/>
      <c r="H21" s="250">
        <f t="shared" si="2"/>
        <v>1.47</v>
      </c>
      <c r="I21" s="247">
        <f t="shared" si="3"/>
        <v>0</v>
      </c>
    </row>
    <row r="22" spans="2:15" ht="18" customHeight="1">
      <c r="B22" s="48" t="s">
        <v>42</v>
      </c>
      <c r="C22" s="49">
        <f>SUMPRODUCT(F14:F21*G14:G21)</f>
        <v>8.2200000000000006</v>
      </c>
      <c r="D22" s="50" t="s">
        <v>43</v>
      </c>
      <c r="E22" s="49">
        <f>SUM(I14:I21)*1.1</f>
        <v>15.831200000000001</v>
      </c>
      <c r="F22" s="50" t="s">
        <v>44</v>
      </c>
      <c r="G22" s="51">
        <f>(C$218+C$219)/1000</f>
        <v>46.081499999999998</v>
      </c>
      <c r="H22" s="52" t="s">
        <v>45</v>
      </c>
      <c r="I22" s="53">
        <f>ROUND(E22*G22,2)</f>
        <v>729.53</v>
      </c>
      <c r="J22" s="243">
        <f>SUM(G14:G21)</f>
        <v>2</v>
      </c>
    </row>
    <row r="23" spans="2:15" ht="18" customHeight="1">
      <c r="B23" s="48" t="s">
        <v>46</v>
      </c>
      <c r="C23" s="50">
        <v>207.36</v>
      </c>
      <c r="D23" s="50" t="s">
        <v>47</v>
      </c>
      <c r="E23" s="49">
        <f>ROUND(C22*(C23/1000),2)</f>
        <v>1.7</v>
      </c>
      <c r="F23" s="50" t="s">
        <v>48</v>
      </c>
      <c r="G23" s="50">
        <v>10</v>
      </c>
      <c r="H23" s="52" t="s">
        <v>49</v>
      </c>
      <c r="I23" s="53">
        <f>E23*G23</f>
        <v>17</v>
      </c>
    </row>
    <row r="24" spans="2:15" ht="18" customHeight="1" thickBot="1">
      <c r="B24" s="48" t="s">
        <v>50</v>
      </c>
      <c r="C24" s="50">
        <v>169.96</v>
      </c>
      <c r="D24" s="50" t="s">
        <v>51</v>
      </c>
      <c r="E24" s="49">
        <f>ROUND(C22*(C24/1000),2)</f>
        <v>1.4</v>
      </c>
      <c r="F24" s="50" t="s">
        <v>48</v>
      </c>
      <c r="G24" s="50">
        <v>10</v>
      </c>
      <c r="H24" s="52" t="s">
        <v>49</v>
      </c>
      <c r="I24" s="53">
        <f>E24*G24</f>
        <v>14</v>
      </c>
    </row>
    <row r="25" spans="2:15" ht="18" hidden="1" customHeight="1">
      <c r="B25" s="23" t="s">
        <v>36</v>
      </c>
      <c r="C25" s="252" t="s">
        <v>14</v>
      </c>
      <c r="D25" s="252" t="s">
        <v>37</v>
      </c>
      <c r="E25" s="252" t="s">
        <v>38</v>
      </c>
      <c r="F25" s="252" t="s">
        <v>39</v>
      </c>
      <c r="G25" s="252" t="s">
        <v>8</v>
      </c>
      <c r="H25" s="252" t="s">
        <v>22</v>
      </c>
      <c r="I25" s="25" t="s">
        <v>40</v>
      </c>
      <c r="J25" s="54" t="s">
        <v>2</v>
      </c>
      <c r="K25" s="55" t="s">
        <v>3</v>
      </c>
      <c r="L25" s="55" t="s">
        <v>52</v>
      </c>
      <c r="M25" s="55" t="s">
        <v>53</v>
      </c>
      <c r="N25" s="56" t="s">
        <v>14</v>
      </c>
    </row>
    <row r="26" spans="2:15" ht="18" hidden="1" customHeight="1">
      <c r="B26" s="648" t="s">
        <v>54</v>
      </c>
      <c r="C26" s="649" t="s">
        <v>55</v>
      </c>
      <c r="D26" s="253">
        <f>J26-IF(L26=1,44,IF(L26=2,30,IF(L26=3,16,0)))</f>
        <v>0</v>
      </c>
      <c r="E26" s="253">
        <f>K26-IF(M26=1,44,IF(M26=2,30,IF(M26=3,16,0)))</f>
        <v>0</v>
      </c>
      <c r="F26" s="44">
        <f>ROUND((D26+E26)*2/1000,4)</f>
        <v>0</v>
      </c>
      <c r="G26" s="250"/>
      <c r="H26" s="58">
        <v>1.62</v>
      </c>
      <c r="I26" s="59">
        <f>IF(AND(D26&gt;0,E26&gt;0,F26&gt;0),F26*G26*H26,0)</f>
        <v>0</v>
      </c>
      <c r="J26" s="60"/>
      <c r="K26" s="61"/>
      <c r="L26" s="61"/>
      <c r="M26" s="61"/>
      <c r="N26" s="62" t="s">
        <v>56</v>
      </c>
      <c r="O26" s="63" t="s">
        <v>57</v>
      </c>
    </row>
    <row r="27" spans="2:15" ht="18" hidden="1" customHeight="1">
      <c r="B27" s="648"/>
      <c r="C27" s="650"/>
      <c r="D27" s="253">
        <f t="shared" ref="D27:E30" si="4">J27-IF(L27=1,44,IF(L27=2,30,IF(L27=3,16,0)))</f>
        <v>0</v>
      </c>
      <c r="E27" s="253">
        <f t="shared" si="4"/>
        <v>0</v>
      </c>
      <c r="F27" s="44">
        <f>ROUND((D27+E27)*2/1000,4)</f>
        <v>0</v>
      </c>
      <c r="G27" s="250"/>
      <c r="H27" s="58">
        <f>H26</f>
        <v>1.62</v>
      </c>
      <c r="I27" s="59">
        <f>IF(AND(D27&gt;0,E27&gt;0,F27&gt;0),F27*G27*H27,0)</f>
        <v>0</v>
      </c>
      <c r="J27" s="60"/>
      <c r="K27" s="61"/>
      <c r="L27" s="61"/>
      <c r="M27" s="61"/>
      <c r="N27" s="62" t="s">
        <v>58</v>
      </c>
      <c r="O27" s="63" t="s">
        <v>59</v>
      </c>
    </row>
    <row r="28" spans="2:15" ht="18" hidden="1" customHeight="1">
      <c r="B28" s="648"/>
      <c r="C28" s="650"/>
      <c r="D28" s="253">
        <f t="shared" si="4"/>
        <v>0</v>
      </c>
      <c r="E28" s="253">
        <f t="shared" si="4"/>
        <v>0</v>
      </c>
      <c r="F28" s="44">
        <f>ROUND((D28+E28)*2/1000,4)</f>
        <v>0</v>
      </c>
      <c r="G28" s="250"/>
      <c r="H28" s="58">
        <f>H27</f>
        <v>1.62</v>
      </c>
      <c r="I28" s="59">
        <f>IF(AND(D28&gt;0,E28&gt;0,F28&gt;0),F28*G28*H28,0)</f>
        <v>0</v>
      </c>
      <c r="J28" s="60"/>
      <c r="K28" s="61"/>
      <c r="L28" s="61"/>
      <c r="M28" s="61"/>
      <c r="N28" s="62" t="s">
        <v>60</v>
      </c>
      <c r="O28" s="63" t="s">
        <v>59</v>
      </c>
    </row>
    <row r="29" spans="2:15" ht="18" hidden="1" customHeight="1">
      <c r="B29" s="648"/>
      <c r="C29" s="650"/>
      <c r="D29" s="253">
        <f t="shared" si="4"/>
        <v>0</v>
      </c>
      <c r="E29" s="253">
        <f t="shared" si="4"/>
        <v>0</v>
      </c>
      <c r="F29" s="44">
        <f>ROUND((D29+E29)*2/1000,4)</f>
        <v>0</v>
      </c>
      <c r="G29" s="250"/>
      <c r="H29" s="58">
        <f>H28</f>
        <v>1.62</v>
      </c>
      <c r="I29" s="59">
        <f>IF(AND(D29&gt;0,E29&gt;0,F29&gt;0),F29*G29*H29,0)</f>
        <v>0</v>
      </c>
      <c r="J29" s="60"/>
      <c r="K29" s="61"/>
      <c r="L29" s="61"/>
      <c r="M29" s="61"/>
      <c r="N29" s="62"/>
    </row>
    <row r="30" spans="2:15" ht="18" hidden="1" customHeight="1" thickBot="1">
      <c r="B30" s="648"/>
      <c r="C30" s="651"/>
      <c r="D30" s="253">
        <f t="shared" si="4"/>
        <v>0</v>
      </c>
      <c r="E30" s="253">
        <f t="shared" si="4"/>
        <v>0</v>
      </c>
      <c r="F30" s="44">
        <f>ROUND((D30+E30)*2/1000,4)</f>
        <v>0</v>
      </c>
      <c r="G30" s="250"/>
      <c r="H30" s="58">
        <f>H29</f>
        <v>1.62</v>
      </c>
      <c r="I30" s="59">
        <f>IF(AND(D30&gt;0,E30&gt;0,F30&gt;0),F30*G30*H30,0)</f>
        <v>0</v>
      </c>
      <c r="J30" s="64"/>
      <c r="K30" s="65"/>
      <c r="L30" s="65"/>
      <c r="M30" s="65"/>
      <c r="N30" s="66"/>
    </row>
    <row r="31" spans="2:15" ht="18" hidden="1" customHeight="1">
      <c r="B31" s="48" t="s">
        <v>42</v>
      </c>
      <c r="C31" s="49">
        <f>SUMPRODUCT(F26:F30*G26:G30)</f>
        <v>0</v>
      </c>
      <c r="D31" s="50" t="s">
        <v>43</v>
      </c>
      <c r="E31" s="49">
        <f>SUM(I26:I30)*1.1</f>
        <v>0</v>
      </c>
      <c r="F31" s="50" t="s">
        <v>44</v>
      </c>
      <c r="G31" s="51">
        <f>(C$218+C$221)/1000</f>
        <v>46.081499999999998</v>
      </c>
      <c r="H31" s="52" t="s">
        <v>45</v>
      </c>
      <c r="I31" s="53">
        <f>ROUND(E31*G31,2)</f>
        <v>0</v>
      </c>
      <c r="J31" s="243">
        <f>SUM(G26:G30)</f>
        <v>0</v>
      </c>
    </row>
    <row r="32" spans="2:15" ht="18" hidden="1" customHeight="1">
      <c r="B32" s="48" t="s">
        <v>46</v>
      </c>
      <c r="C32" s="50">
        <v>183.32</v>
      </c>
      <c r="D32" s="50" t="s">
        <v>47</v>
      </c>
      <c r="E32" s="49">
        <f>ROUND(C31*(C32/1000),2)</f>
        <v>0</v>
      </c>
      <c r="F32" s="50" t="s">
        <v>48</v>
      </c>
      <c r="G32" s="50">
        <f>G$23</f>
        <v>10</v>
      </c>
      <c r="H32" s="52" t="s">
        <v>49</v>
      </c>
      <c r="I32" s="53">
        <f>E32*G32</f>
        <v>0</v>
      </c>
    </row>
    <row r="33" spans="2:14" ht="18" hidden="1" customHeight="1" thickBot="1">
      <c r="B33" s="48" t="s">
        <v>50</v>
      </c>
      <c r="C33" s="50">
        <v>257.82</v>
      </c>
      <c r="D33" s="50" t="s">
        <v>51</v>
      </c>
      <c r="E33" s="49">
        <f>ROUND(C31*(C33/1000),2)</f>
        <v>0</v>
      </c>
      <c r="F33" s="50" t="s">
        <v>48</v>
      </c>
      <c r="G33" s="50">
        <f>G$24</f>
        <v>10</v>
      </c>
      <c r="H33" s="52" t="s">
        <v>49</v>
      </c>
      <c r="I33" s="53">
        <f>E33*G33</f>
        <v>0</v>
      </c>
    </row>
    <row r="34" spans="2:14" ht="18" customHeight="1" thickBot="1">
      <c r="B34" s="67" t="s">
        <v>36</v>
      </c>
      <c r="C34" s="68" t="s">
        <v>14</v>
      </c>
      <c r="D34" s="68" t="s">
        <v>37</v>
      </c>
      <c r="E34" s="68" t="s">
        <v>38</v>
      </c>
      <c r="F34" s="68" t="s">
        <v>39</v>
      </c>
      <c r="G34" s="68" t="s">
        <v>8</v>
      </c>
      <c r="H34" s="68" t="s">
        <v>22</v>
      </c>
      <c r="I34" s="69" t="s">
        <v>40</v>
      </c>
      <c r="J34" s="54" t="s">
        <v>2</v>
      </c>
      <c r="K34" s="55" t="s">
        <v>3</v>
      </c>
      <c r="L34" s="55" t="s">
        <v>61</v>
      </c>
      <c r="M34" s="55" t="s">
        <v>62</v>
      </c>
      <c r="N34" s="70" t="s">
        <v>14</v>
      </c>
    </row>
    <row r="35" spans="2:14" ht="18" customHeight="1">
      <c r="B35" s="648" t="s">
        <v>63</v>
      </c>
      <c r="C35" s="649" t="s">
        <v>64</v>
      </c>
      <c r="D35" s="253">
        <f t="shared" ref="D35:E37" si="5">J35-IF(L35=1,44,IF(L35=2,30,IF(L35=3,16,IF(L35=11,118,IF(L35=12,100,IF(L35=13,76.8,0))))))</f>
        <v>410</v>
      </c>
      <c r="E35" s="253">
        <f t="shared" si="5"/>
        <v>1000</v>
      </c>
      <c r="F35" s="250">
        <f>ROUND((D35+E35)*2/1000,4)</f>
        <v>2.82</v>
      </c>
      <c r="G35" s="250">
        <v>2</v>
      </c>
      <c r="H35" s="58">
        <v>1.8140000000000001</v>
      </c>
      <c r="I35" s="59">
        <f>ROUND(F35*G35*H35,3)</f>
        <v>10.231</v>
      </c>
      <c r="J35" s="60">
        <f>D14/2</f>
        <v>510</v>
      </c>
      <c r="K35" s="61">
        <v>1100</v>
      </c>
      <c r="L35" s="61">
        <v>12</v>
      </c>
      <c r="M35" s="61">
        <v>12</v>
      </c>
      <c r="N35" s="71" t="s">
        <v>56</v>
      </c>
    </row>
    <row r="36" spans="2:14" ht="18" customHeight="1">
      <c r="B36" s="660"/>
      <c r="C36" s="650"/>
      <c r="D36" s="253">
        <f t="shared" si="5"/>
        <v>0</v>
      </c>
      <c r="E36" s="253">
        <f t="shared" si="5"/>
        <v>0</v>
      </c>
      <c r="F36" s="250">
        <f>ROUND((D36+E36)*2/1000,4)</f>
        <v>0</v>
      </c>
      <c r="G36" s="250"/>
      <c r="H36" s="58">
        <f>H35</f>
        <v>1.8140000000000001</v>
      </c>
      <c r="I36" s="59">
        <f>ROUND(F36*G36*H36,3)</f>
        <v>0</v>
      </c>
      <c r="J36" s="60"/>
      <c r="K36" s="61"/>
      <c r="L36" s="61"/>
      <c r="M36" s="61"/>
      <c r="N36" s="72" t="s">
        <v>58</v>
      </c>
    </row>
    <row r="37" spans="2:14" ht="18" customHeight="1">
      <c r="B37" s="660"/>
      <c r="C37" s="651"/>
      <c r="D37" s="253">
        <f t="shared" si="5"/>
        <v>0</v>
      </c>
      <c r="E37" s="253">
        <f t="shared" si="5"/>
        <v>0</v>
      </c>
      <c r="F37" s="250">
        <f>ROUND((D37+E37)*2/1000,4)</f>
        <v>0</v>
      </c>
      <c r="G37" s="250"/>
      <c r="H37" s="58">
        <f>H36</f>
        <v>1.8140000000000001</v>
      </c>
      <c r="I37" s="59">
        <f>ROUND(F37*G37*H37,3)</f>
        <v>0</v>
      </c>
      <c r="J37" s="60"/>
      <c r="K37" s="61"/>
      <c r="L37" s="61"/>
      <c r="M37" s="61"/>
      <c r="N37" s="72" t="s">
        <v>60</v>
      </c>
    </row>
    <row r="38" spans="2:14" ht="18" customHeight="1">
      <c r="B38" s="48" t="s">
        <v>42</v>
      </c>
      <c r="C38" s="49">
        <f>SUMPRODUCT(F35:F37*G35:G37)</f>
        <v>5.64</v>
      </c>
      <c r="D38" s="50" t="s">
        <v>43</v>
      </c>
      <c r="E38" s="49">
        <f>SUM(I35:I37)*1.1</f>
        <v>11.254100000000001</v>
      </c>
      <c r="F38" s="50" t="s">
        <v>44</v>
      </c>
      <c r="G38" s="51">
        <f>(C$218+C$219)/1000</f>
        <v>46.081499999999998</v>
      </c>
      <c r="H38" s="52" t="s">
        <v>45</v>
      </c>
      <c r="I38" s="53">
        <f>ROUND(E38*G38,2)</f>
        <v>518.61</v>
      </c>
      <c r="J38" s="243">
        <f>SUM(G35:G37)</f>
        <v>2</v>
      </c>
      <c r="K38" s="255"/>
      <c r="L38" s="255"/>
      <c r="M38" s="255"/>
      <c r="N38" s="73" t="s">
        <v>65</v>
      </c>
    </row>
    <row r="39" spans="2:14" ht="18" customHeight="1">
      <c r="B39" s="48" t="s">
        <v>46</v>
      </c>
      <c r="C39" s="50">
        <v>320.14</v>
      </c>
      <c r="D39" s="50" t="s">
        <v>47</v>
      </c>
      <c r="E39" s="49">
        <f>ROUND(C38*(C39/1000),2)</f>
        <v>1.81</v>
      </c>
      <c r="F39" s="50" t="s">
        <v>48</v>
      </c>
      <c r="G39" s="50">
        <f>G$23</f>
        <v>10</v>
      </c>
      <c r="H39" s="52" t="s">
        <v>49</v>
      </c>
      <c r="I39" s="53">
        <f>E39*G39</f>
        <v>18.100000000000001</v>
      </c>
      <c r="J39" s="255"/>
      <c r="K39" s="255"/>
      <c r="L39" s="255"/>
      <c r="M39" s="255"/>
      <c r="N39" s="73" t="s">
        <v>66</v>
      </c>
    </row>
    <row r="40" spans="2:14" ht="18" customHeight="1" thickBot="1">
      <c r="B40" s="48" t="s">
        <v>50</v>
      </c>
      <c r="C40" s="50">
        <v>156.99</v>
      </c>
      <c r="D40" s="50" t="s">
        <v>51</v>
      </c>
      <c r="E40" s="49">
        <f>ROUND(C38*(C40/1000),2)</f>
        <v>0.89</v>
      </c>
      <c r="F40" s="50" t="s">
        <v>48</v>
      </c>
      <c r="G40" s="50">
        <f>G$24</f>
        <v>10</v>
      </c>
      <c r="H40" s="52" t="s">
        <v>49</v>
      </c>
      <c r="I40" s="53">
        <f>E40*G40</f>
        <v>8.9</v>
      </c>
      <c r="J40" s="255"/>
      <c r="K40" s="255"/>
      <c r="L40" s="255"/>
      <c r="M40" s="255"/>
      <c r="N40" s="74" t="s">
        <v>67</v>
      </c>
    </row>
    <row r="41" spans="2:14" ht="18" customHeight="1" thickBot="1">
      <c r="B41" s="23" t="s">
        <v>36</v>
      </c>
      <c r="C41" s="252" t="s">
        <v>14</v>
      </c>
      <c r="D41" s="252" t="s">
        <v>37</v>
      </c>
      <c r="E41" s="252" t="s">
        <v>38</v>
      </c>
      <c r="F41" s="252" t="s">
        <v>39</v>
      </c>
      <c r="G41" s="252" t="s">
        <v>8</v>
      </c>
      <c r="H41" s="252" t="s">
        <v>22</v>
      </c>
      <c r="I41" s="25" t="s">
        <v>40</v>
      </c>
      <c r="J41" s="54" t="s">
        <v>2</v>
      </c>
      <c r="K41" s="55" t="s">
        <v>3</v>
      </c>
      <c r="L41" s="55" t="s">
        <v>61</v>
      </c>
      <c r="M41" s="55" t="s">
        <v>62</v>
      </c>
      <c r="N41" s="70" t="s">
        <v>14</v>
      </c>
    </row>
    <row r="42" spans="2:14" ht="18" customHeight="1">
      <c r="B42" s="648" t="s">
        <v>68</v>
      </c>
      <c r="C42" s="649" t="s">
        <v>69</v>
      </c>
      <c r="D42" s="253">
        <f>J42-IF(L42=1,46,IF(L42=2,34.5,IF(L42=3,23)))</f>
        <v>475.5</v>
      </c>
      <c r="E42" s="253">
        <f>K42-IF(M42=1,46,IF(M42=2,34.5,IF(M42=3,23)))</f>
        <v>1065.5</v>
      </c>
      <c r="F42" s="250">
        <f t="shared" ref="F42:F47" si="6">ROUND((D42+E42)*2/1000,4)</f>
        <v>3.0819999999999999</v>
      </c>
      <c r="G42" s="250">
        <f>G35</f>
        <v>2</v>
      </c>
      <c r="H42" s="250">
        <v>1.26</v>
      </c>
      <c r="I42" s="59">
        <f t="shared" ref="I42:I47" si="7">ROUND(F42*G42*H42,3)</f>
        <v>7.7670000000000003</v>
      </c>
      <c r="J42" s="60">
        <f>J35</f>
        <v>510</v>
      </c>
      <c r="K42" s="61">
        <f>K35</f>
        <v>1100</v>
      </c>
      <c r="L42" s="61">
        <v>2</v>
      </c>
      <c r="M42" s="61">
        <v>2</v>
      </c>
      <c r="N42" s="71" t="s">
        <v>56</v>
      </c>
    </row>
    <row r="43" spans="2:14" ht="18" customHeight="1">
      <c r="B43" s="648"/>
      <c r="C43" s="650"/>
      <c r="D43" s="253">
        <f t="shared" ref="D43:E47" si="8">J43-IF(L43=1,46,IF(L43=2,34.5,IF(L43=3,23)))</f>
        <v>0</v>
      </c>
      <c r="E43" s="253">
        <f t="shared" si="8"/>
        <v>0</v>
      </c>
      <c r="F43" s="250">
        <f t="shared" si="6"/>
        <v>0</v>
      </c>
      <c r="G43" s="250"/>
      <c r="H43" s="250">
        <f>H42</f>
        <v>1.26</v>
      </c>
      <c r="I43" s="59">
        <f t="shared" si="7"/>
        <v>0</v>
      </c>
      <c r="J43" s="60"/>
      <c r="K43" s="61"/>
      <c r="L43" s="61"/>
      <c r="M43" s="61"/>
      <c r="N43" s="72" t="s">
        <v>58</v>
      </c>
    </row>
    <row r="44" spans="2:14" ht="18" customHeight="1">
      <c r="B44" s="648"/>
      <c r="C44" s="651"/>
      <c r="D44" s="253">
        <f t="shared" si="8"/>
        <v>0</v>
      </c>
      <c r="E44" s="253">
        <f t="shared" si="8"/>
        <v>0</v>
      </c>
      <c r="F44" s="250">
        <f t="shared" si="6"/>
        <v>0</v>
      </c>
      <c r="G44" s="250"/>
      <c r="H44" s="250">
        <f>H43</f>
        <v>1.26</v>
      </c>
      <c r="I44" s="59">
        <f t="shared" si="7"/>
        <v>0</v>
      </c>
      <c r="J44" s="60"/>
      <c r="K44" s="61"/>
      <c r="L44" s="61"/>
      <c r="M44" s="61"/>
      <c r="N44" s="72" t="s">
        <v>60</v>
      </c>
    </row>
    <row r="45" spans="2:14" ht="18" customHeight="1">
      <c r="B45" s="648"/>
      <c r="C45" s="649" t="s">
        <v>70</v>
      </c>
      <c r="D45" s="253">
        <f t="shared" si="8"/>
        <v>0</v>
      </c>
      <c r="E45" s="253">
        <f t="shared" si="8"/>
        <v>0</v>
      </c>
      <c r="F45" s="250">
        <f t="shared" si="6"/>
        <v>0</v>
      </c>
      <c r="G45" s="250"/>
      <c r="H45" s="250">
        <f>H44</f>
        <v>1.26</v>
      </c>
      <c r="I45" s="59">
        <f t="shared" si="7"/>
        <v>0</v>
      </c>
      <c r="J45" s="60"/>
      <c r="K45" s="61"/>
      <c r="L45" s="61"/>
      <c r="M45" s="61"/>
      <c r="N45" s="71" t="s">
        <v>56</v>
      </c>
    </row>
    <row r="46" spans="2:14" ht="18" customHeight="1">
      <c r="B46" s="648"/>
      <c r="C46" s="650"/>
      <c r="D46" s="253">
        <f t="shared" si="8"/>
        <v>0</v>
      </c>
      <c r="E46" s="253">
        <f t="shared" si="8"/>
        <v>0</v>
      </c>
      <c r="F46" s="250">
        <f t="shared" si="6"/>
        <v>0</v>
      </c>
      <c r="G46" s="250"/>
      <c r="H46" s="250">
        <f>H45</f>
        <v>1.26</v>
      </c>
      <c r="I46" s="59">
        <f t="shared" si="7"/>
        <v>0</v>
      </c>
      <c r="J46" s="60"/>
      <c r="K46" s="61"/>
      <c r="L46" s="61"/>
      <c r="M46" s="61"/>
      <c r="N46" s="72" t="s">
        <v>58</v>
      </c>
    </row>
    <row r="47" spans="2:14" ht="18" customHeight="1" thickBot="1">
      <c r="B47" s="648"/>
      <c r="C47" s="651"/>
      <c r="D47" s="253">
        <f t="shared" si="8"/>
        <v>0</v>
      </c>
      <c r="E47" s="253">
        <f t="shared" si="8"/>
        <v>0</v>
      </c>
      <c r="F47" s="250">
        <f t="shared" si="6"/>
        <v>0</v>
      </c>
      <c r="G47" s="250"/>
      <c r="H47" s="250">
        <f>H46</f>
        <v>1.26</v>
      </c>
      <c r="I47" s="59">
        <f t="shared" si="7"/>
        <v>0</v>
      </c>
      <c r="J47" s="64"/>
      <c r="K47" s="65"/>
      <c r="L47" s="65"/>
      <c r="M47" s="65"/>
      <c r="N47" s="75" t="s">
        <v>60</v>
      </c>
    </row>
    <row r="48" spans="2:14" ht="18" customHeight="1">
      <c r="B48" s="48" t="s">
        <v>42</v>
      </c>
      <c r="C48" s="49">
        <f>SUMPRODUCT(F42:F47*G42:G47)</f>
        <v>6.1639999999999997</v>
      </c>
      <c r="D48" s="50" t="s">
        <v>43</v>
      </c>
      <c r="E48" s="49">
        <f>SUM(I42:I47)*1.1</f>
        <v>8.5437000000000012</v>
      </c>
      <c r="F48" s="50" t="s">
        <v>44</v>
      </c>
      <c r="G48" s="51">
        <f>(C$218+C$219)/1000</f>
        <v>46.081499999999998</v>
      </c>
      <c r="H48" s="52" t="s">
        <v>45</v>
      </c>
      <c r="I48" s="53">
        <f>ROUND(E48*G48,2)</f>
        <v>393.71</v>
      </c>
      <c r="J48" s="243">
        <f>SUM(G42:G47)</f>
        <v>2</v>
      </c>
      <c r="K48" s="255"/>
      <c r="L48" s="255"/>
      <c r="M48" s="255"/>
    </row>
    <row r="49" spans="2:14" ht="18" customHeight="1">
      <c r="B49" s="48" t="s">
        <v>46</v>
      </c>
      <c r="C49" s="50">
        <v>132.47999999999999</v>
      </c>
      <c r="D49" s="50" t="s">
        <v>47</v>
      </c>
      <c r="E49" s="49">
        <f>ROUND(C48*(C49/1000),2)</f>
        <v>0.82</v>
      </c>
      <c r="F49" s="50" t="s">
        <v>48</v>
      </c>
      <c r="G49" s="50">
        <f>G$23</f>
        <v>10</v>
      </c>
      <c r="H49" s="52" t="s">
        <v>49</v>
      </c>
      <c r="I49" s="53">
        <f>E49*G49</f>
        <v>8.1999999999999993</v>
      </c>
      <c r="J49" s="255"/>
      <c r="K49" s="255"/>
      <c r="L49" s="255"/>
      <c r="M49" s="255"/>
    </row>
    <row r="50" spans="2:14" ht="18" customHeight="1" thickBot="1">
      <c r="B50" s="48" t="s">
        <v>50</v>
      </c>
      <c r="C50" s="50">
        <v>202.06</v>
      </c>
      <c r="D50" s="50" t="s">
        <v>51</v>
      </c>
      <c r="E50" s="49">
        <f>ROUND(C48*(C50/1000),2)</f>
        <v>1.25</v>
      </c>
      <c r="F50" s="50" t="s">
        <v>48</v>
      </c>
      <c r="G50" s="50">
        <f>G$24</f>
        <v>10</v>
      </c>
      <c r="H50" s="52" t="s">
        <v>49</v>
      </c>
      <c r="I50" s="53">
        <f>E50*G50</f>
        <v>12.5</v>
      </c>
      <c r="J50" s="255"/>
    </row>
    <row r="51" spans="2:14" ht="18" customHeight="1" thickBot="1">
      <c r="B51" s="23" t="s">
        <v>36</v>
      </c>
      <c r="C51" s="252" t="s">
        <v>14</v>
      </c>
      <c r="D51" s="252" t="s">
        <v>37</v>
      </c>
      <c r="E51" s="252" t="s">
        <v>71</v>
      </c>
      <c r="F51" s="252" t="s">
        <v>38</v>
      </c>
      <c r="G51" s="252" t="s">
        <v>72</v>
      </c>
      <c r="H51" s="252" t="s">
        <v>22</v>
      </c>
      <c r="I51" s="25" t="s">
        <v>40</v>
      </c>
      <c r="J51" s="54" t="s">
        <v>2</v>
      </c>
      <c r="K51" s="55" t="s">
        <v>3</v>
      </c>
      <c r="L51" s="55" t="s">
        <v>61</v>
      </c>
      <c r="M51" s="55" t="s">
        <v>62</v>
      </c>
      <c r="N51" s="70" t="s">
        <v>14</v>
      </c>
    </row>
    <row r="52" spans="2:14" ht="18" customHeight="1">
      <c r="B52" s="648" t="s">
        <v>73</v>
      </c>
      <c r="C52" s="649" t="s">
        <v>405</v>
      </c>
      <c r="D52" s="253">
        <f>J52-IF(L52=1,46,IF(L52=2,32,IF(L52=3,18,0)))</f>
        <v>478</v>
      </c>
      <c r="E52" s="253">
        <v>2</v>
      </c>
      <c r="F52" s="253">
        <f>K52-IF(M52=1,46,IF(M52=2,32,IF(M52=3,118,0)))</f>
        <v>0</v>
      </c>
      <c r="G52" s="250"/>
      <c r="H52" s="250">
        <v>1.6379999999999999</v>
      </c>
      <c r="I52" s="59">
        <f>ROUND((D52*E52+F52*G52)/1000*H52,3)</f>
        <v>1.5660000000000001</v>
      </c>
      <c r="J52" s="60">
        <f>D14/2</f>
        <v>510</v>
      </c>
      <c r="K52" s="61"/>
      <c r="L52" s="61">
        <v>2</v>
      </c>
      <c r="M52" s="61"/>
      <c r="N52" s="76" t="s">
        <v>56</v>
      </c>
    </row>
    <row r="53" spans="2:14" ht="18" customHeight="1">
      <c r="B53" s="648"/>
      <c r="C53" s="650"/>
      <c r="D53" s="253">
        <f t="shared" ref="D53:D55" si="9">J53-IF(L53=1,46,IF(L53=2,32,IF(L53=3,18,0)))</f>
        <v>0</v>
      </c>
      <c r="E53" s="253"/>
      <c r="F53" s="253">
        <f t="shared" ref="F53:F55" si="10">K53-IF(M53=1,46,IF(M53=2,32,IF(M53=3,118,0)))</f>
        <v>0</v>
      </c>
      <c r="G53" s="250"/>
      <c r="H53" s="250">
        <f>H52</f>
        <v>1.6379999999999999</v>
      </c>
      <c r="I53" s="59">
        <f>ROUND((D53*E53+F53*G53)/1000*H53,3)</f>
        <v>0</v>
      </c>
      <c r="J53" s="60"/>
      <c r="K53" s="61"/>
      <c r="L53" s="61"/>
      <c r="M53" s="61"/>
      <c r="N53" s="76" t="s">
        <v>58</v>
      </c>
    </row>
    <row r="54" spans="2:14" ht="18" customHeight="1">
      <c r="B54" s="648"/>
      <c r="C54" s="650"/>
      <c r="D54" s="253">
        <f t="shared" si="9"/>
        <v>0</v>
      </c>
      <c r="E54" s="253"/>
      <c r="F54" s="253">
        <f t="shared" si="10"/>
        <v>0</v>
      </c>
      <c r="G54" s="250"/>
      <c r="H54" s="250">
        <f>H53</f>
        <v>1.6379999999999999</v>
      </c>
      <c r="I54" s="59">
        <f>ROUND((D54*E54+F54*G54)/1000*H54,3)</f>
        <v>0</v>
      </c>
      <c r="J54" s="60"/>
      <c r="K54" s="61"/>
      <c r="L54" s="61"/>
      <c r="M54" s="61"/>
      <c r="N54" s="76" t="s">
        <v>60</v>
      </c>
    </row>
    <row r="55" spans="2:14" ht="18" customHeight="1" thickBot="1">
      <c r="B55" s="648"/>
      <c r="C55" s="651"/>
      <c r="D55" s="253">
        <f t="shared" si="9"/>
        <v>0</v>
      </c>
      <c r="E55" s="253"/>
      <c r="F55" s="253">
        <f t="shared" si="10"/>
        <v>0</v>
      </c>
      <c r="G55" s="250"/>
      <c r="H55" s="77">
        <f>H54</f>
        <v>1.6379999999999999</v>
      </c>
      <c r="I55" s="59">
        <f>ROUND((D55*E55+F55*G55)/1000*H55,3)</f>
        <v>0</v>
      </c>
      <c r="J55" s="78"/>
      <c r="K55" s="79"/>
      <c r="L55" s="79"/>
      <c r="M55" s="79"/>
      <c r="N55" s="80"/>
    </row>
    <row r="56" spans="2:14" ht="18" customHeight="1">
      <c r="B56" s="48" t="s">
        <v>42</v>
      </c>
      <c r="C56" s="49">
        <f>SUMPRODUCT(D52:D55*E52:E55+F52:F55*G52:G55)/1000</f>
        <v>0.95599999999999996</v>
      </c>
      <c r="D56" s="50" t="s">
        <v>43</v>
      </c>
      <c r="E56" s="49">
        <f>SUM(I52:I55)*1.1</f>
        <v>1.7226000000000001</v>
      </c>
      <c r="F56" s="50" t="s">
        <v>44</v>
      </c>
      <c r="G56" s="51">
        <f>(C$218+C$219)/1000</f>
        <v>46.081499999999998</v>
      </c>
      <c r="H56" s="52" t="s">
        <v>45</v>
      </c>
      <c r="I56" s="53">
        <f>ROUND(E56*G56,2)</f>
        <v>79.38</v>
      </c>
      <c r="J56" s="243">
        <f>SUM(E52:E55)+SUM(G52:G55)</f>
        <v>2</v>
      </c>
    </row>
    <row r="57" spans="2:14" ht="18" customHeight="1">
      <c r="B57" s="48" t="s">
        <v>46</v>
      </c>
      <c r="C57" s="50">
        <v>265.52999999999997</v>
      </c>
      <c r="D57" s="50" t="s">
        <v>47</v>
      </c>
      <c r="E57" s="49">
        <f>ROUND(C56*(C57/1000),2)</f>
        <v>0.25</v>
      </c>
      <c r="F57" s="50" t="s">
        <v>48</v>
      </c>
      <c r="G57" s="50">
        <f>G$23</f>
        <v>10</v>
      </c>
      <c r="H57" s="52" t="s">
        <v>49</v>
      </c>
      <c r="I57" s="53">
        <f>E57*G57</f>
        <v>2.5</v>
      </c>
      <c r="L57" s="47"/>
    </row>
    <row r="58" spans="2:14" ht="18" customHeight="1">
      <c r="B58" s="48" t="s">
        <v>50</v>
      </c>
      <c r="C58" s="50">
        <v>173.62</v>
      </c>
      <c r="D58" s="50" t="s">
        <v>51</v>
      </c>
      <c r="E58" s="49">
        <f>ROUND(C56*(C58/1000),2)</f>
        <v>0.17</v>
      </c>
      <c r="F58" s="50" t="s">
        <v>48</v>
      </c>
      <c r="G58" s="50">
        <f>G$24</f>
        <v>10</v>
      </c>
      <c r="H58" s="52" t="s">
        <v>49</v>
      </c>
      <c r="I58" s="53">
        <f>E58*G58</f>
        <v>1.7000000000000002</v>
      </c>
      <c r="L58" s="47"/>
    </row>
    <row r="59" spans="2:14" ht="18" customHeight="1">
      <c r="B59" s="23" t="s">
        <v>36</v>
      </c>
      <c r="C59" s="252" t="s">
        <v>14</v>
      </c>
      <c r="D59" s="652" t="s">
        <v>74</v>
      </c>
      <c r="E59" s="652"/>
      <c r="F59" s="652"/>
      <c r="G59" s="252" t="s">
        <v>75</v>
      </c>
      <c r="H59" s="252" t="s">
        <v>22</v>
      </c>
      <c r="I59" s="25" t="s">
        <v>40</v>
      </c>
      <c r="L59" s="47"/>
    </row>
    <row r="60" spans="2:14" ht="18" customHeight="1">
      <c r="B60" s="648" t="s">
        <v>76</v>
      </c>
      <c r="C60" s="649" t="s">
        <v>77</v>
      </c>
      <c r="D60" s="646">
        <f>E15</f>
        <v>1520</v>
      </c>
      <c r="E60" s="646"/>
      <c r="F60" s="646"/>
      <c r="G60" s="250">
        <v>1</v>
      </c>
      <c r="H60" s="250">
        <v>1.9339999999999999</v>
      </c>
      <c r="I60" s="59">
        <f>ROUND(D60*G60*H60/1000,3)</f>
        <v>2.94</v>
      </c>
      <c r="L60" s="47"/>
    </row>
    <row r="61" spans="2:14" ht="18" customHeight="1">
      <c r="B61" s="648"/>
      <c r="C61" s="651"/>
      <c r="D61" s="646"/>
      <c r="E61" s="646"/>
      <c r="F61" s="646"/>
      <c r="G61" s="250"/>
      <c r="H61" s="250">
        <v>1.9339999999999999</v>
      </c>
      <c r="I61" s="59">
        <f>ROUND(D61*G61*H61/1000,3)</f>
        <v>0</v>
      </c>
    </row>
    <row r="62" spans="2:14" ht="18" customHeight="1">
      <c r="B62" s="648"/>
      <c r="C62" s="649" t="s">
        <v>78</v>
      </c>
      <c r="D62" s="646"/>
      <c r="E62" s="646"/>
      <c r="F62" s="646"/>
      <c r="G62" s="250"/>
      <c r="H62" s="250">
        <v>2.3130000000000002</v>
      </c>
      <c r="I62" s="59">
        <f>ROUND(D62*G62*H62/1000,3)</f>
        <v>0</v>
      </c>
    </row>
    <row r="63" spans="2:14" ht="18" customHeight="1">
      <c r="B63" s="648"/>
      <c r="C63" s="651"/>
      <c r="D63" s="646"/>
      <c r="E63" s="646"/>
      <c r="F63" s="646"/>
      <c r="G63" s="250"/>
      <c r="H63" s="250">
        <v>2.3130000000000002</v>
      </c>
      <c r="I63" s="59">
        <f>ROUND(D63*G63*H63/1000,3)</f>
        <v>0</v>
      </c>
    </row>
    <row r="64" spans="2:14" ht="18" customHeight="1">
      <c r="B64" s="48" t="s">
        <v>42</v>
      </c>
      <c r="C64" s="49">
        <f>SUMPRODUCT(D60:F63*G60:G63)/1000</f>
        <v>1.52</v>
      </c>
      <c r="D64" s="50" t="s">
        <v>43</v>
      </c>
      <c r="E64" s="49">
        <f>SUM(I60:I63)*1.1</f>
        <v>3.234</v>
      </c>
      <c r="F64" s="50" t="s">
        <v>44</v>
      </c>
      <c r="G64" s="51">
        <f>(C$218+C$219)/1000</f>
        <v>46.081499999999998</v>
      </c>
      <c r="H64" s="52" t="s">
        <v>45</v>
      </c>
      <c r="I64" s="53">
        <f>ROUND(E64*G64,2)</f>
        <v>149.03</v>
      </c>
      <c r="J64" s="43">
        <f>SUM(G60:G63)</f>
        <v>1</v>
      </c>
    </row>
    <row r="65" spans="2:14" ht="18" customHeight="1">
      <c r="B65" s="48" t="s">
        <v>46</v>
      </c>
      <c r="C65" s="50">
        <v>337.92</v>
      </c>
      <c r="D65" s="50" t="s">
        <v>47</v>
      </c>
      <c r="E65" s="49">
        <f>ROUND(C64*(C65/1000),2)</f>
        <v>0.51</v>
      </c>
      <c r="F65" s="50" t="s">
        <v>48</v>
      </c>
      <c r="G65" s="50">
        <f>G$23</f>
        <v>10</v>
      </c>
      <c r="H65" s="52" t="s">
        <v>49</v>
      </c>
      <c r="I65" s="53">
        <f>E65*G65</f>
        <v>5.0999999999999996</v>
      </c>
    </row>
    <row r="66" spans="2:14" ht="18" customHeight="1" thickBot="1">
      <c r="B66" s="48" t="s">
        <v>50</v>
      </c>
      <c r="C66" s="50">
        <v>175.93</v>
      </c>
      <c r="D66" s="50" t="s">
        <v>51</v>
      </c>
      <c r="E66" s="49">
        <f>ROUND(C64*(C66/1000),2)</f>
        <v>0.27</v>
      </c>
      <c r="F66" s="50" t="s">
        <v>48</v>
      </c>
      <c r="G66" s="50">
        <f>G$24</f>
        <v>10</v>
      </c>
      <c r="H66" s="52" t="s">
        <v>49</v>
      </c>
      <c r="I66" s="53">
        <f>E66*G66</f>
        <v>2.7</v>
      </c>
    </row>
    <row r="67" spans="2:14" ht="18" customHeight="1" thickBot="1">
      <c r="B67" s="23" t="s">
        <v>36</v>
      </c>
      <c r="C67" s="252" t="s">
        <v>14</v>
      </c>
      <c r="D67" s="252" t="s">
        <v>37</v>
      </c>
      <c r="E67" s="252" t="s">
        <v>38</v>
      </c>
      <c r="F67" s="252" t="s">
        <v>39</v>
      </c>
      <c r="G67" s="252" t="s">
        <v>8</v>
      </c>
      <c r="H67" s="252" t="s">
        <v>22</v>
      </c>
      <c r="I67" s="25" t="s">
        <v>40</v>
      </c>
      <c r="J67" s="54" t="s">
        <v>2</v>
      </c>
      <c r="K67" s="55" t="s">
        <v>3</v>
      </c>
      <c r="L67" s="55" t="s">
        <v>52</v>
      </c>
      <c r="M67" s="55" t="s">
        <v>53</v>
      </c>
      <c r="N67" s="70" t="s">
        <v>14</v>
      </c>
    </row>
    <row r="68" spans="2:14" ht="18" customHeight="1">
      <c r="B68" s="648" t="s">
        <v>79</v>
      </c>
      <c r="C68" s="649" t="s">
        <v>323</v>
      </c>
      <c r="D68" s="81">
        <f>J68-IF(L68=1,72,IF(L68=2,54,IF(L68=3,26,IF(L68=11,102.8,IF(L68=12,88.8,IF(L68=13,74.8,0))))))</f>
        <v>948</v>
      </c>
      <c r="E68" s="81">
        <f>K68-IF(M68=1,72,IF(M68=2,24,IF(M68=3,26,IF(M68=11,102.8,IF(M68=12,88.8,IF(M68=13,74.8,0))))))</f>
        <v>478</v>
      </c>
      <c r="F68" s="81">
        <f>2*(D68+E68)/1000</f>
        <v>2.8519999999999999</v>
      </c>
      <c r="G68" s="82">
        <v>1</v>
      </c>
      <c r="H68" s="250">
        <v>0.224</v>
      </c>
      <c r="I68" s="283">
        <f>ROUND(F68*G68*H68,3)*1.5</f>
        <v>0.95850000000000002</v>
      </c>
      <c r="J68" s="83">
        <f>D14</f>
        <v>1020</v>
      </c>
      <c r="K68" s="83">
        <f>E14</f>
        <v>550</v>
      </c>
      <c r="L68" s="84">
        <v>1</v>
      </c>
      <c r="M68" s="84">
        <v>1</v>
      </c>
      <c r="N68" s="71" t="s">
        <v>56</v>
      </c>
    </row>
    <row r="69" spans="2:14" ht="18" customHeight="1">
      <c r="B69" s="648"/>
      <c r="C69" s="650"/>
      <c r="D69" s="81">
        <f t="shared" ref="D69:D87" si="11">J69-IF(L69=1,72,IF(L69=2,54,IF(L69=3,26,IF(L69=11,102.8,IF(L69=12,88.8,IF(L69=13,74.8,0))))))</f>
        <v>456</v>
      </c>
      <c r="E69" s="81">
        <f t="shared" ref="E69:E87" si="12">K69-IF(M69=1,72,IF(M69=2,24,IF(M69=3,26,IF(M69=11,102.8,IF(M69=12,88.8,IF(M69=13,74.8,0))))))</f>
        <v>396</v>
      </c>
      <c r="F69" s="81">
        <f t="shared" ref="F69:F87" si="13">2*(D69+E69)/1000</f>
        <v>1.704</v>
      </c>
      <c r="G69" s="82">
        <v>2</v>
      </c>
      <c r="H69" s="250">
        <f>H68</f>
        <v>0.224</v>
      </c>
      <c r="I69" s="59">
        <f t="shared" ref="I69:I87" si="14">ROUND(F69*G69*H69,3)</f>
        <v>0.76300000000000001</v>
      </c>
      <c r="J69" s="83">
        <f>D15/2</f>
        <v>510</v>
      </c>
      <c r="K69" s="84">
        <f>E15-K35</f>
        <v>420</v>
      </c>
      <c r="L69" s="84">
        <v>2</v>
      </c>
      <c r="M69" s="84">
        <v>2</v>
      </c>
      <c r="N69" s="72" t="s">
        <v>58</v>
      </c>
    </row>
    <row r="70" spans="2:14" ht="18" customHeight="1">
      <c r="B70" s="648"/>
      <c r="C70" s="650"/>
      <c r="D70" s="81">
        <f t="shared" si="11"/>
        <v>0</v>
      </c>
      <c r="E70" s="81">
        <f t="shared" si="12"/>
        <v>0</v>
      </c>
      <c r="F70" s="81">
        <f t="shared" si="13"/>
        <v>0</v>
      </c>
      <c r="G70" s="82"/>
      <c r="H70" s="250">
        <f>H69</f>
        <v>0.224</v>
      </c>
      <c r="I70" s="59">
        <f t="shared" si="14"/>
        <v>0</v>
      </c>
      <c r="J70" s="83"/>
      <c r="K70" s="84"/>
      <c r="L70" s="84"/>
      <c r="M70" s="84"/>
      <c r="N70" s="72" t="s">
        <v>60</v>
      </c>
    </row>
    <row r="71" spans="2:14" ht="18" customHeight="1">
      <c r="B71" s="648"/>
      <c r="C71" s="650"/>
      <c r="D71" s="81">
        <f t="shared" si="11"/>
        <v>0</v>
      </c>
      <c r="E71" s="81">
        <f t="shared" si="12"/>
        <v>0</v>
      </c>
      <c r="F71" s="81">
        <f t="shared" si="13"/>
        <v>0</v>
      </c>
      <c r="G71" s="82"/>
      <c r="H71" s="77">
        <f>H70</f>
        <v>0.224</v>
      </c>
      <c r="I71" s="59">
        <f t="shared" si="14"/>
        <v>0</v>
      </c>
      <c r="J71" s="85"/>
      <c r="K71" s="86"/>
      <c r="L71" s="86"/>
      <c r="M71" s="86"/>
      <c r="N71" s="72" t="s">
        <v>65</v>
      </c>
    </row>
    <row r="72" spans="2:14" ht="18" customHeight="1">
      <c r="B72" s="648"/>
      <c r="C72" s="650"/>
      <c r="D72" s="81">
        <f t="shared" si="11"/>
        <v>0</v>
      </c>
      <c r="E72" s="81">
        <f t="shared" si="12"/>
        <v>0</v>
      </c>
      <c r="F72" s="81">
        <f t="shared" si="13"/>
        <v>0</v>
      </c>
      <c r="G72" s="82"/>
      <c r="H72" s="77">
        <f>H71</f>
        <v>0.224</v>
      </c>
      <c r="I72" s="87">
        <f t="shared" si="14"/>
        <v>0</v>
      </c>
      <c r="J72" s="85"/>
      <c r="K72" s="86"/>
      <c r="L72" s="86"/>
      <c r="M72" s="86"/>
      <c r="N72" s="72" t="s">
        <v>66</v>
      </c>
    </row>
    <row r="73" spans="2:14" ht="18" customHeight="1">
      <c r="B73" s="648"/>
      <c r="C73" s="650"/>
      <c r="D73" s="81">
        <f t="shared" si="11"/>
        <v>0</v>
      </c>
      <c r="E73" s="81">
        <f t="shared" si="12"/>
        <v>0</v>
      </c>
      <c r="F73" s="81">
        <f t="shared" si="13"/>
        <v>0</v>
      </c>
      <c r="G73" s="82"/>
      <c r="H73" s="250">
        <f>H70</f>
        <v>0.224</v>
      </c>
      <c r="I73" s="87">
        <f t="shared" si="14"/>
        <v>0</v>
      </c>
      <c r="J73" s="83"/>
      <c r="K73" s="84"/>
      <c r="L73" s="84"/>
      <c r="M73" s="84"/>
      <c r="N73" s="72" t="s">
        <v>67</v>
      </c>
    </row>
    <row r="74" spans="2:14" ht="18" customHeight="1">
      <c r="B74" s="648"/>
      <c r="C74" s="651"/>
      <c r="D74" s="81">
        <f t="shared" si="11"/>
        <v>0</v>
      </c>
      <c r="E74" s="81">
        <f t="shared" si="12"/>
        <v>0</v>
      </c>
      <c r="F74" s="81">
        <f t="shared" si="13"/>
        <v>0</v>
      </c>
      <c r="G74" s="82"/>
      <c r="H74" s="250">
        <f>H73</f>
        <v>0.224</v>
      </c>
      <c r="I74" s="87">
        <f t="shared" si="14"/>
        <v>0</v>
      </c>
      <c r="J74" s="83"/>
      <c r="K74" s="84"/>
      <c r="L74" s="84"/>
      <c r="M74" s="84"/>
      <c r="N74" s="88"/>
    </row>
    <row r="75" spans="2:14" ht="18" customHeight="1">
      <c r="B75" s="648"/>
      <c r="C75" s="649" t="s">
        <v>324</v>
      </c>
      <c r="D75" s="89">
        <f t="shared" si="11"/>
        <v>0</v>
      </c>
      <c r="E75" s="89">
        <f t="shared" si="12"/>
        <v>0</v>
      </c>
      <c r="F75" s="89">
        <f t="shared" si="13"/>
        <v>0</v>
      </c>
      <c r="G75" s="90"/>
      <c r="H75" s="91">
        <f>H74</f>
        <v>0.224</v>
      </c>
      <c r="I75" s="92">
        <f t="shared" si="14"/>
        <v>0</v>
      </c>
      <c r="J75" s="83"/>
      <c r="K75" s="84"/>
      <c r="L75" s="84"/>
      <c r="M75" s="84"/>
      <c r="N75" s="93" t="s">
        <v>80</v>
      </c>
    </row>
    <row r="76" spans="2:14" ht="18" customHeight="1">
      <c r="B76" s="648"/>
      <c r="C76" s="650"/>
      <c r="D76" s="89">
        <f t="shared" si="11"/>
        <v>0</v>
      </c>
      <c r="E76" s="89">
        <f t="shared" si="12"/>
        <v>0</v>
      </c>
      <c r="F76" s="89">
        <f t="shared" si="13"/>
        <v>0</v>
      </c>
      <c r="G76" s="90"/>
      <c r="H76" s="91">
        <f>H72</f>
        <v>0.224</v>
      </c>
      <c r="I76" s="92">
        <f t="shared" si="14"/>
        <v>0</v>
      </c>
      <c r="J76" s="83"/>
      <c r="K76" s="84"/>
      <c r="L76" s="84"/>
      <c r="M76" s="84"/>
      <c r="N76" s="93" t="s">
        <v>80</v>
      </c>
    </row>
    <row r="77" spans="2:14" ht="18" customHeight="1">
      <c r="B77" s="648"/>
      <c r="C77" s="650"/>
      <c r="D77" s="89">
        <f t="shared" si="11"/>
        <v>0</v>
      </c>
      <c r="E77" s="89">
        <f t="shared" si="12"/>
        <v>0</v>
      </c>
      <c r="F77" s="89">
        <f t="shared" si="13"/>
        <v>0</v>
      </c>
      <c r="G77" s="90"/>
      <c r="H77" s="91">
        <f t="shared" ref="H77:H87" si="15">H76</f>
        <v>0.224</v>
      </c>
      <c r="I77" s="92">
        <f t="shared" si="14"/>
        <v>0</v>
      </c>
      <c r="J77" s="83"/>
      <c r="K77" s="84"/>
      <c r="L77" s="84"/>
      <c r="M77" s="84"/>
      <c r="N77" s="93" t="s">
        <v>80</v>
      </c>
    </row>
    <row r="78" spans="2:14" ht="18" customHeight="1">
      <c r="B78" s="648"/>
      <c r="C78" s="650"/>
      <c r="D78" s="89">
        <f t="shared" si="11"/>
        <v>0</v>
      </c>
      <c r="E78" s="89">
        <f t="shared" si="12"/>
        <v>0</v>
      </c>
      <c r="F78" s="89">
        <f t="shared" si="13"/>
        <v>0</v>
      </c>
      <c r="G78" s="90"/>
      <c r="H78" s="91">
        <f t="shared" si="15"/>
        <v>0.224</v>
      </c>
      <c r="I78" s="92">
        <f t="shared" si="14"/>
        <v>0</v>
      </c>
      <c r="J78" s="83"/>
      <c r="K78" s="84"/>
      <c r="L78" s="84"/>
      <c r="M78" s="84"/>
      <c r="N78" s="93" t="s">
        <v>80</v>
      </c>
    </row>
    <row r="79" spans="2:14" ht="18" customHeight="1">
      <c r="B79" s="648"/>
      <c r="C79" s="650"/>
      <c r="D79" s="89">
        <f t="shared" si="11"/>
        <v>0</v>
      </c>
      <c r="E79" s="89">
        <f t="shared" si="12"/>
        <v>0</v>
      </c>
      <c r="F79" s="89">
        <f t="shared" si="13"/>
        <v>0</v>
      </c>
      <c r="G79" s="90"/>
      <c r="H79" s="91">
        <f t="shared" si="15"/>
        <v>0.224</v>
      </c>
      <c r="I79" s="94">
        <f t="shared" si="14"/>
        <v>0</v>
      </c>
      <c r="J79" s="83"/>
      <c r="K79" s="84"/>
      <c r="L79" s="84"/>
      <c r="M79" s="84"/>
      <c r="N79" s="93" t="s">
        <v>80</v>
      </c>
    </row>
    <row r="80" spans="2:14" ht="18" customHeight="1">
      <c r="B80" s="648"/>
      <c r="C80" s="650"/>
      <c r="D80" s="89">
        <f t="shared" si="11"/>
        <v>0</v>
      </c>
      <c r="E80" s="89">
        <f t="shared" si="12"/>
        <v>0</v>
      </c>
      <c r="F80" s="89">
        <f t="shared" si="13"/>
        <v>0</v>
      </c>
      <c r="G80" s="90"/>
      <c r="H80" s="91">
        <f t="shared" si="15"/>
        <v>0.224</v>
      </c>
      <c r="I80" s="94">
        <f t="shared" si="14"/>
        <v>0</v>
      </c>
      <c r="J80" s="83"/>
      <c r="K80" s="84"/>
      <c r="L80" s="84"/>
      <c r="M80" s="84"/>
      <c r="N80" s="93" t="s">
        <v>80</v>
      </c>
    </row>
    <row r="81" spans="2:14" ht="18" customHeight="1">
      <c r="B81" s="648"/>
      <c r="C81" s="651"/>
      <c r="D81" s="89">
        <f t="shared" si="11"/>
        <v>0</v>
      </c>
      <c r="E81" s="89">
        <f t="shared" si="12"/>
        <v>0</v>
      </c>
      <c r="F81" s="89">
        <f t="shared" si="13"/>
        <v>0</v>
      </c>
      <c r="G81" s="90"/>
      <c r="H81" s="91">
        <f t="shared" si="15"/>
        <v>0.224</v>
      </c>
      <c r="I81" s="94">
        <f t="shared" si="14"/>
        <v>0</v>
      </c>
      <c r="J81" s="95"/>
      <c r="K81" s="96"/>
      <c r="L81" s="96"/>
      <c r="M81" s="96"/>
      <c r="N81" s="93" t="s">
        <v>81</v>
      </c>
    </row>
    <row r="82" spans="2:14" ht="18" customHeight="1">
      <c r="B82" s="648"/>
      <c r="C82" s="639" t="s">
        <v>325</v>
      </c>
      <c r="D82" s="81">
        <f t="shared" si="11"/>
        <v>0</v>
      </c>
      <c r="E82" s="81">
        <f t="shared" si="12"/>
        <v>0</v>
      </c>
      <c r="F82" s="81">
        <f t="shared" si="13"/>
        <v>0</v>
      </c>
      <c r="G82" s="82"/>
      <c r="H82" s="250">
        <f t="shared" si="15"/>
        <v>0.224</v>
      </c>
      <c r="I82" s="59">
        <f t="shared" si="14"/>
        <v>0</v>
      </c>
      <c r="J82" s="83"/>
      <c r="K82" s="84"/>
      <c r="L82" s="84"/>
      <c r="M82" s="84"/>
      <c r="N82" s="88"/>
    </row>
    <row r="83" spans="2:14" ht="18" customHeight="1">
      <c r="B83" s="648"/>
      <c r="C83" s="645"/>
      <c r="D83" s="81">
        <f t="shared" si="11"/>
        <v>0</v>
      </c>
      <c r="E83" s="81">
        <f t="shared" si="12"/>
        <v>0</v>
      </c>
      <c r="F83" s="81">
        <f t="shared" si="13"/>
        <v>0</v>
      </c>
      <c r="G83" s="82"/>
      <c r="H83" s="250">
        <f t="shared" si="15"/>
        <v>0.224</v>
      </c>
      <c r="I83" s="59">
        <f t="shared" si="14"/>
        <v>0</v>
      </c>
      <c r="J83" s="83"/>
      <c r="K83" s="84"/>
      <c r="L83" s="84"/>
      <c r="M83" s="84"/>
      <c r="N83" s="88"/>
    </row>
    <row r="84" spans="2:14" ht="18" customHeight="1">
      <c r="B84" s="648"/>
      <c r="C84" s="645"/>
      <c r="D84" s="81">
        <f t="shared" si="11"/>
        <v>0</v>
      </c>
      <c r="E84" s="81">
        <f t="shared" si="12"/>
        <v>0</v>
      </c>
      <c r="F84" s="81">
        <f t="shared" si="13"/>
        <v>0</v>
      </c>
      <c r="G84" s="82"/>
      <c r="H84" s="250">
        <f t="shared" si="15"/>
        <v>0.224</v>
      </c>
      <c r="I84" s="59">
        <f t="shared" si="14"/>
        <v>0</v>
      </c>
      <c r="J84" s="83"/>
      <c r="K84" s="84"/>
      <c r="L84" s="84"/>
      <c r="M84" s="84"/>
      <c r="N84" s="76"/>
    </row>
    <row r="85" spans="2:14" ht="18" customHeight="1">
      <c r="B85" s="648"/>
      <c r="C85" s="645"/>
      <c r="D85" s="81">
        <f t="shared" si="11"/>
        <v>0</v>
      </c>
      <c r="E85" s="81">
        <f t="shared" si="12"/>
        <v>0</v>
      </c>
      <c r="F85" s="81">
        <f t="shared" si="13"/>
        <v>0</v>
      </c>
      <c r="G85" s="82"/>
      <c r="H85" s="250">
        <f t="shared" si="15"/>
        <v>0.224</v>
      </c>
      <c r="I85" s="59">
        <f t="shared" si="14"/>
        <v>0</v>
      </c>
      <c r="J85" s="83"/>
      <c r="K85" s="84"/>
      <c r="L85" s="84"/>
      <c r="M85" s="84"/>
      <c r="N85" s="76"/>
    </row>
    <row r="86" spans="2:14" ht="18" customHeight="1">
      <c r="B86" s="648"/>
      <c r="C86" s="645"/>
      <c r="D86" s="81">
        <f t="shared" si="11"/>
        <v>0</v>
      </c>
      <c r="E86" s="81">
        <f t="shared" si="12"/>
        <v>0</v>
      </c>
      <c r="F86" s="81">
        <f t="shared" si="13"/>
        <v>0</v>
      </c>
      <c r="G86" s="82"/>
      <c r="H86" s="250">
        <f t="shared" si="15"/>
        <v>0.224</v>
      </c>
      <c r="I86" s="59">
        <f t="shared" si="14"/>
        <v>0</v>
      </c>
      <c r="J86" s="85"/>
      <c r="K86" s="86"/>
      <c r="L86" s="86"/>
      <c r="M86" s="86"/>
      <c r="N86" s="76"/>
    </row>
    <row r="87" spans="2:14" ht="18" customHeight="1" thickBot="1">
      <c r="B87" s="648"/>
      <c r="C87" s="640"/>
      <c r="D87" s="81">
        <f t="shared" si="11"/>
        <v>0</v>
      </c>
      <c r="E87" s="81">
        <f t="shared" si="12"/>
        <v>0</v>
      </c>
      <c r="F87" s="81">
        <f t="shared" si="13"/>
        <v>0</v>
      </c>
      <c r="G87" s="82"/>
      <c r="H87" s="250">
        <f t="shared" si="15"/>
        <v>0.224</v>
      </c>
      <c r="I87" s="59">
        <f t="shared" si="14"/>
        <v>0</v>
      </c>
      <c r="J87" s="97"/>
      <c r="K87" s="98"/>
      <c r="L87" s="98"/>
      <c r="M87" s="98"/>
      <c r="N87" s="80"/>
    </row>
    <row r="88" spans="2:14" ht="18" customHeight="1">
      <c r="B88" s="48" t="s">
        <v>42</v>
      </c>
      <c r="C88" s="49">
        <f>SUMPRODUCT(F68:F87*G68:G87)</f>
        <v>6.26</v>
      </c>
      <c r="D88" s="50" t="s">
        <v>43</v>
      </c>
      <c r="E88" s="49">
        <f>SUM(I68:I87)*1.1</f>
        <v>1.8936500000000003</v>
      </c>
      <c r="F88" s="50" t="s">
        <v>44</v>
      </c>
      <c r="G88" s="51">
        <f>(C$218+C$222)/1000</f>
        <v>39.781500000000001</v>
      </c>
      <c r="H88" s="52" t="s">
        <v>45</v>
      </c>
      <c r="I88" s="53">
        <f>ROUND(E88*G88,2)</f>
        <v>75.33</v>
      </c>
      <c r="J88" s="255"/>
      <c r="K88" s="255"/>
      <c r="L88" s="255"/>
      <c r="M88" s="255"/>
    </row>
    <row r="89" spans="2:14" ht="18" customHeight="1">
      <c r="B89" s="48" t="s">
        <v>46</v>
      </c>
      <c r="C89" s="50">
        <v>181.72</v>
      </c>
      <c r="D89" s="50" t="s">
        <v>47</v>
      </c>
      <c r="E89" s="49">
        <f>ROUND(C88*(C89/1000),2)</f>
        <v>1.1399999999999999</v>
      </c>
      <c r="F89" s="50" t="s">
        <v>48</v>
      </c>
      <c r="G89" s="50">
        <f>G$23</f>
        <v>10</v>
      </c>
      <c r="H89" s="52" t="s">
        <v>49</v>
      </c>
      <c r="I89" s="53">
        <f>E89*G89</f>
        <v>11.399999999999999</v>
      </c>
      <c r="J89" s="255"/>
      <c r="K89" s="255"/>
      <c r="L89" s="255"/>
      <c r="M89" s="255"/>
    </row>
    <row r="90" spans="2:14" ht="18" customHeight="1">
      <c r="B90" s="48" t="s">
        <v>50</v>
      </c>
      <c r="C90" s="50"/>
      <c r="D90" s="50" t="s">
        <v>51</v>
      </c>
      <c r="E90" s="49">
        <f>ROUND(C88*(C90/1000),2)</f>
        <v>0</v>
      </c>
      <c r="F90" s="50" t="s">
        <v>48</v>
      </c>
      <c r="G90" s="50">
        <f>G$24</f>
        <v>10</v>
      </c>
      <c r="H90" s="52" t="s">
        <v>49</v>
      </c>
      <c r="I90" s="53">
        <f>E90*G90</f>
        <v>0</v>
      </c>
      <c r="J90" s="255"/>
      <c r="K90" s="255"/>
      <c r="L90" s="255"/>
      <c r="M90" s="255"/>
    </row>
    <row r="91" spans="2:14" ht="18" customHeight="1">
      <c r="B91" s="23" t="s">
        <v>36</v>
      </c>
      <c r="C91" s="252" t="s">
        <v>14</v>
      </c>
      <c r="D91" s="252" t="s">
        <v>37</v>
      </c>
      <c r="E91" s="252" t="s">
        <v>38</v>
      </c>
      <c r="F91" s="252" t="s">
        <v>39</v>
      </c>
      <c r="G91" s="252" t="s">
        <v>8</v>
      </c>
      <c r="H91" s="252" t="s">
        <v>22</v>
      </c>
      <c r="I91" s="25" t="s">
        <v>40</v>
      </c>
      <c r="J91" s="255"/>
      <c r="K91" s="255"/>
      <c r="L91" s="255"/>
      <c r="M91" s="255"/>
    </row>
    <row r="92" spans="2:14" ht="18" customHeight="1">
      <c r="B92" s="648" t="s">
        <v>82</v>
      </c>
      <c r="C92" s="653" t="s">
        <v>326</v>
      </c>
      <c r="D92" s="253">
        <f>D26-90</f>
        <v>-90</v>
      </c>
      <c r="E92" s="253">
        <f>E26-90</f>
        <v>-90</v>
      </c>
      <c r="F92" s="253">
        <f>2*(D92+E92)/1000</f>
        <v>-0.36</v>
      </c>
      <c r="G92" s="250">
        <f>G26</f>
        <v>0</v>
      </c>
      <c r="H92" s="250">
        <v>0.27100000000000002</v>
      </c>
      <c r="I92" s="59">
        <f>ROUND(F92*G92*H92,3)</f>
        <v>0</v>
      </c>
    </row>
    <row r="93" spans="2:14" ht="18" customHeight="1">
      <c r="B93" s="648"/>
      <c r="C93" s="658"/>
      <c r="D93" s="253">
        <f t="shared" ref="D93:E96" si="16">D27-90</f>
        <v>-90</v>
      </c>
      <c r="E93" s="253">
        <f t="shared" si="16"/>
        <v>-90</v>
      </c>
      <c r="F93" s="253">
        <f>2*(D93+E93)/1000</f>
        <v>-0.36</v>
      </c>
      <c r="G93" s="250">
        <f>G27</f>
        <v>0</v>
      </c>
      <c r="H93" s="250">
        <f>H92</f>
        <v>0.27100000000000002</v>
      </c>
      <c r="I93" s="59">
        <f>ROUND(F93*G93*H93,3)</f>
        <v>0</v>
      </c>
      <c r="M93" s="42"/>
    </row>
    <row r="94" spans="2:14" ht="18" customHeight="1">
      <c r="B94" s="648"/>
      <c r="C94" s="658"/>
      <c r="D94" s="253">
        <f t="shared" si="16"/>
        <v>-90</v>
      </c>
      <c r="E94" s="253">
        <f t="shared" si="16"/>
        <v>-90</v>
      </c>
      <c r="F94" s="253">
        <f>2*(D94+E94)/1000</f>
        <v>-0.36</v>
      </c>
      <c r="G94" s="250">
        <f>G28</f>
        <v>0</v>
      </c>
      <c r="H94" s="250">
        <f>H93</f>
        <v>0.27100000000000002</v>
      </c>
      <c r="I94" s="59">
        <f>ROUND(F94*G94*H94,3)</f>
        <v>0</v>
      </c>
    </row>
    <row r="95" spans="2:14" ht="18" customHeight="1">
      <c r="B95" s="648"/>
      <c r="C95" s="658"/>
      <c r="D95" s="253">
        <f t="shared" si="16"/>
        <v>-90</v>
      </c>
      <c r="E95" s="253">
        <f t="shared" si="16"/>
        <v>-90</v>
      </c>
      <c r="F95" s="253">
        <f>2*(D95+E95)/1000</f>
        <v>-0.36</v>
      </c>
      <c r="G95" s="250">
        <f>G29</f>
        <v>0</v>
      </c>
      <c r="H95" s="250">
        <f>H94</f>
        <v>0.27100000000000002</v>
      </c>
      <c r="I95" s="59">
        <f>ROUND(F95*G95*H95,3)</f>
        <v>0</v>
      </c>
    </row>
    <row r="96" spans="2:14" ht="18" customHeight="1">
      <c r="B96" s="648"/>
      <c r="C96" s="659"/>
      <c r="D96" s="253">
        <f t="shared" si="16"/>
        <v>-90</v>
      </c>
      <c r="E96" s="253">
        <f t="shared" si="16"/>
        <v>-90</v>
      </c>
      <c r="F96" s="253">
        <f>2*(D96+E96)/1000</f>
        <v>-0.36</v>
      </c>
      <c r="G96" s="250">
        <f>G30</f>
        <v>0</v>
      </c>
      <c r="H96" s="250">
        <f>H95</f>
        <v>0.27100000000000002</v>
      </c>
      <c r="I96" s="59">
        <f>ROUND(F96*G96*H96,3)</f>
        <v>0</v>
      </c>
    </row>
    <row r="97" spans="2:13" ht="18" customHeight="1">
      <c r="B97" s="48" t="s">
        <v>42</v>
      </c>
      <c r="C97" s="49">
        <f>SUMPRODUCT(F92:F96*G92:G96)</f>
        <v>0</v>
      </c>
      <c r="D97" s="50" t="s">
        <v>43</v>
      </c>
      <c r="E97" s="49">
        <f>SUM(I92:I96)*1.1</f>
        <v>0</v>
      </c>
      <c r="F97" s="50" t="s">
        <v>44</v>
      </c>
      <c r="G97" s="51">
        <f>(C$218+C$222)/1000</f>
        <v>39.781500000000001</v>
      </c>
      <c r="H97" s="52" t="s">
        <v>45</v>
      </c>
      <c r="I97" s="53">
        <f>ROUND(E97*G97,2)</f>
        <v>0</v>
      </c>
    </row>
    <row r="98" spans="2:13" ht="18" customHeight="1">
      <c r="B98" s="48" t="s">
        <v>46</v>
      </c>
      <c r="C98" s="50">
        <v>186.72</v>
      </c>
      <c r="D98" s="50" t="s">
        <v>47</v>
      </c>
      <c r="E98" s="49">
        <f>ROUND(C97*(C98/1000),2)</f>
        <v>0</v>
      </c>
      <c r="F98" s="50" t="s">
        <v>48</v>
      </c>
      <c r="G98" s="50">
        <f>G$23</f>
        <v>10</v>
      </c>
      <c r="H98" s="52" t="s">
        <v>49</v>
      </c>
      <c r="I98" s="53">
        <f>E98*G98</f>
        <v>0</v>
      </c>
    </row>
    <row r="99" spans="2:13" ht="18" customHeight="1">
      <c r="B99" s="48" t="s">
        <v>50</v>
      </c>
      <c r="C99" s="50">
        <v>0</v>
      </c>
      <c r="D99" s="50" t="s">
        <v>51</v>
      </c>
      <c r="E99" s="49">
        <f>ROUND(C97*(C99/1000),2)</f>
        <v>0</v>
      </c>
      <c r="F99" s="50" t="s">
        <v>48</v>
      </c>
      <c r="G99" s="50">
        <f>G$24</f>
        <v>10</v>
      </c>
      <c r="H99" s="52" t="s">
        <v>49</v>
      </c>
      <c r="I99" s="53">
        <f>E99*G99</f>
        <v>0</v>
      </c>
    </row>
    <row r="100" spans="2:13" ht="18" customHeight="1">
      <c r="B100" s="23" t="s">
        <v>36</v>
      </c>
      <c r="C100" s="252" t="s">
        <v>14</v>
      </c>
      <c r="D100" s="252" t="s">
        <v>37</v>
      </c>
      <c r="E100" s="252" t="s">
        <v>38</v>
      </c>
      <c r="F100" s="252" t="s">
        <v>39</v>
      </c>
      <c r="G100" s="252" t="s">
        <v>8</v>
      </c>
      <c r="H100" s="252" t="s">
        <v>22</v>
      </c>
      <c r="I100" s="25" t="s">
        <v>40</v>
      </c>
    </row>
    <row r="101" spans="2:13" ht="18" customHeight="1">
      <c r="B101" s="648" t="s">
        <v>84</v>
      </c>
      <c r="C101" s="653" t="str">
        <f>C92</f>
        <v>SDL2281</v>
      </c>
      <c r="D101" s="253">
        <f>D35-122</f>
        <v>288</v>
      </c>
      <c r="E101" s="253">
        <f t="shared" ref="D101:E103" si="17">E35-122</f>
        <v>878</v>
      </c>
      <c r="F101" s="253">
        <f>2*(D101+E101)/1000</f>
        <v>2.3319999999999999</v>
      </c>
      <c r="G101" s="250">
        <f>G35</f>
        <v>2</v>
      </c>
      <c r="H101" s="250">
        <f>H96</f>
        <v>0.27100000000000002</v>
      </c>
      <c r="I101" s="59">
        <f>ROUND(F101*G101*H101,3)</f>
        <v>1.264</v>
      </c>
    </row>
    <row r="102" spans="2:13" ht="18" customHeight="1">
      <c r="B102" s="648"/>
      <c r="C102" s="650"/>
      <c r="D102" s="253">
        <f t="shared" si="17"/>
        <v>-122</v>
      </c>
      <c r="E102" s="253">
        <f t="shared" si="17"/>
        <v>-122</v>
      </c>
      <c r="F102" s="253">
        <f>2*(D102+E102)/1000</f>
        <v>-0.48799999999999999</v>
      </c>
      <c r="G102" s="250">
        <f>G36</f>
        <v>0</v>
      </c>
      <c r="H102" s="250">
        <f>H101</f>
        <v>0.27100000000000002</v>
      </c>
      <c r="I102" s="59">
        <f>ROUND(F102*G102*H102,3)</f>
        <v>0</v>
      </c>
      <c r="K102" s="99"/>
      <c r="M102" s="99"/>
    </row>
    <row r="103" spans="2:13" ht="18" customHeight="1">
      <c r="B103" s="648"/>
      <c r="C103" s="651"/>
      <c r="D103" s="253">
        <f t="shared" si="17"/>
        <v>-122</v>
      </c>
      <c r="E103" s="253">
        <f t="shared" si="17"/>
        <v>-122</v>
      </c>
      <c r="F103" s="253">
        <f>2*(D103+E103)/1000</f>
        <v>-0.48799999999999999</v>
      </c>
      <c r="G103" s="250">
        <f>G37</f>
        <v>0</v>
      </c>
      <c r="H103" s="250">
        <f>H102</f>
        <v>0.27100000000000002</v>
      </c>
      <c r="I103" s="59">
        <f>ROUND(F103*G103*H103,3)</f>
        <v>0</v>
      </c>
      <c r="M103" s="99"/>
    </row>
    <row r="104" spans="2:13" ht="18" customHeight="1">
      <c r="B104" s="48" t="s">
        <v>42</v>
      </c>
      <c r="C104" s="49">
        <f>SUMPRODUCT(F101:F103*G101:G103)</f>
        <v>4.6639999999999997</v>
      </c>
      <c r="D104" s="50" t="s">
        <v>43</v>
      </c>
      <c r="E104" s="49">
        <f>SUM(I101:I103)*1.1</f>
        <v>1.3904000000000001</v>
      </c>
      <c r="F104" s="50" t="s">
        <v>44</v>
      </c>
      <c r="G104" s="51">
        <f>(C$218+C$222)/1000</f>
        <v>39.781500000000001</v>
      </c>
      <c r="H104" s="52" t="s">
        <v>45</v>
      </c>
      <c r="I104" s="53">
        <f>ROUND(E104*G104,2)</f>
        <v>55.31</v>
      </c>
    </row>
    <row r="105" spans="2:13" ht="18" customHeight="1">
      <c r="B105" s="48" t="s">
        <v>46</v>
      </c>
      <c r="C105" s="50">
        <v>186.72</v>
      </c>
      <c r="D105" s="50" t="s">
        <v>47</v>
      </c>
      <c r="E105" s="49">
        <f>ROUND(C104*(C105/1000),2)</f>
        <v>0.87</v>
      </c>
      <c r="F105" s="50" t="s">
        <v>48</v>
      </c>
      <c r="G105" s="50">
        <f>G$23</f>
        <v>10</v>
      </c>
      <c r="H105" s="52" t="s">
        <v>49</v>
      </c>
      <c r="I105" s="53">
        <f>ROUND(E105*G105,2)</f>
        <v>8.6999999999999993</v>
      </c>
    </row>
    <row r="106" spans="2:13" ht="18" customHeight="1">
      <c r="B106" s="48" t="s">
        <v>50</v>
      </c>
      <c r="C106" s="50">
        <v>0</v>
      </c>
      <c r="D106" s="50" t="s">
        <v>51</v>
      </c>
      <c r="E106" s="49">
        <f>ROUND(C104*(C106/1000),2)</f>
        <v>0</v>
      </c>
      <c r="F106" s="50" t="s">
        <v>48</v>
      </c>
      <c r="G106" s="50">
        <f>G$24</f>
        <v>10</v>
      </c>
      <c r="H106" s="52" t="s">
        <v>49</v>
      </c>
      <c r="I106" s="53">
        <f>ROUND(E106*G106,2)</f>
        <v>0</v>
      </c>
    </row>
    <row r="107" spans="2:13" ht="18" customHeight="1">
      <c r="B107" s="23" t="s">
        <v>36</v>
      </c>
      <c r="C107" s="252" t="s">
        <v>14</v>
      </c>
      <c r="D107" s="252" t="s">
        <v>37</v>
      </c>
      <c r="E107" s="252" t="s">
        <v>38</v>
      </c>
      <c r="F107" s="252" t="s">
        <v>39</v>
      </c>
      <c r="G107" s="252" t="s">
        <v>8</v>
      </c>
      <c r="H107" s="252" t="s">
        <v>22</v>
      </c>
      <c r="I107" s="25" t="s">
        <v>40</v>
      </c>
    </row>
    <row r="108" spans="2:13" ht="18" customHeight="1">
      <c r="B108" s="648" t="s">
        <v>85</v>
      </c>
      <c r="C108" s="655" t="s">
        <v>86</v>
      </c>
      <c r="D108" s="250"/>
      <c r="E108" s="250"/>
      <c r="F108" s="250">
        <f>ROUND((D108+E108)*2/1000,4)</f>
        <v>0</v>
      </c>
      <c r="G108" s="250"/>
      <c r="H108" s="250">
        <v>1.857</v>
      </c>
      <c r="I108" s="59">
        <f>ROUND(F108*G108*H108,3)</f>
        <v>0</v>
      </c>
    </row>
    <row r="109" spans="2:13" ht="18" customHeight="1">
      <c r="B109" s="648"/>
      <c r="C109" s="656"/>
      <c r="D109" s="250"/>
      <c r="E109" s="250"/>
      <c r="F109" s="250">
        <f>ROUND((D109+E109)*2/1000,4)</f>
        <v>0</v>
      </c>
      <c r="G109" s="250"/>
      <c r="H109" s="250">
        <f>H108</f>
        <v>1.857</v>
      </c>
      <c r="I109" s="59">
        <f>ROUND(F109*G109*H109,3)</f>
        <v>0</v>
      </c>
      <c r="K109" s="42"/>
      <c r="L109" s="42"/>
      <c r="M109" s="42"/>
    </row>
    <row r="110" spans="2:13" ht="18" customHeight="1">
      <c r="B110" s="648"/>
      <c r="C110" s="656"/>
      <c r="D110" s="250"/>
      <c r="E110" s="250"/>
      <c r="F110" s="250">
        <f>ROUND((D110+E110)*2/1000,4)</f>
        <v>0</v>
      </c>
      <c r="G110" s="250"/>
      <c r="H110" s="250">
        <f>H109</f>
        <v>1.857</v>
      </c>
      <c r="I110" s="59">
        <f>ROUND(F110*G110*H110,3)</f>
        <v>0</v>
      </c>
      <c r="K110" s="42"/>
      <c r="L110" s="42"/>
      <c r="M110" s="42"/>
    </row>
    <row r="111" spans="2:13" ht="18" customHeight="1">
      <c r="B111" s="648"/>
      <c r="C111" s="657"/>
      <c r="D111" s="250"/>
      <c r="E111" s="250"/>
      <c r="F111" s="250">
        <f>ROUND((D111+E111)*2/1000,4)</f>
        <v>0</v>
      </c>
      <c r="G111" s="250"/>
      <c r="H111" s="250">
        <f>H110</f>
        <v>1.857</v>
      </c>
      <c r="I111" s="59">
        <f>ROUND(F111*G111*H111,3)</f>
        <v>0</v>
      </c>
      <c r="K111" s="42"/>
      <c r="L111" s="42"/>
      <c r="M111" s="42"/>
    </row>
    <row r="112" spans="2:13" ht="18" customHeight="1">
      <c r="B112" s="48" t="s">
        <v>42</v>
      </c>
      <c r="C112" s="49">
        <f>SUMPRODUCT(F108:F111*G108:G111)</f>
        <v>0</v>
      </c>
      <c r="D112" s="50" t="s">
        <v>43</v>
      </c>
      <c r="E112" s="49">
        <f>SUM(I108:I111)*1.1</f>
        <v>0</v>
      </c>
      <c r="F112" s="50" t="s">
        <v>44</v>
      </c>
      <c r="G112" s="51">
        <f>(C$218+C$219)/1000</f>
        <v>46.081499999999998</v>
      </c>
      <c r="H112" s="52" t="s">
        <v>45</v>
      </c>
      <c r="I112" s="53">
        <f>ROUND(E112*G112,2)</f>
        <v>0</v>
      </c>
      <c r="J112" s="243">
        <f>SUM(G108:G111)</f>
        <v>0</v>
      </c>
      <c r="K112" s="42"/>
      <c r="L112" s="42"/>
      <c r="M112" s="42"/>
    </row>
    <row r="113" spans="2:14" ht="18" customHeight="1">
      <c r="B113" s="48" t="s">
        <v>46</v>
      </c>
      <c r="C113" s="50">
        <v>241.03</v>
      </c>
      <c r="D113" s="50" t="s">
        <v>47</v>
      </c>
      <c r="E113" s="49">
        <f>ROUND(C112*(C113/1000),2)</f>
        <v>0</v>
      </c>
      <c r="F113" s="50" t="s">
        <v>48</v>
      </c>
      <c r="G113" s="50">
        <f>G$23</f>
        <v>10</v>
      </c>
      <c r="H113" s="52" t="s">
        <v>49</v>
      </c>
      <c r="I113" s="53">
        <f>E113*G113</f>
        <v>0</v>
      </c>
      <c r="K113" s="42"/>
      <c r="L113" s="42"/>
      <c r="M113" s="42"/>
    </row>
    <row r="114" spans="2:14" ht="18" customHeight="1" thickBot="1">
      <c r="B114" s="48" t="s">
        <v>50</v>
      </c>
      <c r="C114" s="50">
        <v>204.38</v>
      </c>
      <c r="D114" s="50" t="s">
        <v>51</v>
      </c>
      <c r="E114" s="49">
        <f>ROUND(C112*(C114/1000),2)</f>
        <v>0</v>
      </c>
      <c r="F114" s="50" t="s">
        <v>48</v>
      </c>
      <c r="G114" s="50">
        <f>G$24</f>
        <v>10</v>
      </c>
      <c r="H114" s="52" t="s">
        <v>49</v>
      </c>
      <c r="I114" s="53">
        <f>E114*G114</f>
        <v>0</v>
      </c>
    </row>
    <row r="115" spans="2:14" ht="18" customHeight="1" thickBot="1">
      <c r="B115" s="23" t="s">
        <v>36</v>
      </c>
      <c r="C115" s="252" t="s">
        <v>14</v>
      </c>
      <c r="D115" s="252" t="s">
        <v>37</v>
      </c>
      <c r="E115" s="252" t="s">
        <v>38</v>
      </c>
      <c r="F115" s="252" t="s">
        <v>39</v>
      </c>
      <c r="G115" s="252" t="s">
        <v>8</v>
      </c>
      <c r="H115" s="252" t="s">
        <v>22</v>
      </c>
      <c r="I115" s="25" t="s">
        <v>40</v>
      </c>
      <c r="J115" s="54" t="s">
        <v>2</v>
      </c>
      <c r="K115" s="55" t="s">
        <v>3</v>
      </c>
      <c r="L115" s="55" t="s">
        <v>61</v>
      </c>
      <c r="M115" s="55" t="s">
        <v>62</v>
      </c>
      <c r="N115" s="70" t="s">
        <v>14</v>
      </c>
    </row>
    <row r="116" spans="2:14" ht="18" customHeight="1">
      <c r="B116" s="648" t="s">
        <v>87</v>
      </c>
      <c r="C116" s="649" t="s">
        <v>88</v>
      </c>
      <c r="D116" s="253">
        <f t="shared" ref="D116:E118" si="18">J116-IF(L116=1,78,IF(L116=2,55.5,IF(L116=3,41,0)))</f>
        <v>0</v>
      </c>
      <c r="E116" s="253">
        <f t="shared" si="18"/>
        <v>0</v>
      </c>
      <c r="F116" s="250">
        <f>ROUND((D116+E116)*2/1000,4)</f>
        <v>0</v>
      </c>
      <c r="G116" s="250"/>
      <c r="H116" s="58">
        <v>2.456</v>
      </c>
      <c r="I116" s="59">
        <f>ROUND(F116*G116*H116,3)</f>
        <v>0</v>
      </c>
      <c r="J116" s="60"/>
      <c r="K116" s="61"/>
      <c r="L116" s="61"/>
      <c r="M116" s="61"/>
      <c r="N116" s="76" t="s">
        <v>56</v>
      </c>
    </row>
    <row r="117" spans="2:14" ht="18" customHeight="1">
      <c r="B117" s="648"/>
      <c r="C117" s="650"/>
      <c r="D117" s="253">
        <f t="shared" si="18"/>
        <v>0</v>
      </c>
      <c r="E117" s="253">
        <f t="shared" si="18"/>
        <v>0</v>
      </c>
      <c r="F117" s="250">
        <f>ROUND((D117+E117)*2/1000,4)</f>
        <v>0</v>
      </c>
      <c r="G117" s="250">
        <v>0</v>
      </c>
      <c r="H117" s="58">
        <f>H116</f>
        <v>2.456</v>
      </c>
      <c r="I117" s="59">
        <f>ROUND(F117*G117*H117,3)</f>
        <v>0</v>
      </c>
      <c r="J117" s="60"/>
      <c r="K117" s="61"/>
      <c r="L117" s="61"/>
      <c r="M117" s="61"/>
      <c r="N117" s="76" t="s">
        <v>58</v>
      </c>
    </row>
    <row r="118" spans="2:14" ht="18" customHeight="1" thickBot="1">
      <c r="B118" s="648"/>
      <c r="C118" s="651"/>
      <c r="D118" s="253">
        <f t="shared" si="18"/>
        <v>0</v>
      </c>
      <c r="E118" s="253">
        <f t="shared" si="18"/>
        <v>0</v>
      </c>
      <c r="F118" s="250">
        <f>ROUND((D118+E118)*2/1000,4)</f>
        <v>0</v>
      </c>
      <c r="G118" s="250">
        <v>0</v>
      </c>
      <c r="H118" s="58">
        <f>H117</f>
        <v>2.456</v>
      </c>
      <c r="I118" s="59">
        <f>ROUND(F118*G118*H118,3)</f>
        <v>0</v>
      </c>
      <c r="J118" s="64"/>
      <c r="K118" s="65"/>
      <c r="L118" s="65"/>
      <c r="M118" s="65"/>
      <c r="N118" s="80" t="s">
        <v>89</v>
      </c>
    </row>
    <row r="119" spans="2:14" ht="18" customHeight="1">
      <c r="B119" s="48" t="s">
        <v>42</v>
      </c>
      <c r="C119" s="49">
        <f>SUMPRODUCT(F116:F118*G116:G118)</f>
        <v>0</v>
      </c>
      <c r="D119" s="100" t="s">
        <v>43</v>
      </c>
      <c r="E119" s="100">
        <f>SUM(I116:I118)*1.1</f>
        <v>0</v>
      </c>
      <c r="F119" s="50" t="s">
        <v>44</v>
      </c>
      <c r="G119" s="51">
        <f>(C$218+C$219)/1000</f>
        <v>46.081499999999998</v>
      </c>
      <c r="H119" s="52" t="s">
        <v>45</v>
      </c>
      <c r="I119" s="53">
        <f>ROUND(E119*G119,2)</f>
        <v>0</v>
      </c>
      <c r="J119" s="243">
        <f>SUM(G116:G118)</f>
        <v>0</v>
      </c>
      <c r="K119" s="255"/>
      <c r="L119" s="255"/>
      <c r="M119" s="255"/>
    </row>
    <row r="120" spans="2:14" ht="18" customHeight="1">
      <c r="B120" s="48" t="s">
        <v>46</v>
      </c>
      <c r="C120" s="50">
        <v>350.56</v>
      </c>
      <c r="D120" s="100" t="s">
        <v>47</v>
      </c>
      <c r="E120" s="100">
        <f>ROUND(C119*(C120/1000),2)</f>
        <v>0</v>
      </c>
      <c r="F120" s="50" t="s">
        <v>48</v>
      </c>
      <c r="G120" s="50">
        <f>G$23</f>
        <v>10</v>
      </c>
      <c r="H120" s="52" t="s">
        <v>49</v>
      </c>
      <c r="I120" s="53">
        <f>E120*G120</f>
        <v>0</v>
      </c>
      <c r="J120" s="255"/>
      <c r="K120" s="255"/>
      <c r="L120" s="255"/>
      <c r="M120" s="255"/>
    </row>
    <row r="121" spans="2:14" ht="18" customHeight="1" thickBot="1">
      <c r="B121" s="48" t="s">
        <v>50</v>
      </c>
      <c r="C121" s="50">
        <v>189.03</v>
      </c>
      <c r="D121" s="100" t="s">
        <v>51</v>
      </c>
      <c r="E121" s="100">
        <f>ROUND(C119*(C121/1000),2)</f>
        <v>0</v>
      </c>
      <c r="F121" s="50" t="s">
        <v>48</v>
      </c>
      <c r="G121" s="50">
        <f>G$24</f>
        <v>10</v>
      </c>
      <c r="H121" s="52" t="s">
        <v>49</v>
      </c>
      <c r="I121" s="53">
        <f>E121*G121</f>
        <v>0</v>
      </c>
      <c r="J121" s="255"/>
    </row>
    <row r="122" spans="2:14" ht="18" customHeight="1" thickBot="1">
      <c r="B122" s="23" t="s">
        <v>36</v>
      </c>
      <c r="C122" s="252" t="s">
        <v>14</v>
      </c>
      <c r="D122" s="101" t="s">
        <v>37</v>
      </c>
      <c r="E122" s="101" t="s">
        <v>38</v>
      </c>
      <c r="F122" s="252" t="s">
        <v>39</v>
      </c>
      <c r="G122" s="252" t="s">
        <v>8</v>
      </c>
      <c r="H122" s="252" t="s">
        <v>22</v>
      </c>
      <c r="I122" s="25" t="s">
        <v>40</v>
      </c>
      <c r="J122" s="54" t="s">
        <v>2</v>
      </c>
      <c r="K122" s="55" t="s">
        <v>3</v>
      </c>
      <c r="L122" s="55" t="s">
        <v>61</v>
      </c>
      <c r="M122" s="55" t="s">
        <v>62</v>
      </c>
      <c r="N122" s="70" t="s">
        <v>14</v>
      </c>
    </row>
    <row r="123" spans="2:14" ht="18" customHeight="1">
      <c r="B123" s="648" t="s">
        <v>90</v>
      </c>
      <c r="C123" s="649" t="s">
        <v>91</v>
      </c>
      <c r="D123" s="253">
        <f t="shared" ref="D123:E125" si="19">J123-IF(L123=1,78,IF(L123=2,55.5,IF(L123=3,41,0)))</f>
        <v>0</v>
      </c>
      <c r="E123" s="253">
        <f t="shared" si="19"/>
        <v>0</v>
      </c>
      <c r="F123" s="250">
        <f>ROUND((D123+E123)*2/1000,4)</f>
        <v>0</v>
      </c>
      <c r="G123" s="250"/>
      <c r="H123" s="58">
        <v>2.4710000000000001</v>
      </c>
      <c r="I123" s="59">
        <f>ROUND(F123*G123*H123,3)</f>
        <v>0</v>
      </c>
      <c r="J123" s="60"/>
      <c r="K123" s="61"/>
      <c r="L123" s="61"/>
      <c r="M123" s="61"/>
      <c r="N123" s="76" t="s">
        <v>56</v>
      </c>
    </row>
    <row r="124" spans="2:14" ht="18" customHeight="1">
      <c r="B124" s="648"/>
      <c r="C124" s="650"/>
      <c r="D124" s="253">
        <f t="shared" si="19"/>
        <v>0</v>
      </c>
      <c r="E124" s="253">
        <f t="shared" si="19"/>
        <v>0</v>
      </c>
      <c r="F124" s="250">
        <f>ROUND((D124+E124)*2/1000,4)</f>
        <v>0</v>
      </c>
      <c r="G124" s="250"/>
      <c r="H124" s="58">
        <f>H123</f>
        <v>2.4710000000000001</v>
      </c>
      <c r="I124" s="59">
        <f>ROUND(F124*G124*H124,3)</f>
        <v>0</v>
      </c>
      <c r="J124" s="60"/>
      <c r="K124" s="61"/>
      <c r="L124" s="61"/>
      <c r="M124" s="61"/>
      <c r="N124" s="76" t="s">
        <v>58</v>
      </c>
    </row>
    <row r="125" spans="2:14" ht="18" customHeight="1" thickBot="1">
      <c r="B125" s="648"/>
      <c r="C125" s="651"/>
      <c r="D125" s="253">
        <f t="shared" si="19"/>
        <v>0</v>
      </c>
      <c r="E125" s="253">
        <f t="shared" si="19"/>
        <v>0</v>
      </c>
      <c r="F125" s="250">
        <f>ROUND((D125+E125)*2/1000,4)</f>
        <v>0</v>
      </c>
      <c r="G125" s="250"/>
      <c r="H125" s="58">
        <f>H124</f>
        <v>2.4710000000000001</v>
      </c>
      <c r="I125" s="59">
        <f>ROUND(F125*G125*H125,3)</f>
        <v>0</v>
      </c>
      <c r="J125" s="64"/>
      <c r="K125" s="65"/>
      <c r="L125" s="65"/>
      <c r="M125" s="65"/>
      <c r="N125" s="80" t="s">
        <v>89</v>
      </c>
    </row>
    <row r="126" spans="2:14" ht="18" customHeight="1">
      <c r="B126" s="48" t="s">
        <v>42</v>
      </c>
      <c r="C126" s="49">
        <f>SUMPRODUCT(F123:F125*G123:G125)</f>
        <v>0</v>
      </c>
      <c r="D126" s="50" t="s">
        <v>43</v>
      </c>
      <c r="E126" s="49">
        <f>SUM(I123:I125)*1.1</f>
        <v>0</v>
      </c>
      <c r="F126" s="50" t="s">
        <v>44</v>
      </c>
      <c r="G126" s="51">
        <f>(C$218+C$221)/1000</f>
        <v>46.081499999999998</v>
      </c>
      <c r="H126" s="52" t="s">
        <v>45</v>
      </c>
      <c r="I126" s="53">
        <f>ROUND(E126*G126,2)</f>
        <v>0</v>
      </c>
      <c r="J126" s="243">
        <f>SUM(G123:G125)</f>
        <v>0</v>
      </c>
      <c r="K126" s="255"/>
      <c r="L126" s="255"/>
      <c r="M126" s="255"/>
    </row>
    <row r="127" spans="2:14" ht="18" customHeight="1">
      <c r="B127" s="48" t="s">
        <v>46</v>
      </c>
      <c r="C127" s="50">
        <v>236.53</v>
      </c>
      <c r="D127" s="50" t="s">
        <v>47</v>
      </c>
      <c r="E127" s="49">
        <f>ROUND(C126*(C127/1000),2)</f>
        <v>0</v>
      </c>
      <c r="F127" s="50" t="s">
        <v>48</v>
      </c>
      <c r="G127" s="50">
        <f>G$23</f>
        <v>10</v>
      </c>
      <c r="H127" s="52" t="s">
        <v>49</v>
      </c>
      <c r="I127" s="53">
        <f>E127*G127</f>
        <v>0</v>
      </c>
      <c r="J127" s="255"/>
      <c r="K127" s="255"/>
      <c r="L127" s="255"/>
      <c r="M127" s="255"/>
    </row>
    <row r="128" spans="2:14" ht="18" customHeight="1" thickBot="1">
      <c r="B128" s="48" t="s">
        <v>50</v>
      </c>
      <c r="C128" s="50">
        <v>311.02999999999997</v>
      </c>
      <c r="D128" s="50" t="s">
        <v>51</v>
      </c>
      <c r="E128" s="49">
        <f>ROUND(C126*(C128/1000),2)</f>
        <v>0</v>
      </c>
      <c r="F128" s="50" t="s">
        <v>48</v>
      </c>
      <c r="G128" s="50">
        <f>G$24</f>
        <v>10</v>
      </c>
      <c r="H128" s="52" t="s">
        <v>49</v>
      </c>
      <c r="I128" s="53">
        <f>E128*G128</f>
        <v>0</v>
      </c>
      <c r="J128" s="255"/>
    </row>
    <row r="129" spans="2:14" ht="18" customHeight="1" thickBot="1">
      <c r="B129" s="23" t="s">
        <v>36</v>
      </c>
      <c r="C129" s="252" t="s">
        <v>14</v>
      </c>
      <c r="D129" s="252" t="s">
        <v>37</v>
      </c>
      <c r="E129" s="252" t="s">
        <v>71</v>
      </c>
      <c r="F129" s="252" t="s">
        <v>38</v>
      </c>
      <c r="G129" s="252" t="s">
        <v>72</v>
      </c>
      <c r="H129" s="252" t="s">
        <v>22</v>
      </c>
      <c r="I129" s="25" t="s">
        <v>40</v>
      </c>
      <c r="J129" s="54" t="s">
        <v>2</v>
      </c>
      <c r="K129" s="55" t="s">
        <v>3</v>
      </c>
      <c r="L129" s="55" t="s">
        <v>61</v>
      </c>
      <c r="M129" s="55" t="s">
        <v>62</v>
      </c>
      <c r="N129" s="70" t="s">
        <v>14</v>
      </c>
    </row>
    <row r="130" spans="2:14" ht="18" customHeight="1">
      <c r="B130" s="648" t="s">
        <v>92</v>
      </c>
      <c r="C130" s="649" t="s">
        <v>93</v>
      </c>
      <c r="D130" s="253">
        <f>J130-IF(L130=1,81,IF(L130=2,58.5,IF(L130=3,36,0)))</f>
        <v>0</v>
      </c>
      <c r="E130" s="253">
        <v>0</v>
      </c>
      <c r="F130" s="253">
        <f>K130-IF(M130=1,81,IF(M130=2,58.5,IF(M130=3,36,0)))</f>
        <v>0</v>
      </c>
      <c r="G130" s="250">
        <v>0</v>
      </c>
      <c r="H130" s="250">
        <v>2.0489999999999999</v>
      </c>
      <c r="I130" s="59">
        <f>ROUND((D130*E130+F130*G130)/1000*H130,3)</f>
        <v>0</v>
      </c>
      <c r="J130" s="60"/>
      <c r="K130" s="61"/>
      <c r="L130" s="61"/>
      <c r="M130" s="61"/>
      <c r="N130" s="76" t="s">
        <v>56</v>
      </c>
    </row>
    <row r="131" spans="2:14" ht="18" customHeight="1">
      <c r="B131" s="648"/>
      <c r="C131" s="650"/>
      <c r="D131" s="253">
        <f>J131-IF(L131=1,81,IF(L131=2,58.5,IF(L131=3,36,0)))</f>
        <v>0</v>
      </c>
      <c r="E131" s="253">
        <v>0</v>
      </c>
      <c r="F131" s="253">
        <f>K131-IF(M131=1,81,IF(M131=2,58.5,IF(M131=3,36,0)))</f>
        <v>0</v>
      </c>
      <c r="G131" s="250"/>
      <c r="H131" s="250">
        <f>H130</f>
        <v>2.0489999999999999</v>
      </c>
      <c r="I131" s="59">
        <f>ROUND((D131*E131+F131*G131)/1000*H131,3)</f>
        <v>0</v>
      </c>
      <c r="J131" s="60"/>
      <c r="K131" s="61"/>
      <c r="L131" s="61"/>
      <c r="M131" s="61"/>
      <c r="N131" s="76" t="s">
        <v>58</v>
      </c>
    </row>
    <row r="132" spans="2:14" ht="18" customHeight="1" thickBot="1">
      <c r="B132" s="648"/>
      <c r="C132" s="651"/>
      <c r="D132" s="253">
        <f>J132-IF(L132=1,81,IF(L132=2,58.5,IF(L132=3,36,0)))</f>
        <v>0</v>
      </c>
      <c r="E132" s="253"/>
      <c r="F132" s="253">
        <f>K132-IF(M132=1,81,IF(M132=2,58.5,IF(M132=3,36,0)))</f>
        <v>0</v>
      </c>
      <c r="G132" s="250"/>
      <c r="H132" s="250">
        <f>H131</f>
        <v>2.0489999999999999</v>
      </c>
      <c r="I132" s="59">
        <f>ROUND((D132*E132+F132*G132)/1000*H132,3)</f>
        <v>0</v>
      </c>
      <c r="J132" s="64"/>
      <c r="K132" s="65"/>
      <c r="L132" s="65"/>
      <c r="M132" s="65"/>
      <c r="N132" s="80" t="s">
        <v>89</v>
      </c>
    </row>
    <row r="133" spans="2:14" ht="18" customHeight="1">
      <c r="B133" s="48" t="s">
        <v>42</v>
      </c>
      <c r="C133" s="49">
        <f>SUMPRODUCT(D130:D132*E130:E132+F130:F132*G130:G132)/1000</f>
        <v>0</v>
      </c>
      <c r="D133" s="50" t="s">
        <v>43</v>
      </c>
      <c r="E133" s="49">
        <f>SUM(I130:I132)*1.1</f>
        <v>0</v>
      </c>
      <c r="F133" s="50" t="s">
        <v>44</v>
      </c>
      <c r="G133" s="51">
        <f>(C$218+C$219)/1000</f>
        <v>46.081499999999998</v>
      </c>
      <c r="H133" s="52" t="s">
        <v>45</v>
      </c>
      <c r="I133" s="53">
        <f>ROUND(E133*G133,2)</f>
        <v>0</v>
      </c>
      <c r="J133" s="243">
        <f>SUM(G130:G132)+SUM(E130:E132)</f>
        <v>0</v>
      </c>
    </row>
    <row r="134" spans="2:14" ht="18" customHeight="1">
      <c r="B134" s="48" t="s">
        <v>46</v>
      </c>
      <c r="C134" s="50">
        <v>298.42</v>
      </c>
      <c r="D134" s="50" t="s">
        <v>47</v>
      </c>
      <c r="E134" s="49">
        <f>ROUND(C133*(C134/1000),2)</f>
        <v>0</v>
      </c>
      <c r="F134" s="50" t="s">
        <v>48</v>
      </c>
      <c r="G134" s="50">
        <f>G$23</f>
        <v>10</v>
      </c>
      <c r="H134" s="52" t="s">
        <v>49</v>
      </c>
      <c r="I134" s="53">
        <f>ROUND(E134*G134,2)</f>
        <v>0</v>
      </c>
    </row>
    <row r="135" spans="2:14" ht="18" customHeight="1">
      <c r="B135" s="48" t="s">
        <v>50</v>
      </c>
      <c r="C135" s="50">
        <v>208.08</v>
      </c>
      <c r="D135" s="50" t="s">
        <v>51</v>
      </c>
      <c r="E135" s="49">
        <f>ROUND(C133*(C135/1000),2)</f>
        <v>0</v>
      </c>
      <c r="F135" s="50" t="s">
        <v>48</v>
      </c>
      <c r="G135" s="50">
        <f>G$24</f>
        <v>10</v>
      </c>
      <c r="H135" s="52" t="s">
        <v>49</v>
      </c>
      <c r="I135" s="53">
        <f>ROUND(E135*G135,2)</f>
        <v>0</v>
      </c>
    </row>
    <row r="136" spans="2:14" ht="18" customHeight="1">
      <c r="B136" s="23" t="s">
        <v>36</v>
      </c>
      <c r="C136" s="252" t="s">
        <v>14</v>
      </c>
      <c r="D136" s="652" t="s">
        <v>38</v>
      </c>
      <c r="E136" s="652"/>
      <c r="F136" s="652"/>
      <c r="G136" s="252" t="s">
        <v>72</v>
      </c>
      <c r="H136" s="252" t="s">
        <v>22</v>
      </c>
      <c r="I136" s="25" t="s">
        <v>40</v>
      </c>
    </row>
    <row r="137" spans="2:14" ht="18" customHeight="1">
      <c r="B137" s="648" t="s">
        <v>94</v>
      </c>
      <c r="C137" s="649" t="s">
        <v>95</v>
      </c>
      <c r="D137" s="654">
        <f>E116</f>
        <v>0</v>
      </c>
      <c r="E137" s="646"/>
      <c r="F137" s="646"/>
      <c r="G137" s="250"/>
      <c r="H137" s="250">
        <v>1.3360000000000001</v>
      </c>
      <c r="I137" s="59">
        <f>ROUND(D137*H137*G137/1000,3)</f>
        <v>0</v>
      </c>
    </row>
    <row r="138" spans="2:14" ht="18" customHeight="1">
      <c r="B138" s="648"/>
      <c r="C138" s="651"/>
      <c r="D138" s="654"/>
      <c r="E138" s="646"/>
      <c r="F138" s="646"/>
      <c r="G138" s="250"/>
      <c r="H138" s="250">
        <f>H137</f>
        <v>1.3360000000000001</v>
      </c>
      <c r="I138" s="59">
        <f>ROUND(D138*H138*G138/1000,3)</f>
        <v>0</v>
      </c>
    </row>
    <row r="139" spans="2:14" ht="18" customHeight="1">
      <c r="B139" s="48" t="s">
        <v>42</v>
      </c>
      <c r="C139" s="49">
        <f>SUMPRODUCT(D137:F138*G137:G138)/1000</f>
        <v>0</v>
      </c>
      <c r="D139" s="50" t="s">
        <v>43</v>
      </c>
      <c r="E139" s="49">
        <f>SUM(I137:I138)*1.1</f>
        <v>0</v>
      </c>
      <c r="F139" s="50" t="s">
        <v>44</v>
      </c>
      <c r="G139" s="51">
        <f>(C$218+C$219)/1000</f>
        <v>46.081499999999998</v>
      </c>
      <c r="H139" s="52" t="s">
        <v>45</v>
      </c>
      <c r="I139" s="53">
        <f>ROUND(E139*G139,2)</f>
        <v>0</v>
      </c>
    </row>
    <row r="140" spans="2:14" ht="18" customHeight="1">
      <c r="B140" s="48" t="s">
        <v>46</v>
      </c>
      <c r="C140" s="50">
        <v>143.24</v>
      </c>
      <c r="D140" s="50" t="s">
        <v>47</v>
      </c>
      <c r="E140" s="49">
        <f>ROUND(C139*(C140/1000),2)</f>
        <v>0</v>
      </c>
      <c r="F140" s="50" t="s">
        <v>48</v>
      </c>
      <c r="G140" s="50">
        <f>G$23</f>
        <v>10</v>
      </c>
      <c r="H140" s="52" t="s">
        <v>49</v>
      </c>
      <c r="I140" s="53">
        <f>E140*G140</f>
        <v>0</v>
      </c>
    </row>
    <row r="141" spans="2:14" ht="18" customHeight="1">
      <c r="B141" s="48" t="s">
        <v>50</v>
      </c>
      <c r="C141" s="50">
        <v>85.04</v>
      </c>
      <c r="D141" s="50" t="s">
        <v>51</v>
      </c>
      <c r="E141" s="49">
        <f>ROUND(C139*(C141/1000),2)</f>
        <v>0</v>
      </c>
      <c r="F141" s="50" t="s">
        <v>48</v>
      </c>
      <c r="G141" s="50">
        <f>G$24</f>
        <v>10</v>
      </c>
      <c r="H141" s="52" t="s">
        <v>49</v>
      </c>
      <c r="I141" s="53">
        <f>E141*G141</f>
        <v>0</v>
      </c>
    </row>
    <row r="142" spans="2:14" ht="18" customHeight="1">
      <c r="B142" s="23" t="s">
        <v>36</v>
      </c>
      <c r="C142" s="252" t="s">
        <v>14</v>
      </c>
      <c r="D142" s="252" t="s">
        <v>37</v>
      </c>
      <c r="E142" s="252" t="s">
        <v>38</v>
      </c>
      <c r="F142" s="252" t="s">
        <v>39</v>
      </c>
      <c r="G142" s="252" t="s">
        <v>8</v>
      </c>
      <c r="H142" s="252" t="s">
        <v>22</v>
      </c>
      <c r="I142" s="25" t="s">
        <v>40</v>
      </c>
    </row>
    <row r="143" spans="2:14" ht="18" customHeight="1">
      <c r="B143" s="648" t="s">
        <v>96</v>
      </c>
      <c r="C143" s="653" t="s">
        <v>83</v>
      </c>
      <c r="D143" s="253">
        <f t="shared" ref="D143:E145" si="20">D116-154</f>
        <v>-154</v>
      </c>
      <c r="E143" s="253">
        <f t="shared" si="20"/>
        <v>-154</v>
      </c>
      <c r="F143" s="253">
        <f>(D143+E143)*2/1000</f>
        <v>-0.61599999999999999</v>
      </c>
      <c r="G143" s="250">
        <f>G116</f>
        <v>0</v>
      </c>
      <c r="H143" s="250">
        <v>0.27100000000000002</v>
      </c>
      <c r="I143" s="59">
        <f>ROUND((F143*G143)*H143,3)</f>
        <v>0</v>
      </c>
    </row>
    <row r="144" spans="2:14" ht="18" customHeight="1">
      <c r="B144" s="648"/>
      <c r="C144" s="650"/>
      <c r="D144" s="253">
        <f t="shared" si="20"/>
        <v>-154</v>
      </c>
      <c r="E144" s="253">
        <f t="shared" si="20"/>
        <v>-154</v>
      </c>
      <c r="F144" s="253">
        <f>(D144+E144)*2/1000</f>
        <v>-0.61599999999999999</v>
      </c>
      <c r="G144" s="250">
        <f>G117</f>
        <v>0</v>
      </c>
      <c r="H144" s="250">
        <f>H143</f>
        <v>0.27100000000000002</v>
      </c>
      <c r="I144" s="59">
        <f>ROUND((F144*G144)*H144,3)</f>
        <v>0</v>
      </c>
    </row>
    <row r="145" spans="2:14" ht="18" customHeight="1">
      <c r="B145" s="648"/>
      <c r="C145" s="651"/>
      <c r="D145" s="253">
        <f t="shared" si="20"/>
        <v>-154</v>
      </c>
      <c r="E145" s="253">
        <f t="shared" si="20"/>
        <v>-154</v>
      </c>
      <c r="F145" s="253">
        <f>(D145+E145)*2/1000</f>
        <v>-0.61599999999999999</v>
      </c>
      <c r="G145" s="250">
        <f>G118</f>
        <v>0</v>
      </c>
      <c r="H145" s="250">
        <f>H144</f>
        <v>0.27100000000000002</v>
      </c>
      <c r="I145" s="59">
        <f>ROUND((F145*G145)*H145,3)</f>
        <v>0</v>
      </c>
    </row>
    <row r="146" spans="2:14" ht="18" customHeight="1">
      <c r="B146" s="48" t="s">
        <v>42</v>
      </c>
      <c r="C146" s="49">
        <f>SUMPRODUCT(F143:F145*G143:G145)</f>
        <v>0</v>
      </c>
      <c r="D146" s="50" t="s">
        <v>43</v>
      </c>
      <c r="E146" s="49">
        <f>SUM(I143:I145)*1.1</f>
        <v>0</v>
      </c>
      <c r="F146" s="50" t="s">
        <v>44</v>
      </c>
      <c r="G146" s="51">
        <f>(C$218+C$222)/1000</f>
        <v>39.781500000000001</v>
      </c>
      <c r="H146" s="52" t="s">
        <v>45</v>
      </c>
      <c r="I146" s="53">
        <f>ROUND(E146*G146,2)</f>
        <v>0</v>
      </c>
    </row>
    <row r="147" spans="2:14" ht="18" customHeight="1">
      <c r="B147" s="48" t="s">
        <v>46</v>
      </c>
      <c r="C147" s="50">
        <v>186.72</v>
      </c>
      <c r="D147" s="50" t="s">
        <v>47</v>
      </c>
      <c r="E147" s="49">
        <f>ROUND(C146*(C147/1000),2)</f>
        <v>0</v>
      </c>
      <c r="F147" s="50" t="s">
        <v>48</v>
      </c>
      <c r="G147" s="50">
        <f>G$23</f>
        <v>10</v>
      </c>
      <c r="H147" s="52" t="s">
        <v>49</v>
      </c>
      <c r="I147" s="53">
        <f>E147*G147</f>
        <v>0</v>
      </c>
      <c r="K147" s="42"/>
      <c r="L147" s="42"/>
      <c r="M147" s="42"/>
    </row>
    <row r="148" spans="2:14" ht="18" customHeight="1">
      <c r="B148" s="48" t="s">
        <v>50</v>
      </c>
      <c r="C148" s="50">
        <v>0</v>
      </c>
      <c r="D148" s="50" t="s">
        <v>51</v>
      </c>
      <c r="E148" s="49">
        <f>ROUND(C146*(C148/1000),2)</f>
        <v>0</v>
      </c>
      <c r="F148" s="50" t="s">
        <v>48</v>
      </c>
      <c r="G148" s="50">
        <f>G$24</f>
        <v>10</v>
      </c>
      <c r="H148" s="52" t="s">
        <v>49</v>
      </c>
      <c r="I148" s="53">
        <f>E148*G148</f>
        <v>0</v>
      </c>
      <c r="K148" s="42"/>
      <c r="L148" s="42"/>
      <c r="M148" s="42"/>
    </row>
    <row r="149" spans="2:14" ht="18" customHeight="1">
      <c r="B149" s="23" t="s">
        <v>36</v>
      </c>
      <c r="C149" s="252" t="s">
        <v>14</v>
      </c>
      <c r="D149" s="252" t="s">
        <v>37</v>
      </c>
      <c r="E149" s="252" t="s">
        <v>38</v>
      </c>
      <c r="F149" s="252" t="s">
        <v>39</v>
      </c>
      <c r="G149" s="252" t="s">
        <v>8</v>
      </c>
      <c r="H149" s="252" t="s">
        <v>22</v>
      </c>
      <c r="I149" s="25" t="s">
        <v>40</v>
      </c>
      <c r="K149" s="42"/>
      <c r="L149" s="42"/>
      <c r="M149" s="42"/>
    </row>
    <row r="150" spans="2:14" ht="18" customHeight="1">
      <c r="B150" s="648" t="s">
        <v>97</v>
      </c>
      <c r="C150" s="653" t="s">
        <v>83</v>
      </c>
      <c r="D150" s="253">
        <f t="shared" ref="D150:E152" si="21">D123-160</f>
        <v>-160</v>
      </c>
      <c r="E150" s="253">
        <f t="shared" si="21"/>
        <v>-160</v>
      </c>
      <c r="F150" s="253">
        <f>(D150+E150)*2/1000</f>
        <v>-0.64</v>
      </c>
      <c r="G150" s="250">
        <f>G123</f>
        <v>0</v>
      </c>
      <c r="H150" s="250">
        <f>H145</f>
        <v>0.27100000000000002</v>
      </c>
      <c r="I150" s="59">
        <f>ROUND((F150*G150)*H150,3)</f>
        <v>0</v>
      </c>
      <c r="K150" s="42"/>
      <c r="L150" s="42"/>
      <c r="M150" s="42"/>
    </row>
    <row r="151" spans="2:14" ht="18" customHeight="1">
      <c r="B151" s="648"/>
      <c r="C151" s="650"/>
      <c r="D151" s="253">
        <f t="shared" si="21"/>
        <v>-160</v>
      </c>
      <c r="E151" s="253">
        <f t="shared" si="21"/>
        <v>-160</v>
      </c>
      <c r="F151" s="253">
        <f>(D151+E151)*2/1000</f>
        <v>-0.64</v>
      </c>
      <c r="G151" s="250">
        <f>G124</f>
        <v>0</v>
      </c>
      <c r="H151" s="250">
        <f>H150</f>
        <v>0.27100000000000002</v>
      </c>
      <c r="I151" s="59">
        <f>ROUND((F151*G151)*H151,3)</f>
        <v>0</v>
      </c>
      <c r="K151" s="42"/>
      <c r="L151" s="42"/>
      <c r="M151" s="42"/>
    </row>
    <row r="152" spans="2:14" ht="18" customHeight="1">
      <c r="B152" s="648"/>
      <c r="C152" s="651"/>
      <c r="D152" s="253">
        <f t="shared" si="21"/>
        <v>-160</v>
      </c>
      <c r="E152" s="253">
        <f t="shared" si="21"/>
        <v>-160</v>
      </c>
      <c r="F152" s="253">
        <f>(D152+E152)*2/1000</f>
        <v>-0.64</v>
      </c>
      <c r="G152" s="250">
        <f>G125</f>
        <v>0</v>
      </c>
      <c r="H152" s="250">
        <f>H151</f>
        <v>0.27100000000000002</v>
      </c>
      <c r="I152" s="59">
        <f>ROUND((F152*G152)*H152,3)</f>
        <v>0</v>
      </c>
      <c r="K152" s="42"/>
      <c r="L152" s="42"/>
      <c r="M152" s="42"/>
    </row>
    <row r="153" spans="2:14" ht="18" customHeight="1">
      <c r="B153" s="48" t="s">
        <v>42</v>
      </c>
      <c r="C153" s="49">
        <f>SUMPRODUCT(F150:F152*G150:G152)</f>
        <v>0</v>
      </c>
      <c r="D153" s="50" t="s">
        <v>43</v>
      </c>
      <c r="E153" s="49">
        <f>SUM(I150:I152)*1.1</f>
        <v>0</v>
      </c>
      <c r="F153" s="50" t="s">
        <v>44</v>
      </c>
      <c r="G153" s="51">
        <f>(C$218+C$222)/1000</f>
        <v>39.781500000000001</v>
      </c>
      <c r="H153" s="52" t="s">
        <v>45</v>
      </c>
      <c r="I153" s="53">
        <f>ROUND(E153*G153,2)</f>
        <v>0</v>
      </c>
      <c r="K153" s="42"/>
      <c r="L153" s="42"/>
      <c r="M153" s="42"/>
    </row>
    <row r="154" spans="2:14" ht="18" customHeight="1">
      <c r="B154" s="48" t="s">
        <v>46</v>
      </c>
      <c r="C154" s="50">
        <v>186.72</v>
      </c>
      <c r="D154" s="50" t="s">
        <v>47</v>
      </c>
      <c r="E154" s="49">
        <f>ROUND(C153*(C154/1000),2)</f>
        <v>0</v>
      </c>
      <c r="F154" s="50" t="s">
        <v>48</v>
      </c>
      <c r="G154" s="50">
        <f>G$23</f>
        <v>10</v>
      </c>
      <c r="H154" s="52" t="s">
        <v>49</v>
      </c>
      <c r="I154" s="53">
        <f>E154*G154</f>
        <v>0</v>
      </c>
    </row>
    <row r="155" spans="2:14" ht="18" customHeight="1" thickBot="1">
      <c r="B155" s="48" t="s">
        <v>50</v>
      </c>
      <c r="C155" s="50">
        <v>0</v>
      </c>
      <c r="D155" s="50" t="s">
        <v>51</v>
      </c>
      <c r="E155" s="49">
        <f>ROUND(C153*(C155/1000),2)</f>
        <v>0</v>
      </c>
      <c r="F155" s="50" t="s">
        <v>48</v>
      </c>
      <c r="G155" s="50">
        <f>G$24</f>
        <v>10</v>
      </c>
      <c r="H155" s="52" t="s">
        <v>49</v>
      </c>
      <c r="I155" s="53">
        <f>E155*G155</f>
        <v>0</v>
      </c>
    </row>
    <row r="156" spans="2:14" ht="18" customHeight="1" thickBot="1">
      <c r="B156" s="23" t="s">
        <v>36</v>
      </c>
      <c r="C156" s="252" t="s">
        <v>14</v>
      </c>
      <c r="D156" s="252" t="s">
        <v>37</v>
      </c>
      <c r="E156" s="252" t="s">
        <v>38</v>
      </c>
      <c r="F156" s="252" t="s">
        <v>39</v>
      </c>
      <c r="G156" s="252" t="s">
        <v>8</v>
      </c>
      <c r="H156" s="252" t="s">
        <v>22</v>
      </c>
      <c r="I156" s="25" t="s">
        <v>40</v>
      </c>
      <c r="J156" s="54" t="s">
        <v>2</v>
      </c>
      <c r="K156" s="55" t="s">
        <v>3</v>
      </c>
      <c r="L156" s="55" t="s">
        <v>61</v>
      </c>
      <c r="M156" s="55" t="s">
        <v>62</v>
      </c>
      <c r="N156" s="70" t="s">
        <v>14</v>
      </c>
    </row>
    <row r="157" spans="2:14" ht="18" customHeight="1">
      <c r="B157" s="648" t="s">
        <v>98</v>
      </c>
      <c r="C157" s="649" t="s">
        <v>99</v>
      </c>
      <c r="D157" s="253">
        <f t="shared" ref="D157:E162" si="22">J157-IF(L157=1,90,IF(L157=2,67.5,IF(L157=3,45,0)))</f>
        <v>0</v>
      </c>
      <c r="E157" s="253">
        <f t="shared" si="22"/>
        <v>0</v>
      </c>
      <c r="F157" s="253">
        <f t="shared" ref="F157:F162" si="23">2*(D157+E157)/1000</f>
        <v>0</v>
      </c>
      <c r="G157" s="250">
        <v>0</v>
      </c>
      <c r="H157" s="250">
        <f>H68</f>
        <v>0.224</v>
      </c>
      <c r="I157" s="59">
        <f t="shared" ref="I157:I162" si="24">ROUND((F157*G157)*H157,3)</f>
        <v>0</v>
      </c>
      <c r="J157" s="60"/>
      <c r="K157" s="61"/>
      <c r="L157" s="61"/>
      <c r="M157" s="61"/>
      <c r="N157" s="76" t="s">
        <v>56</v>
      </c>
    </row>
    <row r="158" spans="2:14" ht="18" customHeight="1">
      <c r="B158" s="648"/>
      <c r="C158" s="650"/>
      <c r="D158" s="253">
        <f t="shared" si="22"/>
        <v>0</v>
      </c>
      <c r="E158" s="253">
        <f t="shared" si="22"/>
        <v>0</v>
      </c>
      <c r="F158" s="253">
        <f t="shared" si="23"/>
        <v>0</v>
      </c>
      <c r="G158" s="250"/>
      <c r="H158" s="250">
        <f>H157</f>
        <v>0.224</v>
      </c>
      <c r="I158" s="59">
        <f t="shared" si="24"/>
        <v>0</v>
      </c>
      <c r="J158" s="60"/>
      <c r="K158" s="61"/>
      <c r="L158" s="61"/>
      <c r="M158" s="61"/>
      <c r="N158" s="76" t="s">
        <v>58</v>
      </c>
    </row>
    <row r="159" spans="2:14" ht="18" customHeight="1">
      <c r="B159" s="648"/>
      <c r="C159" s="650"/>
      <c r="D159" s="253">
        <f t="shared" si="22"/>
        <v>0</v>
      </c>
      <c r="E159" s="253">
        <f t="shared" si="22"/>
        <v>0</v>
      </c>
      <c r="F159" s="253">
        <f t="shared" si="23"/>
        <v>0</v>
      </c>
      <c r="G159" s="250"/>
      <c r="H159" s="250">
        <f>H158</f>
        <v>0.224</v>
      </c>
      <c r="I159" s="59">
        <f t="shared" si="24"/>
        <v>0</v>
      </c>
      <c r="J159" s="60"/>
      <c r="K159" s="61"/>
      <c r="L159" s="61"/>
      <c r="M159" s="61"/>
      <c r="N159" s="76" t="s">
        <v>60</v>
      </c>
    </row>
    <row r="160" spans="2:14" ht="18" customHeight="1">
      <c r="B160" s="648"/>
      <c r="C160" s="650"/>
      <c r="D160" s="253">
        <f t="shared" si="22"/>
        <v>0</v>
      </c>
      <c r="E160" s="253">
        <f t="shared" si="22"/>
        <v>0</v>
      </c>
      <c r="F160" s="253">
        <f t="shared" si="23"/>
        <v>0</v>
      </c>
      <c r="G160" s="250">
        <v>0</v>
      </c>
      <c r="H160" s="77">
        <f>H159</f>
        <v>0.224</v>
      </c>
      <c r="I160" s="59">
        <f t="shared" si="24"/>
        <v>0</v>
      </c>
      <c r="J160" s="60"/>
      <c r="K160" s="61"/>
      <c r="L160" s="61"/>
      <c r="M160" s="61"/>
      <c r="N160" s="76"/>
    </row>
    <row r="161" spans="2:16" ht="18" customHeight="1">
      <c r="B161" s="648"/>
      <c r="C161" s="650"/>
      <c r="D161" s="253">
        <f t="shared" si="22"/>
        <v>0</v>
      </c>
      <c r="E161" s="253">
        <f t="shared" si="22"/>
        <v>0</v>
      </c>
      <c r="F161" s="253">
        <f t="shared" si="23"/>
        <v>0</v>
      </c>
      <c r="G161" s="250"/>
      <c r="H161" s="250">
        <f>H160</f>
        <v>0.224</v>
      </c>
      <c r="I161" s="59">
        <f t="shared" si="24"/>
        <v>0</v>
      </c>
      <c r="J161" s="60"/>
      <c r="K161" s="61"/>
      <c r="L161" s="61"/>
      <c r="M161" s="61"/>
      <c r="N161" s="76"/>
    </row>
    <row r="162" spans="2:16" ht="18" customHeight="1" thickBot="1">
      <c r="B162" s="648"/>
      <c r="C162" s="651"/>
      <c r="D162" s="253">
        <f t="shared" si="22"/>
        <v>0</v>
      </c>
      <c r="E162" s="253">
        <f t="shared" si="22"/>
        <v>0</v>
      </c>
      <c r="F162" s="253">
        <f t="shared" si="23"/>
        <v>0</v>
      </c>
      <c r="G162" s="250"/>
      <c r="H162" s="250">
        <f>H160</f>
        <v>0.224</v>
      </c>
      <c r="I162" s="59">
        <f t="shared" si="24"/>
        <v>0</v>
      </c>
      <c r="J162" s="64"/>
      <c r="K162" s="65"/>
      <c r="L162" s="65"/>
      <c r="M162" s="65"/>
      <c r="N162" s="80"/>
    </row>
    <row r="163" spans="2:16" ht="18" customHeight="1">
      <c r="B163" s="48" t="s">
        <v>42</v>
      </c>
      <c r="C163" s="49">
        <f>SUMPRODUCT(F157:F162*G157:G162)</f>
        <v>0</v>
      </c>
      <c r="D163" s="50" t="s">
        <v>43</v>
      </c>
      <c r="E163" s="49">
        <f>SUM(I157:I162)*1.1</f>
        <v>0</v>
      </c>
      <c r="F163" s="50" t="s">
        <v>44</v>
      </c>
      <c r="G163" s="51">
        <f>(C$218+C$222)/1000</f>
        <v>39.781500000000001</v>
      </c>
      <c r="H163" s="52" t="s">
        <v>45</v>
      </c>
      <c r="I163" s="53">
        <f>ROUND(E163*G163,2)</f>
        <v>0</v>
      </c>
      <c r="J163" s="102"/>
      <c r="K163" s="102"/>
      <c r="L163" s="102"/>
      <c r="M163" s="102"/>
      <c r="O163" s="102"/>
      <c r="P163" s="102"/>
    </row>
    <row r="164" spans="2:16" ht="18" customHeight="1">
      <c r="B164" s="48" t="s">
        <v>46</v>
      </c>
      <c r="C164" s="50">
        <v>181.72</v>
      </c>
      <c r="D164" s="50" t="s">
        <v>47</v>
      </c>
      <c r="E164" s="49">
        <f>ROUND(C163*(C164/1000),2)</f>
        <v>0</v>
      </c>
      <c r="F164" s="50" t="s">
        <v>48</v>
      </c>
      <c r="G164" s="50">
        <f>G$23</f>
        <v>10</v>
      </c>
      <c r="H164" s="52" t="s">
        <v>49</v>
      </c>
      <c r="I164" s="53">
        <f>E164*G164</f>
        <v>0</v>
      </c>
      <c r="J164" s="102"/>
      <c r="K164" s="102"/>
      <c r="L164" s="102"/>
      <c r="M164" s="102"/>
      <c r="O164" s="102"/>
      <c r="P164" s="102"/>
    </row>
    <row r="165" spans="2:16" ht="18" customHeight="1">
      <c r="B165" s="48" t="s">
        <v>50</v>
      </c>
      <c r="C165" s="50"/>
      <c r="D165" s="50" t="s">
        <v>51</v>
      </c>
      <c r="E165" s="49">
        <f>ROUND(C163*(C165/1000),2)</f>
        <v>0</v>
      </c>
      <c r="F165" s="50" t="s">
        <v>48</v>
      </c>
      <c r="G165" s="50">
        <f>G$24</f>
        <v>10</v>
      </c>
      <c r="H165" s="52" t="s">
        <v>49</v>
      </c>
      <c r="I165" s="53">
        <f>E165*G165</f>
        <v>0</v>
      </c>
      <c r="K165" s="43">
        <f>J165*E165</f>
        <v>0</v>
      </c>
    </row>
    <row r="166" spans="2:16" ht="18" customHeight="1">
      <c r="B166" s="23" t="s">
        <v>36</v>
      </c>
      <c r="C166" s="252" t="s">
        <v>14</v>
      </c>
      <c r="D166" s="252" t="s">
        <v>37</v>
      </c>
      <c r="E166" s="252" t="s">
        <v>71</v>
      </c>
      <c r="F166" s="252" t="s">
        <v>38</v>
      </c>
      <c r="G166" s="252" t="s">
        <v>72</v>
      </c>
      <c r="H166" s="252" t="s">
        <v>22</v>
      </c>
      <c r="I166" s="25" t="s">
        <v>40</v>
      </c>
    </row>
    <row r="167" spans="2:16" ht="18" customHeight="1">
      <c r="B167" s="648" t="s">
        <v>100</v>
      </c>
      <c r="C167" s="649" t="s">
        <v>101</v>
      </c>
      <c r="D167" s="250"/>
      <c r="E167" s="250"/>
      <c r="F167" s="250"/>
      <c r="G167" s="250"/>
      <c r="H167" s="28">
        <v>6.3E-2</v>
      </c>
      <c r="I167" s="59">
        <f>ROUND((D167*E167+F167*G167)/1000*H167,3)</f>
        <v>0</v>
      </c>
    </row>
    <row r="168" spans="2:16" ht="18" customHeight="1">
      <c r="B168" s="648"/>
      <c r="C168" s="650"/>
      <c r="D168" s="250"/>
      <c r="E168" s="250"/>
      <c r="F168" s="250"/>
      <c r="G168" s="250"/>
      <c r="H168" s="28">
        <f>H167</f>
        <v>6.3E-2</v>
      </c>
      <c r="I168" s="59">
        <f>ROUND((D168*E168+F168*G168)/1000*H168,3)</f>
        <v>0</v>
      </c>
    </row>
    <row r="169" spans="2:16" ht="18" customHeight="1">
      <c r="B169" s="648"/>
      <c r="C169" s="651"/>
      <c r="D169" s="250"/>
      <c r="E169" s="250"/>
      <c r="F169" s="250"/>
      <c r="G169" s="250"/>
      <c r="H169" s="28">
        <f>H168</f>
        <v>6.3E-2</v>
      </c>
      <c r="I169" s="59">
        <f>ROUND((D169*E169+F169*G169)/1000*H169,3)</f>
        <v>0</v>
      </c>
    </row>
    <row r="170" spans="2:16" ht="18" customHeight="1">
      <c r="B170" s="48" t="s">
        <v>42</v>
      </c>
      <c r="C170" s="49">
        <f>SUMPRODUCT(D167:D169*E167:E169+F167:F169*G167:G169)/1000</f>
        <v>0</v>
      </c>
      <c r="D170" s="50" t="s">
        <v>43</v>
      </c>
      <c r="E170" s="49">
        <f>SUM(I167:I169)*1.1</f>
        <v>0</v>
      </c>
      <c r="F170" s="50" t="s">
        <v>44</v>
      </c>
      <c r="G170" s="51">
        <f>(C$218+$C$222)/1000</f>
        <v>39.781500000000001</v>
      </c>
      <c r="H170" s="52" t="s">
        <v>45</v>
      </c>
      <c r="I170" s="53">
        <f>ROUND(E170*G170,2)</f>
        <v>0</v>
      </c>
    </row>
    <row r="171" spans="2:16" ht="18" customHeight="1">
      <c r="B171" s="48" t="s">
        <v>46</v>
      </c>
      <c r="C171" s="50">
        <v>105.66</v>
      </c>
      <c r="D171" s="50" t="s">
        <v>47</v>
      </c>
      <c r="E171" s="49">
        <f>ROUND(C170*(C171/1000),2)</f>
        <v>0</v>
      </c>
      <c r="F171" s="50" t="s">
        <v>48</v>
      </c>
      <c r="G171" s="50">
        <f>G$23</f>
        <v>10</v>
      </c>
      <c r="H171" s="52" t="s">
        <v>49</v>
      </c>
      <c r="I171" s="53">
        <f>E171*G171</f>
        <v>0</v>
      </c>
    </row>
    <row r="172" spans="2:16" ht="18" customHeight="1">
      <c r="B172" s="48" t="s">
        <v>50</v>
      </c>
      <c r="C172" s="50">
        <v>125.66</v>
      </c>
      <c r="D172" s="50" t="s">
        <v>51</v>
      </c>
      <c r="E172" s="49">
        <f>ROUND(C170*(C172/1000),2)</f>
        <v>0</v>
      </c>
      <c r="F172" s="50" t="s">
        <v>48</v>
      </c>
      <c r="G172" s="50">
        <f>G$24</f>
        <v>10</v>
      </c>
      <c r="H172" s="52" t="s">
        <v>49</v>
      </c>
      <c r="I172" s="53">
        <f>E172*G172</f>
        <v>0</v>
      </c>
    </row>
    <row r="173" spans="2:16" ht="18" customHeight="1">
      <c r="B173" s="23" t="s">
        <v>36</v>
      </c>
      <c r="C173" s="252" t="s">
        <v>14</v>
      </c>
      <c r="D173" s="252" t="s">
        <v>37</v>
      </c>
      <c r="E173" s="252" t="s">
        <v>71</v>
      </c>
      <c r="F173" s="252" t="s">
        <v>38</v>
      </c>
      <c r="G173" s="252" t="s">
        <v>72</v>
      </c>
      <c r="H173" s="252" t="s">
        <v>22</v>
      </c>
      <c r="I173" s="25" t="s">
        <v>40</v>
      </c>
    </row>
    <row r="174" spans="2:16" ht="18" customHeight="1">
      <c r="B174" s="648" t="s">
        <v>102</v>
      </c>
      <c r="C174" s="649" t="s">
        <v>103</v>
      </c>
      <c r="D174" s="250"/>
      <c r="E174" s="250"/>
      <c r="F174" s="250"/>
      <c r="G174" s="250"/>
      <c r="H174" s="28">
        <v>1.0980000000000001</v>
      </c>
      <c r="I174" s="59">
        <f>ROUND((D174*E174+F174*G174)/1000*H174,3)</f>
        <v>0</v>
      </c>
    </row>
    <row r="175" spans="2:16" ht="18" customHeight="1">
      <c r="B175" s="648"/>
      <c r="C175" s="650"/>
      <c r="D175" s="250"/>
      <c r="E175" s="250"/>
      <c r="F175" s="250"/>
      <c r="G175" s="250"/>
      <c r="H175" s="28">
        <f>H174</f>
        <v>1.0980000000000001</v>
      </c>
      <c r="I175" s="59">
        <f>ROUND((D175*E175+F175*G175)/1000*H175,3)</f>
        <v>0</v>
      </c>
    </row>
    <row r="176" spans="2:16" ht="18" customHeight="1">
      <c r="B176" s="648"/>
      <c r="C176" s="651"/>
      <c r="D176" s="250"/>
      <c r="E176" s="250"/>
      <c r="F176" s="250"/>
      <c r="G176" s="250"/>
      <c r="H176" s="28">
        <f>H175</f>
        <v>1.0980000000000001</v>
      </c>
      <c r="I176" s="59">
        <f>ROUND((D176*E176+F176*G176)/1000*H176,3)</f>
        <v>0</v>
      </c>
    </row>
    <row r="177" spans="2:9" ht="18" customHeight="1">
      <c r="B177" s="48" t="s">
        <v>42</v>
      </c>
      <c r="C177" s="49">
        <f>SUMPRODUCT(D174:D176*E174:E176+F174:F176*G174:G176)/1000</f>
        <v>0</v>
      </c>
      <c r="D177" s="50" t="s">
        <v>43</v>
      </c>
      <c r="E177" s="49">
        <f>SUM(I174:I176)*1.1</f>
        <v>0</v>
      </c>
      <c r="F177" s="50" t="s">
        <v>44</v>
      </c>
      <c r="G177" s="51">
        <f>(C$218+C$219)/1000</f>
        <v>46.081499999999998</v>
      </c>
      <c r="H177" s="52" t="s">
        <v>45</v>
      </c>
      <c r="I177" s="53">
        <f>ROUND(E177*G177,2)</f>
        <v>0</v>
      </c>
    </row>
    <row r="178" spans="2:9" ht="18" customHeight="1">
      <c r="B178" s="48" t="s">
        <v>46</v>
      </c>
      <c r="C178" s="50">
        <v>105.66</v>
      </c>
      <c r="D178" s="50" t="s">
        <v>47</v>
      </c>
      <c r="E178" s="49">
        <f>ROUND(C177*(C178/1000),2)</f>
        <v>0</v>
      </c>
      <c r="F178" s="50" t="s">
        <v>48</v>
      </c>
      <c r="G178" s="50">
        <f>G$23</f>
        <v>10</v>
      </c>
      <c r="H178" s="52" t="s">
        <v>49</v>
      </c>
      <c r="I178" s="53">
        <f>E178*G178</f>
        <v>0</v>
      </c>
    </row>
    <row r="179" spans="2:9" ht="18" customHeight="1">
      <c r="B179" s="48" t="s">
        <v>50</v>
      </c>
      <c r="C179" s="50">
        <v>125.66</v>
      </c>
      <c r="D179" s="50" t="s">
        <v>51</v>
      </c>
      <c r="E179" s="49">
        <f>ROUND(C177*(C179/1000),2)</f>
        <v>0</v>
      </c>
      <c r="F179" s="50" t="s">
        <v>48</v>
      </c>
      <c r="G179" s="50">
        <f>G$24</f>
        <v>10</v>
      </c>
      <c r="H179" s="52" t="s">
        <v>49</v>
      </c>
      <c r="I179" s="53">
        <f>E179*G179</f>
        <v>0</v>
      </c>
    </row>
    <row r="180" spans="2:9" ht="18" customHeight="1">
      <c r="B180" s="23" t="s">
        <v>36</v>
      </c>
      <c r="C180" s="252" t="s">
        <v>14</v>
      </c>
      <c r="D180" s="252" t="s">
        <v>37</v>
      </c>
      <c r="E180" s="252" t="s">
        <v>71</v>
      </c>
      <c r="F180" s="252" t="s">
        <v>38</v>
      </c>
      <c r="G180" s="252" t="s">
        <v>72</v>
      </c>
      <c r="H180" s="252" t="s">
        <v>22</v>
      </c>
      <c r="I180" s="25" t="s">
        <v>40</v>
      </c>
    </row>
    <row r="181" spans="2:9" ht="18" customHeight="1">
      <c r="B181" s="648" t="s">
        <v>104</v>
      </c>
      <c r="C181" s="649" t="s">
        <v>105</v>
      </c>
      <c r="D181" s="250">
        <f>D6</f>
        <v>1020</v>
      </c>
      <c r="E181" s="250">
        <v>1</v>
      </c>
      <c r="F181" s="250"/>
      <c r="G181" s="250"/>
      <c r="H181" s="28">
        <v>1.5629999999999999</v>
      </c>
      <c r="I181" s="59">
        <f>ROUND((D181*E181+F181*G181)/1000*H181,3)</f>
        <v>1.5940000000000001</v>
      </c>
    </row>
    <row r="182" spans="2:9" ht="18" customHeight="1">
      <c r="B182" s="648"/>
      <c r="C182" s="650"/>
      <c r="D182" s="250"/>
      <c r="E182" s="250"/>
      <c r="F182" s="250"/>
      <c r="G182" s="250"/>
      <c r="H182" s="28">
        <f>H181</f>
        <v>1.5629999999999999</v>
      </c>
      <c r="I182" s="59">
        <f>ROUND((D182*E182+F182*G182)/1000*H182,3)</f>
        <v>0</v>
      </c>
    </row>
    <row r="183" spans="2:9" ht="18" customHeight="1">
      <c r="B183" s="648"/>
      <c r="C183" s="651"/>
      <c r="D183" s="250"/>
      <c r="E183" s="250"/>
      <c r="F183" s="250"/>
      <c r="G183" s="250"/>
      <c r="H183" s="28">
        <f>H182</f>
        <v>1.5629999999999999</v>
      </c>
      <c r="I183" s="59">
        <f>ROUND((D183*E183+F183*G183)/1000*H183,3)</f>
        <v>0</v>
      </c>
    </row>
    <row r="184" spans="2:9" ht="18" customHeight="1">
      <c r="B184" s="48" t="s">
        <v>42</v>
      </c>
      <c r="C184" s="49">
        <f>SUMPRODUCT(D181:D183*E181:E183+F181:F183*G181:G183)/1000</f>
        <v>1.02</v>
      </c>
      <c r="D184" s="50" t="s">
        <v>43</v>
      </c>
      <c r="E184" s="49">
        <f>SUM(I181:I183)*1.1</f>
        <v>1.7534000000000003</v>
      </c>
      <c r="F184" s="50" t="s">
        <v>44</v>
      </c>
      <c r="G184" s="51">
        <f>(C$218+C$219)/1000</f>
        <v>46.081499999999998</v>
      </c>
      <c r="H184" s="52" t="s">
        <v>45</v>
      </c>
      <c r="I184" s="53">
        <f>ROUND(E184*G184,2)</f>
        <v>80.8</v>
      </c>
    </row>
    <row r="185" spans="2:9" ht="18" customHeight="1">
      <c r="B185" s="48" t="s">
        <v>46</v>
      </c>
      <c r="C185" s="50">
        <v>105.66</v>
      </c>
      <c r="D185" s="50" t="s">
        <v>47</v>
      </c>
      <c r="E185" s="49">
        <f>ROUND(C184*(C185/1000),2)</f>
        <v>0.11</v>
      </c>
      <c r="F185" s="50" t="s">
        <v>48</v>
      </c>
      <c r="G185" s="50">
        <f>G$23</f>
        <v>10</v>
      </c>
      <c r="H185" s="52" t="s">
        <v>49</v>
      </c>
      <c r="I185" s="53">
        <f>E185*G185</f>
        <v>1.1000000000000001</v>
      </c>
    </row>
    <row r="186" spans="2:9" ht="18" customHeight="1">
      <c r="B186" s="48" t="s">
        <v>50</v>
      </c>
      <c r="C186" s="50">
        <v>125.66</v>
      </c>
      <c r="D186" s="50" t="s">
        <v>51</v>
      </c>
      <c r="E186" s="49">
        <f>ROUND(C184*(C186/1000),2)</f>
        <v>0.13</v>
      </c>
      <c r="F186" s="50" t="s">
        <v>48</v>
      </c>
      <c r="G186" s="50">
        <f>G$24</f>
        <v>10</v>
      </c>
      <c r="H186" s="52" t="s">
        <v>49</v>
      </c>
      <c r="I186" s="53">
        <f>E186*G186</f>
        <v>1.3</v>
      </c>
    </row>
    <row r="187" spans="2:9" ht="18" customHeight="1">
      <c r="B187" s="23" t="s">
        <v>36</v>
      </c>
      <c r="C187" s="252" t="s">
        <v>14</v>
      </c>
      <c r="D187" s="252" t="s">
        <v>37</v>
      </c>
      <c r="E187" s="252" t="s">
        <v>71</v>
      </c>
      <c r="F187" s="252" t="s">
        <v>38</v>
      </c>
      <c r="G187" s="252" t="s">
        <v>72</v>
      </c>
      <c r="H187" s="252" t="s">
        <v>22</v>
      </c>
      <c r="I187" s="25" t="s">
        <v>40</v>
      </c>
    </row>
    <row r="188" spans="2:9" ht="18" customHeight="1">
      <c r="B188" s="648" t="s">
        <v>106</v>
      </c>
      <c r="C188" s="649" t="s">
        <v>107</v>
      </c>
      <c r="D188" s="250"/>
      <c r="E188" s="250"/>
      <c r="F188" s="250"/>
      <c r="G188" s="250"/>
      <c r="H188" s="28">
        <v>1.732</v>
      </c>
      <c r="I188" s="59">
        <f>ROUND((D188*E188+F188*G188)/1000*H188,3)</f>
        <v>0</v>
      </c>
    </row>
    <row r="189" spans="2:9" ht="18" customHeight="1">
      <c r="B189" s="648"/>
      <c r="C189" s="650"/>
      <c r="D189" s="250"/>
      <c r="E189" s="250"/>
      <c r="F189" s="250"/>
      <c r="G189" s="250"/>
      <c r="H189" s="28">
        <f>H188</f>
        <v>1.732</v>
      </c>
      <c r="I189" s="59">
        <f>ROUND((D189*E189+F189*G189)/1000*H189,3)</f>
        <v>0</v>
      </c>
    </row>
    <row r="190" spans="2:9" ht="18" customHeight="1">
      <c r="B190" s="648"/>
      <c r="C190" s="651"/>
      <c r="D190" s="250"/>
      <c r="E190" s="250"/>
      <c r="F190" s="250">
        <f>E6</f>
        <v>2070</v>
      </c>
      <c r="G190" s="250"/>
      <c r="H190" s="28">
        <f>H189</f>
        <v>1.732</v>
      </c>
      <c r="I190" s="59">
        <f>ROUND((D190*E190+F190*G190)/1000*H190,3)</f>
        <v>0</v>
      </c>
    </row>
    <row r="191" spans="2:9" ht="18" customHeight="1">
      <c r="B191" s="48" t="s">
        <v>42</v>
      </c>
      <c r="C191" s="49">
        <f>SUMPRODUCT(D188:D190*E188:E190+F188:F190*G188:G190)/1000</f>
        <v>0</v>
      </c>
      <c r="D191" s="50" t="s">
        <v>43</v>
      </c>
      <c r="E191" s="49">
        <f>SUM(I188:I190)*1.1</f>
        <v>0</v>
      </c>
      <c r="F191" s="50" t="s">
        <v>44</v>
      </c>
      <c r="G191" s="51">
        <f>(C$218+C$219)/1000</f>
        <v>46.081499999999998</v>
      </c>
      <c r="H191" s="52" t="s">
        <v>45</v>
      </c>
      <c r="I191" s="53">
        <f>ROUND(E191*G191,2)</f>
        <v>0</v>
      </c>
    </row>
    <row r="192" spans="2:9" ht="18" customHeight="1">
      <c r="B192" s="48" t="s">
        <v>46</v>
      </c>
      <c r="C192" s="50">
        <v>105.66</v>
      </c>
      <c r="D192" s="50" t="s">
        <v>47</v>
      </c>
      <c r="E192" s="49">
        <f>ROUND(C191*(C192/1000),2)</f>
        <v>0</v>
      </c>
      <c r="F192" s="50" t="s">
        <v>48</v>
      </c>
      <c r="G192" s="50">
        <f>G$23</f>
        <v>10</v>
      </c>
      <c r="H192" s="52" t="s">
        <v>49</v>
      </c>
      <c r="I192" s="53">
        <f>E192*G192</f>
        <v>0</v>
      </c>
    </row>
    <row r="193" spans="2:15" ht="18" customHeight="1">
      <c r="B193" s="48" t="s">
        <v>50</v>
      </c>
      <c r="C193" s="50">
        <v>125.66</v>
      </c>
      <c r="D193" s="50" t="s">
        <v>51</v>
      </c>
      <c r="E193" s="49">
        <f>ROUND(C191*(C193/1000),2)</f>
        <v>0</v>
      </c>
      <c r="F193" s="50" t="s">
        <v>48</v>
      </c>
      <c r="G193" s="50">
        <f>G$24</f>
        <v>10</v>
      </c>
      <c r="H193" s="52" t="s">
        <v>49</v>
      </c>
      <c r="I193" s="53">
        <f>E193*G193</f>
        <v>0</v>
      </c>
    </row>
    <row r="194" spans="2:15" ht="18" customHeight="1">
      <c r="B194" s="23" t="s">
        <v>36</v>
      </c>
      <c r="C194" s="252" t="s">
        <v>14</v>
      </c>
      <c r="D194" s="652" t="s">
        <v>38</v>
      </c>
      <c r="E194" s="652"/>
      <c r="F194" s="652"/>
      <c r="G194" s="252" t="s">
        <v>72</v>
      </c>
      <c r="H194" s="252" t="s">
        <v>22</v>
      </c>
      <c r="I194" s="25" t="s">
        <v>40</v>
      </c>
    </row>
    <row r="195" spans="2:15" ht="18" customHeight="1">
      <c r="B195" s="643" t="s">
        <v>108</v>
      </c>
      <c r="C195" s="645" t="s">
        <v>109</v>
      </c>
      <c r="D195" s="646"/>
      <c r="E195" s="646"/>
      <c r="F195" s="646"/>
      <c r="G195" s="250"/>
      <c r="H195" s="250">
        <v>1.796</v>
      </c>
      <c r="I195" s="59">
        <f>ROUND((D195*G195*H195)/1000,3)</f>
        <v>0</v>
      </c>
    </row>
    <row r="196" spans="2:15" ht="18" customHeight="1">
      <c r="B196" s="644"/>
      <c r="C196" s="640"/>
      <c r="D196" s="646"/>
      <c r="E196" s="646"/>
      <c r="F196" s="646"/>
      <c r="G196" s="250"/>
      <c r="H196" s="250">
        <f>H195</f>
        <v>1.796</v>
      </c>
      <c r="I196" s="59">
        <f>ROUND((D196*G196*H196)/1000,3)</f>
        <v>0</v>
      </c>
    </row>
    <row r="197" spans="2:15" ht="18" customHeight="1">
      <c r="B197" s="643" t="s">
        <v>110</v>
      </c>
      <c r="C197" s="645" t="s">
        <v>111</v>
      </c>
      <c r="D197" s="646"/>
      <c r="E197" s="646"/>
      <c r="F197" s="646"/>
      <c r="G197" s="250"/>
      <c r="H197" s="250">
        <v>1.355</v>
      </c>
      <c r="I197" s="59"/>
    </row>
    <row r="198" spans="2:15" ht="18" customHeight="1">
      <c r="B198" s="644"/>
      <c r="C198" s="640"/>
      <c r="D198" s="646"/>
      <c r="E198" s="646"/>
      <c r="F198" s="646"/>
      <c r="G198" s="250"/>
      <c r="H198" s="250">
        <f>H197</f>
        <v>1.355</v>
      </c>
      <c r="I198" s="59"/>
    </row>
    <row r="199" spans="2:15" ht="18" customHeight="1">
      <c r="B199" s="48" t="s">
        <v>42</v>
      </c>
      <c r="C199" s="49">
        <f>SUMPRODUCT(D195:F198*G195:G198)/1000</f>
        <v>0</v>
      </c>
      <c r="D199" s="50" t="s">
        <v>43</v>
      </c>
      <c r="E199" s="49">
        <f>SUM(I195:I198)*1.1</f>
        <v>0</v>
      </c>
      <c r="F199" s="50" t="s">
        <v>44</v>
      </c>
      <c r="G199" s="51">
        <f>(C$218+C$219)/1000</f>
        <v>46.081499999999998</v>
      </c>
      <c r="H199" s="52" t="s">
        <v>45</v>
      </c>
      <c r="I199" s="53">
        <f>ROUND(E199*G199,2)</f>
        <v>0</v>
      </c>
    </row>
    <row r="200" spans="2:15" ht="18" customHeight="1">
      <c r="B200" s="48" t="s">
        <v>46</v>
      </c>
      <c r="C200" s="50">
        <v>267.77999999999997</v>
      </c>
      <c r="D200" s="50" t="s">
        <v>47</v>
      </c>
      <c r="E200" s="49">
        <f>ROUND(C199*(C200/1000),2)</f>
        <v>0</v>
      </c>
      <c r="F200" s="50" t="s">
        <v>48</v>
      </c>
      <c r="G200" s="50">
        <f>G$23</f>
        <v>10</v>
      </c>
      <c r="H200" s="52" t="s">
        <v>49</v>
      </c>
      <c r="I200" s="53">
        <f>E200*G200</f>
        <v>0</v>
      </c>
    </row>
    <row r="201" spans="2:15" ht="18" customHeight="1">
      <c r="B201" s="48" t="s">
        <v>50</v>
      </c>
      <c r="C201" s="50">
        <v>104.29</v>
      </c>
      <c r="D201" s="50" t="s">
        <v>51</v>
      </c>
      <c r="E201" s="49">
        <f>ROUND(C199*(C201/1000),2)</f>
        <v>0</v>
      </c>
      <c r="F201" s="50" t="s">
        <v>48</v>
      </c>
      <c r="G201" s="50">
        <f>G$24</f>
        <v>10</v>
      </c>
      <c r="H201" s="52" t="s">
        <v>49</v>
      </c>
      <c r="I201" s="53">
        <f>E201*G201</f>
        <v>0</v>
      </c>
    </row>
    <row r="202" spans="2:15" ht="18" customHeight="1">
      <c r="B202" s="103" t="s">
        <v>112</v>
      </c>
      <c r="C202" s="104" t="s">
        <v>113</v>
      </c>
      <c r="D202" s="104" t="s">
        <v>28</v>
      </c>
      <c r="E202" s="104" t="s">
        <v>8</v>
      </c>
      <c r="F202" s="104" t="s">
        <v>112</v>
      </c>
      <c r="G202" s="104" t="s">
        <v>113</v>
      </c>
      <c r="H202" s="104" t="s">
        <v>28</v>
      </c>
      <c r="I202" s="105" t="s">
        <v>8</v>
      </c>
      <c r="N202" s="106"/>
      <c r="O202" s="102"/>
    </row>
    <row r="203" spans="2:15" ht="18" customHeight="1">
      <c r="B203" s="251" t="s">
        <v>327</v>
      </c>
      <c r="C203" s="107" t="s">
        <v>114</v>
      </c>
      <c r="D203" s="108">
        <v>2.15</v>
      </c>
      <c r="E203" s="253">
        <f>SUM(G14:G21)*4</f>
        <v>8</v>
      </c>
      <c r="F203" s="647" t="s">
        <v>115</v>
      </c>
      <c r="G203" s="107" t="s">
        <v>116</v>
      </c>
      <c r="H203" s="108">
        <v>2.46</v>
      </c>
      <c r="I203" s="247">
        <f>SUM(G108:G111)*4</f>
        <v>0</v>
      </c>
      <c r="J203" s="42"/>
      <c r="N203" s="106"/>
      <c r="O203" s="102"/>
    </row>
    <row r="204" spans="2:15" ht="18" customHeight="1">
      <c r="B204" s="251" t="s">
        <v>328</v>
      </c>
      <c r="C204" s="107" t="s">
        <v>117</v>
      </c>
      <c r="D204" s="108">
        <v>1.72</v>
      </c>
      <c r="E204" s="253">
        <f>E203</f>
        <v>8</v>
      </c>
      <c r="F204" s="646"/>
      <c r="G204" s="107" t="s">
        <v>118</v>
      </c>
      <c r="H204" s="108">
        <v>3.11</v>
      </c>
      <c r="I204" s="247">
        <f>I203</f>
        <v>0</v>
      </c>
      <c r="J204" s="42"/>
      <c r="N204" s="106"/>
      <c r="O204" s="102"/>
    </row>
    <row r="205" spans="2:15" ht="18" customHeight="1">
      <c r="B205" s="109" t="s">
        <v>330</v>
      </c>
      <c r="C205" s="107" t="s">
        <v>119</v>
      </c>
      <c r="D205" s="108">
        <v>2.68</v>
      </c>
      <c r="E205" s="253">
        <f>SUM(G26:G30)*4</f>
        <v>0</v>
      </c>
      <c r="F205" s="110" t="s">
        <v>120</v>
      </c>
      <c r="G205" s="107" t="s">
        <v>121</v>
      </c>
      <c r="H205" s="111">
        <v>4.76</v>
      </c>
      <c r="I205" s="247">
        <f>SUM(G123:G125)*4</f>
        <v>0</v>
      </c>
      <c r="J205" s="42"/>
      <c r="N205" s="106"/>
      <c r="O205" s="102"/>
    </row>
    <row r="206" spans="2:15" ht="18" customHeight="1">
      <c r="B206" s="109" t="s">
        <v>329</v>
      </c>
      <c r="C206" s="107" t="s">
        <v>122</v>
      </c>
      <c r="D206" s="108">
        <v>1.27</v>
      </c>
      <c r="E206" s="253">
        <f>E205</f>
        <v>0</v>
      </c>
      <c r="F206" s="110" t="s">
        <v>123</v>
      </c>
      <c r="G206" s="107" t="s">
        <v>124</v>
      </c>
      <c r="H206" s="111">
        <v>3.85</v>
      </c>
      <c r="I206" s="247">
        <f>I205</f>
        <v>0</v>
      </c>
      <c r="J206" s="42"/>
      <c r="N206" s="106"/>
      <c r="O206" s="102"/>
    </row>
    <row r="207" spans="2:15" ht="18" customHeight="1">
      <c r="B207" s="109" t="s">
        <v>331</v>
      </c>
      <c r="C207" s="107" t="s">
        <v>125</v>
      </c>
      <c r="D207" s="111" t="s">
        <v>126</v>
      </c>
      <c r="E207" s="253">
        <f>SUM(G35:G37)*4</f>
        <v>8</v>
      </c>
      <c r="F207" s="110" t="s">
        <v>127</v>
      </c>
      <c r="G207" s="107" t="s">
        <v>128</v>
      </c>
      <c r="H207" s="111">
        <v>4.29</v>
      </c>
      <c r="I207" s="247">
        <f>SUM(G116:G118)*4</f>
        <v>0</v>
      </c>
      <c r="J207" s="42"/>
      <c r="N207" s="106"/>
      <c r="O207" s="102"/>
    </row>
    <row r="208" spans="2:15" ht="18" customHeight="1">
      <c r="B208" s="109" t="s">
        <v>332</v>
      </c>
      <c r="C208" s="107" t="s">
        <v>129</v>
      </c>
      <c r="D208" s="111" t="s">
        <v>130</v>
      </c>
      <c r="E208" s="253">
        <f>E207</f>
        <v>8</v>
      </c>
      <c r="F208" s="110" t="s">
        <v>131</v>
      </c>
      <c r="G208" s="107" t="s">
        <v>132</v>
      </c>
      <c r="H208" s="111">
        <v>4.5</v>
      </c>
      <c r="I208" s="247">
        <f>I207</f>
        <v>0</v>
      </c>
      <c r="J208" s="42"/>
      <c r="N208" s="106"/>
      <c r="O208" s="102"/>
    </row>
    <row r="209" spans="2:15" ht="18" customHeight="1">
      <c r="B209" s="249" t="s">
        <v>333</v>
      </c>
      <c r="C209" s="250">
        <v>12.6</v>
      </c>
      <c r="D209" s="111">
        <v>1.32</v>
      </c>
      <c r="E209" s="253">
        <f>SUM(G42:G47)*4</f>
        <v>8</v>
      </c>
      <c r="F209" s="639"/>
      <c r="G209" s="107"/>
      <c r="H209" s="28"/>
      <c r="I209" s="247"/>
      <c r="N209" s="106"/>
      <c r="O209" s="102"/>
    </row>
    <row r="210" spans="2:15" ht="18" customHeight="1">
      <c r="B210" s="249" t="s">
        <v>334</v>
      </c>
      <c r="C210" s="250">
        <v>15.8</v>
      </c>
      <c r="D210" s="111">
        <v>1.18</v>
      </c>
      <c r="E210" s="253">
        <f>E209</f>
        <v>8</v>
      </c>
      <c r="F210" s="640"/>
      <c r="G210" s="107"/>
      <c r="H210" s="28"/>
      <c r="I210" s="231"/>
      <c r="N210" s="106"/>
      <c r="O210" s="102"/>
    </row>
    <row r="211" spans="2:15" ht="18" customHeight="1">
      <c r="B211" s="251" t="s">
        <v>335</v>
      </c>
      <c r="C211" s="107" t="s">
        <v>337</v>
      </c>
      <c r="D211" s="111">
        <v>2.81</v>
      </c>
      <c r="E211" s="250">
        <f>SUM(E52+E53+E54+E55+G52+G53+G54+G55+G60+G61+G62+G63)*2</f>
        <v>6</v>
      </c>
      <c r="F211" s="641" t="s">
        <v>133</v>
      </c>
      <c r="G211" s="111">
        <f>SUMPRODUCT(D35:D37,G35:G37)/1000</f>
        <v>0.82</v>
      </c>
      <c r="H211" s="28">
        <v>0.16</v>
      </c>
      <c r="I211" s="232">
        <f>G211*H211</f>
        <v>0.13119999999999998</v>
      </c>
      <c r="N211" s="106"/>
      <c r="O211" s="102"/>
    </row>
    <row r="212" spans="2:15" ht="18" customHeight="1">
      <c r="B212" s="251" t="s">
        <v>336</v>
      </c>
      <c r="C212" s="107" t="s">
        <v>338</v>
      </c>
      <c r="D212" s="111">
        <v>3.51</v>
      </c>
      <c r="E212" s="250">
        <f>E211</f>
        <v>6</v>
      </c>
      <c r="F212" s="641"/>
      <c r="G212" s="111">
        <f>SUMPRODUCT(D26:D30,G26:G30)/1000</f>
        <v>0</v>
      </c>
      <c r="H212" s="28">
        <v>0.16</v>
      </c>
      <c r="I212" s="232">
        <f>G212*H212</f>
        <v>0</v>
      </c>
      <c r="N212" s="106"/>
      <c r="O212" s="102"/>
    </row>
    <row r="213" spans="2:15" ht="18" customHeight="1">
      <c r="B213" s="251" t="s">
        <v>134</v>
      </c>
      <c r="C213" s="250">
        <v>30.6</v>
      </c>
      <c r="D213" s="111">
        <v>2.81</v>
      </c>
      <c r="E213" s="253">
        <f>SUM(+E130+E131+E132+G130+G131+G132)*2</f>
        <v>0</v>
      </c>
      <c r="F213" s="641" t="s">
        <v>135</v>
      </c>
      <c r="G213" s="111">
        <f>SUMPRODUCT(E26:E30,G26:G30)/1000</f>
        <v>0</v>
      </c>
      <c r="H213" s="28">
        <v>0.16</v>
      </c>
      <c r="I213" s="232">
        <f>G213*H213</f>
        <v>0</v>
      </c>
      <c r="N213" s="106"/>
      <c r="O213" s="102"/>
    </row>
    <row r="214" spans="2:15" ht="18" customHeight="1">
      <c r="B214" s="251" t="s">
        <v>136</v>
      </c>
      <c r="C214" s="250">
        <v>30.6</v>
      </c>
      <c r="D214" s="111">
        <v>3.51</v>
      </c>
      <c r="E214" s="253">
        <f>E213</f>
        <v>0</v>
      </c>
      <c r="F214" s="641"/>
      <c r="G214" s="111">
        <f>SUMPRODUCT(E35:E37,G35:G37)/1000</f>
        <v>2</v>
      </c>
      <c r="H214" s="28">
        <v>0.16</v>
      </c>
      <c r="I214" s="232">
        <f>G214*H214</f>
        <v>0.32</v>
      </c>
      <c r="N214" s="106"/>
      <c r="O214" s="102"/>
    </row>
    <row r="215" spans="2:15" ht="18" customHeight="1">
      <c r="B215" s="52" t="s">
        <v>137</v>
      </c>
      <c r="C215" s="112" cm="1">
        <f t="array" ref="C215">SUMPRODUCT(D203:D214*E203:E214)+SUMPRODUCT(H203:H210*I203:I210)</f>
        <v>129.19999999999999</v>
      </c>
      <c r="D215" s="52"/>
      <c r="E215" s="52"/>
      <c r="F215" s="52"/>
      <c r="G215" s="52" t="s">
        <v>138</v>
      </c>
      <c r="H215" s="52" cm="1">
        <f t="array" ref="H215">SUMPRODUCT(G211:G214*H211:H214)</f>
        <v>0.45119999999999999</v>
      </c>
      <c r="I215" s="233">
        <f>H215*1.08</f>
        <v>0.48729600000000001</v>
      </c>
      <c r="N215" s="106"/>
      <c r="O215" s="102"/>
    </row>
    <row r="216" spans="2:15" ht="18" customHeight="1">
      <c r="B216" s="23" t="s">
        <v>139</v>
      </c>
      <c r="C216" s="252" t="s">
        <v>14</v>
      </c>
      <c r="D216" s="252" t="s">
        <v>22</v>
      </c>
      <c r="E216" s="252" t="s">
        <v>8</v>
      </c>
      <c r="F216" s="252" t="s">
        <v>113</v>
      </c>
      <c r="G216" s="252" t="s">
        <v>40</v>
      </c>
      <c r="H216" s="252" t="s">
        <v>28</v>
      </c>
      <c r="I216" s="25" t="s">
        <v>29</v>
      </c>
      <c r="N216" s="106"/>
      <c r="O216" s="102"/>
    </row>
    <row r="217" spans="2:15" ht="18" customHeight="1">
      <c r="B217" s="48" t="s">
        <v>140</v>
      </c>
      <c r="C217" s="52" t="s">
        <v>141</v>
      </c>
      <c r="D217" s="50">
        <v>0.14199999999999999</v>
      </c>
      <c r="E217" s="50">
        <v>1</v>
      </c>
      <c r="F217" s="50">
        <f>D6</f>
        <v>1020</v>
      </c>
      <c r="G217" s="128">
        <f>D217*F217*E217/1000*1.1</f>
        <v>0.15932399999999997</v>
      </c>
      <c r="H217" s="52">
        <f>(C218+C222)/1000</f>
        <v>39.781500000000001</v>
      </c>
      <c r="I217" s="193">
        <f>G217*H217</f>
        <v>6.3381477059999991</v>
      </c>
      <c r="N217" s="106"/>
      <c r="O217" s="102"/>
    </row>
    <row r="218" spans="2:15" ht="18" customHeight="1">
      <c r="B218" s="37" t="s">
        <v>142</v>
      </c>
      <c r="C218" s="113">
        <f>材料价格!B4</f>
        <v>22081.5</v>
      </c>
      <c r="D218" s="39" t="s">
        <v>143</v>
      </c>
      <c r="E218" s="114">
        <f>E139+E133+E126+E119+E112+E199+E177+E64+E56+E48+E38+E31+E22+E184+E191</f>
        <v>42.339000000000006</v>
      </c>
      <c r="F218" s="39" t="s">
        <v>144</v>
      </c>
      <c r="G218" s="115">
        <f>I218/E218-C218/1000</f>
        <v>24.00036305770093</v>
      </c>
      <c r="H218" s="39" t="s">
        <v>145</v>
      </c>
      <c r="I218" s="116">
        <f>I22+I31+I38+I48+I56+I64+I199+I112+I119+I126+I133+I139+I177+I184+I191</f>
        <v>1951.06</v>
      </c>
      <c r="N218" s="106"/>
      <c r="O218" s="102"/>
    </row>
    <row r="219" spans="2:15" ht="18" customHeight="1">
      <c r="B219" s="117" t="s">
        <v>146</v>
      </c>
      <c r="C219" s="118">
        <f>材料价格!B5</f>
        <v>24000</v>
      </c>
      <c r="D219" s="39" t="s">
        <v>147</v>
      </c>
      <c r="E219" s="114">
        <f>E163+E153+E146+E104+E97+E88+G217+E170</f>
        <v>3.4433740000000004</v>
      </c>
      <c r="F219" s="39" t="s">
        <v>148</v>
      </c>
      <c r="G219" s="119">
        <f>I219/E219-C218/1000</f>
        <v>17.698711997302638</v>
      </c>
      <c r="H219" s="39" t="s">
        <v>149</v>
      </c>
      <c r="I219" s="116">
        <f>I88+I97+I104+I146+I153+I163+I217+I170</f>
        <v>136.97814770599999</v>
      </c>
      <c r="N219" s="106"/>
      <c r="O219" s="102"/>
    </row>
    <row r="220" spans="2:15" ht="18" customHeight="1">
      <c r="B220" s="117" t="s">
        <v>150</v>
      </c>
      <c r="C220" s="118">
        <f>C219</f>
        <v>24000</v>
      </c>
      <c r="D220" s="39" t="s">
        <v>151</v>
      </c>
      <c r="E220" s="120">
        <f>I215</f>
        <v>0.48729600000000001</v>
      </c>
      <c r="F220" s="39" t="s">
        <v>152</v>
      </c>
      <c r="G220" s="119">
        <f>I220/E220-C218/1000</f>
        <v>2.8930534541633861</v>
      </c>
      <c r="H220" s="39" t="s">
        <v>153</v>
      </c>
      <c r="I220" s="116">
        <f>ROUND(E220*(C218+C223)/1000,2)</f>
        <v>12.17</v>
      </c>
      <c r="N220" s="106"/>
      <c r="O220" s="102"/>
    </row>
    <row r="221" spans="2:15" ht="18" customHeight="1">
      <c r="B221" s="117" t="s">
        <v>154</v>
      </c>
      <c r="C221" s="121">
        <f>C220</f>
        <v>24000</v>
      </c>
      <c r="D221" s="39" t="s">
        <v>155</v>
      </c>
      <c r="E221" s="39"/>
      <c r="F221" s="39" t="s">
        <v>156</v>
      </c>
      <c r="G221" s="39"/>
      <c r="H221" s="39" t="s">
        <v>49</v>
      </c>
      <c r="I221" s="116">
        <f>E221*G221</f>
        <v>0</v>
      </c>
      <c r="J221" s="42"/>
      <c r="K221" s="255"/>
    </row>
    <row r="222" spans="2:15" ht="18" customHeight="1">
      <c r="B222" s="117" t="s">
        <v>148</v>
      </c>
      <c r="C222" s="122">
        <f>材料价格!B6</f>
        <v>17700</v>
      </c>
      <c r="D222" s="39" t="s">
        <v>157</v>
      </c>
      <c r="E222" s="39"/>
      <c r="F222" s="39" t="s">
        <v>156</v>
      </c>
      <c r="G222" s="39"/>
      <c r="H222" s="39" t="s">
        <v>49</v>
      </c>
      <c r="I222" s="116">
        <f>E222*G222</f>
        <v>0</v>
      </c>
      <c r="J222" s="123"/>
      <c r="K222" s="123"/>
      <c r="L222" s="123"/>
    </row>
    <row r="223" spans="2:15" ht="18" customHeight="1">
      <c r="B223" s="117" t="s">
        <v>152</v>
      </c>
      <c r="C223" s="122">
        <f>材料价格!B9</f>
        <v>2900</v>
      </c>
      <c r="D223" s="39" t="s">
        <v>158</v>
      </c>
      <c r="E223" s="114">
        <f>SUM(E218:E220)</f>
        <v>46.269670000000005</v>
      </c>
      <c r="F223" s="39"/>
      <c r="G223" s="39" t="s">
        <v>339</v>
      </c>
      <c r="H223" s="39"/>
      <c r="I223" s="234">
        <f>SUM(I218:I222)+C215</f>
        <v>2229.4081477059999</v>
      </c>
      <c r="J223" s="123"/>
      <c r="K223" s="123"/>
      <c r="L223" s="123"/>
    </row>
    <row r="224" spans="2:15" ht="18" customHeight="1">
      <c r="B224" s="23" t="s">
        <v>159</v>
      </c>
      <c r="C224" s="252" t="s">
        <v>113</v>
      </c>
      <c r="D224" s="252" t="s">
        <v>16</v>
      </c>
      <c r="E224" s="252" t="s">
        <v>7</v>
      </c>
      <c r="F224" s="252" t="s">
        <v>8</v>
      </c>
      <c r="G224" s="252" t="s">
        <v>28</v>
      </c>
      <c r="H224" s="252" t="s">
        <v>160</v>
      </c>
      <c r="I224" s="25" t="s">
        <v>1</v>
      </c>
      <c r="J224" s="255"/>
      <c r="K224" s="255"/>
      <c r="L224" s="255"/>
      <c r="M224" s="255"/>
    </row>
    <row r="225" spans="2:13" ht="18" customHeight="1">
      <c r="B225" s="124" t="str">
        <f>材料价格!A10</f>
        <v>6单银Low-E+12A+6</v>
      </c>
      <c r="C225" s="253">
        <f t="shared" ref="C225:D229" si="25">D92</f>
        <v>-90</v>
      </c>
      <c r="D225" s="253">
        <f t="shared" si="25"/>
        <v>-90</v>
      </c>
      <c r="E225" s="32">
        <f>C225*D225/10^6</f>
        <v>8.0999999999999996E-3</v>
      </c>
      <c r="F225" s="250">
        <f>G26</f>
        <v>0</v>
      </c>
      <c r="G225" s="125">
        <f>材料价格!B10</f>
        <v>148</v>
      </c>
      <c r="H225" s="250">
        <f>ROUND(E225*G225*F225,2)</f>
        <v>0</v>
      </c>
      <c r="I225" s="247" t="s">
        <v>161</v>
      </c>
      <c r="J225" s="255"/>
      <c r="K225" s="255"/>
      <c r="L225" s="255"/>
      <c r="M225" s="255"/>
    </row>
    <row r="226" spans="2:13" ht="18" customHeight="1">
      <c r="B226" s="124" t="str">
        <f t="shared" ref="B226:B232" si="26">B225</f>
        <v>6单银Low-E+12A+6</v>
      </c>
      <c r="C226" s="253">
        <f t="shared" si="25"/>
        <v>-90</v>
      </c>
      <c r="D226" s="253">
        <f t="shared" si="25"/>
        <v>-90</v>
      </c>
      <c r="E226" s="32">
        <f t="shared" ref="E226:E284" si="27">C226*D226/10^6</f>
        <v>8.0999999999999996E-3</v>
      </c>
      <c r="F226" s="250">
        <f>G27</f>
        <v>0</v>
      </c>
      <c r="G226" s="126">
        <f t="shared" ref="G226:G232" si="28">G225</f>
        <v>148</v>
      </c>
      <c r="H226" s="250">
        <f t="shared" ref="H226:H241" si="29">ROUND(E226*G226*F226,2)</f>
        <v>0</v>
      </c>
      <c r="I226" s="247" t="s">
        <v>162</v>
      </c>
      <c r="J226" s="255"/>
      <c r="K226" s="255"/>
      <c r="L226" s="255"/>
      <c r="M226" s="255"/>
    </row>
    <row r="227" spans="2:13" ht="18" customHeight="1">
      <c r="B227" s="124" t="str">
        <f t="shared" si="26"/>
        <v>6单银Low-E+12A+6</v>
      </c>
      <c r="C227" s="253">
        <f t="shared" si="25"/>
        <v>-90</v>
      </c>
      <c r="D227" s="253">
        <f t="shared" si="25"/>
        <v>-90</v>
      </c>
      <c r="E227" s="32">
        <f t="shared" si="27"/>
        <v>8.0999999999999996E-3</v>
      </c>
      <c r="F227" s="250">
        <f>G28</f>
        <v>0</v>
      </c>
      <c r="G227" s="126">
        <f t="shared" si="28"/>
        <v>148</v>
      </c>
      <c r="H227" s="250">
        <f t="shared" si="29"/>
        <v>0</v>
      </c>
      <c r="I227" s="247" t="s">
        <v>162</v>
      </c>
      <c r="J227" s="255"/>
      <c r="K227" s="255"/>
      <c r="L227" s="255"/>
      <c r="M227" s="255"/>
    </row>
    <row r="228" spans="2:13" ht="18" customHeight="1">
      <c r="B228" s="124" t="str">
        <f t="shared" si="26"/>
        <v>6单银Low-E+12A+6</v>
      </c>
      <c r="C228" s="253">
        <f t="shared" si="25"/>
        <v>-90</v>
      </c>
      <c r="D228" s="253">
        <f t="shared" si="25"/>
        <v>-90</v>
      </c>
      <c r="E228" s="32">
        <f t="shared" si="27"/>
        <v>8.0999999999999996E-3</v>
      </c>
      <c r="F228" s="250">
        <f>G29</f>
        <v>0</v>
      </c>
      <c r="G228" s="126">
        <f t="shared" si="28"/>
        <v>148</v>
      </c>
      <c r="H228" s="250">
        <f t="shared" si="29"/>
        <v>0</v>
      </c>
      <c r="I228" s="247" t="s">
        <v>162</v>
      </c>
      <c r="J228" s="255"/>
      <c r="K228" s="255"/>
      <c r="L228" s="255"/>
      <c r="M228" s="255"/>
    </row>
    <row r="229" spans="2:13" ht="18" customHeight="1">
      <c r="B229" s="124" t="str">
        <f t="shared" si="26"/>
        <v>6单银Low-E+12A+6</v>
      </c>
      <c r="C229" s="253">
        <f t="shared" si="25"/>
        <v>-90</v>
      </c>
      <c r="D229" s="253">
        <f t="shared" si="25"/>
        <v>-90</v>
      </c>
      <c r="E229" s="32">
        <f t="shared" si="27"/>
        <v>8.0999999999999996E-3</v>
      </c>
      <c r="F229" s="250">
        <f>G30</f>
        <v>0</v>
      </c>
      <c r="G229" s="126">
        <f t="shared" si="28"/>
        <v>148</v>
      </c>
      <c r="H229" s="250">
        <f t="shared" si="29"/>
        <v>0</v>
      </c>
      <c r="I229" s="247" t="s">
        <v>162</v>
      </c>
      <c r="J229" s="123"/>
      <c r="K229" s="123"/>
      <c r="L229" s="123"/>
    </row>
    <row r="230" spans="2:13" ht="18" customHeight="1">
      <c r="B230" s="124" t="str">
        <f t="shared" si="26"/>
        <v>6单银Low-E+12A+6</v>
      </c>
      <c r="C230" s="253">
        <f t="shared" ref="C230:D232" si="30">D101</f>
        <v>288</v>
      </c>
      <c r="D230" s="253">
        <f t="shared" si="30"/>
        <v>878</v>
      </c>
      <c r="E230" s="32">
        <f t="shared" si="27"/>
        <v>0.25286399999999998</v>
      </c>
      <c r="F230" s="250">
        <f>G101</f>
        <v>2</v>
      </c>
      <c r="G230" s="126">
        <f t="shared" si="28"/>
        <v>148</v>
      </c>
      <c r="H230" s="250">
        <f t="shared" si="29"/>
        <v>74.849999999999994</v>
      </c>
      <c r="I230" s="127" t="s">
        <v>163</v>
      </c>
      <c r="J230" s="123"/>
      <c r="K230" s="123"/>
      <c r="L230" s="123"/>
    </row>
    <row r="231" spans="2:13" ht="18" customHeight="1">
      <c r="B231" s="124" t="str">
        <f t="shared" si="26"/>
        <v>6单银Low-E+12A+6</v>
      </c>
      <c r="C231" s="253">
        <f t="shared" si="30"/>
        <v>-122</v>
      </c>
      <c r="D231" s="253">
        <f t="shared" si="30"/>
        <v>-122</v>
      </c>
      <c r="E231" s="32">
        <f t="shared" si="27"/>
        <v>1.4884E-2</v>
      </c>
      <c r="F231" s="250">
        <f>G102</f>
        <v>0</v>
      </c>
      <c r="G231" s="126">
        <f t="shared" si="28"/>
        <v>148</v>
      </c>
      <c r="H231" s="250">
        <f t="shared" si="29"/>
        <v>0</v>
      </c>
      <c r="I231" s="127" t="s">
        <v>163</v>
      </c>
    </row>
    <row r="232" spans="2:13" ht="18" customHeight="1">
      <c r="B232" s="124" t="str">
        <f t="shared" si="26"/>
        <v>6单银Low-E+12A+6</v>
      </c>
      <c r="C232" s="253">
        <f t="shared" si="30"/>
        <v>-122</v>
      </c>
      <c r="D232" s="253">
        <f t="shared" si="30"/>
        <v>-122</v>
      </c>
      <c r="E232" s="32">
        <f t="shared" si="27"/>
        <v>1.4884E-2</v>
      </c>
      <c r="F232" s="250">
        <f>G103</f>
        <v>0</v>
      </c>
      <c r="G232" s="126">
        <f t="shared" si="28"/>
        <v>148</v>
      </c>
      <c r="H232" s="250">
        <f t="shared" si="29"/>
        <v>0</v>
      </c>
      <c r="I232" s="127" t="s">
        <v>163</v>
      </c>
    </row>
    <row r="233" spans="2:13" ht="18" customHeight="1">
      <c r="B233" s="48" t="s">
        <v>164</v>
      </c>
      <c r="C233" s="52"/>
      <c r="D233" s="50"/>
      <c r="E233" s="128"/>
      <c r="F233" s="50">
        <f>SUM(F225:F232)</f>
        <v>2</v>
      </c>
      <c r="G233" s="50"/>
      <c r="H233" s="52">
        <f>SUM(H225:H232)</f>
        <v>74.849999999999994</v>
      </c>
      <c r="I233" s="53">
        <f>ROUND((E225*F225+E226*F226+E227*F227+E228*F228+E229*F229+E230*F230+E231*F231+E232*F232),2)</f>
        <v>0.51</v>
      </c>
    </row>
    <row r="234" spans="2:13" ht="18" customHeight="1">
      <c r="B234" s="124" t="str">
        <f>B232</f>
        <v>6单银Low-E+12A+6</v>
      </c>
      <c r="C234" s="253">
        <f>C225</f>
        <v>-90</v>
      </c>
      <c r="D234" s="253">
        <f>D225</f>
        <v>-90</v>
      </c>
      <c r="E234" s="32">
        <f t="shared" si="27"/>
        <v>8.0999999999999996E-3</v>
      </c>
      <c r="F234" s="250">
        <f>IF(F225=0,G26,0)</f>
        <v>0</v>
      </c>
      <c r="G234" s="126">
        <f>G232</f>
        <v>148</v>
      </c>
      <c r="H234" s="250">
        <f t="shared" si="29"/>
        <v>0</v>
      </c>
      <c r="I234" s="247" t="s">
        <v>165</v>
      </c>
      <c r="J234" s="129"/>
    </row>
    <row r="235" spans="2:13" ht="18" customHeight="1">
      <c r="B235" s="124" t="str">
        <f t="shared" ref="B235:B241" si="31">B234</f>
        <v>6单银Low-E+12A+6</v>
      </c>
      <c r="C235" s="253">
        <f t="shared" ref="C235:D241" si="32">C226</f>
        <v>-90</v>
      </c>
      <c r="D235" s="253">
        <f t="shared" si="32"/>
        <v>-90</v>
      </c>
      <c r="E235" s="32">
        <f t="shared" si="27"/>
        <v>8.0999999999999996E-3</v>
      </c>
      <c r="F235" s="250">
        <f>IF(F226=0,G27,0)</f>
        <v>0</v>
      </c>
      <c r="G235" s="126">
        <f>G234</f>
        <v>148</v>
      </c>
      <c r="H235" s="250">
        <f t="shared" si="29"/>
        <v>0</v>
      </c>
      <c r="I235" s="247" t="s">
        <v>165</v>
      </c>
      <c r="J235" s="129"/>
    </row>
    <row r="236" spans="2:13" ht="18" customHeight="1">
      <c r="B236" s="124" t="str">
        <f t="shared" si="31"/>
        <v>6单银Low-E+12A+6</v>
      </c>
      <c r="C236" s="253">
        <f t="shared" si="32"/>
        <v>-90</v>
      </c>
      <c r="D236" s="253">
        <f t="shared" si="32"/>
        <v>-90</v>
      </c>
      <c r="E236" s="32">
        <f t="shared" si="27"/>
        <v>8.0999999999999996E-3</v>
      </c>
      <c r="F236" s="250">
        <f>IF(F227=0,G28,0)</f>
        <v>0</v>
      </c>
      <c r="G236" s="126">
        <f t="shared" ref="G236:G241" si="33">G234</f>
        <v>148</v>
      </c>
      <c r="H236" s="250">
        <f t="shared" si="29"/>
        <v>0</v>
      </c>
      <c r="I236" s="247" t="s">
        <v>165</v>
      </c>
      <c r="J236" s="129"/>
    </row>
    <row r="237" spans="2:13" ht="18" customHeight="1">
      <c r="B237" s="124" t="str">
        <f t="shared" si="31"/>
        <v>6单银Low-E+12A+6</v>
      </c>
      <c r="C237" s="253">
        <f t="shared" si="32"/>
        <v>-90</v>
      </c>
      <c r="D237" s="253">
        <f t="shared" si="32"/>
        <v>-90</v>
      </c>
      <c r="E237" s="32">
        <f t="shared" si="27"/>
        <v>8.0999999999999996E-3</v>
      </c>
      <c r="F237" s="250">
        <f>IF(F228=0,G29,0)</f>
        <v>0</v>
      </c>
      <c r="G237" s="126">
        <f t="shared" si="33"/>
        <v>148</v>
      </c>
      <c r="H237" s="250">
        <f t="shared" si="29"/>
        <v>0</v>
      </c>
      <c r="I237" s="247" t="s">
        <v>165</v>
      </c>
      <c r="J237" s="129"/>
    </row>
    <row r="238" spans="2:13" ht="18" customHeight="1">
      <c r="B238" s="124" t="str">
        <f t="shared" si="31"/>
        <v>6单银Low-E+12A+6</v>
      </c>
      <c r="C238" s="253">
        <f t="shared" si="32"/>
        <v>-90</v>
      </c>
      <c r="D238" s="253">
        <f t="shared" si="32"/>
        <v>-90</v>
      </c>
      <c r="E238" s="32">
        <f t="shared" si="27"/>
        <v>8.0999999999999996E-3</v>
      </c>
      <c r="F238" s="250">
        <f>IF(F229=0,G30,0)</f>
        <v>0</v>
      </c>
      <c r="G238" s="126">
        <f t="shared" si="33"/>
        <v>148</v>
      </c>
      <c r="H238" s="250">
        <f t="shared" si="29"/>
        <v>0</v>
      </c>
      <c r="I238" s="247" t="s">
        <v>165</v>
      </c>
      <c r="J238" s="129"/>
    </row>
    <row r="239" spans="2:13" ht="18" customHeight="1">
      <c r="B239" s="124" t="str">
        <f t="shared" si="31"/>
        <v>6单银Low-E+12A+6</v>
      </c>
      <c r="C239" s="253">
        <f t="shared" si="32"/>
        <v>288</v>
      </c>
      <c r="D239" s="253">
        <f t="shared" si="32"/>
        <v>878</v>
      </c>
      <c r="E239" s="32">
        <f t="shared" si="27"/>
        <v>0.25286399999999998</v>
      </c>
      <c r="F239" s="250">
        <f>IF(F230=0,G35,0)</f>
        <v>0</v>
      </c>
      <c r="G239" s="126">
        <f t="shared" si="33"/>
        <v>148</v>
      </c>
      <c r="H239" s="250">
        <f t="shared" si="29"/>
        <v>0</v>
      </c>
      <c r="I239" s="127" t="s">
        <v>166</v>
      </c>
      <c r="J239" s="129"/>
    </row>
    <row r="240" spans="2:13" ht="18" customHeight="1">
      <c r="B240" s="124" t="str">
        <f t="shared" si="31"/>
        <v>6单银Low-E+12A+6</v>
      </c>
      <c r="C240" s="253">
        <f t="shared" si="32"/>
        <v>-122</v>
      </c>
      <c r="D240" s="253">
        <f t="shared" si="32"/>
        <v>-122</v>
      </c>
      <c r="E240" s="32">
        <f t="shared" si="27"/>
        <v>1.4884E-2</v>
      </c>
      <c r="F240" s="250">
        <f>IF(F231=0,G36,0)</f>
        <v>0</v>
      </c>
      <c r="G240" s="126">
        <f t="shared" si="33"/>
        <v>148</v>
      </c>
      <c r="H240" s="250">
        <f t="shared" si="29"/>
        <v>0</v>
      </c>
      <c r="I240" s="127" t="s">
        <v>166</v>
      </c>
      <c r="J240" s="129"/>
    </row>
    <row r="241" spans="1:16" ht="18" customHeight="1">
      <c r="B241" s="124" t="str">
        <f t="shared" si="31"/>
        <v>6单银Low-E+12A+6</v>
      </c>
      <c r="C241" s="253">
        <f t="shared" si="32"/>
        <v>-122</v>
      </c>
      <c r="D241" s="253">
        <f t="shared" si="32"/>
        <v>-122</v>
      </c>
      <c r="E241" s="32">
        <f t="shared" si="27"/>
        <v>1.4884E-2</v>
      </c>
      <c r="F241" s="250">
        <f>IF(F232=0,G37,0)</f>
        <v>0</v>
      </c>
      <c r="G241" s="126">
        <f t="shared" si="33"/>
        <v>148</v>
      </c>
      <c r="H241" s="250">
        <f t="shared" si="29"/>
        <v>0</v>
      </c>
      <c r="I241" s="127" t="s">
        <v>166</v>
      </c>
      <c r="J241" s="129"/>
    </row>
    <row r="242" spans="1:16" s="43" customFormat="1" ht="18" customHeight="1">
      <c r="A242" s="1"/>
      <c r="B242" s="48" t="s">
        <v>167</v>
      </c>
      <c r="C242" s="52"/>
      <c r="D242" s="50"/>
      <c r="E242" s="128"/>
      <c r="F242" s="50">
        <f>SUM(F234:F241)</f>
        <v>0</v>
      </c>
      <c r="G242" s="50"/>
      <c r="H242" s="52">
        <f>SUM(H234:H241)</f>
        <v>0</v>
      </c>
      <c r="I242" s="53">
        <f>ROUND(SUMPRODUCT(E234:E241*F234:F241),2)</f>
        <v>0</v>
      </c>
      <c r="J242" s="129"/>
      <c r="N242" s="255"/>
      <c r="O242" s="255"/>
      <c r="P242" s="255"/>
    </row>
    <row r="243" spans="1:16" s="43" customFormat="1" ht="18" customHeight="1">
      <c r="A243" s="1"/>
      <c r="B243" s="124" t="str">
        <f>B240</f>
        <v>6单银Low-E+12A+6</v>
      </c>
      <c r="C243" s="253">
        <f t="shared" ref="C243:D249" si="34">D68-12</f>
        <v>936</v>
      </c>
      <c r="D243" s="253">
        <f t="shared" si="34"/>
        <v>466</v>
      </c>
      <c r="E243" s="32">
        <f t="shared" si="27"/>
        <v>0.43617600000000001</v>
      </c>
      <c r="F243" s="82">
        <f t="shared" ref="F243:F249" si="35">G68</f>
        <v>1</v>
      </c>
      <c r="G243" s="130">
        <f>G241</f>
        <v>148</v>
      </c>
      <c r="H243" s="250">
        <f t="shared" ref="H243:H249" si="36">ROUND(E243*G243*F243,2)</f>
        <v>64.55</v>
      </c>
      <c r="I243" s="247" t="s">
        <v>168</v>
      </c>
      <c r="J243" s="129"/>
      <c r="N243" s="255"/>
      <c r="O243" s="255"/>
      <c r="P243" s="255"/>
    </row>
    <row r="244" spans="1:16" s="43" customFormat="1" ht="18" customHeight="1">
      <c r="A244" s="1"/>
      <c r="B244" s="124" t="str">
        <f t="shared" ref="B244:B249" si="37">B243</f>
        <v>6单银Low-E+12A+6</v>
      </c>
      <c r="C244" s="253">
        <f t="shared" si="34"/>
        <v>444</v>
      </c>
      <c r="D244" s="253">
        <f t="shared" si="34"/>
        <v>384</v>
      </c>
      <c r="E244" s="32">
        <f t="shared" si="27"/>
        <v>0.17049600000000001</v>
      </c>
      <c r="F244" s="82">
        <f t="shared" si="35"/>
        <v>2</v>
      </c>
      <c r="G244" s="130">
        <f t="shared" ref="G244:G249" si="38">G243</f>
        <v>148</v>
      </c>
      <c r="H244" s="250">
        <f t="shared" si="36"/>
        <v>50.47</v>
      </c>
      <c r="I244" s="247" t="s">
        <v>168</v>
      </c>
      <c r="J244" s="129"/>
      <c r="N244" s="255"/>
      <c r="O244" s="255"/>
      <c r="P244" s="255"/>
    </row>
    <row r="245" spans="1:16" s="43" customFormat="1" ht="18" customHeight="1">
      <c r="A245" s="1"/>
      <c r="B245" s="124" t="str">
        <f t="shared" si="37"/>
        <v>6单银Low-E+12A+6</v>
      </c>
      <c r="C245" s="253">
        <f t="shared" si="34"/>
        <v>-12</v>
      </c>
      <c r="D245" s="253">
        <f t="shared" si="34"/>
        <v>-12</v>
      </c>
      <c r="E245" s="32">
        <f t="shared" si="27"/>
        <v>1.44E-4</v>
      </c>
      <c r="F245" s="82">
        <f t="shared" si="35"/>
        <v>0</v>
      </c>
      <c r="G245" s="130">
        <f t="shared" si="38"/>
        <v>148</v>
      </c>
      <c r="H245" s="250">
        <f t="shared" si="36"/>
        <v>0</v>
      </c>
      <c r="I245" s="247" t="s">
        <v>168</v>
      </c>
      <c r="J245" s="129"/>
      <c r="N245" s="255"/>
      <c r="O245" s="255"/>
      <c r="P245" s="255"/>
    </row>
    <row r="246" spans="1:16" s="43" customFormat="1" ht="18" customHeight="1">
      <c r="A246" s="1"/>
      <c r="B246" s="124" t="str">
        <f t="shared" si="37"/>
        <v>6单银Low-E+12A+6</v>
      </c>
      <c r="C246" s="253">
        <f t="shared" si="34"/>
        <v>-12</v>
      </c>
      <c r="D246" s="253">
        <f t="shared" si="34"/>
        <v>-12</v>
      </c>
      <c r="E246" s="32">
        <f t="shared" si="27"/>
        <v>1.44E-4</v>
      </c>
      <c r="F246" s="82">
        <f t="shared" si="35"/>
        <v>0</v>
      </c>
      <c r="G246" s="130">
        <f t="shared" si="38"/>
        <v>148</v>
      </c>
      <c r="H246" s="250">
        <f t="shared" si="36"/>
        <v>0</v>
      </c>
      <c r="I246" s="247" t="s">
        <v>168</v>
      </c>
      <c r="J246" s="129"/>
      <c r="N246" s="255"/>
      <c r="O246" s="255"/>
      <c r="P246" s="255"/>
    </row>
    <row r="247" spans="1:16" s="43" customFormat="1" ht="18" customHeight="1">
      <c r="A247" s="1"/>
      <c r="B247" s="124" t="str">
        <f t="shared" si="37"/>
        <v>6单银Low-E+12A+6</v>
      </c>
      <c r="C247" s="253">
        <f t="shared" si="34"/>
        <v>-12</v>
      </c>
      <c r="D247" s="253">
        <f t="shared" si="34"/>
        <v>-12</v>
      </c>
      <c r="E247" s="32">
        <f t="shared" si="27"/>
        <v>1.44E-4</v>
      </c>
      <c r="F247" s="82">
        <f t="shared" si="35"/>
        <v>0</v>
      </c>
      <c r="G247" s="130">
        <f t="shared" si="38"/>
        <v>148</v>
      </c>
      <c r="H247" s="250">
        <f t="shared" si="36"/>
        <v>0</v>
      </c>
      <c r="I247" s="247" t="s">
        <v>168</v>
      </c>
      <c r="J247" s="129"/>
      <c r="N247" s="255"/>
      <c r="O247" s="255"/>
      <c r="P247" s="255"/>
    </row>
    <row r="248" spans="1:16" s="43" customFormat="1" ht="18" customHeight="1">
      <c r="A248" s="1"/>
      <c r="B248" s="124" t="str">
        <f t="shared" si="37"/>
        <v>6单银Low-E+12A+6</v>
      </c>
      <c r="C248" s="253">
        <f t="shared" si="34"/>
        <v>-12</v>
      </c>
      <c r="D248" s="253">
        <f t="shared" si="34"/>
        <v>-12</v>
      </c>
      <c r="E248" s="32">
        <f t="shared" si="27"/>
        <v>1.44E-4</v>
      </c>
      <c r="F248" s="82">
        <f t="shared" si="35"/>
        <v>0</v>
      </c>
      <c r="G248" s="130">
        <f t="shared" si="38"/>
        <v>148</v>
      </c>
      <c r="H248" s="250">
        <f t="shared" si="36"/>
        <v>0</v>
      </c>
      <c r="I248" s="247" t="s">
        <v>168</v>
      </c>
      <c r="J248" s="129"/>
      <c r="N248" s="255"/>
      <c r="O248" s="255"/>
      <c r="P248" s="255"/>
    </row>
    <row r="249" spans="1:16" s="43" customFormat="1" ht="18" customHeight="1">
      <c r="A249" s="1"/>
      <c r="B249" s="124" t="str">
        <f t="shared" si="37"/>
        <v>6单银Low-E+12A+6</v>
      </c>
      <c r="C249" s="253">
        <f t="shared" si="34"/>
        <v>-12</v>
      </c>
      <c r="D249" s="253">
        <f t="shared" si="34"/>
        <v>-12</v>
      </c>
      <c r="E249" s="32">
        <f t="shared" si="27"/>
        <v>1.44E-4</v>
      </c>
      <c r="F249" s="82">
        <f t="shared" si="35"/>
        <v>0</v>
      </c>
      <c r="G249" s="130">
        <f t="shared" si="38"/>
        <v>148</v>
      </c>
      <c r="H249" s="250">
        <f t="shared" si="36"/>
        <v>0</v>
      </c>
      <c r="I249" s="247" t="s">
        <v>168</v>
      </c>
      <c r="J249" s="129"/>
      <c r="N249" s="255"/>
      <c r="O249" s="255"/>
      <c r="P249" s="255"/>
    </row>
    <row r="250" spans="1:16" s="43" customFormat="1" ht="18" customHeight="1">
      <c r="A250" s="1"/>
      <c r="B250" s="131" t="str">
        <f>B246</f>
        <v>6单银Low-E+12A+6</v>
      </c>
      <c r="C250" s="52"/>
      <c r="D250" s="50"/>
      <c r="E250" s="128"/>
      <c r="F250" s="50">
        <f>SUM(F243:F249)</f>
        <v>3</v>
      </c>
      <c r="G250" s="50"/>
      <c r="H250" s="52">
        <f>SUM(H243:H249)</f>
        <v>115.02</v>
      </c>
      <c r="I250" s="53">
        <f>ROUND((E243*F243+E244*F244+E245*F245+E246*F246+E247*F247+E248*F248+E249*F249),2)</f>
        <v>0.78</v>
      </c>
      <c r="J250" s="43">
        <f>(I242+I258+I273+I280)</f>
        <v>0</v>
      </c>
      <c r="N250" s="255"/>
      <c r="O250" s="255"/>
      <c r="P250" s="255"/>
    </row>
    <row r="251" spans="1:16" s="43" customFormat="1" ht="18" customHeight="1">
      <c r="A251" s="1"/>
      <c r="B251" s="124" t="str">
        <f>B249</f>
        <v>6单银Low-E+12A+6</v>
      </c>
      <c r="C251" s="253">
        <f t="shared" ref="C251:D257" si="39">D75-12</f>
        <v>-12</v>
      </c>
      <c r="D251" s="253">
        <f t="shared" si="39"/>
        <v>-12</v>
      </c>
      <c r="E251" s="32">
        <f t="shared" si="27"/>
        <v>1.44E-4</v>
      </c>
      <c r="F251" s="82">
        <f t="shared" ref="F251:F257" si="40">G75</f>
        <v>0</v>
      </c>
      <c r="G251" s="130">
        <f>G249</f>
        <v>148</v>
      </c>
      <c r="H251" s="250">
        <f>ROUND(E251*G251*F251,2)</f>
        <v>0</v>
      </c>
      <c r="I251" s="132" t="s">
        <v>169</v>
      </c>
      <c r="N251" s="255"/>
      <c r="O251" s="255"/>
      <c r="P251" s="255"/>
    </row>
    <row r="252" spans="1:16" s="43" customFormat="1" ht="18" customHeight="1">
      <c r="A252" s="1"/>
      <c r="B252" s="124" t="str">
        <f t="shared" ref="B252:B257" si="41">B251</f>
        <v>6单银Low-E+12A+6</v>
      </c>
      <c r="C252" s="253">
        <f t="shared" si="39"/>
        <v>-12</v>
      </c>
      <c r="D252" s="253">
        <f t="shared" si="39"/>
        <v>-12</v>
      </c>
      <c r="E252" s="32">
        <f t="shared" si="27"/>
        <v>1.44E-4</v>
      </c>
      <c r="F252" s="82">
        <f t="shared" si="40"/>
        <v>0</v>
      </c>
      <c r="G252" s="130">
        <f t="shared" ref="G252:G257" si="42">G251</f>
        <v>148</v>
      </c>
      <c r="H252" s="250">
        <f t="shared" ref="H252:H264" si="43">ROUND(E252*G252*F252,2)</f>
        <v>0</v>
      </c>
      <c r="I252" s="132" t="str">
        <f t="shared" ref="I252:I257" si="44">I251</f>
        <v>固定钢化中空</v>
      </c>
      <c r="N252" s="255"/>
      <c r="O252" s="255"/>
      <c r="P252" s="255"/>
    </row>
    <row r="253" spans="1:16" s="43" customFormat="1" ht="18" customHeight="1">
      <c r="A253" s="1"/>
      <c r="B253" s="124" t="str">
        <f t="shared" si="41"/>
        <v>6单银Low-E+12A+6</v>
      </c>
      <c r="C253" s="253">
        <f t="shared" si="39"/>
        <v>-12</v>
      </c>
      <c r="D253" s="253">
        <f t="shared" si="39"/>
        <v>-12</v>
      </c>
      <c r="E253" s="32">
        <f t="shared" si="27"/>
        <v>1.44E-4</v>
      </c>
      <c r="F253" s="82">
        <f t="shared" si="40"/>
        <v>0</v>
      </c>
      <c r="G253" s="130">
        <f t="shared" si="42"/>
        <v>148</v>
      </c>
      <c r="H253" s="250">
        <f t="shared" si="43"/>
        <v>0</v>
      </c>
      <c r="I253" s="132" t="str">
        <f t="shared" si="44"/>
        <v>固定钢化中空</v>
      </c>
      <c r="N253" s="255"/>
      <c r="O253" s="255"/>
      <c r="P253" s="255"/>
    </row>
    <row r="254" spans="1:16" s="43" customFormat="1" ht="18" customHeight="1">
      <c r="A254" s="1"/>
      <c r="B254" s="124" t="str">
        <f t="shared" si="41"/>
        <v>6单银Low-E+12A+6</v>
      </c>
      <c r="C254" s="253">
        <f t="shared" si="39"/>
        <v>-12</v>
      </c>
      <c r="D254" s="253">
        <f t="shared" si="39"/>
        <v>-12</v>
      </c>
      <c r="E254" s="32">
        <f t="shared" si="27"/>
        <v>1.44E-4</v>
      </c>
      <c r="F254" s="82">
        <f t="shared" si="40"/>
        <v>0</v>
      </c>
      <c r="G254" s="130">
        <f t="shared" si="42"/>
        <v>148</v>
      </c>
      <c r="H254" s="250">
        <f t="shared" si="43"/>
        <v>0</v>
      </c>
      <c r="I254" s="132" t="str">
        <f t="shared" si="44"/>
        <v>固定钢化中空</v>
      </c>
      <c r="J254" s="42"/>
      <c r="N254" s="255"/>
      <c r="O254" s="255"/>
      <c r="P254" s="255"/>
    </row>
    <row r="255" spans="1:16" s="43" customFormat="1" ht="18" customHeight="1">
      <c r="A255" s="1"/>
      <c r="B255" s="124" t="str">
        <f t="shared" si="41"/>
        <v>6单银Low-E+12A+6</v>
      </c>
      <c r="C255" s="253">
        <f t="shared" si="39"/>
        <v>-12</v>
      </c>
      <c r="D255" s="253">
        <f t="shared" si="39"/>
        <v>-12</v>
      </c>
      <c r="E255" s="32">
        <f t="shared" si="27"/>
        <v>1.44E-4</v>
      </c>
      <c r="F255" s="82">
        <f t="shared" si="40"/>
        <v>0</v>
      </c>
      <c r="G255" s="130">
        <f t="shared" si="42"/>
        <v>148</v>
      </c>
      <c r="H255" s="250">
        <f t="shared" si="43"/>
        <v>0</v>
      </c>
      <c r="I255" s="132" t="str">
        <f t="shared" si="44"/>
        <v>固定钢化中空</v>
      </c>
      <c r="N255" s="255"/>
      <c r="O255" s="255"/>
      <c r="P255" s="255"/>
    </row>
    <row r="256" spans="1:16" s="43" customFormat="1" ht="18" customHeight="1">
      <c r="A256" s="1"/>
      <c r="B256" s="124" t="str">
        <f t="shared" si="41"/>
        <v>6单银Low-E+12A+6</v>
      </c>
      <c r="C256" s="253">
        <f t="shared" si="39"/>
        <v>-12</v>
      </c>
      <c r="D256" s="253">
        <f t="shared" si="39"/>
        <v>-12</v>
      </c>
      <c r="E256" s="32">
        <f t="shared" si="27"/>
        <v>1.44E-4</v>
      </c>
      <c r="F256" s="82">
        <f t="shared" si="40"/>
        <v>0</v>
      </c>
      <c r="G256" s="130">
        <f t="shared" si="42"/>
        <v>148</v>
      </c>
      <c r="H256" s="250">
        <f t="shared" si="43"/>
        <v>0</v>
      </c>
      <c r="I256" s="132" t="str">
        <f t="shared" si="44"/>
        <v>固定钢化中空</v>
      </c>
      <c r="N256" s="255"/>
      <c r="O256" s="255"/>
      <c r="P256" s="255"/>
    </row>
    <row r="257" spans="1:16" s="43" customFormat="1" ht="18" customHeight="1">
      <c r="A257" s="1"/>
      <c r="B257" s="124" t="str">
        <f t="shared" si="41"/>
        <v>6单银Low-E+12A+6</v>
      </c>
      <c r="C257" s="253">
        <f t="shared" si="39"/>
        <v>-12</v>
      </c>
      <c r="D257" s="253">
        <f t="shared" si="39"/>
        <v>-12</v>
      </c>
      <c r="E257" s="32">
        <f t="shared" si="27"/>
        <v>1.44E-4</v>
      </c>
      <c r="F257" s="82">
        <f t="shared" si="40"/>
        <v>0</v>
      </c>
      <c r="G257" s="130">
        <f t="shared" si="42"/>
        <v>148</v>
      </c>
      <c r="H257" s="250">
        <f t="shared" si="43"/>
        <v>0</v>
      </c>
      <c r="I257" s="132" t="str">
        <f t="shared" si="44"/>
        <v>固定钢化中空</v>
      </c>
      <c r="N257" s="255"/>
      <c r="O257" s="255"/>
      <c r="P257" s="255"/>
    </row>
    <row r="258" spans="1:16" s="43" customFormat="1" ht="18" customHeight="1">
      <c r="A258" s="1"/>
      <c r="B258" s="48" t="s">
        <v>170</v>
      </c>
      <c r="C258" s="52"/>
      <c r="D258" s="50"/>
      <c r="E258" s="128"/>
      <c r="F258" s="50">
        <f>SUM(F251:F257)</f>
        <v>0</v>
      </c>
      <c r="G258" s="50"/>
      <c r="H258" s="52">
        <f>SUM(H251:H257)</f>
        <v>0</v>
      </c>
      <c r="I258" s="53">
        <f>ROUND((E251*F251+E252*F252+E253*F253+E254*F254+E255*F255+E256*F256+E257*F257),2)</f>
        <v>0</v>
      </c>
      <c r="N258" s="255"/>
      <c r="O258" s="255"/>
      <c r="P258" s="255"/>
    </row>
    <row r="259" spans="1:16" s="43" customFormat="1" ht="18" customHeight="1">
      <c r="A259" s="1"/>
      <c r="B259" s="124" t="str">
        <f>B257</f>
        <v>6单银Low-E+12A+6</v>
      </c>
      <c r="C259" s="253">
        <f t="shared" ref="C259:D264" si="45">D82-12</f>
        <v>-12</v>
      </c>
      <c r="D259" s="253">
        <f t="shared" si="45"/>
        <v>-12</v>
      </c>
      <c r="E259" s="32">
        <f t="shared" si="27"/>
        <v>1.44E-4</v>
      </c>
      <c r="F259" s="82">
        <f t="shared" ref="F259:F264" si="46">G82</f>
        <v>0</v>
      </c>
      <c r="G259" s="130">
        <f>G257</f>
        <v>148</v>
      </c>
      <c r="H259" s="250">
        <f t="shared" si="43"/>
        <v>0</v>
      </c>
      <c r="I259" s="247" t="s">
        <v>171</v>
      </c>
      <c r="N259" s="255"/>
      <c r="O259" s="255"/>
      <c r="P259" s="255"/>
    </row>
    <row r="260" spans="1:16" s="43" customFormat="1" ht="18" customHeight="1">
      <c r="A260" s="1"/>
      <c r="B260" s="124" t="str">
        <f>B259</f>
        <v>6单银Low-E+12A+6</v>
      </c>
      <c r="C260" s="253">
        <f t="shared" si="45"/>
        <v>-12</v>
      </c>
      <c r="D260" s="253">
        <f t="shared" si="45"/>
        <v>-12</v>
      </c>
      <c r="E260" s="32">
        <f t="shared" si="27"/>
        <v>1.44E-4</v>
      </c>
      <c r="F260" s="82">
        <f t="shared" si="46"/>
        <v>0</v>
      </c>
      <c r="G260" s="130">
        <f>G259</f>
        <v>148</v>
      </c>
      <c r="H260" s="250">
        <f t="shared" si="43"/>
        <v>0</v>
      </c>
      <c r="I260" s="247" t="s">
        <v>171</v>
      </c>
      <c r="N260" s="255"/>
      <c r="O260" s="255"/>
      <c r="P260" s="255"/>
    </row>
    <row r="261" spans="1:16" s="43" customFormat="1" ht="18" customHeight="1">
      <c r="A261" s="1"/>
      <c r="B261" s="124" t="str">
        <f>B260</f>
        <v>6单银Low-E+12A+6</v>
      </c>
      <c r="C261" s="253">
        <f t="shared" si="45"/>
        <v>-12</v>
      </c>
      <c r="D261" s="253">
        <f t="shared" si="45"/>
        <v>-12</v>
      </c>
      <c r="E261" s="32">
        <f t="shared" si="27"/>
        <v>1.44E-4</v>
      </c>
      <c r="F261" s="82">
        <f t="shared" si="46"/>
        <v>0</v>
      </c>
      <c r="G261" s="130">
        <f>G260</f>
        <v>148</v>
      </c>
      <c r="H261" s="250">
        <f t="shared" si="43"/>
        <v>0</v>
      </c>
      <c r="I261" s="247" t="s">
        <v>171</v>
      </c>
      <c r="N261" s="255"/>
      <c r="O261" s="255"/>
      <c r="P261" s="255"/>
    </row>
    <row r="262" spans="1:16" s="43" customFormat="1" ht="18" customHeight="1">
      <c r="A262" s="1"/>
      <c r="B262" s="124" t="str">
        <f>B261</f>
        <v>6单银Low-E+12A+6</v>
      </c>
      <c r="C262" s="253">
        <f t="shared" si="45"/>
        <v>-12</v>
      </c>
      <c r="D262" s="253">
        <f t="shared" si="45"/>
        <v>-12</v>
      </c>
      <c r="E262" s="32">
        <f t="shared" si="27"/>
        <v>1.44E-4</v>
      </c>
      <c r="F262" s="82">
        <f t="shared" si="46"/>
        <v>0</v>
      </c>
      <c r="G262" s="130">
        <f>G261</f>
        <v>148</v>
      </c>
      <c r="H262" s="250">
        <f t="shared" si="43"/>
        <v>0</v>
      </c>
      <c r="I262" s="247" t="s">
        <v>171</v>
      </c>
      <c r="N262" s="255"/>
      <c r="O262" s="255"/>
      <c r="P262" s="255"/>
    </row>
    <row r="263" spans="1:16" s="43" customFormat="1" ht="18" customHeight="1">
      <c r="A263" s="1"/>
      <c r="B263" s="124" t="str">
        <f>B262</f>
        <v>6单银Low-E+12A+6</v>
      </c>
      <c r="C263" s="253">
        <f t="shared" si="45"/>
        <v>-12</v>
      </c>
      <c r="D263" s="253">
        <f t="shared" si="45"/>
        <v>-12</v>
      </c>
      <c r="E263" s="32">
        <f t="shared" si="27"/>
        <v>1.44E-4</v>
      </c>
      <c r="F263" s="82">
        <f t="shared" si="46"/>
        <v>0</v>
      </c>
      <c r="G263" s="130">
        <f>G262</f>
        <v>148</v>
      </c>
      <c r="H263" s="250">
        <f t="shared" si="43"/>
        <v>0</v>
      </c>
      <c r="I263" s="247" t="s">
        <v>171</v>
      </c>
      <c r="N263" s="255"/>
      <c r="O263" s="255"/>
      <c r="P263" s="255"/>
    </row>
    <row r="264" spans="1:16" s="43" customFormat="1" ht="18" customHeight="1">
      <c r="A264" s="1"/>
      <c r="B264" s="124" t="str">
        <f>B263</f>
        <v>6单银Low-E+12A+6</v>
      </c>
      <c r="C264" s="253">
        <f t="shared" si="45"/>
        <v>-12</v>
      </c>
      <c r="D264" s="253">
        <f t="shared" si="45"/>
        <v>-12</v>
      </c>
      <c r="E264" s="32">
        <f t="shared" si="27"/>
        <v>1.44E-4</v>
      </c>
      <c r="F264" s="82">
        <f t="shared" si="46"/>
        <v>0</v>
      </c>
      <c r="G264" s="130">
        <f>G263</f>
        <v>148</v>
      </c>
      <c r="H264" s="250">
        <f t="shared" si="43"/>
        <v>0</v>
      </c>
      <c r="I264" s="247" t="s">
        <v>171</v>
      </c>
      <c r="N264" s="255"/>
      <c r="O264" s="255"/>
      <c r="P264" s="255"/>
    </row>
    <row r="265" spans="1:16" s="43" customFormat="1" ht="18" customHeight="1">
      <c r="A265" s="1"/>
      <c r="B265" s="48" t="s">
        <v>172</v>
      </c>
      <c r="C265" s="52"/>
      <c r="D265" s="50"/>
      <c r="E265" s="128"/>
      <c r="F265" s="50">
        <f>SUM(F259:F264)</f>
        <v>0</v>
      </c>
      <c r="G265" s="50"/>
      <c r="H265" s="52">
        <f>SUM(H259:H264)</f>
        <v>0</v>
      </c>
      <c r="I265" s="53">
        <f>ROUND(SUMPRODUCT(E259:E264*F259:F264),2)</f>
        <v>0</v>
      </c>
      <c r="N265" s="255"/>
      <c r="O265" s="255"/>
      <c r="P265" s="255"/>
    </row>
    <row r="266" spans="1:16" s="43" customFormat="1" ht="18" customHeight="1">
      <c r="A266" s="1"/>
      <c r="B266" s="124" t="str">
        <f>B264</f>
        <v>6单银Low-E+12A+6</v>
      </c>
      <c r="C266" s="133">
        <f t="shared" ref="C266:D268" si="47">D143</f>
        <v>-154</v>
      </c>
      <c r="D266" s="133">
        <f t="shared" si="47"/>
        <v>-154</v>
      </c>
      <c r="E266" s="32">
        <f t="shared" si="27"/>
        <v>2.3716000000000001E-2</v>
      </c>
      <c r="F266" s="134">
        <f>G143</f>
        <v>0</v>
      </c>
      <c r="G266" s="135">
        <f>G264</f>
        <v>148</v>
      </c>
      <c r="H266" s="134">
        <f>ROUND(E266*G266*F266,2)</f>
        <v>0</v>
      </c>
      <c r="I266" s="136" t="s">
        <v>173</v>
      </c>
      <c r="N266" s="255"/>
      <c r="O266" s="255"/>
      <c r="P266" s="255"/>
    </row>
    <row r="267" spans="1:16" s="43" customFormat="1" ht="18" customHeight="1">
      <c r="A267" s="1"/>
      <c r="B267" s="124" t="str">
        <f>B264</f>
        <v>6单银Low-E+12A+6</v>
      </c>
      <c r="C267" s="133">
        <f t="shared" si="47"/>
        <v>-154</v>
      </c>
      <c r="D267" s="133">
        <f t="shared" si="47"/>
        <v>-154</v>
      </c>
      <c r="E267" s="32">
        <f t="shared" si="27"/>
        <v>2.3716000000000001E-2</v>
      </c>
      <c r="F267" s="134">
        <f>G144</f>
        <v>0</v>
      </c>
      <c r="G267" s="135">
        <f>G266</f>
        <v>148</v>
      </c>
      <c r="H267" s="134">
        <f>ROUND(E267*G267*F267,2)</f>
        <v>0</v>
      </c>
      <c r="I267" s="136" t="s">
        <v>173</v>
      </c>
      <c r="N267" s="255"/>
      <c r="O267" s="255"/>
      <c r="P267" s="255"/>
    </row>
    <row r="268" spans="1:16" s="43" customFormat="1" ht="18" customHeight="1">
      <c r="A268" s="1"/>
      <c r="B268" s="124" t="str">
        <f>B267</f>
        <v>6单银Low-E+12A+6</v>
      </c>
      <c r="C268" s="133">
        <f t="shared" si="47"/>
        <v>-154</v>
      </c>
      <c r="D268" s="133">
        <f t="shared" si="47"/>
        <v>-154</v>
      </c>
      <c r="E268" s="32">
        <f t="shared" si="27"/>
        <v>2.3716000000000001E-2</v>
      </c>
      <c r="F268" s="134">
        <f>G145</f>
        <v>0</v>
      </c>
      <c r="G268" s="135">
        <f>G267</f>
        <v>148</v>
      </c>
      <c r="H268" s="134">
        <f>ROUND(E268*G268*F268,2)</f>
        <v>0</v>
      </c>
      <c r="I268" s="136" t="s">
        <v>173</v>
      </c>
      <c r="N268" s="255"/>
      <c r="O268" s="255"/>
      <c r="P268" s="255"/>
    </row>
    <row r="269" spans="1:16" s="43" customFormat="1" ht="18" customHeight="1">
      <c r="A269" s="1"/>
      <c r="B269" s="48" t="s">
        <v>174</v>
      </c>
      <c r="C269" s="52"/>
      <c r="D269" s="50"/>
      <c r="E269" s="128"/>
      <c r="F269" s="50">
        <f>SUM(F266:F268)</f>
        <v>0</v>
      </c>
      <c r="G269" s="50"/>
      <c r="H269" s="52">
        <f>SUM(H266:H268)</f>
        <v>0</v>
      </c>
      <c r="I269" s="53">
        <f>ROUND((E266*F266+E267*F267+E268*F268),2)</f>
        <v>0</v>
      </c>
      <c r="N269" s="255"/>
      <c r="O269" s="255"/>
      <c r="P269" s="255"/>
    </row>
    <row r="270" spans="1:16" s="43" customFormat="1" ht="18" customHeight="1">
      <c r="A270" s="1"/>
      <c r="B270" s="124" t="str">
        <f>B268</f>
        <v>6单银Low-E+12A+6</v>
      </c>
      <c r="C270" s="133">
        <f t="shared" ref="C270:D272" si="48">D150</f>
        <v>-160</v>
      </c>
      <c r="D270" s="133">
        <f t="shared" si="48"/>
        <v>-160</v>
      </c>
      <c r="E270" s="32">
        <f t="shared" si="27"/>
        <v>2.5600000000000001E-2</v>
      </c>
      <c r="F270" s="134">
        <f>G150</f>
        <v>0</v>
      </c>
      <c r="G270" s="135">
        <f>G268</f>
        <v>148</v>
      </c>
      <c r="H270" s="134">
        <f>ROUND(E270*G270*F270,2)</f>
        <v>0</v>
      </c>
      <c r="I270" s="136" t="s">
        <v>173</v>
      </c>
      <c r="N270" s="255"/>
      <c r="O270" s="255"/>
      <c r="P270" s="255"/>
    </row>
    <row r="271" spans="1:16" s="43" customFormat="1" ht="18" customHeight="1">
      <c r="A271" s="1"/>
      <c r="B271" s="124" t="str">
        <f>B270</f>
        <v>6单银Low-E+12A+6</v>
      </c>
      <c r="C271" s="133">
        <f t="shared" si="48"/>
        <v>-160</v>
      </c>
      <c r="D271" s="133">
        <f t="shared" si="48"/>
        <v>-160</v>
      </c>
      <c r="E271" s="32">
        <f t="shared" si="27"/>
        <v>2.5600000000000001E-2</v>
      </c>
      <c r="F271" s="134">
        <f>G151</f>
        <v>0</v>
      </c>
      <c r="G271" s="135">
        <f>G270</f>
        <v>148</v>
      </c>
      <c r="H271" s="134">
        <f>ROUND(E271*G271*F271,2)</f>
        <v>0</v>
      </c>
      <c r="I271" s="136" t="s">
        <v>173</v>
      </c>
      <c r="N271" s="255"/>
      <c r="O271" s="255"/>
      <c r="P271" s="255"/>
    </row>
    <row r="272" spans="1:16" s="43" customFormat="1" ht="18" customHeight="1">
      <c r="A272" s="1"/>
      <c r="B272" s="124" t="str">
        <f>B271</f>
        <v>6单银Low-E+12A+6</v>
      </c>
      <c r="C272" s="133">
        <f t="shared" si="48"/>
        <v>-160</v>
      </c>
      <c r="D272" s="133">
        <f t="shared" si="48"/>
        <v>-160</v>
      </c>
      <c r="E272" s="32">
        <f t="shared" si="27"/>
        <v>2.5600000000000001E-2</v>
      </c>
      <c r="F272" s="134">
        <f>G152</f>
        <v>0</v>
      </c>
      <c r="G272" s="135">
        <f>G271</f>
        <v>148</v>
      </c>
      <c r="H272" s="134">
        <f>ROUND(E272*G272*F272,2)</f>
        <v>0</v>
      </c>
      <c r="I272" s="136" t="s">
        <v>173</v>
      </c>
      <c r="N272" s="255"/>
      <c r="O272" s="255"/>
      <c r="P272" s="255"/>
    </row>
    <row r="273" spans="1:16" s="43" customFormat="1" ht="18" customHeight="1">
      <c r="A273" s="1"/>
      <c r="B273" s="48" t="s">
        <v>175</v>
      </c>
      <c r="C273" s="52"/>
      <c r="D273" s="50"/>
      <c r="E273" s="128"/>
      <c r="F273" s="50">
        <f>SUM(F270:F272)</f>
        <v>0</v>
      </c>
      <c r="G273" s="50"/>
      <c r="H273" s="52">
        <f>SUM(H270:H272)</f>
        <v>0</v>
      </c>
      <c r="I273" s="53">
        <f>ROUND((E270*F270+E271*F271+E272*F272),2)</f>
        <v>0</v>
      </c>
      <c r="N273" s="255"/>
      <c r="O273" s="255"/>
      <c r="P273" s="255"/>
    </row>
    <row r="274" spans="1:16" ht="18" customHeight="1">
      <c r="B274" s="124" t="str">
        <f>B272</f>
        <v>6单银Low-E+12A+6</v>
      </c>
      <c r="C274" s="133">
        <f t="shared" ref="C274:D279" si="49">D157-12</f>
        <v>-12</v>
      </c>
      <c r="D274" s="133">
        <f t="shared" si="49"/>
        <v>-12</v>
      </c>
      <c r="E274" s="32">
        <f t="shared" si="27"/>
        <v>1.44E-4</v>
      </c>
      <c r="F274" s="134">
        <f t="shared" ref="F274:F279" si="50">G157</f>
        <v>0</v>
      </c>
      <c r="G274" s="135">
        <f>G272</f>
        <v>148</v>
      </c>
      <c r="H274" s="134">
        <f t="shared" ref="H274:H279" si="51">ROUND(E274*G274*F274,2)</f>
        <v>0</v>
      </c>
      <c r="I274" s="136" t="s">
        <v>176</v>
      </c>
    </row>
    <row r="275" spans="1:16" ht="18" customHeight="1">
      <c r="B275" s="124" t="str">
        <f>B274</f>
        <v>6单银Low-E+12A+6</v>
      </c>
      <c r="C275" s="133">
        <f t="shared" si="49"/>
        <v>-12</v>
      </c>
      <c r="D275" s="133">
        <f t="shared" si="49"/>
        <v>-12</v>
      </c>
      <c r="E275" s="32">
        <f t="shared" si="27"/>
        <v>1.44E-4</v>
      </c>
      <c r="F275" s="134">
        <f t="shared" si="50"/>
        <v>0</v>
      </c>
      <c r="G275" s="135">
        <f>G274</f>
        <v>148</v>
      </c>
      <c r="H275" s="134">
        <f t="shared" si="51"/>
        <v>0</v>
      </c>
      <c r="I275" s="136" t="str">
        <f>I274</f>
        <v>门钢化中空玻璃</v>
      </c>
      <c r="K275" s="43" t="s">
        <v>177</v>
      </c>
    </row>
    <row r="276" spans="1:16" ht="18" customHeight="1">
      <c r="B276" s="124" t="str">
        <f>B275</f>
        <v>6单银Low-E+12A+6</v>
      </c>
      <c r="C276" s="133">
        <f t="shared" si="49"/>
        <v>-12</v>
      </c>
      <c r="D276" s="133">
        <f t="shared" si="49"/>
        <v>-12</v>
      </c>
      <c r="E276" s="32">
        <f t="shared" si="27"/>
        <v>1.44E-4</v>
      </c>
      <c r="F276" s="134">
        <f t="shared" si="50"/>
        <v>0</v>
      </c>
      <c r="G276" s="135">
        <f>G275</f>
        <v>148</v>
      </c>
      <c r="H276" s="134">
        <f t="shared" si="51"/>
        <v>0</v>
      </c>
      <c r="I276" s="136" t="str">
        <f>I275</f>
        <v>门钢化中空玻璃</v>
      </c>
    </row>
    <row r="277" spans="1:16" ht="18" customHeight="1">
      <c r="B277" s="124" t="str">
        <f>B276</f>
        <v>6单银Low-E+12A+6</v>
      </c>
      <c r="C277" s="133">
        <f t="shared" si="49"/>
        <v>-12</v>
      </c>
      <c r="D277" s="133">
        <f t="shared" si="49"/>
        <v>-12</v>
      </c>
      <c r="E277" s="32">
        <f t="shared" si="27"/>
        <v>1.44E-4</v>
      </c>
      <c r="F277" s="134">
        <f t="shared" si="50"/>
        <v>0</v>
      </c>
      <c r="G277" s="135">
        <f>G276</f>
        <v>148</v>
      </c>
      <c r="H277" s="134">
        <f t="shared" si="51"/>
        <v>0</v>
      </c>
      <c r="I277" s="136" t="str">
        <f>I276</f>
        <v>门钢化中空玻璃</v>
      </c>
    </row>
    <row r="278" spans="1:16" ht="18" customHeight="1">
      <c r="B278" s="124" t="str">
        <f>B277</f>
        <v>6单银Low-E+12A+6</v>
      </c>
      <c r="C278" s="133">
        <f t="shared" si="49"/>
        <v>-12</v>
      </c>
      <c r="D278" s="133">
        <f t="shared" si="49"/>
        <v>-12</v>
      </c>
      <c r="E278" s="32">
        <f t="shared" si="27"/>
        <v>1.44E-4</v>
      </c>
      <c r="F278" s="134">
        <f t="shared" si="50"/>
        <v>0</v>
      </c>
      <c r="G278" s="135">
        <f>G277</f>
        <v>148</v>
      </c>
      <c r="H278" s="134">
        <f t="shared" si="51"/>
        <v>0</v>
      </c>
      <c r="I278" s="136" t="str">
        <f>I277</f>
        <v>门钢化中空玻璃</v>
      </c>
    </row>
    <row r="279" spans="1:16" ht="18" customHeight="1">
      <c r="B279" s="124" t="str">
        <f>B278</f>
        <v>6单银Low-E+12A+6</v>
      </c>
      <c r="C279" s="133">
        <f t="shared" si="49"/>
        <v>-12</v>
      </c>
      <c r="D279" s="133">
        <f t="shared" si="49"/>
        <v>-12</v>
      </c>
      <c r="E279" s="32">
        <f t="shared" si="27"/>
        <v>1.44E-4</v>
      </c>
      <c r="F279" s="134">
        <f t="shared" si="50"/>
        <v>0</v>
      </c>
      <c r="G279" s="135">
        <f>G278</f>
        <v>148</v>
      </c>
      <c r="H279" s="134">
        <f t="shared" si="51"/>
        <v>0</v>
      </c>
      <c r="I279" s="136" t="str">
        <f>I278</f>
        <v>门钢化中空玻璃</v>
      </c>
    </row>
    <row r="280" spans="1:16" ht="18" customHeight="1">
      <c r="B280" s="48" t="s">
        <v>178</v>
      </c>
      <c r="C280" s="52"/>
      <c r="D280" s="50"/>
      <c r="E280" s="128"/>
      <c r="F280" s="50">
        <f>SUM(F274:F279)</f>
        <v>0</v>
      </c>
      <c r="G280" s="50"/>
      <c r="H280" s="52">
        <f>SUM(H274:H279)</f>
        <v>0</v>
      </c>
      <c r="I280" s="53">
        <f>ROUND(SUMPRODUCT(E274:E279*F274:F279),2)</f>
        <v>0</v>
      </c>
    </row>
    <row r="281" spans="1:16" ht="18" customHeight="1">
      <c r="B281" s="124" t="str">
        <f>材料价格!A10</f>
        <v>6单银Low-E+12A+6</v>
      </c>
      <c r="C281" s="133">
        <f>C252</f>
        <v>-12</v>
      </c>
      <c r="D281" s="133">
        <f>D252</f>
        <v>-12</v>
      </c>
      <c r="E281" s="32">
        <f t="shared" si="27"/>
        <v>1.44E-4</v>
      </c>
      <c r="F281" s="134"/>
      <c r="G281" s="137">
        <f>材料价格!B10</f>
        <v>148</v>
      </c>
      <c r="H281" s="134">
        <f>ROUND(E281*G281*F281,2)</f>
        <v>0</v>
      </c>
      <c r="I281" s="247" t="s">
        <v>179</v>
      </c>
    </row>
    <row r="282" spans="1:16" ht="18" customHeight="1">
      <c r="B282" s="124" t="str">
        <f>B281</f>
        <v>6单银Low-E+12A+6</v>
      </c>
      <c r="C282" s="133">
        <f>C253</f>
        <v>-12</v>
      </c>
      <c r="D282" s="133">
        <f>D253</f>
        <v>-12</v>
      </c>
      <c r="E282" s="32">
        <f t="shared" si="27"/>
        <v>1.44E-4</v>
      </c>
      <c r="F282" s="134"/>
      <c r="G282" s="135">
        <f>G281</f>
        <v>148</v>
      </c>
      <c r="H282" s="134">
        <f>ROUND(E282*G282*F282,2)</f>
        <v>0</v>
      </c>
      <c r="I282" s="247" t="s">
        <v>179</v>
      </c>
      <c r="J282" s="255"/>
      <c r="K282" s="255"/>
      <c r="L282" s="255"/>
      <c r="M282" s="255"/>
    </row>
    <row r="283" spans="1:16" ht="18" customHeight="1">
      <c r="B283" s="124" t="str">
        <f>B282</f>
        <v>6单银Low-E+12A+6</v>
      </c>
      <c r="C283" s="133">
        <f>D84-12</f>
        <v>-12</v>
      </c>
      <c r="D283" s="133">
        <f>E84-12</f>
        <v>-12</v>
      </c>
      <c r="E283" s="32">
        <f t="shared" si="27"/>
        <v>1.44E-4</v>
      </c>
      <c r="F283" s="134">
        <f>G84</f>
        <v>0</v>
      </c>
      <c r="G283" s="135">
        <f>G282</f>
        <v>148</v>
      </c>
      <c r="H283" s="134">
        <f>ROUND(E283*G283*F283,2)</f>
        <v>0</v>
      </c>
      <c r="I283" s="247" t="s">
        <v>179</v>
      </c>
      <c r="J283" s="255"/>
      <c r="K283" s="255"/>
      <c r="L283" s="255"/>
      <c r="M283" s="255"/>
    </row>
    <row r="284" spans="1:16" ht="18" customHeight="1">
      <c r="B284" s="124" t="str">
        <f>B283</f>
        <v>6单银Low-E+12A+6</v>
      </c>
      <c r="C284" s="133">
        <f>D85-12</f>
        <v>-12</v>
      </c>
      <c r="D284" s="133">
        <f>E85-12</f>
        <v>-12</v>
      </c>
      <c r="E284" s="32">
        <f t="shared" si="27"/>
        <v>1.44E-4</v>
      </c>
      <c r="F284" s="134">
        <f>G85</f>
        <v>0</v>
      </c>
      <c r="G284" s="135">
        <f>G283</f>
        <v>148</v>
      </c>
      <c r="H284" s="134">
        <f>ROUND(E284*G284*F284,2)</f>
        <v>0</v>
      </c>
      <c r="I284" s="247" t="s">
        <v>179</v>
      </c>
      <c r="J284" s="255"/>
      <c r="K284" s="255"/>
      <c r="L284" s="255"/>
      <c r="M284" s="255"/>
    </row>
    <row r="285" spans="1:16" ht="18" customHeight="1">
      <c r="B285" s="48" t="s">
        <v>180</v>
      </c>
      <c r="C285" s="52"/>
      <c r="D285" s="50"/>
      <c r="E285" s="50"/>
      <c r="F285" s="50">
        <f>SUM(F281:F284)</f>
        <v>0</v>
      </c>
      <c r="G285" s="50"/>
      <c r="H285" s="52">
        <f>SUM(H281:H284)</f>
        <v>0</v>
      </c>
      <c r="I285" s="53">
        <f>ROUND((E281*F281+E282*F282+E283*F283+E284*F284),2)</f>
        <v>0</v>
      </c>
      <c r="J285" s="255"/>
      <c r="K285" s="255"/>
      <c r="L285" s="255"/>
      <c r="M285" s="255"/>
    </row>
    <row r="286" spans="1:16" ht="18" customHeight="1">
      <c r="B286" s="124" t="str">
        <f>材料价格!A11</f>
        <v>8单银Low-E+12Ar+8+12A+8mm</v>
      </c>
      <c r="C286" s="133"/>
      <c r="D286" s="133"/>
      <c r="E286" s="32">
        <f>C286*D286/10^6</f>
        <v>0</v>
      </c>
      <c r="F286" s="134"/>
      <c r="G286" s="137">
        <f>材料价格!B11</f>
        <v>312</v>
      </c>
      <c r="H286" s="134">
        <f>ROUND(E286*G286*F286,2)</f>
        <v>0</v>
      </c>
      <c r="I286" s="247" t="s">
        <v>181</v>
      </c>
      <c r="J286" s="255"/>
      <c r="K286" s="255"/>
      <c r="L286" s="255"/>
      <c r="M286" s="255"/>
    </row>
    <row r="287" spans="1:16" ht="18" customHeight="1">
      <c r="B287" s="124" t="str">
        <f>B286</f>
        <v>8单银Low-E+12Ar+8+12A+8mm</v>
      </c>
      <c r="C287" s="133"/>
      <c r="D287" s="133"/>
      <c r="E287" s="32">
        <f>C287*D287/10^6</f>
        <v>0</v>
      </c>
      <c r="F287" s="134"/>
      <c r="G287" s="135">
        <f>G286</f>
        <v>312</v>
      </c>
      <c r="H287" s="134">
        <f>ROUND(E287*G287*F287,2)</f>
        <v>0</v>
      </c>
      <c r="I287" s="247" t="s">
        <v>181</v>
      </c>
      <c r="J287" s="255"/>
      <c r="K287" s="255"/>
      <c r="L287" s="255"/>
      <c r="M287" s="255"/>
    </row>
    <row r="288" spans="1:16" ht="18" customHeight="1">
      <c r="B288" s="138" t="str">
        <f>材料价格!A12</f>
        <v>10单银Low-E+12Ar+10+12A+10mm</v>
      </c>
      <c r="C288" s="139"/>
      <c r="D288" s="139"/>
      <c r="E288" s="140">
        <f>C288*D288/10^6</f>
        <v>0</v>
      </c>
      <c r="F288" s="141"/>
      <c r="G288" s="142">
        <f>材料价格!B12</f>
        <v>395</v>
      </c>
      <c r="H288" s="141">
        <f>ROUND(E288*G288*F288,2)</f>
        <v>0</v>
      </c>
      <c r="I288" s="143" t="s">
        <v>181</v>
      </c>
      <c r="J288" s="255"/>
      <c r="K288" s="255"/>
      <c r="L288" s="255"/>
      <c r="M288" s="255"/>
    </row>
    <row r="289" spans="2:13" ht="18" customHeight="1">
      <c r="B289" s="138" t="str">
        <f>B288</f>
        <v>10单银Low-E+12Ar+10+12A+10mm</v>
      </c>
      <c r="C289" s="139"/>
      <c r="D289" s="139"/>
      <c r="E289" s="140">
        <f>C289*D289/10^6</f>
        <v>0</v>
      </c>
      <c r="F289" s="141"/>
      <c r="G289" s="142">
        <f>G288</f>
        <v>395</v>
      </c>
      <c r="H289" s="141">
        <f>ROUND(E289*G289*F289,2)</f>
        <v>0</v>
      </c>
      <c r="I289" s="143" t="s">
        <v>181</v>
      </c>
      <c r="J289" s="255"/>
      <c r="K289" s="255"/>
      <c r="L289" s="255"/>
      <c r="M289" s="255"/>
    </row>
    <row r="290" spans="2:13" ht="18" customHeight="1">
      <c r="B290" s="48" t="s">
        <v>180</v>
      </c>
      <c r="C290" s="52"/>
      <c r="D290" s="50"/>
      <c r="E290" s="50"/>
      <c r="F290" s="50">
        <f>SUM(F286:F289)</f>
        <v>0</v>
      </c>
      <c r="G290" s="50"/>
      <c r="H290" s="52">
        <f>SUM(H286:H289)</f>
        <v>0</v>
      </c>
      <c r="I290" s="53">
        <f>ROUND((E286*F286+E287*F287+E288*F288+E289*F289),2)</f>
        <v>0</v>
      </c>
      <c r="J290" s="255"/>
      <c r="K290" s="255"/>
      <c r="L290" s="255"/>
      <c r="M290" s="255"/>
    </row>
    <row r="291" spans="2:13" ht="18" customHeight="1">
      <c r="B291" s="642" t="s">
        <v>182</v>
      </c>
      <c r="C291" s="144" t="s">
        <v>183</v>
      </c>
      <c r="D291" s="144" cm="1">
        <f t="array" ref="D291">SUMPRODUCT(E225:E232*F225:F232)+SUMPRODUCT(E243:E249*F243:F249)</f>
        <v>1.282896</v>
      </c>
      <c r="E291" s="144" t="s">
        <v>184</v>
      </c>
      <c r="F291" s="145">
        <f>F233+F250</f>
        <v>5</v>
      </c>
      <c r="G291" s="145" t="s">
        <v>185</v>
      </c>
      <c r="H291" s="144">
        <f>H233+H250</f>
        <v>189.87</v>
      </c>
      <c r="I291" s="146">
        <f>H291/F366</f>
        <v>88.624906646751313</v>
      </c>
      <c r="J291" s="255"/>
      <c r="K291" s="255"/>
      <c r="L291" s="255"/>
      <c r="M291" s="255"/>
    </row>
    <row r="292" spans="2:13" ht="18" customHeight="1">
      <c r="B292" s="642"/>
      <c r="C292" s="144" t="s">
        <v>186</v>
      </c>
      <c r="D292" s="144">
        <f>SUMPRODUCT(E234:E241*F234:F241)+SUMPRODUCT(E251:E257*F251:F257)+SUMPRODUCT(E259:E264*F259:F264)+SUMPRODUCT(E266:E268*F266:F268)+SUMPRODUCT(E270:E272*F270:F272)+SUMPRODUCT(E281:E284*F281:F284)+SUMPRODUCT(E286:E289*F286:F289)+SUMPRODUCT(E274:E279*F274:F279)</f>
        <v>0</v>
      </c>
      <c r="E292" s="144" t="s">
        <v>186</v>
      </c>
      <c r="F292" s="145">
        <f>F242+F258+F265+F269+F273+F285+F290+F280</f>
        <v>0</v>
      </c>
      <c r="G292" s="145" t="s">
        <v>185</v>
      </c>
      <c r="H292" s="144">
        <f>H242+H258+H265+H269+H273+H280+H285+H290</f>
        <v>0</v>
      </c>
      <c r="I292" s="146">
        <f>H292/F366</f>
        <v>0</v>
      </c>
      <c r="J292" s="255"/>
      <c r="K292" s="255"/>
      <c r="L292" s="255"/>
      <c r="M292" s="255"/>
    </row>
    <row r="293" spans="2:13" ht="18" customHeight="1">
      <c r="B293" s="23" t="s">
        <v>187</v>
      </c>
      <c r="C293" s="252" t="s">
        <v>188</v>
      </c>
      <c r="D293" s="68" t="s">
        <v>189</v>
      </c>
      <c r="E293" s="252" t="s">
        <v>8</v>
      </c>
      <c r="F293" s="252" t="s">
        <v>190</v>
      </c>
      <c r="G293" s="252" t="s">
        <v>191</v>
      </c>
      <c r="H293" s="252" t="s">
        <v>160</v>
      </c>
      <c r="I293" s="25" t="s">
        <v>1</v>
      </c>
      <c r="J293" s="255"/>
      <c r="K293" s="255"/>
      <c r="L293" s="255"/>
      <c r="M293" s="255"/>
    </row>
    <row r="294" spans="2:13" ht="18" customHeight="1">
      <c r="B294" s="629" t="s">
        <v>192</v>
      </c>
      <c r="C294" s="253">
        <f>D26</f>
        <v>0</v>
      </c>
      <c r="D294" s="250"/>
      <c r="E294" s="250"/>
      <c r="F294" s="250" t="s">
        <v>193</v>
      </c>
      <c r="G294" s="108">
        <f>材料价格!B14</f>
        <v>153</v>
      </c>
      <c r="H294" s="147">
        <f>E294*G294</f>
        <v>0</v>
      </c>
      <c r="I294" s="632" t="s">
        <v>194</v>
      </c>
      <c r="J294" s="255"/>
      <c r="K294" s="255"/>
      <c r="L294" s="255"/>
      <c r="M294" s="255"/>
    </row>
    <row r="295" spans="2:13" ht="18" customHeight="1">
      <c r="B295" s="629"/>
      <c r="C295" s="253"/>
      <c r="D295" s="250"/>
      <c r="E295" s="250"/>
      <c r="F295" s="250"/>
      <c r="G295" s="108"/>
      <c r="H295" s="147">
        <f t="shared" ref="H295:H303" si="52">E295*G295</f>
        <v>0</v>
      </c>
      <c r="I295" s="633"/>
      <c r="J295" s="255"/>
      <c r="K295" s="255"/>
      <c r="L295" s="255"/>
      <c r="M295" s="255"/>
    </row>
    <row r="296" spans="2:13" ht="18" customHeight="1">
      <c r="B296" s="629" t="s">
        <v>195</v>
      </c>
      <c r="C296" s="253"/>
      <c r="D296" s="148"/>
      <c r="E296" s="250"/>
      <c r="F296" s="250" t="str">
        <f>F294</f>
        <v>坚朗</v>
      </c>
      <c r="G296" s="108">
        <f>材料价格!B15</f>
        <v>80</v>
      </c>
      <c r="H296" s="147">
        <f t="shared" si="52"/>
        <v>0</v>
      </c>
      <c r="I296" s="632" t="s">
        <v>196</v>
      </c>
      <c r="J296" s="255"/>
      <c r="K296" s="255"/>
      <c r="L296" s="255"/>
      <c r="M296" s="255"/>
    </row>
    <row r="297" spans="2:13" ht="18" customHeight="1">
      <c r="B297" s="629"/>
      <c r="C297" s="253"/>
      <c r="D297" s="148"/>
      <c r="E297" s="250"/>
      <c r="F297" s="250"/>
      <c r="G297" s="108"/>
      <c r="H297" s="147">
        <f t="shared" si="52"/>
        <v>0</v>
      </c>
      <c r="I297" s="633"/>
      <c r="J297" s="255"/>
      <c r="K297" s="255"/>
      <c r="L297" s="255"/>
      <c r="M297" s="255"/>
    </row>
    <row r="298" spans="2:13" ht="18" customHeight="1">
      <c r="B298" s="629" t="s">
        <v>197</v>
      </c>
      <c r="C298" s="253"/>
      <c r="D298" s="148"/>
      <c r="E298" s="250">
        <v>2</v>
      </c>
      <c r="F298" s="250" t="str">
        <f>F296</f>
        <v>坚朗</v>
      </c>
      <c r="G298" s="108">
        <f>材料价格!B16</f>
        <v>88</v>
      </c>
      <c r="H298" s="147">
        <f t="shared" si="52"/>
        <v>176</v>
      </c>
      <c r="I298" s="633"/>
      <c r="J298" s="255"/>
      <c r="K298" s="255"/>
      <c r="L298" s="255"/>
      <c r="M298" s="255"/>
    </row>
    <row r="299" spans="2:13" ht="18" customHeight="1">
      <c r="B299" s="629"/>
      <c r="C299" s="253"/>
      <c r="D299" s="148"/>
      <c r="E299" s="250"/>
      <c r="F299" s="250"/>
      <c r="G299" s="108"/>
      <c r="H299" s="147">
        <f t="shared" si="52"/>
        <v>0</v>
      </c>
      <c r="I299" s="633"/>
      <c r="J299" s="255"/>
      <c r="K299" s="255"/>
      <c r="L299" s="255"/>
      <c r="M299" s="255"/>
    </row>
    <row r="300" spans="2:13" ht="18" customHeight="1">
      <c r="B300" s="629" t="s">
        <v>198</v>
      </c>
      <c r="C300" s="253">
        <f>D35</f>
        <v>410</v>
      </c>
      <c r="D300" s="148"/>
      <c r="E300" s="250"/>
      <c r="F300" s="250" t="str">
        <f>F298</f>
        <v>坚朗</v>
      </c>
      <c r="G300" s="108">
        <f>材料价格!B17</f>
        <v>115</v>
      </c>
      <c r="H300" s="147">
        <f t="shared" si="52"/>
        <v>0</v>
      </c>
      <c r="I300" s="149"/>
      <c r="J300" s="255"/>
      <c r="K300" s="255"/>
      <c r="L300" s="255"/>
      <c r="M300" s="255"/>
    </row>
    <row r="301" spans="2:13" ht="18" customHeight="1">
      <c r="B301" s="629"/>
      <c r="C301" s="253"/>
      <c r="D301" s="148"/>
      <c r="E301" s="250"/>
      <c r="F301" s="250"/>
      <c r="G301" s="108"/>
      <c r="H301" s="147">
        <f t="shared" si="52"/>
        <v>0</v>
      </c>
      <c r="I301" s="149"/>
      <c r="J301" s="255"/>
      <c r="K301" s="255"/>
      <c r="L301" s="255"/>
      <c r="M301" s="255"/>
    </row>
    <row r="302" spans="2:13" ht="18" customHeight="1">
      <c r="B302" s="629" t="s">
        <v>199</v>
      </c>
      <c r="C302" s="250" t="s">
        <v>200</v>
      </c>
      <c r="D302" s="148"/>
      <c r="E302" s="250"/>
      <c r="F302" s="250" t="str">
        <f>F300</f>
        <v>坚朗</v>
      </c>
      <c r="G302" s="108">
        <f>材料价格!B19</f>
        <v>230</v>
      </c>
      <c r="H302" s="147">
        <f t="shared" si="52"/>
        <v>0</v>
      </c>
      <c r="I302" s="247"/>
      <c r="J302" s="255"/>
      <c r="K302" s="255"/>
      <c r="L302" s="255"/>
      <c r="M302" s="255"/>
    </row>
    <row r="303" spans="2:13" ht="18" customHeight="1">
      <c r="B303" s="629"/>
      <c r="C303" s="250" t="s">
        <v>201</v>
      </c>
      <c r="D303" s="148"/>
      <c r="E303" s="250"/>
      <c r="F303" s="250" t="str">
        <f>F302</f>
        <v>坚朗</v>
      </c>
      <c r="G303" s="108">
        <f>材料价格!B20</f>
        <v>335</v>
      </c>
      <c r="H303" s="147">
        <f t="shared" si="52"/>
        <v>0</v>
      </c>
      <c r="I303" s="247"/>
      <c r="J303" s="255"/>
      <c r="K303" s="255"/>
      <c r="L303" s="255"/>
      <c r="M303" s="255"/>
    </row>
    <row r="304" spans="2:13" ht="18" customHeight="1">
      <c r="B304" s="150" t="s">
        <v>202</v>
      </c>
      <c r="C304" s="50"/>
      <c r="D304" s="50"/>
      <c r="E304" s="50">
        <f>SUM(E294:E303)</f>
        <v>2</v>
      </c>
      <c r="F304" s="50"/>
      <c r="G304" s="166"/>
      <c r="H304" s="151">
        <f>SUM(H294:H303)</f>
        <v>176</v>
      </c>
      <c r="I304" s="152"/>
      <c r="J304" s="42"/>
    </row>
    <row r="305" spans="1:16" ht="18" customHeight="1">
      <c r="B305" s="246" t="s">
        <v>300</v>
      </c>
      <c r="C305" s="250"/>
      <c r="D305" s="148"/>
      <c r="E305" s="253">
        <f>E294+E296</f>
        <v>0</v>
      </c>
      <c r="F305" s="148"/>
      <c r="G305" s="148">
        <f>材料价格!B27</f>
        <v>0</v>
      </c>
      <c r="H305" s="154">
        <f>E305*G305</f>
        <v>0</v>
      </c>
      <c r="I305" s="247" t="s">
        <v>203</v>
      </c>
    </row>
    <row r="306" spans="1:16" s="16" customFormat="1" ht="18" customHeight="1">
      <c r="A306" s="1"/>
      <c r="B306" s="246" t="s">
        <v>204</v>
      </c>
      <c r="C306" s="250"/>
      <c r="D306" s="148"/>
      <c r="E306" s="253">
        <f>E298+E299+E300+E301</f>
        <v>2</v>
      </c>
      <c r="F306" s="148"/>
      <c r="G306" s="148">
        <f>材料价格!B28</f>
        <v>118</v>
      </c>
      <c r="H306" s="154">
        <f>E306*G306</f>
        <v>236</v>
      </c>
      <c r="I306" s="247" t="s">
        <v>205</v>
      </c>
      <c r="J306" s="43"/>
      <c r="K306" s="43"/>
      <c r="L306" s="43"/>
      <c r="M306" s="43"/>
      <c r="N306" s="255"/>
      <c r="O306" s="255"/>
      <c r="P306" s="255"/>
    </row>
    <row r="307" spans="1:16" s="16" customFormat="1" ht="18" customHeight="1">
      <c r="A307" s="1"/>
      <c r="B307" s="246" t="s">
        <v>206</v>
      </c>
      <c r="C307" s="250"/>
      <c r="D307" s="148"/>
      <c r="E307" s="253"/>
      <c r="F307" s="148"/>
      <c r="G307" s="148"/>
      <c r="H307" s="154">
        <f>E307*G307</f>
        <v>0</v>
      </c>
      <c r="I307" s="247" t="s">
        <v>207</v>
      </c>
      <c r="J307" s="43"/>
      <c r="K307" s="43"/>
      <c r="L307" s="43"/>
      <c r="M307" s="43"/>
      <c r="N307" s="255"/>
      <c r="O307" s="255"/>
      <c r="P307" s="255"/>
    </row>
    <row r="308" spans="1:16" s="16" customFormat="1" ht="18" customHeight="1">
      <c r="A308" s="1"/>
      <c r="B308" s="150" t="s">
        <v>208</v>
      </c>
      <c r="C308" s="50"/>
      <c r="D308" s="50"/>
      <c r="E308" s="100">
        <f>SUM(E305:E307)</f>
        <v>2</v>
      </c>
      <c r="F308" s="50"/>
      <c r="G308" s="166"/>
      <c r="H308" s="155">
        <f>SUM(H305:H307)</f>
        <v>236</v>
      </c>
      <c r="I308" s="152"/>
      <c r="J308" s="43"/>
      <c r="K308" s="43"/>
      <c r="L308" s="43"/>
      <c r="M308" s="43"/>
      <c r="N308" s="255"/>
      <c r="O308" s="255"/>
      <c r="P308" s="255"/>
    </row>
    <row r="309" spans="1:16" s="16" customFormat="1" ht="18" customHeight="1">
      <c r="A309" s="1"/>
      <c r="B309" s="156" t="s">
        <v>209</v>
      </c>
      <c r="C309" s="157">
        <f>ROUND(IF(D4&lt;=200,4,0)+IF(D4&gt;200,(D4/200+1))+IF(E4&lt;=200,4,0)+IF(E4&gt;200,(E4/200+1)),0)</f>
        <v>18</v>
      </c>
      <c r="D309" s="148"/>
      <c r="E309" s="148"/>
      <c r="F309" s="148"/>
      <c r="G309" s="158">
        <v>0.5</v>
      </c>
      <c r="H309" s="159">
        <f>ROUND(C309*G309,2)</f>
        <v>9</v>
      </c>
      <c r="I309" s="247" t="s">
        <v>210</v>
      </c>
      <c r="J309" s="43"/>
      <c r="K309" s="43"/>
      <c r="L309" s="43"/>
      <c r="M309" s="43"/>
      <c r="N309" s="255"/>
      <c r="O309" s="255"/>
      <c r="P309" s="255"/>
    </row>
    <row r="310" spans="1:16" s="16" customFormat="1" ht="18" customHeight="1">
      <c r="A310" s="1"/>
      <c r="B310" s="156" t="s">
        <v>211</v>
      </c>
      <c r="C310" s="157">
        <f>C309*2</f>
        <v>36</v>
      </c>
      <c r="D310" s="148">
        <f>D309*2</f>
        <v>0</v>
      </c>
      <c r="E310" s="148"/>
      <c r="F310" s="148"/>
      <c r="G310" s="158">
        <v>0.3</v>
      </c>
      <c r="H310" s="159">
        <f>ROUND(C310*G310,2)</f>
        <v>10.8</v>
      </c>
      <c r="I310" s="247" t="s">
        <v>212</v>
      </c>
      <c r="J310" s="43"/>
      <c r="K310" s="43"/>
      <c r="L310" s="255"/>
      <c r="M310" s="255"/>
      <c r="N310" s="255"/>
      <c r="O310" s="255"/>
      <c r="P310" s="255"/>
    </row>
    <row r="311" spans="1:16" s="16" customFormat="1" ht="18" customHeight="1">
      <c r="A311" s="1"/>
      <c r="B311" s="160" t="s">
        <v>213</v>
      </c>
      <c r="C311" s="161">
        <f>F6</f>
        <v>2.1114000000000002</v>
      </c>
      <c r="D311" s="162"/>
      <c r="E311" s="162"/>
      <c r="F311" s="162"/>
      <c r="G311" s="163">
        <v>5</v>
      </c>
      <c r="H311" s="159">
        <f>ROUND(C311*G311,2)</f>
        <v>10.56</v>
      </c>
      <c r="I311" s="247"/>
      <c r="J311" s="43"/>
      <c r="K311" s="43"/>
      <c r="L311" s="255"/>
      <c r="M311" s="255"/>
      <c r="N311" s="255"/>
      <c r="O311" s="255"/>
      <c r="P311" s="255"/>
    </row>
    <row r="312" spans="1:16" s="16" customFormat="1" ht="18" customHeight="1">
      <c r="A312" s="1"/>
      <c r="B312" s="160" t="s">
        <v>214</v>
      </c>
      <c r="C312" s="161"/>
      <c r="D312" s="162"/>
      <c r="E312" s="162"/>
      <c r="F312" s="162"/>
      <c r="G312" s="163"/>
      <c r="H312" s="159">
        <f>ROUND(C312*G312,2)</f>
        <v>0</v>
      </c>
      <c r="I312" s="247"/>
      <c r="J312" s="43"/>
      <c r="K312" s="43"/>
      <c r="L312" s="255"/>
      <c r="M312" s="255"/>
      <c r="N312" s="255"/>
      <c r="O312" s="255"/>
      <c r="P312" s="255"/>
    </row>
    <row r="313" spans="1:16" s="16" customFormat="1" ht="18" customHeight="1">
      <c r="A313" s="1"/>
      <c r="B313" s="164" t="s">
        <v>397</v>
      </c>
      <c r="C313" s="161">
        <f>D291+D292</f>
        <v>1.282896</v>
      </c>
      <c r="D313" s="162"/>
      <c r="E313" s="162"/>
      <c r="F313" s="162"/>
      <c r="G313" s="163">
        <f>10+5</f>
        <v>15</v>
      </c>
      <c r="H313" s="159">
        <f>ROUND(C313*G313,2)</f>
        <v>19.239999999999998</v>
      </c>
      <c r="I313" s="247"/>
      <c r="J313" s="43"/>
      <c r="K313" s="43"/>
      <c r="L313" s="255"/>
      <c r="M313" s="255"/>
      <c r="N313" s="255"/>
      <c r="O313" s="255"/>
      <c r="P313" s="255"/>
    </row>
    <row r="314" spans="1:16" s="16" customFormat="1" ht="18" customHeight="1">
      <c r="A314" s="1"/>
      <c r="B314" s="150" t="s">
        <v>215</v>
      </c>
      <c r="C314" s="165"/>
      <c r="D314" s="50"/>
      <c r="E314" s="50"/>
      <c r="F314" s="50"/>
      <c r="G314" s="166"/>
      <c r="H314" s="155">
        <f>SUM(H309:H313)</f>
        <v>49.599999999999994</v>
      </c>
      <c r="I314" s="152"/>
      <c r="J314" s="43"/>
      <c r="K314" s="43"/>
      <c r="L314" s="255"/>
      <c r="M314" s="255"/>
      <c r="N314" s="255"/>
      <c r="O314" s="255"/>
      <c r="P314" s="255"/>
    </row>
    <row r="315" spans="1:16" s="16" customFormat="1" ht="18" customHeight="1">
      <c r="A315" s="1"/>
      <c r="B315" s="156" t="s">
        <v>216</v>
      </c>
      <c r="C315" s="167">
        <f>E203+E205+E207+I203+I205+E209+I207</f>
        <v>24</v>
      </c>
      <c r="D315" s="148"/>
      <c r="E315" s="148"/>
      <c r="F315" s="148"/>
      <c r="G315" s="168">
        <v>1.9</v>
      </c>
      <c r="H315" s="154">
        <f t="shared" ref="H315:H318" si="53">ROUND(C315*G315,2)</f>
        <v>45.6</v>
      </c>
      <c r="I315" s="224" t="s">
        <v>340</v>
      </c>
      <c r="J315" s="255"/>
      <c r="K315" s="43"/>
      <c r="L315" s="255"/>
      <c r="M315" s="255"/>
      <c r="N315" s="255"/>
      <c r="O315" s="255"/>
      <c r="P315" s="255"/>
    </row>
    <row r="316" spans="1:16" s="16" customFormat="1" ht="18" customHeight="1">
      <c r="A316" s="1"/>
      <c r="B316" s="156" t="s">
        <v>217</v>
      </c>
      <c r="C316" s="167">
        <f>ROUND((D4+E4)*2/1000,2)</f>
        <v>6.5</v>
      </c>
      <c r="D316" s="148"/>
      <c r="E316" s="238">
        <v>4</v>
      </c>
      <c r="F316" s="235">
        <f>材料价格!B25</f>
        <v>8.52</v>
      </c>
      <c r="G316" s="168">
        <f t="shared" ref="G316:G321" si="54">F316/E316</f>
        <v>2.13</v>
      </c>
      <c r="H316" s="154">
        <f t="shared" si="53"/>
        <v>13.85</v>
      </c>
      <c r="I316" s="169" t="s">
        <v>218</v>
      </c>
      <c r="J316" s="255"/>
      <c r="K316" s="43"/>
      <c r="L316" s="255"/>
      <c r="M316" s="255"/>
      <c r="N316" s="255"/>
      <c r="O316" s="255"/>
      <c r="P316" s="255"/>
    </row>
    <row r="317" spans="1:16" s="16" customFormat="1" ht="18" customHeight="1">
      <c r="A317" s="1"/>
      <c r="B317" s="156" t="s">
        <v>219</v>
      </c>
      <c r="C317" s="167">
        <f>C316</f>
        <v>6.5</v>
      </c>
      <c r="D317" s="148"/>
      <c r="E317" s="238">
        <v>3</v>
      </c>
      <c r="F317" s="235">
        <f>F316</f>
        <v>8.52</v>
      </c>
      <c r="G317" s="168">
        <f t="shared" si="54"/>
        <v>2.84</v>
      </c>
      <c r="H317" s="154">
        <f t="shared" si="53"/>
        <v>18.46</v>
      </c>
      <c r="I317" s="169" t="s">
        <v>220</v>
      </c>
      <c r="J317" s="255"/>
      <c r="K317" s="43"/>
      <c r="L317" s="255"/>
      <c r="M317" s="255"/>
      <c r="N317" s="255"/>
      <c r="O317" s="255"/>
      <c r="P317" s="255"/>
    </row>
    <row r="318" spans="1:16" s="16" customFormat="1" ht="18" customHeight="1">
      <c r="A318" s="1"/>
      <c r="B318" s="156" t="s">
        <v>221</v>
      </c>
      <c r="C318" s="167">
        <f>C316</f>
        <v>6.5</v>
      </c>
      <c r="D318" s="148"/>
      <c r="E318" s="238">
        <v>6.5</v>
      </c>
      <c r="F318" s="235">
        <f>材料价格!B26</f>
        <v>23</v>
      </c>
      <c r="G318" s="168">
        <f t="shared" si="54"/>
        <v>3.5384615384615383</v>
      </c>
      <c r="H318" s="154">
        <f t="shared" si="53"/>
        <v>23</v>
      </c>
      <c r="I318" s="224" t="s">
        <v>222</v>
      </c>
      <c r="J318" s="255"/>
      <c r="K318" s="43"/>
      <c r="L318" s="255"/>
      <c r="M318" s="255"/>
      <c r="N318" s="255"/>
      <c r="O318" s="255"/>
      <c r="P318" s="255"/>
    </row>
    <row r="319" spans="1:16" s="16" customFormat="1" ht="18" customHeight="1">
      <c r="A319" s="1"/>
      <c r="B319" s="156" t="s">
        <v>341</v>
      </c>
      <c r="C319" s="167">
        <f>ROUND((C97+C104+C88+C146+C153+C163)*1,2)</f>
        <v>10.92</v>
      </c>
      <c r="D319" s="77">
        <v>1</v>
      </c>
      <c r="E319" s="238">
        <f>10</f>
        <v>10</v>
      </c>
      <c r="F319" s="235">
        <f>F317</f>
        <v>8.52</v>
      </c>
      <c r="G319" s="168">
        <f>F319/E319</f>
        <v>0.85199999999999998</v>
      </c>
      <c r="H319" s="154">
        <f>ROUND(C319*G319,2)</f>
        <v>9.3000000000000007</v>
      </c>
      <c r="I319" s="247" t="s">
        <v>223</v>
      </c>
      <c r="J319" s="255"/>
      <c r="K319" s="43"/>
      <c r="L319" s="255"/>
      <c r="M319" s="255"/>
      <c r="N319" s="255"/>
      <c r="O319" s="255"/>
      <c r="P319" s="255"/>
    </row>
    <row r="320" spans="1:16" s="16" customFormat="1" ht="18" customHeight="1">
      <c r="A320" s="1"/>
      <c r="B320" s="156" t="s">
        <v>342</v>
      </c>
      <c r="C320" s="167">
        <f>C319</f>
        <v>10.92</v>
      </c>
      <c r="D320" s="77">
        <v>1</v>
      </c>
      <c r="E320" s="238">
        <v>6</v>
      </c>
      <c r="F320" s="235">
        <f>F319</f>
        <v>8.52</v>
      </c>
      <c r="G320" s="168">
        <f t="shared" si="54"/>
        <v>1.42</v>
      </c>
      <c r="H320" s="154">
        <f>ROUND(C320*G320,2)</f>
        <v>15.51</v>
      </c>
      <c r="I320" s="247" t="s">
        <v>224</v>
      </c>
      <c r="J320" s="255"/>
      <c r="K320" s="170"/>
      <c r="L320" s="170"/>
      <c r="M320" s="170"/>
      <c r="N320" s="170"/>
      <c r="O320" s="170"/>
      <c r="P320" s="170"/>
    </row>
    <row r="321" spans="1:16" s="16" customFormat="1" ht="18" customHeight="1">
      <c r="A321" s="1"/>
      <c r="B321" s="156" t="s">
        <v>225</v>
      </c>
      <c r="C321" s="167">
        <f>C334*D334+C324*D324+C327*D327</f>
        <v>2.76</v>
      </c>
      <c r="D321" s="77">
        <v>1</v>
      </c>
      <c r="E321" s="238">
        <f>10</f>
        <v>10</v>
      </c>
      <c r="F321" s="235">
        <f>F317</f>
        <v>8.52</v>
      </c>
      <c r="G321" s="168">
        <f t="shared" si="54"/>
        <v>0.85199999999999998</v>
      </c>
      <c r="H321" s="154">
        <f>ROUND(C321*G321,2)</f>
        <v>2.35</v>
      </c>
      <c r="I321" s="247" t="s">
        <v>226</v>
      </c>
      <c r="J321" s="255"/>
      <c r="K321" s="170"/>
      <c r="L321" s="170"/>
      <c r="M321" s="170"/>
      <c r="N321" s="170"/>
      <c r="O321" s="170"/>
      <c r="P321" s="170"/>
    </row>
    <row r="322" spans="1:16" s="16" customFormat="1" ht="18" customHeight="1">
      <c r="A322" s="1"/>
      <c r="B322" s="150" t="s">
        <v>227</v>
      </c>
      <c r="C322" s="165"/>
      <c r="D322" s="50"/>
      <c r="E322" s="50"/>
      <c r="F322" s="50"/>
      <c r="G322" s="166" t="s">
        <v>396</v>
      </c>
      <c r="H322" s="155">
        <f>SUM(H315:H321)</f>
        <v>128.07</v>
      </c>
      <c r="I322" s="152"/>
      <c r="J322" s="244" t="s">
        <v>399</v>
      </c>
      <c r="K322" s="245" t="s">
        <v>379</v>
      </c>
      <c r="L322" s="170"/>
      <c r="M322" s="170"/>
      <c r="N322" s="170"/>
      <c r="O322" s="170"/>
      <c r="P322" s="170"/>
    </row>
    <row r="323" spans="1:16" s="16" customFormat="1" ht="18" customHeight="1">
      <c r="A323" s="1"/>
      <c r="B323" s="156" t="s">
        <v>356</v>
      </c>
      <c r="C323" s="167">
        <f>C31</f>
        <v>0</v>
      </c>
      <c r="D323" s="239">
        <v>1</v>
      </c>
      <c r="E323" s="148"/>
      <c r="F323" s="148"/>
      <c r="G323" s="236">
        <f>0.45+0.85</f>
        <v>1.3</v>
      </c>
      <c r="H323" s="154">
        <f>ROUND(C323*D323*G323,2)</f>
        <v>0</v>
      </c>
      <c r="I323" s="247" t="s">
        <v>345</v>
      </c>
      <c r="J323" s="244">
        <v>1.76</v>
      </c>
      <c r="K323" s="245" t="s">
        <v>400</v>
      </c>
      <c r="L323" s="170"/>
      <c r="M323" s="171"/>
      <c r="N323" s="170"/>
      <c r="O323" s="170"/>
      <c r="P323" s="170"/>
    </row>
    <row r="324" spans="1:16" s="16" customFormat="1" ht="18" customHeight="1">
      <c r="A324" s="1"/>
      <c r="B324" s="156" t="s">
        <v>347</v>
      </c>
      <c r="C324" s="167">
        <f>C323</f>
        <v>0</v>
      </c>
      <c r="D324" s="239">
        <v>1</v>
      </c>
      <c r="E324" s="148"/>
      <c r="F324" s="148"/>
      <c r="G324" s="236">
        <v>6.89</v>
      </c>
      <c r="H324" s="154">
        <f t="shared" ref="H324:H329" si="55">ROUND(C324*D324*G324,2)</f>
        <v>0</v>
      </c>
      <c r="I324" s="247" t="s">
        <v>346</v>
      </c>
      <c r="J324" s="244">
        <v>12.25</v>
      </c>
      <c r="K324" s="245" t="s">
        <v>376</v>
      </c>
      <c r="L324" s="170"/>
      <c r="M324" s="171"/>
      <c r="N324" s="170"/>
      <c r="O324" s="170"/>
      <c r="P324" s="170"/>
    </row>
    <row r="325" spans="1:16" s="16" customFormat="1" ht="18" customHeight="1">
      <c r="A325" s="1"/>
      <c r="B325" s="156" t="s">
        <v>357</v>
      </c>
      <c r="C325" s="167">
        <f>C38</f>
        <v>5.64</v>
      </c>
      <c r="D325" s="239">
        <v>1</v>
      </c>
      <c r="E325" s="148"/>
      <c r="F325" s="148"/>
      <c r="G325" s="236">
        <f>0.85+0.61</f>
        <v>1.46</v>
      </c>
      <c r="H325" s="154">
        <f t="shared" si="55"/>
        <v>8.23</v>
      </c>
      <c r="I325" s="247" t="s">
        <v>354</v>
      </c>
      <c r="J325" s="244">
        <v>1.76</v>
      </c>
      <c r="K325" s="245" t="s">
        <v>378</v>
      </c>
      <c r="L325" s="170"/>
      <c r="M325" s="171"/>
      <c r="N325" s="170"/>
      <c r="O325" s="170"/>
      <c r="P325" s="170"/>
    </row>
    <row r="326" spans="1:16" s="16" customFormat="1" ht="18" customHeight="1">
      <c r="A326" s="1"/>
      <c r="B326" s="156" t="s">
        <v>355</v>
      </c>
      <c r="C326" s="167">
        <f>C325</f>
        <v>5.64</v>
      </c>
      <c r="D326" s="239">
        <v>1</v>
      </c>
      <c r="E326" s="148"/>
      <c r="F326" s="148"/>
      <c r="G326" s="236">
        <v>3.27</v>
      </c>
      <c r="H326" s="154">
        <f>ROUND(C326*D326*G326,2)</f>
        <v>18.440000000000001</v>
      </c>
      <c r="I326" s="247" t="s">
        <v>358</v>
      </c>
      <c r="J326" s="244">
        <v>3.27</v>
      </c>
      <c r="K326" s="245" t="s">
        <v>358</v>
      </c>
      <c r="L326" s="170"/>
      <c r="M326" s="171"/>
      <c r="N326" s="170"/>
      <c r="O326" s="170"/>
      <c r="P326" s="170"/>
    </row>
    <row r="327" spans="1:16" s="16" customFormat="1" ht="18" customHeight="1">
      <c r="A327" s="1"/>
      <c r="B327" s="156" t="s">
        <v>228</v>
      </c>
      <c r="C327" s="167">
        <f>C126</f>
        <v>0</v>
      </c>
      <c r="D327" s="239">
        <v>1</v>
      </c>
      <c r="E327" s="110"/>
      <c r="F327" s="148"/>
      <c r="G327" s="236">
        <v>6.89</v>
      </c>
      <c r="H327" s="154">
        <f t="shared" si="55"/>
        <v>0</v>
      </c>
      <c r="I327" s="247" t="s">
        <v>346</v>
      </c>
      <c r="J327" s="244">
        <v>12.25</v>
      </c>
      <c r="K327" s="245" t="s">
        <v>346</v>
      </c>
      <c r="L327" s="170"/>
      <c r="M327" s="171"/>
      <c r="N327" s="170"/>
      <c r="O327" s="170"/>
      <c r="P327" s="170"/>
    </row>
    <row r="328" spans="1:16" s="16" customFormat="1" ht="18" customHeight="1">
      <c r="A328" s="1"/>
      <c r="B328" s="156" t="s">
        <v>229</v>
      </c>
      <c r="C328" s="167">
        <f>C327</f>
        <v>0</v>
      </c>
      <c r="D328" s="239">
        <v>1</v>
      </c>
      <c r="E328" s="110"/>
      <c r="F328" s="148"/>
      <c r="G328" s="236">
        <f>G3233</f>
        <v>0</v>
      </c>
      <c r="H328" s="154">
        <f t="shared" si="55"/>
        <v>0</v>
      </c>
      <c r="I328" s="247" t="s">
        <v>345</v>
      </c>
      <c r="J328" s="244">
        <v>0</v>
      </c>
      <c r="K328" s="245" t="s">
        <v>400</v>
      </c>
      <c r="L328" s="170"/>
      <c r="M328" s="171"/>
      <c r="N328" s="170"/>
      <c r="O328" s="170"/>
      <c r="P328" s="170"/>
    </row>
    <row r="329" spans="1:16" s="16" customFormat="1" ht="18" customHeight="1">
      <c r="A329" s="1"/>
      <c r="B329" s="156" t="s">
        <v>230</v>
      </c>
      <c r="C329" s="167">
        <f>C119</f>
        <v>0</v>
      </c>
      <c r="D329" s="239">
        <v>1</v>
      </c>
      <c r="E329" s="148"/>
      <c r="F329" s="148"/>
      <c r="G329" s="236">
        <f>G3253</f>
        <v>0</v>
      </c>
      <c r="H329" s="154">
        <f t="shared" si="55"/>
        <v>0</v>
      </c>
      <c r="I329" s="247" t="s">
        <v>354</v>
      </c>
      <c r="J329" s="244">
        <v>0</v>
      </c>
      <c r="K329" s="245" t="s">
        <v>378</v>
      </c>
      <c r="L329" s="170"/>
      <c r="M329" s="171"/>
      <c r="N329" s="170"/>
      <c r="O329" s="170"/>
      <c r="P329" s="170"/>
    </row>
    <row r="330" spans="1:16" s="16" customFormat="1" ht="18" customHeight="1">
      <c r="A330" s="1"/>
      <c r="B330" s="156" t="s">
        <v>362</v>
      </c>
      <c r="C330" s="167">
        <f>C329</f>
        <v>0</v>
      </c>
      <c r="D330" s="239">
        <v>1</v>
      </c>
      <c r="E330" s="148"/>
      <c r="F330" s="148"/>
      <c r="G330" s="236">
        <v>3.27</v>
      </c>
      <c r="H330" s="154">
        <f>ROUND(C330*D330*G330,2)</f>
        <v>0</v>
      </c>
      <c r="I330" s="247" t="s">
        <v>358</v>
      </c>
      <c r="J330" s="244">
        <v>3.27</v>
      </c>
      <c r="K330" s="245" t="s">
        <v>358</v>
      </c>
      <c r="L330" s="170"/>
      <c r="M330" s="171"/>
      <c r="N330" s="170"/>
      <c r="O330" s="170"/>
      <c r="P330" s="170"/>
    </row>
    <row r="331" spans="1:16" s="16" customFormat="1" ht="18" customHeight="1">
      <c r="A331" s="1"/>
      <c r="B331" s="156" t="s">
        <v>343</v>
      </c>
      <c r="C331" s="167">
        <f>C319</f>
        <v>10.92</v>
      </c>
      <c r="D331" s="239">
        <v>1</v>
      </c>
      <c r="E331" s="148"/>
      <c r="F331" s="148"/>
      <c r="G331" s="236">
        <v>1.25</v>
      </c>
      <c r="H331" s="154">
        <f>C331*D331*G331</f>
        <v>13.65</v>
      </c>
      <c r="I331" s="247" t="s">
        <v>344</v>
      </c>
      <c r="J331" s="244">
        <v>1.25</v>
      </c>
      <c r="K331" s="245" t="s">
        <v>344</v>
      </c>
      <c r="L331" s="170"/>
      <c r="M331" s="171"/>
      <c r="N331" s="170"/>
      <c r="O331" s="170"/>
      <c r="P331" s="170"/>
    </row>
    <row r="332" spans="1:16" s="16" customFormat="1" ht="18" customHeight="1">
      <c r="A332" s="1"/>
      <c r="B332" s="156" t="s">
        <v>350</v>
      </c>
      <c r="C332" s="167" cm="1">
        <f t="array" ref="C332">SUMPRODUCT(D26:D30*G26:G30)/1000</f>
        <v>0</v>
      </c>
      <c r="D332" s="239">
        <v>1</v>
      </c>
      <c r="E332" s="148"/>
      <c r="F332" s="148"/>
      <c r="G332" s="236">
        <v>0.41</v>
      </c>
      <c r="H332" s="154">
        <f>C332*D332*G332</f>
        <v>0</v>
      </c>
      <c r="I332" s="247" t="s">
        <v>348</v>
      </c>
      <c r="J332" s="244">
        <v>0.41</v>
      </c>
      <c r="K332" s="245" t="s">
        <v>348</v>
      </c>
      <c r="L332" s="170"/>
      <c r="M332" s="171"/>
      <c r="N332" s="170"/>
      <c r="O332" s="170"/>
      <c r="P332" s="170"/>
    </row>
    <row r="333" spans="1:16" s="16" customFormat="1" ht="18" customHeight="1">
      <c r="A333" s="1"/>
      <c r="B333" s="156" t="s">
        <v>349</v>
      </c>
      <c r="C333" s="167">
        <f>C88+C97+C104+C153+C163+C146</f>
        <v>10.923999999999999</v>
      </c>
      <c r="D333" s="239">
        <v>1</v>
      </c>
      <c r="E333" s="148"/>
      <c r="F333" s="148"/>
      <c r="G333" s="236">
        <v>0.49</v>
      </c>
      <c r="H333" s="154">
        <f>C333*D333*G333</f>
        <v>5.35276</v>
      </c>
      <c r="I333" s="247" t="s">
        <v>351</v>
      </c>
      <c r="J333" s="244">
        <v>0.49</v>
      </c>
      <c r="K333" s="245" t="s">
        <v>351</v>
      </c>
      <c r="L333" s="170"/>
      <c r="M333" s="171"/>
      <c r="N333" s="170"/>
      <c r="O333" s="170"/>
      <c r="P333" s="170"/>
    </row>
    <row r="334" spans="1:16" s="16" customFormat="1" ht="18" customHeight="1">
      <c r="A334" s="1"/>
      <c r="B334" s="156" t="s">
        <v>353</v>
      </c>
      <c r="C334" s="167">
        <f t="array" ref="C334">SUMPRODUCT(D157:D162*G157:G162)/1000+SUM(G157:G162)*0.3+SUMPRODUCT(D68:D87*G68:G87)/1000+SUM(G68:G87)*0.3</f>
        <v>2.76</v>
      </c>
      <c r="D334" s="239">
        <v>1</v>
      </c>
      <c r="E334" s="148"/>
      <c r="F334" s="148"/>
      <c r="G334" s="237">
        <v>5.36</v>
      </c>
      <c r="H334" s="154">
        <f>C334*G334</f>
        <v>14.7936</v>
      </c>
      <c r="I334" s="247" t="s">
        <v>352</v>
      </c>
      <c r="J334" s="244">
        <v>9.5500000000000007</v>
      </c>
      <c r="K334" s="245" t="s">
        <v>377</v>
      </c>
      <c r="L334" s="170"/>
      <c r="M334" s="171"/>
      <c r="N334" s="170"/>
      <c r="O334" s="170"/>
      <c r="P334" s="170"/>
    </row>
    <row r="335" spans="1:16" s="16" customFormat="1" ht="18" customHeight="1">
      <c r="A335" s="1"/>
      <c r="B335" s="156" t="s">
        <v>364</v>
      </c>
      <c r="C335" s="167">
        <f>C319</f>
        <v>10.92</v>
      </c>
      <c r="D335" s="239">
        <v>1</v>
      </c>
      <c r="E335" s="148"/>
      <c r="F335" s="148"/>
      <c r="G335" s="237">
        <v>1.25</v>
      </c>
      <c r="H335" s="154"/>
      <c r="I335" s="149" t="s">
        <v>363</v>
      </c>
      <c r="J335" s="244">
        <v>1.25</v>
      </c>
      <c r="K335" s="245" t="s">
        <v>363</v>
      </c>
      <c r="L335" s="170"/>
      <c r="M335" s="171"/>
      <c r="N335" s="170"/>
      <c r="O335" s="170"/>
      <c r="P335" s="170"/>
    </row>
    <row r="336" spans="1:16" s="16" customFormat="1" ht="18" customHeight="1">
      <c r="A336" s="1"/>
      <c r="B336" s="156" t="s">
        <v>365</v>
      </c>
      <c r="C336" s="167">
        <f>C320</f>
        <v>10.92</v>
      </c>
      <c r="D336" s="239">
        <v>1</v>
      </c>
      <c r="E336" s="148"/>
      <c r="F336" s="148"/>
      <c r="G336" s="237">
        <v>1.63</v>
      </c>
      <c r="H336" s="154"/>
      <c r="I336" s="149" t="s">
        <v>363</v>
      </c>
      <c r="J336" s="244">
        <v>1.63</v>
      </c>
      <c r="K336" s="245" t="s">
        <v>363</v>
      </c>
      <c r="L336" s="170"/>
      <c r="M336" s="171"/>
      <c r="N336" s="170"/>
      <c r="O336" s="170"/>
      <c r="P336" s="170"/>
    </row>
    <row r="337" spans="1:16" s="16" customFormat="1" ht="18" customHeight="1">
      <c r="A337" s="1"/>
      <c r="B337" s="150" t="s">
        <v>231</v>
      </c>
      <c r="C337" s="165"/>
      <c r="D337" s="50"/>
      <c r="E337" s="50"/>
      <c r="F337" s="50"/>
      <c r="G337" s="166"/>
      <c r="H337" s="155">
        <f>SUM(H323:H336)*1.05</f>
        <v>63.489677999999998</v>
      </c>
      <c r="I337" s="152"/>
      <c r="J337" s="172"/>
      <c r="K337" s="170"/>
      <c r="L337" s="170"/>
      <c r="M337" s="170"/>
      <c r="N337" s="170"/>
      <c r="O337" s="170"/>
      <c r="P337" s="170"/>
    </row>
    <row r="338" spans="1:16" s="16" customFormat="1" ht="18" customHeight="1">
      <c r="A338" s="1"/>
      <c r="B338" s="173" t="s">
        <v>366</v>
      </c>
      <c r="C338" s="174">
        <f>F250+F258+F265+F280+F285+F290</f>
        <v>3</v>
      </c>
      <c r="D338" s="175">
        <v>2</v>
      </c>
      <c r="E338" s="176"/>
      <c r="F338" s="176"/>
      <c r="G338" s="240">
        <v>0.5</v>
      </c>
      <c r="H338" s="177">
        <f t="shared" ref="H338:H343" si="56">D338*G338*C338</f>
        <v>3</v>
      </c>
      <c r="I338" s="178" t="s">
        <v>233</v>
      </c>
      <c r="J338" s="172"/>
      <c r="K338" s="170"/>
      <c r="L338" s="170"/>
      <c r="M338" s="170"/>
      <c r="N338" s="170"/>
      <c r="O338" s="170"/>
      <c r="P338" s="170"/>
    </row>
    <row r="339" spans="1:16" s="16" customFormat="1" ht="18" customHeight="1">
      <c r="A339" s="1"/>
      <c r="B339" s="173" t="s">
        <v>367</v>
      </c>
      <c r="C339" s="174">
        <f>F233+F242+F269+F273</f>
        <v>2</v>
      </c>
      <c r="D339" s="175">
        <v>4</v>
      </c>
      <c r="E339" s="176"/>
      <c r="F339" s="176"/>
      <c r="G339" s="240">
        <v>0.63</v>
      </c>
      <c r="H339" s="177">
        <f t="shared" si="56"/>
        <v>5.04</v>
      </c>
      <c r="I339" s="178" t="s">
        <v>234</v>
      </c>
      <c r="J339" s="172"/>
      <c r="K339" s="170"/>
      <c r="L339" s="170"/>
      <c r="M339" s="170"/>
      <c r="N339" s="170"/>
      <c r="O339" s="170"/>
      <c r="P339" s="170"/>
    </row>
    <row r="340" spans="1:16" s="16" customFormat="1" ht="18" customHeight="1">
      <c r="A340" s="1"/>
      <c r="B340" s="173" t="s">
        <v>366</v>
      </c>
      <c r="C340" s="174">
        <f>SUM(G157:G162)</f>
        <v>0</v>
      </c>
      <c r="D340" s="175">
        <f>IF(E113&gt;2200,2,0)</f>
        <v>0</v>
      </c>
      <c r="E340" s="176"/>
      <c r="F340" s="176"/>
      <c r="G340" s="240">
        <v>0.5</v>
      </c>
      <c r="H340" s="177">
        <f t="shared" si="56"/>
        <v>0</v>
      </c>
      <c r="I340" s="178" t="s">
        <v>235</v>
      </c>
      <c r="J340" s="172"/>
      <c r="K340" s="170"/>
      <c r="L340" s="170"/>
      <c r="M340" s="170"/>
      <c r="N340" s="170"/>
      <c r="O340" s="170"/>
      <c r="P340" s="170"/>
    </row>
    <row r="341" spans="1:16" s="16" customFormat="1" ht="18" customHeight="1">
      <c r="A341" s="1"/>
      <c r="B341" s="173" t="s">
        <v>367</v>
      </c>
      <c r="C341" s="174">
        <f>SUM(G116:G118)</f>
        <v>0</v>
      </c>
      <c r="D341" s="175">
        <v>4</v>
      </c>
      <c r="E341" s="176"/>
      <c r="F341" s="176"/>
      <c r="G341" s="240">
        <v>0.63</v>
      </c>
      <c r="H341" s="177">
        <f t="shared" si="56"/>
        <v>0</v>
      </c>
      <c r="I341" s="178" t="s">
        <v>236</v>
      </c>
      <c r="J341" s="172"/>
      <c r="K341" s="170"/>
      <c r="L341" s="170"/>
      <c r="M341" s="170"/>
      <c r="N341" s="170"/>
      <c r="O341" s="170"/>
      <c r="P341" s="170"/>
    </row>
    <row r="342" spans="1:16" ht="18" customHeight="1">
      <c r="B342" s="173" t="s">
        <v>237</v>
      </c>
      <c r="C342" s="174">
        <v>1</v>
      </c>
      <c r="D342" s="175">
        <f>(F291+F292)*10</f>
        <v>50</v>
      </c>
      <c r="E342" s="176"/>
      <c r="F342" s="176"/>
      <c r="G342" s="240">
        <v>0.37</v>
      </c>
      <c r="H342" s="177">
        <f t="shared" si="56"/>
        <v>18.5</v>
      </c>
      <c r="I342" s="178"/>
      <c r="J342" s="172"/>
      <c r="K342" s="172"/>
      <c r="L342" s="172"/>
      <c r="N342" s="43"/>
    </row>
    <row r="343" spans="1:16" ht="18" customHeight="1">
      <c r="B343" s="173" t="s">
        <v>232</v>
      </c>
      <c r="C343" s="174">
        <f>C338</f>
        <v>3</v>
      </c>
      <c r="D343" s="175">
        <v>0</v>
      </c>
      <c r="E343" s="176"/>
      <c r="F343" s="176"/>
      <c r="G343" s="240">
        <v>0.49</v>
      </c>
      <c r="H343" s="177">
        <f t="shared" si="56"/>
        <v>0</v>
      </c>
      <c r="I343" s="178" t="s">
        <v>238</v>
      </c>
      <c r="J343" s="172"/>
      <c r="K343" s="172"/>
      <c r="L343" s="172"/>
      <c r="N343" s="43"/>
    </row>
    <row r="344" spans="1:16" ht="18" customHeight="1">
      <c r="B344" s="156" t="s">
        <v>239</v>
      </c>
      <c r="C344" s="157"/>
      <c r="D344" s="250">
        <f>E203+E205*2+E207*2+I203+I205*2+I207*2</f>
        <v>24</v>
      </c>
      <c r="E344" s="148"/>
      <c r="F344" s="148"/>
      <c r="G344" s="148">
        <v>0.2</v>
      </c>
      <c r="H344" s="179">
        <f>D344*G344</f>
        <v>4.8000000000000007</v>
      </c>
      <c r="I344" s="247" t="s">
        <v>368</v>
      </c>
      <c r="J344" s="172"/>
      <c r="K344" s="172"/>
      <c r="L344" s="172"/>
    </row>
    <row r="345" spans="1:16" ht="18" customHeight="1">
      <c r="B345" s="156" t="s">
        <v>240</v>
      </c>
      <c r="C345" s="157"/>
      <c r="D345" s="250">
        <f>4*(E52+E53+E54+E55+G52+G53+G54+G55+G60+G61+G62+G63+E130+E131+E132+G130+G131+G132+G137+G138)</f>
        <v>12</v>
      </c>
      <c r="E345" s="148"/>
      <c r="F345" s="148"/>
      <c r="G345" s="148">
        <v>0.22</v>
      </c>
      <c r="H345" s="179">
        <f>D345*G345</f>
        <v>2.64</v>
      </c>
      <c r="I345" s="247" t="s">
        <v>241</v>
      </c>
      <c r="J345" s="172"/>
      <c r="K345" s="172"/>
      <c r="L345" s="172"/>
    </row>
    <row r="346" spans="1:16" ht="18" customHeight="1">
      <c r="B346" s="156" t="s">
        <v>242</v>
      </c>
      <c r="C346" s="157"/>
      <c r="D346" s="250">
        <f>D345/2</f>
        <v>6</v>
      </c>
      <c r="E346" s="148"/>
      <c r="F346" s="148"/>
      <c r="G346" s="148">
        <v>0.22</v>
      </c>
      <c r="H346" s="179">
        <f>ROUND(D346*G346,2)</f>
        <v>1.32</v>
      </c>
      <c r="I346" s="247" t="s">
        <v>243</v>
      </c>
      <c r="J346" s="172"/>
      <c r="K346" s="172"/>
      <c r="L346" s="172"/>
    </row>
    <row r="347" spans="1:16" ht="18" customHeight="1">
      <c r="B347" s="156" t="s">
        <v>369</v>
      </c>
      <c r="C347" s="157"/>
      <c r="D347" s="250">
        <f>D346</f>
        <v>6</v>
      </c>
      <c r="E347" s="148"/>
      <c r="F347" s="148"/>
      <c r="G347" s="148">
        <v>1.37</v>
      </c>
      <c r="H347" s="179">
        <f>ROUND(D347*G347,2)</f>
        <v>8.2200000000000006</v>
      </c>
      <c r="I347" s="247" t="s">
        <v>370</v>
      </c>
      <c r="J347" s="172"/>
      <c r="K347" s="172"/>
      <c r="L347" s="172"/>
    </row>
    <row r="348" spans="1:16" ht="18" customHeight="1">
      <c r="B348" s="156" t="s">
        <v>244</v>
      </c>
      <c r="C348" s="157"/>
      <c r="D348" s="250">
        <f>(F291+F292)*2</f>
        <v>10</v>
      </c>
      <c r="E348" s="148"/>
      <c r="F348" s="148"/>
      <c r="G348" s="148">
        <v>0.48</v>
      </c>
      <c r="H348" s="179">
        <f>ROUND(D348*G348,2)</f>
        <v>4.8</v>
      </c>
      <c r="I348" s="247" t="s">
        <v>245</v>
      </c>
      <c r="J348" s="255"/>
    </row>
    <row r="349" spans="1:16" ht="18" customHeight="1">
      <c r="B349" s="156" t="s">
        <v>246</v>
      </c>
      <c r="C349" s="157"/>
      <c r="D349" s="250">
        <f>ROUND((D4+E4-240)*2/200+E217*F217/200,0)</f>
        <v>35</v>
      </c>
      <c r="E349" s="148"/>
      <c r="F349" s="148"/>
      <c r="G349" s="148">
        <v>0.05</v>
      </c>
      <c r="H349" s="179">
        <f>ROUND(D349*G349,2)</f>
        <v>1.75</v>
      </c>
      <c r="I349" s="247" t="s">
        <v>247</v>
      </c>
      <c r="J349" s="255"/>
    </row>
    <row r="350" spans="1:16" ht="18" customHeight="1">
      <c r="B350" s="150" t="s">
        <v>248</v>
      </c>
      <c r="C350" s="165"/>
      <c r="D350" s="50"/>
      <c r="E350" s="50"/>
      <c r="F350" s="50"/>
      <c r="G350" s="166"/>
      <c r="H350" s="155">
        <f>SUM(H338:H349)</f>
        <v>50.069999999999993</v>
      </c>
      <c r="I350" s="152"/>
    </row>
    <row r="351" spans="1:16" ht="18" customHeight="1">
      <c r="B351" s="156" t="s">
        <v>359</v>
      </c>
      <c r="C351" s="157"/>
      <c r="D351" s="250">
        <f>SUMPRODUCT(G26:G30)*8+SUMPRODUCT(G35:G37)*8+SUMPRODUCT(G116:G118)*8+SUMPRODUCT(G123:G125)*8</f>
        <v>16</v>
      </c>
      <c r="E351" s="148"/>
      <c r="F351" s="148"/>
      <c r="G351" s="148">
        <v>1.26</v>
      </c>
      <c r="H351" s="154">
        <f>ROUND(D351*G351,2)</f>
        <v>20.16</v>
      </c>
      <c r="I351" s="247" t="s">
        <v>386</v>
      </c>
    </row>
    <row r="352" spans="1:16" ht="18" customHeight="1">
      <c r="B352" s="156" t="s">
        <v>360</v>
      </c>
      <c r="C352" s="157"/>
      <c r="D352" s="250">
        <f>G26*4+G27*4+G28*4+G29*4+G30*4</f>
        <v>0</v>
      </c>
      <c r="E352" s="148"/>
      <c r="F352" s="148"/>
      <c r="G352" s="148">
        <v>2</v>
      </c>
      <c r="H352" s="154">
        <f>ROUND(D352*G352,2)</f>
        <v>0</v>
      </c>
      <c r="I352" s="247" t="s">
        <v>361</v>
      </c>
    </row>
    <row r="353" spans="1:22" ht="18" customHeight="1">
      <c r="B353" s="156" t="s">
        <v>249</v>
      </c>
      <c r="C353" s="157"/>
      <c r="D353" s="250"/>
      <c r="E353" s="148"/>
      <c r="F353" s="148"/>
      <c r="G353" s="148">
        <v>1.6</v>
      </c>
      <c r="H353" s="154"/>
      <c r="I353" s="247"/>
    </row>
    <row r="354" spans="1:22" ht="18" customHeight="1">
      <c r="B354" s="156" t="s">
        <v>250</v>
      </c>
      <c r="C354" s="157"/>
      <c r="D354" s="44">
        <f>C22+C31+C38+C48+C56+C64+C112+C119+C126+C133+C139+C199</f>
        <v>22.5</v>
      </c>
      <c r="E354" s="148"/>
      <c r="F354" s="148"/>
      <c r="G354" s="179">
        <v>4</v>
      </c>
      <c r="H354" s="154">
        <f t="shared" ref="H354:H356" si="57">ROUND(D354*G354,2)</f>
        <v>90</v>
      </c>
      <c r="I354" s="247"/>
    </row>
    <row r="355" spans="1:22" ht="18" customHeight="1">
      <c r="B355" s="156" t="s">
        <v>251</v>
      </c>
      <c r="C355" s="157" t="s">
        <v>252</v>
      </c>
      <c r="D355" s="44">
        <f>C88+C163</f>
        <v>6.26</v>
      </c>
      <c r="E355" s="148"/>
      <c r="F355" s="148"/>
      <c r="G355" s="179">
        <v>3.15</v>
      </c>
      <c r="H355" s="154">
        <f t="shared" si="57"/>
        <v>19.72</v>
      </c>
      <c r="I355" s="247"/>
    </row>
    <row r="356" spans="1:22" ht="18" customHeight="1">
      <c r="B356" s="156" t="s">
        <v>253</v>
      </c>
      <c r="C356" s="157" t="s">
        <v>254</v>
      </c>
      <c r="D356" s="44">
        <f>C97+C104+C146+C153</f>
        <v>4.6639999999999997</v>
      </c>
      <c r="E356" s="148"/>
      <c r="F356" s="148"/>
      <c r="G356" s="179">
        <v>3.65</v>
      </c>
      <c r="H356" s="154">
        <f t="shared" si="57"/>
        <v>17.02</v>
      </c>
      <c r="I356" s="247"/>
    </row>
    <row r="357" spans="1:22" ht="18" customHeight="1">
      <c r="B357" s="156" t="s">
        <v>387</v>
      </c>
      <c r="C357" s="157"/>
      <c r="D357" s="44">
        <f>F291+F292</f>
        <v>5</v>
      </c>
      <c r="E357" s="148"/>
      <c r="F357" s="148"/>
      <c r="G357" s="179">
        <v>6</v>
      </c>
      <c r="H357" s="154"/>
      <c r="I357" s="247"/>
    </row>
    <row r="358" spans="1:22" ht="18" customHeight="1">
      <c r="B358" s="156" t="s">
        <v>255</v>
      </c>
      <c r="C358" s="157"/>
      <c r="D358" s="180">
        <f>D4*1.5/1000</f>
        <v>1.65</v>
      </c>
      <c r="E358" s="148"/>
      <c r="F358" s="148"/>
      <c r="G358" s="148">
        <v>70</v>
      </c>
      <c r="H358" s="154">
        <f>D358*G358</f>
        <v>115.5</v>
      </c>
      <c r="I358" s="247"/>
    </row>
    <row r="359" spans="1:22" ht="18" customHeight="1">
      <c r="B359" s="156" t="s">
        <v>858</v>
      </c>
      <c r="C359" s="157"/>
      <c r="D359" s="180"/>
      <c r="E359" s="148"/>
      <c r="F359" s="148"/>
      <c r="G359" s="148">
        <v>180</v>
      </c>
      <c r="H359" s="154">
        <f>D359*G359</f>
        <v>0</v>
      </c>
      <c r="I359" s="247"/>
    </row>
    <row r="360" spans="1:22" ht="18" customHeight="1">
      <c r="B360" s="156" t="s">
        <v>388</v>
      </c>
      <c r="C360" s="157"/>
      <c r="D360" s="250">
        <v>1</v>
      </c>
      <c r="E360" s="148"/>
      <c r="F360" s="148"/>
      <c r="G360" s="148">
        <v>9.6</v>
      </c>
      <c r="H360" s="154">
        <f>ROUND(D360*G360,2)</f>
        <v>9.6</v>
      </c>
      <c r="I360" s="247"/>
    </row>
    <row r="361" spans="1:22" ht="18" customHeight="1">
      <c r="B361" s="156" t="s">
        <v>901</v>
      </c>
      <c r="C361" s="157"/>
      <c r="D361" s="463">
        <f>(D4+E4)*2/1000</f>
        <v>6.5</v>
      </c>
      <c r="E361" s="148"/>
      <c r="F361" s="148"/>
      <c r="G361" s="148">
        <v>45</v>
      </c>
      <c r="H361" s="154">
        <f>ROUND(D361*G361,2)</f>
        <v>292.5</v>
      </c>
      <c r="I361" s="468"/>
    </row>
    <row r="362" spans="1:22" ht="18" customHeight="1">
      <c r="B362" s="181" t="s">
        <v>398</v>
      </c>
      <c r="C362" s="157"/>
      <c r="D362" s="182">
        <f>F366</f>
        <v>2.1423999999999999</v>
      </c>
      <c r="E362" s="148"/>
      <c r="F362" s="148"/>
      <c r="G362" s="148">
        <v>3</v>
      </c>
      <c r="H362" s="154">
        <f>D362*G362</f>
        <v>6.4271999999999991</v>
      </c>
      <c r="I362" s="247"/>
    </row>
    <row r="363" spans="1:22" ht="18" customHeight="1">
      <c r="B363" s="150" t="s">
        <v>256</v>
      </c>
      <c r="C363" s="50"/>
      <c r="D363" s="50"/>
      <c r="E363" s="50"/>
      <c r="F363" s="50"/>
      <c r="G363" s="166"/>
      <c r="H363" s="155">
        <f>SUM(H351:H362)</f>
        <v>570.92719999999997</v>
      </c>
      <c r="I363" s="183"/>
    </row>
    <row r="364" spans="1:22" ht="18" customHeight="1">
      <c r="B364" s="248" t="s">
        <v>257</v>
      </c>
      <c r="C364" s="185"/>
      <c r="D364" s="186"/>
      <c r="E364" s="185"/>
      <c r="F364" s="186"/>
      <c r="G364" s="186"/>
      <c r="H364" s="187">
        <f>SUM(H363,H350,H337,H322,H314,H308,H304)</f>
        <v>1274.1568780000002</v>
      </c>
      <c r="I364" s="188"/>
    </row>
    <row r="365" spans="1:22" ht="18" customHeight="1">
      <c r="A365" s="189"/>
      <c r="B365" s="190" t="s">
        <v>258</v>
      </c>
      <c r="C365" s="10" t="s">
        <v>14</v>
      </c>
      <c r="D365" s="10" t="s">
        <v>16</v>
      </c>
      <c r="E365" s="10" t="s">
        <v>17</v>
      </c>
      <c r="F365" s="10" t="s">
        <v>7</v>
      </c>
      <c r="G365" s="10" t="s">
        <v>5</v>
      </c>
      <c r="H365" s="10" t="s">
        <v>18</v>
      </c>
      <c r="I365" s="191" t="s">
        <v>259</v>
      </c>
      <c r="L365" s="192"/>
      <c r="M365" s="192"/>
    </row>
    <row r="366" spans="1:22" ht="18" customHeight="1">
      <c r="B366" s="48">
        <f>ROUND(I366/F366,2)</f>
        <v>1766.89</v>
      </c>
      <c r="C366" s="50" t="s">
        <v>299</v>
      </c>
      <c r="D366" s="50">
        <f>D5</f>
        <v>1030</v>
      </c>
      <c r="E366" s="50">
        <f>E5</f>
        <v>2080</v>
      </c>
      <c r="F366" s="49">
        <f>E366*D366/1000000</f>
        <v>2.1423999999999999</v>
      </c>
      <c r="G366" s="50">
        <f>G4</f>
        <v>1</v>
      </c>
      <c r="H366" s="49">
        <f>F366</f>
        <v>2.1423999999999999</v>
      </c>
      <c r="I366" s="193">
        <f>H364+H291+H292+I223+I12</f>
        <v>3785.3850257059999</v>
      </c>
      <c r="K366" s="192"/>
    </row>
    <row r="367" spans="1:22" ht="18" customHeight="1">
      <c r="B367" s="194" t="s">
        <v>258</v>
      </c>
      <c r="C367" s="195" t="s">
        <v>260</v>
      </c>
      <c r="D367" s="195" t="s">
        <v>261</v>
      </c>
      <c r="E367" s="195" t="s">
        <v>262</v>
      </c>
      <c r="F367" s="195" t="s">
        <v>263</v>
      </c>
      <c r="G367" s="195" t="s">
        <v>264</v>
      </c>
      <c r="H367" s="195" t="s">
        <v>265</v>
      </c>
      <c r="I367" s="196" t="s">
        <v>266</v>
      </c>
    </row>
    <row r="368" spans="1:22" ht="30" customHeight="1" thickBot="1">
      <c r="B368" s="197">
        <f>ROUND(I366/H366,2)</f>
        <v>1766.89</v>
      </c>
      <c r="C368" s="198">
        <f>E294+E296+E298+E300+E302+E303+E297+E299</f>
        <v>2</v>
      </c>
      <c r="D368" s="199"/>
      <c r="E368" s="199"/>
      <c r="F368" s="200"/>
      <c r="G368" s="200"/>
      <c r="H368" s="200"/>
      <c r="I368" s="201"/>
      <c r="O368" s="631" t="s">
        <v>603</v>
      </c>
      <c r="P368" s="631"/>
      <c r="Q368" s="631"/>
      <c r="R368" s="631"/>
      <c r="S368" s="631"/>
      <c r="T368" s="631"/>
      <c r="U368" s="631"/>
      <c r="V368" s="631"/>
    </row>
    <row r="369" spans="2:22" ht="20.100000000000001" customHeight="1">
      <c r="B369" s="42"/>
      <c r="L369" s="202"/>
      <c r="M369" s="202"/>
      <c r="N369" s="202"/>
      <c r="O369" s="634" t="s">
        <v>604</v>
      </c>
      <c r="P369" s="634"/>
      <c r="Q369" s="634"/>
      <c r="R369" s="634"/>
      <c r="S369" s="634"/>
      <c r="T369" s="634"/>
      <c r="U369" s="634"/>
      <c r="V369" s="634"/>
    </row>
    <row r="370" spans="2:22" ht="20.100000000000001" customHeight="1">
      <c r="B370" s="102" t="s">
        <v>862</v>
      </c>
      <c r="C370" s="203"/>
      <c r="D370" s="203" t="s">
        <v>267</v>
      </c>
      <c r="E370" s="203"/>
      <c r="J370" s="102"/>
      <c r="O370" s="285" t="s">
        <v>279</v>
      </c>
      <c r="P370" s="624" t="s">
        <v>633</v>
      </c>
      <c r="Q370" s="625"/>
      <c r="R370" s="312" t="str">
        <f ca="1">B4</f>
        <v>C1122</v>
      </c>
      <c r="S370" s="312"/>
      <c r="T370" s="313"/>
      <c r="U370" s="287" t="s">
        <v>605</v>
      </c>
      <c r="V370" s="288"/>
    </row>
    <row r="371" spans="2:22" ht="24.95" customHeight="1">
      <c r="B371" s="102">
        <f>ROUND(I366/F6,2)</f>
        <v>1792.83</v>
      </c>
      <c r="C371" s="203">
        <f>U392</f>
        <v>2168.4331107986823</v>
      </c>
      <c r="D371" s="203">
        <f>E304</f>
        <v>2</v>
      </c>
      <c r="E371" s="203"/>
      <c r="J371" s="102"/>
      <c r="O371" s="635" t="s">
        <v>606</v>
      </c>
      <c r="P371" s="623" t="s">
        <v>626</v>
      </c>
      <c r="Q371" s="623"/>
      <c r="R371" s="623"/>
      <c r="S371" s="623"/>
      <c r="T371" s="637"/>
      <c r="U371" s="291" t="s">
        <v>607</v>
      </c>
      <c r="V371" s="292" t="s">
        <v>313</v>
      </c>
    </row>
    <row r="372" spans="2:22" ht="24.95" customHeight="1">
      <c r="L372" s="102"/>
      <c r="M372" s="102"/>
      <c r="N372" s="102"/>
      <c r="O372" s="636"/>
      <c r="P372" s="638"/>
      <c r="Q372" s="638"/>
      <c r="R372" s="638"/>
      <c r="S372" s="638"/>
      <c r="T372" s="638"/>
      <c r="U372" s="291" t="s">
        <v>268</v>
      </c>
      <c r="V372" s="293">
        <f>F4</f>
        <v>2.125</v>
      </c>
    </row>
    <row r="373" spans="2:22" ht="24.95" customHeight="1">
      <c r="J373" s="102"/>
      <c r="K373" s="102"/>
      <c r="L373" s="102"/>
      <c r="M373" s="102"/>
      <c r="N373" s="102"/>
      <c r="O373" s="311" t="s">
        <v>0</v>
      </c>
      <c r="P373" s="289" t="s">
        <v>608</v>
      </c>
      <c r="Q373" s="289" t="s">
        <v>627</v>
      </c>
      <c r="R373" s="289" t="s">
        <v>269</v>
      </c>
      <c r="S373" s="294" t="s">
        <v>8</v>
      </c>
      <c r="T373" s="295" t="s">
        <v>609</v>
      </c>
      <c r="U373" s="296" t="s">
        <v>270</v>
      </c>
      <c r="V373" s="295" t="s">
        <v>610</v>
      </c>
    </row>
    <row r="374" spans="2:22" ht="20.100000000000001" customHeight="1">
      <c r="J374" s="102"/>
      <c r="K374" s="102"/>
      <c r="L374" s="102"/>
      <c r="M374" s="102"/>
      <c r="N374" s="102"/>
      <c r="O374" s="297" t="s">
        <v>305</v>
      </c>
      <c r="P374" s="298" t="s">
        <v>611</v>
      </c>
      <c r="Q374" s="298"/>
      <c r="R374" s="286"/>
      <c r="S374" s="299"/>
      <c r="T374" s="300"/>
      <c r="U374" s="301">
        <f>SUM(U375:U383)</f>
        <v>3457.4336337059995</v>
      </c>
      <c r="V374" s="286"/>
    </row>
    <row r="375" spans="2:22" ht="20.100000000000001" customHeight="1">
      <c r="J375" s="102"/>
      <c r="K375" s="102"/>
      <c r="L375" s="102"/>
      <c r="M375" s="102"/>
      <c r="N375" s="102"/>
      <c r="O375" s="286">
        <v>1</v>
      </c>
      <c r="P375" s="302" t="s">
        <v>612</v>
      </c>
      <c r="Q375" s="307"/>
      <c r="R375" s="286" t="s">
        <v>271</v>
      </c>
      <c r="S375" s="303">
        <f>E223</f>
        <v>46.269670000000005</v>
      </c>
      <c r="T375" s="304">
        <f>I223/E223</f>
        <v>48.182927341085417</v>
      </c>
      <c r="U375" s="305">
        <f t="shared" ref="U375:U383" si="58">T375*S375</f>
        <v>2229.4081477059999</v>
      </c>
      <c r="V375" s="306"/>
    </row>
    <row r="376" spans="2:22" ht="20.100000000000001" customHeight="1">
      <c r="J376" s="102"/>
      <c r="K376" s="102"/>
      <c r="L376" s="102"/>
      <c r="M376" s="102"/>
      <c r="N376" s="102"/>
      <c r="O376" s="286">
        <v>2</v>
      </c>
      <c r="P376" s="290" t="s">
        <v>613</v>
      </c>
      <c r="Q376" s="307"/>
      <c r="R376" s="286" t="s">
        <v>276</v>
      </c>
      <c r="S376" s="303">
        <f>D358</f>
        <v>1.65</v>
      </c>
      <c r="T376" s="304">
        <f>G358</f>
        <v>70</v>
      </c>
      <c r="U376" s="305">
        <f t="shared" si="58"/>
        <v>115.5</v>
      </c>
      <c r="V376" s="306"/>
    </row>
    <row r="377" spans="2:22" ht="20.100000000000001" customHeight="1">
      <c r="J377" s="102"/>
      <c r="K377" s="102"/>
      <c r="L377" s="102"/>
      <c r="M377" s="102"/>
      <c r="N377" s="102"/>
      <c r="O377" s="286">
        <v>3</v>
      </c>
      <c r="P377" s="302" t="s">
        <v>614</v>
      </c>
      <c r="Q377" s="302"/>
      <c r="R377" s="286" t="s">
        <v>312</v>
      </c>
      <c r="S377" s="303">
        <f>D291+D292</f>
        <v>1.282896</v>
      </c>
      <c r="T377" s="304">
        <f>材料价格!B10</f>
        <v>148</v>
      </c>
      <c r="U377" s="305">
        <f t="shared" si="58"/>
        <v>189.86860799999999</v>
      </c>
      <c r="V377" s="306"/>
    </row>
    <row r="378" spans="2:22" ht="20.100000000000001" customHeight="1">
      <c r="B378" s="630" t="s">
        <v>277</v>
      </c>
      <c r="C378" s="630"/>
      <c r="D378" s="630"/>
      <c r="E378" s="630"/>
      <c r="F378" s="630"/>
      <c r="G378" s="630"/>
      <c r="H378" s="630"/>
      <c r="I378" s="630"/>
      <c r="J378" s="102"/>
      <c r="K378" s="102"/>
      <c r="L378" s="102"/>
      <c r="M378" s="102"/>
      <c r="N378" s="102"/>
      <c r="O378" s="286">
        <v>4</v>
      </c>
      <c r="P378" s="302" t="s">
        <v>615</v>
      </c>
      <c r="Q378" s="306"/>
      <c r="R378" s="286" t="s">
        <v>278</v>
      </c>
      <c r="S378" s="303">
        <f>(H316+H317+H319+H320+H321)/F316</f>
        <v>6.9800469483568079</v>
      </c>
      <c r="T378" s="304">
        <f>材料价格!B25</f>
        <v>8.52</v>
      </c>
      <c r="U378" s="305">
        <f t="shared" si="58"/>
        <v>59.47</v>
      </c>
      <c r="V378" s="306"/>
    </row>
    <row r="379" spans="2:22" ht="20.100000000000001" customHeight="1">
      <c r="B379" s="204" t="s">
        <v>279</v>
      </c>
      <c r="C379" s="205" t="s">
        <v>280</v>
      </c>
      <c r="D379" s="205" t="s">
        <v>281</v>
      </c>
      <c r="E379" s="205" t="s">
        <v>282</v>
      </c>
      <c r="F379" s="205" t="s">
        <v>379</v>
      </c>
      <c r="G379" s="205"/>
      <c r="H379" s="205" t="s">
        <v>28</v>
      </c>
      <c r="I379" s="205" t="s">
        <v>259</v>
      </c>
      <c r="J379" s="102"/>
      <c r="K379" s="102"/>
      <c r="L379" s="102"/>
      <c r="M379" s="102"/>
      <c r="N379" s="102"/>
      <c r="O379" s="286">
        <v>5</v>
      </c>
      <c r="P379" s="306" t="s">
        <v>616</v>
      </c>
      <c r="Q379" s="302"/>
      <c r="R379" s="286" t="s">
        <v>628</v>
      </c>
      <c r="S379" s="303">
        <f>H337/21</f>
        <v>3.0233179999999997</v>
      </c>
      <c r="T379" s="304">
        <v>21</v>
      </c>
      <c r="U379" s="305">
        <f t="shared" si="58"/>
        <v>63.489677999999998</v>
      </c>
      <c r="V379" s="306"/>
    </row>
    <row r="380" spans="2:22" ht="20.100000000000001" customHeight="1">
      <c r="B380" s="206" t="s">
        <v>284</v>
      </c>
      <c r="C380" s="208" t="s">
        <v>384</v>
      </c>
      <c r="D380" s="207">
        <f>C22+C31+C38+C48+C56+C112+C119+C126+C133+C139+C177+C184+C191+C199</f>
        <v>22</v>
      </c>
      <c r="E380" s="207" t="s">
        <v>383</v>
      </c>
      <c r="F380" s="206"/>
      <c r="G380" s="206"/>
      <c r="H380" s="241">
        <v>2.4</v>
      </c>
      <c r="I380" s="207"/>
      <c r="J380" s="102"/>
      <c r="K380" s="102"/>
      <c r="L380" s="102"/>
      <c r="M380" s="102"/>
      <c r="N380" s="102"/>
      <c r="O380" s="286">
        <v>6</v>
      </c>
      <c r="P380" s="302" t="s">
        <v>319</v>
      </c>
      <c r="Q380" s="302"/>
      <c r="R380" s="286" t="s">
        <v>273</v>
      </c>
      <c r="S380" s="303">
        <f>E298</f>
        <v>2</v>
      </c>
      <c r="T380" s="304">
        <f>材料价格!B16</f>
        <v>88</v>
      </c>
      <c r="U380" s="305">
        <f t="shared" si="58"/>
        <v>176</v>
      </c>
      <c r="V380" s="306"/>
    </row>
    <row r="381" spans="2:22" ht="20.100000000000001" customHeight="1">
      <c r="B381" s="206" t="s">
        <v>286</v>
      </c>
      <c r="C381" s="206" t="s">
        <v>287</v>
      </c>
      <c r="D381" s="209">
        <f>(J22+J31+J38+J48+J112+J119+J126)*4+(J56+J133)*2</f>
        <v>28</v>
      </c>
      <c r="E381" s="207" t="s">
        <v>285</v>
      </c>
      <c r="F381" s="206"/>
      <c r="G381" s="206"/>
      <c r="H381" s="241">
        <v>0.5</v>
      </c>
      <c r="I381" s="207">
        <f>H381*D381</f>
        <v>14</v>
      </c>
      <c r="J381" s="102"/>
      <c r="K381" s="102"/>
      <c r="L381" s="102"/>
      <c r="M381" s="102"/>
      <c r="N381" s="102"/>
      <c r="O381" s="286">
        <v>7</v>
      </c>
      <c r="P381" s="302" t="s">
        <v>295</v>
      </c>
      <c r="Q381" s="302"/>
      <c r="R381" s="286" t="s">
        <v>273</v>
      </c>
      <c r="S381" s="303"/>
      <c r="T381" s="304">
        <f>材料价格!B19</f>
        <v>230</v>
      </c>
      <c r="U381" s="305">
        <f t="shared" si="58"/>
        <v>0</v>
      </c>
      <c r="V381" s="306"/>
    </row>
    <row r="382" spans="2:22" ht="20.100000000000001" customHeight="1">
      <c r="B382" s="206" t="s">
        <v>289</v>
      </c>
      <c r="C382" s="206"/>
      <c r="D382" s="210">
        <f>ROUND((C22+C56*2+C64*2+C112+C133*2+C139*2)/0.3,0)+2</f>
        <v>46</v>
      </c>
      <c r="E382" s="207" t="s">
        <v>285</v>
      </c>
      <c r="F382" s="206"/>
      <c r="G382" s="206"/>
      <c r="H382" s="241">
        <v>0.3</v>
      </c>
      <c r="I382" s="207">
        <f t="shared" ref="I382:I387" si="59">H382*D382</f>
        <v>13.799999999999999</v>
      </c>
      <c r="J382" s="102"/>
      <c r="K382" s="102"/>
      <c r="L382" s="102"/>
      <c r="M382" s="102"/>
      <c r="N382" s="102"/>
      <c r="O382" s="286">
        <v>8</v>
      </c>
      <c r="P382" s="302" t="s">
        <v>296</v>
      </c>
      <c r="Q382" s="302"/>
      <c r="R382" s="286" t="s">
        <v>273</v>
      </c>
      <c r="S382" s="303">
        <f>E303</f>
        <v>0</v>
      </c>
      <c r="T382" s="304">
        <f>材料价格!B20</f>
        <v>335</v>
      </c>
      <c r="U382" s="305">
        <f t="shared" si="58"/>
        <v>0</v>
      </c>
      <c r="V382" s="306"/>
    </row>
    <row r="383" spans="2:22" ht="20.100000000000001" customHeight="1">
      <c r="B383" s="206" t="s">
        <v>381</v>
      </c>
      <c r="C383" s="206" t="s">
        <v>389</v>
      </c>
      <c r="D383" s="211">
        <f>C22+C31+C38+C56*2+C64*2+C112+C119+C126+C133*2</f>
        <v>18.811999999999998</v>
      </c>
      <c r="E383" s="207" t="s">
        <v>285</v>
      </c>
      <c r="F383" s="206" t="s">
        <v>380</v>
      </c>
      <c r="G383" s="206"/>
      <c r="H383" s="241">
        <v>2.81</v>
      </c>
      <c r="I383" s="207">
        <f>H383*D383</f>
        <v>52.861719999999991</v>
      </c>
      <c r="J383" s="102"/>
      <c r="K383" s="102"/>
      <c r="L383" s="102"/>
      <c r="M383" s="102"/>
      <c r="N383" s="102"/>
      <c r="O383" s="286">
        <v>9</v>
      </c>
      <c r="P383" s="302" t="s">
        <v>617</v>
      </c>
      <c r="Q383" s="302"/>
      <c r="R383" s="286" t="s">
        <v>618</v>
      </c>
      <c r="S383" s="296">
        <v>1</v>
      </c>
      <c r="T383" s="304">
        <f>H363-H358+H350+H318+H315+H314</f>
        <v>623.69720000000007</v>
      </c>
      <c r="U383" s="305">
        <f t="shared" si="58"/>
        <v>623.69720000000007</v>
      </c>
      <c r="V383" s="306"/>
    </row>
    <row r="384" spans="2:22" ht="20.100000000000001" customHeight="1">
      <c r="B384" s="206" t="s">
        <v>390</v>
      </c>
      <c r="C384" s="206" t="s">
        <v>392</v>
      </c>
      <c r="D384" s="211">
        <f>C22+C88+C112+C163</f>
        <v>14.48</v>
      </c>
      <c r="E384" s="207" t="s">
        <v>285</v>
      </c>
      <c r="F384" s="206" t="s">
        <v>394</v>
      </c>
      <c r="G384" s="206"/>
      <c r="H384" s="241">
        <v>3.27</v>
      </c>
      <c r="I384" s="207">
        <f t="shared" ref="I384" si="60">H384*D384</f>
        <v>47.349600000000002</v>
      </c>
      <c r="J384" s="102"/>
      <c r="K384" s="102"/>
      <c r="L384" s="102"/>
      <c r="M384" s="102"/>
      <c r="N384" s="102"/>
      <c r="O384" s="297" t="s">
        <v>306</v>
      </c>
      <c r="P384" s="308" t="s">
        <v>314</v>
      </c>
      <c r="Q384" s="298"/>
      <c r="R384" s="286"/>
      <c r="S384" s="296"/>
      <c r="T384" s="309"/>
      <c r="U384" s="301">
        <f>SUM(U385:U386)</f>
        <v>340</v>
      </c>
      <c r="V384" s="286"/>
    </row>
    <row r="385" spans="2:22" ht="20.100000000000001" customHeight="1">
      <c r="B385" s="206" t="s">
        <v>391</v>
      </c>
      <c r="C385" s="206" t="s">
        <v>393</v>
      </c>
      <c r="D385" s="211">
        <f>(C97+C104+C119+C126)*2</f>
        <v>9.3279999999999994</v>
      </c>
      <c r="E385" s="207" t="s">
        <v>285</v>
      </c>
      <c r="F385" s="206" t="s">
        <v>395</v>
      </c>
      <c r="G385" s="206"/>
      <c r="H385" s="241">
        <v>1.74</v>
      </c>
      <c r="I385" s="207">
        <f t="shared" si="59"/>
        <v>16.230719999999998</v>
      </c>
      <c r="J385" s="102"/>
      <c r="K385" s="102"/>
      <c r="L385" s="102"/>
      <c r="M385" s="102"/>
      <c r="N385" s="102"/>
      <c r="O385" s="286">
        <v>1</v>
      </c>
      <c r="P385" s="307" t="s">
        <v>619</v>
      </c>
      <c r="Q385" s="307"/>
      <c r="R385" s="300" t="s">
        <v>312</v>
      </c>
      <c r="S385" s="296">
        <f>V372</f>
        <v>2.125</v>
      </c>
      <c r="T385" s="310">
        <v>60</v>
      </c>
      <c r="U385" s="305">
        <f>T385*S385</f>
        <v>127.5</v>
      </c>
      <c r="V385" s="286"/>
    </row>
    <row r="386" spans="2:22" ht="20.100000000000001" customHeight="1">
      <c r="B386" s="208" t="s">
        <v>382</v>
      </c>
      <c r="C386" s="206" t="s">
        <v>291</v>
      </c>
      <c r="D386" s="211">
        <f>D338+D339+D341</f>
        <v>10</v>
      </c>
      <c r="E386" s="207" t="s">
        <v>285</v>
      </c>
      <c r="F386" s="206"/>
      <c r="G386" s="206"/>
      <c r="H386" s="241">
        <v>0.56999999999999995</v>
      </c>
      <c r="I386" s="207">
        <f>H386*D386</f>
        <v>5.6999999999999993</v>
      </c>
      <c r="J386" s="102"/>
      <c r="K386" s="102"/>
      <c r="L386" s="102"/>
      <c r="M386" s="102"/>
      <c r="N386" s="102"/>
      <c r="O386" s="286">
        <v>2</v>
      </c>
      <c r="P386" s="307" t="s">
        <v>288</v>
      </c>
      <c r="Q386" s="307"/>
      <c r="R386" s="300" t="s">
        <v>312</v>
      </c>
      <c r="S386" s="296">
        <f>V372</f>
        <v>2.125</v>
      </c>
      <c r="T386" s="310">
        <v>100</v>
      </c>
      <c r="U386" s="305">
        <f>T386*S386</f>
        <v>212.5</v>
      </c>
      <c r="V386" s="286"/>
    </row>
    <row r="387" spans="2:22" ht="20.100000000000001" customHeight="1">
      <c r="B387" s="206" t="s">
        <v>292</v>
      </c>
      <c r="C387" s="206"/>
      <c r="D387" s="211">
        <f>H366</f>
        <v>2.1423999999999999</v>
      </c>
      <c r="E387" s="207" t="s">
        <v>285</v>
      </c>
      <c r="F387" s="206"/>
      <c r="G387" s="206"/>
      <c r="H387" s="241">
        <v>20</v>
      </c>
      <c r="I387" s="207">
        <f t="shared" si="59"/>
        <v>42.847999999999999</v>
      </c>
      <c r="J387" s="102"/>
      <c r="K387" s="102"/>
      <c r="L387" s="102"/>
      <c r="M387" s="102"/>
      <c r="N387" s="102"/>
      <c r="O387" s="297" t="s">
        <v>307</v>
      </c>
      <c r="P387" s="308" t="s">
        <v>290</v>
      </c>
      <c r="Q387" s="298"/>
      <c r="R387" s="286"/>
      <c r="S387" s="296"/>
      <c r="T387" s="309"/>
      <c r="U387" s="301">
        <f>SUM(U388)</f>
        <v>42.5</v>
      </c>
      <c r="V387" s="286"/>
    </row>
    <row r="388" spans="2:22" ht="20.100000000000001" customHeight="1">
      <c r="B388" s="212" t="s">
        <v>4</v>
      </c>
      <c r="C388" s="213"/>
      <c r="D388" s="212"/>
      <c r="E388" s="212"/>
      <c r="F388" s="212"/>
      <c r="G388" s="212"/>
      <c r="H388" s="212"/>
      <c r="I388" s="213">
        <f>SUM(I380:I387)</f>
        <v>192.79003999999998</v>
      </c>
      <c r="J388" s="242"/>
      <c r="K388" s="102"/>
      <c r="L388" s="102"/>
      <c r="M388" s="102"/>
      <c r="N388" s="102"/>
      <c r="O388" s="286">
        <v>1</v>
      </c>
      <c r="P388" s="307" t="s">
        <v>290</v>
      </c>
      <c r="Q388" s="307"/>
      <c r="R388" s="300" t="s">
        <v>312</v>
      </c>
      <c r="S388" s="296">
        <f>V372</f>
        <v>2.125</v>
      </c>
      <c r="T388" s="310">
        <v>20</v>
      </c>
      <c r="U388" s="305">
        <f>T388*S388</f>
        <v>42.5</v>
      </c>
      <c r="V388" s="286"/>
    </row>
    <row r="389" spans="2:22" ht="20.100000000000001" customHeight="1">
      <c r="J389" s="102"/>
      <c r="K389" s="102"/>
      <c r="L389" s="102"/>
      <c r="M389" s="102"/>
      <c r="N389" s="102"/>
      <c r="O389" s="286" t="s">
        <v>308</v>
      </c>
      <c r="P389" s="618" t="s">
        <v>620</v>
      </c>
      <c r="Q389" s="619"/>
      <c r="R389" s="620"/>
      <c r="S389" s="621"/>
      <c r="T389" s="622"/>
      <c r="U389" s="301">
        <f>U374+U384+U387</f>
        <v>3839.9336337059995</v>
      </c>
      <c r="V389" s="286"/>
    </row>
    <row r="390" spans="2:22" ht="20.100000000000001" customHeight="1">
      <c r="J390" s="102"/>
      <c r="K390" s="102"/>
      <c r="L390" s="102"/>
      <c r="M390" s="102"/>
      <c r="N390" s="102"/>
      <c r="O390" s="286" t="s">
        <v>309</v>
      </c>
      <c r="P390" s="618" t="s">
        <v>621</v>
      </c>
      <c r="Q390" s="619"/>
      <c r="R390" s="626">
        <v>0.2</v>
      </c>
      <c r="S390" s="627"/>
      <c r="T390" s="628"/>
      <c r="U390" s="301">
        <f>U389*R390</f>
        <v>767.98672674119996</v>
      </c>
      <c r="V390" s="286"/>
    </row>
    <row r="391" spans="2:22" ht="20.100000000000001" customHeight="1">
      <c r="J391" s="102"/>
      <c r="K391" s="102"/>
      <c r="L391" s="102"/>
      <c r="M391" s="102"/>
      <c r="N391" s="102"/>
      <c r="O391" s="286" t="s">
        <v>310</v>
      </c>
      <c r="P391" s="618" t="s">
        <v>622</v>
      </c>
      <c r="Q391" s="619"/>
      <c r="R391" s="620"/>
      <c r="S391" s="621"/>
      <c r="T391" s="622"/>
      <c r="U391" s="301">
        <f>U389+U390</f>
        <v>4607.9203604471995</v>
      </c>
      <c r="V391" s="286"/>
    </row>
    <row r="392" spans="2:22" ht="30" customHeight="1">
      <c r="L392" s="102"/>
      <c r="M392" s="102"/>
      <c r="N392" s="102"/>
      <c r="O392" s="297" t="s">
        <v>311</v>
      </c>
      <c r="P392" s="618" t="s">
        <v>623</v>
      </c>
      <c r="Q392" s="619"/>
      <c r="R392" s="620"/>
      <c r="S392" s="621"/>
      <c r="T392" s="622"/>
      <c r="U392" s="301">
        <f>U391/V372</f>
        <v>2168.4331107986823</v>
      </c>
      <c r="V392" s="286" t="s">
        <v>624</v>
      </c>
    </row>
    <row r="393" spans="2:22" ht="45" customHeight="1">
      <c r="L393" s="102"/>
      <c r="M393" s="102"/>
      <c r="N393" s="102"/>
      <c r="O393" s="623" t="s">
        <v>625</v>
      </c>
      <c r="P393" s="623"/>
      <c r="Q393" s="623"/>
      <c r="R393" s="623"/>
      <c r="S393" s="623"/>
      <c r="T393" s="623"/>
      <c r="U393" s="623"/>
      <c r="V393" s="623"/>
    </row>
    <row r="394" spans="2:22" ht="18" customHeight="1">
      <c r="L394" s="102"/>
      <c r="M394" s="102"/>
      <c r="N394" s="102"/>
      <c r="O394" s="102"/>
      <c r="P394" s="102"/>
    </row>
    <row r="395" spans="2:22">
      <c r="L395" s="102"/>
      <c r="M395" s="102"/>
      <c r="N395" s="102"/>
      <c r="O395" s="102"/>
      <c r="P395" s="102"/>
    </row>
    <row r="396" spans="2:22">
      <c r="L396" s="102"/>
      <c r="M396" s="102"/>
      <c r="N396" s="102"/>
      <c r="O396" s="102"/>
      <c r="P396" s="102"/>
    </row>
    <row r="397" spans="2:22">
      <c r="L397" s="102"/>
      <c r="M397" s="102"/>
      <c r="N397" s="102"/>
      <c r="O397" s="102"/>
      <c r="P397" s="102"/>
    </row>
    <row r="398" spans="2:22">
      <c r="L398" s="102"/>
      <c r="M398" s="102"/>
      <c r="N398" s="102"/>
      <c r="O398" s="102"/>
      <c r="P398" s="102"/>
    </row>
    <row r="399" spans="2:22">
      <c r="L399" s="102"/>
      <c r="M399" s="102"/>
      <c r="N399" s="102"/>
      <c r="O399" s="102"/>
      <c r="P399" s="102"/>
    </row>
    <row r="400" spans="2:22">
      <c r="L400" s="102"/>
      <c r="M400" s="102"/>
      <c r="N400" s="102"/>
      <c r="O400" s="102"/>
      <c r="P400" s="102"/>
    </row>
    <row r="401" spans="12:16">
      <c r="L401" s="102"/>
      <c r="M401" s="102"/>
      <c r="N401" s="102"/>
      <c r="O401" s="102"/>
      <c r="P401" s="102"/>
    </row>
    <row r="402" spans="12:16">
      <c r="L402" s="102"/>
      <c r="M402" s="102"/>
      <c r="N402" s="102"/>
      <c r="O402" s="102"/>
      <c r="P402" s="102"/>
    </row>
    <row r="403" spans="12:16">
      <c r="L403" s="102"/>
      <c r="M403" s="102"/>
      <c r="N403" s="102"/>
      <c r="O403" s="102"/>
      <c r="P403" s="102"/>
    </row>
    <row r="404" spans="12:16">
      <c r="L404" s="102"/>
      <c r="M404" s="102"/>
      <c r="N404" s="102"/>
      <c r="O404" s="102"/>
      <c r="P404" s="102"/>
    </row>
    <row r="405" spans="12:16">
      <c r="L405" s="102"/>
      <c r="M405" s="102"/>
      <c r="N405" s="102"/>
      <c r="O405" s="102"/>
      <c r="P405" s="102"/>
    </row>
    <row r="406" spans="12:16">
      <c r="L406" s="102"/>
      <c r="M406" s="102"/>
      <c r="N406" s="102"/>
      <c r="O406" s="102"/>
      <c r="P406" s="102"/>
    </row>
    <row r="407" spans="12:16">
      <c r="L407" s="102"/>
      <c r="M407" s="102"/>
      <c r="N407" s="102"/>
      <c r="O407" s="102"/>
      <c r="P407" s="102"/>
    </row>
    <row r="408" spans="12:16">
      <c r="L408" s="102"/>
      <c r="M408" s="102"/>
      <c r="N408" s="102"/>
      <c r="O408" s="102"/>
      <c r="P408" s="102"/>
    </row>
    <row r="409" spans="12:16">
      <c r="L409" s="102"/>
      <c r="M409" s="102"/>
      <c r="N409" s="102"/>
      <c r="O409" s="102"/>
      <c r="P409" s="102"/>
    </row>
    <row r="410" spans="12:16">
      <c r="L410" s="102"/>
      <c r="M410" s="102"/>
      <c r="N410" s="102"/>
      <c r="O410" s="102"/>
      <c r="P410" s="102"/>
    </row>
    <row r="411" spans="12:16">
      <c r="L411" s="102"/>
      <c r="M411" s="102"/>
      <c r="N411" s="102"/>
      <c r="O411" s="102"/>
      <c r="P411" s="102"/>
    </row>
    <row r="412" spans="12:16">
      <c r="L412" s="102"/>
      <c r="M412" s="102"/>
      <c r="N412" s="102"/>
      <c r="O412" s="102"/>
      <c r="P412" s="102"/>
    </row>
    <row r="413" spans="12:16">
      <c r="L413" s="102"/>
      <c r="M413" s="102"/>
      <c r="N413" s="102"/>
      <c r="O413" s="102"/>
      <c r="P413" s="102"/>
    </row>
    <row r="414" spans="12:16">
      <c r="L414" s="102"/>
      <c r="M414" s="102"/>
      <c r="N414" s="102"/>
      <c r="O414" s="102"/>
      <c r="P414" s="102"/>
    </row>
    <row r="415" spans="12:16">
      <c r="L415" s="102"/>
      <c r="M415" s="102"/>
      <c r="N415" s="102"/>
      <c r="O415" s="102"/>
      <c r="P415" s="102"/>
    </row>
    <row r="416" spans="12:16">
      <c r="L416" s="102"/>
      <c r="M416" s="102"/>
      <c r="N416" s="102"/>
      <c r="O416" s="102"/>
      <c r="P416" s="102"/>
    </row>
    <row r="417" spans="10:16">
      <c r="L417" s="102"/>
      <c r="M417" s="102"/>
      <c r="N417" s="102"/>
      <c r="O417" s="102"/>
      <c r="P417" s="102"/>
    </row>
    <row r="418" spans="10:16">
      <c r="L418" s="102"/>
      <c r="M418" s="102"/>
      <c r="N418" s="102"/>
      <c r="O418" s="102"/>
      <c r="P418" s="102"/>
    </row>
    <row r="419" spans="10:16">
      <c r="L419" s="102"/>
      <c r="M419" s="102"/>
      <c r="N419" s="102"/>
      <c r="O419" s="102"/>
      <c r="P419" s="102"/>
    </row>
    <row r="420" spans="10:16">
      <c r="L420" s="102"/>
      <c r="M420" s="102"/>
      <c r="N420" s="102"/>
      <c r="O420" s="102"/>
      <c r="P420" s="102"/>
    </row>
    <row r="421" spans="10:16">
      <c r="L421" s="102"/>
      <c r="M421" s="102"/>
      <c r="N421" s="102"/>
      <c r="O421" s="102"/>
      <c r="P421" s="102"/>
    </row>
    <row r="422" spans="10:16">
      <c r="L422" s="102"/>
      <c r="M422" s="102"/>
      <c r="N422" s="102"/>
      <c r="O422" s="102"/>
      <c r="P422" s="102"/>
    </row>
    <row r="423" spans="10:16">
      <c r="L423" s="102"/>
      <c r="M423" s="102"/>
      <c r="N423" s="102"/>
      <c r="O423" s="102"/>
      <c r="P423" s="102"/>
    </row>
    <row r="424" spans="10:16">
      <c r="L424" s="102"/>
      <c r="M424" s="102"/>
      <c r="N424" s="102"/>
      <c r="O424" s="102"/>
      <c r="P424" s="102"/>
    </row>
    <row r="425" spans="10:16">
      <c r="L425" s="102"/>
      <c r="M425" s="102"/>
      <c r="N425" s="102"/>
      <c r="O425" s="102"/>
      <c r="P425" s="102"/>
    </row>
    <row r="426" spans="10:16">
      <c r="L426" s="102"/>
      <c r="M426" s="102"/>
      <c r="N426" s="102"/>
      <c r="O426" s="102"/>
      <c r="P426" s="102"/>
    </row>
    <row r="427" spans="10:16">
      <c r="J427" s="102"/>
      <c r="K427" s="102"/>
      <c r="L427" s="102"/>
      <c r="M427" s="102"/>
      <c r="N427" s="102"/>
      <c r="O427" s="102"/>
      <c r="P427" s="102"/>
    </row>
    <row r="428" spans="10:16">
      <c r="J428" s="102"/>
      <c r="K428" s="102"/>
      <c r="L428" s="102"/>
      <c r="M428" s="102"/>
      <c r="N428" s="102"/>
      <c r="O428" s="102"/>
      <c r="P428" s="102"/>
    </row>
    <row r="429" spans="10:16">
      <c r="J429" s="102"/>
      <c r="K429" s="102"/>
      <c r="L429" s="102"/>
      <c r="M429" s="102"/>
      <c r="N429" s="102"/>
      <c r="O429" s="102"/>
      <c r="P429" s="102"/>
    </row>
    <row r="430" spans="10:16">
      <c r="J430" s="102"/>
      <c r="K430" s="102"/>
      <c r="L430" s="102"/>
      <c r="M430" s="102"/>
      <c r="N430" s="102"/>
      <c r="O430" s="102"/>
      <c r="P430" s="102"/>
    </row>
    <row r="431" spans="10:16">
      <c r="J431" s="102"/>
      <c r="K431" s="102"/>
      <c r="L431" s="102"/>
      <c r="M431" s="102"/>
      <c r="N431" s="102"/>
      <c r="O431" s="102"/>
      <c r="P431" s="102"/>
    </row>
    <row r="432" spans="10:16">
      <c r="J432" s="102"/>
      <c r="K432" s="102"/>
      <c r="L432" s="102"/>
      <c r="M432" s="102"/>
      <c r="N432" s="102"/>
      <c r="O432" s="102"/>
      <c r="P432" s="102"/>
    </row>
    <row r="433" spans="10:16">
      <c r="J433" s="102"/>
      <c r="K433" s="102"/>
      <c r="L433" s="102"/>
      <c r="M433" s="102"/>
      <c r="N433" s="102"/>
      <c r="O433" s="102"/>
      <c r="P433" s="102"/>
    </row>
    <row r="434" spans="10:16">
      <c r="J434" s="102"/>
      <c r="K434" s="102"/>
      <c r="L434" s="102"/>
      <c r="M434" s="102"/>
      <c r="N434" s="102"/>
      <c r="O434" s="102"/>
      <c r="P434" s="102"/>
    </row>
    <row r="435" spans="10:16">
      <c r="J435" s="102"/>
      <c r="K435" s="102"/>
      <c r="L435" s="102"/>
      <c r="M435" s="102"/>
      <c r="N435" s="102"/>
      <c r="O435" s="102"/>
      <c r="P435" s="102"/>
    </row>
    <row r="436" spans="10:16">
      <c r="J436" s="102"/>
      <c r="K436" s="102"/>
      <c r="L436" s="102"/>
      <c r="M436" s="102"/>
      <c r="N436" s="102"/>
      <c r="O436" s="102"/>
      <c r="P436" s="102"/>
    </row>
    <row r="437" spans="10:16">
      <c r="J437" s="102"/>
      <c r="K437" s="102"/>
      <c r="L437" s="102"/>
      <c r="M437" s="102"/>
      <c r="N437" s="102"/>
      <c r="O437" s="102"/>
      <c r="P437" s="102"/>
    </row>
    <row r="438" spans="10:16">
      <c r="J438" s="102"/>
      <c r="K438" s="102"/>
      <c r="L438" s="102"/>
      <c r="M438" s="102"/>
      <c r="N438" s="102"/>
      <c r="O438" s="102"/>
      <c r="P438" s="102"/>
    </row>
    <row r="439" spans="10:16">
      <c r="J439" s="102"/>
      <c r="K439" s="102"/>
      <c r="L439" s="102"/>
      <c r="M439" s="102"/>
      <c r="N439" s="102"/>
      <c r="O439" s="102"/>
      <c r="P439" s="102"/>
    </row>
    <row r="440" spans="10:16">
      <c r="J440" s="102"/>
      <c r="K440" s="102"/>
      <c r="L440" s="102"/>
      <c r="M440" s="102"/>
      <c r="N440" s="102"/>
      <c r="O440" s="102"/>
      <c r="P440" s="102"/>
    </row>
    <row r="441" spans="10:16">
      <c r="J441" s="102"/>
      <c r="K441" s="102"/>
      <c r="L441" s="102"/>
      <c r="M441" s="102"/>
      <c r="N441" s="102"/>
      <c r="O441" s="102"/>
      <c r="P441" s="102"/>
    </row>
    <row r="442" spans="10:16">
      <c r="J442" s="102"/>
      <c r="K442" s="102"/>
      <c r="L442" s="102"/>
      <c r="M442" s="102"/>
      <c r="N442" s="102"/>
      <c r="O442" s="102"/>
      <c r="P442" s="102"/>
    </row>
    <row r="443" spans="10:16">
      <c r="J443" s="102"/>
      <c r="K443" s="102"/>
      <c r="L443" s="102"/>
      <c r="M443" s="102"/>
      <c r="N443" s="102"/>
      <c r="O443" s="102"/>
      <c r="P443" s="102"/>
    </row>
    <row r="444" spans="10:16">
      <c r="J444" s="102"/>
      <c r="K444" s="102"/>
      <c r="L444" s="102"/>
      <c r="M444" s="102"/>
      <c r="N444" s="102"/>
      <c r="O444" s="102"/>
      <c r="P444" s="102"/>
    </row>
    <row r="445" spans="10:16">
      <c r="J445" s="102"/>
      <c r="K445" s="102"/>
      <c r="L445" s="102"/>
      <c r="M445" s="102"/>
      <c r="N445" s="102"/>
      <c r="O445" s="102"/>
      <c r="P445" s="102"/>
    </row>
    <row r="446" spans="10:16">
      <c r="J446" s="102"/>
      <c r="K446" s="102"/>
      <c r="L446" s="102"/>
      <c r="M446" s="102"/>
      <c r="N446" s="102"/>
      <c r="O446" s="102"/>
      <c r="P446" s="102"/>
    </row>
    <row r="447" spans="10:16">
      <c r="J447" s="102"/>
      <c r="K447" s="102"/>
      <c r="L447" s="102"/>
      <c r="M447" s="102"/>
      <c r="N447" s="102"/>
      <c r="O447" s="102"/>
      <c r="P447" s="102"/>
    </row>
    <row r="448" spans="10:16">
      <c r="J448" s="102"/>
      <c r="K448" s="102"/>
      <c r="L448" s="102"/>
      <c r="M448" s="102"/>
      <c r="N448" s="102"/>
      <c r="O448" s="102"/>
      <c r="P448" s="102"/>
    </row>
    <row r="449" spans="10:16">
      <c r="J449" s="102"/>
      <c r="K449" s="102"/>
      <c r="L449" s="102"/>
      <c r="M449" s="102"/>
      <c r="N449" s="102"/>
      <c r="O449" s="102"/>
      <c r="P449" s="102"/>
    </row>
    <row r="450" spans="10:16">
      <c r="J450" s="102"/>
      <c r="K450" s="102"/>
      <c r="L450" s="102"/>
      <c r="M450" s="102"/>
      <c r="N450" s="102"/>
      <c r="O450" s="102"/>
      <c r="P450" s="102"/>
    </row>
    <row r="451" spans="10:16">
      <c r="J451" s="102"/>
      <c r="K451" s="102"/>
      <c r="L451" s="102"/>
      <c r="M451" s="102"/>
      <c r="N451" s="102"/>
      <c r="O451" s="102"/>
      <c r="P451" s="102"/>
    </row>
    <row r="452" spans="10:16">
      <c r="J452" s="102"/>
      <c r="K452" s="102"/>
      <c r="L452" s="102"/>
      <c r="M452" s="102"/>
      <c r="N452" s="102"/>
      <c r="O452" s="102"/>
      <c r="P452" s="102"/>
    </row>
    <row r="453" spans="10:16">
      <c r="J453" s="102"/>
      <c r="K453" s="102"/>
      <c r="L453" s="102"/>
      <c r="M453" s="102"/>
      <c r="N453" s="102"/>
      <c r="O453" s="102"/>
      <c r="P453" s="102"/>
    </row>
    <row r="454" spans="10:16">
      <c r="J454" s="102"/>
      <c r="K454" s="102"/>
      <c r="L454" s="102"/>
      <c r="M454" s="102"/>
      <c r="N454" s="102"/>
      <c r="O454" s="102"/>
      <c r="P454" s="102"/>
    </row>
    <row r="455" spans="10:16">
      <c r="J455" s="102"/>
      <c r="K455" s="102"/>
      <c r="L455" s="102"/>
      <c r="M455" s="102"/>
      <c r="N455" s="102"/>
      <c r="O455" s="102"/>
      <c r="P455" s="102"/>
    </row>
    <row r="456" spans="10:16">
      <c r="J456" s="102"/>
      <c r="K456" s="102"/>
      <c r="L456" s="102"/>
      <c r="M456" s="102"/>
      <c r="N456" s="102"/>
      <c r="O456" s="102"/>
      <c r="P456" s="102"/>
    </row>
    <row r="457" spans="10:16">
      <c r="J457" s="102"/>
      <c r="K457" s="102"/>
      <c r="L457" s="102"/>
      <c r="M457" s="102"/>
      <c r="N457" s="102"/>
      <c r="O457" s="102"/>
      <c r="P457" s="102"/>
    </row>
    <row r="458" spans="10:16">
      <c r="J458" s="102"/>
      <c r="K458" s="102"/>
      <c r="L458" s="102"/>
      <c r="M458" s="102"/>
      <c r="N458" s="102"/>
      <c r="O458" s="102"/>
      <c r="P458" s="102"/>
    </row>
    <row r="459" spans="10:16">
      <c r="J459" s="102"/>
      <c r="K459" s="102"/>
      <c r="L459" s="102"/>
      <c r="M459" s="102"/>
      <c r="N459" s="102"/>
      <c r="O459" s="102"/>
      <c r="P459" s="102"/>
    </row>
    <row r="460" spans="10:16">
      <c r="J460" s="102"/>
      <c r="K460" s="102"/>
      <c r="L460" s="102"/>
      <c r="M460" s="102"/>
      <c r="N460" s="102"/>
      <c r="O460" s="102"/>
      <c r="P460" s="102"/>
    </row>
    <row r="461" spans="10:16">
      <c r="J461" s="102"/>
      <c r="K461" s="102"/>
      <c r="L461" s="102"/>
      <c r="M461" s="102"/>
      <c r="N461" s="102"/>
      <c r="O461" s="102"/>
      <c r="P461" s="102"/>
    </row>
    <row r="462" spans="10:16">
      <c r="J462" s="102"/>
      <c r="K462" s="102"/>
      <c r="L462" s="102"/>
      <c r="M462" s="102"/>
      <c r="N462" s="102"/>
      <c r="O462" s="102"/>
      <c r="P462" s="102"/>
    </row>
    <row r="463" spans="10:16">
      <c r="J463" s="102"/>
      <c r="K463" s="102"/>
      <c r="L463" s="102"/>
      <c r="M463" s="102"/>
      <c r="N463" s="102"/>
      <c r="O463" s="102"/>
      <c r="P463" s="102"/>
    </row>
    <row r="464" spans="10:16">
      <c r="J464" s="102"/>
      <c r="K464" s="102"/>
      <c r="L464" s="102"/>
      <c r="M464" s="102"/>
      <c r="N464" s="102"/>
      <c r="O464" s="102"/>
      <c r="P464" s="102"/>
    </row>
  </sheetData>
  <mergeCells count="95">
    <mergeCell ref="F2:H2"/>
    <mergeCell ref="I2:I6"/>
    <mergeCell ref="J2:M2"/>
    <mergeCell ref="B4:B6"/>
    <mergeCell ref="B14:B21"/>
    <mergeCell ref="C14:C21"/>
    <mergeCell ref="B26:B30"/>
    <mergeCell ref="C26:C30"/>
    <mergeCell ref="B35:B37"/>
    <mergeCell ref="C35:C37"/>
    <mergeCell ref="B42:B47"/>
    <mergeCell ref="C42:C44"/>
    <mergeCell ref="C45:C47"/>
    <mergeCell ref="B52:B55"/>
    <mergeCell ref="C52:C55"/>
    <mergeCell ref="D59:F59"/>
    <mergeCell ref="B60:B63"/>
    <mergeCell ref="C60:C61"/>
    <mergeCell ref="D60:F60"/>
    <mergeCell ref="D61:F61"/>
    <mergeCell ref="C62:C63"/>
    <mergeCell ref="D62:F62"/>
    <mergeCell ref="D63:F63"/>
    <mergeCell ref="B68:B87"/>
    <mergeCell ref="C68:C74"/>
    <mergeCell ref="C75:C81"/>
    <mergeCell ref="C82:C87"/>
    <mergeCell ref="B92:B96"/>
    <mergeCell ref="C92:C96"/>
    <mergeCell ref="B137:B138"/>
    <mergeCell ref="C137:C138"/>
    <mergeCell ref="D137:F137"/>
    <mergeCell ref="D138:F138"/>
    <mergeCell ref="B101:B103"/>
    <mergeCell ref="C101:C103"/>
    <mergeCell ref="B108:B111"/>
    <mergeCell ref="C108:C111"/>
    <mergeCell ref="B116:B118"/>
    <mergeCell ref="C116:C118"/>
    <mergeCell ref="B123:B125"/>
    <mergeCell ref="C123:C125"/>
    <mergeCell ref="B130:B132"/>
    <mergeCell ref="C130:C132"/>
    <mergeCell ref="D136:F136"/>
    <mergeCell ref="B143:B145"/>
    <mergeCell ref="C143:C145"/>
    <mergeCell ref="B150:B152"/>
    <mergeCell ref="C150:C152"/>
    <mergeCell ref="B157:B162"/>
    <mergeCell ref="C157:C162"/>
    <mergeCell ref="B167:B169"/>
    <mergeCell ref="C167:C169"/>
    <mergeCell ref="B174:B176"/>
    <mergeCell ref="C174:C176"/>
    <mergeCell ref="B181:B183"/>
    <mergeCell ref="C181:C183"/>
    <mergeCell ref="F209:F210"/>
    <mergeCell ref="B188:B190"/>
    <mergeCell ref="C188:C190"/>
    <mergeCell ref="D194:F194"/>
    <mergeCell ref="B195:B196"/>
    <mergeCell ref="C195:C196"/>
    <mergeCell ref="D195:F195"/>
    <mergeCell ref="D196:F196"/>
    <mergeCell ref="B197:B198"/>
    <mergeCell ref="C197:C198"/>
    <mergeCell ref="D197:F197"/>
    <mergeCell ref="D198:F198"/>
    <mergeCell ref="F203:F204"/>
    <mergeCell ref="O369:V369"/>
    <mergeCell ref="F211:F212"/>
    <mergeCell ref="F213:F214"/>
    <mergeCell ref="B291:B292"/>
    <mergeCell ref="B294:B295"/>
    <mergeCell ref="I294:I295"/>
    <mergeCell ref="B296:B297"/>
    <mergeCell ref="I296:I297"/>
    <mergeCell ref="B298:B299"/>
    <mergeCell ref="I298:I299"/>
    <mergeCell ref="B300:B301"/>
    <mergeCell ref="B302:B303"/>
    <mergeCell ref="O368:V368"/>
    <mergeCell ref="P370:Q370"/>
    <mergeCell ref="O371:O372"/>
    <mergeCell ref="P371:T372"/>
    <mergeCell ref="B378:I378"/>
    <mergeCell ref="P389:Q389"/>
    <mergeCell ref="R389:T389"/>
    <mergeCell ref="O393:V393"/>
    <mergeCell ref="P390:Q390"/>
    <mergeCell ref="R390:T390"/>
    <mergeCell ref="P391:Q391"/>
    <mergeCell ref="R391:T391"/>
    <mergeCell ref="P392:Q392"/>
    <mergeCell ref="R392:T392"/>
  </mergeCells>
  <phoneticPr fontId="5" type="noConversion"/>
  <pageMargins left="0.19685039370078741" right="0.19685039370078741" top="0.74803149606299213" bottom="0.74803149606299213" header="0.31496062992125984" footer="0.31496062992125984"/>
  <pageSetup paperSize="9" scale="78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20AFF-C8D5-4814-8146-28A93D0434AC}">
  <sheetPr>
    <tabColor rgb="FF7030A0"/>
    <pageSetUpPr fitToPage="1"/>
  </sheetPr>
  <dimension ref="A1:V464"/>
  <sheetViews>
    <sheetView showZeros="0" topLeftCell="A349" zoomScaleNormal="100" workbookViewId="0">
      <selection activeCell="C372" sqref="C372"/>
    </sheetView>
  </sheetViews>
  <sheetFormatPr defaultColWidth="25.25" defaultRowHeight="13.5"/>
  <cols>
    <col min="1" max="1" width="0.5" style="1" customWidth="1"/>
    <col min="2" max="2" width="25.25" style="102" customWidth="1"/>
    <col min="3" max="3" width="14.75" style="102" customWidth="1"/>
    <col min="4" max="4" width="11.5" style="102" customWidth="1"/>
    <col min="5" max="5" width="11.25" style="102" customWidth="1"/>
    <col min="6" max="6" width="12.25" style="102" customWidth="1"/>
    <col min="7" max="7" width="10" style="102" customWidth="1"/>
    <col min="8" max="8" width="9.875" style="102" customWidth="1"/>
    <col min="9" max="9" width="26.875" style="102" customWidth="1"/>
    <col min="10" max="10" width="11.125" style="43" customWidth="1"/>
    <col min="11" max="11" width="7.875" style="43" customWidth="1"/>
    <col min="12" max="12" width="7.25" style="43" customWidth="1"/>
    <col min="13" max="13" width="9.125" style="43" customWidth="1"/>
    <col min="14" max="14" width="15.125" style="255" customWidth="1"/>
    <col min="15" max="15" width="13.125" style="255" customWidth="1"/>
    <col min="16" max="16" width="24.375" style="255" customWidth="1"/>
    <col min="17" max="17" width="13.75" style="255" customWidth="1"/>
    <col min="18" max="18" width="11.25" style="255" customWidth="1"/>
    <col min="19" max="19" width="10.75" style="255" customWidth="1"/>
    <col min="20" max="20" width="10" style="255" customWidth="1"/>
    <col min="21" max="21" width="9.875" style="255" customWidth="1"/>
    <col min="22" max="22" width="26.125" style="255" customWidth="1"/>
    <col min="23" max="23" width="11.125" style="255" customWidth="1"/>
    <col min="24" max="24" width="7.875" style="255" customWidth="1"/>
    <col min="25" max="25" width="7.25" style="255" customWidth="1"/>
    <col min="26" max="26" width="9.125" style="255" customWidth="1"/>
    <col min="27" max="27" width="15.125" style="255" customWidth="1"/>
    <col min="28" max="28" width="7.75" style="255" customWidth="1"/>
    <col min="29" max="29" width="7.125" style="255" customWidth="1"/>
    <col min="30" max="30" width="12.125" style="255" customWidth="1"/>
    <col min="31" max="31" width="8.25" style="255" customWidth="1"/>
    <col min="32" max="33" width="10.375" style="255" customWidth="1"/>
    <col min="34" max="34" width="15.625" style="255" customWidth="1"/>
    <col min="35" max="35" width="15.875" style="255" customWidth="1"/>
    <col min="36" max="36" width="8.125" style="255" customWidth="1"/>
    <col min="37" max="40" width="10.375" style="255" customWidth="1"/>
    <col min="41" max="41" width="7.25" style="255" customWidth="1"/>
    <col min="42" max="42" width="7.125" style="255" customWidth="1"/>
    <col min="43" max="43" width="9.5" style="255" customWidth="1"/>
    <col min="44" max="45" width="9" style="255" customWidth="1"/>
    <col min="46" max="46" width="16.125" style="255" customWidth="1"/>
    <col min="47" max="77" width="9" style="255" customWidth="1"/>
    <col min="78" max="237" width="25.25" style="255"/>
    <col min="238" max="267" width="9" style="255" customWidth="1"/>
    <col min="268" max="268" width="0.5" style="255" customWidth="1"/>
    <col min="269" max="269" width="25.25" style="255"/>
    <col min="270" max="270" width="0.5" style="255" customWidth="1"/>
    <col min="271" max="271" width="25.25" style="255"/>
    <col min="272" max="272" width="14.75" style="255" customWidth="1"/>
    <col min="273" max="273" width="11.5" style="255" customWidth="1"/>
    <col min="274" max="274" width="11.25" style="255" customWidth="1"/>
    <col min="275" max="275" width="10.75" style="255" customWidth="1"/>
    <col min="276" max="276" width="10" style="255" customWidth="1"/>
    <col min="277" max="277" width="9.875" style="255" customWidth="1"/>
    <col min="278" max="278" width="26.125" style="255" customWidth="1"/>
    <col min="279" max="279" width="11.125" style="255" customWidth="1"/>
    <col min="280" max="280" width="7.875" style="255" customWidth="1"/>
    <col min="281" max="281" width="7.25" style="255" customWidth="1"/>
    <col min="282" max="282" width="9.125" style="255" customWidth="1"/>
    <col min="283" max="283" width="15.125" style="255" customWidth="1"/>
    <col min="284" max="284" width="7.75" style="255" customWidth="1"/>
    <col min="285" max="285" width="7.125" style="255" customWidth="1"/>
    <col min="286" max="286" width="12.125" style="255" customWidth="1"/>
    <col min="287" max="287" width="8.25" style="255" customWidth="1"/>
    <col min="288" max="289" width="10.375" style="255" customWidth="1"/>
    <col min="290" max="290" width="15.625" style="255" customWidth="1"/>
    <col min="291" max="291" width="15.875" style="255" customWidth="1"/>
    <col min="292" max="292" width="8.125" style="255" customWidth="1"/>
    <col min="293" max="296" width="10.375" style="255" customWidth="1"/>
    <col min="297" max="297" width="7.25" style="255" customWidth="1"/>
    <col min="298" max="298" width="7.125" style="255" customWidth="1"/>
    <col min="299" max="299" width="9.5" style="255" customWidth="1"/>
    <col min="300" max="301" width="9" style="255" customWidth="1"/>
    <col min="302" max="302" width="16.125" style="255" customWidth="1"/>
    <col min="303" max="333" width="9" style="255" customWidth="1"/>
    <col min="334" max="493" width="25.25" style="255"/>
    <col min="494" max="523" width="9" style="255" customWidth="1"/>
    <col min="524" max="524" width="0.5" style="255" customWidth="1"/>
    <col min="525" max="525" width="25.25" style="255"/>
    <col min="526" max="526" width="0.5" style="255" customWidth="1"/>
    <col min="527" max="527" width="25.25" style="255"/>
    <col min="528" max="528" width="14.75" style="255" customWidth="1"/>
    <col min="529" max="529" width="11.5" style="255" customWidth="1"/>
    <col min="530" max="530" width="11.25" style="255" customWidth="1"/>
    <col min="531" max="531" width="10.75" style="255" customWidth="1"/>
    <col min="532" max="532" width="10" style="255" customWidth="1"/>
    <col min="533" max="533" width="9.875" style="255" customWidth="1"/>
    <col min="534" max="534" width="26.125" style="255" customWidth="1"/>
    <col min="535" max="535" width="11.125" style="255" customWidth="1"/>
    <col min="536" max="536" width="7.875" style="255" customWidth="1"/>
    <col min="537" max="537" width="7.25" style="255" customWidth="1"/>
    <col min="538" max="538" width="9.125" style="255" customWidth="1"/>
    <col min="539" max="539" width="15.125" style="255" customWidth="1"/>
    <col min="540" max="540" width="7.75" style="255" customWidth="1"/>
    <col min="541" max="541" width="7.125" style="255" customWidth="1"/>
    <col min="542" max="542" width="12.125" style="255" customWidth="1"/>
    <col min="543" max="543" width="8.25" style="255" customWidth="1"/>
    <col min="544" max="545" width="10.375" style="255" customWidth="1"/>
    <col min="546" max="546" width="15.625" style="255" customWidth="1"/>
    <col min="547" max="547" width="15.875" style="255" customWidth="1"/>
    <col min="548" max="548" width="8.125" style="255" customWidth="1"/>
    <col min="549" max="552" width="10.375" style="255" customWidth="1"/>
    <col min="553" max="553" width="7.25" style="255" customWidth="1"/>
    <col min="554" max="554" width="7.125" style="255" customWidth="1"/>
    <col min="555" max="555" width="9.5" style="255" customWidth="1"/>
    <col min="556" max="557" width="9" style="255" customWidth="1"/>
    <col min="558" max="558" width="16.125" style="255" customWidth="1"/>
    <col min="559" max="589" width="9" style="255" customWidth="1"/>
    <col min="590" max="749" width="25.25" style="255"/>
    <col min="750" max="779" width="9" style="255" customWidth="1"/>
    <col min="780" max="780" width="0.5" style="255" customWidth="1"/>
    <col min="781" max="781" width="25.25" style="255"/>
    <col min="782" max="782" width="0.5" style="255" customWidth="1"/>
    <col min="783" max="783" width="25.25" style="255"/>
    <col min="784" max="784" width="14.75" style="255" customWidth="1"/>
    <col min="785" max="785" width="11.5" style="255" customWidth="1"/>
    <col min="786" max="786" width="11.25" style="255" customWidth="1"/>
    <col min="787" max="787" width="10.75" style="255" customWidth="1"/>
    <col min="788" max="788" width="10" style="255" customWidth="1"/>
    <col min="789" max="789" width="9.875" style="255" customWidth="1"/>
    <col min="790" max="790" width="26.125" style="255" customWidth="1"/>
    <col min="791" max="791" width="11.125" style="255" customWidth="1"/>
    <col min="792" max="792" width="7.875" style="255" customWidth="1"/>
    <col min="793" max="793" width="7.25" style="255" customWidth="1"/>
    <col min="794" max="794" width="9.125" style="255" customWidth="1"/>
    <col min="795" max="795" width="15.125" style="255" customWidth="1"/>
    <col min="796" max="796" width="7.75" style="255" customWidth="1"/>
    <col min="797" max="797" width="7.125" style="255" customWidth="1"/>
    <col min="798" max="798" width="12.125" style="255" customWidth="1"/>
    <col min="799" max="799" width="8.25" style="255" customWidth="1"/>
    <col min="800" max="801" width="10.375" style="255" customWidth="1"/>
    <col min="802" max="802" width="15.625" style="255" customWidth="1"/>
    <col min="803" max="803" width="15.875" style="255" customWidth="1"/>
    <col min="804" max="804" width="8.125" style="255" customWidth="1"/>
    <col min="805" max="808" width="10.375" style="255" customWidth="1"/>
    <col min="809" max="809" width="7.25" style="255" customWidth="1"/>
    <col min="810" max="810" width="7.125" style="255" customWidth="1"/>
    <col min="811" max="811" width="9.5" style="255" customWidth="1"/>
    <col min="812" max="813" width="9" style="255" customWidth="1"/>
    <col min="814" max="814" width="16.125" style="255" customWidth="1"/>
    <col min="815" max="845" width="9" style="255" customWidth="1"/>
    <col min="846" max="1005" width="25.25" style="255"/>
    <col min="1006" max="1035" width="9" style="255" customWidth="1"/>
    <col min="1036" max="1036" width="0.5" style="255" customWidth="1"/>
    <col min="1037" max="1037" width="25.25" style="255"/>
    <col min="1038" max="1038" width="0.5" style="255" customWidth="1"/>
    <col min="1039" max="1039" width="25.25" style="255"/>
    <col min="1040" max="1040" width="14.75" style="255" customWidth="1"/>
    <col min="1041" max="1041" width="11.5" style="255" customWidth="1"/>
    <col min="1042" max="1042" width="11.25" style="255" customWidth="1"/>
    <col min="1043" max="1043" width="10.75" style="255" customWidth="1"/>
    <col min="1044" max="1044" width="10" style="255" customWidth="1"/>
    <col min="1045" max="1045" width="9.875" style="255" customWidth="1"/>
    <col min="1046" max="1046" width="26.125" style="255" customWidth="1"/>
    <col min="1047" max="1047" width="11.125" style="255" customWidth="1"/>
    <col min="1048" max="1048" width="7.875" style="255" customWidth="1"/>
    <col min="1049" max="1049" width="7.25" style="255" customWidth="1"/>
    <col min="1050" max="1050" width="9.125" style="255" customWidth="1"/>
    <col min="1051" max="1051" width="15.125" style="255" customWidth="1"/>
    <col min="1052" max="1052" width="7.75" style="255" customWidth="1"/>
    <col min="1053" max="1053" width="7.125" style="255" customWidth="1"/>
    <col min="1054" max="1054" width="12.125" style="255" customWidth="1"/>
    <col min="1055" max="1055" width="8.25" style="255" customWidth="1"/>
    <col min="1056" max="1057" width="10.375" style="255" customWidth="1"/>
    <col min="1058" max="1058" width="15.625" style="255" customWidth="1"/>
    <col min="1059" max="1059" width="15.875" style="255" customWidth="1"/>
    <col min="1060" max="1060" width="8.125" style="255" customWidth="1"/>
    <col min="1061" max="1064" width="10.375" style="255" customWidth="1"/>
    <col min="1065" max="1065" width="7.25" style="255" customWidth="1"/>
    <col min="1066" max="1066" width="7.125" style="255" customWidth="1"/>
    <col min="1067" max="1067" width="9.5" style="255" customWidth="1"/>
    <col min="1068" max="1069" width="9" style="255" customWidth="1"/>
    <col min="1070" max="1070" width="16.125" style="255" customWidth="1"/>
    <col min="1071" max="1101" width="9" style="255" customWidth="1"/>
    <col min="1102" max="1261" width="25.25" style="255"/>
    <col min="1262" max="1291" width="9" style="255" customWidth="1"/>
    <col min="1292" max="1292" width="0.5" style="255" customWidth="1"/>
    <col min="1293" max="1293" width="25.25" style="255"/>
    <col min="1294" max="1294" width="0.5" style="255" customWidth="1"/>
    <col min="1295" max="1295" width="25.25" style="255"/>
    <col min="1296" max="1296" width="14.75" style="255" customWidth="1"/>
    <col min="1297" max="1297" width="11.5" style="255" customWidth="1"/>
    <col min="1298" max="1298" width="11.25" style="255" customWidth="1"/>
    <col min="1299" max="1299" width="10.75" style="255" customWidth="1"/>
    <col min="1300" max="1300" width="10" style="255" customWidth="1"/>
    <col min="1301" max="1301" width="9.875" style="255" customWidth="1"/>
    <col min="1302" max="1302" width="26.125" style="255" customWidth="1"/>
    <col min="1303" max="1303" width="11.125" style="255" customWidth="1"/>
    <col min="1304" max="1304" width="7.875" style="255" customWidth="1"/>
    <col min="1305" max="1305" width="7.25" style="255" customWidth="1"/>
    <col min="1306" max="1306" width="9.125" style="255" customWidth="1"/>
    <col min="1307" max="1307" width="15.125" style="255" customWidth="1"/>
    <col min="1308" max="1308" width="7.75" style="255" customWidth="1"/>
    <col min="1309" max="1309" width="7.125" style="255" customWidth="1"/>
    <col min="1310" max="1310" width="12.125" style="255" customWidth="1"/>
    <col min="1311" max="1311" width="8.25" style="255" customWidth="1"/>
    <col min="1312" max="1313" width="10.375" style="255" customWidth="1"/>
    <col min="1314" max="1314" width="15.625" style="255" customWidth="1"/>
    <col min="1315" max="1315" width="15.875" style="255" customWidth="1"/>
    <col min="1316" max="1316" width="8.125" style="255" customWidth="1"/>
    <col min="1317" max="1320" width="10.375" style="255" customWidth="1"/>
    <col min="1321" max="1321" width="7.25" style="255" customWidth="1"/>
    <col min="1322" max="1322" width="7.125" style="255" customWidth="1"/>
    <col min="1323" max="1323" width="9.5" style="255" customWidth="1"/>
    <col min="1324" max="1325" width="9" style="255" customWidth="1"/>
    <col min="1326" max="1326" width="16.125" style="255" customWidth="1"/>
    <col min="1327" max="1357" width="9" style="255" customWidth="1"/>
    <col min="1358" max="1517" width="25.25" style="255"/>
    <col min="1518" max="1547" width="9" style="255" customWidth="1"/>
    <col min="1548" max="1548" width="0.5" style="255" customWidth="1"/>
    <col min="1549" max="1549" width="25.25" style="255"/>
    <col min="1550" max="1550" width="0.5" style="255" customWidth="1"/>
    <col min="1551" max="1551" width="25.25" style="255"/>
    <col min="1552" max="1552" width="14.75" style="255" customWidth="1"/>
    <col min="1553" max="1553" width="11.5" style="255" customWidth="1"/>
    <col min="1554" max="1554" width="11.25" style="255" customWidth="1"/>
    <col min="1555" max="1555" width="10.75" style="255" customWidth="1"/>
    <col min="1556" max="1556" width="10" style="255" customWidth="1"/>
    <col min="1557" max="1557" width="9.875" style="255" customWidth="1"/>
    <col min="1558" max="1558" width="26.125" style="255" customWidth="1"/>
    <col min="1559" max="1559" width="11.125" style="255" customWidth="1"/>
    <col min="1560" max="1560" width="7.875" style="255" customWidth="1"/>
    <col min="1561" max="1561" width="7.25" style="255" customWidth="1"/>
    <col min="1562" max="1562" width="9.125" style="255" customWidth="1"/>
    <col min="1563" max="1563" width="15.125" style="255" customWidth="1"/>
    <col min="1564" max="1564" width="7.75" style="255" customWidth="1"/>
    <col min="1565" max="1565" width="7.125" style="255" customWidth="1"/>
    <col min="1566" max="1566" width="12.125" style="255" customWidth="1"/>
    <col min="1567" max="1567" width="8.25" style="255" customWidth="1"/>
    <col min="1568" max="1569" width="10.375" style="255" customWidth="1"/>
    <col min="1570" max="1570" width="15.625" style="255" customWidth="1"/>
    <col min="1571" max="1571" width="15.875" style="255" customWidth="1"/>
    <col min="1572" max="1572" width="8.125" style="255" customWidth="1"/>
    <col min="1573" max="1576" width="10.375" style="255" customWidth="1"/>
    <col min="1577" max="1577" width="7.25" style="255" customWidth="1"/>
    <col min="1578" max="1578" width="7.125" style="255" customWidth="1"/>
    <col min="1579" max="1579" width="9.5" style="255" customWidth="1"/>
    <col min="1580" max="1581" width="9" style="255" customWidth="1"/>
    <col min="1582" max="1582" width="16.125" style="255" customWidth="1"/>
    <col min="1583" max="1613" width="9" style="255" customWidth="1"/>
    <col min="1614" max="1773" width="25.25" style="255"/>
    <col min="1774" max="1803" width="9" style="255" customWidth="1"/>
    <col min="1804" max="1804" width="0.5" style="255" customWidth="1"/>
    <col min="1805" max="1805" width="25.25" style="255"/>
    <col min="1806" max="1806" width="0.5" style="255" customWidth="1"/>
    <col min="1807" max="1807" width="25.25" style="255"/>
    <col min="1808" max="1808" width="14.75" style="255" customWidth="1"/>
    <col min="1809" max="1809" width="11.5" style="255" customWidth="1"/>
    <col min="1810" max="1810" width="11.25" style="255" customWidth="1"/>
    <col min="1811" max="1811" width="10.75" style="255" customWidth="1"/>
    <col min="1812" max="1812" width="10" style="255" customWidth="1"/>
    <col min="1813" max="1813" width="9.875" style="255" customWidth="1"/>
    <col min="1814" max="1814" width="26.125" style="255" customWidth="1"/>
    <col min="1815" max="1815" width="11.125" style="255" customWidth="1"/>
    <col min="1816" max="1816" width="7.875" style="255" customWidth="1"/>
    <col min="1817" max="1817" width="7.25" style="255" customWidth="1"/>
    <col min="1818" max="1818" width="9.125" style="255" customWidth="1"/>
    <col min="1819" max="1819" width="15.125" style="255" customWidth="1"/>
    <col min="1820" max="1820" width="7.75" style="255" customWidth="1"/>
    <col min="1821" max="1821" width="7.125" style="255" customWidth="1"/>
    <col min="1822" max="1822" width="12.125" style="255" customWidth="1"/>
    <col min="1823" max="1823" width="8.25" style="255" customWidth="1"/>
    <col min="1824" max="1825" width="10.375" style="255" customWidth="1"/>
    <col min="1826" max="1826" width="15.625" style="255" customWidth="1"/>
    <col min="1827" max="1827" width="15.875" style="255" customWidth="1"/>
    <col min="1828" max="1828" width="8.125" style="255" customWidth="1"/>
    <col min="1829" max="1832" width="10.375" style="255" customWidth="1"/>
    <col min="1833" max="1833" width="7.25" style="255" customWidth="1"/>
    <col min="1834" max="1834" width="7.125" style="255" customWidth="1"/>
    <col min="1835" max="1835" width="9.5" style="255" customWidth="1"/>
    <col min="1836" max="1837" width="9" style="255" customWidth="1"/>
    <col min="1838" max="1838" width="16.125" style="255" customWidth="1"/>
    <col min="1839" max="1869" width="9" style="255" customWidth="1"/>
    <col min="1870" max="2029" width="25.25" style="255"/>
    <col min="2030" max="2059" width="9" style="255" customWidth="1"/>
    <col min="2060" max="2060" width="0.5" style="255" customWidth="1"/>
    <col min="2061" max="2061" width="25.25" style="255"/>
    <col min="2062" max="2062" width="0.5" style="255" customWidth="1"/>
    <col min="2063" max="2063" width="25.25" style="255"/>
    <col min="2064" max="2064" width="14.75" style="255" customWidth="1"/>
    <col min="2065" max="2065" width="11.5" style="255" customWidth="1"/>
    <col min="2066" max="2066" width="11.25" style="255" customWidth="1"/>
    <col min="2067" max="2067" width="10.75" style="255" customWidth="1"/>
    <col min="2068" max="2068" width="10" style="255" customWidth="1"/>
    <col min="2069" max="2069" width="9.875" style="255" customWidth="1"/>
    <col min="2070" max="2070" width="26.125" style="255" customWidth="1"/>
    <col min="2071" max="2071" width="11.125" style="255" customWidth="1"/>
    <col min="2072" max="2072" width="7.875" style="255" customWidth="1"/>
    <col min="2073" max="2073" width="7.25" style="255" customWidth="1"/>
    <col min="2074" max="2074" width="9.125" style="255" customWidth="1"/>
    <col min="2075" max="2075" width="15.125" style="255" customWidth="1"/>
    <col min="2076" max="2076" width="7.75" style="255" customWidth="1"/>
    <col min="2077" max="2077" width="7.125" style="255" customWidth="1"/>
    <col min="2078" max="2078" width="12.125" style="255" customWidth="1"/>
    <col min="2079" max="2079" width="8.25" style="255" customWidth="1"/>
    <col min="2080" max="2081" width="10.375" style="255" customWidth="1"/>
    <col min="2082" max="2082" width="15.625" style="255" customWidth="1"/>
    <col min="2083" max="2083" width="15.875" style="255" customWidth="1"/>
    <col min="2084" max="2084" width="8.125" style="255" customWidth="1"/>
    <col min="2085" max="2088" width="10.375" style="255" customWidth="1"/>
    <col min="2089" max="2089" width="7.25" style="255" customWidth="1"/>
    <col min="2090" max="2090" width="7.125" style="255" customWidth="1"/>
    <col min="2091" max="2091" width="9.5" style="255" customWidth="1"/>
    <col min="2092" max="2093" width="9" style="255" customWidth="1"/>
    <col min="2094" max="2094" width="16.125" style="255" customWidth="1"/>
    <col min="2095" max="2125" width="9" style="255" customWidth="1"/>
    <col min="2126" max="2285" width="25.25" style="255"/>
    <col min="2286" max="2315" width="9" style="255" customWidth="1"/>
    <col min="2316" max="2316" width="0.5" style="255" customWidth="1"/>
    <col min="2317" max="2317" width="25.25" style="255"/>
    <col min="2318" max="2318" width="0.5" style="255" customWidth="1"/>
    <col min="2319" max="2319" width="25.25" style="255"/>
    <col min="2320" max="2320" width="14.75" style="255" customWidth="1"/>
    <col min="2321" max="2321" width="11.5" style="255" customWidth="1"/>
    <col min="2322" max="2322" width="11.25" style="255" customWidth="1"/>
    <col min="2323" max="2323" width="10.75" style="255" customWidth="1"/>
    <col min="2324" max="2324" width="10" style="255" customWidth="1"/>
    <col min="2325" max="2325" width="9.875" style="255" customWidth="1"/>
    <col min="2326" max="2326" width="26.125" style="255" customWidth="1"/>
    <col min="2327" max="2327" width="11.125" style="255" customWidth="1"/>
    <col min="2328" max="2328" width="7.875" style="255" customWidth="1"/>
    <col min="2329" max="2329" width="7.25" style="255" customWidth="1"/>
    <col min="2330" max="2330" width="9.125" style="255" customWidth="1"/>
    <col min="2331" max="2331" width="15.125" style="255" customWidth="1"/>
    <col min="2332" max="2332" width="7.75" style="255" customWidth="1"/>
    <col min="2333" max="2333" width="7.125" style="255" customWidth="1"/>
    <col min="2334" max="2334" width="12.125" style="255" customWidth="1"/>
    <col min="2335" max="2335" width="8.25" style="255" customWidth="1"/>
    <col min="2336" max="2337" width="10.375" style="255" customWidth="1"/>
    <col min="2338" max="2338" width="15.625" style="255" customWidth="1"/>
    <col min="2339" max="2339" width="15.875" style="255" customWidth="1"/>
    <col min="2340" max="2340" width="8.125" style="255" customWidth="1"/>
    <col min="2341" max="2344" width="10.375" style="255" customWidth="1"/>
    <col min="2345" max="2345" width="7.25" style="255" customWidth="1"/>
    <col min="2346" max="2346" width="7.125" style="255" customWidth="1"/>
    <col min="2347" max="2347" width="9.5" style="255" customWidth="1"/>
    <col min="2348" max="2349" width="9" style="255" customWidth="1"/>
    <col min="2350" max="2350" width="16.125" style="255" customWidth="1"/>
    <col min="2351" max="2381" width="9" style="255" customWidth="1"/>
    <col min="2382" max="2541" width="25.25" style="255"/>
    <col min="2542" max="2571" width="9" style="255" customWidth="1"/>
    <col min="2572" max="2572" width="0.5" style="255" customWidth="1"/>
    <col min="2573" max="2573" width="25.25" style="255"/>
    <col min="2574" max="2574" width="0.5" style="255" customWidth="1"/>
    <col min="2575" max="2575" width="25.25" style="255"/>
    <col min="2576" max="2576" width="14.75" style="255" customWidth="1"/>
    <col min="2577" max="2577" width="11.5" style="255" customWidth="1"/>
    <col min="2578" max="2578" width="11.25" style="255" customWidth="1"/>
    <col min="2579" max="2579" width="10.75" style="255" customWidth="1"/>
    <col min="2580" max="2580" width="10" style="255" customWidth="1"/>
    <col min="2581" max="2581" width="9.875" style="255" customWidth="1"/>
    <col min="2582" max="2582" width="26.125" style="255" customWidth="1"/>
    <col min="2583" max="2583" width="11.125" style="255" customWidth="1"/>
    <col min="2584" max="2584" width="7.875" style="255" customWidth="1"/>
    <col min="2585" max="2585" width="7.25" style="255" customWidth="1"/>
    <col min="2586" max="2586" width="9.125" style="255" customWidth="1"/>
    <col min="2587" max="2587" width="15.125" style="255" customWidth="1"/>
    <col min="2588" max="2588" width="7.75" style="255" customWidth="1"/>
    <col min="2589" max="2589" width="7.125" style="255" customWidth="1"/>
    <col min="2590" max="2590" width="12.125" style="255" customWidth="1"/>
    <col min="2591" max="2591" width="8.25" style="255" customWidth="1"/>
    <col min="2592" max="2593" width="10.375" style="255" customWidth="1"/>
    <col min="2594" max="2594" width="15.625" style="255" customWidth="1"/>
    <col min="2595" max="2595" width="15.875" style="255" customWidth="1"/>
    <col min="2596" max="2596" width="8.125" style="255" customWidth="1"/>
    <col min="2597" max="2600" width="10.375" style="255" customWidth="1"/>
    <col min="2601" max="2601" width="7.25" style="255" customWidth="1"/>
    <col min="2602" max="2602" width="7.125" style="255" customWidth="1"/>
    <col min="2603" max="2603" width="9.5" style="255" customWidth="1"/>
    <col min="2604" max="2605" width="9" style="255" customWidth="1"/>
    <col min="2606" max="2606" width="16.125" style="255" customWidth="1"/>
    <col min="2607" max="2637" width="9" style="255" customWidth="1"/>
    <col min="2638" max="2797" width="25.25" style="255"/>
    <col min="2798" max="2827" width="9" style="255" customWidth="1"/>
    <col min="2828" max="2828" width="0.5" style="255" customWidth="1"/>
    <col min="2829" max="2829" width="25.25" style="255"/>
    <col min="2830" max="2830" width="0.5" style="255" customWidth="1"/>
    <col min="2831" max="2831" width="25.25" style="255"/>
    <col min="2832" max="2832" width="14.75" style="255" customWidth="1"/>
    <col min="2833" max="2833" width="11.5" style="255" customWidth="1"/>
    <col min="2834" max="2834" width="11.25" style="255" customWidth="1"/>
    <col min="2835" max="2835" width="10.75" style="255" customWidth="1"/>
    <col min="2836" max="2836" width="10" style="255" customWidth="1"/>
    <col min="2837" max="2837" width="9.875" style="255" customWidth="1"/>
    <col min="2838" max="2838" width="26.125" style="255" customWidth="1"/>
    <col min="2839" max="2839" width="11.125" style="255" customWidth="1"/>
    <col min="2840" max="2840" width="7.875" style="255" customWidth="1"/>
    <col min="2841" max="2841" width="7.25" style="255" customWidth="1"/>
    <col min="2842" max="2842" width="9.125" style="255" customWidth="1"/>
    <col min="2843" max="2843" width="15.125" style="255" customWidth="1"/>
    <col min="2844" max="2844" width="7.75" style="255" customWidth="1"/>
    <col min="2845" max="2845" width="7.125" style="255" customWidth="1"/>
    <col min="2846" max="2846" width="12.125" style="255" customWidth="1"/>
    <col min="2847" max="2847" width="8.25" style="255" customWidth="1"/>
    <col min="2848" max="2849" width="10.375" style="255" customWidth="1"/>
    <col min="2850" max="2850" width="15.625" style="255" customWidth="1"/>
    <col min="2851" max="2851" width="15.875" style="255" customWidth="1"/>
    <col min="2852" max="2852" width="8.125" style="255" customWidth="1"/>
    <col min="2853" max="2856" width="10.375" style="255" customWidth="1"/>
    <col min="2857" max="2857" width="7.25" style="255" customWidth="1"/>
    <col min="2858" max="2858" width="7.125" style="255" customWidth="1"/>
    <col min="2859" max="2859" width="9.5" style="255" customWidth="1"/>
    <col min="2860" max="2861" width="9" style="255" customWidth="1"/>
    <col min="2862" max="2862" width="16.125" style="255" customWidth="1"/>
    <col min="2863" max="2893" width="9" style="255" customWidth="1"/>
    <col min="2894" max="3053" width="25.25" style="255"/>
    <col min="3054" max="3083" width="9" style="255" customWidth="1"/>
    <col min="3084" max="3084" width="0.5" style="255" customWidth="1"/>
    <col min="3085" max="3085" width="25.25" style="255"/>
    <col min="3086" max="3086" width="0.5" style="255" customWidth="1"/>
    <col min="3087" max="3087" width="25.25" style="255"/>
    <col min="3088" max="3088" width="14.75" style="255" customWidth="1"/>
    <col min="3089" max="3089" width="11.5" style="255" customWidth="1"/>
    <col min="3090" max="3090" width="11.25" style="255" customWidth="1"/>
    <col min="3091" max="3091" width="10.75" style="255" customWidth="1"/>
    <col min="3092" max="3092" width="10" style="255" customWidth="1"/>
    <col min="3093" max="3093" width="9.875" style="255" customWidth="1"/>
    <col min="3094" max="3094" width="26.125" style="255" customWidth="1"/>
    <col min="3095" max="3095" width="11.125" style="255" customWidth="1"/>
    <col min="3096" max="3096" width="7.875" style="255" customWidth="1"/>
    <col min="3097" max="3097" width="7.25" style="255" customWidth="1"/>
    <col min="3098" max="3098" width="9.125" style="255" customWidth="1"/>
    <col min="3099" max="3099" width="15.125" style="255" customWidth="1"/>
    <col min="3100" max="3100" width="7.75" style="255" customWidth="1"/>
    <col min="3101" max="3101" width="7.125" style="255" customWidth="1"/>
    <col min="3102" max="3102" width="12.125" style="255" customWidth="1"/>
    <col min="3103" max="3103" width="8.25" style="255" customWidth="1"/>
    <col min="3104" max="3105" width="10.375" style="255" customWidth="1"/>
    <col min="3106" max="3106" width="15.625" style="255" customWidth="1"/>
    <col min="3107" max="3107" width="15.875" style="255" customWidth="1"/>
    <col min="3108" max="3108" width="8.125" style="255" customWidth="1"/>
    <col min="3109" max="3112" width="10.375" style="255" customWidth="1"/>
    <col min="3113" max="3113" width="7.25" style="255" customWidth="1"/>
    <col min="3114" max="3114" width="7.125" style="255" customWidth="1"/>
    <col min="3115" max="3115" width="9.5" style="255" customWidth="1"/>
    <col min="3116" max="3117" width="9" style="255" customWidth="1"/>
    <col min="3118" max="3118" width="16.125" style="255" customWidth="1"/>
    <col min="3119" max="3149" width="9" style="255" customWidth="1"/>
    <col min="3150" max="3309" width="25.25" style="255"/>
    <col min="3310" max="3339" width="9" style="255" customWidth="1"/>
    <col min="3340" max="3340" width="0.5" style="255" customWidth="1"/>
    <col min="3341" max="3341" width="25.25" style="255"/>
    <col min="3342" max="3342" width="0.5" style="255" customWidth="1"/>
    <col min="3343" max="3343" width="25.25" style="255"/>
    <col min="3344" max="3344" width="14.75" style="255" customWidth="1"/>
    <col min="3345" max="3345" width="11.5" style="255" customWidth="1"/>
    <col min="3346" max="3346" width="11.25" style="255" customWidth="1"/>
    <col min="3347" max="3347" width="10.75" style="255" customWidth="1"/>
    <col min="3348" max="3348" width="10" style="255" customWidth="1"/>
    <col min="3349" max="3349" width="9.875" style="255" customWidth="1"/>
    <col min="3350" max="3350" width="26.125" style="255" customWidth="1"/>
    <col min="3351" max="3351" width="11.125" style="255" customWidth="1"/>
    <col min="3352" max="3352" width="7.875" style="255" customWidth="1"/>
    <col min="3353" max="3353" width="7.25" style="255" customWidth="1"/>
    <col min="3354" max="3354" width="9.125" style="255" customWidth="1"/>
    <col min="3355" max="3355" width="15.125" style="255" customWidth="1"/>
    <col min="3356" max="3356" width="7.75" style="255" customWidth="1"/>
    <col min="3357" max="3357" width="7.125" style="255" customWidth="1"/>
    <col min="3358" max="3358" width="12.125" style="255" customWidth="1"/>
    <col min="3359" max="3359" width="8.25" style="255" customWidth="1"/>
    <col min="3360" max="3361" width="10.375" style="255" customWidth="1"/>
    <col min="3362" max="3362" width="15.625" style="255" customWidth="1"/>
    <col min="3363" max="3363" width="15.875" style="255" customWidth="1"/>
    <col min="3364" max="3364" width="8.125" style="255" customWidth="1"/>
    <col min="3365" max="3368" width="10.375" style="255" customWidth="1"/>
    <col min="3369" max="3369" width="7.25" style="255" customWidth="1"/>
    <col min="3370" max="3370" width="7.125" style="255" customWidth="1"/>
    <col min="3371" max="3371" width="9.5" style="255" customWidth="1"/>
    <col min="3372" max="3373" width="9" style="255" customWidth="1"/>
    <col min="3374" max="3374" width="16.125" style="255" customWidth="1"/>
    <col min="3375" max="3405" width="9" style="255" customWidth="1"/>
    <col min="3406" max="3565" width="25.25" style="255"/>
    <col min="3566" max="3595" width="9" style="255" customWidth="1"/>
    <col min="3596" max="3596" width="0.5" style="255" customWidth="1"/>
    <col min="3597" max="3597" width="25.25" style="255"/>
    <col min="3598" max="3598" width="0.5" style="255" customWidth="1"/>
    <col min="3599" max="3599" width="25.25" style="255"/>
    <col min="3600" max="3600" width="14.75" style="255" customWidth="1"/>
    <col min="3601" max="3601" width="11.5" style="255" customWidth="1"/>
    <col min="3602" max="3602" width="11.25" style="255" customWidth="1"/>
    <col min="3603" max="3603" width="10.75" style="255" customWidth="1"/>
    <col min="3604" max="3604" width="10" style="255" customWidth="1"/>
    <col min="3605" max="3605" width="9.875" style="255" customWidth="1"/>
    <col min="3606" max="3606" width="26.125" style="255" customWidth="1"/>
    <col min="3607" max="3607" width="11.125" style="255" customWidth="1"/>
    <col min="3608" max="3608" width="7.875" style="255" customWidth="1"/>
    <col min="3609" max="3609" width="7.25" style="255" customWidth="1"/>
    <col min="3610" max="3610" width="9.125" style="255" customWidth="1"/>
    <col min="3611" max="3611" width="15.125" style="255" customWidth="1"/>
    <col min="3612" max="3612" width="7.75" style="255" customWidth="1"/>
    <col min="3613" max="3613" width="7.125" style="255" customWidth="1"/>
    <col min="3614" max="3614" width="12.125" style="255" customWidth="1"/>
    <col min="3615" max="3615" width="8.25" style="255" customWidth="1"/>
    <col min="3616" max="3617" width="10.375" style="255" customWidth="1"/>
    <col min="3618" max="3618" width="15.625" style="255" customWidth="1"/>
    <col min="3619" max="3619" width="15.875" style="255" customWidth="1"/>
    <col min="3620" max="3620" width="8.125" style="255" customWidth="1"/>
    <col min="3621" max="3624" width="10.375" style="255" customWidth="1"/>
    <col min="3625" max="3625" width="7.25" style="255" customWidth="1"/>
    <col min="3626" max="3626" width="7.125" style="255" customWidth="1"/>
    <col min="3627" max="3627" width="9.5" style="255" customWidth="1"/>
    <col min="3628" max="3629" width="9" style="255" customWidth="1"/>
    <col min="3630" max="3630" width="16.125" style="255" customWidth="1"/>
    <col min="3631" max="3661" width="9" style="255" customWidth="1"/>
    <col min="3662" max="3821" width="25.25" style="255"/>
    <col min="3822" max="3851" width="9" style="255" customWidth="1"/>
    <col min="3852" max="3852" width="0.5" style="255" customWidth="1"/>
    <col min="3853" max="3853" width="25.25" style="255"/>
    <col min="3854" max="3854" width="0.5" style="255" customWidth="1"/>
    <col min="3855" max="3855" width="25.25" style="255"/>
    <col min="3856" max="3856" width="14.75" style="255" customWidth="1"/>
    <col min="3857" max="3857" width="11.5" style="255" customWidth="1"/>
    <col min="3858" max="3858" width="11.25" style="255" customWidth="1"/>
    <col min="3859" max="3859" width="10.75" style="255" customWidth="1"/>
    <col min="3860" max="3860" width="10" style="255" customWidth="1"/>
    <col min="3861" max="3861" width="9.875" style="255" customWidth="1"/>
    <col min="3862" max="3862" width="26.125" style="255" customWidth="1"/>
    <col min="3863" max="3863" width="11.125" style="255" customWidth="1"/>
    <col min="3864" max="3864" width="7.875" style="255" customWidth="1"/>
    <col min="3865" max="3865" width="7.25" style="255" customWidth="1"/>
    <col min="3866" max="3866" width="9.125" style="255" customWidth="1"/>
    <col min="3867" max="3867" width="15.125" style="255" customWidth="1"/>
    <col min="3868" max="3868" width="7.75" style="255" customWidth="1"/>
    <col min="3869" max="3869" width="7.125" style="255" customWidth="1"/>
    <col min="3870" max="3870" width="12.125" style="255" customWidth="1"/>
    <col min="3871" max="3871" width="8.25" style="255" customWidth="1"/>
    <col min="3872" max="3873" width="10.375" style="255" customWidth="1"/>
    <col min="3874" max="3874" width="15.625" style="255" customWidth="1"/>
    <col min="3875" max="3875" width="15.875" style="255" customWidth="1"/>
    <col min="3876" max="3876" width="8.125" style="255" customWidth="1"/>
    <col min="3877" max="3880" width="10.375" style="255" customWidth="1"/>
    <col min="3881" max="3881" width="7.25" style="255" customWidth="1"/>
    <col min="3882" max="3882" width="7.125" style="255" customWidth="1"/>
    <col min="3883" max="3883" width="9.5" style="255" customWidth="1"/>
    <col min="3884" max="3885" width="9" style="255" customWidth="1"/>
    <col min="3886" max="3886" width="16.125" style="255" customWidth="1"/>
    <col min="3887" max="3917" width="9" style="255" customWidth="1"/>
    <col min="3918" max="4077" width="25.25" style="255"/>
    <col min="4078" max="4107" width="9" style="255" customWidth="1"/>
    <col min="4108" max="4108" width="0.5" style="255" customWidth="1"/>
    <col min="4109" max="4109" width="25.25" style="255"/>
    <col min="4110" max="4110" width="0.5" style="255" customWidth="1"/>
    <col min="4111" max="4111" width="25.25" style="255"/>
    <col min="4112" max="4112" width="14.75" style="255" customWidth="1"/>
    <col min="4113" max="4113" width="11.5" style="255" customWidth="1"/>
    <col min="4114" max="4114" width="11.25" style="255" customWidth="1"/>
    <col min="4115" max="4115" width="10.75" style="255" customWidth="1"/>
    <col min="4116" max="4116" width="10" style="255" customWidth="1"/>
    <col min="4117" max="4117" width="9.875" style="255" customWidth="1"/>
    <col min="4118" max="4118" width="26.125" style="255" customWidth="1"/>
    <col min="4119" max="4119" width="11.125" style="255" customWidth="1"/>
    <col min="4120" max="4120" width="7.875" style="255" customWidth="1"/>
    <col min="4121" max="4121" width="7.25" style="255" customWidth="1"/>
    <col min="4122" max="4122" width="9.125" style="255" customWidth="1"/>
    <col min="4123" max="4123" width="15.125" style="255" customWidth="1"/>
    <col min="4124" max="4124" width="7.75" style="255" customWidth="1"/>
    <col min="4125" max="4125" width="7.125" style="255" customWidth="1"/>
    <col min="4126" max="4126" width="12.125" style="255" customWidth="1"/>
    <col min="4127" max="4127" width="8.25" style="255" customWidth="1"/>
    <col min="4128" max="4129" width="10.375" style="255" customWidth="1"/>
    <col min="4130" max="4130" width="15.625" style="255" customWidth="1"/>
    <col min="4131" max="4131" width="15.875" style="255" customWidth="1"/>
    <col min="4132" max="4132" width="8.125" style="255" customWidth="1"/>
    <col min="4133" max="4136" width="10.375" style="255" customWidth="1"/>
    <col min="4137" max="4137" width="7.25" style="255" customWidth="1"/>
    <col min="4138" max="4138" width="7.125" style="255" customWidth="1"/>
    <col min="4139" max="4139" width="9.5" style="255" customWidth="1"/>
    <col min="4140" max="4141" width="9" style="255" customWidth="1"/>
    <col min="4142" max="4142" width="16.125" style="255" customWidth="1"/>
    <col min="4143" max="4173" width="9" style="255" customWidth="1"/>
    <col min="4174" max="4333" width="25.25" style="255"/>
    <col min="4334" max="4363" width="9" style="255" customWidth="1"/>
    <col min="4364" max="4364" width="0.5" style="255" customWidth="1"/>
    <col min="4365" max="4365" width="25.25" style="255"/>
    <col min="4366" max="4366" width="0.5" style="255" customWidth="1"/>
    <col min="4367" max="4367" width="25.25" style="255"/>
    <col min="4368" max="4368" width="14.75" style="255" customWidth="1"/>
    <col min="4369" max="4369" width="11.5" style="255" customWidth="1"/>
    <col min="4370" max="4370" width="11.25" style="255" customWidth="1"/>
    <col min="4371" max="4371" width="10.75" style="255" customWidth="1"/>
    <col min="4372" max="4372" width="10" style="255" customWidth="1"/>
    <col min="4373" max="4373" width="9.875" style="255" customWidth="1"/>
    <col min="4374" max="4374" width="26.125" style="255" customWidth="1"/>
    <col min="4375" max="4375" width="11.125" style="255" customWidth="1"/>
    <col min="4376" max="4376" width="7.875" style="255" customWidth="1"/>
    <col min="4377" max="4377" width="7.25" style="255" customWidth="1"/>
    <col min="4378" max="4378" width="9.125" style="255" customWidth="1"/>
    <col min="4379" max="4379" width="15.125" style="255" customWidth="1"/>
    <col min="4380" max="4380" width="7.75" style="255" customWidth="1"/>
    <col min="4381" max="4381" width="7.125" style="255" customWidth="1"/>
    <col min="4382" max="4382" width="12.125" style="255" customWidth="1"/>
    <col min="4383" max="4383" width="8.25" style="255" customWidth="1"/>
    <col min="4384" max="4385" width="10.375" style="255" customWidth="1"/>
    <col min="4386" max="4386" width="15.625" style="255" customWidth="1"/>
    <col min="4387" max="4387" width="15.875" style="255" customWidth="1"/>
    <col min="4388" max="4388" width="8.125" style="255" customWidth="1"/>
    <col min="4389" max="4392" width="10.375" style="255" customWidth="1"/>
    <col min="4393" max="4393" width="7.25" style="255" customWidth="1"/>
    <col min="4394" max="4394" width="7.125" style="255" customWidth="1"/>
    <col min="4395" max="4395" width="9.5" style="255" customWidth="1"/>
    <col min="4396" max="4397" width="9" style="255" customWidth="1"/>
    <col min="4398" max="4398" width="16.125" style="255" customWidth="1"/>
    <col min="4399" max="4429" width="9" style="255" customWidth="1"/>
    <col min="4430" max="4589" width="25.25" style="255"/>
    <col min="4590" max="4619" width="9" style="255" customWidth="1"/>
    <col min="4620" max="4620" width="0.5" style="255" customWidth="1"/>
    <col min="4621" max="4621" width="25.25" style="255"/>
    <col min="4622" max="4622" width="0.5" style="255" customWidth="1"/>
    <col min="4623" max="4623" width="25.25" style="255"/>
    <col min="4624" max="4624" width="14.75" style="255" customWidth="1"/>
    <col min="4625" max="4625" width="11.5" style="255" customWidth="1"/>
    <col min="4626" max="4626" width="11.25" style="255" customWidth="1"/>
    <col min="4627" max="4627" width="10.75" style="255" customWidth="1"/>
    <col min="4628" max="4628" width="10" style="255" customWidth="1"/>
    <col min="4629" max="4629" width="9.875" style="255" customWidth="1"/>
    <col min="4630" max="4630" width="26.125" style="255" customWidth="1"/>
    <col min="4631" max="4631" width="11.125" style="255" customWidth="1"/>
    <col min="4632" max="4632" width="7.875" style="255" customWidth="1"/>
    <col min="4633" max="4633" width="7.25" style="255" customWidth="1"/>
    <col min="4634" max="4634" width="9.125" style="255" customWidth="1"/>
    <col min="4635" max="4635" width="15.125" style="255" customWidth="1"/>
    <col min="4636" max="4636" width="7.75" style="255" customWidth="1"/>
    <col min="4637" max="4637" width="7.125" style="255" customWidth="1"/>
    <col min="4638" max="4638" width="12.125" style="255" customWidth="1"/>
    <col min="4639" max="4639" width="8.25" style="255" customWidth="1"/>
    <col min="4640" max="4641" width="10.375" style="255" customWidth="1"/>
    <col min="4642" max="4642" width="15.625" style="255" customWidth="1"/>
    <col min="4643" max="4643" width="15.875" style="255" customWidth="1"/>
    <col min="4644" max="4644" width="8.125" style="255" customWidth="1"/>
    <col min="4645" max="4648" width="10.375" style="255" customWidth="1"/>
    <col min="4649" max="4649" width="7.25" style="255" customWidth="1"/>
    <col min="4650" max="4650" width="7.125" style="255" customWidth="1"/>
    <col min="4651" max="4651" width="9.5" style="255" customWidth="1"/>
    <col min="4652" max="4653" width="9" style="255" customWidth="1"/>
    <col min="4654" max="4654" width="16.125" style="255" customWidth="1"/>
    <col min="4655" max="4685" width="9" style="255" customWidth="1"/>
    <col min="4686" max="4845" width="25.25" style="255"/>
    <col min="4846" max="4875" width="9" style="255" customWidth="1"/>
    <col min="4876" max="4876" width="0.5" style="255" customWidth="1"/>
    <col min="4877" max="4877" width="25.25" style="255"/>
    <col min="4878" max="4878" width="0.5" style="255" customWidth="1"/>
    <col min="4879" max="4879" width="25.25" style="255"/>
    <col min="4880" max="4880" width="14.75" style="255" customWidth="1"/>
    <col min="4881" max="4881" width="11.5" style="255" customWidth="1"/>
    <col min="4882" max="4882" width="11.25" style="255" customWidth="1"/>
    <col min="4883" max="4883" width="10.75" style="255" customWidth="1"/>
    <col min="4884" max="4884" width="10" style="255" customWidth="1"/>
    <col min="4885" max="4885" width="9.875" style="255" customWidth="1"/>
    <col min="4886" max="4886" width="26.125" style="255" customWidth="1"/>
    <col min="4887" max="4887" width="11.125" style="255" customWidth="1"/>
    <col min="4888" max="4888" width="7.875" style="255" customWidth="1"/>
    <col min="4889" max="4889" width="7.25" style="255" customWidth="1"/>
    <col min="4890" max="4890" width="9.125" style="255" customWidth="1"/>
    <col min="4891" max="4891" width="15.125" style="255" customWidth="1"/>
    <col min="4892" max="4892" width="7.75" style="255" customWidth="1"/>
    <col min="4893" max="4893" width="7.125" style="255" customWidth="1"/>
    <col min="4894" max="4894" width="12.125" style="255" customWidth="1"/>
    <col min="4895" max="4895" width="8.25" style="255" customWidth="1"/>
    <col min="4896" max="4897" width="10.375" style="255" customWidth="1"/>
    <col min="4898" max="4898" width="15.625" style="255" customWidth="1"/>
    <col min="4899" max="4899" width="15.875" style="255" customWidth="1"/>
    <col min="4900" max="4900" width="8.125" style="255" customWidth="1"/>
    <col min="4901" max="4904" width="10.375" style="255" customWidth="1"/>
    <col min="4905" max="4905" width="7.25" style="255" customWidth="1"/>
    <col min="4906" max="4906" width="7.125" style="255" customWidth="1"/>
    <col min="4907" max="4907" width="9.5" style="255" customWidth="1"/>
    <col min="4908" max="4909" width="9" style="255" customWidth="1"/>
    <col min="4910" max="4910" width="16.125" style="255" customWidth="1"/>
    <col min="4911" max="4941" width="9" style="255" customWidth="1"/>
    <col min="4942" max="5101" width="25.25" style="255"/>
    <col min="5102" max="5131" width="9" style="255" customWidth="1"/>
    <col min="5132" max="5132" width="0.5" style="255" customWidth="1"/>
    <col min="5133" max="5133" width="25.25" style="255"/>
    <col min="5134" max="5134" width="0.5" style="255" customWidth="1"/>
    <col min="5135" max="5135" width="25.25" style="255"/>
    <col min="5136" max="5136" width="14.75" style="255" customWidth="1"/>
    <col min="5137" max="5137" width="11.5" style="255" customWidth="1"/>
    <col min="5138" max="5138" width="11.25" style="255" customWidth="1"/>
    <col min="5139" max="5139" width="10.75" style="255" customWidth="1"/>
    <col min="5140" max="5140" width="10" style="255" customWidth="1"/>
    <col min="5141" max="5141" width="9.875" style="255" customWidth="1"/>
    <col min="5142" max="5142" width="26.125" style="255" customWidth="1"/>
    <col min="5143" max="5143" width="11.125" style="255" customWidth="1"/>
    <col min="5144" max="5144" width="7.875" style="255" customWidth="1"/>
    <col min="5145" max="5145" width="7.25" style="255" customWidth="1"/>
    <col min="5146" max="5146" width="9.125" style="255" customWidth="1"/>
    <col min="5147" max="5147" width="15.125" style="255" customWidth="1"/>
    <col min="5148" max="5148" width="7.75" style="255" customWidth="1"/>
    <col min="5149" max="5149" width="7.125" style="255" customWidth="1"/>
    <col min="5150" max="5150" width="12.125" style="255" customWidth="1"/>
    <col min="5151" max="5151" width="8.25" style="255" customWidth="1"/>
    <col min="5152" max="5153" width="10.375" style="255" customWidth="1"/>
    <col min="5154" max="5154" width="15.625" style="255" customWidth="1"/>
    <col min="5155" max="5155" width="15.875" style="255" customWidth="1"/>
    <col min="5156" max="5156" width="8.125" style="255" customWidth="1"/>
    <col min="5157" max="5160" width="10.375" style="255" customWidth="1"/>
    <col min="5161" max="5161" width="7.25" style="255" customWidth="1"/>
    <col min="5162" max="5162" width="7.125" style="255" customWidth="1"/>
    <col min="5163" max="5163" width="9.5" style="255" customWidth="1"/>
    <col min="5164" max="5165" width="9" style="255" customWidth="1"/>
    <col min="5166" max="5166" width="16.125" style="255" customWidth="1"/>
    <col min="5167" max="5197" width="9" style="255" customWidth="1"/>
    <col min="5198" max="5357" width="25.25" style="255"/>
    <col min="5358" max="5387" width="9" style="255" customWidth="1"/>
    <col min="5388" max="5388" width="0.5" style="255" customWidth="1"/>
    <col min="5389" max="5389" width="25.25" style="255"/>
    <col min="5390" max="5390" width="0.5" style="255" customWidth="1"/>
    <col min="5391" max="5391" width="25.25" style="255"/>
    <col min="5392" max="5392" width="14.75" style="255" customWidth="1"/>
    <col min="5393" max="5393" width="11.5" style="255" customWidth="1"/>
    <col min="5394" max="5394" width="11.25" style="255" customWidth="1"/>
    <col min="5395" max="5395" width="10.75" style="255" customWidth="1"/>
    <col min="5396" max="5396" width="10" style="255" customWidth="1"/>
    <col min="5397" max="5397" width="9.875" style="255" customWidth="1"/>
    <col min="5398" max="5398" width="26.125" style="255" customWidth="1"/>
    <col min="5399" max="5399" width="11.125" style="255" customWidth="1"/>
    <col min="5400" max="5400" width="7.875" style="255" customWidth="1"/>
    <col min="5401" max="5401" width="7.25" style="255" customWidth="1"/>
    <col min="5402" max="5402" width="9.125" style="255" customWidth="1"/>
    <col min="5403" max="5403" width="15.125" style="255" customWidth="1"/>
    <col min="5404" max="5404" width="7.75" style="255" customWidth="1"/>
    <col min="5405" max="5405" width="7.125" style="255" customWidth="1"/>
    <col min="5406" max="5406" width="12.125" style="255" customWidth="1"/>
    <col min="5407" max="5407" width="8.25" style="255" customWidth="1"/>
    <col min="5408" max="5409" width="10.375" style="255" customWidth="1"/>
    <col min="5410" max="5410" width="15.625" style="255" customWidth="1"/>
    <col min="5411" max="5411" width="15.875" style="255" customWidth="1"/>
    <col min="5412" max="5412" width="8.125" style="255" customWidth="1"/>
    <col min="5413" max="5416" width="10.375" style="255" customWidth="1"/>
    <col min="5417" max="5417" width="7.25" style="255" customWidth="1"/>
    <col min="5418" max="5418" width="7.125" style="255" customWidth="1"/>
    <col min="5419" max="5419" width="9.5" style="255" customWidth="1"/>
    <col min="5420" max="5421" width="9" style="255" customWidth="1"/>
    <col min="5422" max="5422" width="16.125" style="255" customWidth="1"/>
    <col min="5423" max="5453" width="9" style="255" customWidth="1"/>
    <col min="5454" max="5613" width="25.25" style="255"/>
    <col min="5614" max="5643" width="9" style="255" customWidth="1"/>
    <col min="5644" max="5644" width="0.5" style="255" customWidth="1"/>
    <col min="5645" max="5645" width="25.25" style="255"/>
    <col min="5646" max="5646" width="0.5" style="255" customWidth="1"/>
    <col min="5647" max="5647" width="25.25" style="255"/>
    <col min="5648" max="5648" width="14.75" style="255" customWidth="1"/>
    <col min="5649" max="5649" width="11.5" style="255" customWidth="1"/>
    <col min="5650" max="5650" width="11.25" style="255" customWidth="1"/>
    <col min="5651" max="5651" width="10.75" style="255" customWidth="1"/>
    <col min="5652" max="5652" width="10" style="255" customWidth="1"/>
    <col min="5653" max="5653" width="9.875" style="255" customWidth="1"/>
    <col min="5654" max="5654" width="26.125" style="255" customWidth="1"/>
    <col min="5655" max="5655" width="11.125" style="255" customWidth="1"/>
    <col min="5656" max="5656" width="7.875" style="255" customWidth="1"/>
    <col min="5657" max="5657" width="7.25" style="255" customWidth="1"/>
    <col min="5658" max="5658" width="9.125" style="255" customWidth="1"/>
    <col min="5659" max="5659" width="15.125" style="255" customWidth="1"/>
    <col min="5660" max="5660" width="7.75" style="255" customWidth="1"/>
    <col min="5661" max="5661" width="7.125" style="255" customWidth="1"/>
    <col min="5662" max="5662" width="12.125" style="255" customWidth="1"/>
    <col min="5663" max="5663" width="8.25" style="255" customWidth="1"/>
    <col min="5664" max="5665" width="10.375" style="255" customWidth="1"/>
    <col min="5666" max="5666" width="15.625" style="255" customWidth="1"/>
    <col min="5667" max="5667" width="15.875" style="255" customWidth="1"/>
    <col min="5668" max="5668" width="8.125" style="255" customWidth="1"/>
    <col min="5669" max="5672" width="10.375" style="255" customWidth="1"/>
    <col min="5673" max="5673" width="7.25" style="255" customWidth="1"/>
    <col min="5674" max="5674" width="7.125" style="255" customWidth="1"/>
    <col min="5675" max="5675" width="9.5" style="255" customWidth="1"/>
    <col min="5676" max="5677" width="9" style="255" customWidth="1"/>
    <col min="5678" max="5678" width="16.125" style="255" customWidth="1"/>
    <col min="5679" max="5709" width="9" style="255" customWidth="1"/>
    <col min="5710" max="5869" width="25.25" style="255"/>
    <col min="5870" max="5899" width="9" style="255" customWidth="1"/>
    <col min="5900" max="5900" width="0.5" style="255" customWidth="1"/>
    <col min="5901" max="5901" width="25.25" style="255"/>
    <col min="5902" max="5902" width="0.5" style="255" customWidth="1"/>
    <col min="5903" max="5903" width="25.25" style="255"/>
    <col min="5904" max="5904" width="14.75" style="255" customWidth="1"/>
    <col min="5905" max="5905" width="11.5" style="255" customWidth="1"/>
    <col min="5906" max="5906" width="11.25" style="255" customWidth="1"/>
    <col min="5907" max="5907" width="10.75" style="255" customWidth="1"/>
    <col min="5908" max="5908" width="10" style="255" customWidth="1"/>
    <col min="5909" max="5909" width="9.875" style="255" customWidth="1"/>
    <col min="5910" max="5910" width="26.125" style="255" customWidth="1"/>
    <col min="5911" max="5911" width="11.125" style="255" customWidth="1"/>
    <col min="5912" max="5912" width="7.875" style="255" customWidth="1"/>
    <col min="5913" max="5913" width="7.25" style="255" customWidth="1"/>
    <col min="5914" max="5914" width="9.125" style="255" customWidth="1"/>
    <col min="5915" max="5915" width="15.125" style="255" customWidth="1"/>
    <col min="5916" max="5916" width="7.75" style="255" customWidth="1"/>
    <col min="5917" max="5917" width="7.125" style="255" customWidth="1"/>
    <col min="5918" max="5918" width="12.125" style="255" customWidth="1"/>
    <col min="5919" max="5919" width="8.25" style="255" customWidth="1"/>
    <col min="5920" max="5921" width="10.375" style="255" customWidth="1"/>
    <col min="5922" max="5922" width="15.625" style="255" customWidth="1"/>
    <col min="5923" max="5923" width="15.875" style="255" customWidth="1"/>
    <col min="5924" max="5924" width="8.125" style="255" customWidth="1"/>
    <col min="5925" max="5928" width="10.375" style="255" customWidth="1"/>
    <col min="5929" max="5929" width="7.25" style="255" customWidth="1"/>
    <col min="5930" max="5930" width="7.125" style="255" customWidth="1"/>
    <col min="5931" max="5931" width="9.5" style="255" customWidth="1"/>
    <col min="5932" max="5933" width="9" style="255" customWidth="1"/>
    <col min="5934" max="5934" width="16.125" style="255" customWidth="1"/>
    <col min="5935" max="5965" width="9" style="255" customWidth="1"/>
    <col min="5966" max="6125" width="25.25" style="255"/>
    <col min="6126" max="6155" width="9" style="255" customWidth="1"/>
    <col min="6156" max="6156" width="0.5" style="255" customWidth="1"/>
    <col min="6157" max="6157" width="25.25" style="255"/>
    <col min="6158" max="6158" width="0.5" style="255" customWidth="1"/>
    <col min="6159" max="6159" width="25.25" style="255"/>
    <col min="6160" max="6160" width="14.75" style="255" customWidth="1"/>
    <col min="6161" max="6161" width="11.5" style="255" customWidth="1"/>
    <col min="6162" max="6162" width="11.25" style="255" customWidth="1"/>
    <col min="6163" max="6163" width="10.75" style="255" customWidth="1"/>
    <col min="6164" max="6164" width="10" style="255" customWidth="1"/>
    <col min="6165" max="6165" width="9.875" style="255" customWidth="1"/>
    <col min="6166" max="6166" width="26.125" style="255" customWidth="1"/>
    <col min="6167" max="6167" width="11.125" style="255" customWidth="1"/>
    <col min="6168" max="6168" width="7.875" style="255" customWidth="1"/>
    <col min="6169" max="6169" width="7.25" style="255" customWidth="1"/>
    <col min="6170" max="6170" width="9.125" style="255" customWidth="1"/>
    <col min="6171" max="6171" width="15.125" style="255" customWidth="1"/>
    <col min="6172" max="6172" width="7.75" style="255" customWidth="1"/>
    <col min="6173" max="6173" width="7.125" style="255" customWidth="1"/>
    <col min="6174" max="6174" width="12.125" style="255" customWidth="1"/>
    <col min="6175" max="6175" width="8.25" style="255" customWidth="1"/>
    <col min="6176" max="6177" width="10.375" style="255" customWidth="1"/>
    <col min="6178" max="6178" width="15.625" style="255" customWidth="1"/>
    <col min="6179" max="6179" width="15.875" style="255" customWidth="1"/>
    <col min="6180" max="6180" width="8.125" style="255" customWidth="1"/>
    <col min="6181" max="6184" width="10.375" style="255" customWidth="1"/>
    <col min="6185" max="6185" width="7.25" style="255" customWidth="1"/>
    <col min="6186" max="6186" width="7.125" style="255" customWidth="1"/>
    <col min="6187" max="6187" width="9.5" style="255" customWidth="1"/>
    <col min="6188" max="6189" width="9" style="255" customWidth="1"/>
    <col min="6190" max="6190" width="16.125" style="255" customWidth="1"/>
    <col min="6191" max="6221" width="9" style="255" customWidth="1"/>
    <col min="6222" max="6381" width="25.25" style="255"/>
    <col min="6382" max="6411" width="9" style="255" customWidth="1"/>
    <col min="6412" max="6412" width="0.5" style="255" customWidth="1"/>
    <col min="6413" max="6413" width="25.25" style="255"/>
    <col min="6414" max="6414" width="0.5" style="255" customWidth="1"/>
    <col min="6415" max="6415" width="25.25" style="255"/>
    <col min="6416" max="6416" width="14.75" style="255" customWidth="1"/>
    <col min="6417" max="6417" width="11.5" style="255" customWidth="1"/>
    <col min="6418" max="6418" width="11.25" style="255" customWidth="1"/>
    <col min="6419" max="6419" width="10.75" style="255" customWidth="1"/>
    <col min="6420" max="6420" width="10" style="255" customWidth="1"/>
    <col min="6421" max="6421" width="9.875" style="255" customWidth="1"/>
    <col min="6422" max="6422" width="26.125" style="255" customWidth="1"/>
    <col min="6423" max="6423" width="11.125" style="255" customWidth="1"/>
    <col min="6424" max="6424" width="7.875" style="255" customWidth="1"/>
    <col min="6425" max="6425" width="7.25" style="255" customWidth="1"/>
    <col min="6426" max="6426" width="9.125" style="255" customWidth="1"/>
    <col min="6427" max="6427" width="15.125" style="255" customWidth="1"/>
    <col min="6428" max="6428" width="7.75" style="255" customWidth="1"/>
    <col min="6429" max="6429" width="7.125" style="255" customWidth="1"/>
    <col min="6430" max="6430" width="12.125" style="255" customWidth="1"/>
    <col min="6431" max="6431" width="8.25" style="255" customWidth="1"/>
    <col min="6432" max="6433" width="10.375" style="255" customWidth="1"/>
    <col min="6434" max="6434" width="15.625" style="255" customWidth="1"/>
    <col min="6435" max="6435" width="15.875" style="255" customWidth="1"/>
    <col min="6436" max="6436" width="8.125" style="255" customWidth="1"/>
    <col min="6437" max="6440" width="10.375" style="255" customWidth="1"/>
    <col min="6441" max="6441" width="7.25" style="255" customWidth="1"/>
    <col min="6442" max="6442" width="7.125" style="255" customWidth="1"/>
    <col min="6443" max="6443" width="9.5" style="255" customWidth="1"/>
    <col min="6444" max="6445" width="9" style="255" customWidth="1"/>
    <col min="6446" max="6446" width="16.125" style="255" customWidth="1"/>
    <col min="6447" max="6477" width="9" style="255" customWidth="1"/>
    <col min="6478" max="6637" width="25.25" style="255"/>
    <col min="6638" max="6667" width="9" style="255" customWidth="1"/>
    <col min="6668" max="6668" width="0.5" style="255" customWidth="1"/>
    <col min="6669" max="6669" width="25.25" style="255"/>
    <col min="6670" max="6670" width="0.5" style="255" customWidth="1"/>
    <col min="6671" max="6671" width="25.25" style="255"/>
    <col min="6672" max="6672" width="14.75" style="255" customWidth="1"/>
    <col min="6673" max="6673" width="11.5" style="255" customWidth="1"/>
    <col min="6674" max="6674" width="11.25" style="255" customWidth="1"/>
    <col min="6675" max="6675" width="10.75" style="255" customWidth="1"/>
    <col min="6676" max="6676" width="10" style="255" customWidth="1"/>
    <col min="6677" max="6677" width="9.875" style="255" customWidth="1"/>
    <col min="6678" max="6678" width="26.125" style="255" customWidth="1"/>
    <col min="6679" max="6679" width="11.125" style="255" customWidth="1"/>
    <col min="6680" max="6680" width="7.875" style="255" customWidth="1"/>
    <col min="6681" max="6681" width="7.25" style="255" customWidth="1"/>
    <col min="6682" max="6682" width="9.125" style="255" customWidth="1"/>
    <col min="6683" max="6683" width="15.125" style="255" customWidth="1"/>
    <col min="6684" max="6684" width="7.75" style="255" customWidth="1"/>
    <col min="6685" max="6685" width="7.125" style="255" customWidth="1"/>
    <col min="6686" max="6686" width="12.125" style="255" customWidth="1"/>
    <col min="6687" max="6687" width="8.25" style="255" customWidth="1"/>
    <col min="6688" max="6689" width="10.375" style="255" customWidth="1"/>
    <col min="6690" max="6690" width="15.625" style="255" customWidth="1"/>
    <col min="6691" max="6691" width="15.875" style="255" customWidth="1"/>
    <col min="6692" max="6692" width="8.125" style="255" customWidth="1"/>
    <col min="6693" max="6696" width="10.375" style="255" customWidth="1"/>
    <col min="6697" max="6697" width="7.25" style="255" customWidth="1"/>
    <col min="6698" max="6698" width="7.125" style="255" customWidth="1"/>
    <col min="6699" max="6699" width="9.5" style="255" customWidth="1"/>
    <col min="6700" max="6701" width="9" style="255" customWidth="1"/>
    <col min="6702" max="6702" width="16.125" style="255" customWidth="1"/>
    <col min="6703" max="6733" width="9" style="255" customWidth="1"/>
    <col min="6734" max="6893" width="25.25" style="255"/>
    <col min="6894" max="6923" width="9" style="255" customWidth="1"/>
    <col min="6924" max="6924" width="0.5" style="255" customWidth="1"/>
    <col min="6925" max="6925" width="25.25" style="255"/>
    <col min="6926" max="6926" width="0.5" style="255" customWidth="1"/>
    <col min="6927" max="6927" width="25.25" style="255"/>
    <col min="6928" max="6928" width="14.75" style="255" customWidth="1"/>
    <col min="6929" max="6929" width="11.5" style="255" customWidth="1"/>
    <col min="6930" max="6930" width="11.25" style="255" customWidth="1"/>
    <col min="6931" max="6931" width="10.75" style="255" customWidth="1"/>
    <col min="6932" max="6932" width="10" style="255" customWidth="1"/>
    <col min="6933" max="6933" width="9.875" style="255" customWidth="1"/>
    <col min="6934" max="6934" width="26.125" style="255" customWidth="1"/>
    <col min="6935" max="6935" width="11.125" style="255" customWidth="1"/>
    <col min="6936" max="6936" width="7.875" style="255" customWidth="1"/>
    <col min="6937" max="6937" width="7.25" style="255" customWidth="1"/>
    <col min="6938" max="6938" width="9.125" style="255" customWidth="1"/>
    <col min="6939" max="6939" width="15.125" style="255" customWidth="1"/>
    <col min="6940" max="6940" width="7.75" style="255" customWidth="1"/>
    <col min="6941" max="6941" width="7.125" style="255" customWidth="1"/>
    <col min="6942" max="6942" width="12.125" style="255" customWidth="1"/>
    <col min="6943" max="6943" width="8.25" style="255" customWidth="1"/>
    <col min="6944" max="6945" width="10.375" style="255" customWidth="1"/>
    <col min="6946" max="6946" width="15.625" style="255" customWidth="1"/>
    <col min="6947" max="6947" width="15.875" style="255" customWidth="1"/>
    <col min="6948" max="6948" width="8.125" style="255" customWidth="1"/>
    <col min="6949" max="6952" width="10.375" style="255" customWidth="1"/>
    <col min="6953" max="6953" width="7.25" style="255" customWidth="1"/>
    <col min="6954" max="6954" width="7.125" style="255" customWidth="1"/>
    <col min="6955" max="6955" width="9.5" style="255" customWidth="1"/>
    <col min="6956" max="6957" width="9" style="255" customWidth="1"/>
    <col min="6958" max="6958" width="16.125" style="255" customWidth="1"/>
    <col min="6959" max="6989" width="9" style="255" customWidth="1"/>
    <col min="6990" max="7149" width="25.25" style="255"/>
    <col min="7150" max="7179" width="9" style="255" customWidth="1"/>
    <col min="7180" max="7180" width="0.5" style="255" customWidth="1"/>
    <col min="7181" max="7181" width="25.25" style="255"/>
    <col min="7182" max="7182" width="0.5" style="255" customWidth="1"/>
    <col min="7183" max="7183" width="25.25" style="255"/>
    <col min="7184" max="7184" width="14.75" style="255" customWidth="1"/>
    <col min="7185" max="7185" width="11.5" style="255" customWidth="1"/>
    <col min="7186" max="7186" width="11.25" style="255" customWidth="1"/>
    <col min="7187" max="7187" width="10.75" style="255" customWidth="1"/>
    <col min="7188" max="7188" width="10" style="255" customWidth="1"/>
    <col min="7189" max="7189" width="9.875" style="255" customWidth="1"/>
    <col min="7190" max="7190" width="26.125" style="255" customWidth="1"/>
    <col min="7191" max="7191" width="11.125" style="255" customWidth="1"/>
    <col min="7192" max="7192" width="7.875" style="255" customWidth="1"/>
    <col min="7193" max="7193" width="7.25" style="255" customWidth="1"/>
    <col min="7194" max="7194" width="9.125" style="255" customWidth="1"/>
    <col min="7195" max="7195" width="15.125" style="255" customWidth="1"/>
    <col min="7196" max="7196" width="7.75" style="255" customWidth="1"/>
    <col min="7197" max="7197" width="7.125" style="255" customWidth="1"/>
    <col min="7198" max="7198" width="12.125" style="255" customWidth="1"/>
    <col min="7199" max="7199" width="8.25" style="255" customWidth="1"/>
    <col min="7200" max="7201" width="10.375" style="255" customWidth="1"/>
    <col min="7202" max="7202" width="15.625" style="255" customWidth="1"/>
    <col min="7203" max="7203" width="15.875" style="255" customWidth="1"/>
    <col min="7204" max="7204" width="8.125" style="255" customWidth="1"/>
    <col min="7205" max="7208" width="10.375" style="255" customWidth="1"/>
    <col min="7209" max="7209" width="7.25" style="255" customWidth="1"/>
    <col min="7210" max="7210" width="7.125" style="255" customWidth="1"/>
    <col min="7211" max="7211" width="9.5" style="255" customWidth="1"/>
    <col min="7212" max="7213" width="9" style="255" customWidth="1"/>
    <col min="7214" max="7214" width="16.125" style="255" customWidth="1"/>
    <col min="7215" max="7245" width="9" style="255" customWidth="1"/>
    <col min="7246" max="7405" width="25.25" style="255"/>
    <col min="7406" max="7435" width="9" style="255" customWidth="1"/>
    <col min="7436" max="7436" width="0.5" style="255" customWidth="1"/>
    <col min="7437" max="7437" width="25.25" style="255"/>
    <col min="7438" max="7438" width="0.5" style="255" customWidth="1"/>
    <col min="7439" max="7439" width="25.25" style="255"/>
    <col min="7440" max="7440" width="14.75" style="255" customWidth="1"/>
    <col min="7441" max="7441" width="11.5" style="255" customWidth="1"/>
    <col min="7442" max="7442" width="11.25" style="255" customWidth="1"/>
    <col min="7443" max="7443" width="10.75" style="255" customWidth="1"/>
    <col min="7444" max="7444" width="10" style="255" customWidth="1"/>
    <col min="7445" max="7445" width="9.875" style="255" customWidth="1"/>
    <col min="7446" max="7446" width="26.125" style="255" customWidth="1"/>
    <col min="7447" max="7447" width="11.125" style="255" customWidth="1"/>
    <col min="7448" max="7448" width="7.875" style="255" customWidth="1"/>
    <col min="7449" max="7449" width="7.25" style="255" customWidth="1"/>
    <col min="7450" max="7450" width="9.125" style="255" customWidth="1"/>
    <col min="7451" max="7451" width="15.125" style="255" customWidth="1"/>
    <col min="7452" max="7452" width="7.75" style="255" customWidth="1"/>
    <col min="7453" max="7453" width="7.125" style="255" customWidth="1"/>
    <col min="7454" max="7454" width="12.125" style="255" customWidth="1"/>
    <col min="7455" max="7455" width="8.25" style="255" customWidth="1"/>
    <col min="7456" max="7457" width="10.375" style="255" customWidth="1"/>
    <col min="7458" max="7458" width="15.625" style="255" customWidth="1"/>
    <col min="7459" max="7459" width="15.875" style="255" customWidth="1"/>
    <col min="7460" max="7460" width="8.125" style="255" customWidth="1"/>
    <col min="7461" max="7464" width="10.375" style="255" customWidth="1"/>
    <col min="7465" max="7465" width="7.25" style="255" customWidth="1"/>
    <col min="7466" max="7466" width="7.125" style="255" customWidth="1"/>
    <col min="7467" max="7467" width="9.5" style="255" customWidth="1"/>
    <col min="7468" max="7469" width="9" style="255" customWidth="1"/>
    <col min="7470" max="7470" width="16.125" style="255" customWidth="1"/>
    <col min="7471" max="7501" width="9" style="255" customWidth="1"/>
    <col min="7502" max="7661" width="25.25" style="255"/>
    <col min="7662" max="7691" width="9" style="255" customWidth="1"/>
    <col min="7692" max="7692" width="0.5" style="255" customWidth="1"/>
    <col min="7693" max="7693" width="25.25" style="255"/>
    <col min="7694" max="7694" width="0.5" style="255" customWidth="1"/>
    <col min="7695" max="7695" width="25.25" style="255"/>
    <col min="7696" max="7696" width="14.75" style="255" customWidth="1"/>
    <col min="7697" max="7697" width="11.5" style="255" customWidth="1"/>
    <col min="7698" max="7698" width="11.25" style="255" customWidth="1"/>
    <col min="7699" max="7699" width="10.75" style="255" customWidth="1"/>
    <col min="7700" max="7700" width="10" style="255" customWidth="1"/>
    <col min="7701" max="7701" width="9.875" style="255" customWidth="1"/>
    <col min="7702" max="7702" width="26.125" style="255" customWidth="1"/>
    <col min="7703" max="7703" width="11.125" style="255" customWidth="1"/>
    <col min="7704" max="7704" width="7.875" style="255" customWidth="1"/>
    <col min="7705" max="7705" width="7.25" style="255" customWidth="1"/>
    <col min="7706" max="7706" width="9.125" style="255" customWidth="1"/>
    <col min="7707" max="7707" width="15.125" style="255" customWidth="1"/>
    <col min="7708" max="7708" width="7.75" style="255" customWidth="1"/>
    <col min="7709" max="7709" width="7.125" style="255" customWidth="1"/>
    <col min="7710" max="7710" width="12.125" style="255" customWidth="1"/>
    <col min="7711" max="7711" width="8.25" style="255" customWidth="1"/>
    <col min="7712" max="7713" width="10.375" style="255" customWidth="1"/>
    <col min="7714" max="7714" width="15.625" style="255" customWidth="1"/>
    <col min="7715" max="7715" width="15.875" style="255" customWidth="1"/>
    <col min="7716" max="7716" width="8.125" style="255" customWidth="1"/>
    <col min="7717" max="7720" width="10.375" style="255" customWidth="1"/>
    <col min="7721" max="7721" width="7.25" style="255" customWidth="1"/>
    <col min="7722" max="7722" width="7.125" style="255" customWidth="1"/>
    <col min="7723" max="7723" width="9.5" style="255" customWidth="1"/>
    <col min="7724" max="7725" width="9" style="255" customWidth="1"/>
    <col min="7726" max="7726" width="16.125" style="255" customWidth="1"/>
    <col min="7727" max="7757" width="9" style="255" customWidth="1"/>
    <col min="7758" max="7917" width="25.25" style="255"/>
    <col min="7918" max="7947" width="9" style="255" customWidth="1"/>
    <col min="7948" max="7948" width="0.5" style="255" customWidth="1"/>
    <col min="7949" max="7949" width="25.25" style="255"/>
    <col min="7950" max="7950" width="0.5" style="255" customWidth="1"/>
    <col min="7951" max="7951" width="25.25" style="255"/>
    <col min="7952" max="7952" width="14.75" style="255" customWidth="1"/>
    <col min="7953" max="7953" width="11.5" style="255" customWidth="1"/>
    <col min="7954" max="7954" width="11.25" style="255" customWidth="1"/>
    <col min="7955" max="7955" width="10.75" style="255" customWidth="1"/>
    <col min="7956" max="7956" width="10" style="255" customWidth="1"/>
    <col min="7957" max="7957" width="9.875" style="255" customWidth="1"/>
    <col min="7958" max="7958" width="26.125" style="255" customWidth="1"/>
    <col min="7959" max="7959" width="11.125" style="255" customWidth="1"/>
    <col min="7960" max="7960" width="7.875" style="255" customWidth="1"/>
    <col min="7961" max="7961" width="7.25" style="255" customWidth="1"/>
    <col min="7962" max="7962" width="9.125" style="255" customWidth="1"/>
    <col min="7963" max="7963" width="15.125" style="255" customWidth="1"/>
    <col min="7964" max="7964" width="7.75" style="255" customWidth="1"/>
    <col min="7965" max="7965" width="7.125" style="255" customWidth="1"/>
    <col min="7966" max="7966" width="12.125" style="255" customWidth="1"/>
    <col min="7967" max="7967" width="8.25" style="255" customWidth="1"/>
    <col min="7968" max="7969" width="10.375" style="255" customWidth="1"/>
    <col min="7970" max="7970" width="15.625" style="255" customWidth="1"/>
    <col min="7971" max="7971" width="15.875" style="255" customWidth="1"/>
    <col min="7972" max="7972" width="8.125" style="255" customWidth="1"/>
    <col min="7973" max="7976" width="10.375" style="255" customWidth="1"/>
    <col min="7977" max="7977" width="7.25" style="255" customWidth="1"/>
    <col min="7978" max="7978" width="7.125" style="255" customWidth="1"/>
    <col min="7979" max="7979" width="9.5" style="255" customWidth="1"/>
    <col min="7980" max="7981" width="9" style="255" customWidth="1"/>
    <col min="7982" max="7982" width="16.125" style="255" customWidth="1"/>
    <col min="7983" max="8013" width="9" style="255" customWidth="1"/>
    <col min="8014" max="8173" width="25.25" style="255"/>
    <col min="8174" max="8203" width="9" style="255" customWidth="1"/>
    <col min="8204" max="8204" width="0.5" style="255" customWidth="1"/>
    <col min="8205" max="8205" width="25.25" style="255"/>
    <col min="8206" max="8206" width="0.5" style="255" customWidth="1"/>
    <col min="8207" max="8207" width="25.25" style="255"/>
    <col min="8208" max="8208" width="14.75" style="255" customWidth="1"/>
    <col min="8209" max="8209" width="11.5" style="255" customWidth="1"/>
    <col min="8210" max="8210" width="11.25" style="255" customWidth="1"/>
    <col min="8211" max="8211" width="10.75" style="255" customWidth="1"/>
    <col min="8212" max="8212" width="10" style="255" customWidth="1"/>
    <col min="8213" max="8213" width="9.875" style="255" customWidth="1"/>
    <col min="8214" max="8214" width="26.125" style="255" customWidth="1"/>
    <col min="8215" max="8215" width="11.125" style="255" customWidth="1"/>
    <col min="8216" max="8216" width="7.875" style="255" customWidth="1"/>
    <col min="8217" max="8217" width="7.25" style="255" customWidth="1"/>
    <col min="8218" max="8218" width="9.125" style="255" customWidth="1"/>
    <col min="8219" max="8219" width="15.125" style="255" customWidth="1"/>
    <col min="8220" max="8220" width="7.75" style="255" customWidth="1"/>
    <col min="8221" max="8221" width="7.125" style="255" customWidth="1"/>
    <col min="8222" max="8222" width="12.125" style="255" customWidth="1"/>
    <col min="8223" max="8223" width="8.25" style="255" customWidth="1"/>
    <col min="8224" max="8225" width="10.375" style="255" customWidth="1"/>
    <col min="8226" max="8226" width="15.625" style="255" customWidth="1"/>
    <col min="8227" max="8227" width="15.875" style="255" customWidth="1"/>
    <col min="8228" max="8228" width="8.125" style="255" customWidth="1"/>
    <col min="8229" max="8232" width="10.375" style="255" customWidth="1"/>
    <col min="8233" max="8233" width="7.25" style="255" customWidth="1"/>
    <col min="8234" max="8234" width="7.125" style="255" customWidth="1"/>
    <col min="8235" max="8235" width="9.5" style="255" customWidth="1"/>
    <col min="8236" max="8237" width="9" style="255" customWidth="1"/>
    <col min="8238" max="8238" width="16.125" style="255" customWidth="1"/>
    <col min="8239" max="8269" width="9" style="255" customWidth="1"/>
    <col min="8270" max="8429" width="25.25" style="255"/>
    <col min="8430" max="8459" width="9" style="255" customWidth="1"/>
    <col min="8460" max="8460" width="0.5" style="255" customWidth="1"/>
    <col min="8461" max="8461" width="25.25" style="255"/>
    <col min="8462" max="8462" width="0.5" style="255" customWidth="1"/>
    <col min="8463" max="8463" width="25.25" style="255"/>
    <col min="8464" max="8464" width="14.75" style="255" customWidth="1"/>
    <col min="8465" max="8465" width="11.5" style="255" customWidth="1"/>
    <col min="8466" max="8466" width="11.25" style="255" customWidth="1"/>
    <col min="8467" max="8467" width="10.75" style="255" customWidth="1"/>
    <col min="8468" max="8468" width="10" style="255" customWidth="1"/>
    <col min="8469" max="8469" width="9.875" style="255" customWidth="1"/>
    <col min="8470" max="8470" width="26.125" style="255" customWidth="1"/>
    <col min="8471" max="8471" width="11.125" style="255" customWidth="1"/>
    <col min="8472" max="8472" width="7.875" style="255" customWidth="1"/>
    <col min="8473" max="8473" width="7.25" style="255" customWidth="1"/>
    <col min="8474" max="8474" width="9.125" style="255" customWidth="1"/>
    <col min="8475" max="8475" width="15.125" style="255" customWidth="1"/>
    <col min="8476" max="8476" width="7.75" style="255" customWidth="1"/>
    <col min="8477" max="8477" width="7.125" style="255" customWidth="1"/>
    <col min="8478" max="8478" width="12.125" style="255" customWidth="1"/>
    <col min="8479" max="8479" width="8.25" style="255" customWidth="1"/>
    <col min="8480" max="8481" width="10.375" style="255" customWidth="1"/>
    <col min="8482" max="8482" width="15.625" style="255" customWidth="1"/>
    <col min="8483" max="8483" width="15.875" style="255" customWidth="1"/>
    <col min="8484" max="8484" width="8.125" style="255" customWidth="1"/>
    <col min="8485" max="8488" width="10.375" style="255" customWidth="1"/>
    <col min="8489" max="8489" width="7.25" style="255" customWidth="1"/>
    <col min="8490" max="8490" width="7.125" style="255" customWidth="1"/>
    <col min="8491" max="8491" width="9.5" style="255" customWidth="1"/>
    <col min="8492" max="8493" width="9" style="255" customWidth="1"/>
    <col min="8494" max="8494" width="16.125" style="255" customWidth="1"/>
    <col min="8495" max="8525" width="9" style="255" customWidth="1"/>
    <col min="8526" max="8685" width="25.25" style="255"/>
    <col min="8686" max="8715" width="9" style="255" customWidth="1"/>
    <col min="8716" max="8716" width="0.5" style="255" customWidth="1"/>
    <col min="8717" max="8717" width="25.25" style="255"/>
    <col min="8718" max="8718" width="0.5" style="255" customWidth="1"/>
    <col min="8719" max="8719" width="25.25" style="255"/>
    <col min="8720" max="8720" width="14.75" style="255" customWidth="1"/>
    <col min="8721" max="8721" width="11.5" style="255" customWidth="1"/>
    <col min="8722" max="8722" width="11.25" style="255" customWidth="1"/>
    <col min="8723" max="8723" width="10.75" style="255" customWidth="1"/>
    <col min="8724" max="8724" width="10" style="255" customWidth="1"/>
    <col min="8725" max="8725" width="9.875" style="255" customWidth="1"/>
    <col min="8726" max="8726" width="26.125" style="255" customWidth="1"/>
    <col min="8727" max="8727" width="11.125" style="255" customWidth="1"/>
    <col min="8728" max="8728" width="7.875" style="255" customWidth="1"/>
    <col min="8729" max="8729" width="7.25" style="255" customWidth="1"/>
    <col min="8730" max="8730" width="9.125" style="255" customWidth="1"/>
    <col min="8731" max="8731" width="15.125" style="255" customWidth="1"/>
    <col min="8732" max="8732" width="7.75" style="255" customWidth="1"/>
    <col min="8733" max="8733" width="7.125" style="255" customWidth="1"/>
    <col min="8734" max="8734" width="12.125" style="255" customWidth="1"/>
    <col min="8735" max="8735" width="8.25" style="255" customWidth="1"/>
    <col min="8736" max="8737" width="10.375" style="255" customWidth="1"/>
    <col min="8738" max="8738" width="15.625" style="255" customWidth="1"/>
    <col min="8739" max="8739" width="15.875" style="255" customWidth="1"/>
    <col min="8740" max="8740" width="8.125" style="255" customWidth="1"/>
    <col min="8741" max="8744" width="10.375" style="255" customWidth="1"/>
    <col min="8745" max="8745" width="7.25" style="255" customWidth="1"/>
    <col min="8746" max="8746" width="7.125" style="255" customWidth="1"/>
    <col min="8747" max="8747" width="9.5" style="255" customWidth="1"/>
    <col min="8748" max="8749" width="9" style="255" customWidth="1"/>
    <col min="8750" max="8750" width="16.125" style="255" customWidth="1"/>
    <col min="8751" max="8781" width="9" style="255" customWidth="1"/>
    <col min="8782" max="8941" width="25.25" style="255"/>
    <col min="8942" max="8971" width="9" style="255" customWidth="1"/>
    <col min="8972" max="8972" width="0.5" style="255" customWidth="1"/>
    <col min="8973" max="8973" width="25.25" style="255"/>
    <col min="8974" max="8974" width="0.5" style="255" customWidth="1"/>
    <col min="8975" max="8975" width="25.25" style="255"/>
    <col min="8976" max="8976" width="14.75" style="255" customWidth="1"/>
    <col min="8977" max="8977" width="11.5" style="255" customWidth="1"/>
    <col min="8978" max="8978" width="11.25" style="255" customWidth="1"/>
    <col min="8979" max="8979" width="10.75" style="255" customWidth="1"/>
    <col min="8980" max="8980" width="10" style="255" customWidth="1"/>
    <col min="8981" max="8981" width="9.875" style="255" customWidth="1"/>
    <col min="8982" max="8982" width="26.125" style="255" customWidth="1"/>
    <col min="8983" max="8983" width="11.125" style="255" customWidth="1"/>
    <col min="8984" max="8984" width="7.875" style="255" customWidth="1"/>
    <col min="8985" max="8985" width="7.25" style="255" customWidth="1"/>
    <col min="8986" max="8986" width="9.125" style="255" customWidth="1"/>
    <col min="8987" max="8987" width="15.125" style="255" customWidth="1"/>
    <col min="8988" max="8988" width="7.75" style="255" customWidth="1"/>
    <col min="8989" max="8989" width="7.125" style="255" customWidth="1"/>
    <col min="8990" max="8990" width="12.125" style="255" customWidth="1"/>
    <col min="8991" max="8991" width="8.25" style="255" customWidth="1"/>
    <col min="8992" max="8993" width="10.375" style="255" customWidth="1"/>
    <col min="8994" max="8994" width="15.625" style="255" customWidth="1"/>
    <col min="8995" max="8995" width="15.875" style="255" customWidth="1"/>
    <col min="8996" max="8996" width="8.125" style="255" customWidth="1"/>
    <col min="8997" max="9000" width="10.375" style="255" customWidth="1"/>
    <col min="9001" max="9001" width="7.25" style="255" customWidth="1"/>
    <col min="9002" max="9002" width="7.125" style="255" customWidth="1"/>
    <col min="9003" max="9003" width="9.5" style="255" customWidth="1"/>
    <col min="9004" max="9005" width="9" style="255" customWidth="1"/>
    <col min="9006" max="9006" width="16.125" style="255" customWidth="1"/>
    <col min="9007" max="9037" width="9" style="255" customWidth="1"/>
    <col min="9038" max="9197" width="25.25" style="255"/>
    <col min="9198" max="9227" width="9" style="255" customWidth="1"/>
    <col min="9228" max="9228" width="0.5" style="255" customWidth="1"/>
    <col min="9229" max="9229" width="25.25" style="255"/>
    <col min="9230" max="9230" width="0.5" style="255" customWidth="1"/>
    <col min="9231" max="9231" width="25.25" style="255"/>
    <col min="9232" max="9232" width="14.75" style="255" customWidth="1"/>
    <col min="9233" max="9233" width="11.5" style="255" customWidth="1"/>
    <col min="9234" max="9234" width="11.25" style="255" customWidth="1"/>
    <col min="9235" max="9235" width="10.75" style="255" customWidth="1"/>
    <col min="9236" max="9236" width="10" style="255" customWidth="1"/>
    <col min="9237" max="9237" width="9.875" style="255" customWidth="1"/>
    <col min="9238" max="9238" width="26.125" style="255" customWidth="1"/>
    <col min="9239" max="9239" width="11.125" style="255" customWidth="1"/>
    <col min="9240" max="9240" width="7.875" style="255" customWidth="1"/>
    <col min="9241" max="9241" width="7.25" style="255" customWidth="1"/>
    <col min="9242" max="9242" width="9.125" style="255" customWidth="1"/>
    <col min="9243" max="9243" width="15.125" style="255" customWidth="1"/>
    <col min="9244" max="9244" width="7.75" style="255" customWidth="1"/>
    <col min="9245" max="9245" width="7.125" style="255" customWidth="1"/>
    <col min="9246" max="9246" width="12.125" style="255" customWidth="1"/>
    <col min="9247" max="9247" width="8.25" style="255" customWidth="1"/>
    <col min="9248" max="9249" width="10.375" style="255" customWidth="1"/>
    <col min="9250" max="9250" width="15.625" style="255" customWidth="1"/>
    <col min="9251" max="9251" width="15.875" style="255" customWidth="1"/>
    <col min="9252" max="9252" width="8.125" style="255" customWidth="1"/>
    <col min="9253" max="9256" width="10.375" style="255" customWidth="1"/>
    <col min="9257" max="9257" width="7.25" style="255" customWidth="1"/>
    <col min="9258" max="9258" width="7.125" style="255" customWidth="1"/>
    <col min="9259" max="9259" width="9.5" style="255" customWidth="1"/>
    <col min="9260" max="9261" width="9" style="255" customWidth="1"/>
    <col min="9262" max="9262" width="16.125" style="255" customWidth="1"/>
    <col min="9263" max="9293" width="9" style="255" customWidth="1"/>
    <col min="9294" max="9453" width="25.25" style="255"/>
    <col min="9454" max="9483" width="9" style="255" customWidth="1"/>
    <col min="9484" max="9484" width="0.5" style="255" customWidth="1"/>
    <col min="9485" max="9485" width="25.25" style="255"/>
    <col min="9486" max="9486" width="0.5" style="255" customWidth="1"/>
    <col min="9487" max="9487" width="25.25" style="255"/>
    <col min="9488" max="9488" width="14.75" style="255" customWidth="1"/>
    <col min="9489" max="9489" width="11.5" style="255" customWidth="1"/>
    <col min="9490" max="9490" width="11.25" style="255" customWidth="1"/>
    <col min="9491" max="9491" width="10.75" style="255" customWidth="1"/>
    <col min="9492" max="9492" width="10" style="255" customWidth="1"/>
    <col min="9493" max="9493" width="9.875" style="255" customWidth="1"/>
    <col min="9494" max="9494" width="26.125" style="255" customWidth="1"/>
    <col min="9495" max="9495" width="11.125" style="255" customWidth="1"/>
    <col min="9496" max="9496" width="7.875" style="255" customWidth="1"/>
    <col min="9497" max="9497" width="7.25" style="255" customWidth="1"/>
    <col min="9498" max="9498" width="9.125" style="255" customWidth="1"/>
    <col min="9499" max="9499" width="15.125" style="255" customWidth="1"/>
    <col min="9500" max="9500" width="7.75" style="255" customWidth="1"/>
    <col min="9501" max="9501" width="7.125" style="255" customWidth="1"/>
    <col min="9502" max="9502" width="12.125" style="255" customWidth="1"/>
    <col min="9503" max="9503" width="8.25" style="255" customWidth="1"/>
    <col min="9504" max="9505" width="10.375" style="255" customWidth="1"/>
    <col min="9506" max="9506" width="15.625" style="255" customWidth="1"/>
    <col min="9507" max="9507" width="15.875" style="255" customWidth="1"/>
    <col min="9508" max="9508" width="8.125" style="255" customWidth="1"/>
    <col min="9509" max="9512" width="10.375" style="255" customWidth="1"/>
    <col min="9513" max="9513" width="7.25" style="255" customWidth="1"/>
    <col min="9514" max="9514" width="7.125" style="255" customWidth="1"/>
    <col min="9515" max="9515" width="9.5" style="255" customWidth="1"/>
    <col min="9516" max="9517" width="9" style="255" customWidth="1"/>
    <col min="9518" max="9518" width="16.125" style="255" customWidth="1"/>
    <col min="9519" max="9549" width="9" style="255" customWidth="1"/>
    <col min="9550" max="9709" width="25.25" style="255"/>
    <col min="9710" max="9739" width="9" style="255" customWidth="1"/>
    <col min="9740" max="9740" width="0.5" style="255" customWidth="1"/>
    <col min="9741" max="9741" width="25.25" style="255"/>
    <col min="9742" max="9742" width="0.5" style="255" customWidth="1"/>
    <col min="9743" max="9743" width="25.25" style="255"/>
    <col min="9744" max="9744" width="14.75" style="255" customWidth="1"/>
    <col min="9745" max="9745" width="11.5" style="255" customWidth="1"/>
    <col min="9746" max="9746" width="11.25" style="255" customWidth="1"/>
    <col min="9747" max="9747" width="10.75" style="255" customWidth="1"/>
    <col min="9748" max="9748" width="10" style="255" customWidth="1"/>
    <col min="9749" max="9749" width="9.875" style="255" customWidth="1"/>
    <col min="9750" max="9750" width="26.125" style="255" customWidth="1"/>
    <col min="9751" max="9751" width="11.125" style="255" customWidth="1"/>
    <col min="9752" max="9752" width="7.875" style="255" customWidth="1"/>
    <col min="9753" max="9753" width="7.25" style="255" customWidth="1"/>
    <col min="9754" max="9754" width="9.125" style="255" customWidth="1"/>
    <col min="9755" max="9755" width="15.125" style="255" customWidth="1"/>
    <col min="9756" max="9756" width="7.75" style="255" customWidth="1"/>
    <col min="9757" max="9757" width="7.125" style="255" customWidth="1"/>
    <col min="9758" max="9758" width="12.125" style="255" customWidth="1"/>
    <col min="9759" max="9759" width="8.25" style="255" customWidth="1"/>
    <col min="9760" max="9761" width="10.375" style="255" customWidth="1"/>
    <col min="9762" max="9762" width="15.625" style="255" customWidth="1"/>
    <col min="9763" max="9763" width="15.875" style="255" customWidth="1"/>
    <col min="9764" max="9764" width="8.125" style="255" customWidth="1"/>
    <col min="9765" max="9768" width="10.375" style="255" customWidth="1"/>
    <col min="9769" max="9769" width="7.25" style="255" customWidth="1"/>
    <col min="9770" max="9770" width="7.125" style="255" customWidth="1"/>
    <col min="9771" max="9771" width="9.5" style="255" customWidth="1"/>
    <col min="9772" max="9773" width="9" style="255" customWidth="1"/>
    <col min="9774" max="9774" width="16.125" style="255" customWidth="1"/>
    <col min="9775" max="9805" width="9" style="255" customWidth="1"/>
    <col min="9806" max="9965" width="25.25" style="255"/>
    <col min="9966" max="9995" width="9" style="255" customWidth="1"/>
    <col min="9996" max="9996" width="0.5" style="255" customWidth="1"/>
    <col min="9997" max="9997" width="25.25" style="255"/>
    <col min="9998" max="9998" width="0.5" style="255" customWidth="1"/>
    <col min="9999" max="9999" width="25.25" style="255"/>
    <col min="10000" max="10000" width="14.75" style="255" customWidth="1"/>
    <col min="10001" max="10001" width="11.5" style="255" customWidth="1"/>
    <col min="10002" max="10002" width="11.25" style="255" customWidth="1"/>
    <col min="10003" max="10003" width="10.75" style="255" customWidth="1"/>
    <col min="10004" max="10004" width="10" style="255" customWidth="1"/>
    <col min="10005" max="10005" width="9.875" style="255" customWidth="1"/>
    <col min="10006" max="10006" width="26.125" style="255" customWidth="1"/>
    <col min="10007" max="10007" width="11.125" style="255" customWidth="1"/>
    <col min="10008" max="10008" width="7.875" style="255" customWidth="1"/>
    <col min="10009" max="10009" width="7.25" style="255" customWidth="1"/>
    <col min="10010" max="10010" width="9.125" style="255" customWidth="1"/>
    <col min="10011" max="10011" width="15.125" style="255" customWidth="1"/>
    <col min="10012" max="10012" width="7.75" style="255" customWidth="1"/>
    <col min="10013" max="10013" width="7.125" style="255" customWidth="1"/>
    <col min="10014" max="10014" width="12.125" style="255" customWidth="1"/>
    <col min="10015" max="10015" width="8.25" style="255" customWidth="1"/>
    <col min="10016" max="10017" width="10.375" style="255" customWidth="1"/>
    <col min="10018" max="10018" width="15.625" style="255" customWidth="1"/>
    <col min="10019" max="10019" width="15.875" style="255" customWidth="1"/>
    <col min="10020" max="10020" width="8.125" style="255" customWidth="1"/>
    <col min="10021" max="10024" width="10.375" style="255" customWidth="1"/>
    <col min="10025" max="10025" width="7.25" style="255" customWidth="1"/>
    <col min="10026" max="10026" width="7.125" style="255" customWidth="1"/>
    <col min="10027" max="10027" width="9.5" style="255" customWidth="1"/>
    <col min="10028" max="10029" width="9" style="255" customWidth="1"/>
    <col min="10030" max="10030" width="16.125" style="255" customWidth="1"/>
    <col min="10031" max="10061" width="9" style="255" customWidth="1"/>
    <col min="10062" max="10221" width="25.25" style="255"/>
    <col min="10222" max="10251" width="9" style="255" customWidth="1"/>
    <col min="10252" max="10252" width="0.5" style="255" customWidth="1"/>
    <col min="10253" max="10253" width="25.25" style="255"/>
    <col min="10254" max="10254" width="0.5" style="255" customWidth="1"/>
    <col min="10255" max="10255" width="25.25" style="255"/>
    <col min="10256" max="10256" width="14.75" style="255" customWidth="1"/>
    <col min="10257" max="10257" width="11.5" style="255" customWidth="1"/>
    <col min="10258" max="10258" width="11.25" style="255" customWidth="1"/>
    <col min="10259" max="10259" width="10.75" style="255" customWidth="1"/>
    <col min="10260" max="10260" width="10" style="255" customWidth="1"/>
    <col min="10261" max="10261" width="9.875" style="255" customWidth="1"/>
    <col min="10262" max="10262" width="26.125" style="255" customWidth="1"/>
    <col min="10263" max="10263" width="11.125" style="255" customWidth="1"/>
    <col min="10264" max="10264" width="7.875" style="255" customWidth="1"/>
    <col min="10265" max="10265" width="7.25" style="255" customWidth="1"/>
    <col min="10266" max="10266" width="9.125" style="255" customWidth="1"/>
    <col min="10267" max="10267" width="15.125" style="255" customWidth="1"/>
    <col min="10268" max="10268" width="7.75" style="255" customWidth="1"/>
    <col min="10269" max="10269" width="7.125" style="255" customWidth="1"/>
    <col min="10270" max="10270" width="12.125" style="255" customWidth="1"/>
    <col min="10271" max="10271" width="8.25" style="255" customWidth="1"/>
    <col min="10272" max="10273" width="10.375" style="255" customWidth="1"/>
    <col min="10274" max="10274" width="15.625" style="255" customWidth="1"/>
    <col min="10275" max="10275" width="15.875" style="255" customWidth="1"/>
    <col min="10276" max="10276" width="8.125" style="255" customWidth="1"/>
    <col min="10277" max="10280" width="10.375" style="255" customWidth="1"/>
    <col min="10281" max="10281" width="7.25" style="255" customWidth="1"/>
    <col min="10282" max="10282" width="7.125" style="255" customWidth="1"/>
    <col min="10283" max="10283" width="9.5" style="255" customWidth="1"/>
    <col min="10284" max="10285" width="9" style="255" customWidth="1"/>
    <col min="10286" max="10286" width="16.125" style="255" customWidth="1"/>
    <col min="10287" max="10317" width="9" style="255" customWidth="1"/>
    <col min="10318" max="10477" width="25.25" style="255"/>
    <col min="10478" max="10507" width="9" style="255" customWidth="1"/>
    <col min="10508" max="10508" width="0.5" style="255" customWidth="1"/>
    <col min="10509" max="10509" width="25.25" style="255"/>
    <col min="10510" max="10510" width="0.5" style="255" customWidth="1"/>
    <col min="10511" max="10511" width="25.25" style="255"/>
    <col min="10512" max="10512" width="14.75" style="255" customWidth="1"/>
    <col min="10513" max="10513" width="11.5" style="255" customWidth="1"/>
    <col min="10514" max="10514" width="11.25" style="255" customWidth="1"/>
    <col min="10515" max="10515" width="10.75" style="255" customWidth="1"/>
    <col min="10516" max="10516" width="10" style="255" customWidth="1"/>
    <col min="10517" max="10517" width="9.875" style="255" customWidth="1"/>
    <col min="10518" max="10518" width="26.125" style="255" customWidth="1"/>
    <col min="10519" max="10519" width="11.125" style="255" customWidth="1"/>
    <col min="10520" max="10520" width="7.875" style="255" customWidth="1"/>
    <col min="10521" max="10521" width="7.25" style="255" customWidth="1"/>
    <col min="10522" max="10522" width="9.125" style="255" customWidth="1"/>
    <col min="10523" max="10523" width="15.125" style="255" customWidth="1"/>
    <col min="10524" max="10524" width="7.75" style="255" customWidth="1"/>
    <col min="10525" max="10525" width="7.125" style="255" customWidth="1"/>
    <col min="10526" max="10526" width="12.125" style="255" customWidth="1"/>
    <col min="10527" max="10527" width="8.25" style="255" customWidth="1"/>
    <col min="10528" max="10529" width="10.375" style="255" customWidth="1"/>
    <col min="10530" max="10530" width="15.625" style="255" customWidth="1"/>
    <col min="10531" max="10531" width="15.875" style="255" customWidth="1"/>
    <col min="10532" max="10532" width="8.125" style="255" customWidth="1"/>
    <col min="10533" max="10536" width="10.375" style="255" customWidth="1"/>
    <col min="10537" max="10537" width="7.25" style="255" customWidth="1"/>
    <col min="10538" max="10538" width="7.125" style="255" customWidth="1"/>
    <col min="10539" max="10539" width="9.5" style="255" customWidth="1"/>
    <col min="10540" max="10541" width="9" style="255" customWidth="1"/>
    <col min="10542" max="10542" width="16.125" style="255" customWidth="1"/>
    <col min="10543" max="10573" width="9" style="255" customWidth="1"/>
    <col min="10574" max="10733" width="25.25" style="255"/>
    <col min="10734" max="10763" width="9" style="255" customWidth="1"/>
    <col min="10764" max="10764" width="0.5" style="255" customWidth="1"/>
    <col min="10765" max="10765" width="25.25" style="255"/>
    <col min="10766" max="10766" width="0.5" style="255" customWidth="1"/>
    <col min="10767" max="10767" width="25.25" style="255"/>
    <col min="10768" max="10768" width="14.75" style="255" customWidth="1"/>
    <col min="10769" max="10769" width="11.5" style="255" customWidth="1"/>
    <col min="10770" max="10770" width="11.25" style="255" customWidth="1"/>
    <col min="10771" max="10771" width="10.75" style="255" customWidth="1"/>
    <col min="10772" max="10772" width="10" style="255" customWidth="1"/>
    <col min="10773" max="10773" width="9.875" style="255" customWidth="1"/>
    <col min="10774" max="10774" width="26.125" style="255" customWidth="1"/>
    <col min="10775" max="10775" width="11.125" style="255" customWidth="1"/>
    <col min="10776" max="10776" width="7.875" style="255" customWidth="1"/>
    <col min="10777" max="10777" width="7.25" style="255" customWidth="1"/>
    <col min="10778" max="10778" width="9.125" style="255" customWidth="1"/>
    <col min="10779" max="10779" width="15.125" style="255" customWidth="1"/>
    <col min="10780" max="10780" width="7.75" style="255" customWidth="1"/>
    <col min="10781" max="10781" width="7.125" style="255" customWidth="1"/>
    <col min="10782" max="10782" width="12.125" style="255" customWidth="1"/>
    <col min="10783" max="10783" width="8.25" style="255" customWidth="1"/>
    <col min="10784" max="10785" width="10.375" style="255" customWidth="1"/>
    <col min="10786" max="10786" width="15.625" style="255" customWidth="1"/>
    <col min="10787" max="10787" width="15.875" style="255" customWidth="1"/>
    <col min="10788" max="10788" width="8.125" style="255" customWidth="1"/>
    <col min="10789" max="10792" width="10.375" style="255" customWidth="1"/>
    <col min="10793" max="10793" width="7.25" style="255" customWidth="1"/>
    <col min="10794" max="10794" width="7.125" style="255" customWidth="1"/>
    <col min="10795" max="10795" width="9.5" style="255" customWidth="1"/>
    <col min="10796" max="10797" width="9" style="255" customWidth="1"/>
    <col min="10798" max="10798" width="16.125" style="255" customWidth="1"/>
    <col min="10799" max="10829" width="9" style="255" customWidth="1"/>
    <col min="10830" max="10989" width="25.25" style="255"/>
    <col min="10990" max="11019" width="9" style="255" customWidth="1"/>
    <col min="11020" max="11020" width="0.5" style="255" customWidth="1"/>
    <col min="11021" max="11021" width="25.25" style="255"/>
    <col min="11022" max="11022" width="0.5" style="255" customWidth="1"/>
    <col min="11023" max="11023" width="25.25" style="255"/>
    <col min="11024" max="11024" width="14.75" style="255" customWidth="1"/>
    <col min="11025" max="11025" width="11.5" style="255" customWidth="1"/>
    <col min="11026" max="11026" width="11.25" style="255" customWidth="1"/>
    <col min="11027" max="11027" width="10.75" style="255" customWidth="1"/>
    <col min="11028" max="11028" width="10" style="255" customWidth="1"/>
    <col min="11029" max="11029" width="9.875" style="255" customWidth="1"/>
    <col min="11030" max="11030" width="26.125" style="255" customWidth="1"/>
    <col min="11031" max="11031" width="11.125" style="255" customWidth="1"/>
    <col min="11032" max="11032" width="7.875" style="255" customWidth="1"/>
    <col min="11033" max="11033" width="7.25" style="255" customWidth="1"/>
    <col min="11034" max="11034" width="9.125" style="255" customWidth="1"/>
    <col min="11035" max="11035" width="15.125" style="255" customWidth="1"/>
    <col min="11036" max="11036" width="7.75" style="255" customWidth="1"/>
    <col min="11037" max="11037" width="7.125" style="255" customWidth="1"/>
    <col min="11038" max="11038" width="12.125" style="255" customWidth="1"/>
    <col min="11039" max="11039" width="8.25" style="255" customWidth="1"/>
    <col min="11040" max="11041" width="10.375" style="255" customWidth="1"/>
    <col min="11042" max="11042" width="15.625" style="255" customWidth="1"/>
    <col min="11043" max="11043" width="15.875" style="255" customWidth="1"/>
    <col min="11044" max="11044" width="8.125" style="255" customWidth="1"/>
    <col min="11045" max="11048" width="10.375" style="255" customWidth="1"/>
    <col min="11049" max="11049" width="7.25" style="255" customWidth="1"/>
    <col min="11050" max="11050" width="7.125" style="255" customWidth="1"/>
    <col min="11051" max="11051" width="9.5" style="255" customWidth="1"/>
    <col min="11052" max="11053" width="9" style="255" customWidth="1"/>
    <col min="11054" max="11054" width="16.125" style="255" customWidth="1"/>
    <col min="11055" max="11085" width="9" style="255" customWidth="1"/>
    <col min="11086" max="11245" width="25.25" style="255"/>
    <col min="11246" max="11275" width="9" style="255" customWidth="1"/>
    <col min="11276" max="11276" width="0.5" style="255" customWidth="1"/>
    <col min="11277" max="11277" width="25.25" style="255"/>
    <col min="11278" max="11278" width="0.5" style="255" customWidth="1"/>
    <col min="11279" max="11279" width="25.25" style="255"/>
    <col min="11280" max="11280" width="14.75" style="255" customWidth="1"/>
    <col min="11281" max="11281" width="11.5" style="255" customWidth="1"/>
    <col min="11282" max="11282" width="11.25" style="255" customWidth="1"/>
    <col min="11283" max="11283" width="10.75" style="255" customWidth="1"/>
    <col min="11284" max="11284" width="10" style="255" customWidth="1"/>
    <col min="11285" max="11285" width="9.875" style="255" customWidth="1"/>
    <col min="11286" max="11286" width="26.125" style="255" customWidth="1"/>
    <col min="11287" max="11287" width="11.125" style="255" customWidth="1"/>
    <col min="11288" max="11288" width="7.875" style="255" customWidth="1"/>
    <col min="11289" max="11289" width="7.25" style="255" customWidth="1"/>
    <col min="11290" max="11290" width="9.125" style="255" customWidth="1"/>
    <col min="11291" max="11291" width="15.125" style="255" customWidth="1"/>
    <col min="11292" max="11292" width="7.75" style="255" customWidth="1"/>
    <col min="11293" max="11293" width="7.125" style="255" customWidth="1"/>
    <col min="11294" max="11294" width="12.125" style="255" customWidth="1"/>
    <col min="11295" max="11295" width="8.25" style="255" customWidth="1"/>
    <col min="11296" max="11297" width="10.375" style="255" customWidth="1"/>
    <col min="11298" max="11298" width="15.625" style="255" customWidth="1"/>
    <col min="11299" max="11299" width="15.875" style="255" customWidth="1"/>
    <col min="11300" max="11300" width="8.125" style="255" customWidth="1"/>
    <col min="11301" max="11304" width="10.375" style="255" customWidth="1"/>
    <col min="11305" max="11305" width="7.25" style="255" customWidth="1"/>
    <col min="11306" max="11306" width="7.125" style="255" customWidth="1"/>
    <col min="11307" max="11307" width="9.5" style="255" customWidth="1"/>
    <col min="11308" max="11309" width="9" style="255" customWidth="1"/>
    <col min="11310" max="11310" width="16.125" style="255" customWidth="1"/>
    <col min="11311" max="11341" width="9" style="255" customWidth="1"/>
    <col min="11342" max="11501" width="25.25" style="255"/>
    <col min="11502" max="11531" width="9" style="255" customWidth="1"/>
    <col min="11532" max="11532" width="0.5" style="255" customWidth="1"/>
    <col min="11533" max="11533" width="25.25" style="255"/>
    <col min="11534" max="11534" width="0.5" style="255" customWidth="1"/>
    <col min="11535" max="11535" width="25.25" style="255"/>
    <col min="11536" max="11536" width="14.75" style="255" customWidth="1"/>
    <col min="11537" max="11537" width="11.5" style="255" customWidth="1"/>
    <col min="11538" max="11538" width="11.25" style="255" customWidth="1"/>
    <col min="11539" max="11539" width="10.75" style="255" customWidth="1"/>
    <col min="11540" max="11540" width="10" style="255" customWidth="1"/>
    <col min="11541" max="11541" width="9.875" style="255" customWidth="1"/>
    <col min="11542" max="11542" width="26.125" style="255" customWidth="1"/>
    <col min="11543" max="11543" width="11.125" style="255" customWidth="1"/>
    <col min="11544" max="11544" width="7.875" style="255" customWidth="1"/>
    <col min="11545" max="11545" width="7.25" style="255" customWidth="1"/>
    <col min="11546" max="11546" width="9.125" style="255" customWidth="1"/>
    <col min="11547" max="11547" width="15.125" style="255" customWidth="1"/>
    <col min="11548" max="11548" width="7.75" style="255" customWidth="1"/>
    <col min="11549" max="11549" width="7.125" style="255" customWidth="1"/>
    <col min="11550" max="11550" width="12.125" style="255" customWidth="1"/>
    <col min="11551" max="11551" width="8.25" style="255" customWidth="1"/>
    <col min="11552" max="11553" width="10.375" style="255" customWidth="1"/>
    <col min="11554" max="11554" width="15.625" style="255" customWidth="1"/>
    <col min="11555" max="11555" width="15.875" style="255" customWidth="1"/>
    <col min="11556" max="11556" width="8.125" style="255" customWidth="1"/>
    <col min="11557" max="11560" width="10.375" style="255" customWidth="1"/>
    <col min="11561" max="11561" width="7.25" style="255" customWidth="1"/>
    <col min="11562" max="11562" width="7.125" style="255" customWidth="1"/>
    <col min="11563" max="11563" width="9.5" style="255" customWidth="1"/>
    <col min="11564" max="11565" width="9" style="255" customWidth="1"/>
    <col min="11566" max="11566" width="16.125" style="255" customWidth="1"/>
    <col min="11567" max="11597" width="9" style="255" customWidth="1"/>
    <col min="11598" max="11757" width="25.25" style="255"/>
    <col min="11758" max="11787" width="9" style="255" customWidth="1"/>
    <col min="11788" max="11788" width="0.5" style="255" customWidth="1"/>
    <col min="11789" max="11789" width="25.25" style="255"/>
    <col min="11790" max="11790" width="0.5" style="255" customWidth="1"/>
    <col min="11791" max="11791" width="25.25" style="255"/>
    <col min="11792" max="11792" width="14.75" style="255" customWidth="1"/>
    <col min="11793" max="11793" width="11.5" style="255" customWidth="1"/>
    <col min="11794" max="11794" width="11.25" style="255" customWidth="1"/>
    <col min="11795" max="11795" width="10.75" style="255" customWidth="1"/>
    <col min="11796" max="11796" width="10" style="255" customWidth="1"/>
    <col min="11797" max="11797" width="9.875" style="255" customWidth="1"/>
    <col min="11798" max="11798" width="26.125" style="255" customWidth="1"/>
    <col min="11799" max="11799" width="11.125" style="255" customWidth="1"/>
    <col min="11800" max="11800" width="7.875" style="255" customWidth="1"/>
    <col min="11801" max="11801" width="7.25" style="255" customWidth="1"/>
    <col min="11802" max="11802" width="9.125" style="255" customWidth="1"/>
    <col min="11803" max="11803" width="15.125" style="255" customWidth="1"/>
    <col min="11804" max="11804" width="7.75" style="255" customWidth="1"/>
    <col min="11805" max="11805" width="7.125" style="255" customWidth="1"/>
    <col min="11806" max="11806" width="12.125" style="255" customWidth="1"/>
    <col min="11807" max="11807" width="8.25" style="255" customWidth="1"/>
    <col min="11808" max="11809" width="10.375" style="255" customWidth="1"/>
    <col min="11810" max="11810" width="15.625" style="255" customWidth="1"/>
    <col min="11811" max="11811" width="15.875" style="255" customWidth="1"/>
    <col min="11812" max="11812" width="8.125" style="255" customWidth="1"/>
    <col min="11813" max="11816" width="10.375" style="255" customWidth="1"/>
    <col min="11817" max="11817" width="7.25" style="255" customWidth="1"/>
    <col min="11818" max="11818" width="7.125" style="255" customWidth="1"/>
    <col min="11819" max="11819" width="9.5" style="255" customWidth="1"/>
    <col min="11820" max="11821" width="9" style="255" customWidth="1"/>
    <col min="11822" max="11822" width="16.125" style="255" customWidth="1"/>
    <col min="11823" max="11853" width="9" style="255" customWidth="1"/>
    <col min="11854" max="12013" width="25.25" style="255"/>
    <col min="12014" max="12043" width="9" style="255" customWidth="1"/>
    <col min="12044" max="12044" width="0.5" style="255" customWidth="1"/>
    <col min="12045" max="12045" width="25.25" style="255"/>
    <col min="12046" max="12046" width="0.5" style="255" customWidth="1"/>
    <col min="12047" max="12047" width="25.25" style="255"/>
    <col min="12048" max="12048" width="14.75" style="255" customWidth="1"/>
    <col min="12049" max="12049" width="11.5" style="255" customWidth="1"/>
    <col min="12050" max="12050" width="11.25" style="255" customWidth="1"/>
    <col min="12051" max="12051" width="10.75" style="255" customWidth="1"/>
    <col min="12052" max="12052" width="10" style="255" customWidth="1"/>
    <col min="12053" max="12053" width="9.875" style="255" customWidth="1"/>
    <col min="12054" max="12054" width="26.125" style="255" customWidth="1"/>
    <col min="12055" max="12055" width="11.125" style="255" customWidth="1"/>
    <col min="12056" max="12056" width="7.875" style="255" customWidth="1"/>
    <col min="12057" max="12057" width="7.25" style="255" customWidth="1"/>
    <col min="12058" max="12058" width="9.125" style="255" customWidth="1"/>
    <col min="12059" max="12059" width="15.125" style="255" customWidth="1"/>
    <col min="12060" max="12060" width="7.75" style="255" customWidth="1"/>
    <col min="12061" max="12061" width="7.125" style="255" customWidth="1"/>
    <col min="12062" max="12062" width="12.125" style="255" customWidth="1"/>
    <col min="12063" max="12063" width="8.25" style="255" customWidth="1"/>
    <col min="12064" max="12065" width="10.375" style="255" customWidth="1"/>
    <col min="12066" max="12066" width="15.625" style="255" customWidth="1"/>
    <col min="12067" max="12067" width="15.875" style="255" customWidth="1"/>
    <col min="12068" max="12068" width="8.125" style="255" customWidth="1"/>
    <col min="12069" max="12072" width="10.375" style="255" customWidth="1"/>
    <col min="12073" max="12073" width="7.25" style="255" customWidth="1"/>
    <col min="12074" max="12074" width="7.125" style="255" customWidth="1"/>
    <col min="12075" max="12075" width="9.5" style="255" customWidth="1"/>
    <col min="12076" max="12077" width="9" style="255" customWidth="1"/>
    <col min="12078" max="12078" width="16.125" style="255" customWidth="1"/>
    <col min="12079" max="12109" width="9" style="255" customWidth="1"/>
    <col min="12110" max="12269" width="25.25" style="255"/>
    <col min="12270" max="12299" width="9" style="255" customWidth="1"/>
    <col min="12300" max="12300" width="0.5" style="255" customWidth="1"/>
    <col min="12301" max="12301" width="25.25" style="255"/>
    <col min="12302" max="12302" width="0.5" style="255" customWidth="1"/>
    <col min="12303" max="12303" width="25.25" style="255"/>
    <col min="12304" max="12304" width="14.75" style="255" customWidth="1"/>
    <col min="12305" max="12305" width="11.5" style="255" customWidth="1"/>
    <col min="12306" max="12306" width="11.25" style="255" customWidth="1"/>
    <col min="12307" max="12307" width="10.75" style="255" customWidth="1"/>
    <col min="12308" max="12308" width="10" style="255" customWidth="1"/>
    <col min="12309" max="12309" width="9.875" style="255" customWidth="1"/>
    <col min="12310" max="12310" width="26.125" style="255" customWidth="1"/>
    <col min="12311" max="12311" width="11.125" style="255" customWidth="1"/>
    <col min="12312" max="12312" width="7.875" style="255" customWidth="1"/>
    <col min="12313" max="12313" width="7.25" style="255" customWidth="1"/>
    <col min="12314" max="12314" width="9.125" style="255" customWidth="1"/>
    <col min="12315" max="12315" width="15.125" style="255" customWidth="1"/>
    <col min="12316" max="12316" width="7.75" style="255" customWidth="1"/>
    <col min="12317" max="12317" width="7.125" style="255" customWidth="1"/>
    <col min="12318" max="12318" width="12.125" style="255" customWidth="1"/>
    <col min="12319" max="12319" width="8.25" style="255" customWidth="1"/>
    <col min="12320" max="12321" width="10.375" style="255" customWidth="1"/>
    <col min="12322" max="12322" width="15.625" style="255" customWidth="1"/>
    <col min="12323" max="12323" width="15.875" style="255" customWidth="1"/>
    <col min="12324" max="12324" width="8.125" style="255" customWidth="1"/>
    <col min="12325" max="12328" width="10.375" style="255" customWidth="1"/>
    <col min="12329" max="12329" width="7.25" style="255" customWidth="1"/>
    <col min="12330" max="12330" width="7.125" style="255" customWidth="1"/>
    <col min="12331" max="12331" width="9.5" style="255" customWidth="1"/>
    <col min="12332" max="12333" width="9" style="255" customWidth="1"/>
    <col min="12334" max="12334" width="16.125" style="255" customWidth="1"/>
    <col min="12335" max="12365" width="9" style="255" customWidth="1"/>
    <col min="12366" max="12525" width="25.25" style="255"/>
    <col min="12526" max="12555" width="9" style="255" customWidth="1"/>
    <col min="12556" max="12556" width="0.5" style="255" customWidth="1"/>
    <col min="12557" max="12557" width="25.25" style="255"/>
    <col min="12558" max="12558" width="0.5" style="255" customWidth="1"/>
    <col min="12559" max="12559" width="25.25" style="255"/>
    <col min="12560" max="12560" width="14.75" style="255" customWidth="1"/>
    <col min="12561" max="12561" width="11.5" style="255" customWidth="1"/>
    <col min="12562" max="12562" width="11.25" style="255" customWidth="1"/>
    <col min="12563" max="12563" width="10.75" style="255" customWidth="1"/>
    <col min="12564" max="12564" width="10" style="255" customWidth="1"/>
    <col min="12565" max="12565" width="9.875" style="255" customWidth="1"/>
    <col min="12566" max="12566" width="26.125" style="255" customWidth="1"/>
    <col min="12567" max="12567" width="11.125" style="255" customWidth="1"/>
    <col min="12568" max="12568" width="7.875" style="255" customWidth="1"/>
    <col min="12569" max="12569" width="7.25" style="255" customWidth="1"/>
    <col min="12570" max="12570" width="9.125" style="255" customWidth="1"/>
    <col min="12571" max="12571" width="15.125" style="255" customWidth="1"/>
    <col min="12572" max="12572" width="7.75" style="255" customWidth="1"/>
    <col min="12573" max="12573" width="7.125" style="255" customWidth="1"/>
    <col min="12574" max="12574" width="12.125" style="255" customWidth="1"/>
    <col min="12575" max="12575" width="8.25" style="255" customWidth="1"/>
    <col min="12576" max="12577" width="10.375" style="255" customWidth="1"/>
    <col min="12578" max="12578" width="15.625" style="255" customWidth="1"/>
    <col min="12579" max="12579" width="15.875" style="255" customWidth="1"/>
    <col min="12580" max="12580" width="8.125" style="255" customWidth="1"/>
    <col min="12581" max="12584" width="10.375" style="255" customWidth="1"/>
    <col min="12585" max="12585" width="7.25" style="255" customWidth="1"/>
    <col min="12586" max="12586" width="7.125" style="255" customWidth="1"/>
    <col min="12587" max="12587" width="9.5" style="255" customWidth="1"/>
    <col min="12588" max="12589" width="9" style="255" customWidth="1"/>
    <col min="12590" max="12590" width="16.125" style="255" customWidth="1"/>
    <col min="12591" max="12621" width="9" style="255" customWidth="1"/>
    <col min="12622" max="12781" width="25.25" style="255"/>
    <col min="12782" max="12811" width="9" style="255" customWidth="1"/>
    <col min="12812" max="12812" width="0.5" style="255" customWidth="1"/>
    <col min="12813" max="12813" width="25.25" style="255"/>
    <col min="12814" max="12814" width="0.5" style="255" customWidth="1"/>
    <col min="12815" max="12815" width="25.25" style="255"/>
    <col min="12816" max="12816" width="14.75" style="255" customWidth="1"/>
    <col min="12817" max="12817" width="11.5" style="255" customWidth="1"/>
    <col min="12818" max="12818" width="11.25" style="255" customWidth="1"/>
    <col min="12819" max="12819" width="10.75" style="255" customWidth="1"/>
    <col min="12820" max="12820" width="10" style="255" customWidth="1"/>
    <col min="12821" max="12821" width="9.875" style="255" customWidth="1"/>
    <col min="12822" max="12822" width="26.125" style="255" customWidth="1"/>
    <col min="12823" max="12823" width="11.125" style="255" customWidth="1"/>
    <col min="12824" max="12824" width="7.875" style="255" customWidth="1"/>
    <col min="12825" max="12825" width="7.25" style="255" customWidth="1"/>
    <col min="12826" max="12826" width="9.125" style="255" customWidth="1"/>
    <col min="12827" max="12827" width="15.125" style="255" customWidth="1"/>
    <col min="12828" max="12828" width="7.75" style="255" customWidth="1"/>
    <col min="12829" max="12829" width="7.125" style="255" customWidth="1"/>
    <col min="12830" max="12830" width="12.125" style="255" customWidth="1"/>
    <col min="12831" max="12831" width="8.25" style="255" customWidth="1"/>
    <col min="12832" max="12833" width="10.375" style="255" customWidth="1"/>
    <col min="12834" max="12834" width="15.625" style="255" customWidth="1"/>
    <col min="12835" max="12835" width="15.875" style="255" customWidth="1"/>
    <col min="12836" max="12836" width="8.125" style="255" customWidth="1"/>
    <col min="12837" max="12840" width="10.375" style="255" customWidth="1"/>
    <col min="12841" max="12841" width="7.25" style="255" customWidth="1"/>
    <col min="12842" max="12842" width="7.125" style="255" customWidth="1"/>
    <col min="12843" max="12843" width="9.5" style="255" customWidth="1"/>
    <col min="12844" max="12845" width="9" style="255" customWidth="1"/>
    <col min="12846" max="12846" width="16.125" style="255" customWidth="1"/>
    <col min="12847" max="12877" width="9" style="255" customWidth="1"/>
    <col min="12878" max="13037" width="25.25" style="255"/>
    <col min="13038" max="13067" width="9" style="255" customWidth="1"/>
    <col min="13068" max="13068" width="0.5" style="255" customWidth="1"/>
    <col min="13069" max="13069" width="25.25" style="255"/>
    <col min="13070" max="13070" width="0.5" style="255" customWidth="1"/>
    <col min="13071" max="13071" width="25.25" style="255"/>
    <col min="13072" max="13072" width="14.75" style="255" customWidth="1"/>
    <col min="13073" max="13073" width="11.5" style="255" customWidth="1"/>
    <col min="13074" max="13074" width="11.25" style="255" customWidth="1"/>
    <col min="13075" max="13075" width="10.75" style="255" customWidth="1"/>
    <col min="13076" max="13076" width="10" style="255" customWidth="1"/>
    <col min="13077" max="13077" width="9.875" style="255" customWidth="1"/>
    <col min="13078" max="13078" width="26.125" style="255" customWidth="1"/>
    <col min="13079" max="13079" width="11.125" style="255" customWidth="1"/>
    <col min="13080" max="13080" width="7.875" style="255" customWidth="1"/>
    <col min="13081" max="13081" width="7.25" style="255" customWidth="1"/>
    <col min="13082" max="13082" width="9.125" style="255" customWidth="1"/>
    <col min="13083" max="13083" width="15.125" style="255" customWidth="1"/>
    <col min="13084" max="13084" width="7.75" style="255" customWidth="1"/>
    <col min="13085" max="13085" width="7.125" style="255" customWidth="1"/>
    <col min="13086" max="13086" width="12.125" style="255" customWidth="1"/>
    <col min="13087" max="13087" width="8.25" style="255" customWidth="1"/>
    <col min="13088" max="13089" width="10.375" style="255" customWidth="1"/>
    <col min="13090" max="13090" width="15.625" style="255" customWidth="1"/>
    <col min="13091" max="13091" width="15.875" style="255" customWidth="1"/>
    <col min="13092" max="13092" width="8.125" style="255" customWidth="1"/>
    <col min="13093" max="13096" width="10.375" style="255" customWidth="1"/>
    <col min="13097" max="13097" width="7.25" style="255" customWidth="1"/>
    <col min="13098" max="13098" width="7.125" style="255" customWidth="1"/>
    <col min="13099" max="13099" width="9.5" style="255" customWidth="1"/>
    <col min="13100" max="13101" width="9" style="255" customWidth="1"/>
    <col min="13102" max="13102" width="16.125" style="255" customWidth="1"/>
    <col min="13103" max="13133" width="9" style="255" customWidth="1"/>
    <col min="13134" max="13293" width="25.25" style="255"/>
    <col min="13294" max="13323" width="9" style="255" customWidth="1"/>
    <col min="13324" max="13324" width="0.5" style="255" customWidth="1"/>
    <col min="13325" max="13325" width="25.25" style="255"/>
    <col min="13326" max="13326" width="0.5" style="255" customWidth="1"/>
    <col min="13327" max="13327" width="25.25" style="255"/>
    <col min="13328" max="13328" width="14.75" style="255" customWidth="1"/>
    <col min="13329" max="13329" width="11.5" style="255" customWidth="1"/>
    <col min="13330" max="13330" width="11.25" style="255" customWidth="1"/>
    <col min="13331" max="13331" width="10.75" style="255" customWidth="1"/>
    <col min="13332" max="13332" width="10" style="255" customWidth="1"/>
    <col min="13333" max="13333" width="9.875" style="255" customWidth="1"/>
    <col min="13334" max="13334" width="26.125" style="255" customWidth="1"/>
    <col min="13335" max="13335" width="11.125" style="255" customWidth="1"/>
    <col min="13336" max="13336" width="7.875" style="255" customWidth="1"/>
    <col min="13337" max="13337" width="7.25" style="255" customWidth="1"/>
    <col min="13338" max="13338" width="9.125" style="255" customWidth="1"/>
    <col min="13339" max="13339" width="15.125" style="255" customWidth="1"/>
    <col min="13340" max="13340" width="7.75" style="255" customWidth="1"/>
    <col min="13341" max="13341" width="7.125" style="255" customWidth="1"/>
    <col min="13342" max="13342" width="12.125" style="255" customWidth="1"/>
    <col min="13343" max="13343" width="8.25" style="255" customWidth="1"/>
    <col min="13344" max="13345" width="10.375" style="255" customWidth="1"/>
    <col min="13346" max="13346" width="15.625" style="255" customWidth="1"/>
    <col min="13347" max="13347" width="15.875" style="255" customWidth="1"/>
    <col min="13348" max="13348" width="8.125" style="255" customWidth="1"/>
    <col min="13349" max="13352" width="10.375" style="255" customWidth="1"/>
    <col min="13353" max="13353" width="7.25" style="255" customWidth="1"/>
    <col min="13354" max="13354" width="7.125" style="255" customWidth="1"/>
    <col min="13355" max="13355" width="9.5" style="255" customWidth="1"/>
    <col min="13356" max="13357" width="9" style="255" customWidth="1"/>
    <col min="13358" max="13358" width="16.125" style="255" customWidth="1"/>
    <col min="13359" max="13389" width="9" style="255" customWidth="1"/>
    <col min="13390" max="13549" width="25.25" style="255"/>
    <col min="13550" max="13579" width="9" style="255" customWidth="1"/>
    <col min="13580" max="13580" width="0.5" style="255" customWidth="1"/>
    <col min="13581" max="13581" width="25.25" style="255"/>
    <col min="13582" max="13582" width="0.5" style="255" customWidth="1"/>
    <col min="13583" max="13583" width="25.25" style="255"/>
    <col min="13584" max="13584" width="14.75" style="255" customWidth="1"/>
    <col min="13585" max="13585" width="11.5" style="255" customWidth="1"/>
    <col min="13586" max="13586" width="11.25" style="255" customWidth="1"/>
    <col min="13587" max="13587" width="10.75" style="255" customWidth="1"/>
    <col min="13588" max="13588" width="10" style="255" customWidth="1"/>
    <col min="13589" max="13589" width="9.875" style="255" customWidth="1"/>
    <col min="13590" max="13590" width="26.125" style="255" customWidth="1"/>
    <col min="13591" max="13591" width="11.125" style="255" customWidth="1"/>
    <col min="13592" max="13592" width="7.875" style="255" customWidth="1"/>
    <col min="13593" max="13593" width="7.25" style="255" customWidth="1"/>
    <col min="13594" max="13594" width="9.125" style="255" customWidth="1"/>
    <col min="13595" max="13595" width="15.125" style="255" customWidth="1"/>
    <col min="13596" max="13596" width="7.75" style="255" customWidth="1"/>
    <col min="13597" max="13597" width="7.125" style="255" customWidth="1"/>
    <col min="13598" max="13598" width="12.125" style="255" customWidth="1"/>
    <col min="13599" max="13599" width="8.25" style="255" customWidth="1"/>
    <col min="13600" max="13601" width="10.375" style="255" customWidth="1"/>
    <col min="13602" max="13602" width="15.625" style="255" customWidth="1"/>
    <col min="13603" max="13603" width="15.875" style="255" customWidth="1"/>
    <col min="13604" max="13604" width="8.125" style="255" customWidth="1"/>
    <col min="13605" max="13608" width="10.375" style="255" customWidth="1"/>
    <col min="13609" max="13609" width="7.25" style="255" customWidth="1"/>
    <col min="13610" max="13610" width="7.125" style="255" customWidth="1"/>
    <col min="13611" max="13611" width="9.5" style="255" customWidth="1"/>
    <col min="13612" max="13613" width="9" style="255" customWidth="1"/>
    <col min="13614" max="13614" width="16.125" style="255" customWidth="1"/>
    <col min="13615" max="13645" width="9" style="255" customWidth="1"/>
    <col min="13646" max="13805" width="25.25" style="255"/>
    <col min="13806" max="13835" width="9" style="255" customWidth="1"/>
    <col min="13836" max="13836" width="0.5" style="255" customWidth="1"/>
    <col min="13837" max="13837" width="25.25" style="255"/>
    <col min="13838" max="13838" width="0.5" style="255" customWidth="1"/>
    <col min="13839" max="13839" width="25.25" style="255"/>
    <col min="13840" max="13840" width="14.75" style="255" customWidth="1"/>
    <col min="13841" max="13841" width="11.5" style="255" customWidth="1"/>
    <col min="13842" max="13842" width="11.25" style="255" customWidth="1"/>
    <col min="13843" max="13843" width="10.75" style="255" customWidth="1"/>
    <col min="13844" max="13844" width="10" style="255" customWidth="1"/>
    <col min="13845" max="13845" width="9.875" style="255" customWidth="1"/>
    <col min="13846" max="13846" width="26.125" style="255" customWidth="1"/>
    <col min="13847" max="13847" width="11.125" style="255" customWidth="1"/>
    <col min="13848" max="13848" width="7.875" style="255" customWidth="1"/>
    <col min="13849" max="13849" width="7.25" style="255" customWidth="1"/>
    <col min="13850" max="13850" width="9.125" style="255" customWidth="1"/>
    <col min="13851" max="13851" width="15.125" style="255" customWidth="1"/>
    <col min="13852" max="13852" width="7.75" style="255" customWidth="1"/>
    <col min="13853" max="13853" width="7.125" style="255" customWidth="1"/>
    <col min="13854" max="13854" width="12.125" style="255" customWidth="1"/>
    <col min="13855" max="13855" width="8.25" style="255" customWidth="1"/>
    <col min="13856" max="13857" width="10.375" style="255" customWidth="1"/>
    <col min="13858" max="13858" width="15.625" style="255" customWidth="1"/>
    <col min="13859" max="13859" width="15.875" style="255" customWidth="1"/>
    <col min="13860" max="13860" width="8.125" style="255" customWidth="1"/>
    <col min="13861" max="13864" width="10.375" style="255" customWidth="1"/>
    <col min="13865" max="13865" width="7.25" style="255" customWidth="1"/>
    <col min="13866" max="13866" width="7.125" style="255" customWidth="1"/>
    <col min="13867" max="13867" width="9.5" style="255" customWidth="1"/>
    <col min="13868" max="13869" width="9" style="255" customWidth="1"/>
    <col min="13870" max="13870" width="16.125" style="255" customWidth="1"/>
    <col min="13871" max="13901" width="9" style="255" customWidth="1"/>
    <col min="13902" max="14061" width="25.25" style="255"/>
    <col min="14062" max="14091" width="9" style="255" customWidth="1"/>
    <col min="14092" max="14092" width="0.5" style="255" customWidth="1"/>
    <col min="14093" max="14093" width="25.25" style="255"/>
    <col min="14094" max="14094" width="0.5" style="255" customWidth="1"/>
    <col min="14095" max="14095" width="25.25" style="255"/>
    <col min="14096" max="14096" width="14.75" style="255" customWidth="1"/>
    <col min="14097" max="14097" width="11.5" style="255" customWidth="1"/>
    <col min="14098" max="14098" width="11.25" style="255" customWidth="1"/>
    <col min="14099" max="14099" width="10.75" style="255" customWidth="1"/>
    <col min="14100" max="14100" width="10" style="255" customWidth="1"/>
    <col min="14101" max="14101" width="9.875" style="255" customWidth="1"/>
    <col min="14102" max="14102" width="26.125" style="255" customWidth="1"/>
    <col min="14103" max="14103" width="11.125" style="255" customWidth="1"/>
    <col min="14104" max="14104" width="7.875" style="255" customWidth="1"/>
    <col min="14105" max="14105" width="7.25" style="255" customWidth="1"/>
    <col min="14106" max="14106" width="9.125" style="255" customWidth="1"/>
    <col min="14107" max="14107" width="15.125" style="255" customWidth="1"/>
    <col min="14108" max="14108" width="7.75" style="255" customWidth="1"/>
    <col min="14109" max="14109" width="7.125" style="255" customWidth="1"/>
    <col min="14110" max="14110" width="12.125" style="255" customWidth="1"/>
    <col min="14111" max="14111" width="8.25" style="255" customWidth="1"/>
    <col min="14112" max="14113" width="10.375" style="255" customWidth="1"/>
    <col min="14114" max="14114" width="15.625" style="255" customWidth="1"/>
    <col min="14115" max="14115" width="15.875" style="255" customWidth="1"/>
    <col min="14116" max="14116" width="8.125" style="255" customWidth="1"/>
    <col min="14117" max="14120" width="10.375" style="255" customWidth="1"/>
    <col min="14121" max="14121" width="7.25" style="255" customWidth="1"/>
    <col min="14122" max="14122" width="7.125" style="255" customWidth="1"/>
    <col min="14123" max="14123" width="9.5" style="255" customWidth="1"/>
    <col min="14124" max="14125" width="9" style="255" customWidth="1"/>
    <col min="14126" max="14126" width="16.125" style="255" customWidth="1"/>
    <col min="14127" max="14157" width="9" style="255" customWidth="1"/>
    <col min="14158" max="14317" width="25.25" style="255"/>
    <col min="14318" max="14347" width="9" style="255" customWidth="1"/>
    <col min="14348" max="14348" width="0.5" style="255" customWidth="1"/>
    <col min="14349" max="14349" width="25.25" style="255"/>
    <col min="14350" max="14350" width="0.5" style="255" customWidth="1"/>
    <col min="14351" max="14351" width="25.25" style="255"/>
    <col min="14352" max="14352" width="14.75" style="255" customWidth="1"/>
    <col min="14353" max="14353" width="11.5" style="255" customWidth="1"/>
    <col min="14354" max="14354" width="11.25" style="255" customWidth="1"/>
    <col min="14355" max="14355" width="10.75" style="255" customWidth="1"/>
    <col min="14356" max="14356" width="10" style="255" customWidth="1"/>
    <col min="14357" max="14357" width="9.875" style="255" customWidth="1"/>
    <col min="14358" max="14358" width="26.125" style="255" customWidth="1"/>
    <col min="14359" max="14359" width="11.125" style="255" customWidth="1"/>
    <col min="14360" max="14360" width="7.875" style="255" customWidth="1"/>
    <col min="14361" max="14361" width="7.25" style="255" customWidth="1"/>
    <col min="14362" max="14362" width="9.125" style="255" customWidth="1"/>
    <col min="14363" max="14363" width="15.125" style="255" customWidth="1"/>
    <col min="14364" max="14364" width="7.75" style="255" customWidth="1"/>
    <col min="14365" max="14365" width="7.125" style="255" customWidth="1"/>
    <col min="14366" max="14366" width="12.125" style="255" customWidth="1"/>
    <col min="14367" max="14367" width="8.25" style="255" customWidth="1"/>
    <col min="14368" max="14369" width="10.375" style="255" customWidth="1"/>
    <col min="14370" max="14370" width="15.625" style="255" customWidth="1"/>
    <col min="14371" max="14371" width="15.875" style="255" customWidth="1"/>
    <col min="14372" max="14372" width="8.125" style="255" customWidth="1"/>
    <col min="14373" max="14376" width="10.375" style="255" customWidth="1"/>
    <col min="14377" max="14377" width="7.25" style="255" customWidth="1"/>
    <col min="14378" max="14378" width="7.125" style="255" customWidth="1"/>
    <col min="14379" max="14379" width="9.5" style="255" customWidth="1"/>
    <col min="14380" max="14381" width="9" style="255" customWidth="1"/>
    <col min="14382" max="14382" width="16.125" style="255" customWidth="1"/>
    <col min="14383" max="14413" width="9" style="255" customWidth="1"/>
    <col min="14414" max="14573" width="25.25" style="255"/>
    <col min="14574" max="14603" width="9" style="255" customWidth="1"/>
    <col min="14604" max="14604" width="0.5" style="255" customWidth="1"/>
    <col min="14605" max="14605" width="25.25" style="255"/>
    <col min="14606" max="14606" width="0.5" style="255" customWidth="1"/>
    <col min="14607" max="14607" width="25.25" style="255"/>
    <col min="14608" max="14608" width="14.75" style="255" customWidth="1"/>
    <col min="14609" max="14609" width="11.5" style="255" customWidth="1"/>
    <col min="14610" max="14610" width="11.25" style="255" customWidth="1"/>
    <col min="14611" max="14611" width="10.75" style="255" customWidth="1"/>
    <col min="14612" max="14612" width="10" style="255" customWidth="1"/>
    <col min="14613" max="14613" width="9.875" style="255" customWidth="1"/>
    <col min="14614" max="14614" width="26.125" style="255" customWidth="1"/>
    <col min="14615" max="14615" width="11.125" style="255" customWidth="1"/>
    <col min="14616" max="14616" width="7.875" style="255" customWidth="1"/>
    <col min="14617" max="14617" width="7.25" style="255" customWidth="1"/>
    <col min="14618" max="14618" width="9.125" style="255" customWidth="1"/>
    <col min="14619" max="14619" width="15.125" style="255" customWidth="1"/>
    <col min="14620" max="14620" width="7.75" style="255" customWidth="1"/>
    <col min="14621" max="14621" width="7.125" style="255" customWidth="1"/>
    <col min="14622" max="14622" width="12.125" style="255" customWidth="1"/>
    <col min="14623" max="14623" width="8.25" style="255" customWidth="1"/>
    <col min="14624" max="14625" width="10.375" style="255" customWidth="1"/>
    <col min="14626" max="14626" width="15.625" style="255" customWidth="1"/>
    <col min="14627" max="14627" width="15.875" style="255" customWidth="1"/>
    <col min="14628" max="14628" width="8.125" style="255" customWidth="1"/>
    <col min="14629" max="14632" width="10.375" style="255" customWidth="1"/>
    <col min="14633" max="14633" width="7.25" style="255" customWidth="1"/>
    <col min="14634" max="14634" width="7.125" style="255" customWidth="1"/>
    <col min="14635" max="14635" width="9.5" style="255" customWidth="1"/>
    <col min="14636" max="14637" width="9" style="255" customWidth="1"/>
    <col min="14638" max="14638" width="16.125" style="255" customWidth="1"/>
    <col min="14639" max="14669" width="9" style="255" customWidth="1"/>
    <col min="14670" max="14829" width="25.25" style="255"/>
    <col min="14830" max="14859" width="9" style="255" customWidth="1"/>
    <col min="14860" max="14860" width="0.5" style="255" customWidth="1"/>
    <col min="14861" max="14861" width="25.25" style="255"/>
    <col min="14862" max="14862" width="0.5" style="255" customWidth="1"/>
    <col min="14863" max="14863" width="25.25" style="255"/>
    <col min="14864" max="14864" width="14.75" style="255" customWidth="1"/>
    <col min="14865" max="14865" width="11.5" style="255" customWidth="1"/>
    <col min="14866" max="14866" width="11.25" style="255" customWidth="1"/>
    <col min="14867" max="14867" width="10.75" style="255" customWidth="1"/>
    <col min="14868" max="14868" width="10" style="255" customWidth="1"/>
    <col min="14869" max="14869" width="9.875" style="255" customWidth="1"/>
    <col min="14870" max="14870" width="26.125" style="255" customWidth="1"/>
    <col min="14871" max="14871" width="11.125" style="255" customWidth="1"/>
    <col min="14872" max="14872" width="7.875" style="255" customWidth="1"/>
    <col min="14873" max="14873" width="7.25" style="255" customWidth="1"/>
    <col min="14874" max="14874" width="9.125" style="255" customWidth="1"/>
    <col min="14875" max="14875" width="15.125" style="255" customWidth="1"/>
    <col min="14876" max="14876" width="7.75" style="255" customWidth="1"/>
    <col min="14877" max="14877" width="7.125" style="255" customWidth="1"/>
    <col min="14878" max="14878" width="12.125" style="255" customWidth="1"/>
    <col min="14879" max="14879" width="8.25" style="255" customWidth="1"/>
    <col min="14880" max="14881" width="10.375" style="255" customWidth="1"/>
    <col min="14882" max="14882" width="15.625" style="255" customWidth="1"/>
    <col min="14883" max="14883" width="15.875" style="255" customWidth="1"/>
    <col min="14884" max="14884" width="8.125" style="255" customWidth="1"/>
    <col min="14885" max="14888" width="10.375" style="255" customWidth="1"/>
    <col min="14889" max="14889" width="7.25" style="255" customWidth="1"/>
    <col min="14890" max="14890" width="7.125" style="255" customWidth="1"/>
    <col min="14891" max="14891" width="9.5" style="255" customWidth="1"/>
    <col min="14892" max="14893" width="9" style="255" customWidth="1"/>
    <col min="14894" max="14894" width="16.125" style="255" customWidth="1"/>
    <col min="14895" max="14925" width="9" style="255" customWidth="1"/>
    <col min="14926" max="15085" width="25.25" style="255"/>
    <col min="15086" max="15115" width="9" style="255" customWidth="1"/>
    <col min="15116" max="15116" width="0.5" style="255" customWidth="1"/>
    <col min="15117" max="15117" width="25.25" style="255"/>
    <col min="15118" max="15118" width="0.5" style="255" customWidth="1"/>
    <col min="15119" max="15119" width="25.25" style="255"/>
    <col min="15120" max="15120" width="14.75" style="255" customWidth="1"/>
    <col min="15121" max="15121" width="11.5" style="255" customWidth="1"/>
    <col min="15122" max="15122" width="11.25" style="255" customWidth="1"/>
    <col min="15123" max="15123" width="10.75" style="255" customWidth="1"/>
    <col min="15124" max="15124" width="10" style="255" customWidth="1"/>
    <col min="15125" max="15125" width="9.875" style="255" customWidth="1"/>
    <col min="15126" max="15126" width="26.125" style="255" customWidth="1"/>
    <col min="15127" max="15127" width="11.125" style="255" customWidth="1"/>
    <col min="15128" max="15128" width="7.875" style="255" customWidth="1"/>
    <col min="15129" max="15129" width="7.25" style="255" customWidth="1"/>
    <col min="15130" max="15130" width="9.125" style="255" customWidth="1"/>
    <col min="15131" max="15131" width="15.125" style="255" customWidth="1"/>
    <col min="15132" max="15132" width="7.75" style="255" customWidth="1"/>
    <col min="15133" max="15133" width="7.125" style="255" customWidth="1"/>
    <col min="15134" max="15134" width="12.125" style="255" customWidth="1"/>
    <col min="15135" max="15135" width="8.25" style="255" customWidth="1"/>
    <col min="15136" max="15137" width="10.375" style="255" customWidth="1"/>
    <col min="15138" max="15138" width="15.625" style="255" customWidth="1"/>
    <col min="15139" max="15139" width="15.875" style="255" customWidth="1"/>
    <col min="15140" max="15140" width="8.125" style="255" customWidth="1"/>
    <col min="15141" max="15144" width="10.375" style="255" customWidth="1"/>
    <col min="15145" max="15145" width="7.25" style="255" customWidth="1"/>
    <col min="15146" max="15146" width="7.125" style="255" customWidth="1"/>
    <col min="15147" max="15147" width="9.5" style="255" customWidth="1"/>
    <col min="15148" max="15149" width="9" style="255" customWidth="1"/>
    <col min="15150" max="15150" width="16.125" style="255" customWidth="1"/>
    <col min="15151" max="15181" width="9" style="255" customWidth="1"/>
    <col min="15182" max="15341" width="25.25" style="255"/>
    <col min="15342" max="15371" width="9" style="255" customWidth="1"/>
    <col min="15372" max="15372" width="0.5" style="255" customWidth="1"/>
    <col min="15373" max="15373" width="25.25" style="255"/>
    <col min="15374" max="15374" width="0.5" style="255" customWidth="1"/>
    <col min="15375" max="15375" width="25.25" style="255"/>
    <col min="15376" max="15376" width="14.75" style="255" customWidth="1"/>
    <col min="15377" max="15377" width="11.5" style="255" customWidth="1"/>
    <col min="15378" max="15378" width="11.25" style="255" customWidth="1"/>
    <col min="15379" max="15379" width="10.75" style="255" customWidth="1"/>
    <col min="15380" max="15380" width="10" style="255" customWidth="1"/>
    <col min="15381" max="15381" width="9.875" style="255" customWidth="1"/>
    <col min="15382" max="15382" width="26.125" style="255" customWidth="1"/>
    <col min="15383" max="15383" width="11.125" style="255" customWidth="1"/>
    <col min="15384" max="15384" width="7.875" style="255" customWidth="1"/>
    <col min="15385" max="15385" width="7.25" style="255" customWidth="1"/>
    <col min="15386" max="15386" width="9.125" style="255" customWidth="1"/>
    <col min="15387" max="15387" width="15.125" style="255" customWidth="1"/>
    <col min="15388" max="15388" width="7.75" style="255" customWidth="1"/>
    <col min="15389" max="15389" width="7.125" style="255" customWidth="1"/>
    <col min="15390" max="15390" width="12.125" style="255" customWidth="1"/>
    <col min="15391" max="15391" width="8.25" style="255" customWidth="1"/>
    <col min="15392" max="15393" width="10.375" style="255" customWidth="1"/>
    <col min="15394" max="15394" width="15.625" style="255" customWidth="1"/>
    <col min="15395" max="15395" width="15.875" style="255" customWidth="1"/>
    <col min="15396" max="15396" width="8.125" style="255" customWidth="1"/>
    <col min="15397" max="15400" width="10.375" style="255" customWidth="1"/>
    <col min="15401" max="15401" width="7.25" style="255" customWidth="1"/>
    <col min="15402" max="15402" width="7.125" style="255" customWidth="1"/>
    <col min="15403" max="15403" width="9.5" style="255" customWidth="1"/>
    <col min="15404" max="15405" width="9" style="255" customWidth="1"/>
    <col min="15406" max="15406" width="16.125" style="255" customWidth="1"/>
    <col min="15407" max="15437" width="9" style="255" customWidth="1"/>
    <col min="15438" max="15597" width="25.25" style="255"/>
    <col min="15598" max="15627" width="9" style="255" customWidth="1"/>
    <col min="15628" max="15628" width="0.5" style="255" customWidth="1"/>
    <col min="15629" max="15629" width="25.25" style="255"/>
    <col min="15630" max="15630" width="0.5" style="255" customWidth="1"/>
    <col min="15631" max="15631" width="25.25" style="255"/>
    <col min="15632" max="15632" width="14.75" style="255" customWidth="1"/>
    <col min="15633" max="15633" width="11.5" style="255" customWidth="1"/>
    <col min="15634" max="15634" width="11.25" style="255" customWidth="1"/>
    <col min="15635" max="15635" width="10.75" style="255" customWidth="1"/>
    <col min="15636" max="15636" width="10" style="255" customWidth="1"/>
    <col min="15637" max="15637" width="9.875" style="255" customWidth="1"/>
    <col min="15638" max="15638" width="26.125" style="255" customWidth="1"/>
    <col min="15639" max="15639" width="11.125" style="255" customWidth="1"/>
    <col min="15640" max="15640" width="7.875" style="255" customWidth="1"/>
    <col min="15641" max="15641" width="7.25" style="255" customWidth="1"/>
    <col min="15642" max="15642" width="9.125" style="255" customWidth="1"/>
    <col min="15643" max="15643" width="15.125" style="255" customWidth="1"/>
    <col min="15644" max="15644" width="7.75" style="255" customWidth="1"/>
    <col min="15645" max="15645" width="7.125" style="255" customWidth="1"/>
    <col min="15646" max="15646" width="12.125" style="255" customWidth="1"/>
    <col min="15647" max="15647" width="8.25" style="255" customWidth="1"/>
    <col min="15648" max="15649" width="10.375" style="255" customWidth="1"/>
    <col min="15650" max="15650" width="15.625" style="255" customWidth="1"/>
    <col min="15651" max="15651" width="15.875" style="255" customWidth="1"/>
    <col min="15652" max="15652" width="8.125" style="255" customWidth="1"/>
    <col min="15653" max="15656" width="10.375" style="255" customWidth="1"/>
    <col min="15657" max="15657" width="7.25" style="255" customWidth="1"/>
    <col min="15658" max="15658" width="7.125" style="255" customWidth="1"/>
    <col min="15659" max="15659" width="9.5" style="255" customWidth="1"/>
    <col min="15660" max="15661" width="9" style="255" customWidth="1"/>
    <col min="15662" max="15662" width="16.125" style="255" customWidth="1"/>
    <col min="15663" max="15693" width="9" style="255" customWidth="1"/>
    <col min="15694" max="15853" width="25.25" style="255"/>
    <col min="15854" max="15883" width="9" style="255" customWidth="1"/>
    <col min="15884" max="15884" width="0.5" style="255" customWidth="1"/>
    <col min="15885" max="15885" width="25.25" style="255"/>
    <col min="15886" max="15886" width="0.5" style="255" customWidth="1"/>
    <col min="15887" max="15887" width="25.25" style="255"/>
    <col min="15888" max="15888" width="14.75" style="255" customWidth="1"/>
    <col min="15889" max="15889" width="11.5" style="255" customWidth="1"/>
    <col min="15890" max="15890" width="11.25" style="255" customWidth="1"/>
    <col min="15891" max="15891" width="10.75" style="255" customWidth="1"/>
    <col min="15892" max="15892" width="10" style="255" customWidth="1"/>
    <col min="15893" max="15893" width="9.875" style="255" customWidth="1"/>
    <col min="15894" max="15894" width="26.125" style="255" customWidth="1"/>
    <col min="15895" max="15895" width="11.125" style="255" customWidth="1"/>
    <col min="15896" max="15896" width="7.875" style="255" customWidth="1"/>
    <col min="15897" max="15897" width="7.25" style="255" customWidth="1"/>
    <col min="15898" max="15898" width="9.125" style="255" customWidth="1"/>
    <col min="15899" max="15899" width="15.125" style="255" customWidth="1"/>
    <col min="15900" max="15900" width="7.75" style="255" customWidth="1"/>
    <col min="15901" max="15901" width="7.125" style="255" customWidth="1"/>
    <col min="15902" max="15902" width="12.125" style="255" customWidth="1"/>
    <col min="15903" max="15903" width="8.25" style="255" customWidth="1"/>
    <col min="15904" max="15905" width="10.375" style="255" customWidth="1"/>
    <col min="15906" max="15906" width="15.625" style="255" customWidth="1"/>
    <col min="15907" max="15907" width="15.875" style="255" customWidth="1"/>
    <col min="15908" max="15908" width="8.125" style="255" customWidth="1"/>
    <col min="15909" max="15912" width="10.375" style="255" customWidth="1"/>
    <col min="15913" max="15913" width="7.25" style="255" customWidth="1"/>
    <col min="15914" max="15914" width="7.125" style="255" customWidth="1"/>
    <col min="15915" max="15915" width="9.5" style="255" customWidth="1"/>
    <col min="15916" max="15917" width="9" style="255" customWidth="1"/>
    <col min="15918" max="15918" width="16.125" style="255" customWidth="1"/>
    <col min="15919" max="15949" width="9" style="255" customWidth="1"/>
    <col min="15950" max="16109" width="25.25" style="255"/>
    <col min="16110" max="16139" width="9" style="255" customWidth="1"/>
    <col min="16140" max="16140" width="0.5" style="255" customWidth="1"/>
    <col min="16141" max="16384" width="25.25" style="255"/>
  </cols>
  <sheetData>
    <row r="1" spans="1:16" ht="14.25" thickBot="1"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1"/>
      <c r="O1" s="1"/>
      <c r="P1" s="1"/>
    </row>
    <row r="2" spans="1:16" ht="18" customHeight="1">
      <c r="A2" s="5"/>
      <c r="B2" s="6" t="s">
        <v>402</v>
      </c>
      <c r="C2" s="254"/>
      <c r="D2" s="254" t="s">
        <v>9</v>
      </c>
      <c r="E2" s="254" t="s">
        <v>10</v>
      </c>
      <c r="F2" s="661" t="s">
        <v>11</v>
      </c>
      <c r="G2" s="661"/>
      <c r="H2" s="661"/>
      <c r="I2" s="662" t="s">
        <v>12</v>
      </c>
      <c r="J2" s="664" t="s">
        <v>13</v>
      </c>
      <c r="K2" s="665"/>
      <c r="L2" s="665"/>
      <c r="M2" s="666"/>
      <c r="N2" s="8"/>
      <c r="O2" s="8"/>
      <c r="P2" s="8"/>
    </row>
    <row r="3" spans="1:16" ht="18" customHeight="1">
      <c r="B3" s="9" t="s">
        <v>14</v>
      </c>
      <c r="C3" s="10" t="s">
        <v>15</v>
      </c>
      <c r="D3" s="10" t="s">
        <v>16</v>
      </c>
      <c r="E3" s="10" t="s">
        <v>17</v>
      </c>
      <c r="F3" s="10" t="s">
        <v>7</v>
      </c>
      <c r="G3" s="10" t="s">
        <v>5</v>
      </c>
      <c r="H3" s="10" t="s">
        <v>18</v>
      </c>
      <c r="I3" s="663"/>
      <c r="J3" s="11" t="s">
        <v>19</v>
      </c>
      <c r="K3" s="12" t="s">
        <v>20</v>
      </c>
      <c r="L3" s="12" t="s">
        <v>21</v>
      </c>
      <c r="M3" s="13" t="s">
        <v>22</v>
      </c>
      <c r="N3" s="14"/>
      <c r="P3" s="15"/>
    </row>
    <row r="4" spans="1:16" ht="18" customHeight="1">
      <c r="B4" s="667" t="str">
        <f ca="1">MID(CELL("filename",Q13),FIND("]",CELL("filename",Q13))+1,30)</f>
        <v>C1417</v>
      </c>
      <c r="C4" s="17" t="s">
        <v>23</v>
      </c>
      <c r="D4" s="17">
        <v>1400</v>
      </c>
      <c r="E4" s="17">
        <v>1700</v>
      </c>
      <c r="F4" s="18">
        <v>1.87</v>
      </c>
      <c r="G4" s="17">
        <v>1</v>
      </c>
      <c r="H4" s="17">
        <f>F4*G4</f>
        <v>1.87</v>
      </c>
      <c r="I4" s="663"/>
      <c r="J4" s="19">
        <v>40</v>
      </c>
      <c r="K4" s="20">
        <v>20</v>
      </c>
      <c r="L4" s="21">
        <v>1.5</v>
      </c>
      <c r="M4" s="22">
        <f t="shared" ref="M4:M11" si="0">ROUND(((J4*K4)-(J4-2*L4)*(K4-2*L4))*7.8/1000,3)</f>
        <v>1.3340000000000001</v>
      </c>
    </row>
    <row r="5" spans="1:16" ht="18" customHeight="1">
      <c r="B5" s="668"/>
      <c r="C5" s="221" t="s">
        <v>299</v>
      </c>
      <c r="D5" s="221">
        <f>D4-70</f>
        <v>1330</v>
      </c>
      <c r="E5" s="221">
        <f>E4-70</f>
        <v>1630</v>
      </c>
      <c r="F5" s="222">
        <f>D5*E5/10^6</f>
        <v>2.1678999999999999</v>
      </c>
      <c r="G5" s="221">
        <v>1</v>
      </c>
      <c r="H5" s="222">
        <f>F5*G5</f>
        <v>2.1678999999999999</v>
      </c>
      <c r="I5" s="663"/>
      <c r="J5" s="19">
        <v>40</v>
      </c>
      <c r="K5" s="20">
        <v>20</v>
      </c>
      <c r="L5" s="21">
        <v>2</v>
      </c>
      <c r="M5" s="22">
        <f t="shared" si="0"/>
        <v>1.7470000000000001</v>
      </c>
    </row>
    <row r="6" spans="1:16" ht="18" customHeight="1">
      <c r="B6" s="669"/>
      <c r="C6" s="17" t="s">
        <v>24</v>
      </c>
      <c r="D6" s="17">
        <f>D4-80</f>
        <v>1320</v>
      </c>
      <c r="E6" s="17">
        <f>E4-80</f>
        <v>1620</v>
      </c>
      <c r="F6" s="18">
        <f>D6*E6/10^6</f>
        <v>2.1383999999999999</v>
      </c>
      <c r="G6" s="17">
        <v>1</v>
      </c>
      <c r="H6" s="18">
        <f>F6*G6</f>
        <v>2.1383999999999999</v>
      </c>
      <c r="I6" s="663"/>
      <c r="J6" s="19">
        <v>40</v>
      </c>
      <c r="K6" s="20">
        <v>20</v>
      </c>
      <c r="L6" s="21">
        <v>2</v>
      </c>
      <c r="M6" s="22">
        <f t="shared" si="0"/>
        <v>1.7470000000000001</v>
      </c>
    </row>
    <row r="7" spans="1:16" ht="18" customHeight="1">
      <c r="B7" s="23" t="s">
        <v>25</v>
      </c>
      <c r="C7" s="252" t="s">
        <v>16</v>
      </c>
      <c r="D7" s="252" t="s">
        <v>26</v>
      </c>
      <c r="E7" s="252" t="s">
        <v>17</v>
      </c>
      <c r="F7" s="252" t="s">
        <v>27</v>
      </c>
      <c r="G7" s="252" t="s">
        <v>22</v>
      </c>
      <c r="H7" s="252" t="s">
        <v>28</v>
      </c>
      <c r="I7" s="25" t="s">
        <v>29</v>
      </c>
      <c r="J7" s="19">
        <v>80</v>
      </c>
      <c r="K7" s="20">
        <v>40</v>
      </c>
      <c r="L7" s="21">
        <v>2</v>
      </c>
      <c r="M7" s="22">
        <f t="shared" si="0"/>
        <v>3.6190000000000002</v>
      </c>
    </row>
    <row r="8" spans="1:16" ht="18" customHeight="1">
      <c r="B8" s="251" t="s">
        <v>30</v>
      </c>
      <c r="C8" s="27">
        <f>D4-30</f>
        <v>1370</v>
      </c>
      <c r="D8" s="27">
        <v>2</v>
      </c>
      <c r="E8" s="27">
        <f>E4-30</f>
        <v>1670</v>
      </c>
      <c r="F8" s="27">
        <v>2</v>
      </c>
      <c r="G8" s="28">
        <v>1.7470000000000001</v>
      </c>
      <c r="H8" s="29">
        <f>材料价格!B3</f>
        <v>7.5</v>
      </c>
      <c r="I8" s="30">
        <f>ROUND((C8*D8+E8*F8)*G8*H8/1000*1.1,2)</f>
        <v>87.63</v>
      </c>
      <c r="J8" s="19">
        <v>40</v>
      </c>
      <c r="K8" s="20">
        <v>20</v>
      </c>
      <c r="L8" s="21">
        <v>1.4</v>
      </c>
      <c r="M8" s="22">
        <f>ROUND(((J8*K8)-(J8-2*L8)*(K8-2*L8))*2.71/1000,3)</f>
        <v>0.434</v>
      </c>
    </row>
    <row r="9" spans="1:16" ht="18" customHeight="1">
      <c r="B9" s="251" t="s">
        <v>30</v>
      </c>
      <c r="C9" s="250"/>
      <c r="D9" s="250"/>
      <c r="E9" s="250"/>
      <c r="F9" s="250"/>
      <c r="G9" s="28">
        <v>1.7470000000000001</v>
      </c>
      <c r="H9" s="32">
        <f>H8</f>
        <v>7.5</v>
      </c>
      <c r="I9" s="30">
        <f>ROUND((C9*D9+E9*F9)*G9*H9/1000*1.1,2)</f>
        <v>0</v>
      </c>
      <c r="J9" s="19"/>
      <c r="K9" s="20"/>
      <c r="L9" s="21"/>
      <c r="M9" s="22">
        <f t="shared" si="0"/>
        <v>0</v>
      </c>
    </row>
    <row r="10" spans="1:16" ht="18" customHeight="1">
      <c r="B10" s="251" t="s">
        <v>31</v>
      </c>
      <c r="C10" s="250"/>
      <c r="D10" s="250"/>
      <c r="E10" s="250"/>
      <c r="F10" s="250"/>
      <c r="G10" s="28">
        <v>3.6190000000000002</v>
      </c>
      <c r="H10" s="32">
        <f>H9</f>
        <v>7.5</v>
      </c>
      <c r="I10" s="30">
        <f>ROUND((C10*D10+E10*F10)*G10*H10/1000*1.1,2)</f>
        <v>0</v>
      </c>
      <c r="J10" s="19"/>
      <c r="K10" s="20"/>
      <c r="L10" s="12"/>
      <c r="M10" s="22">
        <f t="shared" si="0"/>
        <v>0</v>
      </c>
    </row>
    <row r="11" spans="1:16" ht="18" customHeight="1" thickBot="1">
      <c r="B11" s="251" t="s">
        <v>32</v>
      </c>
      <c r="C11" s="250"/>
      <c r="D11" s="250"/>
      <c r="E11" s="250"/>
      <c r="F11" s="250"/>
      <c r="G11" s="28">
        <v>2.9950000000000001</v>
      </c>
      <c r="H11" s="32">
        <f>H10</f>
        <v>7.5</v>
      </c>
      <c r="I11" s="30">
        <f>ROUND((C11*D11+E11*F11)*G11*H11/1000*1.1,2)</f>
        <v>0</v>
      </c>
      <c r="J11" s="33"/>
      <c r="K11" s="34"/>
      <c r="L11" s="35"/>
      <c r="M11" s="36">
        <f t="shared" si="0"/>
        <v>0</v>
      </c>
    </row>
    <row r="12" spans="1:16" ht="18" customHeight="1">
      <c r="B12" s="37" t="s">
        <v>33</v>
      </c>
      <c r="C12" s="38">
        <f>((I9+I10+I8+I11)/H8)/F4</f>
        <v>6.2481283422459883</v>
      </c>
      <c r="D12" s="39" t="s">
        <v>34</v>
      </c>
      <c r="E12" s="38">
        <f>(I9+I10+I8+I11)/F4</f>
        <v>46.860962566844911</v>
      </c>
      <c r="F12" s="40" t="s">
        <v>35</v>
      </c>
      <c r="G12" s="39"/>
      <c r="H12" s="39">
        <f>ROUND(SUM(I8:I11)/H8,2)</f>
        <v>11.68</v>
      </c>
      <c r="I12" s="41">
        <f>SUM(I8:I11)</f>
        <v>87.63</v>
      </c>
      <c r="J12" s="42"/>
    </row>
    <row r="13" spans="1:16" ht="18" customHeight="1">
      <c r="B13" s="23" t="s">
        <v>36</v>
      </c>
      <c r="C13" s="252" t="s">
        <v>14</v>
      </c>
      <c r="D13" s="252" t="s">
        <v>37</v>
      </c>
      <c r="E13" s="252" t="s">
        <v>38</v>
      </c>
      <c r="F13" s="252" t="s">
        <v>39</v>
      </c>
      <c r="G13" s="252" t="s">
        <v>8</v>
      </c>
      <c r="H13" s="252" t="s">
        <v>22</v>
      </c>
      <c r="I13" s="25" t="s">
        <v>40</v>
      </c>
    </row>
    <row r="14" spans="1:16" ht="18" customHeight="1">
      <c r="B14" s="648" t="s">
        <v>41</v>
      </c>
      <c r="C14" s="649" t="s">
        <v>404</v>
      </c>
      <c r="D14" s="250">
        <f>D6</f>
        <v>1320</v>
      </c>
      <c r="E14" s="250">
        <f>E6</f>
        <v>1620</v>
      </c>
      <c r="F14" s="44">
        <f>ROUND((D14+E14)*2/1000,4)</f>
        <v>5.88</v>
      </c>
      <c r="G14" s="250">
        <v>1</v>
      </c>
      <c r="H14" s="250">
        <v>1.47</v>
      </c>
      <c r="I14" s="284">
        <f>ROUND(F14*G14*H14,3)*3</f>
        <v>25.932000000000002</v>
      </c>
      <c r="J14" s="42"/>
      <c r="K14" s="46"/>
      <c r="L14" s="46"/>
      <c r="M14" s="42"/>
    </row>
    <row r="15" spans="1:16" ht="18" customHeight="1">
      <c r="B15" s="648"/>
      <c r="C15" s="650"/>
      <c r="D15" s="250"/>
      <c r="E15" s="250"/>
      <c r="F15" s="44">
        <f t="shared" ref="F15:F21" si="1">ROUND((D15+E15)*2/1000,4)</f>
        <v>0</v>
      </c>
      <c r="G15" s="250"/>
      <c r="H15" s="250">
        <f t="shared" ref="H15:H21" si="2">H14</f>
        <v>1.47</v>
      </c>
      <c r="I15" s="247">
        <f t="shared" ref="I15:I21" si="3">ROUND(F15*G15*H15,3)</f>
        <v>0</v>
      </c>
      <c r="K15" s="47"/>
      <c r="M15" s="255"/>
    </row>
    <row r="16" spans="1:16" ht="18" customHeight="1">
      <c r="B16" s="648"/>
      <c r="C16" s="650"/>
      <c r="D16" s="250"/>
      <c r="E16" s="250"/>
      <c r="F16" s="44">
        <f t="shared" si="1"/>
        <v>0</v>
      </c>
      <c r="G16" s="250"/>
      <c r="H16" s="250">
        <f t="shared" si="2"/>
        <v>1.47</v>
      </c>
      <c r="I16" s="247">
        <f t="shared" si="3"/>
        <v>0</v>
      </c>
      <c r="K16" s="47"/>
      <c r="L16" s="46"/>
      <c r="M16" s="42"/>
    </row>
    <row r="17" spans="2:15" ht="18" customHeight="1">
      <c r="B17" s="648"/>
      <c r="C17" s="650"/>
      <c r="D17" s="250"/>
      <c r="E17" s="250"/>
      <c r="F17" s="44">
        <f t="shared" si="1"/>
        <v>0</v>
      </c>
      <c r="G17" s="250"/>
      <c r="H17" s="250">
        <f t="shared" si="2"/>
        <v>1.47</v>
      </c>
      <c r="I17" s="247">
        <f t="shared" si="3"/>
        <v>0</v>
      </c>
      <c r="K17" s="47"/>
      <c r="M17" s="42"/>
    </row>
    <row r="18" spans="2:15" ht="18" customHeight="1">
      <c r="B18" s="648"/>
      <c r="C18" s="650"/>
      <c r="D18" s="250"/>
      <c r="E18" s="250"/>
      <c r="F18" s="44">
        <f t="shared" si="1"/>
        <v>0</v>
      </c>
      <c r="G18" s="250"/>
      <c r="H18" s="250">
        <f t="shared" si="2"/>
        <v>1.47</v>
      </c>
      <c r="I18" s="247">
        <f t="shared" si="3"/>
        <v>0</v>
      </c>
      <c r="M18" s="42"/>
    </row>
    <row r="19" spans="2:15" ht="18" customHeight="1">
      <c r="B19" s="648"/>
      <c r="C19" s="650"/>
      <c r="D19" s="250"/>
      <c r="E19" s="250"/>
      <c r="F19" s="44">
        <f t="shared" si="1"/>
        <v>0</v>
      </c>
      <c r="G19" s="250"/>
      <c r="H19" s="250">
        <f t="shared" si="2"/>
        <v>1.47</v>
      </c>
      <c r="I19" s="247">
        <f t="shared" si="3"/>
        <v>0</v>
      </c>
      <c r="M19" s="42"/>
    </row>
    <row r="20" spans="2:15" ht="18" customHeight="1">
      <c r="B20" s="648"/>
      <c r="C20" s="650"/>
      <c r="D20" s="250"/>
      <c r="E20" s="250"/>
      <c r="F20" s="44">
        <f t="shared" si="1"/>
        <v>0</v>
      </c>
      <c r="G20" s="250"/>
      <c r="H20" s="250">
        <f t="shared" si="2"/>
        <v>1.47</v>
      </c>
      <c r="I20" s="247">
        <f t="shared" si="3"/>
        <v>0</v>
      </c>
      <c r="K20" s="47"/>
      <c r="M20" s="42"/>
    </row>
    <row r="21" spans="2:15" ht="18" customHeight="1">
      <c r="B21" s="648"/>
      <c r="C21" s="651"/>
      <c r="D21" s="250"/>
      <c r="E21" s="250"/>
      <c r="F21" s="44">
        <f t="shared" si="1"/>
        <v>0</v>
      </c>
      <c r="G21" s="250"/>
      <c r="H21" s="250">
        <f t="shared" si="2"/>
        <v>1.47</v>
      </c>
      <c r="I21" s="247">
        <f t="shared" si="3"/>
        <v>0</v>
      </c>
    </row>
    <row r="22" spans="2:15" ht="18" customHeight="1">
      <c r="B22" s="48" t="s">
        <v>42</v>
      </c>
      <c r="C22" s="49">
        <f>SUMPRODUCT(F14:F21*G14:G21)</f>
        <v>5.88</v>
      </c>
      <c r="D22" s="50" t="s">
        <v>43</v>
      </c>
      <c r="E22" s="49">
        <f>SUM(I14:I21)*1.1</f>
        <v>28.525200000000005</v>
      </c>
      <c r="F22" s="50" t="s">
        <v>44</v>
      </c>
      <c r="G22" s="51">
        <f>(C$218+C$219)/1000</f>
        <v>46.081499999999998</v>
      </c>
      <c r="H22" s="52" t="s">
        <v>45</v>
      </c>
      <c r="I22" s="53">
        <f>ROUND(E22*G22,2)</f>
        <v>1314.48</v>
      </c>
      <c r="J22" s="243">
        <f>SUM(G14:G21)</f>
        <v>1</v>
      </c>
    </row>
    <row r="23" spans="2:15" ht="18" customHeight="1">
      <c r="B23" s="48" t="s">
        <v>46</v>
      </c>
      <c r="C23" s="50">
        <v>207.36</v>
      </c>
      <c r="D23" s="50" t="s">
        <v>47</v>
      </c>
      <c r="E23" s="49">
        <f>ROUND(C22*(C23/1000),2)</f>
        <v>1.22</v>
      </c>
      <c r="F23" s="50" t="s">
        <v>48</v>
      </c>
      <c r="G23" s="50">
        <v>10</v>
      </c>
      <c r="H23" s="52" t="s">
        <v>49</v>
      </c>
      <c r="I23" s="53">
        <f>E23*G23</f>
        <v>12.2</v>
      </c>
    </row>
    <row r="24" spans="2:15" ht="18" customHeight="1" thickBot="1">
      <c r="B24" s="48" t="s">
        <v>50</v>
      </c>
      <c r="C24" s="50">
        <v>169.96</v>
      </c>
      <c r="D24" s="50" t="s">
        <v>51</v>
      </c>
      <c r="E24" s="49">
        <f>ROUND(C22*(C24/1000),2)</f>
        <v>1</v>
      </c>
      <c r="F24" s="50" t="s">
        <v>48</v>
      </c>
      <c r="G24" s="50">
        <v>10</v>
      </c>
      <c r="H24" s="52" t="s">
        <v>49</v>
      </c>
      <c r="I24" s="53">
        <f>E24*G24</f>
        <v>10</v>
      </c>
    </row>
    <row r="25" spans="2:15" ht="18" customHeight="1">
      <c r="B25" s="23" t="s">
        <v>36</v>
      </c>
      <c r="C25" s="252" t="s">
        <v>14</v>
      </c>
      <c r="D25" s="252" t="s">
        <v>37</v>
      </c>
      <c r="E25" s="252" t="s">
        <v>38</v>
      </c>
      <c r="F25" s="252" t="s">
        <v>39</v>
      </c>
      <c r="G25" s="252" t="s">
        <v>8</v>
      </c>
      <c r="H25" s="252" t="s">
        <v>22</v>
      </c>
      <c r="I25" s="25" t="s">
        <v>40</v>
      </c>
      <c r="J25" s="54" t="s">
        <v>2</v>
      </c>
      <c r="K25" s="55" t="s">
        <v>3</v>
      </c>
      <c r="L25" s="55" t="s">
        <v>52</v>
      </c>
      <c r="M25" s="55" t="s">
        <v>53</v>
      </c>
      <c r="N25" s="56" t="s">
        <v>14</v>
      </c>
    </row>
    <row r="26" spans="2:15" ht="18" customHeight="1">
      <c r="B26" s="648" t="s">
        <v>54</v>
      </c>
      <c r="C26" s="649" t="s">
        <v>55</v>
      </c>
      <c r="D26" s="253">
        <f>J26-IF(L26=1,44,IF(L26=2,30,IF(L26=3,16,0)))</f>
        <v>0</v>
      </c>
      <c r="E26" s="253">
        <f>K26-IF(M26=1,44,IF(M26=2,30,IF(M26=3,16,0)))</f>
        <v>0</v>
      </c>
      <c r="F26" s="44">
        <f>ROUND((D26+E26)*2/1000,4)</f>
        <v>0</v>
      </c>
      <c r="G26" s="250"/>
      <c r="H26" s="58">
        <v>1.62</v>
      </c>
      <c r="I26" s="59">
        <f>IF(AND(D26&gt;0,E26&gt;0,F26&gt;0),F26*G26*H26,0)</f>
        <v>0</v>
      </c>
      <c r="J26" s="60"/>
      <c r="K26" s="61"/>
      <c r="L26" s="61"/>
      <c r="M26" s="61"/>
      <c r="N26" s="62" t="s">
        <v>56</v>
      </c>
      <c r="O26" s="63" t="s">
        <v>57</v>
      </c>
    </row>
    <row r="27" spans="2:15" ht="18" customHeight="1">
      <c r="B27" s="648"/>
      <c r="C27" s="650"/>
      <c r="D27" s="253">
        <f t="shared" ref="D27:E30" si="4">J27-IF(L27=1,44,IF(L27=2,30,IF(L27=3,16,0)))</f>
        <v>0</v>
      </c>
      <c r="E27" s="253">
        <f t="shared" si="4"/>
        <v>0</v>
      </c>
      <c r="F27" s="44">
        <f>ROUND((D27+E27)*2/1000,4)</f>
        <v>0</v>
      </c>
      <c r="G27" s="250"/>
      <c r="H27" s="58">
        <f>H26</f>
        <v>1.62</v>
      </c>
      <c r="I27" s="59">
        <f>IF(AND(D27&gt;0,E27&gt;0,F27&gt;0),F27*G27*H27,0)</f>
        <v>0</v>
      </c>
      <c r="J27" s="60"/>
      <c r="K27" s="61"/>
      <c r="L27" s="61"/>
      <c r="M27" s="61"/>
      <c r="N27" s="62" t="s">
        <v>58</v>
      </c>
      <c r="O27" s="63" t="s">
        <v>59</v>
      </c>
    </row>
    <row r="28" spans="2:15" ht="18" customHeight="1">
      <c r="B28" s="648"/>
      <c r="C28" s="650"/>
      <c r="D28" s="253">
        <f t="shared" si="4"/>
        <v>0</v>
      </c>
      <c r="E28" s="253">
        <f t="shared" si="4"/>
        <v>0</v>
      </c>
      <c r="F28" s="44">
        <f>ROUND((D28+E28)*2/1000,4)</f>
        <v>0</v>
      </c>
      <c r="G28" s="250"/>
      <c r="H28" s="58">
        <f>H27</f>
        <v>1.62</v>
      </c>
      <c r="I28" s="59">
        <f>IF(AND(D28&gt;0,E28&gt;0,F28&gt;0),F28*G28*H28,0)</f>
        <v>0</v>
      </c>
      <c r="J28" s="60"/>
      <c r="K28" s="61"/>
      <c r="L28" s="61"/>
      <c r="M28" s="61"/>
      <c r="N28" s="62" t="s">
        <v>60</v>
      </c>
      <c r="O28" s="63" t="s">
        <v>59</v>
      </c>
    </row>
    <row r="29" spans="2:15" ht="18" customHeight="1">
      <c r="B29" s="648"/>
      <c r="C29" s="650"/>
      <c r="D29" s="253">
        <f t="shared" si="4"/>
        <v>0</v>
      </c>
      <c r="E29" s="253">
        <f t="shared" si="4"/>
        <v>0</v>
      </c>
      <c r="F29" s="44">
        <f>ROUND((D29+E29)*2/1000,4)</f>
        <v>0</v>
      </c>
      <c r="G29" s="250"/>
      <c r="H29" s="58">
        <f>H28</f>
        <v>1.62</v>
      </c>
      <c r="I29" s="59">
        <f>IF(AND(D29&gt;0,E29&gt;0,F29&gt;0),F29*G29*H29,0)</f>
        <v>0</v>
      </c>
      <c r="J29" s="60"/>
      <c r="K29" s="61"/>
      <c r="L29" s="61"/>
      <c r="M29" s="61"/>
      <c r="N29" s="62"/>
    </row>
    <row r="30" spans="2:15" ht="18" customHeight="1" thickBot="1">
      <c r="B30" s="648"/>
      <c r="C30" s="651"/>
      <c r="D30" s="253">
        <f t="shared" si="4"/>
        <v>0</v>
      </c>
      <c r="E30" s="253">
        <f t="shared" si="4"/>
        <v>0</v>
      </c>
      <c r="F30" s="44">
        <f>ROUND((D30+E30)*2/1000,4)</f>
        <v>0</v>
      </c>
      <c r="G30" s="250"/>
      <c r="H30" s="58">
        <f>H29</f>
        <v>1.62</v>
      </c>
      <c r="I30" s="59">
        <f>IF(AND(D30&gt;0,E30&gt;0,F30&gt;0),F30*G30*H30,0)</f>
        <v>0</v>
      </c>
      <c r="J30" s="64"/>
      <c r="K30" s="65"/>
      <c r="L30" s="65"/>
      <c r="M30" s="65"/>
      <c r="N30" s="66"/>
    </row>
    <row r="31" spans="2:15" ht="18" customHeight="1">
      <c r="B31" s="48" t="s">
        <v>42</v>
      </c>
      <c r="C31" s="49">
        <f>SUMPRODUCT(F26:F30*G26:G30)</f>
        <v>0</v>
      </c>
      <c r="D31" s="50" t="s">
        <v>43</v>
      </c>
      <c r="E31" s="49">
        <f>SUM(I26:I30)*1.1</f>
        <v>0</v>
      </c>
      <c r="F31" s="50" t="s">
        <v>44</v>
      </c>
      <c r="G31" s="51">
        <f>(C$218+C$221)/1000</f>
        <v>46.081499999999998</v>
      </c>
      <c r="H31" s="52" t="s">
        <v>45</v>
      </c>
      <c r="I31" s="53">
        <f>ROUND(E31*G31,2)</f>
        <v>0</v>
      </c>
      <c r="J31" s="243">
        <f>SUM(G26:G30)</f>
        <v>0</v>
      </c>
    </row>
    <row r="32" spans="2:15" ht="18" customHeight="1">
      <c r="B32" s="48" t="s">
        <v>46</v>
      </c>
      <c r="C32" s="50">
        <v>183.32</v>
      </c>
      <c r="D32" s="50" t="s">
        <v>47</v>
      </c>
      <c r="E32" s="49">
        <f>ROUND(C31*(C32/1000),2)</f>
        <v>0</v>
      </c>
      <c r="F32" s="50" t="s">
        <v>48</v>
      </c>
      <c r="G32" s="50">
        <f>G$23</f>
        <v>10</v>
      </c>
      <c r="H32" s="52" t="s">
        <v>49</v>
      </c>
      <c r="I32" s="53">
        <f>E32*G32</f>
        <v>0</v>
      </c>
    </row>
    <row r="33" spans="2:14" ht="18" customHeight="1" thickBot="1">
      <c r="B33" s="48" t="s">
        <v>50</v>
      </c>
      <c r="C33" s="50">
        <v>257.82</v>
      </c>
      <c r="D33" s="50" t="s">
        <v>51</v>
      </c>
      <c r="E33" s="49">
        <f>ROUND(C31*(C33/1000),2)</f>
        <v>0</v>
      </c>
      <c r="F33" s="50" t="s">
        <v>48</v>
      </c>
      <c r="G33" s="50">
        <f>G$24</f>
        <v>10</v>
      </c>
      <c r="H33" s="52" t="s">
        <v>49</v>
      </c>
      <c r="I33" s="53">
        <f>E33*G33</f>
        <v>0</v>
      </c>
    </row>
    <row r="34" spans="2:14" ht="18" customHeight="1" thickBot="1">
      <c r="B34" s="67" t="s">
        <v>36</v>
      </c>
      <c r="C34" s="68" t="s">
        <v>14</v>
      </c>
      <c r="D34" s="68" t="s">
        <v>37</v>
      </c>
      <c r="E34" s="68" t="s">
        <v>38</v>
      </c>
      <c r="F34" s="68" t="s">
        <v>39</v>
      </c>
      <c r="G34" s="68" t="s">
        <v>8</v>
      </c>
      <c r="H34" s="68" t="s">
        <v>22</v>
      </c>
      <c r="I34" s="69" t="s">
        <v>40</v>
      </c>
      <c r="J34" s="54" t="s">
        <v>2</v>
      </c>
      <c r="K34" s="55" t="s">
        <v>3</v>
      </c>
      <c r="L34" s="55" t="s">
        <v>61</v>
      </c>
      <c r="M34" s="55" t="s">
        <v>62</v>
      </c>
      <c r="N34" s="70" t="s">
        <v>14</v>
      </c>
    </row>
    <row r="35" spans="2:14" ht="18" customHeight="1">
      <c r="B35" s="648" t="s">
        <v>63</v>
      </c>
      <c r="C35" s="649" t="s">
        <v>64</v>
      </c>
      <c r="D35" s="253">
        <f t="shared" ref="D35:E37" si="5">J35-IF(L35=1,44,IF(L35=2,30,IF(L35=3,16,IF(L35=11,118,IF(L35=12,100,IF(L35=13,76.8,0))))))</f>
        <v>0</v>
      </c>
      <c r="E35" s="253">
        <f t="shared" si="5"/>
        <v>0</v>
      </c>
      <c r="F35" s="250">
        <f>ROUND((D35+E35)*2/1000,4)</f>
        <v>0</v>
      </c>
      <c r="G35" s="250"/>
      <c r="H35" s="58">
        <v>1.8140000000000001</v>
      </c>
      <c r="I35" s="59">
        <f>ROUND(F35*G35*H35,3)</f>
        <v>0</v>
      </c>
      <c r="J35" s="60"/>
      <c r="K35" s="61"/>
      <c r="L35" s="61"/>
      <c r="M35" s="61"/>
      <c r="N35" s="71" t="s">
        <v>56</v>
      </c>
    </row>
    <row r="36" spans="2:14" ht="18" customHeight="1">
      <c r="B36" s="660"/>
      <c r="C36" s="650"/>
      <c r="D36" s="253">
        <f t="shared" si="5"/>
        <v>0</v>
      </c>
      <c r="E36" s="253">
        <f t="shared" si="5"/>
        <v>0</v>
      </c>
      <c r="F36" s="250">
        <f>ROUND((D36+E36)*2/1000,4)</f>
        <v>0</v>
      </c>
      <c r="G36" s="250"/>
      <c r="H36" s="58">
        <f>H35</f>
        <v>1.8140000000000001</v>
      </c>
      <c r="I36" s="59">
        <f>ROUND(F36*G36*H36,3)</f>
        <v>0</v>
      </c>
      <c r="J36" s="60"/>
      <c r="K36" s="61"/>
      <c r="L36" s="61"/>
      <c r="M36" s="61"/>
      <c r="N36" s="72" t="s">
        <v>58</v>
      </c>
    </row>
    <row r="37" spans="2:14" ht="18" customHeight="1">
      <c r="B37" s="660"/>
      <c r="C37" s="651"/>
      <c r="D37" s="253">
        <f t="shared" si="5"/>
        <v>0</v>
      </c>
      <c r="E37" s="253">
        <f t="shared" si="5"/>
        <v>0</v>
      </c>
      <c r="F37" s="250">
        <f>ROUND((D37+E37)*2/1000,4)</f>
        <v>0</v>
      </c>
      <c r="G37" s="250"/>
      <c r="H37" s="58">
        <f>H36</f>
        <v>1.8140000000000001</v>
      </c>
      <c r="I37" s="59">
        <f>ROUND(F37*G37*H37,3)</f>
        <v>0</v>
      </c>
      <c r="J37" s="60"/>
      <c r="K37" s="61"/>
      <c r="L37" s="61"/>
      <c r="M37" s="61"/>
      <c r="N37" s="72" t="s">
        <v>60</v>
      </c>
    </row>
    <row r="38" spans="2:14" ht="18" customHeight="1">
      <c r="B38" s="48" t="s">
        <v>42</v>
      </c>
      <c r="C38" s="49">
        <f>SUMPRODUCT(F35:F37*G35:G37)</f>
        <v>0</v>
      </c>
      <c r="D38" s="50" t="s">
        <v>43</v>
      </c>
      <c r="E38" s="49">
        <f>SUM(I35:I37)*1.1</f>
        <v>0</v>
      </c>
      <c r="F38" s="50" t="s">
        <v>44</v>
      </c>
      <c r="G38" s="51">
        <f>(C$218+C$219)/1000</f>
        <v>46.081499999999998</v>
      </c>
      <c r="H38" s="52" t="s">
        <v>45</v>
      </c>
      <c r="I38" s="53">
        <f>ROUND(E38*G38,2)</f>
        <v>0</v>
      </c>
      <c r="J38" s="243">
        <f>SUM(G35:G37)</f>
        <v>0</v>
      </c>
      <c r="K38" s="255"/>
      <c r="L38" s="255"/>
      <c r="M38" s="255"/>
      <c r="N38" s="73" t="s">
        <v>65</v>
      </c>
    </row>
    <row r="39" spans="2:14" ht="18" customHeight="1">
      <c r="B39" s="48" t="s">
        <v>46</v>
      </c>
      <c r="C39" s="50">
        <v>320.14</v>
      </c>
      <c r="D39" s="50" t="s">
        <v>47</v>
      </c>
      <c r="E39" s="49">
        <f>ROUND(C38*(C39/1000),2)</f>
        <v>0</v>
      </c>
      <c r="F39" s="50" t="s">
        <v>48</v>
      </c>
      <c r="G39" s="50">
        <f>G$23</f>
        <v>10</v>
      </c>
      <c r="H39" s="52" t="s">
        <v>49</v>
      </c>
      <c r="I39" s="53">
        <f>E39*G39</f>
        <v>0</v>
      </c>
      <c r="J39" s="255"/>
      <c r="K39" s="255"/>
      <c r="L39" s="255"/>
      <c r="M39" s="255"/>
      <c r="N39" s="73" t="s">
        <v>66</v>
      </c>
    </row>
    <row r="40" spans="2:14" ht="18" customHeight="1" thickBot="1">
      <c r="B40" s="48" t="s">
        <v>50</v>
      </c>
      <c r="C40" s="50">
        <v>156.99</v>
      </c>
      <c r="D40" s="50" t="s">
        <v>51</v>
      </c>
      <c r="E40" s="49">
        <f>ROUND(C38*(C40/1000),2)</f>
        <v>0</v>
      </c>
      <c r="F40" s="50" t="s">
        <v>48</v>
      </c>
      <c r="G40" s="50">
        <f>G$24</f>
        <v>10</v>
      </c>
      <c r="H40" s="52" t="s">
        <v>49</v>
      </c>
      <c r="I40" s="53">
        <f>E40*G40</f>
        <v>0</v>
      </c>
      <c r="J40" s="255"/>
      <c r="K40" s="255"/>
      <c r="L40" s="255"/>
      <c r="M40" s="255"/>
      <c r="N40" s="74" t="s">
        <v>67</v>
      </c>
    </row>
    <row r="41" spans="2:14" ht="18" customHeight="1" thickBot="1">
      <c r="B41" s="23" t="s">
        <v>36</v>
      </c>
      <c r="C41" s="252" t="s">
        <v>14</v>
      </c>
      <c r="D41" s="252" t="s">
        <v>37</v>
      </c>
      <c r="E41" s="252" t="s">
        <v>38</v>
      </c>
      <c r="F41" s="252" t="s">
        <v>39</v>
      </c>
      <c r="G41" s="252" t="s">
        <v>8</v>
      </c>
      <c r="H41" s="252" t="s">
        <v>22</v>
      </c>
      <c r="I41" s="25" t="s">
        <v>40</v>
      </c>
      <c r="J41" s="54" t="s">
        <v>2</v>
      </c>
      <c r="K41" s="55" t="s">
        <v>3</v>
      </c>
      <c r="L41" s="55" t="s">
        <v>61</v>
      </c>
      <c r="M41" s="55" t="s">
        <v>62</v>
      </c>
      <c r="N41" s="70" t="s">
        <v>14</v>
      </c>
    </row>
    <row r="42" spans="2:14" ht="18" customHeight="1">
      <c r="B42" s="648" t="s">
        <v>68</v>
      </c>
      <c r="C42" s="649" t="s">
        <v>69</v>
      </c>
      <c r="D42" s="253">
        <f>J42-IF(L42=1,46,IF(L42=2,34.5,IF(L42=3,23)))</f>
        <v>0</v>
      </c>
      <c r="E42" s="253">
        <f>K42-IF(M42=1,46,IF(M42=2,34.5,IF(M42=3,23)))</f>
        <v>0</v>
      </c>
      <c r="F42" s="250">
        <f t="shared" ref="F42:F47" si="6">ROUND((D42+E42)*2/1000,4)</f>
        <v>0</v>
      </c>
      <c r="G42" s="250"/>
      <c r="H42" s="250">
        <v>1.26</v>
      </c>
      <c r="I42" s="59">
        <f t="shared" ref="I42:I47" si="7">ROUND(F42*G42*H42,3)</f>
        <v>0</v>
      </c>
      <c r="J42" s="60"/>
      <c r="K42" s="61"/>
      <c r="L42" s="61"/>
      <c r="M42" s="61"/>
      <c r="N42" s="71" t="s">
        <v>56</v>
      </c>
    </row>
    <row r="43" spans="2:14" ht="18" customHeight="1">
      <c r="B43" s="648"/>
      <c r="C43" s="650"/>
      <c r="D43" s="253">
        <f t="shared" ref="D43:E47" si="8">J43-IF(L43=1,46,IF(L43=2,34.5,IF(L43=3,23)))</f>
        <v>0</v>
      </c>
      <c r="E43" s="253">
        <f t="shared" si="8"/>
        <v>0</v>
      </c>
      <c r="F43" s="250">
        <f t="shared" si="6"/>
        <v>0</v>
      </c>
      <c r="G43" s="250"/>
      <c r="H43" s="250">
        <f>H42</f>
        <v>1.26</v>
      </c>
      <c r="I43" s="59">
        <f t="shared" si="7"/>
        <v>0</v>
      </c>
      <c r="J43" s="60"/>
      <c r="K43" s="61"/>
      <c r="L43" s="61"/>
      <c r="M43" s="61"/>
      <c r="N43" s="72" t="s">
        <v>58</v>
      </c>
    </row>
    <row r="44" spans="2:14" ht="18" customHeight="1">
      <c r="B44" s="648"/>
      <c r="C44" s="651"/>
      <c r="D44" s="253">
        <f t="shared" si="8"/>
        <v>0</v>
      </c>
      <c r="E44" s="253">
        <f t="shared" si="8"/>
        <v>0</v>
      </c>
      <c r="F44" s="250">
        <f t="shared" si="6"/>
        <v>0</v>
      </c>
      <c r="G44" s="250"/>
      <c r="H44" s="250">
        <f>H43</f>
        <v>1.26</v>
      </c>
      <c r="I44" s="59">
        <f t="shared" si="7"/>
        <v>0</v>
      </c>
      <c r="J44" s="60"/>
      <c r="K44" s="61"/>
      <c r="L44" s="61"/>
      <c r="M44" s="61"/>
      <c r="N44" s="72" t="s">
        <v>60</v>
      </c>
    </row>
    <row r="45" spans="2:14" ht="18" customHeight="1">
      <c r="B45" s="648"/>
      <c r="C45" s="649" t="s">
        <v>70</v>
      </c>
      <c r="D45" s="253">
        <f t="shared" si="8"/>
        <v>0</v>
      </c>
      <c r="E45" s="253">
        <f t="shared" si="8"/>
        <v>0</v>
      </c>
      <c r="F45" s="250">
        <f t="shared" si="6"/>
        <v>0</v>
      </c>
      <c r="G45" s="250"/>
      <c r="H45" s="250">
        <f>H44</f>
        <v>1.26</v>
      </c>
      <c r="I45" s="59">
        <f t="shared" si="7"/>
        <v>0</v>
      </c>
      <c r="J45" s="60"/>
      <c r="K45" s="61"/>
      <c r="L45" s="61"/>
      <c r="M45" s="61"/>
      <c r="N45" s="71" t="s">
        <v>56</v>
      </c>
    </row>
    <row r="46" spans="2:14" ht="18" customHeight="1">
      <c r="B46" s="648"/>
      <c r="C46" s="650"/>
      <c r="D46" s="253">
        <f t="shared" si="8"/>
        <v>0</v>
      </c>
      <c r="E46" s="253">
        <f t="shared" si="8"/>
        <v>0</v>
      </c>
      <c r="F46" s="250">
        <f t="shared" si="6"/>
        <v>0</v>
      </c>
      <c r="G46" s="250"/>
      <c r="H46" s="250">
        <f>H45</f>
        <v>1.26</v>
      </c>
      <c r="I46" s="59">
        <f t="shared" si="7"/>
        <v>0</v>
      </c>
      <c r="J46" s="60"/>
      <c r="K46" s="61"/>
      <c r="L46" s="61"/>
      <c r="M46" s="61"/>
      <c r="N46" s="72" t="s">
        <v>58</v>
      </c>
    </row>
    <row r="47" spans="2:14" ht="18" customHeight="1" thickBot="1">
      <c r="B47" s="648"/>
      <c r="C47" s="651"/>
      <c r="D47" s="253">
        <f t="shared" si="8"/>
        <v>0</v>
      </c>
      <c r="E47" s="253">
        <f t="shared" si="8"/>
        <v>0</v>
      </c>
      <c r="F47" s="250">
        <f t="shared" si="6"/>
        <v>0</v>
      </c>
      <c r="G47" s="250"/>
      <c r="H47" s="250">
        <f>H46</f>
        <v>1.26</v>
      </c>
      <c r="I47" s="59">
        <f t="shared" si="7"/>
        <v>0</v>
      </c>
      <c r="J47" s="64"/>
      <c r="K47" s="65"/>
      <c r="L47" s="65"/>
      <c r="M47" s="65"/>
      <c r="N47" s="75" t="s">
        <v>60</v>
      </c>
    </row>
    <row r="48" spans="2:14" ht="18" customHeight="1">
      <c r="B48" s="48" t="s">
        <v>42</v>
      </c>
      <c r="C48" s="49">
        <f>SUMPRODUCT(F42:F47*G42:G47)</f>
        <v>0</v>
      </c>
      <c r="D48" s="50" t="s">
        <v>43</v>
      </c>
      <c r="E48" s="49">
        <f>SUM(I42:I47)*1.1</f>
        <v>0</v>
      </c>
      <c r="F48" s="50" t="s">
        <v>44</v>
      </c>
      <c r="G48" s="51">
        <f>(C$218+C$219)/1000</f>
        <v>46.081499999999998</v>
      </c>
      <c r="H48" s="52" t="s">
        <v>45</v>
      </c>
      <c r="I48" s="53">
        <f>ROUND(E48*G48,2)</f>
        <v>0</v>
      </c>
      <c r="J48" s="243">
        <f>SUM(G42:G47)</f>
        <v>0</v>
      </c>
      <c r="K48" s="255"/>
      <c r="L48" s="255"/>
      <c r="M48" s="255"/>
    </row>
    <row r="49" spans="2:14" ht="18" customHeight="1">
      <c r="B49" s="48" t="s">
        <v>46</v>
      </c>
      <c r="C49" s="50">
        <v>132.47999999999999</v>
      </c>
      <c r="D49" s="50" t="s">
        <v>47</v>
      </c>
      <c r="E49" s="49">
        <f>ROUND(C48*(C49/1000),2)</f>
        <v>0</v>
      </c>
      <c r="F49" s="50" t="s">
        <v>48</v>
      </c>
      <c r="G49" s="50">
        <f>G$23</f>
        <v>10</v>
      </c>
      <c r="H49" s="52" t="s">
        <v>49</v>
      </c>
      <c r="I49" s="53">
        <f>E49*G49</f>
        <v>0</v>
      </c>
      <c r="J49" s="255"/>
      <c r="K49" s="255"/>
      <c r="L49" s="255"/>
      <c r="M49" s="255"/>
    </row>
    <row r="50" spans="2:14" ht="18" customHeight="1" thickBot="1">
      <c r="B50" s="48" t="s">
        <v>50</v>
      </c>
      <c r="C50" s="50">
        <v>202.06</v>
      </c>
      <c r="D50" s="50" t="s">
        <v>51</v>
      </c>
      <c r="E50" s="49">
        <f>ROUND(C48*(C50/1000),2)</f>
        <v>0</v>
      </c>
      <c r="F50" s="50" t="s">
        <v>48</v>
      </c>
      <c r="G50" s="50">
        <f>G$24</f>
        <v>10</v>
      </c>
      <c r="H50" s="52" t="s">
        <v>49</v>
      </c>
      <c r="I50" s="53">
        <f>E50*G50</f>
        <v>0</v>
      </c>
      <c r="J50" s="255"/>
    </row>
    <row r="51" spans="2:14" ht="18" customHeight="1" thickBot="1">
      <c r="B51" s="23" t="s">
        <v>36</v>
      </c>
      <c r="C51" s="252" t="s">
        <v>14</v>
      </c>
      <c r="D51" s="252" t="s">
        <v>37</v>
      </c>
      <c r="E51" s="252" t="s">
        <v>71</v>
      </c>
      <c r="F51" s="252" t="s">
        <v>38</v>
      </c>
      <c r="G51" s="252" t="s">
        <v>72</v>
      </c>
      <c r="H51" s="252" t="s">
        <v>22</v>
      </c>
      <c r="I51" s="25" t="s">
        <v>40</v>
      </c>
      <c r="J51" s="54" t="s">
        <v>2</v>
      </c>
      <c r="K51" s="55" t="s">
        <v>3</v>
      </c>
      <c r="L51" s="55" t="s">
        <v>61</v>
      </c>
      <c r="M51" s="55" t="s">
        <v>62</v>
      </c>
      <c r="N51" s="70" t="s">
        <v>14</v>
      </c>
    </row>
    <row r="52" spans="2:14" ht="18" customHeight="1">
      <c r="B52" s="648" t="s">
        <v>73</v>
      </c>
      <c r="C52" s="649" t="s">
        <v>405</v>
      </c>
      <c r="D52" s="253">
        <f>J52-IF(L52=1,46,IF(L52=2,32,IF(L52=3,18,0)))</f>
        <v>0</v>
      </c>
      <c r="E52" s="253"/>
      <c r="F52" s="253">
        <f>K52-IF(M52=1,46,IF(M52=2,32,IF(M52=3,118,0)))</f>
        <v>1574</v>
      </c>
      <c r="G52" s="250">
        <v>1</v>
      </c>
      <c r="H52" s="250">
        <v>1.6379999999999999</v>
      </c>
      <c r="I52" s="59">
        <f>ROUND((D52*E52+F52*G52)/1000*H52,3)</f>
        <v>2.5779999999999998</v>
      </c>
      <c r="J52" s="60"/>
      <c r="K52" s="61">
        <f>E14</f>
        <v>1620</v>
      </c>
      <c r="L52" s="61"/>
      <c r="M52" s="61">
        <v>1</v>
      </c>
      <c r="N52" s="76" t="s">
        <v>56</v>
      </c>
    </row>
    <row r="53" spans="2:14" ht="18" customHeight="1">
      <c r="B53" s="648"/>
      <c r="C53" s="650"/>
      <c r="D53" s="253">
        <f t="shared" ref="D53:D55" si="9">J53-IF(L53=1,46,IF(L53=2,32,IF(L53=3,18,0)))</f>
        <v>0</v>
      </c>
      <c r="E53" s="253"/>
      <c r="F53" s="253">
        <f t="shared" ref="F53:F55" si="10">K53-IF(M53=1,46,IF(M53=2,32,IF(M53=3,118,0)))</f>
        <v>0</v>
      </c>
      <c r="G53" s="250"/>
      <c r="H53" s="250">
        <f>H52</f>
        <v>1.6379999999999999</v>
      </c>
      <c r="I53" s="59">
        <f>ROUND((D53*E53+F53*G53)/1000*H53,3)</f>
        <v>0</v>
      </c>
      <c r="J53" s="60"/>
      <c r="K53" s="61"/>
      <c r="L53" s="61"/>
      <c r="M53" s="61"/>
      <c r="N53" s="76" t="s">
        <v>58</v>
      </c>
    </row>
    <row r="54" spans="2:14" ht="18" customHeight="1">
      <c r="B54" s="648"/>
      <c r="C54" s="650"/>
      <c r="D54" s="253">
        <f t="shared" si="9"/>
        <v>0</v>
      </c>
      <c r="E54" s="253"/>
      <c r="F54" s="253">
        <f t="shared" si="10"/>
        <v>0</v>
      </c>
      <c r="G54" s="250"/>
      <c r="H54" s="250">
        <f>H53</f>
        <v>1.6379999999999999</v>
      </c>
      <c r="I54" s="59">
        <f>ROUND((D54*E54+F54*G54)/1000*H54,3)</f>
        <v>0</v>
      </c>
      <c r="J54" s="60"/>
      <c r="K54" s="61"/>
      <c r="L54" s="61"/>
      <c r="M54" s="61"/>
      <c r="N54" s="76" t="s">
        <v>60</v>
      </c>
    </row>
    <row r="55" spans="2:14" ht="18" customHeight="1" thickBot="1">
      <c r="B55" s="648"/>
      <c r="C55" s="651"/>
      <c r="D55" s="253">
        <f t="shared" si="9"/>
        <v>0</v>
      </c>
      <c r="E55" s="253"/>
      <c r="F55" s="253">
        <f t="shared" si="10"/>
        <v>0</v>
      </c>
      <c r="G55" s="250"/>
      <c r="H55" s="77">
        <f>H54</f>
        <v>1.6379999999999999</v>
      </c>
      <c r="I55" s="59">
        <f>ROUND((D55*E55+F55*G55)/1000*H55,3)</f>
        <v>0</v>
      </c>
      <c r="J55" s="78"/>
      <c r="K55" s="79"/>
      <c r="L55" s="79"/>
      <c r="M55" s="79"/>
      <c r="N55" s="80"/>
    </row>
    <row r="56" spans="2:14" ht="18" customHeight="1">
      <c r="B56" s="48" t="s">
        <v>42</v>
      </c>
      <c r="C56" s="49">
        <f>SUMPRODUCT(D52:D55*E52:E55+F52:F55*G52:G55)/1000</f>
        <v>1.5740000000000001</v>
      </c>
      <c r="D56" s="50" t="s">
        <v>43</v>
      </c>
      <c r="E56" s="49">
        <f>SUM(I52:I55)*1.1</f>
        <v>2.8357999999999999</v>
      </c>
      <c r="F56" s="50" t="s">
        <v>44</v>
      </c>
      <c r="G56" s="51">
        <f>(C$218+C$219)/1000</f>
        <v>46.081499999999998</v>
      </c>
      <c r="H56" s="52" t="s">
        <v>45</v>
      </c>
      <c r="I56" s="53">
        <f>ROUND(E56*G56,2)</f>
        <v>130.68</v>
      </c>
      <c r="J56" s="243">
        <f>SUM(E52:E55)+SUM(G52:G55)</f>
        <v>1</v>
      </c>
    </row>
    <row r="57" spans="2:14" ht="18" customHeight="1">
      <c r="B57" s="48" t="s">
        <v>46</v>
      </c>
      <c r="C57" s="50">
        <v>265.52999999999997</v>
      </c>
      <c r="D57" s="50" t="s">
        <v>47</v>
      </c>
      <c r="E57" s="49">
        <f>ROUND(C56*(C57/1000),2)</f>
        <v>0.42</v>
      </c>
      <c r="F57" s="50" t="s">
        <v>48</v>
      </c>
      <c r="G57" s="50">
        <f>G$23</f>
        <v>10</v>
      </c>
      <c r="H57" s="52" t="s">
        <v>49</v>
      </c>
      <c r="I57" s="53">
        <f>E57*G57</f>
        <v>4.2</v>
      </c>
      <c r="L57" s="47"/>
    </row>
    <row r="58" spans="2:14" ht="18" customHeight="1">
      <c r="B58" s="48" t="s">
        <v>50</v>
      </c>
      <c r="C58" s="50">
        <v>173.62</v>
      </c>
      <c r="D58" s="50" t="s">
        <v>51</v>
      </c>
      <c r="E58" s="49">
        <f>ROUND(C56*(C58/1000),2)</f>
        <v>0.27</v>
      </c>
      <c r="F58" s="50" t="s">
        <v>48</v>
      </c>
      <c r="G58" s="50">
        <f>G$24</f>
        <v>10</v>
      </c>
      <c r="H58" s="52" t="s">
        <v>49</v>
      </c>
      <c r="I58" s="53">
        <f>E58*G58</f>
        <v>2.7</v>
      </c>
      <c r="L58" s="47"/>
    </row>
    <row r="59" spans="2:14" ht="18" customHeight="1">
      <c r="B59" s="23" t="s">
        <v>36</v>
      </c>
      <c r="C59" s="252" t="s">
        <v>14</v>
      </c>
      <c r="D59" s="652" t="s">
        <v>74</v>
      </c>
      <c r="E59" s="652"/>
      <c r="F59" s="652"/>
      <c r="G59" s="252" t="s">
        <v>75</v>
      </c>
      <c r="H59" s="252" t="s">
        <v>22</v>
      </c>
      <c r="I59" s="25" t="s">
        <v>40</v>
      </c>
      <c r="L59" s="47"/>
    </row>
    <row r="60" spans="2:14" ht="18" customHeight="1">
      <c r="B60" s="648" t="s">
        <v>76</v>
      </c>
      <c r="C60" s="649" t="s">
        <v>77</v>
      </c>
      <c r="D60" s="646"/>
      <c r="E60" s="646"/>
      <c r="F60" s="646"/>
      <c r="G60" s="250"/>
      <c r="H60" s="250">
        <v>1.9339999999999999</v>
      </c>
      <c r="I60" s="59">
        <f>ROUND(D60*G60*H60/1000,3)</f>
        <v>0</v>
      </c>
      <c r="L60" s="47"/>
    </row>
    <row r="61" spans="2:14" ht="18" customHeight="1">
      <c r="B61" s="648"/>
      <c r="C61" s="651"/>
      <c r="D61" s="646"/>
      <c r="E61" s="646"/>
      <c r="F61" s="646"/>
      <c r="G61" s="250"/>
      <c r="H61" s="250">
        <v>1.9339999999999999</v>
      </c>
      <c r="I61" s="59">
        <f>ROUND(D61*G61*H61/1000,3)</f>
        <v>0</v>
      </c>
    </row>
    <row r="62" spans="2:14" ht="18" customHeight="1">
      <c r="B62" s="648"/>
      <c r="C62" s="649" t="s">
        <v>78</v>
      </c>
      <c r="D62" s="646"/>
      <c r="E62" s="646"/>
      <c r="F62" s="646"/>
      <c r="G62" s="250"/>
      <c r="H62" s="250">
        <v>2.3130000000000002</v>
      </c>
      <c r="I62" s="59">
        <f>ROUND(D62*G62*H62/1000,3)</f>
        <v>0</v>
      </c>
    </row>
    <row r="63" spans="2:14" ht="18" customHeight="1">
      <c r="B63" s="648"/>
      <c r="C63" s="651"/>
      <c r="D63" s="646"/>
      <c r="E63" s="646"/>
      <c r="F63" s="646"/>
      <c r="G63" s="250"/>
      <c r="H63" s="250">
        <v>2.3130000000000002</v>
      </c>
      <c r="I63" s="59">
        <f>ROUND(D63*G63*H63/1000,3)</f>
        <v>0</v>
      </c>
    </row>
    <row r="64" spans="2:14" ht="18" customHeight="1">
      <c r="B64" s="48" t="s">
        <v>42</v>
      </c>
      <c r="C64" s="49">
        <f>SUMPRODUCT(D60:F63*G60:G63)/1000</f>
        <v>0</v>
      </c>
      <c r="D64" s="50" t="s">
        <v>43</v>
      </c>
      <c r="E64" s="49">
        <f>SUM(I60:I63)*1.1</f>
        <v>0</v>
      </c>
      <c r="F64" s="50" t="s">
        <v>44</v>
      </c>
      <c r="G64" s="51">
        <f>(C$218+C$219)/1000</f>
        <v>46.081499999999998</v>
      </c>
      <c r="H64" s="52" t="s">
        <v>45</v>
      </c>
      <c r="I64" s="53">
        <f>ROUND(E64*G64,2)</f>
        <v>0</v>
      </c>
      <c r="J64" s="43">
        <f>SUM(G60:G63)</f>
        <v>0</v>
      </c>
    </row>
    <row r="65" spans="2:14" ht="18" customHeight="1">
      <c r="B65" s="48" t="s">
        <v>46</v>
      </c>
      <c r="C65" s="50">
        <v>337.92</v>
      </c>
      <c r="D65" s="50" t="s">
        <v>47</v>
      </c>
      <c r="E65" s="49">
        <f>ROUND(C64*(C65/1000),2)</f>
        <v>0</v>
      </c>
      <c r="F65" s="50" t="s">
        <v>48</v>
      </c>
      <c r="G65" s="50">
        <f>G$23</f>
        <v>10</v>
      </c>
      <c r="H65" s="52" t="s">
        <v>49</v>
      </c>
      <c r="I65" s="53">
        <f>E65*G65</f>
        <v>0</v>
      </c>
    </row>
    <row r="66" spans="2:14" ht="18" customHeight="1" thickBot="1">
      <c r="B66" s="48" t="s">
        <v>50</v>
      </c>
      <c r="C66" s="50">
        <v>175.93</v>
      </c>
      <c r="D66" s="50" t="s">
        <v>51</v>
      </c>
      <c r="E66" s="49">
        <f>ROUND(C64*(C66/1000),2)</f>
        <v>0</v>
      </c>
      <c r="F66" s="50" t="s">
        <v>48</v>
      </c>
      <c r="G66" s="50">
        <f>G$24</f>
        <v>10</v>
      </c>
      <c r="H66" s="52" t="s">
        <v>49</v>
      </c>
      <c r="I66" s="53">
        <f>E66*G66</f>
        <v>0</v>
      </c>
    </row>
    <row r="67" spans="2:14" ht="18" customHeight="1" thickBot="1">
      <c r="B67" s="23" t="s">
        <v>36</v>
      </c>
      <c r="C67" s="252" t="s">
        <v>14</v>
      </c>
      <c r="D67" s="252" t="s">
        <v>37</v>
      </c>
      <c r="E67" s="252" t="s">
        <v>38</v>
      </c>
      <c r="F67" s="252" t="s">
        <v>39</v>
      </c>
      <c r="G67" s="252" t="s">
        <v>8</v>
      </c>
      <c r="H67" s="252" t="s">
        <v>22</v>
      </c>
      <c r="I67" s="25" t="s">
        <v>40</v>
      </c>
      <c r="J67" s="54" t="s">
        <v>2</v>
      </c>
      <c r="K67" s="55" t="s">
        <v>3</v>
      </c>
      <c r="L67" s="55" t="s">
        <v>52</v>
      </c>
      <c r="M67" s="55" t="s">
        <v>53</v>
      </c>
      <c r="N67" s="70" t="s">
        <v>14</v>
      </c>
    </row>
    <row r="68" spans="2:14" ht="18" customHeight="1">
      <c r="B68" s="648" t="s">
        <v>79</v>
      </c>
      <c r="C68" s="649" t="s">
        <v>323</v>
      </c>
      <c r="D68" s="81">
        <f>J68-IF(L68=1,72,IF(L68=2,54,IF(L68=3,26,IF(L68=11,102.8,IF(L68=12,88.8,IF(L68=13,74.8,0))))))</f>
        <v>606</v>
      </c>
      <c r="E68" s="81">
        <f>K68-IF(M68=1,72,IF(M68=2,24,IF(M68=3,26,IF(M68=11,102.8,IF(M68=12,88.8,IF(M68=13,74.8,0))))))</f>
        <v>1548</v>
      </c>
      <c r="F68" s="81">
        <f>2*(D68+E68)/1000</f>
        <v>4.3079999999999998</v>
      </c>
      <c r="G68" s="82">
        <v>2</v>
      </c>
      <c r="H68" s="250">
        <v>0.224</v>
      </c>
      <c r="I68" s="283">
        <f>ROUND(F68*G68*H68,3)*2</f>
        <v>3.86</v>
      </c>
      <c r="J68" s="83">
        <f>D14/2</f>
        <v>660</v>
      </c>
      <c r="K68" s="83">
        <f>E14</f>
        <v>1620</v>
      </c>
      <c r="L68" s="84">
        <v>2</v>
      </c>
      <c r="M68" s="84">
        <v>1</v>
      </c>
      <c r="N68" s="71" t="s">
        <v>56</v>
      </c>
    </row>
    <row r="69" spans="2:14" ht="18" customHeight="1">
      <c r="B69" s="648"/>
      <c r="C69" s="650"/>
      <c r="D69" s="81">
        <f t="shared" ref="D69:D87" si="11">J69-IF(L69=1,72,IF(L69=2,54,IF(L69=3,26,IF(L69=11,102.8,IF(L69=12,88.8,IF(L69=13,74.8,0))))))</f>
        <v>0</v>
      </c>
      <c r="E69" s="81">
        <f t="shared" ref="E69:E87" si="12">K69-IF(M69=1,72,IF(M69=2,24,IF(M69=3,26,IF(M69=11,102.8,IF(M69=12,88.8,IF(M69=13,74.8,0))))))</f>
        <v>0</v>
      </c>
      <c r="F69" s="81">
        <f t="shared" ref="F69:F87" si="13">2*(D69+E69)/1000</f>
        <v>0</v>
      </c>
      <c r="G69" s="82"/>
      <c r="H69" s="250">
        <f>H68</f>
        <v>0.224</v>
      </c>
      <c r="I69" s="59">
        <f t="shared" ref="I69:I87" si="14">ROUND(F69*G69*H69,3)</f>
        <v>0</v>
      </c>
      <c r="J69" s="83"/>
      <c r="K69" s="84"/>
      <c r="L69" s="84"/>
      <c r="M69" s="84"/>
      <c r="N69" s="72" t="s">
        <v>58</v>
      </c>
    </row>
    <row r="70" spans="2:14" ht="18" customHeight="1">
      <c r="B70" s="648"/>
      <c r="C70" s="650"/>
      <c r="D70" s="81">
        <f t="shared" si="11"/>
        <v>0</v>
      </c>
      <c r="E70" s="81">
        <f t="shared" si="12"/>
        <v>0</v>
      </c>
      <c r="F70" s="81">
        <f t="shared" si="13"/>
        <v>0</v>
      </c>
      <c r="G70" s="82"/>
      <c r="H70" s="250">
        <f>H69</f>
        <v>0.224</v>
      </c>
      <c r="I70" s="59">
        <f t="shared" si="14"/>
        <v>0</v>
      </c>
      <c r="J70" s="83"/>
      <c r="K70" s="84"/>
      <c r="L70" s="84"/>
      <c r="M70" s="84"/>
      <c r="N70" s="72" t="s">
        <v>60</v>
      </c>
    </row>
    <row r="71" spans="2:14" ht="18" customHeight="1">
      <c r="B71" s="648"/>
      <c r="C71" s="650"/>
      <c r="D71" s="81">
        <f t="shared" si="11"/>
        <v>0</v>
      </c>
      <c r="E71" s="81">
        <f t="shared" si="12"/>
        <v>0</v>
      </c>
      <c r="F71" s="81">
        <f t="shared" si="13"/>
        <v>0</v>
      </c>
      <c r="G71" s="82"/>
      <c r="H71" s="77">
        <f>H70</f>
        <v>0.224</v>
      </c>
      <c r="I71" s="59">
        <f t="shared" si="14"/>
        <v>0</v>
      </c>
      <c r="J71" s="85"/>
      <c r="K71" s="86"/>
      <c r="L71" s="86"/>
      <c r="M71" s="86"/>
      <c r="N71" s="72" t="s">
        <v>65</v>
      </c>
    </row>
    <row r="72" spans="2:14" ht="18" customHeight="1">
      <c r="B72" s="648"/>
      <c r="C72" s="650"/>
      <c r="D72" s="81">
        <f t="shared" si="11"/>
        <v>0</v>
      </c>
      <c r="E72" s="81">
        <f t="shared" si="12"/>
        <v>0</v>
      </c>
      <c r="F72" s="81">
        <f t="shared" si="13"/>
        <v>0</v>
      </c>
      <c r="G72" s="82"/>
      <c r="H72" s="77">
        <f>H71</f>
        <v>0.224</v>
      </c>
      <c r="I72" s="87">
        <f t="shared" si="14"/>
        <v>0</v>
      </c>
      <c r="J72" s="85"/>
      <c r="K72" s="86"/>
      <c r="L72" s="86"/>
      <c r="M72" s="86"/>
      <c r="N72" s="72" t="s">
        <v>66</v>
      </c>
    </row>
    <row r="73" spans="2:14" ht="18" customHeight="1">
      <c r="B73" s="648"/>
      <c r="C73" s="650"/>
      <c r="D73" s="81">
        <f t="shared" si="11"/>
        <v>0</v>
      </c>
      <c r="E73" s="81">
        <f t="shared" si="12"/>
        <v>0</v>
      </c>
      <c r="F73" s="81">
        <f t="shared" si="13"/>
        <v>0</v>
      </c>
      <c r="G73" s="82"/>
      <c r="H73" s="250">
        <f>H70</f>
        <v>0.224</v>
      </c>
      <c r="I73" s="87">
        <f t="shared" si="14"/>
        <v>0</v>
      </c>
      <c r="J73" s="83"/>
      <c r="K73" s="84"/>
      <c r="L73" s="84"/>
      <c r="M73" s="84"/>
      <c r="N73" s="72" t="s">
        <v>67</v>
      </c>
    </row>
    <row r="74" spans="2:14" ht="18" customHeight="1">
      <c r="B74" s="648"/>
      <c r="C74" s="651"/>
      <c r="D74" s="81">
        <f t="shared" si="11"/>
        <v>0</v>
      </c>
      <c r="E74" s="81">
        <f t="shared" si="12"/>
        <v>0</v>
      </c>
      <c r="F74" s="81">
        <f t="shared" si="13"/>
        <v>0</v>
      </c>
      <c r="G74" s="82"/>
      <c r="H74" s="250">
        <f>H73</f>
        <v>0.224</v>
      </c>
      <c r="I74" s="87">
        <f t="shared" si="14"/>
        <v>0</v>
      </c>
      <c r="J74" s="83"/>
      <c r="K74" s="84"/>
      <c r="L74" s="84"/>
      <c r="M74" s="84"/>
      <c r="N74" s="88"/>
    </row>
    <row r="75" spans="2:14" ht="18" customHeight="1">
      <c r="B75" s="648"/>
      <c r="C75" s="649" t="s">
        <v>324</v>
      </c>
      <c r="D75" s="89">
        <f t="shared" si="11"/>
        <v>0</v>
      </c>
      <c r="E75" s="89">
        <f t="shared" si="12"/>
        <v>0</v>
      </c>
      <c r="F75" s="89">
        <f t="shared" si="13"/>
        <v>0</v>
      </c>
      <c r="G75" s="90"/>
      <c r="H75" s="91">
        <f>H74</f>
        <v>0.224</v>
      </c>
      <c r="I75" s="92">
        <f t="shared" si="14"/>
        <v>0</v>
      </c>
      <c r="J75" s="83"/>
      <c r="K75" s="84"/>
      <c r="L75" s="84"/>
      <c r="M75" s="84"/>
      <c r="N75" s="93" t="s">
        <v>80</v>
      </c>
    </row>
    <row r="76" spans="2:14" ht="18" customHeight="1">
      <c r="B76" s="648"/>
      <c r="C76" s="650"/>
      <c r="D76" s="89">
        <f t="shared" si="11"/>
        <v>0</v>
      </c>
      <c r="E76" s="89">
        <f t="shared" si="12"/>
        <v>0</v>
      </c>
      <c r="F76" s="89">
        <f t="shared" si="13"/>
        <v>0</v>
      </c>
      <c r="G76" s="90"/>
      <c r="H76" s="91">
        <f>H72</f>
        <v>0.224</v>
      </c>
      <c r="I76" s="92">
        <f t="shared" si="14"/>
        <v>0</v>
      </c>
      <c r="J76" s="83"/>
      <c r="K76" s="84"/>
      <c r="L76" s="84"/>
      <c r="M76" s="84"/>
      <c r="N76" s="93" t="s">
        <v>80</v>
      </c>
    </row>
    <row r="77" spans="2:14" ht="18" customHeight="1">
      <c r="B77" s="648"/>
      <c r="C77" s="650"/>
      <c r="D77" s="89">
        <f t="shared" si="11"/>
        <v>0</v>
      </c>
      <c r="E77" s="89">
        <f t="shared" si="12"/>
        <v>0</v>
      </c>
      <c r="F77" s="89">
        <f t="shared" si="13"/>
        <v>0</v>
      </c>
      <c r="G77" s="90"/>
      <c r="H77" s="91">
        <f t="shared" ref="H77:H87" si="15">H76</f>
        <v>0.224</v>
      </c>
      <c r="I77" s="92">
        <f t="shared" si="14"/>
        <v>0</v>
      </c>
      <c r="J77" s="83"/>
      <c r="K77" s="84"/>
      <c r="L77" s="84"/>
      <c r="M77" s="84"/>
      <c r="N77" s="93" t="s">
        <v>80</v>
      </c>
    </row>
    <row r="78" spans="2:14" ht="18" customHeight="1">
      <c r="B78" s="648"/>
      <c r="C78" s="650"/>
      <c r="D78" s="89">
        <f t="shared" si="11"/>
        <v>0</v>
      </c>
      <c r="E78" s="89">
        <f t="shared" si="12"/>
        <v>0</v>
      </c>
      <c r="F78" s="89">
        <f t="shared" si="13"/>
        <v>0</v>
      </c>
      <c r="G78" s="90"/>
      <c r="H78" s="91">
        <f t="shared" si="15"/>
        <v>0.224</v>
      </c>
      <c r="I78" s="92">
        <f t="shared" si="14"/>
        <v>0</v>
      </c>
      <c r="J78" s="83"/>
      <c r="K78" s="84"/>
      <c r="L78" s="84"/>
      <c r="M78" s="84"/>
      <c r="N78" s="93" t="s">
        <v>80</v>
      </c>
    </row>
    <row r="79" spans="2:14" ht="18" customHeight="1">
      <c r="B79" s="648"/>
      <c r="C79" s="650"/>
      <c r="D79" s="89">
        <f t="shared" si="11"/>
        <v>0</v>
      </c>
      <c r="E79" s="89">
        <f t="shared" si="12"/>
        <v>0</v>
      </c>
      <c r="F79" s="89">
        <f t="shared" si="13"/>
        <v>0</v>
      </c>
      <c r="G79" s="90"/>
      <c r="H79" s="91">
        <f t="shared" si="15"/>
        <v>0.224</v>
      </c>
      <c r="I79" s="94">
        <f t="shared" si="14"/>
        <v>0</v>
      </c>
      <c r="J79" s="83"/>
      <c r="K79" s="84"/>
      <c r="L79" s="84"/>
      <c r="M79" s="84"/>
      <c r="N79" s="93" t="s">
        <v>80</v>
      </c>
    </row>
    <row r="80" spans="2:14" ht="18" customHeight="1">
      <c r="B80" s="648"/>
      <c r="C80" s="650"/>
      <c r="D80" s="89">
        <f t="shared" si="11"/>
        <v>0</v>
      </c>
      <c r="E80" s="89">
        <f t="shared" si="12"/>
        <v>0</v>
      </c>
      <c r="F80" s="89">
        <f t="shared" si="13"/>
        <v>0</v>
      </c>
      <c r="G80" s="90"/>
      <c r="H80" s="91">
        <f t="shared" si="15"/>
        <v>0.224</v>
      </c>
      <c r="I80" s="94">
        <f t="shared" si="14"/>
        <v>0</v>
      </c>
      <c r="J80" s="83"/>
      <c r="K80" s="84"/>
      <c r="L80" s="84"/>
      <c r="M80" s="84"/>
      <c r="N80" s="93" t="s">
        <v>80</v>
      </c>
    </row>
    <row r="81" spans="2:14" ht="18" customHeight="1">
      <c r="B81" s="648"/>
      <c r="C81" s="651"/>
      <c r="D81" s="89">
        <f t="shared" si="11"/>
        <v>0</v>
      </c>
      <c r="E81" s="89">
        <f t="shared" si="12"/>
        <v>0</v>
      </c>
      <c r="F81" s="89">
        <f t="shared" si="13"/>
        <v>0</v>
      </c>
      <c r="G81" s="90"/>
      <c r="H81" s="91">
        <f t="shared" si="15"/>
        <v>0.224</v>
      </c>
      <c r="I81" s="94">
        <f t="shared" si="14"/>
        <v>0</v>
      </c>
      <c r="J81" s="95"/>
      <c r="K81" s="96"/>
      <c r="L81" s="96"/>
      <c r="M81" s="96"/>
      <c r="N81" s="93" t="s">
        <v>81</v>
      </c>
    </row>
    <row r="82" spans="2:14" ht="18" customHeight="1">
      <c r="B82" s="648"/>
      <c r="C82" s="639" t="s">
        <v>325</v>
      </c>
      <c r="D82" s="81">
        <f t="shared" si="11"/>
        <v>0</v>
      </c>
      <c r="E82" s="81">
        <f t="shared" si="12"/>
        <v>0</v>
      </c>
      <c r="F82" s="81">
        <f t="shared" si="13"/>
        <v>0</v>
      </c>
      <c r="G82" s="82"/>
      <c r="H82" s="250">
        <f t="shared" si="15"/>
        <v>0.224</v>
      </c>
      <c r="I82" s="59">
        <f t="shared" si="14"/>
        <v>0</v>
      </c>
      <c r="J82" s="83"/>
      <c r="K82" s="84"/>
      <c r="L82" s="84"/>
      <c r="M82" s="84"/>
      <c r="N82" s="88"/>
    </row>
    <row r="83" spans="2:14" ht="18" customHeight="1">
      <c r="B83" s="648"/>
      <c r="C83" s="645"/>
      <c r="D83" s="81">
        <f t="shared" si="11"/>
        <v>0</v>
      </c>
      <c r="E83" s="81">
        <f t="shared" si="12"/>
        <v>0</v>
      </c>
      <c r="F83" s="81">
        <f t="shared" si="13"/>
        <v>0</v>
      </c>
      <c r="G83" s="82"/>
      <c r="H83" s="250">
        <f t="shared" si="15"/>
        <v>0.224</v>
      </c>
      <c r="I83" s="59">
        <f t="shared" si="14"/>
        <v>0</v>
      </c>
      <c r="J83" s="83"/>
      <c r="K83" s="84"/>
      <c r="L83" s="84"/>
      <c r="M83" s="84"/>
      <c r="N83" s="88"/>
    </row>
    <row r="84" spans="2:14" ht="18" customHeight="1">
      <c r="B84" s="648"/>
      <c r="C84" s="645"/>
      <c r="D84" s="81">
        <f t="shared" si="11"/>
        <v>0</v>
      </c>
      <c r="E84" s="81">
        <f t="shared" si="12"/>
        <v>0</v>
      </c>
      <c r="F84" s="81">
        <f t="shared" si="13"/>
        <v>0</v>
      </c>
      <c r="G84" s="82"/>
      <c r="H84" s="250">
        <f t="shared" si="15"/>
        <v>0.224</v>
      </c>
      <c r="I84" s="59">
        <f t="shared" si="14"/>
        <v>0</v>
      </c>
      <c r="J84" s="83"/>
      <c r="K84" s="84"/>
      <c r="L84" s="84"/>
      <c r="M84" s="84"/>
      <c r="N84" s="76"/>
    </row>
    <row r="85" spans="2:14" ht="18" customHeight="1">
      <c r="B85" s="648"/>
      <c r="C85" s="645"/>
      <c r="D85" s="81">
        <f t="shared" si="11"/>
        <v>0</v>
      </c>
      <c r="E85" s="81">
        <f t="shared" si="12"/>
        <v>0</v>
      </c>
      <c r="F85" s="81">
        <f t="shared" si="13"/>
        <v>0</v>
      </c>
      <c r="G85" s="82"/>
      <c r="H85" s="250">
        <f t="shared" si="15"/>
        <v>0.224</v>
      </c>
      <c r="I85" s="59">
        <f t="shared" si="14"/>
        <v>0</v>
      </c>
      <c r="J85" s="83"/>
      <c r="K85" s="84"/>
      <c r="L85" s="84"/>
      <c r="M85" s="84"/>
      <c r="N85" s="76"/>
    </row>
    <row r="86" spans="2:14" ht="18" customHeight="1">
      <c r="B86" s="648"/>
      <c r="C86" s="645"/>
      <c r="D86" s="81">
        <f t="shared" si="11"/>
        <v>0</v>
      </c>
      <c r="E86" s="81">
        <f t="shared" si="12"/>
        <v>0</v>
      </c>
      <c r="F86" s="81">
        <f t="shared" si="13"/>
        <v>0</v>
      </c>
      <c r="G86" s="82"/>
      <c r="H86" s="250">
        <f t="shared" si="15"/>
        <v>0.224</v>
      </c>
      <c r="I86" s="59">
        <f t="shared" si="14"/>
        <v>0</v>
      </c>
      <c r="J86" s="85"/>
      <c r="K86" s="86"/>
      <c r="L86" s="86"/>
      <c r="M86" s="86"/>
      <c r="N86" s="76"/>
    </row>
    <row r="87" spans="2:14" ht="18" customHeight="1" thickBot="1">
      <c r="B87" s="648"/>
      <c r="C87" s="640"/>
      <c r="D87" s="81">
        <f t="shared" si="11"/>
        <v>0</v>
      </c>
      <c r="E87" s="81">
        <f t="shared" si="12"/>
        <v>0</v>
      </c>
      <c r="F87" s="81">
        <f t="shared" si="13"/>
        <v>0</v>
      </c>
      <c r="G87" s="82"/>
      <c r="H87" s="250">
        <f t="shared" si="15"/>
        <v>0.224</v>
      </c>
      <c r="I87" s="59">
        <f t="shared" si="14"/>
        <v>0</v>
      </c>
      <c r="J87" s="97"/>
      <c r="K87" s="98"/>
      <c r="L87" s="98"/>
      <c r="M87" s="98"/>
      <c r="N87" s="80"/>
    </row>
    <row r="88" spans="2:14" ht="18" customHeight="1">
      <c r="B88" s="48" t="s">
        <v>42</v>
      </c>
      <c r="C88" s="49">
        <f>SUMPRODUCT(F68:F87*G68:G87)</f>
        <v>8.6159999999999997</v>
      </c>
      <c r="D88" s="50" t="s">
        <v>43</v>
      </c>
      <c r="E88" s="49">
        <f>SUM(I68:I87)*1.1</f>
        <v>4.2460000000000004</v>
      </c>
      <c r="F88" s="50" t="s">
        <v>44</v>
      </c>
      <c r="G88" s="51">
        <f>(C$218+C$222)/1000</f>
        <v>39.781500000000001</v>
      </c>
      <c r="H88" s="52" t="s">
        <v>45</v>
      </c>
      <c r="I88" s="53">
        <f>ROUND(E88*G88,2)</f>
        <v>168.91</v>
      </c>
      <c r="J88" s="255"/>
      <c r="K88" s="255"/>
      <c r="L88" s="255"/>
      <c r="M88" s="255"/>
    </row>
    <row r="89" spans="2:14" ht="18" customHeight="1">
      <c r="B89" s="48" t="s">
        <v>46</v>
      </c>
      <c r="C89" s="50">
        <v>181.72</v>
      </c>
      <c r="D89" s="50" t="s">
        <v>47</v>
      </c>
      <c r="E89" s="49">
        <f>ROUND(C88*(C89/1000),2)</f>
        <v>1.57</v>
      </c>
      <c r="F89" s="50" t="s">
        <v>48</v>
      </c>
      <c r="G89" s="50">
        <f>G$23</f>
        <v>10</v>
      </c>
      <c r="H89" s="52" t="s">
        <v>49</v>
      </c>
      <c r="I89" s="53">
        <f>E89*G89</f>
        <v>15.700000000000001</v>
      </c>
      <c r="J89" s="255"/>
      <c r="K89" s="255"/>
      <c r="L89" s="255"/>
      <c r="M89" s="255"/>
    </row>
    <row r="90" spans="2:14" ht="18" customHeight="1">
      <c r="B90" s="48" t="s">
        <v>50</v>
      </c>
      <c r="C90" s="50"/>
      <c r="D90" s="50" t="s">
        <v>51</v>
      </c>
      <c r="E90" s="49">
        <f>ROUND(C88*(C90/1000),2)</f>
        <v>0</v>
      </c>
      <c r="F90" s="50" t="s">
        <v>48</v>
      </c>
      <c r="G90" s="50">
        <f>G$24</f>
        <v>10</v>
      </c>
      <c r="H90" s="52" t="s">
        <v>49</v>
      </c>
      <c r="I90" s="53">
        <f>E90*G90</f>
        <v>0</v>
      </c>
      <c r="J90" s="255"/>
      <c r="K90" s="255"/>
      <c r="L90" s="255"/>
      <c r="M90" s="255"/>
    </row>
    <row r="91" spans="2:14" ht="18" customHeight="1">
      <c r="B91" s="23" t="s">
        <v>36</v>
      </c>
      <c r="C91" s="252" t="s">
        <v>14</v>
      </c>
      <c r="D91" s="252" t="s">
        <v>37</v>
      </c>
      <c r="E91" s="252" t="s">
        <v>38</v>
      </c>
      <c r="F91" s="252" t="s">
        <v>39</v>
      </c>
      <c r="G91" s="252" t="s">
        <v>8</v>
      </c>
      <c r="H91" s="252" t="s">
        <v>22</v>
      </c>
      <c r="I91" s="25" t="s">
        <v>40</v>
      </c>
      <c r="J91" s="255"/>
      <c r="K91" s="255"/>
      <c r="L91" s="255"/>
      <c r="M91" s="255"/>
    </row>
    <row r="92" spans="2:14" ht="18" customHeight="1">
      <c r="B92" s="648" t="s">
        <v>82</v>
      </c>
      <c r="C92" s="653" t="s">
        <v>326</v>
      </c>
      <c r="D92" s="253">
        <f>D26-90</f>
        <v>-90</v>
      </c>
      <c r="E92" s="253">
        <f>E26-90</f>
        <v>-90</v>
      </c>
      <c r="F92" s="253">
        <f>2*(D92+E92)/1000</f>
        <v>-0.36</v>
      </c>
      <c r="G92" s="250">
        <f>G26</f>
        <v>0</v>
      </c>
      <c r="H92" s="250">
        <v>0.27100000000000002</v>
      </c>
      <c r="I92" s="59">
        <f>ROUND(F92*G92*H92,3)</f>
        <v>0</v>
      </c>
    </row>
    <row r="93" spans="2:14" ht="18" customHeight="1">
      <c r="B93" s="648"/>
      <c r="C93" s="658"/>
      <c r="D93" s="253">
        <f t="shared" ref="D93:E96" si="16">D27-90</f>
        <v>-90</v>
      </c>
      <c r="E93" s="253">
        <f t="shared" si="16"/>
        <v>-90</v>
      </c>
      <c r="F93" s="253">
        <f>2*(D93+E93)/1000</f>
        <v>-0.36</v>
      </c>
      <c r="G93" s="250">
        <f>G27</f>
        <v>0</v>
      </c>
      <c r="H93" s="250">
        <f>H92</f>
        <v>0.27100000000000002</v>
      </c>
      <c r="I93" s="59">
        <f>ROUND(F93*G93*H93,3)</f>
        <v>0</v>
      </c>
      <c r="M93" s="42"/>
    </row>
    <row r="94" spans="2:14" ht="18" customHeight="1">
      <c r="B94" s="648"/>
      <c r="C94" s="658"/>
      <c r="D94" s="253">
        <f t="shared" si="16"/>
        <v>-90</v>
      </c>
      <c r="E94" s="253">
        <f t="shared" si="16"/>
        <v>-90</v>
      </c>
      <c r="F94" s="253">
        <f>2*(D94+E94)/1000</f>
        <v>-0.36</v>
      </c>
      <c r="G94" s="250">
        <f>G28</f>
        <v>0</v>
      </c>
      <c r="H94" s="250">
        <f>H93</f>
        <v>0.27100000000000002</v>
      </c>
      <c r="I94" s="59">
        <f>ROUND(F94*G94*H94,3)</f>
        <v>0</v>
      </c>
    </row>
    <row r="95" spans="2:14" ht="18" customHeight="1">
      <c r="B95" s="648"/>
      <c r="C95" s="658"/>
      <c r="D95" s="253">
        <f t="shared" si="16"/>
        <v>-90</v>
      </c>
      <c r="E95" s="253">
        <f t="shared" si="16"/>
        <v>-90</v>
      </c>
      <c r="F95" s="253">
        <f>2*(D95+E95)/1000</f>
        <v>-0.36</v>
      </c>
      <c r="G95" s="250">
        <f>G29</f>
        <v>0</v>
      </c>
      <c r="H95" s="250">
        <f>H94</f>
        <v>0.27100000000000002</v>
      </c>
      <c r="I95" s="59">
        <f>ROUND(F95*G95*H95,3)</f>
        <v>0</v>
      </c>
    </row>
    <row r="96" spans="2:14" ht="18" customHeight="1">
      <c r="B96" s="648"/>
      <c r="C96" s="659"/>
      <c r="D96" s="253">
        <f t="shared" si="16"/>
        <v>-90</v>
      </c>
      <c r="E96" s="253">
        <f t="shared" si="16"/>
        <v>-90</v>
      </c>
      <c r="F96" s="253">
        <f>2*(D96+E96)/1000</f>
        <v>-0.36</v>
      </c>
      <c r="G96" s="250">
        <f>G30</f>
        <v>0</v>
      </c>
      <c r="H96" s="250">
        <f>H95</f>
        <v>0.27100000000000002</v>
      </c>
      <c r="I96" s="59">
        <f>ROUND(F96*G96*H96,3)</f>
        <v>0</v>
      </c>
    </row>
    <row r="97" spans="2:13" ht="18" customHeight="1">
      <c r="B97" s="48" t="s">
        <v>42</v>
      </c>
      <c r="C97" s="49">
        <f>SUMPRODUCT(F92:F96*G92:G96)</f>
        <v>0</v>
      </c>
      <c r="D97" s="50" t="s">
        <v>43</v>
      </c>
      <c r="E97" s="49">
        <f>SUM(I92:I96)*1.1</f>
        <v>0</v>
      </c>
      <c r="F97" s="50" t="s">
        <v>44</v>
      </c>
      <c r="G97" s="51">
        <f>(C$218+C$222)/1000</f>
        <v>39.781500000000001</v>
      </c>
      <c r="H97" s="52" t="s">
        <v>45</v>
      </c>
      <c r="I97" s="53">
        <f>ROUND(E97*G97,2)</f>
        <v>0</v>
      </c>
    </row>
    <row r="98" spans="2:13" ht="18" customHeight="1">
      <c r="B98" s="48" t="s">
        <v>46</v>
      </c>
      <c r="C98" s="50">
        <v>186.72</v>
      </c>
      <c r="D98" s="50" t="s">
        <v>47</v>
      </c>
      <c r="E98" s="49">
        <f>ROUND(C97*(C98/1000),2)</f>
        <v>0</v>
      </c>
      <c r="F98" s="50" t="s">
        <v>48</v>
      </c>
      <c r="G98" s="50">
        <f>G$23</f>
        <v>10</v>
      </c>
      <c r="H98" s="52" t="s">
        <v>49</v>
      </c>
      <c r="I98" s="53">
        <f>E98*G98</f>
        <v>0</v>
      </c>
    </row>
    <row r="99" spans="2:13" ht="18" customHeight="1">
      <c r="B99" s="48" t="s">
        <v>50</v>
      </c>
      <c r="C99" s="50">
        <v>0</v>
      </c>
      <c r="D99" s="50" t="s">
        <v>51</v>
      </c>
      <c r="E99" s="49">
        <f>ROUND(C97*(C99/1000),2)</f>
        <v>0</v>
      </c>
      <c r="F99" s="50" t="s">
        <v>48</v>
      </c>
      <c r="G99" s="50">
        <f>G$24</f>
        <v>10</v>
      </c>
      <c r="H99" s="52" t="s">
        <v>49</v>
      </c>
      <c r="I99" s="53">
        <f>E99*G99</f>
        <v>0</v>
      </c>
    </row>
    <row r="100" spans="2:13" ht="18" customHeight="1">
      <c r="B100" s="23" t="s">
        <v>36</v>
      </c>
      <c r="C100" s="252" t="s">
        <v>14</v>
      </c>
      <c r="D100" s="252" t="s">
        <v>37</v>
      </c>
      <c r="E100" s="252" t="s">
        <v>38</v>
      </c>
      <c r="F100" s="252" t="s">
        <v>39</v>
      </c>
      <c r="G100" s="252" t="s">
        <v>8</v>
      </c>
      <c r="H100" s="252" t="s">
        <v>22</v>
      </c>
      <c r="I100" s="25" t="s">
        <v>40</v>
      </c>
    </row>
    <row r="101" spans="2:13" ht="18" customHeight="1">
      <c r="B101" s="648" t="s">
        <v>84</v>
      </c>
      <c r="C101" s="653" t="str">
        <f>C92</f>
        <v>SDL2281</v>
      </c>
      <c r="D101" s="253">
        <f>D35-122</f>
        <v>-122</v>
      </c>
      <c r="E101" s="253">
        <f t="shared" ref="D101:E103" si="17">E35-122</f>
        <v>-122</v>
      </c>
      <c r="F101" s="253">
        <f>2*(D101+E101)/1000</f>
        <v>-0.48799999999999999</v>
      </c>
      <c r="G101" s="250">
        <f>G35</f>
        <v>0</v>
      </c>
      <c r="H101" s="250">
        <f>H96</f>
        <v>0.27100000000000002</v>
      </c>
      <c r="I101" s="59">
        <f>ROUND(F101*G101*H101,3)</f>
        <v>0</v>
      </c>
    </row>
    <row r="102" spans="2:13" ht="18" customHeight="1">
      <c r="B102" s="648"/>
      <c r="C102" s="650"/>
      <c r="D102" s="253">
        <f t="shared" si="17"/>
        <v>-122</v>
      </c>
      <c r="E102" s="253">
        <f t="shared" si="17"/>
        <v>-122</v>
      </c>
      <c r="F102" s="253">
        <f>2*(D102+E102)/1000</f>
        <v>-0.48799999999999999</v>
      </c>
      <c r="G102" s="250">
        <f>G36</f>
        <v>0</v>
      </c>
      <c r="H102" s="250">
        <f>H101</f>
        <v>0.27100000000000002</v>
      </c>
      <c r="I102" s="59">
        <f>ROUND(F102*G102*H102,3)</f>
        <v>0</v>
      </c>
      <c r="K102" s="99"/>
      <c r="M102" s="99"/>
    </row>
    <row r="103" spans="2:13" ht="18" customHeight="1">
      <c r="B103" s="648"/>
      <c r="C103" s="651"/>
      <c r="D103" s="253">
        <f t="shared" si="17"/>
        <v>-122</v>
      </c>
      <c r="E103" s="253">
        <f t="shared" si="17"/>
        <v>-122</v>
      </c>
      <c r="F103" s="253">
        <f>2*(D103+E103)/1000</f>
        <v>-0.48799999999999999</v>
      </c>
      <c r="G103" s="250">
        <f>G37</f>
        <v>0</v>
      </c>
      <c r="H103" s="250">
        <f>H102</f>
        <v>0.27100000000000002</v>
      </c>
      <c r="I103" s="59">
        <f>ROUND(F103*G103*H103,3)</f>
        <v>0</v>
      </c>
      <c r="M103" s="99"/>
    </row>
    <row r="104" spans="2:13" ht="18" customHeight="1">
      <c r="B104" s="48" t="s">
        <v>42</v>
      </c>
      <c r="C104" s="49">
        <f>SUMPRODUCT(F101:F103*G101:G103)</f>
        <v>0</v>
      </c>
      <c r="D104" s="50" t="s">
        <v>43</v>
      </c>
      <c r="E104" s="49">
        <f>SUM(I101:I103)*1.1</f>
        <v>0</v>
      </c>
      <c r="F104" s="50" t="s">
        <v>44</v>
      </c>
      <c r="G104" s="51">
        <f>(C$218+C$222)/1000</f>
        <v>39.781500000000001</v>
      </c>
      <c r="H104" s="52" t="s">
        <v>45</v>
      </c>
      <c r="I104" s="53">
        <f>ROUND(E104*G104,2)</f>
        <v>0</v>
      </c>
    </row>
    <row r="105" spans="2:13" ht="18" customHeight="1">
      <c r="B105" s="48" t="s">
        <v>46</v>
      </c>
      <c r="C105" s="50">
        <v>186.72</v>
      </c>
      <c r="D105" s="50" t="s">
        <v>47</v>
      </c>
      <c r="E105" s="49">
        <f>ROUND(C104*(C105/1000),2)</f>
        <v>0</v>
      </c>
      <c r="F105" s="50" t="s">
        <v>48</v>
      </c>
      <c r="G105" s="50">
        <f>G$23</f>
        <v>10</v>
      </c>
      <c r="H105" s="52" t="s">
        <v>49</v>
      </c>
      <c r="I105" s="53">
        <f>ROUND(E105*G105,2)</f>
        <v>0</v>
      </c>
    </row>
    <row r="106" spans="2:13" ht="18" customHeight="1">
      <c r="B106" s="48" t="s">
        <v>50</v>
      </c>
      <c r="C106" s="50">
        <v>0</v>
      </c>
      <c r="D106" s="50" t="s">
        <v>51</v>
      </c>
      <c r="E106" s="49">
        <f>ROUND(C104*(C106/1000),2)</f>
        <v>0</v>
      </c>
      <c r="F106" s="50" t="s">
        <v>48</v>
      </c>
      <c r="G106" s="50">
        <f>G$24</f>
        <v>10</v>
      </c>
      <c r="H106" s="52" t="s">
        <v>49</v>
      </c>
      <c r="I106" s="53">
        <f>ROUND(E106*G106,2)</f>
        <v>0</v>
      </c>
    </row>
    <row r="107" spans="2:13" ht="18" customHeight="1">
      <c r="B107" s="23" t="s">
        <v>36</v>
      </c>
      <c r="C107" s="252" t="s">
        <v>14</v>
      </c>
      <c r="D107" s="252" t="s">
        <v>37</v>
      </c>
      <c r="E107" s="252" t="s">
        <v>38</v>
      </c>
      <c r="F107" s="252" t="s">
        <v>39</v>
      </c>
      <c r="G107" s="252" t="s">
        <v>8</v>
      </c>
      <c r="H107" s="252" t="s">
        <v>22</v>
      </c>
      <c r="I107" s="25" t="s">
        <v>40</v>
      </c>
    </row>
    <row r="108" spans="2:13" ht="18" customHeight="1">
      <c r="B108" s="648" t="s">
        <v>85</v>
      </c>
      <c r="C108" s="655" t="s">
        <v>86</v>
      </c>
      <c r="D108" s="250"/>
      <c r="E108" s="250"/>
      <c r="F108" s="250">
        <f>ROUND((D108+E108)*2/1000,4)</f>
        <v>0</v>
      </c>
      <c r="G108" s="250"/>
      <c r="H108" s="250">
        <v>1.857</v>
      </c>
      <c r="I108" s="59">
        <f>ROUND(F108*G108*H108,3)</f>
        <v>0</v>
      </c>
    </row>
    <row r="109" spans="2:13" ht="18" customHeight="1">
      <c r="B109" s="648"/>
      <c r="C109" s="656"/>
      <c r="D109" s="250"/>
      <c r="E109" s="250"/>
      <c r="F109" s="250">
        <f>ROUND((D109+E109)*2/1000,4)</f>
        <v>0</v>
      </c>
      <c r="G109" s="250"/>
      <c r="H109" s="250">
        <f>H108</f>
        <v>1.857</v>
      </c>
      <c r="I109" s="59">
        <f>ROUND(F109*G109*H109,3)</f>
        <v>0</v>
      </c>
      <c r="K109" s="42"/>
      <c r="L109" s="42"/>
      <c r="M109" s="42"/>
    </row>
    <row r="110" spans="2:13" ht="18" customHeight="1">
      <c r="B110" s="648"/>
      <c r="C110" s="656"/>
      <c r="D110" s="250"/>
      <c r="E110" s="250"/>
      <c r="F110" s="250">
        <f>ROUND((D110+E110)*2/1000,4)</f>
        <v>0</v>
      </c>
      <c r="G110" s="250"/>
      <c r="H110" s="250">
        <f>H109</f>
        <v>1.857</v>
      </c>
      <c r="I110" s="59">
        <f>ROUND(F110*G110*H110,3)</f>
        <v>0</v>
      </c>
      <c r="K110" s="42"/>
      <c r="L110" s="42"/>
      <c r="M110" s="42"/>
    </row>
    <row r="111" spans="2:13" ht="18" customHeight="1">
      <c r="B111" s="648"/>
      <c r="C111" s="657"/>
      <c r="D111" s="250"/>
      <c r="E111" s="250"/>
      <c r="F111" s="250">
        <f>ROUND((D111+E111)*2/1000,4)</f>
        <v>0</v>
      </c>
      <c r="G111" s="250"/>
      <c r="H111" s="250">
        <f>H110</f>
        <v>1.857</v>
      </c>
      <c r="I111" s="59">
        <f>ROUND(F111*G111*H111,3)</f>
        <v>0</v>
      </c>
      <c r="K111" s="42"/>
      <c r="L111" s="42"/>
      <c r="M111" s="42"/>
    </row>
    <row r="112" spans="2:13" ht="18" customHeight="1">
      <c r="B112" s="48" t="s">
        <v>42</v>
      </c>
      <c r="C112" s="49">
        <f>SUMPRODUCT(F108:F111*G108:G111)</f>
        <v>0</v>
      </c>
      <c r="D112" s="50" t="s">
        <v>43</v>
      </c>
      <c r="E112" s="49">
        <f>SUM(I108:I111)*1.1</f>
        <v>0</v>
      </c>
      <c r="F112" s="50" t="s">
        <v>44</v>
      </c>
      <c r="G112" s="51">
        <f>(C$218+C$219)/1000</f>
        <v>46.081499999999998</v>
      </c>
      <c r="H112" s="52" t="s">
        <v>45</v>
      </c>
      <c r="I112" s="53">
        <f>ROUND(E112*G112,2)</f>
        <v>0</v>
      </c>
      <c r="J112" s="243">
        <f>SUM(G108:G111)</f>
        <v>0</v>
      </c>
      <c r="K112" s="42"/>
      <c r="L112" s="42"/>
      <c r="M112" s="42"/>
    </row>
    <row r="113" spans="2:14" ht="18" customHeight="1">
      <c r="B113" s="48" t="s">
        <v>46</v>
      </c>
      <c r="C113" s="50">
        <v>241.03</v>
      </c>
      <c r="D113" s="50" t="s">
        <v>47</v>
      </c>
      <c r="E113" s="49">
        <f>ROUND(C112*(C113/1000),2)</f>
        <v>0</v>
      </c>
      <c r="F113" s="50" t="s">
        <v>48</v>
      </c>
      <c r="G113" s="50">
        <f>G$23</f>
        <v>10</v>
      </c>
      <c r="H113" s="52" t="s">
        <v>49</v>
      </c>
      <c r="I113" s="53">
        <f>E113*G113</f>
        <v>0</v>
      </c>
      <c r="K113" s="42"/>
      <c r="L113" s="42"/>
      <c r="M113" s="42"/>
    </row>
    <row r="114" spans="2:14" ht="18" customHeight="1" thickBot="1">
      <c r="B114" s="48" t="s">
        <v>50</v>
      </c>
      <c r="C114" s="50">
        <v>204.38</v>
      </c>
      <c r="D114" s="50" t="s">
        <v>51</v>
      </c>
      <c r="E114" s="49">
        <f>ROUND(C112*(C114/1000),2)</f>
        <v>0</v>
      </c>
      <c r="F114" s="50" t="s">
        <v>48</v>
      </c>
      <c r="G114" s="50">
        <f>G$24</f>
        <v>10</v>
      </c>
      <c r="H114" s="52" t="s">
        <v>49</v>
      </c>
      <c r="I114" s="53">
        <f>E114*G114</f>
        <v>0</v>
      </c>
    </row>
    <row r="115" spans="2:14" ht="18" customHeight="1" thickBot="1">
      <c r="B115" s="23" t="s">
        <v>36</v>
      </c>
      <c r="C115" s="252" t="s">
        <v>14</v>
      </c>
      <c r="D115" s="252" t="s">
        <v>37</v>
      </c>
      <c r="E115" s="252" t="s">
        <v>38</v>
      </c>
      <c r="F115" s="252" t="s">
        <v>39</v>
      </c>
      <c r="G115" s="252" t="s">
        <v>8</v>
      </c>
      <c r="H115" s="252" t="s">
        <v>22</v>
      </c>
      <c r="I115" s="25" t="s">
        <v>40</v>
      </c>
      <c r="J115" s="54" t="s">
        <v>2</v>
      </c>
      <c r="K115" s="55" t="s">
        <v>3</v>
      </c>
      <c r="L115" s="55" t="s">
        <v>61</v>
      </c>
      <c r="M115" s="55" t="s">
        <v>62</v>
      </c>
      <c r="N115" s="70" t="s">
        <v>14</v>
      </c>
    </row>
    <row r="116" spans="2:14" ht="18" customHeight="1">
      <c r="B116" s="648" t="s">
        <v>87</v>
      </c>
      <c r="C116" s="649" t="s">
        <v>88</v>
      </c>
      <c r="D116" s="253">
        <f t="shared" ref="D116:E118" si="18">J116-IF(L116=1,78,IF(L116=2,55.5,IF(L116=3,41,0)))</f>
        <v>0</v>
      </c>
      <c r="E116" s="253">
        <f t="shared" si="18"/>
        <v>0</v>
      </c>
      <c r="F116" s="250">
        <f>ROUND((D116+E116)*2/1000,4)</f>
        <v>0</v>
      </c>
      <c r="G116" s="250"/>
      <c r="H116" s="58">
        <v>2.456</v>
      </c>
      <c r="I116" s="59">
        <f>ROUND(F116*G116*H116,3)</f>
        <v>0</v>
      </c>
      <c r="J116" s="60"/>
      <c r="K116" s="61"/>
      <c r="L116" s="61"/>
      <c r="M116" s="61"/>
      <c r="N116" s="76" t="s">
        <v>56</v>
      </c>
    </row>
    <row r="117" spans="2:14" ht="18" customHeight="1">
      <c r="B117" s="648"/>
      <c r="C117" s="650"/>
      <c r="D117" s="253">
        <f t="shared" si="18"/>
        <v>0</v>
      </c>
      <c r="E117" s="253">
        <f t="shared" si="18"/>
        <v>0</v>
      </c>
      <c r="F117" s="250">
        <f>ROUND((D117+E117)*2/1000,4)</f>
        <v>0</v>
      </c>
      <c r="G117" s="250">
        <v>0</v>
      </c>
      <c r="H117" s="58">
        <f>H116</f>
        <v>2.456</v>
      </c>
      <c r="I117" s="59">
        <f>ROUND(F117*G117*H117,3)</f>
        <v>0</v>
      </c>
      <c r="J117" s="60"/>
      <c r="K117" s="61"/>
      <c r="L117" s="61"/>
      <c r="M117" s="61"/>
      <c r="N117" s="76" t="s">
        <v>58</v>
      </c>
    </row>
    <row r="118" spans="2:14" ht="18" customHeight="1" thickBot="1">
      <c r="B118" s="648"/>
      <c r="C118" s="651"/>
      <c r="D118" s="253">
        <f t="shared" si="18"/>
        <v>0</v>
      </c>
      <c r="E118" s="253">
        <f t="shared" si="18"/>
        <v>0</v>
      </c>
      <c r="F118" s="250">
        <f>ROUND((D118+E118)*2/1000,4)</f>
        <v>0</v>
      </c>
      <c r="G118" s="250">
        <v>0</v>
      </c>
      <c r="H118" s="58">
        <f>H117</f>
        <v>2.456</v>
      </c>
      <c r="I118" s="59">
        <f>ROUND(F118*G118*H118,3)</f>
        <v>0</v>
      </c>
      <c r="J118" s="64"/>
      <c r="K118" s="65"/>
      <c r="L118" s="65"/>
      <c r="M118" s="65"/>
      <c r="N118" s="80" t="s">
        <v>89</v>
      </c>
    </row>
    <row r="119" spans="2:14" ht="18" customHeight="1">
      <c r="B119" s="48" t="s">
        <v>42</v>
      </c>
      <c r="C119" s="49">
        <f>SUMPRODUCT(F116:F118*G116:G118)</f>
        <v>0</v>
      </c>
      <c r="D119" s="100" t="s">
        <v>43</v>
      </c>
      <c r="E119" s="100">
        <f>SUM(I116:I118)*1.1</f>
        <v>0</v>
      </c>
      <c r="F119" s="50" t="s">
        <v>44</v>
      </c>
      <c r="G119" s="51">
        <f>(C$218+C$219)/1000</f>
        <v>46.081499999999998</v>
      </c>
      <c r="H119" s="52" t="s">
        <v>45</v>
      </c>
      <c r="I119" s="53">
        <f>ROUND(E119*G119,2)</f>
        <v>0</v>
      </c>
      <c r="J119" s="243">
        <f>SUM(G116:G118)</f>
        <v>0</v>
      </c>
      <c r="K119" s="255"/>
      <c r="L119" s="255"/>
      <c r="M119" s="255"/>
    </row>
    <row r="120" spans="2:14" ht="18" customHeight="1">
      <c r="B120" s="48" t="s">
        <v>46</v>
      </c>
      <c r="C120" s="50">
        <v>350.56</v>
      </c>
      <c r="D120" s="100" t="s">
        <v>47</v>
      </c>
      <c r="E120" s="100">
        <f>ROUND(C119*(C120/1000),2)</f>
        <v>0</v>
      </c>
      <c r="F120" s="50" t="s">
        <v>48</v>
      </c>
      <c r="G120" s="50">
        <f>G$23</f>
        <v>10</v>
      </c>
      <c r="H120" s="52" t="s">
        <v>49</v>
      </c>
      <c r="I120" s="53">
        <f>E120*G120</f>
        <v>0</v>
      </c>
      <c r="J120" s="255"/>
      <c r="K120" s="255"/>
      <c r="L120" s="255"/>
      <c r="M120" s="255"/>
    </row>
    <row r="121" spans="2:14" ht="18" customHeight="1" thickBot="1">
      <c r="B121" s="48" t="s">
        <v>50</v>
      </c>
      <c r="C121" s="50">
        <v>189.03</v>
      </c>
      <c r="D121" s="100" t="s">
        <v>51</v>
      </c>
      <c r="E121" s="100">
        <f>ROUND(C119*(C121/1000),2)</f>
        <v>0</v>
      </c>
      <c r="F121" s="50" t="s">
        <v>48</v>
      </c>
      <c r="G121" s="50">
        <f>G$24</f>
        <v>10</v>
      </c>
      <c r="H121" s="52" t="s">
        <v>49</v>
      </c>
      <c r="I121" s="53">
        <f>E121*G121</f>
        <v>0</v>
      </c>
      <c r="J121" s="255"/>
    </row>
    <row r="122" spans="2:14" ht="18" customHeight="1" thickBot="1">
      <c r="B122" s="23" t="s">
        <v>36</v>
      </c>
      <c r="C122" s="252" t="s">
        <v>14</v>
      </c>
      <c r="D122" s="101" t="s">
        <v>37</v>
      </c>
      <c r="E122" s="101" t="s">
        <v>38</v>
      </c>
      <c r="F122" s="252" t="s">
        <v>39</v>
      </c>
      <c r="G122" s="252" t="s">
        <v>8</v>
      </c>
      <c r="H122" s="252" t="s">
        <v>22</v>
      </c>
      <c r="I122" s="25" t="s">
        <v>40</v>
      </c>
      <c r="J122" s="54" t="s">
        <v>2</v>
      </c>
      <c r="K122" s="55" t="s">
        <v>3</v>
      </c>
      <c r="L122" s="55" t="s">
        <v>61</v>
      </c>
      <c r="M122" s="55" t="s">
        <v>62</v>
      </c>
      <c r="N122" s="70" t="s">
        <v>14</v>
      </c>
    </row>
    <row r="123" spans="2:14" ht="18" customHeight="1">
      <c r="B123" s="648" t="s">
        <v>90</v>
      </c>
      <c r="C123" s="649" t="s">
        <v>91</v>
      </c>
      <c r="D123" s="253">
        <f t="shared" ref="D123:E125" si="19">J123-IF(L123=1,78,IF(L123=2,55.5,IF(L123=3,41,0)))</f>
        <v>0</v>
      </c>
      <c r="E123" s="253">
        <f t="shared" si="19"/>
        <v>0</v>
      </c>
      <c r="F123" s="250">
        <f>ROUND((D123+E123)*2/1000,4)</f>
        <v>0</v>
      </c>
      <c r="G123" s="250"/>
      <c r="H123" s="58">
        <v>2.4710000000000001</v>
      </c>
      <c r="I123" s="59">
        <f>ROUND(F123*G123*H123,3)</f>
        <v>0</v>
      </c>
      <c r="J123" s="60"/>
      <c r="K123" s="61"/>
      <c r="L123" s="61"/>
      <c r="M123" s="61"/>
      <c r="N123" s="76" t="s">
        <v>56</v>
      </c>
    </row>
    <row r="124" spans="2:14" ht="18" customHeight="1">
      <c r="B124" s="648"/>
      <c r="C124" s="650"/>
      <c r="D124" s="253">
        <f t="shared" si="19"/>
        <v>0</v>
      </c>
      <c r="E124" s="253">
        <f t="shared" si="19"/>
        <v>0</v>
      </c>
      <c r="F124" s="250">
        <f>ROUND((D124+E124)*2/1000,4)</f>
        <v>0</v>
      </c>
      <c r="G124" s="250"/>
      <c r="H124" s="58">
        <f>H123</f>
        <v>2.4710000000000001</v>
      </c>
      <c r="I124" s="59">
        <f>ROUND(F124*G124*H124,3)</f>
        <v>0</v>
      </c>
      <c r="J124" s="60"/>
      <c r="K124" s="61"/>
      <c r="L124" s="61"/>
      <c r="M124" s="61"/>
      <c r="N124" s="76" t="s">
        <v>58</v>
      </c>
    </row>
    <row r="125" spans="2:14" ht="18" customHeight="1" thickBot="1">
      <c r="B125" s="648"/>
      <c r="C125" s="651"/>
      <c r="D125" s="253">
        <f t="shared" si="19"/>
        <v>0</v>
      </c>
      <c r="E125" s="253">
        <f t="shared" si="19"/>
        <v>0</v>
      </c>
      <c r="F125" s="250">
        <f>ROUND((D125+E125)*2/1000,4)</f>
        <v>0</v>
      </c>
      <c r="G125" s="250"/>
      <c r="H125" s="58">
        <f>H124</f>
        <v>2.4710000000000001</v>
      </c>
      <c r="I125" s="59">
        <f>ROUND(F125*G125*H125,3)</f>
        <v>0</v>
      </c>
      <c r="J125" s="64"/>
      <c r="K125" s="65"/>
      <c r="L125" s="65"/>
      <c r="M125" s="65"/>
      <c r="N125" s="80" t="s">
        <v>89</v>
      </c>
    </row>
    <row r="126" spans="2:14" ht="18" customHeight="1">
      <c r="B126" s="48" t="s">
        <v>42</v>
      </c>
      <c r="C126" s="49">
        <f>SUMPRODUCT(F123:F125*G123:G125)</f>
        <v>0</v>
      </c>
      <c r="D126" s="50" t="s">
        <v>43</v>
      </c>
      <c r="E126" s="49">
        <f>SUM(I123:I125)*1.1</f>
        <v>0</v>
      </c>
      <c r="F126" s="50" t="s">
        <v>44</v>
      </c>
      <c r="G126" s="51">
        <f>(C$218+C$221)/1000</f>
        <v>46.081499999999998</v>
      </c>
      <c r="H126" s="52" t="s">
        <v>45</v>
      </c>
      <c r="I126" s="53">
        <f>ROUND(E126*G126,2)</f>
        <v>0</v>
      </c>
      <c r="J126" s="243">
        <f>SUM(G123:G125)</f>
        <v>0</v>
      </c>
      <c r="K126" s="255"/>
      <c r="L126" s="255"/>
      <c r="M126" s="255"/>
    </row>
    <row r="127" spans="2:14" ht="18" customHeight="1">
      <c r="B127" s="48" t="s">
        <v>46</v>
      </c>
      <c r="C127" s="50">
        <v>236.53</v>
      </c>
      <c r="D127" s="50" t="s">
        <v>47</v>
      </c>
      <c r="E127" s="49">
        <f>ROUND(C126*(C127/1000),2)</f>
        <v>0</v>
      </c>
      <c r="F127" s="50" t="s">
        <v>48</v>
      </c>
      <c r="G127" s="50">
        <f>G$23</f>
        <v>10</v>
      </c>
      <c r="H127" s="52" t="s">
        <v>49</v>
      </c>
      <c r="I127" s="53">
        <f>E127*G127</f>
        <v>0</v>
      </c>
      <c r="J127" s="255"/>
      <c r="K127" s="255"/>
      <c r="L127" s="255"/>
      <c r="M127" s="255"/>
    </row>
    <row r="128" spans="2:14" ht="18" customHeight="1" thickBot="1">
      <c r="B128" s="48" t="s">
        <v>50</v>
      </c>
      <c r="C128" s="50">
        <v>311.02999999999997</v>
      </c>
      <c r="D128" s="50" t="s">
        <v>51</v>
      </c>
      <c r="E128" s="49">
        <f>ROUND(C126*(C128/1000),2)</f>
        <v>0</v>
      </c>
      <c r="F128" s="50" t="s">
        <v>48</v>
      </c>
      <c r="G128" s="50">
        <f>G$24</f>
        <v>10</v>
      </c>
      <c r="H128" s="52" t="s">
        <v>49</v>
      </c>
      <c r="I128" s="53">
        <f>E128*G128</f>
        <v>0</v>
      </c>
      <c r="J128" s="255"/>
    </row>
    <row r="129" spans="2:14" ht="18" customHeight="1" thickBot="1">
      <c r="B129" s="23" t="s">
        <v>36</v>
      </c>
      <c r="C129" s="252" t="s">
        <v>14</v>
      </c>
      <c r="D129" s="252" t="s">
        <v>37</v>
      </c>
      <c r="E129" s="252" t="s">
        <v>71</v>
      </c>
      <c r="F129" s="252" t="s">
        <v>38</v>
      </c>
      <c r="G129" s="252" t="s">
        <v>72</v>
      </c>
      <c r="H129" s="252" t="s">
        <v>22</v>
      </c>
      <c r="I129" s="25" t="s">
        <v>40</v>
      </c>
      <c r="J129" s="54" t="s">
        <v>2</v>
      </c>
      <c r="K129" s="55" t="s">
        <v>3</v>
      </c>
      <c r="L129" s="55" t="s">
        <v>61</v>
      </c>
      <c r="M129" s="55" t="s">
        <v>62</v>
      </c>
      <c r="N129" s="70" t="s">
        <v>14</v>
      </c>
    </row>
    <row r="130" spans="2:14" ht="18" customHeight="1">
      <c r="B130" s="648" t="s">
        <v>92</v>
      </c>
      <c r="C130" s="649" t="s">
        <v>93</v>
      </c>
      <c r="D130" s="253">
        <f>J130-IF(L130=1,81,IF(L130=2,58.5,IF(L130=3,36,0)))</f>
        <v>0</v>
      </c>
      <c r="E130" s="253">
        <v>0</v>
      </c>
      <c r="F130" s="253">
        <f>K130-IF(M130=1,81,IF(M130=2,58.5,IF(M130=3,36,0)))</f>
        <v>0</v>
      </c>
      <c r="G130" s="250">
        <v>0</v>
      </c>
      <c r="H130" s="250">
        <v>2.0489999999999999</v>
      </c>
      <c r="I130" s="59">
        <f>ROUND((D130*E130+F130*G130)/1000*H130,3)</f>
        <v>0</v>
      </c>
      <c r="J130" s="60"/>
      <c r="K130" s="61"/>
      <c r="L130" s="61"/>
      <c r="M130" s="61"/>
      <c r="N130" s="76" t="s">
        <v>56</v>
      </c>
    </row>
    <row r="131" spans="2:14" ht="18" customHeight="1">
      <c r="B131" s="648"/>
      <c r="C131" s="650"/>
      <c r="D131" s="253">
        <f>J131-IF(L131=1,81,IF(L131=2,58.5,IF(L131=3,36,0)))</f>
        <v>0</v>
      </c>
      <c r="E131" s="253">
        <v>0</v>
      </c>
      <c r="F131" s="253">
        <f>K131-IF(M131=1,81,IF(M131=2,58.5,IF(M131=3,36,0)))</f>
        <v>0</v>
      </c>
      <c r="G131" s="250"/>
      <c r="H131" s="250">
        <f>H130</f>
        <v>2.0489999999999999</v>
      </c>
      <c r="I131" s="59">
        <f>ROUND((D131*E131+F131*G131)/1000*H131,3)</f>
        <v>0</v>
      </c>
      <c r="J131" s="60"/>
      <c r="K131" s="61"/>
      <c r="L131" s="61"/>
      <c r="M131" s="61"/>
      <c r="N131" s="76" t="s">
        <v>58</v>
      </c>
    </row>
    <row r="132" spans="2:14" ht="18" customHeight="1" thickBot="1">
      <c r="B132" s="648"/>
      <c r="C132" s="651"/>
      <c r="D132" s="253">
        <f>J132-IF(L132=1,81,IF(L132=2,58.5,IF(L132=3,36,0)))</f>
        <v>0</v>
      </c>
      <c r="E132" s="253"/>
      <c r="F132" s="253">
        <f>K132-IF(M132=1,81,IF(M132=2,58.5,IF(M132=3,36,0)))</f>
        <v>0</v>
      </c>
      <c r="G132" s="250"/>
      <c r="H132" s="250">
        <f>H131</f>
        <v>2.0489999999999999</v>
      </c>
      <c r="I132" s="59">
        <f>ROUND((D132*E132+F132*G132)/1000*H132,3)</f>
        <v>0</v>
      </c>
      <c r="J132" s="64"/>
      <c r="K132" s="65"/>
      <c r="L132" s="65"/>
      <c r="M132" s="65"/>
      <c r="N132" s="80" t="s">
        <v>89</v>
      </c>
    </row>
    <row r="133" spans="2:14" ht="18" customHeight="1">
      <c r="B133" s="48" t="s">
        <v>42</v>
      </c>
      <c r="C133" s="49">
        <f>SUMPRODUCT(D130:D132*E130:E132+F130:F132*G130:G132)/1000</f>
        <v>0</v>
      </c>
      <c r="D133" s="50" t="s">
        <v>43</v>
      </c>
      <c r="E133" s="49">
        <f>SUM(I130:I132)*1.1</f>
        <v>0</v>
      </c>
      <c r="F133" s="50" t="s">
        <v>44</v>
      </c>
      <c r="G133" s="51">
        <f>(C$218+C$219)/1000</f>
        <v>46.081499999999998</v>
      </c>
      <c r="H133" s="52" t="s">
        <v>45</v>
      </c>
      <c r="I133" s="53">
        <f>ROUND(E133*G133,2)</f>
        <v>0</v>
      </c>
      <c r="J133" s="243">
        <f>SUM(G130:G132)+SUM(E130:E132)</f>
        <v>0</v>
      </c>
    </row>
    <row r="134" spans="2:14" ht="18" customHeight="1">
      <c r="B134" s="48" t="s">
        <v>46</v>
      </c>
      <c r="C134" s="50">
        <v>298.42</v>
      </c>
      <c r="D134" s="50" t="s">
        <v>47</v>
      </c>
      <c r="E134" s="49">
        <f>ROUND(C133*(C134/1000),2)</f>
        <v>0</v>
      </c>
      <c r="F134" s="50" t="s">
        <v>48</v>
      </c>
      <c r="G134" s="50">
        <f>G$23</f>
        <v>10</v>
      </c>
      <c r="H134" s="52" t="s">
        <v>49</v>
      </c>
      <c r="I134" s="53">
        <f>ROUND(E134*G134,2)</f>
        <v>0</v>
      </c>
    </row>
    <row r="135" spans="2:14" ht="18" customHeight="1">
      <c r="B135" s="48" t="s">
        <v>50</v>
      </c>
      <c r="C135" s="50">
        <v>208.08</v>
      </c>
      <c r="D135" s="50" t="s">
        <v>51</v>
      </c>
      <c r="E135" s="49">
        <f>ROUND(C133*(C135/1000),2)</f>
        <v>0</v>
      </c>
      <c r="F135" s="50" t="s">
        <v>48</v>
      </c>
      <c r="G135" s="50">
        <f>G$24</f>
        <v>10</v>
      </c>
      <c r="H135" s="52" t="s">
        <v>49</v>
      </c>
      <c r="I135" s="53">
        <f>ROUND(E135*G135,2)</f>
        <v>0</v>
      </c>
    </row>
    <row r="136" spans="2:14" ht="18" customHeight="1">
      <c r="B136" s="23" t="s">
        <v>36</v>
      </c>
      <c r="C136" s="252" t="s">
        <v>14</v>
      </c>
      <c r="D136" s="652" t="s">
        <v>38</v>
      </c>
      <c r="E136" s="652"/>
      <c r="F136" s="652"/>
      <c r="G136" s="252" t="s">
        <v>72</v>
      </c>
      <c r="H136" s="252" t="s">
        <v>22</v>
      </c>
      <c r="I136" s="25" t="s">
        <v>40</v>
      </c>
    </row>
    <row r="137" spans="2:14" ht="18" customHeight="1">
      <c r="B137" s="648" t="s">
        <v>94</v>
      </c>
      <c r="C137" s="649" t="s">
        <v>95</v>
      </c>
      <c r="D137" s="654">
        <f>E116</f>
        <v>0</v>
      </c>
      <c r="E137" s="646"/>
      <c r="F137" s="646"/>
      <c r="G137" s="250"/>
      <c r="H137" s="250">
        <v>1.3360000000000001</v>
      </c>
      <c r="I137" s="59">
        <f>ROUND(D137*H137*G137/1000,3)</f>
        <v>0</v>
      </c>
    </row>
    <row r="138" spans="2:14" ht="18" customHeight="1">
      <c r="B138" s="648"/>
      <c r="C138" s="651"/>
      <c r="D138" s="654"/>
      <c r="E138" s="646"/>
      <c r="F138" s="646"/>
      <c r="G138" s="250"/>
      <c r="H138" s="250">
        <f>H137</f>
        <v>1.3360000000000001</v>
      </c>
      <c r="I138" s="59">
        <f>ROUND(D138*H138*G138/1000,3)</f>
        <v>0</v>
      </c>
    </row>
    <row r="139" spans="2:14" ht="18" customHeight="1">
      <c r="B139" s="48" t="s">
        <v>42</v>
      </c>
      <c r="C139" s="49">
        <f>SUMPRODUCT(D137:F138*G137:G138)/1000</f>
        <v>0</v>
      </c>
      <c r="D139" s="50" t="s">
        <v>43</v>
      </c>
      <c r="E139" s="49">
        <f>SUM(I137:I138)*1.1</f>
        <v>0</v>
      </c>
      <c r="F139" s="50" t="s">
        <v>44</v>
      </c>
      <c r="G139" s="51">
        <f>(C$218+C$219)/1000</f>
        <v>46.081499999999998</v>
      </c>
      <c r="H139" s="52" t="s">
        <v>45</v>
      </c>
      <c r="I139" s="53">
        <f>ROUND(E139*G139,2)</f>
        <v>0</v>
      </c>
    </row>
    <row r="140" spans="2:14" ht="18" customHeight="1">
      <c r="B140" s="48" t="s">
        <v>46</v>
      </c>
      <c r="C140" s="50">
        <v>143.24</v>
      </c>
      <c r="D140" s="50" t="s">
        <v>47</v>
      </c>
      <c r="E140" s="49">
        <f>ROUND(C139*(C140/1000),2)</f>
        <v>0</v>
      </c>
      <c r="F140" s="50" t="s">
        <v>48</v>
      </c>
      <c r="G140" s="50">
        <f>G$23</f>
        <v>10</v>
      </c>
      <c r="H140" s="52" t="s">
        <v>49</v>
      </c>
      <c r="I140" s="53">
        <f>E140*G140</f>
        <v>0</v>
      </c>
    </row>
    <row r="141" spans="2:14" ht="18" customHeight="1">
      <c r="B141" s="48" t="s">
        <v>50</v>
      </c>
      <c r="C141" s="50">
        <v>85.04</v>
      </c>
      <c r="D141" s="50" t="s">
        <v>51</v>
      </c>
      <c r="E141" s="49">
        <f>ROUND(C139*(C141/1000),2)</f>
        <v>0</v>
      </c>
      <c r="F141" s="50" t="s">
        <v>48</v>
      </c>
      <c r="G141" s="50">
        <f>G$24</f>
        <v>10</v>
      </c>
      <c r="H141" s="52" t="s">
        <v>49</v>
      </c>
      <c r="I141" s="53">
        <f>E141*G141</f>
        <v>0</v>
      </c>
    </row>
    <row r="142" spans="2:14" ht="18" customHeight="1">
      <c r="B142" s="23" t="s">
        <v>36</v>
      </c>
      <c r="C142" s="252" t="s">
        <v>14</v>
      </c>
      <c r="D142" s="252" t="s">
        <v>37</v>
      </c>
      <c r="E142" s="252" t="s">
        <v>38</v>
      </c>
      <c r="F142" s="252" t="s">
        <v>39</v>
      </c>
      <c r="G142" s="252" t="s">
        <v>8</v>
      </c>
      <c r="H142" s="252" t="s">
        <v>22</v>
      </c>
      <c r="I142" s="25" t="s">
        <v>40</v>
      </c>
    </row>
    <row r="143" spans="2:14" ht="18" customHeight="1">
      <c r="B143" s="648" t="s">
        <v>96</v>
      </c>
      <c r="C143" s="653" t="s">
        <v>83</v>
      </c>
      <c r="D143" s="253">
        <f t="shared" ref="D143:E145" si="20">D116-154</f>
        <v>-154</v>
      </c>
      <c r="E143" s="253">
        <f t="shared" si="20"/>
        <v>-154</v>
      </c>
      <c r="F143" s="253">
        <f>(D143+E143)*2/1000</f>
        <v>-0.61599999999999999</v>
      </c>
      <c r="G143" s="250">
        <f>G116</f>
        <v>0</v>
      </c>
      <c r="H143" s="250">
        <v>0.27100000000000002</v>
      </c>
      <c r="I143" s="59">
        <f>ROUND((F143*G143)*H143,3)</f>
        <v>0</v>
      </c>
    </row>
    <row r="144" spans="2:14" ht="18" customHeight="1">
      <c r="B144" s="648"/>
      <c r="C144" s="650"/>
      <c r="D144" s="253">
        <f t="shared" si="20"/>
        <v>-154</v>
      </c>
      <c r="E144" s="253">
        <f t="shared" si="20"/>
        <v>-154</v>
      </c>
      <c r="F144" s="253">
        <f>(D144+E144)*2/1000</f>
        <v>-0.61599999999999999</v>
      </c>
      <c r="G144" s="250">
        <f>G117</f>
        <v>0</v>
      </c>
      <c r="H144" s="250">
        <f>H143</f>
        <v>0.27100000000000002</v>
      </c>
      <c r="I144" s="59">
        <f>ROUND((F144*G144)*H144,3)</f>
        <v>0</v>
      </c>
    </row>
    <row r="145" spans="2:14" ht="18" customHeight="1">
      <c r="B145" s="648"/>
      <c r="C145" s="651"/>
      <c r="D145" s="253">
        <f t="shared" si="20"/>
        <v>-154</v>
      </c>
      <c r="E145" s="253">
        <f t="shared" si="20"/>
        <v>-154</v>
      </c>
      <c r="F145" s="253">
        <f>(D145+E145)*2/1000</f>
        <v>-0.61599999999999999</v>
      </c>
      <c r="G145" s="250">
        <f>G118</f>
        <v>0</v>
      </c>
      <c r="H145" s="250">
        <f>H144</f>
        <v>0.27100000000000002</v>
      </c>
      <c r="I145" s="59">
        <f>ROUND((F145*G145)*H145,3)</f>
        <v>0</v>
      </c>
    </row>
    <row r="146" spans="2:14" ht="18" customHeight="1">
      <c r="B146" s="48" t="s">
        <v>42</v>
      </c>
      <c r="C146" s="49">
        <f>SUMPRODUCT(F143:F145*G143:G145)</f>
        <v>0</v>
      </c>
      <c r="D146" s="50" t="s">
        <v>43</v>
      </c>
      <c r="E146" s="49">
        <f>SUM(I143:I145)*1.1</f>
        <v>0</v>
      </c>
      <c r="F146" s="50" t="s">
        <v>44</v>
      </c>
      <c r="G146" s="51">
        <f>(C$218+C$222)/1000</f>
        <v>39.781500000000001</v>
      </c>
      <c r="H146" s="52" t="s">
        <v>45</v>
      </c>
      <c r="I146" s="53">
        <f>ROUND(E146*G146,2)</f>
        <v>0</v>
      </c>
    </row>
    <row r="147" spans="2:14" ht="18" customHeight="1">
      <c r="B147" s="48" t="s">
        <v>46</v>
      </c>
      <c r="C147" s="50">
        <v>186.72</v>
      </c>
      <c r="D147" s="50" t="s">
        <v>47</v>
      </c>
      <c r="E147" s="49">
        <f>ROUND(C146*(C147/1000),2)</f>
        <v>0</v>
      </c>
      <c r="F147" s="50" t="s">
        <v>48</v>
      </c>
      <c r="G147" s="50">
        <f>G$23</f>
        <v>10</v>
      </c>
      <c r="H147" s="52" t="s">
        <v>49</v>
      </c>
      <c r="I147" s="53">
        <f>E147*G147</f>
        <v>0</v>
      </c>
      <c r="K147" s="42"/>
      <c r="L147" s="42"/>
      <c r="M147" s="42"/>
    </row>
    <row r="148" spans="2:14" ht="18" customHeight="1">
      <c r="B148" s="48" t="s">
        <v>50</v>
      </c>
      <c r="C148" s="50">
        <v>0</v>
      </c>
      <c r="D148" s="50" t="s">
        <v>51</v>
      </c>
      <c r="E148" s="49">
        <f>ROUND(C146*(C148/1000),2)</f>
        <v>0</v>
      </c>
      <c r="F148" s="50" t="s">
        <v>48</v>
      </c>
      <c r="G148" s="50">
        <f>G$24</f>
        <v>10</v>
      </c>
      <c r="H148" s="52" t="s">
        <v>49</v>
      </c>
      <c r="I148" s="53">
        <f>E148*G148</f>
        <v>0</v>
      </c>
      <c r="K148" s="42"/>
      <c r="L148" s="42"/>
      <c r="M148" s="42"/>
    </row>
    <row r="149" spans="2:14" ht="18" customHeight="1">
      <c r="B149" s="23" t="s">
        <v>36</v>
      </c>
      <c r="C149" s="252" t="s">
        <v>14</v>
      </c>
      <c r="D149" s="252" t="s">
        <v>37</v>
      </c>
      <c r="E149" s="252" t="s">
        <v>38</v>
      </c>
      <c r="F149" s="252" t="s">
        <v>39</v>
      </c>
      <c r="G149" s="252" t="s">
        <v>8</v>
      </c>
      <c r="H149" s="252" t="s">
        <v>22</v>
      </c>
      <c r="I149" s="25" t="s">
        <v>40</v>
      </c>
      <c r="K149" s="42"/>
      <c r="L149" s="42"/>
      <c r="M149" s="42"/>
    </row>
    <row r="150" spans="2:14" ht="18" customHeight="1">
      <c r="B150" s="648" t="s">
        <v>97</v>
      </c>
      <c r="C150" s="653" t="s">
        <v>83</v>
      </c>
      <c r="D150" s="253">
        <f t="shared" ref="D150:E152" si="21">D123-160</f>
        <v>-160</v>
      </c>
      <c r="E150" s="253">
        <f t="shared" si="21"/>
        <v>-160</v>
      </c>
      <c r="F150" s="253">
        <f>(D150+E150)*2/1000</f>
        <v>-0.64</v>
      </c>
      <c r="G150" s="250">
        <f>G123</f>
        <v>0</v>
      </c>
      <c r="H150" s="250">
        <f>H145</f>
        <v>0.27100000000000002</v>
      </c>
      <c r="I150" s="59">
        <f>ROUND((F150*G150)*H150,3)</f>
        <v>0</v>
      </c>
      <c r="K150" s="42"/>
      <c r="L150" s="42"/>
      <c r="M150" s="42"/>
    </row>
    <row r="151" spans="2:14" ht="18" customHeight="1">
      <c r="B151" s="648"/>
      <c r="C151" s="650"/>
      <c r="D151" s="253">
        <f t="shared" si="21"/>
        <v>-160</v>
      </c>
      <c r="E151" s="253">
        <f t="shared" si="21"/>
        <v>-160</v>
      </c>
      <c r="F151" s="253">
        <f>(D151+E151)*2/1000</f>
        <v>-0.64</v>
      </c>
      <c r="G151" s="250">
        <f>G124</f>
        <v>0</v>
      </c>
      <c r="H151" s="250">
        <f>H150</f>
        <v>0.27100000000000002</v>
      </c>
      <c r="I151" s="59">
        <f>ROUND((F151*G151)*H151,3)</f>
        <v>0</v>
      </c>
      <c r="K151" s="42"/>
      <c r="L151" s="42"/>
      <c r="M151" s="42"/>
    </row>
    <row r="152" spans="2:14" ht="18" customHeight="1">
      <c r="B152" s="648"/>
      <c r="C152" s="651"/>
      <c r="D152" s="253">
        <f t="shared" si="21"/>
        <v>-160</v>
      </c>
      <c r="E152" s="253">
        <f t="shared" si="21"/>
        <v>-160</v>
      </c>
      <c r="F152" s="253">
        <f>(D152+E152)*2/1000</f>
        <v>-0.64</v>
      </c>
      <c r="G152" s="250">
        <f>G125</f>
        <v>0</v>
      </c>
      <c r="H152" s="250">
        <f>H151</f>
        <v>0.27100000000000002</v>
      </c>
      <c r="I152" s="59">
        <f>ROUND((F152*G152)*H152,3)</f>
        <v>0</v>
      </c>
      <c r="K152" s="42"/>
      <c r="L152" s="42"/>
      <c r="M152" s="42"/>
    </row>
    <row r="153" spans="2:14" ht="18" customHeight="1">
      <c r="B153" s="48" t="s">
        <v>42</v>
      </c>
      <c r="C153" s="49">
        <f>SUMPRODUCT(F150:F152*G150:G152)</f>
        <v>0</v>
      </c>
      <c r="D153" s="50" t="s">
        <v>43</v>
      </c>
      <c r="E153" s="49">
        <f>SUM(I150:I152)*1.1</f>
        <v>0</v>
      </c>
      <c r="F153" s="50" t="s">
        <v>44</v>
      </c>
      <c r="G153" s="51">
        <f>(C$218+C$222)/1000</f>
        <v>39.781500000000001</v>
      </c>
      <c r="H153" s="52" t="s">
        <v>45</v>
      </c>
      <c r="I153" s="53">
        <f>ROUND(E153*G153,2)</f>
        <v>0</v>
      </c>
      <c r="K153" s="42"/>
      <c r="L153" s="42"/>
      <c r="M153" s="42"/>
    </row>
    <row r="154" spans="2:14" ht="18" customHeight="1">
      <c r="B154" s="48" t="s">
        <v>46</v>
      </c>
      <c r="C154" s="50">
        <v>186.72</v>
      </c>
      <c r="D154" s="50" t="s">
        <v>47</v>
      </c>
      <c r="E154" s="49">
        <f>ROUND(C153*(C154/1000),2)</f>
        <v>0</v>
      </c>
      <c r="F154" s="50" t="s">
        <v>48</v>
      </c>
      <c r="G154" s="50">
        <f>G$23</f>
        <v>10</v>
      </c>
      <c r="H154" s="52" t="s">
        <v>49</v>
      </c>
      <c r="I154" s="53">
        <f>E154*G154</f>
        <v>0</v>
      </c>
    </row>
    <row r="155" spans="2:14" ht="18" customHeight="1" thickBot="1">
      <c r="B155" s="48" t="s">
        <v>50</v>
      </c>
      <c r="C155" s="50">
        <v>0</v>
      </c>
      <c r="D155" s="50" t="s">
        <v>51</v>
      </c>
      <c r="E155" s="49">
        <f>ROUND(C153*(C155/1000),2)</f>
        <v>0</v>
      </c>
      <c r="F155" s="50" t="s">
        <v>48</v>
      </c>
      <c r="G155" s="50">
        <f>G$24</f>
        <v>10</v>
      </c>
      <c r="H155" s="52" t="s">
        <v>49</v>
      </c>
      <c r="I155" s="53">
        <f>E155*G155</f>
        <v>0</v>
      </c>
    </row>
    <row r="156" spans="2:14" ht="18" customHeight="1" thickBot="1">
      <c r="B156" s="23" t="s">
        <v>36</v>
      </c>
      <c r="C156" s="252" t="s">
        <v>14</v>
      </c>
      <c r="D156" s="252" t="s">
        <v>37</v>
      </c>
      <c r="E156" s="252" t="s">
        <v>38</v>
      </c>
      <c r="F156" s="252" t="s">
        <v>39</v>
      </c>
      <c r="G156" s="252" t="s">
        <v>8</v>
      </c>
      <c r="H156" s="252" t="s">
        <v>22</v>
      </c>
      <c r="I156" s="25" t="s">
        <v>40</v>
      </c>
      <c r="J156" s="54" t="s">
        <v>2</v>
      </c>
      <c r="K156" s="55" t="s">
        <v>3</v>
      </c>
      <c r="L156" s="55" t="s">
        <v>61</v>
      </c>
      <c r="M156" s="55" t="s">
        <v>62</v>
      </c>
      <c r="N156" s="70" t="s">
        <v>14</v>
      </c>
    </row>
    <row r="157" spans="2:14" ht="18" customHeight="1">
      <c r="B157" s="648" t="s">
        <v>98</v>
      </c>
      <c r="C157" s="649" t="s">
        <v>99</v>
      </c>
      <c r="D157" s="253">
        <f t="shared" ref="D157:E162" si="22">J157-IF(L157=1,90,IF(L157=2,67.5,IF(L157=3,45,0)))</f>
        <v>0</v>
      </c>
      <c r="E157" s="253">
        <f t="shared" si="22"/>
        <v>0</v>
      </c>
      <c r="F157" s="253">
        <f t="shared" ref="F157:F162" si="23">2*(D157+E157)/1000</f>
        <v>0</v>
      </c>
      <c r="G157" s="250">
        <v>0</v>
      </c>
      <c r="H157" s="250">
        <f>H68</f>
        <v>0.224</v>
      </c>
      <c r="I157" s="59">
        <f t="shared" ref="I157:I162" si="24">ROUND((F157*G157)*H157,3)</f>
        <v>0</v>
      </c>
      <c r="J157" s="60"/>
      <c r="K157" s="61"/>
      <c r="L157" s="61"/>
      <c r="M157" s="61"/>
      <c r="N157" s="76" t="s">
        <v>56</v>
      </c>
    </row>
    <row r="158" spans="2:14" ht="18" customHeight="1">
      <c r="B158" s="648"/>
      <c r="C158" s="650"/>
      <c r="D158" s="253">
        <f t="shared" si="22"/>
        <v>0</v>
      </c>
      <c r="E158" s="253">
        <f t="shared" si="22"/>
        <v>0</v>
      </c>
      <c r="F158" s="253">
        <f t="shared" si="23"/>
        <v>0</v>
      </c>
      <c r="G158" s="250"/>
      <c r="H158" s="250">
        <f>H157</f>
        <v>0.224</v>
      </c>
      <c r="I158" s="59">
        <f t="shared" si="24"/>
        <v>0</v>
      </c>
      <c r="J158" s="60"/>
      <c r="K158" s="61"/>
      <c r="L158" s="61"/>
      <c r="M158" s="61"/>
      <c r="N158" s="76" t="s">
        <v>58</v>
      </c>
    </row>
    <row r="159" spans="2:14" ht="18" customHeight="1">
      <c r="B159" s="648"/>
      <c r="C159" s="650"/>
      <c r="D159" s="253">
        <f t="shared" si="22"/>
        <v>0</v>
      </c>
      <c r="E159" s="253">
        <f t="shared" si="22"/>
        <v>0</v>
      </c>
      <c r="F159" s="253">
        <f t="shared" si="23"/>
        <v>0</v>
      </c>
      <c r="G159" s="250"/>
      <c r="H159" s="250">
        <f>H158</f>
        <v>0.224</v>
      </c>
      <c r="I159" s="59">
        <f t="shared" si="24"/>
        <v>0</v>
      </c>
      <c r="J159" s="60"/>
      <c r="K159" s="61"/>
      <c r="L159" s="61"/>
      <c r="M159" s="61"/>
      <c r="N159" s="76" t="s">
        <v>60</v>
      </c>
    </row>
    <row r="160" spans="2:14" ht="18" customHeight="1">
      <c r="B160" s="648"/>
      <c r="C160" s="650"/>
      <c r="D160" s="253">
        <f t="shared" si="22"/>
        <v>0</v>
      </c>
      <c r="E160" s="253">
        <f t="shared" si="22"/>
        <v>0</v>
      </c>
      <c r="F160" s="253">
        <f t="shared" si="23"/>
        <v>0</v>
      </c>
      <c r="G160" s="250">
        <v>0</v>
      </c>
      <c r="H160" s="77">
        <f>H159</f>
        <v>0.224</v>
      </c>
      <c r="I160" s="59">
        <f t="shared" si="24"/>
        <v>0</v>
      </c>
      <c r="J160" s="60"/>
      <c r="K160" s="61"/>
      <c r="L160" s="61"/>
      <c r="M160" s="61"/>
      <c r="N160" s="76"/>
    </row>
    <row r="161" spans="2:16" ht="18" customHeight="1">
      <c r="B161" s="648"/>
      <c r="C161" s="650"/>
      <c r="D161" s="253">
        <f t="shared" si="22"/>
        <v>0</v>
      </c>
      <c r="E161" s="253">
        <f t="shared" si="22"/>
        <v>0</v>
      </c>
      <c r="F161" s="253">
        <f t="shared" si="23"/>
        <v>0</v>
      </c>
      <c r="G161" s="250"/>
      <c r="H161" s="250">
        <f>H160</f>
        <v>0.224</v>
      </c>
      <c r="I161" s="59">
        <f t="shared" si="24"/>
        <v>0</v>
      </c>
      <c r="J161" s="60"/>
      <c r="K161" s="61"/>
      <c r="L161" s="61"/>
      <c r="M161" s="61"/>
      <c r="N161" s="76"/>
    </row>
    <row r="162" spans="2:16" ht="18" customHeight="1" thickBot="1">
      <c r="B162" s="648"/>
      <c r="C162" s="651"/>
      <c r="D162" s="253">
        <f t="shared" si="22"/>
        <v>0</v>
      </c>
      <c r="E162" s="253">
        <f t="shared" si="22"/>
        <v>0</v>
      </c>
      <c r="F162" s="253">
        <f t="shared" si="23"/>
        <v>0</v>
      </c>
      <c r="G162" s="250"/>
      <c r="H162" s="250">
        <f>H160</f>
        <v>0.224</v>
      </c>
      <c r="I162" s="59">
        <f t="shared" si="24"/>
        <v>0</v>
      </c>
      <c r="J162" s="64"/>
      <c r="K162" s="65"/>
      <c r="L162" s="65"/>
      <c r="M162" s="65"/>
      <c r="N162" s="80"/>
    </row>
    <row r="163" spans="2:16" ht="18" customHeight="1">
      <c r="B163" s="48" t="s">
        <v>42</v>
      </c>
      <c r="C163" s="49">
        <f>SUMPRODUCT(F157:F162*G157:G162)</f>
        <v>0</v>
      </c>
      <c r="D163" s="50" t="s">
        <v>43</v>
      </c>
      <c r="E163" s="49">
        <f>SUM(I157:I162)*1.1</f>
        <v>0</v>
      </c>
      <c r="F163" s="50" t="s">
        <v>44</v>
      </c>
      <c r="G163" s="51">
        <f>(C$218+C$222)/1000</f>
        <v>39.781500000000001</v>
      </c>
      <c r="H163" s="52" t="s">
        <v>45</v>
      </c>
      <c r="I163" s="53">
        <f>ROUND(E163*G163,2)</f>
        <v>0</v>
      </c>
      <c r="J163" s="102"/>
      <c r="K163" s="102"/>
      <c r="L163" s="102"/>
      <c r="M163" s="102"/>
      <c r="O163" s="102"/>
      <c r="P163" s="102"/>
    </row>
    <row r="164" spans="2:16" ht="18" customHeight="1">
      <c r="B164" s="48" t="s">
        <v>46</v>
      </c>
      <c r="C164" s="50">
        <v>181.72</v>
      </c>
      <c r="D164" s="50" t="s">
        <v>47</v>
      </c>
      <c r="E164" s="49">
        <f>ROUND(C163*(C164/1000),2)</f>
        <v>0</v>
      </c>
      <c r="F164" s="50" t="s">
        <v>48</v>
      </c>
      <c r="G164" s="50">
        <f>G$23</f>
        <v>10</v>
      </c>
      <c r="H164" s="52" t="s">
        <v>49</v>
      </c>
      <c r="I164" s="53">
        <f>E164*G164</f>
        <v>0</v>
      </c>
      <c r="J164" s="102"/>
      <c r="K164" s="102"/>
      <c r="L164" s="102"/>
      <c r="M164" s="102"/>
      <c r="O164" s="102"/>
      <c r="P164" s="102"/>
    </row>
    <row r="165" spans="2:16" ht="18" customHeight="1">
      <c r="B165" s="48" t="s">
        <v>50</v>
      </c>
      <c r="C165" s="50"/>
      <c r="D165" s="50" t="s">
        <v>51</v>
      </c>
      <c r="E165" s="49">
        <f>ROUND(C163*(C165/1000),2)</f>
        <v>0</v>
      </c>
      <c r="F165" s="50" t="s">
        <v>48</v>
      </c>
      <c r="G165" s="50">
        <f>G$24</f>
        <v>10</v>
      </c>
      <c r="H165" s="52" t="s">
        <v>49</v>
      </c>
      <c r="I165" s="53">
        <f>E165*G165</f>
        <v>0</v>
      </c>
      <c r="K165" s="43">
        <f>J165*E165</f>
        <v>0</v>
      </c>
    </row>
    <row r="166" spans="2:16" ht="18" customHeight="1">
      <c r="B166" s="23" t="s">
        <v>36</v>
      </c>
      <c r="C166" s="252" t="s">
        <v>14</v>
      </c>
      <c r="D166" s="252" t="s">
        <v>37</v>
      </c>
      <c r="E166" s="252" t="s">
        <v>71</v>
      </c>
      <c r="F166" s="252" t="s">
        <v>38</v>
      </c>
      <c r="G166" s="252" t="s">
        <v>72</v>
      </c>
      <c r="H166" s="252" t="s">
        <v>22</v>
      </c>
      <c r="I166" s="25" t="s">
        <v>40</v>
      </c>
    </row>
    <row r="167" spans="2:16" ht="18" customHeight="1">
      <c r="B167" s="648" t="s">
        <v>100</v>
      </c>
      <c r="C167" s="649" t="s">
        <v>101</v>
      </c>
      <c r="D167" s="250"/>
      <c r="E167" s="250"/>
      <c r="F167" s="250"/>
      <c r="G167" s="250"/>
      <c r="H167" s="28">
        <v>6.3E-2</v>
      </c>
      <c r="I167" s="59">
        <f>ROUND((D167*E167+F167*G167)/1000*H167,3)</f>
        <v>0</v>
      </c>
    </row>
    <row r="168" spans="2:16" ht="18" customHeight="1">
      <c r="B168" s="648"/>
      <c r="C168" s="650"/>
      <c r="D168" s="250"/>
      <c r="E168" s="250"/>
      <c r="F168" s="250"/>
      <c r="G168" s="250"/>
      <c r="H168" s="28">
        <f>H167</f>
        <v>6.3E-2</v>
      </c>
      <c r="I168" s="59">
        <f>ROUND((D168*E168+F168*G168)/1000*H168,3)</f>
        <v>0</v>
      </c>
    </row>
    <row r="169" spans="2:16" ht="18" customHeight="1">
      <c r="B169" s="648"/>
      <c r="C169" s="651"/>
      <c r="D169" s="250"/>
      <c r="E169" s="250"/>
      <c r="F169" s="250"/>
      <c r="G169" s="250"/>
      <c r="H169" s="28">
        <f>H168</f>
        <v>6.3E-2</v>
      </c>
      <c r="I169" s="59">
        <f>ROUND((D169*E169+F169*G169)/1000*H169,3)</f>
        <v>0</v>
      </c>
    </row>
    <row r="170" spans="2:16" ht="18" customHeight="1">
      <c r="B170" s="48" t="s">
        <v>42</v>
      </c>
      <c r="C170" s="49">
        <f>SUMPRODUCT(D167:D169*E167:E169+F167:F169*G167:G169)/1000</f>
        <v>0</v>
      </c>
      <c r="D170" s="50" t="s">
        <v>43</v>
      </c>
      <c r="E170" s="49">
        <f>SUM(I167:I169)*1.1</f>
        <v>0</v>
      </c>
      <c r="F170" s="50" t="s">
        <v>44</v>
      </c>
      <c r="G170" s="51">
        <f>(C$218+$C$222)/1000</f>
        <v>39.781500000000001</v>
      </c>
      <c r="H170" s="52" t="s">
        <v>45</v>
      </c>
      <c r="I170" s="53">
        <f>ROUND(E170*G170,2)</f>
        <v>0</v>
      </c>
    </row>
    <row r="171" spans="2:16" ht="18" customHeight="1">
      <c r="B171" s="48" t="s">
        <v>46</v>
      </c>
      <c r="C171" s="50">
        <v>105.66</v>
      </c>
      <c r="D171" s="50" t="s">
        <v>47</v>
      </c>
      <c r="E171" s="49">
        <f>ROUND(C170*(C171/1000),2)</f>
        <v>0</v>
      </c>
      <c r="F171" s="50" t="s">
        <v>48</v>
      </c>
      <c r="G171" s="50">
        <f>G$23</f>
        <v>10</v>
      </c>
      <c r="H171" s="52" t="s">
        <v>49</v>
      </c>
      <c r="I171" s="53">
        <f>E171*G171</f>
        <v>0</v>
      </c>
    </row>
    <row r="172" spans="2:16" ht="18" customHeight="1">
      <c r="B172" s="48" t="s">
        <v>50</v>
      </c>
      <c r="C172" s="50">
        <v>125.66</v>
      </c>
      <c r="D172" s="50" t="s">
        <v>51</v>
      </c>
      <c r="E172" s="49">
        <f>ROUND(C170*(C172/1000),2)</f>
        <v>0</v>
      </c>
      <c r="F172" s="50" t="s">
        <v>48</v>
      </c>
      <c r="G172" s="50">
        <f>G$24</f>
        <v>10</v>
      </c>
      <c r="H172" s="52" t="s">
        <v>49</v>
      </c>
      <c r="I172" s="53">
        <f>E172*G172</f>
        <v>0</v>
      </c>
    </row>
    <row r="173" spans="2:16" ht="18" customHeight="1">
      <c r="B173" s="23" t="s">
        <v>36</v>
      </c>
      <c r="C173" s="252" t="s">
        <v>14</v>
      </c>
      <c r="D173" s="252" t="s">
        <v>37</v>
      </c>
      <c r="E173" s="252" t="s">
        <v>71</v>
      </c>
      <c r="F173" s="252" t="s">
        <v>38</v>
      </c>
      <c r="G173" s="252" t="s">
        <v>72</v>
      </c>
      <c r="H173" s="252" t="s">
        <v>22</v>
      </c>
      <c r="I173" s="25" t="s">
        <v>40</v>
      </c>
    </row>
    <row r="174" spans="2:16" ht="18" customHeight="1">
      <c r="B174" s="648" t="s">
        <v>102</v>
      </c>
      <c r="C174" s="649" t="s">
        <v>103</v>
      </c>
      <c r="D174" s="250"/>
      <c r="E174" s="250"/>
      <c r="F174" s="250"/>
      <c r="G174" s="250"/>
      <c r="H174" s="28">
        <v>1.0980000000000001</v>
      </c>
      <c r="I174" s="59">
        <f>ROUND((D174*E174+F174*G174)/1000*H174,3)</f>
        <v>0</v>
      </c>
    </row>
    <row r="175" spans="2:16" ht="18" customHeight="1">
      <c r="B175" s="648"/>
      <c r="C175" s="650"/>
      <c r="D175" s="250"/>
      <c r="E175" s="250"/>
      <c r="F175" s="250"/>
      <c r="G175" s="250"/>
      <c r="H175" s="28">
        <f>H174</f>
        <v>1.0980000000000001</v>
      </c>
      <c r="I175" s="59">
        <f>ROUND((D175*E175+F175*G175)/1000*H175,3)</f>
        <v>0</v>
      </c>
    </row>
    <row r="176" spans="2:16" ht="18" customHeight="1">
      <c r="B176" s="648"/>
      <c r="C176" s="651"/>
      <c r="D176" s="250"/>
      <c r="E176" s="250"/>
      <c r="F176" s="250"/>
      <c r="G176" s="250"/>
      <c r="H176" s="28">
        <f>H175</f>
        <v>1.0980000000000001</v>
      </c>
      <c r="I176" s="59">
        <f>ROUND((D176*E176+F176*G176)/1000*H176,3)</f>
        <v>0</v>
      </c>
    </row>
    <row r="177" spans="2:9" ht="18" customHeight="1">
      <c r="B177" s="48" t="s">
        <v>42</v>
      </c>
      <c r="C177" s="49">
        <f>SUMPRODUCT(D174:D176*E174:E176+F174:F176*G174:G176)/1000</f>
        <v>0</v>
      </c>
      <c r="D177" s="50" t="s">
        <v>43</v>
      </c>
      <c r="E177" s="49">
        <f>SUM(I174:I176)*1.1</f>
        <v>0</v>
      </c>
      <c r="F177" s="50" t="s">
        <v>44</v>
      </c>
      <c r="G177" s="51">
        <f>(C$218+C$219)/1000</f>
        <v>46.081499999999998</v>
      </c>
      <c r="H177" s="52" t="s">
        <v>45</v>
      </c>
      <c r="I177" s="53">
        <f>ROUND(E177*G177,2)</f>
        <v>0</v>
      </c>
    </row>
    <row r="178" spans="2:9" ht="18" customHeight="1">
      <c r="B178" s="48" t="s">
        <v>46</v>
      </c>
      <c r="C178" s="50">
        <v>105.66</v>
      </c>
      <c r="D178" s="50" t="s">
        <v>47</v>
      </c>
      <c r="E178" s="49">
        <f>ROUND(C177*(C178/1000),2)</f>
        <v>0</v>
      </c>
      <c r="F178" s="50" t="s">
        <v>48</v>
      </c>
      <c r="G178" s="50">
        <f>G$23</f>
        <v>10</v>
      </c>
      <c r="H178" s="52" t="s">
        <v>49</v>
      </c>
      <c r="I178" s="53">
        <f>E178*G178</f>
        <v>0</v>
      </c>
    </row>
    <row r="179" spans="2:9" ht="18" customHeight="1">
      <c r="B179" s="48" t="s">
        <v>50</v>
      </c>
      <c r="C179" s="50">
        <v>125.66</v>
      </c>
      <c r="D179" s="50" t="s">
        <v>51</v>
      </c>
      <c r="E179" s="49">
        <f>ROUND(C177*(C179/1000),2)</f>
        <v>0</v>
      </c>
      <c r="F179" s="50" t="s">
        <v>48</v>
      </c>
      <c r="G179" s="50">
        <f>G$24</f>
        <v>10</v>
      </c>
      <c r="H179" s="52" t="s">
        <v>49</v>
      </c>
      <c r="I179" s="53">
        <f>E179*G179</f>
        <v>0</v>
      </c>
    </row>
    <row r="180" spans="2:9" ht="18" customHeight="1">
      <c r="B180" s="23" t="s">
        <v>36</v>
      </c>
      <c r="C180" s="252" t="s">
        <v>14</v>
      </c>
      <c r="D180" s="252" t="s">
        <v>37</v>
      </c>
      <c r="E180" s="252" t="s">
        <v>71</v>
      </c>
      <c r="F180" s="252" t="s">
        <v>38</v>
      </c>
      <c r="G180" s="252" t="s">
        <v>72</v>
      </c>
      <c r="H180" s="252" t="s">
        <v>22</v>
      </c>
      <c r="I180" s="25" t="s">
        <v>40</v>
      </c>
    </row>
    <row r="181" spans="2:9" ht="18" customHeight="1">
      <c r="B181" s="648" t="s">
        <v>104</v>
      </c>
      <c r="C181" s="649" t="s">
        <v>105</v>
      </c>
      <c r="D181" s="250">
        <f>D6</f>
        <v>1320</v>
      </c>
      <c r="E181" s="250"/>
      <c r="F181" s="250"/>
      <c r="G181" s="250"/>
      <c r="H181" s="28">
        <v>1.5629999999999999</v>
      </c>
      <c r="I181" s="59">
        <f>ROUND((D181*E181+F181*G181)/1000*H181,3)</f>
        <v>0</v>
      </c>
    </row>
    <row r="182" spans="2:9" ht="18" customHeight="1">
      <c r="B182" s="648"/>
      <c r="C182" s="650"/>
      <c r="D182" s="250"/>
      <c r="E182" s="250"/>
      <c r="F182" s="250"/>
      <c r="G182" s="250"/>
      <c r="H182" s="28">
        <f>H181</f>
        <v>1.5629999999999999</v>
      </c>
      <c r="I182" s="59">
        <f>ROUND((D182*E182+F182*G182)/1000*H182,3)</f>
        <v>0</v>
      </c>
    </row>
    <row r="183" spans="2:9" ht="18" customHeight="1">
      <c r="B183" s="648"/>
      <c r="C183" s="651"/>
      <c r="D183" s="250"/>
      <c r="E183" s="250"/>
      <c r="F183" s="250"/>
      <c r="G183" s="250"/>
      <c r="H183" s="28">
        <f>H182</f>
        <v>1.5629999999999999</v>
      </c>
      <c r="I183" s="59">
        <f>ROUND((D183*E183+F183*G183)/1000*H183,3)</f>
        <v>0</v>
      </c>
    </row>
    <row r="184" spans="2:9" ht="18" customHeight="1">
      <c r="B184" s="48" t="s">
        <v>42</v>
      </c>
      <c r="C184" s="49">
        <f>SUMPRODUCT(D181:D183*E181:E183+F181:F183*G181:G183)/1000</f>
        <v>0</v>
      </c>
      <c r="D184" s="50" t="s">
        <v>43</v>
      </c>
      <c r="E184" s="49">
        <f>SUM(I181:I183)*1.1</f>
        <v>0</v>
      </c>
      <c r="F184" s="50" t="s">
        <v>44</v>
      </c>
      <c r="G184" s="51">
        <f>(C$218+C$219)/1000</f>
        <v>46.081499999999998</v>
      </c>
      <c r="H184" s="52" t="s">
        <v>45</v>
      </c>
      <c r="I184" s="53">
        <f>ROUND(E184*G184,2)</f>
        <v>0</v>
      </c>
    </row>
    <row r="185" spans="2:9" ht="18" customHeight="1">
      <c r="B185" s="48" t="s">
        <v>46</v>
      </c>
      <c r="C185" s="50">
        <v>105.66</v>
      </c>
      <c r="D185" s="50" t="s">
        <v>47</v>
      </c>
      <c r="E185" s="49">
        <f>ROUND(C184*(C185/1000),2)</f>
        <v>0</v>
      </c>
      <c r="F185" s="50" t="s">
        <v>48</v>
      </c>
      <c r="G185" s="50">
        <f>G$23</f>
        <v>10</v>
      </c>
      <c r="H185" s="52" t="s">
        <v>49</v>
      </c>
      <c r="I185" s="53">
        <f>E185*G185</f>
        <v>0</v>
      </c>
    </row>
    <row r="186" spans="2:9" ht="18" customHeight="1">
      <c r="B186" s="48" t="s">
        <v>50</v>
      </c>
      <c r="C186" s="50">
        <v>125.66</v>
      </c>
      <c r="D186" s="50" t="s">
        <v>51</v>
      </c>
      <c r="E186" s="49">
        <f>ROUND(C184*(C186/1000),2)</f>
        <v>0</v>
      </c>
      <c r="F186" s="50" t="s">
        <v>48</v>
      </c>
      <c r="G186" s="50">
        <f>G$24</f>
        <v>10</v>
      </c>
      <c r="H186" s="52" t="s">
        <v>49</v>
      </c>
      <c r="I186" s="53">
        <f>E186*G186</f>
        <v>0</v>
      </c>
    </row>
    <row r="187" spans="2:9" ht="18" customHeight="1">
      <c r="B187" s="23" t="s">
        <v>36</v>
      </c>
      <c r="C187" s="252" t="s">
        <v>14</v>
      </c>
      <c r="D187" s="252" t="s">
        <v>37</v>
      </c>
      <c r="E187" s="252" t="s">
        <v>71</v>
      </c>
      <c r="F187" s="252" t="s">
        <v>38</v>
      </c>
      <c r="G187" s="252" t="s">
        <v>72</v>
      </c>
      <c r="H187" s="252" t="s">
        <v>22</v>
      </c>
      <c r="I187" s="25" t="s">
        <v>40</v>
      </c>
    </row>
    <row r="188" spans="2:9" ht="18" customHeight="1">
      <c r="B188" s="648" t="s">
        <v>106</v>
      </c>
      <c r="C188" s="649" t="s">
        <v>107</v>
      </c>
      <c r="D188" s="250"/>
      <c r="E188" s="250"/>
      <c r="F188" s="250"/>
      <c r="G188" s="250"/>
      <c r="H188" s="28">
        <v>1.732</v>
      </c>
      <c r="I188" s="59">
        <f>ROUND((D188*E188+F188*G188)/1000*H188,3)</f>
        <v>0</v>
      </c>
    </row>
    <row r="189" spans="2:9" ht="18" customHeight="1">
      <c r="B189" s="648"/>
      <c r="C189" s="650"/>
      <c r="D189" s="250"/>
      <c r="E189" s="250"/>
      <c r="F189" s="250"/>
      <c r="G189" s="250"/>
      <c r="H189" s="28">
        <f>H188</f>
        <v>1.732</v>
      </c>
      <c r="I189" s="59">
        <f>ROUND((D189*E189+F189*G189)/1000*H189,3)</f>
        <v>0</v>
      </c>
    </row>
    <row r="190" spans="2:9" ht="18" customHeight="1">
      <c r="B190" s="648"/>
      <c r="C190" s="651"/>
      <c r="D190" s="250"/>
      <c r="E190" s="250"/>
      <c r="F190" s="250">
        <f>E6</f>
        <v>1620</v>
      </c>
      <c r="G190" s="250"/>
      <c r="H190" s="28">
        <f>H189</f>
        <v>1.732</v>
      </c>
      <c r="I190" s="59">
        <f>ROUND((D190*E190+F190*G190)/1000*H190,3)</f>
        <v>0</v>
      </c>
    </row>
    <row r="191" spans="2:9" ht="18" customHeight="1">
      <c r="B191" s="48" t="s">
        <v>42</v>
      </c>
      <c r="C191" s="49">
        <f>SUMPRODUCT(D188:D190*E188:E190+F188:F190*G188:G190)/1000</f>
        <v>0</v>
      </c>
      <c r="D191" s="50" t="s">
        <v>43</v>
      </c>
      <c r="E191" s="49">
        <f>SUM(I188:I190)*1.1</f>
        <v>0</v>
      </c>
      <c r="F191" s="50" t="s">
        <v>44</v>
      </c>
      <c r="G191" s="51">
        <f>(C$218+C$219)/1000</f>
        <v>46.081499999999998</v>
      </c>
      <c r="H191" s="52" t="s">
        <v>45</v>
      </c>
      <c r="I191" s="53">
        <f>ROUND(E191*G191,2)</f>
        <v>0</v>
      </c>
    </row>
    <row r="192" spans="2:9" ht="18" customHeight="1">
      <c r="B192" s="48" t="s">
        <v>46</v>
      </c>
      <c r="C192" s="50">
        <v>105.66</v>
      </c>
      <c r="D192" s="50" t="s">
        <v>47</v>
      </c>
      <c r="E192" s="49">
        <f>ROUND(C191*(C192/1000),2)</f>
        <v>0</v>
      </c>
      <c r="F192" s="50" t="s">
        <v>48</v>
      </c>
      <c r="G192" s="50">
        <f>G$23</f>
        <v>10</v>
      </c>
      <c r="H192" s="52" t="s">
        <v>49</v>
      </c>
      <c r="I192" s="53">
        <f>E192*G192</f>
        <v>0</v>
      </c>
    </row>
    <row r="193" spans="2:15" ht="18" customHeight="1">
      <c r="B193" s="48" t="s">
        <v>50</v>
      </c>
      <c r="C193" s="50">
        <v>125.66</v>
      </c>
      <c r="D193" s="50" t="s">
        <v>51</v>
      </c>
      <c r="E193" s="49">
        <f>ROUND(C191*(C193/1000),2)</f>
        <v>0</v>
      </c>
      <c r="F193" s="50" t="s">
        <v>48</v>
      </c>
      <c r="G193" s="50">
        <f>G$24</f>
        <v>10</v>
      </c>
      <c r="H193" s="52" t="s">
        <v>49</v>
      </c>
      <c r="I193" s="53">
        <f>E193*G193</f>
        <v>0</v>
      </c>
    </row>
    <row r="194" spans="2:15" ht="18" customHeight="1">
      <c r="B194" s="23" t="s">
        <v>36</v>
      </c>
      <c r="C194" s="252" t="s">
        <v>14</v>
      </c>
      <c r="D194" s="652" t="s">
        <v>38</v>
      </c>
      <c r="E194" s="652"/>
      <c r="F194" s="652"/>
      <c r="G194" s="252" t="s">
        <v>72</v>
      </c>
      <c r="H194" s="252" t="s">
        <v>22</v>
      </c>
      <c r="I194" s="25" t="s">
        <v>40</v>
      </c>
    </row>
    <row r="195" spans="2:15" ht="18" customHeight="1">
      <c r="B195" s="643" t="s">
        <v>108</v>
      </c>
      <c r="C195" s="645" t="s">
        <v>109</v>
      </c>
      <c r="D195" s="646"/>
      <c r="E195" s="646"/>
      <c r="F195" s="646"/>
      <c r="G195" s="250"/>
      <c r="H195" s="250">
        <v>1.796</v>
      </c>
      <c r="I195" s="59">
        <f>ROUND((D195*G195*H195)/1000,3)</f>
        <v>0</v>
      </c>
    </row>
    <row r="196" spans="2:15" ht="18" customHeight="1">
      <c r="B196" s="644"/>
      <c r="C196" s="640"/>
      <c r="D196" s="646"/>
      <c r="E196" s="646"/>
      <c r="F196" s="646"/>
      <c r="G196" s="250"/>
      <c r="H196" s="250">
        <f>H195</f>
        <v>1.796</v>
      </c>
      <c r="I196" s="59">
        <f>ROUND((D196*G196*H196)/1000,3)</f>
        <v>0</v>
      </c>
    </row>
    <row r="197" spans="2:15" ht="18" customHeight="1">
      <c r="B197" s="643" t="s">
        <v>110</v>
      </c>
      <c r="C197" s="645" t="s">
        <v>111</v>
      </c>
      <c r="D197" s="646"/>
      <c r="E197" s="646"/>
      <c r="F197" s="646"/>
      <c r="G197" s="250"/>
      <c r="H197" s="250">
        <v>1.355</v>
      </c>
      <c r="I197" s="59"/>
    </row>
    <row r="198" spans="2:15" ht="18" customHeight="1">
      <c r="B198" s="644"/>
      <c r="C198" s="640"/>
      <c r="D198" s="646"/>
      <c r="E198" s="646"/>
      <c r="F198" s="646"/>
      <c r="G198" s="250"/>
      <c r="H198" s="250">
        <f>H197</f>
        <v>1.355</v>
      </c>
      <c r="I198" s="59"/>
    </row>
    <row r="199" spans="2:15" ht="18" customHeight="1">
      <c r="B199" s="48" t="s">
        <v>42</v>
      </c>
      <c r="C199" s="49">
        <f>SUMPRODUCT(D195:F198*G195:G198)/1000</f>
        <v>0</v>
      </c>
      <c r="D199" s="50" t="s">
        <v>43</v>
      </c>
      <c r="E199" s="49">
        <f>SUM(I195:I198)*1.1</f>
        <v>0</v>
      </c>
      <c r="F199" s="50" t="s">
        <v>44</v>
      </c>
      <c r="G199" s="51">
        <f>(C$218+C$219)/1000</f>
        <v>46.081499999999998</v>
      </c>
      <c r="H199" s="52" t="s">
        <v>45</v>
      </c>
      <c r="I199" s="53">
        <f>ROUND(E199*G199,2)</f>
        <v>0</v>
      </c>
    </row>
    <row r="200" spans="2:15" ht="18" customHeight="1">
      <c r="B200" s="48" t="s">
        <v>46</v>
      </c>
      <c r="C200" s="50">
        <v>267.77999999999997</v>
      </c>
      <c r="D200" s="50" t="s">
        <v>47</v>
      </c>
      <c r="E200" s="49">
        <f>ROUND(C199*(C200/1000),2)</f>
        <v>0</v>
      </c>
      <c r="F200" s="50" t="s">
        <v>48</v>
      </c>
      <c r="G200" s="50">
        <f>G$23</f>
        <v>10</v>
      </c>
      <c r="H200" s="52" t="s">
        <v>49</v>
      </c>
      <c r="I200" s="53">
        <f>E200*G200</f>
        <v>0</v>
      </c>
    </row>
    <row r="201" spans="2:15" ht="18" customHeight="1">
      <c r="B201" s="48" t="s">
        <v>50</v>
      </c>
      <c r="C201" s="50">
        <v>104.29</v>
      </c>
      <c r="D201" s="50" t="s">
        <v>51</v>
      </c>
      <c r="E201" s="49">
        <f>ROUND(C199*(C201/1000),2)</f>
        <v>0</v>
      </c>
      <c r="F201" s="50" t="s">
        <v>48</v>
      </c>
      <c r="G201" s="50">
        <f>G$24</f>
        <v>10</v>
      </c>
      <c r="H201" s="52" t="s">
        <v>49</v>
      </c>
      <c r="I201" s="53">
        <f>E201*G201</f>
        <v>0</v>
      </c>
    </row>
    <row r="202" spans="2:15" ht="18" customHeight="1">
      <c r="B202" s="103" t="s">
        <v>112</v>
      </c>
      <c r="C202" s="104" t="s">
        <v>113</v>
      </c>
      <c r="D202" s="104" t="s">
        <v>28</v>
      </c>
      <c r="E202" s="104" t="s">
        <v>8</v>
      </c>
      <c r="F202" s="104" t="s">
        <v>112</v>
      </c>
      <c r="G202" s="104" t="s">
        <v>113</v>
      </c>
      <c r="H202" s="104" t="s">
        <v>28</v>
      </c>
      <c r="I202" s="105" t="s">
        <v>8</v>
      </c>
      <c r="N202" s="106"/>
      <c r="O202" s="102"/>
    </row>
    <row r="203" spans="2:15" ht="18" customHeight="1">
      <c r="B203" s="251" t="s">
        <v>327</v>
      </c>
      <c r="C203" s="107" t="s">
        <v>114</v>
      </c>
      <c r="D203" s="108">
        <v>2.15</v>
      </c>
      <c r="E203" s="253">
        <f>SUM(G14:G21)*4</f>
        <v>4</v>
      </c>
      <c r="F203" s="647" t="s">
        <v>115</v>
      </c>
      <c r="G203" s="107" t="s">
        <v>116</v>
      </c>
      <c r="H203" s="108">
        <v>2.46</v>
      </c>
      <c r="I203" s="247">
        <f>SUM(G108:G111)*4</f>
        <v>0</v>
      </c>
      <c r="J203" s="42"/>
      <c r="N203" s="106"/>
      <c r="O203" s="102"/>
    </row>
    <row r="204" spans="2:15" ht="18" customHeight="1">
      <c r="B204" s="251" t="s">
        <v>328</v>
      </c>
      <c r="C204" s="107" t="s">
        <v>117</v>
      </c>
      <c r="D204" s="108">
        <v>1.72</v>
      </c>
      <c r="E204" s="253">
        <f>E203</f>
        <v>4</v>
      </c>
      <c r="F204" s="646"/>
      <c r="G204" s="107" t="s">
        <v>118</v>
      </c>
      <c r="H204" s="108">
        <v>3.11</v>
      </c>
      <c r="I204" s="247">
        <f>I203</f>
        <v>0</v>
      </c>
      <c r="J204" s="42"/>
      <c r="N204" s="106"/>
      <c r="O204" s="102"/>
    </row>
    <row r="205" spans="2:15" ht="18" customHeight="1">
      <c r="B205" s="109" t="s">
        <v>330</v>
      </c>
      <c r="C205" s="107" t="s">
        <v>119</v>
      </c>
      <c r="D205" s="108">
        <v>2.68</v>
      </c>
      <c r="E205" s="253">
        <f>SUM(G26:G30)*4</f>
        <v>0</v>
      </c>
      <c r="F205" s="110" t="s">
        <v>120</v>
      </c>
      <c r="G205" s="107" t="s">
        <v>121</v>
      </c>
      <c r="H205" s="111">
        <v>4.76</v>
      </c>
      <c r="I205" s="247">
        <f>SUM(G123:G125)*4</f>
        <v>0</v>
      </c>
      <c r="J205" s="42"/>
      <c r="N205" s="106"/>
      <c r="O205" s="102"/>
    </row>
    <row r="206" spans="2:15" ht="18" customHeight="1">
      <c r="B206" s="109" t="s">
        <v>329</v>
      </c>
      <c r="C206" s="107" t="s">
        <v>122</v>
      </c>
      <c r="D206" s="108">
        <v>1.27</v>
      </c>
      <c r="E206" s="253">
        <f>E205</f>
        <v>0</v>
      </c>
      <c r="F206" s="110" t="s">
        <v>123</v>
      </c>
      <c r="G206" s="107" t="s">
        <v>124</v>
      </c>
      <c r="H206" s="111">
        <v>3.85</v>
      </c>
      <c r="I206" s="247">
        <f>I205</f>
        <v>0</v>
      </c>
      <c r="J206" s="42"/>
      <c r="N206" s="106"/>
      <c r="O206" s="102"/>
    </row>
    <row r="207" spans="2:15" ht="18" customHeight="1">
      <c r="B207" s="109" t="s">
        <v>331</v>
      </c>
      <c r="C207" s="107" t="s">
        <v>125</v>
      </c>
      <c r="D207" s="111" t="s">
        <v>126</v>
      </c>
      <c r="E207" s="253">
        <f>SUM(G35:G37)*4</f>
        <v>0</v>
      </c>
      <c r="F207" s="110" t="s">
        <v>127</v>
      </c>
      <c r="G207" s="107" t="s">
        <v>128</v>
      </c>
      <c r="H207" s="111">
        <v>4.29</v>
      </c>
      <c r="I207" s="247">
        <f>SUM(G116:G118)*4</f>
        <v>0</v>
      </c>
      <c r="J207" s="42"/>
      <c r="N207" s="106"/>
      <c r="O207" s="102"/>
    </row>
    <row r="208" spans="2:15" ht="18" customHeight="1">
      <c r="B208" s="109" t="s">
        <v>332</v>
      </c>
      <c r="C208" s="107" t="s">
        <v>129</v>
      </c>
      <c r="D208" s="111" t="s">
        <v>130</v>
      </c>
      <c r="E208" s="253">
        <f>E207</f>
        <v>0</v>
      </c>
      <c r="F208" s="110" t="s">
        <v>131</v>
      </c>
      <c r="G208" s="107" t="s">
        <v>132</v>
      </c>
      <c r="H208" s="111">
        <v>4.5</v>
      </c>
      <c r="I208" s="247">
        <f>I207</f>
        <v>0</v>
      </c>
      <c r="J208" s="42"/>
      <c r="N208" s="106"/>
      <c r="O208" s="102"/>
    </row>
    <row r="209" spans="2:15" ht="18" customHeight="1">
      <c r="B209" s="249" t="s">
        <v>333</v>
      </c>
      <c r="C209" s="250">
        <v>12.6</v>
      </c>
      <c r="D209" s="111">
        <v>1.32</v>
      </c>
      <c r="E209" s="253">
        <f>SUM(G42:G47)*4</f>
        <v>0</v>
      </c>
      <c r="F209" s="639"/>
      <c r="G209" s="107"/>
      <c r="H209" s="28"/>
      <c r="I209" s="247"/>
      <c r="N209" s="106"/>
      <c r="O209" s="102"/>
    </row>
    <row r="210" spans="2:15" ht="18" customHeight="1">
      <c r="B210" s="249" t="s">
        <v>334</v>
      </c>
      <c r="C210" s="250">
        <v>15.8</v>
      </c>
      <c r="D210" s="111">
        <v>1.18</v>
      </c>
      <c r="E210" s="253">
        <f>E209</f>
        <v>0</v>
      </c>
      <c r="F210" s="640"/>
      <c r="G210" s="107"/>
      <c r="H210" s="28"/>
      <c r="I210" s="231"/>
      <c r="N210" s="106"/>
      <c r="O210" s="102"/>
    </row>
    <row r="211" spans="2:15" ht="18" customHeight="1">
      <c r="B211" s="251" t="s">
        <v>335</v>
      </c>
      <c r="C211" s="107" t="s">
        <v>337</v>
      </c>
      <c r="D211" s="111">
        <v>2.81</v>
      </c>
      <c r="E211" s="250">
        <f>SUM(E52+E53+E54+E55+G52+G53+G54+G55+G60+G61+G62+G63)*2</f>
        <v>2</v>
      </c>
      <c r="F211" s="641" t="s">
        <v>133</v>
      </c>
      <c r="G211" s="111">
        <f>SUMPRODUCT(D35:D37,G35:G37)/1000</f>
        <v>0</v>
      </c>
      <c r="H211" s="28">
        <v>0.16</v>
      </c>
      <c r="I211" s="232">
        <f>G211*H211</f>
        <v>0</v>
      </c>
      <c r="N211" s="106"/>
      <c r="O211" s="102"/>
    </row>
    <row r="212" spans="2:15" ht="18" customHeight="1">
      <c r="B212" s="251" t="s">
        <v>336</v>
      </c>
      <c r="C212" s="107" t="s">
        <v>338</v>
      </c>
      <c r="D212" s="111">
        <v>3.51</v>
      </c>
      <c r="E212" s="250">
        <f>E211</f>
        <v>2</v>
      </c>
      <c r="F212" s="641"/>
      <c r="G212" s="111">
        <f>SUMPRODUCT(D26:D30,G26:G30)/1000</f>
        <v>0</v>
      </c>
      <c r="H212" s="28">
        <v>0.16</v>
      </c>
      <c r="I212" s="232">
        <f>G212*H212</f>
        <v>0</v>
      </c>
      <c r="N212" s="106"/>
      <c r="O212" s="102"/>
    </row>
    <row r="213" spans="2:15" ht="18" customHeight="1">
      <c r="B213" s="251" t="s">
        <v>134</v>
      </c>
      <c r="C213" s="250">
        <v>30.6</v>
      </c>
      <c r="D213" s="111">
        <v>2.81</v>
      </c>
      <c r="E213" s="253">
        <f>SUM(+E130+E131+E132+G130+G131+G132)*2</f>
        <v>0</v>
      </c>
      <c r="F213" s="641" t="s">
        <v>135</v>
      </c>
      <c r="G213" s="111">
        <f>SUMPRODUCT(E26:E30,G26:G30)/1000</f>
        <v>0</v>
      </c>
      <c r="H213" s="28">
        <v>0.16</v>
      </c>
      <c r="I213" s="232">
        <f>G213*H213</f>
        <v>0</v>
      </c>
      <c r="N213" s="106"/>
      <c r="O213" s="102"/>
    </row>
    <row r="214" spans="2:15" ht="18" customHeight="1">
      <c r="B214" s="251" t="s">
        <v>136</v>
      </c>
      <c r="C214" s="250">
        <v>30.6</v>
      </c>
      <c r="D214" s="111">
        <v>3.51</v>
      </c>
      <c r="E214" s="253">
        <f>E213</f>
        <v>0</v>
      </c>
      <c r="F214" s="641"/>
      <c r="G214" s="111">
        <f>SUMPRODUCT(E35:E37,G35:G37)/1000</f>
        <v>0</v>
      </c>
      <c r="H214" s="28">
        <v>0.16</v>
      </c>
      <c r="I214" s="232">
        <f>G214*H214</f>
        <v>0</v>
      </c>
      <c r="N214" s="106"/>
      <c r="O214" s="102"/>
    </row>
    <row r="215" spans="2:15" ht="18" customHeight="1">
      <c r="B215" s="52" t="s">
        <v>137</v>
      </c>
      <c r="C215" s="112" cm="1">
        <f t="array" ref="C215">SUMPRODUCT(D203:D214*E203:E214)+SUMPRODUCT(H203:H210*I203:I210)</f>
        <v>28.12</v>
      </c>
      <c r="D215" s="52"/>
      <c r="E215" s="52"/>
      <c r="F215" s="52"/>
      <c r="G215" s="52" t="s">
        <v>138</v>
      </c>
      <c r="H215" s="52" cm="1">
        <f t="array" ref="H215">SUMPRODUCT(G211:G214*H211:H214)</f>
        <v>0</v>
      </c>
      <c r="I215" s="233">
        <f>H215*1.08</f>
        <v>0</v>
      </c>
      <c r="N215" s="106"/>
      <c r="O215" s="102"/>
    </row>
    <row r="216" spans="2:15" ht="18" customHeight="1">
      <c r="B216" s="23" t="s">
        <v>139</v>
      </c>
      <c r="C216" s="252" t="s">
        <v>14</v>
      </c>
      <c r="D216" s="252" t="s">
        <v>22</v>
      </c>
      <c r="E216" s="252" t="s">
        <v>8</v>
      </c>
      <c r="F216" s="252" t="s">
        <v>113</v>
      </c>
      <c r="G216" s="252" t="s">
        <v>40</v>
      </c>
      <c r="H216" s="252" t="s">
        <v>28</v>
      </c>
      <c r="I216" s="25" t="s">
        <v>29</v>
      </c>
      <c r="N216" s="106"/>
      <c r="O216" s="102"/>
    </row>
    <row r="217" spans="2:15" ht="18" customHeight="1">
      <c r="B217" s="48" t="s">
        <v>140</v>
      </c>
      <c r="C217" s="52" t="s">
        <v>141</v>
      </c>
      <c r="D217" s="50">
        <v>0.14199999999999999</v>
      </c>
      <c r="E217" s="50">
        <v>1</v>
      </c>
      <c r="F217" s="50">
        <f>D6</f>
        <v>1320</v>
      </c>
      <c r="G217" s="128">
        <f>D217*F217*E217/1000*1.1</f>
        <v>0.20618399999999998</v>
      </c>
      <c r="H217" s="52">
        <f>(C218+C222)/1000</f>
        <v>39.781500000000001</v>
      </c>
      <c r="I217" s="193">
        <f>G217*H217</f>
        <v>8.2023087959999987</v>
      </c>
      <c r="N217" s="106"/>
      <c r="O217" s="102"/>
    </row>
    <row r="218" spans="2:15" ht="18" customHeight="1">
      <c r="B218" s="37" t="s">
        <v>142</v>
      </c>
      <c r="C218" s="113">
        <f>材料价格!B4</f>
        <v>22081.5</v>
      </c>
      <c r="D218" s="39" t="s">
        <v>143</v>
      </c>
      <c r="E218" s="114">
        <f>E139+E133+E126+E119+E112+E199+E177+E64+E56+E48+E38+E31+E22+E184+E191</f>
        <v>31.361000000000004</v>
      </c>
      <c r="F218" s="39" t="s">
        <v>144</v>
      </c>
      <c r="G218" s="115">
        <f>I218/E218-C218/1000</f>
        <v>23.999938729632341</v>
      </c>
      <c r="H218" s="39" t="s">
        <v>145</v>
      </c>
      <c r="I218" s="116">
        <f>I22+I31+I38+I48+I56+I64+I199+I112+I119+I126+I133+I139+I177+I184+I191</f>
        <v>1445.16</v>
      </c>
      <c r="N218" s="106"/>
      <c r="O218" s="102"/>
    </row>
    <row r="219" spans="2:15" ht="18" customHeight="1">
      <c r="B219" s="117" t="s">
        <v>146</v>
      </c>
      <c r="C219" s="118">
        <f>材料价格!B5</f>
        <v>24000</v>
      </c>
      <c r="D219" s="39" t="s">
        <v>147</v>
      </c>
      <c r="E219" s="114">
        <f>E163+E153+E146+E104+E97+E88+G217+E170</f>
        <v>4.4521840000000008</v>
      </c>
      <c r="F219" s="39" t="s">
        <v>148</v>
      </c>
      <c r="G219" s="119">
        <f>I219/E219-C218/1000</f>
        <v>17.699494854660088</v>
      </c>
      <c r="H219" s="39" t="s">
        <v>149</v>
      </c>
      <c r="I219" s="116">
        <f>I88+I97+I104+I146+I153+I163+I217+I170</f>
        <v>177.11230879600001</v>
      </c>
      <c r="N219" s="106"/>
      <c r="O219" s="102"/>
    </row>
    <row r="220" spans="2:15" ht="18" customHeight="1">
      <c r="B220" s="117" t="s">
        <v>150</v>
      </c>
      <c r="C220" s="118">
        <f>C219</f>
        <v>24000</v>
      </c>
      <c r="D220" s="39" t="s">
        <v>151</v>
      </c>
      <c r="E220" s="120">
        <f>I215</f>
        <v>0</v>
      </c>
      <c r="F220" s="39" t="s">
        <v>152</v>
      </c>
      <c r="G220" s="119" t="e">
        <f>I220/E220-C218/1000</f>
        <v>#DIV/0!</v>
      </c>
      <c r="H220" s="39" t="s">
        <v>153</v>
      </c>
      <c r="I220" s="116">
        <f>ROUND(E220*(C218+C223)/1000,2)</f>
        <v>0</v>
      </c>
      <c r="N220" s="106"/>
      <c r="O220" s="102"/>
    </row>
    <row r="221" spans="2:15" ht="18" customHeight="1">
      <c r="B221" s="117" t="s">
        <v>154</v>
      </c>
      <c r="C221" s="121">
        <f>C220</f>
        <v>24000</v>
      </c>
      <c r="D221" s="39" t="s">
        <v>155</v>
      </c>
      <c r="E221" s="39"/>
      <c r="F221" s="39" t="s">
        <v>156</v>
      </c>
      <c r="G221" s="39"/>
      <c r="H221" s="39" t="s">
        <v>49</v>
      </c>
      <c r="I221" s="116">
        <f>E221*G221</f>
        <v>0</v>
      </c>
      <c r="J221" s="42"/>
      <c r="K221" s="255"/>
    </row>
    <row r="222" spans="2:15" ht="18" customHeight="1">
      <c r="B222" s="117" t="s">
        <v>148</v>
      </c>
      <c r="C222" s="122">
        <f>材料价格!B6</f>
        <v>17700</v>
      </c>
      <c r="D222" s="39" t="s">
        <v>157</v>
      </c>
      <c r="E222" s="39"/>
      <c r="F222" s="39" t="s">
        <v>156</v>
      </c>
      <c r="G222" s="39"/>
      <c r="H222" s="39" t="s">
        <v>49</v>
      </c>
      <c r="I222" s="116">
        <f>E222*G222</f>
        <v>0</v>
      </c>
      <c r="J222" s="123"/>
      <c r="K222" s="123"/>
      <c r="L222" s="123"/>
    </row>
    <row r="223" spans="2:15" ht="18" customHeight="1">
      <c r="B223" s="117" t="s">
        <v>152</v>
      </c>
      <c r="C223" s="122">
        <f>材料价格!B9</f>
        <v>2900</v>
      </c>
      <c r="D223" s="39" t="s">
        <v>158</v>
      </c>
      <c r="E223" s="114">
        <f>SUM(E218:E220)</f>
        <v>35.813184000000007</v>
      </c>
      <c r="F223" s="39"/>
      <c r="G223" s="39" t="s">
        <v>339</v>
      </c>
      <c r="H223" s="39"/>
      <c r="I223" s="234">
        <f>SUM(I218:I222)+C215</f>
        <v>1650.392308796</v>
      </c>
      <c r="J223" s="123"/>
      <c r="K223" s="123"/>
      <c r="L223" s="123"/>
    </row>
    <row r="224" spans="2:15" ht="18" customHeight="1">
      <c r="B224" s="23" t="s">
        <v>159</v>
      </c>
      <c r="C224" s="252" t="s">
        <v>113</v>
      </c>
      <c r="D224" s="252" t="s">
        <v>16</v>
      </c>
      <c r="E224" s="252" t="s">
        <v>7</v>
      </c>
      <c r="F224" s="252" t="s">
        <v>8</v>
      </c>
      <c r="G224" s="252" t="s">
        <v>28</v>
      </c>
      <c r="H224" s="252" t="s">
        <v>160</v>
      </c>
      <c r="I224" s="25" t="s">
        <v>1</v>
      </c>
      <c r="J224" s="255"/>
      <c r="K224" s="255"/>
      <c r="L224" s="255"/>
      <c r="M224" s="255"/>
    </row>
    <row r="225" spans="2:13" ht="18" customHeight="1">
      <c r="B225" s="124" t="str">
        <f>材料价格!A10</f>
        <v>6单银Low-E+12A+6</v>
      </c>
      <c r="C225" s="253">
        <f t="shared" ref="C225:D229" si="25">D92</f>
        <v>-90</v>
      </c>
      <c r="D225" s="253">
        <f t="shared" si="25"/>
        <v>-90</v>
      </c>
      <c r="E225" s="32">
        <f>C225*D225/10^6</f>
        <v>8.0999999999999996E-3</v>
      </c>
      <c r="F225" s="250">
        <f>G26</f>
        <v>0</v>
      </c>
      <c r="G225" s="125">
        <f>材料价格!B10</f>
        <v>148</v>
      </c>
      <c r="H225" s="250">
        <f>ROUND(E225*G225*F225,2)</f>
        <v>0</v>
      </c>
      <c r="I225" s="247" t="s">
        <v>161</v>
      </c>
      <c r="J225" s="255"/>
      <c r="K225" s="255"/>
      <c r="L225" s="255"/>
      <c r="M225" s="255"/>
    </row>
    <row r="226" spans="2:13" ht="18" customHeight="1">
      <c r="B226" s="124" t="str">
        <f t="shared" ref="B226:B232" si="26">B225</f>
        <v>6单银Low-E+12A+6</v>
      </c>
      <c r="C226" s="253">
        <f t="shared" si="25"/>
        <v>-90</v>
      </c>
      <c r="D226" s="253">
        <f t="shared" si="25"/>
        <v>-90</v>
      </c>
      <c r="E226" s="32">
        <f t="shared" ref="E226:E284" si="27">C226*D226/10^6</f>
        <v>8.0999999999999996E-3</v>
      </c>
      <c r="F226" s="250">
        <f>G27</f>
        <v>0</v>
      </c>
      <c r="G226" s="126">
        <f t="shared" ref="G226:G232" si="28">G225</f>
        <v>148</v>
      </c>
      <c r="H226" s="250">
        <f t="shared" ref="H226:H241" si="29">ROUND(E226*G226*F226,2)</f>
        <v>0</v>
      </c>
      <c r="I226" s="247" t="s">
        <v>162</v>
      </c>
      <c r="J226" s="255"/>
      <c r="K226" s="255"/>
      <c r="L226" s="255"/>
      <c r="M226" s="255"/>
    </row>
    <row r="227" spans="2:13" ht="18" customHeight="1">
      <c r="B227" s="124" t="str">
        <f t="shared" si="26"/>
        <v>6单银Low-E+12A+6</v>
      </c>
      <c r="C227" s="253">
        <f t="shared" si="25"/>
        <v>-90</v>
      </c>
      <c r="D227" s="253">
        <f t="shared" si="25"/>
        <v>-90</v>
      </c>
      <c r="E227" s="32">
        <f t="shared" si="27"/>
        <v>8.0999999999999996E-3</v>
      </c>
      <c r="F227" s="250">
        <f>G28</f>
        <v>0</v>
      </c>
      <c r="G227" s="126">
        <f t="shared" si="28"/>
        <v>148</v>
      </c>
      <c r="H227" s="250">
        <f t="shared" si="29"/>
        <v>0</v>
      </c>
      <c r="I227" s="247" t="s">
        <v>162</v>
      </c>
      <c r="J227" s="255"/>
      <c r="K227" s="255"/>
      <c r="L227" s="255"/>
      <c r="M227" s="255"/>
    </row>
    <row r="228" spans="2:13" ht="18" customHeight="1">
      <c r="B228" s="124" t="str">
        <f t="shared" si="26"/>
        <v>6单银Low-E+12A+6</v>
      </c>
      <c r="C228" s="253">
        <f t="shared" si="25"/>
        <v>-90</v>
      </c>
      <c r="D228" s="253">
        <f t="shared" si="25"/>
        <v>-90</v>
      </c>
      <c r="E228" s="32">
        <f t="shared" si="27"/>
        <v>8.0999999999999996E-3</v>
      </c>
      <c r="F228" s="250">
        <f>G29</f>
        <v>0</v>
      </c>
      <c r="G228" s="126">
        <f t="shared" si="28"/>
        <v>148</v>
      </c>
      <c r="H228" s="250">
        <f t="shared" si="29"/>
        <v>0</v>
      </c>
      <c r="I228" s="247" t="s">
        <v>162</v>
      </c>
      <c r="J228" s="255"/>
      <c r="K228" s="255"/>
      <c r="L228" s="255"/>
      <c r="M228" s="255"/>
    </row>
    <row r="229" spans="2:13" ht="18" customHeight="1">
      <c r="B229" s="124" t="str">
        <f t="shared" si="26"/>
        <v>6单银Low-E+12A+6</v>
      </c>
      <c r="C229" s="253">
        <f t="shared" si="25"/>
        <v>-90</v>
      </c>
      <c r="D229" s="253">
        <f t="shared" si="25"/>
        <v>-90</v>
      </c>
      <c r="E229" s="32">
        <f t="shared" si="27"/>
        <v>8.0999999999999996E-3</v>
      </c>
      <c r="F229" s="250">
        <f>G30</f>
        <v>0</v>
      </c>
      <c r="G229" s="126">
        <f t="shared" si="28"/>
        <v>148</v>
      </c>
      <c r="H229" s="250">
        <f t="shared" si="29"/>
        <v>0</v>
      </c>
      <c r="I229" s="247" t="s">
        <v>162</v>
      </c>
      <c r="J229" s="123"/>
      <c r="K229" s="123"/>
      <c r="L229" s="123"/>
    </row>
    <row r="230" spans="2:13" ht="18" customHeight="1">
      <c r="B230" s="124" t="str">
        <f t="shared" si="26"/>
        <v>6单银Low-E+12A+6</v>
      </c>
      <c r="C230" s="253">
        <f t="shared" ref="C230:D232" si="30">D101</f>
        <v>-122</v>
      </c>
      <c r="D230" s="253">
        <f t="shared" si="30"/>
        <v>-122</v>
      </c>
      <c r="E230" s="32">
        <f t="shared" si="27"/>
        <v>1.4884E-2</v>
      </c>
      <c r="F230" s="250">
        <f>G101</f>
        <v>0</v>
      </c>
      <c r="G230" s="126">
        <f t="shared" si="28"/>
        <v>148</v>
      </c>
      <c r="H230" s="250">
        <f t="shared" si="29"/>
        <v>0</v>
      </c>
      <c r="I230" s="127" t="s">
        <v>163</v>
      </c>
      <c r="J230" s="123"/>
      <c r="K230" s="123"/>
      <c r="L230" s="123"/>
    </row>
    <row r="231" spans="2:13" ht="18" customHeight="1">
      <c r="B231" s="124" t="str">
        <f t="shared" si="26"/>
        <v>6单银Low-E+12A+6</v>
      </c>
      <c r="C231" s="253">
        <f t="shared" si="30"/>
        <v>-122</v>
      </c>
      <c r="D231" s="253">
        <f t="shared" si="30"/>
        <v>-122</v>
      </c>
      <c r="E231" s="32">
        <f t="shared" si="27"/>
        <v>1.4884E-2</v>
      </c>
      <c r="F231" s="250">
        <f>G102</f>
        <v>0</v>
      </c>
      <c r="G231" s="126">
        <f t="shared" si="28"/>
        <v>148</v>
      </c>
      <c r="H231" s="250">
        <f t="shared" si="29"/>
        <v>0</v>
      </c>
      <c r="I231" s="127" t="s">
        <v>163</v>
      </c>
    </row>
    <row r="232" spans="2:13" ht="18" customHeight="1">
      <c r="B232" s="124" t="str">
        <f t="shared" si="26"/>
        <v>6单银Low-E+12A+6</v>
      </c>
      <c r="C232" s="253">
        <f t="shared" si="30"/>
        <v>-122</v>
      </c>
      <c r="D232" s="253">
        <f t="shared" si="30"/>
        <v>-122</v>
      </c>
      <c r="E232" s="32">
        <f t="shared" si="27"/>
        <v>1.4884E-2</v>
      </c>
      <c r="F232" s="250">
        <f>G103</f>
        <v>0</v>
      </c>
      <c r="G232" s="126">
        <f t="shared" si="28"/>
        <v>148</v>
      </c>
      <c r="H232" s="250">
        <f t="shared" si="29"/>
        <v>0</v>
      </c>
      <c r="I232" s="127" t="s">
        <v>163</v>
      </c>
    </row>
    <row r="233" spans="2:13" ht="18" customHeight="1">
      <c r="B233" s="48" t="s">
        <v>164</v>
      </c>
      <c r="C233" s="52"/>
      <c r="D233" s="50"/>
      <c r="E233" s="128"/>
      <c r="F233" s="50">
        <f>SUM(F225:F232)</f>
        <v>0</v>
      </c>
      <c r="G233" s="50"/>
      <c r="H233" s="52">
        <f>SUM(H225:H232)</f>
        <v>0</v>
      </c>
      <c r="I233" s="53">
        <f>ROUND((E225*F225+E226*F226+E227*F227+E228*F228+E229*F229+E230*F230+E231*F231+E232*F232),2)</f>
        <v>0</v>
      </c>
    </row>
    <row r="234" spans="2:13" ht="18" customHeight="1">
      <c r="B234" s="124" t="str">
        <f>B232</f>
        <v>6单银Low-E+12A+6</v>
      </c>
      <c r="C234" s="253">
        <f>C225</f>
        <v>-90</v>
      </c>
      <c r="D234" s="253">
        <f>D225</f>
        <v>-90</v>
      </c>
      <c r="E234" s="32">
        <f t="shared" si="27"/>
        <v>8.0999999999999996E-3</v>
      </c>
      <c r="F234" s="250">
        <f>IF(F225=0,G26,0)</f>
        <v>0</v>
      </c>
      <c r="G234" s="126">
        <f>G232</f>
        <v>148</v>
      </c>
      <c r="H234" s="250">
        <f t="shared" si="29"/>
        <v>0</v>
      </c>
      <c r="I234" s="247" t="s">
        <v>165</v>
      </c>
      <c r="J234" s="129"/>
    </row>
    <row r="235" spans="2:13" ht="18" customHeight="1">
      <c r="B235" s="124" t="str">
        <f t="shared" ref="B235:B241" si="31">B234</f>
        <v>6单银Low-E+12A+6</v>
      </c>
      <c r="C235" s="253">
        <f t="shared" ref="C235:D241" si="32">C226</f>
        <v>-90</v>
      </c>
      <c r="D235" s="253">
        <f t="shared" si="32"/>
        <v>-90</v>
      </c>
      <c r="E235" s="32">
        <f t="shared" si="27"/>
        <v>8.0999999999999996E-3</v>
      </c>
      <c r="F235" s="250">
        <f>IF(F226=0,G27,0)</f>
        <v>0</v>
      </c>
      <c r="G235" s="126">
        <f>G234</f>
        <v>148</v>
      </c>
      <c r="H235" s="250">
        <f t="shared" si="29"/>
        <v>0</v>
      </c>
      <c r="I235" s="247" t="s">
        <v>165</v>
      </c>
      <c r="J235" s="129"/>
    </row>
    <row r="236" spans="2:13" ht="18" customHeight="1">
      <c r="B236" s="124" t="str">
        <f t="shared" si="31"/>
        <v>6单银Low-E+12A+6</v>
      </c>
      <c r="C236" s="253">
        <f t="shared" si="32"/>
        <v>-90</v>
      </c>
      <c r="D236" s="253">
        <f t="shared" si="32"/>
        <v>-90</v>
      </c>
      <c r="E236" s="32">
        <f t="shared" si="27"/>
        <v>8.0999999999999996E-3</v>
      </c>
      <c r="F236" s="250">
        <f>IF(F227=0,G28,0)</f>
        <v>0</v>
      </c>
      <c r="G236" s="126">
        <f t="shared" ref="G236:G241" si="33">G234</f>
        <v>148</v>
      </c>
      <c r="H236" s="250">
        <f t="shared" si="29"/>
        <v>0</v>
      </c>
      <c r="I236" s="247" t="s">
        <v>165</v>
      </c>
      <c r="J236" s="129"/>
    </row>
    <row r="237" spans="2:13" ht="18" customHeight="1">
      <c r="B237" s="124" t="str">
        <f t="shared" si="31"/>
        <v>6单银Low-E+12A+6</v>
      </c>
      <c r="C237" s="253">
        <f t="shared" si="32"/>
        <v>-90</v>
      </c>
      <c r="D237" s="253">
        <f t="shared" si="32"/>
        <v>-90</v>
      </c>
      <c r="E237" s="32">
        <f t="shared" si="27"/>
        <v>8.0999999999999996E-3</v>
      </c>
      <c r="F237" s="250">
        <f>IF(F228=0,G29,0)</f>
        <v>0</v>
      </c>
      <c r="G237" s="126">
        <f t="shared" si="33"/>
        <v>148</v>
      </c>
      <c r="H237" s="250">
        <f t="shared" si="29"/>
        <v>0</v>
      </c>
      <c r="I237" s="247" t="s">
        <v>165</v>
      </c>
      <c r="J237" s="129"/>
    </row>
    <row r="238" spans="2:13" ht="18" customHeight="1">
      <c r="B238" s="124" t="str">
        <f t="shared" si="31"/>
        <v>6单银Low-E+12A+6</v>
      </c>
      <c r="C238" s="253">
        <f t="shared" si="32"/>
        <v>-90</v>
      </c>
      <c r="D238" s="253">
        <f t="shared" si="32"/>
        <v>-90</v>
      </c>
      <c r="E238" s="32">
        <f t="shared" si="27"/>
        <v>8.0999999999999996E-3</v>
      </c>
      <c r="F238" s="250">
        <f>IF(F229=0,G30,0)</f>
        <v>0</v>
      </c>
      <c r="G238" s="126">
        <f t="shared" si="33"/>
        <v>148</v>
      </c>
      <c r="H238" s="250">
        <f t="shared" si="29"/>
        <v>0</v>
      </c>
      <c r="I238" s="247" t="s">
        <v>165</v>
      </c>
      <c r="J238" s="129"/>
    </row>
    <row r="239" spans="2:13" ht="18" customHeight="1">
      <c r="B239" s="124" t="str">
        <f t="shared" si="31"/>
        <v>6单银Low-E+12A+6</v>
      </c>
      <c r="C239" s="253">
        <f t="shared" si="32"/>
        <v>-122</v>
      </c>
      <c r="D239" s="253">
        <f t="shared" si="32"/>
        <v>-122</v>
      </c>
      <c r="E239" s="32">
        <f t="shared" si="27"/>
        <v>1.4884E-2</v>
      </c>
      <c r="F239" s="250">
        <f>IF(F230=0,G35,0)</f>
        <v>0</v>
      </c>
      <c r="G239" s="126">
        <f t="shared" si="33"/>
        <v>148</v>
      </c>
      <c r="H239" s="250">
        <f t="shared" si="29"/>
        <v>0</v>
      </c>
      <c r="I239" s="127" t="s">
        <v>166</v>
      </c>
      <c r="J239" s="129"/>
    </row>
    <row r="240" spans="2:13" ht="18" customHeight="1">
      <c r="B240" s="124" t="str">
        <f t="shared" si="31"/>
        <v>6单银Low-E+12A+6</v>
      </c>
      <c r="C240" s="253">
        <f t="shared" si="32"/>
        <v>-122</v>
      </c>
      <c r="D240" s="253">
        <f t="shared" si="32"/>
        <v>-122</v>
      </c>
      <c r="E240" s="32">
        <f t="shared" si="27"/>
        <v>1.4884E-2</v>
      </c>
      <c r="F240" s="250">
        <f>IF(F231=0,G36,0)</f>
        <v>0</v>
      </c>
      <c r="G240" s="126">
        <f t="shared" si="33"/>
        <v>148</v>
      </c>
      <c r="H240" s="250">
        <f t="shared" si="29"/>
        <v>0</v>
      </c>
      <c r="I240" s="127" t="s">
        <v>166</v>
      </c>
      <c r="J240" s="129"/>
    </row>
    <row r="241" spans="1:16" ht="18" customHeight="1">
      <c r="B241" s="124" t="str">
        <f t="shared" si="31"/>
        <v>6单银Low-E+12A+6</v>
      </c>
      <c r="C241" s="253">
        <f t="shared" si="32"/>
        <v>-122</v>
      </c>
      <c r="D241" s="253">
        <f t="shared" si="32"/>
        <v>-122</v>
      </c>
      <c r="E241" s="32">
        <f t="shared" si="27"/>
        <v>1.4884E-2</v>
      </c>
      <c r="F241" s="250">
        <f>IF(F232=0,G37,0)</f>
        <v>0</v>
      </c>
      <c r="G241" s="126">
        <f t="shared" si="33"/>
        <v>148</v>
      </c>
      <c r="H241" s="250">
        <f t="shared" si="29"/>
        <v>0</v>
      </c>
      <c r="I241" s="127" t="s">
        <v>166</v>
      </c>
      <c r="J241" s="129"/>
    </row>
    <row r="242" spans="1:16" s="43" customFormat="1" ht="18" customHeight="1">
      <c r="A242" s="1"/>
      <c r="B242" s="48" t="s">
        <v>167</v>
      </c>
      <c r="C242" s="52"/>
      <c r="D242" s="50"/>
      <c r="E242" s="128"/>
      <c r="F242" s="50">
        <f>SUM(F234:F241)</f>
        <v>0</v>
      </c>
      <c r="G242" s="50"/>
      <c r="H242" s="52">
        <f>SUM(H234:H241)</f>
        <v>0</v>
      </c>
      <c r="I242" s="53">
        <f>ROUND(SUMPRODUCT(E234:E241*F234:F241),2)</f>
        <v>0</v>
      </c>
      <c r="J242" s="129"/>
      <c r="N242" s="255"/>
      <c r="O242" s="255"/>
      <c r="P242" s="255"/>
    </row>
    <row r="243" spans="1:16" s="43" customFormat="1" ht="18" customHeight="1">
      <c r="A243" s="1"/>
      <c r="B243" s="124" t="str">
        <f>B240</f>
        <v>6单银Low-E+12A+6</v>
      </c>
      <c r="C243" s="253">
        <f t="shared" ref="C243:D249" si="34">D68-12</f>
        <v>594</v>
      </c>
      <c r="D243" s="253">
        <f t="shared" si="34"/>
        <v>1536</v>
      </c>
      <c r="E243" s="32">
        <f t="shared" si="27"/>
        <v>0.91238399999999997</v>
      </c>
      <c r="F243" s="82">
        <f t="shared" ref="F243:F249" si="35">G68</f>
        <v>2</v>
      </c>
      <c r="G243" s="130">
        <f>G241</f>
        <v>148</v>
      </c>
      <c r="H243" s="250">
        <f t="shared" ref="H243:H249" si="36">ROUND(E243*G243*F243,2)</f>
        <v>270.07</v>
      </c>
      <c r="I243" s="247" t="s">
        <v>168</v>
      </c>
      <c r="J243" s="129"/>
      <c r="N243" s="255"/>
      <c r="O243" s="255"/>
      <c r="P243" s="255"/>
    </row>
    <row r="244" spans="1:16" s="43" customFormat="1" ht="18" customHeight="1">
      <c r="A244" s="1"/>
      <c r="B244" s="124" t="str">
        <f t="shared" ref="B244:B249" si="37">B243</f>
        <v>6单银Low-E+12A+6</v>
      </c>
      <c r="C244" s="253">
        <f t="shared" si="34"/>
        <v>-12</v>
      </c>
      <c r="D244" s="253">
        <f t="shared" si="34"/>
        <v>-12</v>
      </c>
      <c r="E244" s="32">
        <f t="shared" si="27"/>
        <v>1.44E-4</v>
      </c>
      <c r="F244" s="82">
        <f t="shared" si="35"/>
        <v>0</v>
      </c>
      <c r="G244" s="130">
        <f t="shared" ref="G244:G249" si="38">G243</f>
        <v>148</v>
      </c>
      <c r="H244" s="250">
        <f t="shared" si="36"/>
        <v>0</v>
      </c>
      <c r="I244" s="247" t="s">
        <v>168</v>
      </c>
      <c r="J244" s="129"/>
      <c r="N244" s="255"/>
      <c r="O244" s="255"/>
      <c r="P244" s="255"/>
    </row>
    <row r="245" spans="1:16" s="43" customFormat="1" ht="18" customHeight="1">
      <c r="A245" s="1"/>
      <c r="B245" s="124" t="str">
        <f t="shared" si="37"/>
        <v>6单银Low-E+12A+6</v>
      </c>
      <c r="C245" s="253">
        <f t="shared" si="34"/>
        <v>-12</v>
      </c>
      <c r="D245" s="253">
        <f t="shared" si="34"/>
        <v>-12</v>
      </c>
      <c r="E245" s="32">
        <f t="shared" si="27"/>
        <v>1.44E-4</v>
      </c>
      <c r="F245" s="82">
        <f t="shared" si="35"/>
        <v>0</v>
      </c>
      <c r="G245" s="130">
        <f t="shared" si="38"/>
        <v>148</v>
      </c>
      <c r="H245" s="250">
        <f t="shared" si="36"/>
        <v>0</v>
      </c>
      <c r="I245" s="247" t="s">
        <v>168</v>
      </c>
      <c r="J245" s="129"/>
      <c r="N245" s="255"/>
      <c r="O245" s="255"/>
      <c r="P245" s="255"/>
    </row>
    <row r="246" spans="1:16" s="43" customFormat="1" ht="18" customHeight="1">
      <c r="A246" s="1"/>
      <c r="B246" s="124" t="str">
        <f t="shared" si="37"/>
        <v>6单银Low-E+12A+6</v>
      </c>
      <c r="C246" s="253">
        <f t="shared" si="34"/>
        <v>-12</v>
      </c>
      <c r="D246" s="253">
        <f t="shared" si="34"/>
        <v>-12</v>
      </c>
      <c r="E246" s="32">
        <f t="shared" si="27"/>
        <v>1.44E-4</v>
      </c>
      <c r="F246" s="82">
        <f t="shared" si="35"/>
        <v>0</v>
      </c>
      <c r="G246" s="130">
        <f t="shared" si="38"/>
        <v>148</v>
      </c>
      <c r="H246" s="250">
        <f t="shared" si="36"/>
        <v>0</v>
      </c>
      <c r="I246" s="247" t="s">
        <v>168</v>
      </c>
      <c r="J246" s="129"/>
      <c r="N246" s="255"/>
      <c r="O246" s="255"/>
      <c r="P246" s="255"/>
    </row>
    <row r="247" spans="1:16" s="43" customFormat="1" ht="18" customHeight="1">
      <c r="A247" s="1"/>
      <c r="B247" s="124" t="str">
        <f t="shared" si="37"/>
        <v>6单银Low-E+12A+6</v>
      </c>
      <c r="C247" s="253">
        <f t="shared" si="34"/>
        <v>-12</v>
      </c>
      <c r="D247" s="253">
        <f t="shared" si="34"/>
        <v>-12</v>
      </c>
      <c r="E247" s="32">
        <f t="shared" si="27"/>
        <v>1.44E-4</v>
      </c>
      <c r="F247" s="82">
        <f t="shared" si="35"/>
        <v>0</v>
      </c>
      <c r="G247" s="130">
        <f t="shared" si="38"/>
        <v>148</v>
      </c>
      <c r="H247" s="250">
        <f t="shared" si="36"/>
        <v>0</v>
      </c>
      <c r="I247" s="247" t="s">
        <v>168</v>
      </c>
      <c r="J247" s="129"/>
      <c r="N247" s="255"/>
      <c r="O247" s="255"/>
      <c r="P247" s="255"/>
    </row>
    <row r="248" spans="1:16" s="43" customFormat="1" ht="18" customHeight="1">
      <c r="A248" s="1"/>
      <c r="B248" s="124" t="str">
        <f t="shared" si="37"/>
        <v>6单银Low-E+12A+6</v>
      </c>
      <c r="C248" s="253">
        <f t="shared" si="34"/>
        <v>-12</v>
      </c>
      <c r="D248" s="253">
        <f t="shared" si="34"/>
        <v>-12</v>
      </c>
      <c r="E248" s="32">
        <f t="shared" si="27"/>
        <v>1.44E-4</v>
      </c>
      <c r="F248" s="82">
        <f t="shared" si="35"/>
        <v>0</v>
      </c>
      <c r="G248" s="130">
        <f t="shared" si="38"/>
        <v>148</v>
      </c>
      <c r="H248" s="250">
        <f t="shared" si="36"/>
        <v>0</v>
      </c>
      <c r="I248" s="247" t="s">
        <v>168</v>
      </c>
      <c r="J248" s="129"/>
      <c r="N248" s="255"/>
      <c r="O248" s="255"/>
      <c r="P248" s="255"/>
    </row>
    <row r="249" spans="1:16" s="43" customFormat="1" ht="18" customHeight="1">
      <c r="A249" s="1"/>
      <c r="B249" s="124" t="str">
        <f t="shared" si="37"/>
        <v>6单银Low-E+12A+6</v>
      </c>
      <c r="C249" s="253">
        <f t="shared" si="34"/>
        <v>-12</v>
      </c>
      <c r="D249" s="253">
        <f t="shared" si="34"/>
        <v>-12</v>
      </c>
      <c r="E249" s="32">
        <f t="shared" si="27"/>
        <v>1.44E-4</v>
      </c>
      <c r="F249" s="82">
        <f t="shared" si="35"/>
        <v>0</v>
      </c>
      <c r="G249" s="130">
        <f t="shared" si="38"/>
        <v>148</v>
      </c>
      <c r="H249" s="250">
        <f t="shared" si="36"/>
        <v>0</v>
      </c>
      <c r="I249" s="247" t="s">
        <v>168</v>
      </c>
      <c r="J249" s="129"/>
      <c r="N249" s="255"/>
      <c r="O249" s="255"/>
      <c r="P249" s="255"/>
    </row>
    <row r="250" spans="1:16" s="43" customFormat="1" ht="18" customHeight="1">
      <c r="A250" s="1"/>
      <c r="B250" s="131" t="str">
        <f>B246</f>
        <v>6单银Low-E+12A+6</v>
      </c>
      <c r="C250" s="52"/>
      <c r="D250" s="50"/>
      <c r="E250" s="128"/>
      <c r="F250" s="50">
        <f>SUM(F243:F249)</f>
        <v>2</v>
      </c>
      <c r="G250" s="50"/>
      <c r="H250" s="52">
        <f>SUM(H243:H249)</f>
        <v>270.07</v>
      </c>
      <c r="I250" s="53">
        <f>ROUND((E243*F243+E244*F244+E245*F245+E246*F246+E247*F247+E248*F248+E249*F249),2)</f>
        <v>1.82</v>
      </c>
      <c r="J250" s="43">
        <f>(I242+I258+I273+I280)</f>
        <v>0</v>
      </c>
      <c r="N250" s="255"/>
      <c r="O250" s="255"/>
      <c r="P250" s="255"/>
    </row>
    <row r="251" spans="1:16" s="43" customFormat="1" ht="18" customHeight="1">
      <c r="A251" s="1"/>
      <c r="B251" s="124" t="str">
        <f>B249</f>
        <v>6单银Low-E+12A+6</v>
      </c>
      <c r="C251" s="253">
        <f t="shared" ref="C251:D257" si="39">D75-12</f>
        <v>-12</v>
      </c>
      <c r="D251" s="253">
        <f t="shared" si="39"/>
        <v>-12</v>
      </c>
      <c r="E251" s="32">
        <f t="shared" si="27"/>
        <v>1.44E-4</v>
      </c>
      <c r="F251" s="82">
        <f t="shared" ref="F251:F257" si="40">G75</f>
        <v>0</v>
      </c>
      <c r="G251" s="130">
        <f>G249</f>
        <v>148</v>
      </c>
      <c r="H251" s="250">
        <f>ROUND(E251*G251*F251,2)</f>
        <v>0</v>
      </c>
      <c r="I251" s="132" t="s">
        <v>169</v>
      </c>
      <c r="N251" s="255"/>
      <c r="O251" s="255"/>
      <c r="P251" s="255"/>
    </row>
    <row r="252" spans="1:16" s="43" customFormat="1" ht="18" customHeight="1">
      <c r="A252" s="1"/>
      <c r="B252" s="124" t="str">
        <f t="shared" ref="B252:B257" si="41">B251</f>
        <v>6单银Low-E+12A+6</v>
      </c>
      <c r="C252" s="253">
        <f t="shared" si="39"/>
        <v>-12</v>
      </c>
      <c r="D252" s="253">
        <f t="shared" si="39"/>
        <v>-12</v>
      </c>
      <c r="E252" s="32">
        <f t="shared" si="27"/>
        <v>1.44E-4</v>
      </c>
      <c r="F252" s="82">
        <f t="shared" si="40"/>
        <v>0</v>
      </c>
      <c r="G252" s="130">
        <f t="shared" ref="G252:G257" si="42">G251</f>
        <v>148</v>
      </c>
      <c r="H252" s="250">
        <f t="shared" ref="H252:H264" si="43">ROUND(E252*G252*F252,2)</f>
        <v>0</v>
      </c>
      <c r="I252" s="132" t="str">
        <f t="shared" ref="I252:I257" si="44">I251</f>
        <v>固定钢化中空</v>
      </c>
      <c r="N252" s="255"/>
      <c r="O252" s="255"/>
      <c r="P252" s="255"/>
    </row>
    <row r="253" spans="1:16" s="43" customFormat="1" ht="18" customHeight="1">
      <c r="A253" s="1"/>
      <c r="B253" s="124" t="str">
        <f t="shared" si="41"/>
        <v>6单银Low-E+12A+6</v>
      </c>
      <c r="C253" s="253">
        <f t="shared" si="39"/>
        <v>-12</v>
      </c>
      <c r="D253" s="253">
        <f t="shared" si="39"/>
        <v>-12</v>
      </c>
      <c r="E253" s="32">
        <f t="shared" si="27"/>
        <v>1.44E-4</v>
      </c>
      <c r="F253" s="82">
        <f t="shared" si="40"/>
        <v>0</v>
      </c>
      <c r="G253" s="130">
        <f t="shared" si="42"/>
        <v>148</v>
      </c>
      <c r="H253" s="250">
        <f t="shared" si="43"/>
        <v>0</v>
      </c>
      <c r="I253" s="132" t="str">
        <f t="shared" si="44"/>
        <v>固定钢化中空</v>
      </c>
      <c r="N253" s="255"/>
      <c r="O253" s="255"/>
      <c r="P253" s="255"/>
    </row>
    <row r="254" spans="1:16" s="43" customFormat="1" ht="18" customHeight="1">
      <c r="A254" s="1"/>
      <c r="B254" s="124" t="str">
        <f t="shared" si="41"/>
        <v>6单银Low-E+12A+6</v>
      </c>
      <c r="C254" s="253">
        <f t="shared" si="39"/>
        <v>-12</v>
      </c>
      <c r="D254" s="253">
        <f t="shared" si="39"/>
        <v>-12</v>
      </c>
      <c r="E254" s="32">
        <f t="shared" si="27"/>
        <v>1.44E-4</v>
      </c>
      <c r="F254" s="82">
        <f t="shared" si="40"/>
        <v>0</v>
      </c>
      <c r="G254" s="130">
        <f t="shared" si="42"/>
        <v>148</v>
      </c>
      <c r="H254" s="250">
        <f t="shared" si="43"/>
        <v>0</v>
      </c>
      <c r="I254" s="132" t="str">
        <f t="shared" si="44"/>
        <v>固定钢化中空</v>
      </c>
      <c r="J254" s="42"/>
      <c r="N254" s="255"/>
      <c r="O254" s="255"/>
      <c r="P254" s="255"/>
    </row>
    <row r="255" spans="1:16" s="43" customFormat="1" ht="18" customHeight="1">
      <c r="A255" s="1"/>
      <c r="B255" s="124" t="str">
        <f t="shared" si="41"/>
        <v>6单银Low-E+12A+6</v>
      </c>
      <c r="C255" s="253">
        <f t="shared" si="39"/>
        <v>-12</v>
      </c>
      <c r="D255" s="253">
        <f t="shared" si="39"/>
        <v>-12</v>
      </c>
      <c r="E255" s="32">
        <f t="shared" si="27"/>
        <v>1.44E-4</v>
      </c>
      <c r="F255" s="82">
        <f t="shared" si="40"/>
        <v>0</v>
      </c>
      <c r="G255" s="130">
        <f t="shared" si="42"/>
        <v>148</v>
      </c>
      <c r="H255" s="250">
        <f t="shared" si="43"/>
        <v>0</v>
      </c>
      <c r="I255" s="132" t="str">
        <f t="shared" si="44"/>
        <v>固定钢化中空</v>
      </c>
      <c r="N255" s="255"/>
      <c r="O255" s="255"/>
      <c r="P255" s="255"/>
    </row>
    <row r="256" spans="1:16" s="43" customFormat="1" ht="18" customHeight="1">
      <c r="A256" s="1"/>
      <c r="B256" s="124" t="str">
        <f t="shared" si="41"/>
        <v>6单银Low-E+12A+6</v>
      </c>
      <c r="C256" s="253">
        <f t="shared" si="39"/>
        <v>-12</v>
      </c>
      <c r="D256" s="253">
        <f t="shared" si="39"/>
        <v>-12</v>
      </c>
      <c r="E256" s="32">
        <f t="shared" si="27"/>
        <v>1.44E-4</v>
      </c>
      <c r="F256" s="82">
        <f t="shared" si="40"/>
        <v>0</v>
      </c>
      <c r="G256" s="130">
        <f t="shared" si="42"/>
        <v>148</v>
      </c>
      <c r="H256" s="250">
        <f t="shared" si="43"/>
        <v>0</v>
      </c>
      <c r="I256" s="132" t="str">
        <f t="shared" si="44"/>
        <v>固定钢化中空</v>
      </c>
      <c r="N256" s="255"/>
      <c r="O256" s="255"/>
      <c r="P256" s="255"/>
    </row>
    <row r="257" spans="1:16" s="43" customFormat="1" ht="18" customHeight="1">
      <c r="A257" s="1"/>
      <c r="B257" s="124" t="str">
        <f t="shared" si="41"/>
        <v>6单银Low-E+12A+6</v>
      </c>
      <c r="C257" s="253">
        <f t="shared" si="39"/>
        <v>-12</v>
      </c>
      <c r="D257" s="253">
        <f t="shared" si="39"/>
        <v>-12</v>
      </c>
      <c r="E257" s="32">
        <f t="shared" si="27"/>
        <v>1.44E-4</v>
      </c>
      <c r="F257" s="82">
        <f t="shared" si="40"/>
        <v>0</v>
      </c>
      <c r="G257" s="130">
        <f t="shared" si="42"/>
        <v>148</v>
      </c>
      <c r="H257" s="250">
        <f t="shared" si="43"/>
        <v>0</v>
      </c>
      <c r="I257" s="132" t="str">
        <f t="shared" si="44"/>
        <v>固定钢化中空</v>
      </c>
      <c r="N257" s="255"/>
      <c r="O257" s="255"/>
      <c r="P257" s="255"/>
    </row>
    <row r="258" spans="1:16" s="43" customFormat="1" ht="18" customHeight="1">
      <c r="A258" s="1"/>
      <c r="B258" s="48" t="s">
        <v>170</v>
      </c>
      <c r="C258" s="52"/>
      <c r="D258" s="50"/>
      <c r="E258" s="128"/>
      <c r="F258" s="50">
        <f>SUM(F251:F257)</f>
        <v>0</v>
      </c>
      <c r="G258" s="50"/>
      <c r="H258" s="52">
        <f>SUM(H251:H257)</f>
        <v>0</v>
      </c>
      <c r="I258" s="53">
        <f>ROUND((E251*F251+E252*F252+E253*F253+E254*F254+E255*F255+E256*F256+E257*F257),2)</f>
        <v>0</v>
      </c>
      <c r="N258" s="255"/>
      <c r="O258" s="255"/>
      <c r="P258" s="255"/>
    </row>
    <row r="259" spans="1:16" s="43" customFormat="1" ht="18" customHeight="1">
      <c r="A259" s="1"/>
      <c r="B259" s="124" t="str">
        <f>B257</f>
        <v>6单银Low-E+12A+6</v>
      </c>
      <c r="C259" s="253">
        <f t="shared" ref="C259:D264" si="45">D82-12</f>
        <v>-12</v>
      </c>
      <c r="D259" s="253">
        <f t="shared" si="45"/>
        <v>-12</v>
      </c>
      <c r="E259" s="32">
        <f t="shared" si="27"/>
        <v>1.44E-4</v>
      </c>
      <c r="F259" s="82">
        <f t="shared" ref="F259:F264" si="46">G82</f>
        <v>0</v>
      </c>
      <c r="G259" s="130">
        <f>G257</f>
        <v>148</v>
      </c>
      <c r="H259" s="250">
        <f t="shared" si="43"/>
        <v>0</v>
      </c>
      <c r="I259" s="247" t="s">
        <v>171</v>
      </c>
      <c r="N259" s="255"/>
      <c r="O259" s="255"/>
      <c r="P259" s="255"/>
    </row>
    <row r="260" spans="1:16" s="43" customFormat="1" ht="18" customHeight="1">
      <c r="A260" s="1"/>
      <c r="B260" s="124" t="str">
        <f>B259</f>
        <v>6单银Low-E+12A+6</v>
      </c>
      <c r="C260" s="253">
        <f t="shared" si="45"/>
        <v>-12</v>
      </c>
      <c r="D260" s="253">
        <f t="shared" si="45"/>
        <v>-12</v>
      </c>
      <c r="E260" s="32">
        <f t="shared" si="27"/>
        <v>1.44E-4</v>
      </c>
      <c r="F260" s="82">
        <f t="shared" si="46"/>
        <v>0</v>
      </c>
      <c r="G260" s="130">
        <f>G259</f>
        <v>148</v>
      </c>
      <c r="H260" s="250">
        <f t="shared" si="43"/>
        <v>0</v>
      </c>
      <c r="I260" s="247" t="s">
        <v>171</v>
      </c>
      <c r="N260" s="255"/>
      <c r="O260" s="255"/>
      <c r="P260" s="255"/>
    </row>
    <row r="261" spans="1:16" s="43" customFormat="1" ht="18" customHeight="1">
      <c r="A261" s="1"/>
      <c r="B261" s="124" t="str">
        <f>B260</f>
        <v>6单银Low-E+12A+6</v>
      </c>
      <c r="C261" s="253">
        <f t="shared" si="45"/>
        <v>-12</v>
      </c>
      <c r="D261" s="253">
        <f t="shared" si="45"/>
        <v>-12</v>
      </c>
      <c r="E261" s="32">
        <f t="shared" si="27"/>
        <v>1.44E-4</v>
      </c>
      <c r="F261" s="82">
        <f t="shared" si="46"/>
        <v>0</v>
      </c>
      <c r="G261" s="130">
        <f>G260</f>
        <v>148</v>
      </c>
      <c r="H261" s="250">
        <f t="shared" si="43"/>
        <v>0</v>
      </c>
      <c r="I261" s="247" t="s">
        <v>171</v>
      </c>
      <c r="N261" s="255"/>
      <c r="O261" s="255"/>
      <c r="P261" s="255"/>
    </row>
    <row r="262" spans="1:16" s="43" customFormat="1" ht="18" customHeight="1">
      <c r="A262" s="1"/>
      <c r="B262" s="124" t="str">
        <f>B261</f>
        <v>6单银Low-E+12A+6</v>
      </c>
      <c r="C262" s="253">
        <f t="shared" si="45"/>
        <v>-12</v>
      </c>
      <c r="D262" s="253">
        <f t="shared" si="45"/>
        <v>-12</v>
      </c>
      <c r="E262" s="32">
        <f t="shared" si="27"/>
        <v>1.44E-4</v>
      </c>
      <c r="F262" s="82">
        <f t="shared" si="46"/>
        <v>0</v>
      </c>
      <c r="G262" s="130">
        <f>G261</f>
        <v>148</v>
      </c>
      <c r="H262" s="250">
        <f t="shared" si="43"/>
        <v>0</v>
      </c>
      <c r="I262" s="247" t="s">
        <v>171</v>
      </c>
      <c r="N262" s="255"/>
      <c r="O262" s="255"/>
      <c r="P262" s="255"/>
    </row>
    <row r="263" spans="1:16" s="43" customFormat="1" ht="18" customHeight="1">
      <c r="A263" s="1"/>
      <c r="B263" s="124" t="str">
        <f>B262</f>
        <v>6单银Low-E+12A+6</v>
      </c>
      <c r="C263" s="253">
        <f t="shared" si="45"/>
        <v>-12</v>
      </c>
      <c r="D263" s="253">
        <f t="shared" si="45"/>
        <v>-12</v>
      </c>
      <c r="E263" s="32">
        <f t="shared" si="27"/>
        <v>1.44E-4</v>
      </c>
      <c r="F263" s="82">
        <f t="shared" si="46"/>
        <v>0</v>
      </c>
      <c r="G263" s="130">
        <f>G262</f>
        <v>148</v>
      </c>
      <c r="H263" s="250">
        <f t="shared" si="43"/>
        <v>0</v>
      </c>
      <c r="I263" s="247" t="s">
        <v>171</v>
      </c>
      <c r="N263" s="255"/>
      <c r="O263" s="255"/>
      <c r="P263" s="255"/>
    </row>
    <row r="264" spans="1:16" s="43" customFormat="1" ht="18" customHeight="1">
      <c r="A264" s="1"/>
      <c r="B264" s="124" t="str">
        <f>B263</f>
        <v>6单银Low-E+12A+6</v>
      </c>
      <c r="C264" s="253">
        <f t="shared" si="45"/>
        <v>-12</v>
      </c>
      <c r="D264" s="253">
        <f t="shared" si="45"/>
        <v>-12</v>
      </c>
      <c r="E264" s="32">
        <f t="shared" si="27"/>
        <v>1.44E-4</v>
      </c>
      <c r="F264" s="82">
        <f t="shared" si="46"/>
        <v>0</v>
      </c>
      <c r="G264" s="130">
        <f>G263</f>
        <v>148</v>
      </c>
      <c r="H264" s="250">
        <f t="shared" si="43"/>
        <v>0</v>
      </c>
      <c r="I264" s="247" t="s">
        <v>171</v>
      </c>
      <c r="N264" s="255"/>
      <c r="O264" s="255"/>
      <c r="P264" s="255"/>
    </row>
    <row r="265" spans="1:16" s="43" customFormat="1" ht="18" customHeight="1">
      <c r="A265" s="1"/>
      <c r="B265" s="48" t="s">
        <v>172</v>
      </c>
      <c r="C265" s="52"/>
      <c r="D265" s="50"/>
      <c r="E265" s="128"/>
      <c r="F265" s="50">
        <f>SUM(F259:F264)</f>
        <v>0</v>
      </c>
      <c r="G265" s="50"/>
      <c r="H265" s="52">
        <f>SUM(H259:H264)</f>
        <v>0</v>
      </c>
      <c r="I265" s="53">
        <f>ROUND(SUMPRODUCT(E259:E264*F259:F264),2)</f>
        <v>0</v>
      </c>
      <c r="N265" s="255"/>
      <c r="O265" s="255"/>
      <c r="P265" s="255"/>
    </row>
    <row r="266" spans="1:16" s="43" customFormat="1" ht="18" customHeight="1">
      <c r="A266" s="1"/>
      <c r="B266" s="124" t="str">
        <f>B264</f>
        <v>6单银Low-E+12A+6</v>
      </c>
      <c r="C266" s="133">
        <f t="shared" ref="C266:D268" si="47">D143</f>
        <v>-154</v>
      </c>
      <c r="D266" s="133">
        <f t="shared" si="47"/>
        <v>-154</v>
      </c>
      <c r="E266" s="32">
        <f t="shared" si="27"/>
        <v>2.3716000000000001E-2</v>
      </c>
      <c r="F266" s="134">
        <f>G143</f>
        <v>0</v>
      </c>
      <c r="G266" s="135">
        <f>G264</f>
        <v>148</v>
      </c>
      <c r="H266" s="134">
        <f>ROUND(E266*G266*F266,2)</f>
        <v>0</v>
      </c>
      <c r="I266" s="136" t="s">
        <v>173</v>
      </c>
      <c r="N266" s="255"/>
      <c r="O266" s="255"/>
      <c r="P266" s="255"/>
    </row>
    <row r="267" spans="1:16" s="43" customFormat="1" ht="18" customHeight="1">
      <c r="A267" s="1"/>
      <c r="B267" s="124" t="str">
        <f>B264</f>
        <v>6单银Low-E+12A+6</v>
      </c>
      <c r="C267" s="133">
        <f t="shared" si="47"/>
        <v>-154</v>
      </c>
      <c r="D267" s="133">
        <f t="shared" si="47"/>
        <v>-154</v>
      </c>
      <c r="E267" s="32">
        <f t="shared" si="27"/>
        <v>2.3716000000000001E-2</v>
      </c>
      <c r="F267" s="134">
        <f>G144</f>
        <v>0</v>
      </c>
      <c r="G267" s="135">
        <f>G266</f>
        <v>148</v>
      </c>
      <c r="H267" s="134">
        <f>ROUND(E267*G267*F267,2)</f>
        <v>0</v>
      </c>
      <c r="I267" s="136" t="s">
        <v>173</v>
      </c>
      <c r="N267" s="255"/>
      <c r="O267" s="255"/>
      <c r="P267" s="255"/>
    </row>
    <row r="268" spans="1:16" s="43" customFormat="1" ht="18" customHeight="1">
      <c r="A268" s="1"/>
      <c r="B268" s="124" t="str">
        <f>B267</f>
        <v>6单银Low-E+12A+6</v>
      </c>
      <c r="C268" s="133">
        <f t="shared" si="47"/>
        <v>-154</v>
      </c>
      <c r="D268" s="133">
        <f t="shared" si="47"/>
        <v>-154</v>
      </c>
      <c r="E268" s="32">
        <f t="shared" si="27"/>
        <v>2.3716000000000001E-2</v>
      </c>
      <c r="F268" s="134">
        <f>G145</f>
        <v>0</v>
      </c>
      <c r="G268" s="135">
        <f>G267</f>
        <v>148</v>
      </c>
      <c r="H268" s="134">
        <f>ROUND(E268*G268*F268,2)</f>
        <v>0</v>
      </c>
      <c r="I268" s="136" t="s">
        <v>173</v>
      </c>
      <c r="N268" s="255"/>
      <c r="O268" s="255"/>
      <c r="P268" s="255"/>
    </row>
    <row r="269" spans="1:16" s="43" customFormat="1" ht="18" customHeight="1">
      <c r="A269" s="1"/>
      <c r="B269" s="48" t="s">
        <v>174</v>
      </c>
      <c r="C269" s="52"/>
      <c r="D269" s="50"/>
      <c r="E269" s="128"/>
      <c r="F269" s="50">
        <f>SUM(F266:F268)</f>
        <v>0</v>
      </c>
      <c r="G269" s="50"/>
      <c r="H269" s="52">
        <f>SUM(H266:H268)</f>
        <v>0</v>
      </c>
      <c r="I269" s="53">
        <f>ROUND((E266*F266+E267*F267+E268*F268),2)</f>
        <v>0</v>
      </c>
      <c r="N269" s="255"/>
      <c r="O269" s="255"/>
      <c r="P269" s="255"/>
    </row>
    <row r="270" spans="1:16" s="43" customFormat="1" ht="18" customHeight="1">
      <c r="A270" s="1"/>
      <c r="B270" s="124" t="str">
        <f>B268</f>
        <v>6单银Low-E+12A+6</v>
      </c>
      <c r="C270" s="133">
        <f t="shared" ref="C270:D272" si="48">D150</f>
        <v>-160</v>
      </c>
      <c r="D270" s="133">
        <f t="shared" si="48"/>
        <v>-160</v>
      </c>
      <c r="E270" s="32">
        <f t="shared" si="27"/>
        <v>2.5600000000000001E-2</v>
      </c>
      <c r="F270" s="134">
        <f>G150</f>
        <v>0</v>
      </c>
      <c r="G270" s="135">
        <f>G268</f>
        <v>148</v>
      </c>
      <c r="H270" s="134">
        <f>ROUND(E270*G270*F270,2)</f>
        <v>0</v>
      </c>
      <c r="I270" s="136" t="s">
        <v>173</v>
      </c>
      <c r="N270" s="255"/>
      <c r="O270" s="255"/>
      <c r="P270" s="255"/>
    </row>
    <row r="271" spans="1:16" s="43" customFormat="1" ht="18" customHeight="1">
      <c r="A271" s="1"/>
      <c r="B271" s="124" t="str">
        <f>B270</f>
        <v>6单银Low-E+12A+6</v>
      </c>
      <c r="C271" s="133">
        <f t="shared" si="48"/>
        <v>-160</v>
      </c>
      <c r="D271" s="133">
        <f t="shared" si="48"/>
        <v>-160</v>
      </c>
      <c r="E271" s="32">
        <f t="shared" si="27"/>
        <v>2.5600000000000001E-2</v>
      </c>
      <c r="F271" s="134">
        <f>G151</f>
        <v>0</v>
      </c>
      <c r="G271" s="135">
        <f>G270</f>
        <v>148</v>
      </c>
      <c r="H271" s="134">
        <f>ROUND(E271*G271*F271,2)</f>
        <v>0</v>
      </c>
      <c r="I271" s="136" t="s">
        <v>173</v>
      </c>
      <c r="N271" s="255"/>
      <c r="O271" s="255"/>
      <c r="P271" s="255"/>
    </row>
    <row r="272" spans="1:16" s="43" customFormat="1" ht="18" customHeight="1">
      <c r="A272" s="1"/>
      <c r="B272" s="124" t="str">
        <f>B271</f>
        <v>6单银Low-E+12A+6</v>
      </c>
      <c r="C272" s="133">
        <f t="shared" si="48"/>
        <v>-160</v>
      </c>
      <c r="D272" s="133">
        <f t="shared" si="48"/>
        <v>-160</v>
      </c>
      <c r="E272" s="32">
        <f t="shared" si="27"/>
        <v>2.5600000000000001E-2</v>
      </c>
      <c r="F272" s="134">
        <f>G152</f>
        <v>0</v>
      </c>
      <c r="G272" s="135">
        <f>G271</f>
        <v>148</v>
      </c>
      <c r="H272" s="134">
        <f>ROUND(E272*G272*F272,2)</f>
        <v>0</v>
      </c>
      <c r="I272" s="136" t="s">
        <v>173</v>
      </c>
      <c r="N272" s="255"/>
      <c r="O272" s="255"/>
      <c r="P272" s="255"/>
    </row>
    <row r="273" spans="1:16" s="43" customFormat="1" ht="18" customHeight="1">
      <c r="A273" s="1"/>
      <c r="B273" s="48" t="s">
        <v>175</v>
      </c>
      <c r="C273" s="52"/>
      <c r="D273" s="50"/>
      <c r="E273" s="128"/>
      <c r="F273" s="50">
        <f>SUM(F270:F272)</f>
        <v>0</v>
      </c>
      <c r="G273" s="50"/>
      <c r="H273" s="52">
        <f>SUM(H270:H272)</f>
        <v>0</v>
      </c>
      <c r="I273" s="53">
        <f>ROUND((E270*F270+E271*F271+E272*F272),2)</f>
        <v>0</v>
      </c>
      <c r="N273" s="255"/>
      <c r="O273" s="255"/>
      <c r="P273" s="255"/>
    </row>
    <row r="274" spans="1:16" ht="18" customHeight="1">
      <c r="B274" s="124" t="str">
        <f>B272</f>
        <v>6单银Low-E+12A+6</v>
      </c>
      <c r="C274" s="133">
        <f t="shared" ref="C274:D279" si="49">D157-12</f>
        <v>-12</v>
      </c>
      <c r="D274" s="133">
        <f t="shared" si="49"/>
        <v>-12</v>
      </c>
      <c r="E274" s="32">
        <f t="shared" si="27"/>
        <v>1.44E-4</v>
      </c>
      <c r="F274" s="134">
        <f t="shared" ref="F274:F279" si="50">G157</f>
        <v>0</v>
      </c>
      <c r="G274" s="135">
        <f>G272</f>
        <v>148</v>
      </c>
      <c r="H274" s="134">
        <f t="shared" ref="H274:H279" si="51">ROUND(E274*G274*F274,2)</f>
        <v>0</v>
      </c>
      <c r="I274" s="136" t="s">
        <v>176</v>
      </c>
    </row>
    <row r="275" spans="1:16" ht="18" customHeight="1">
      <c r="B275" s="124" t="str">
        <f>B274</f>
        <v>6单银Low-E+12A+6</v>
      </c>
      <c r="C275" s="133">
        <f t="shared" si="49"/>
        <v>-12</v>
      </c>
      <c r="D275" s="133">
        <f t="shared" si="49"/>
        <v>-12</v>
      </c>
      <c r="E275" s="32">
        <f t="shared" si="27"/>
        <v>1.44E-4</v>
      </c>
      <c r="F275" s="134">
        <f t="shared" si="50"/>
        <v>0</v>
      </c>
      <c r="G275" s="135">
        <f>G274</f>
        <v>148</v>
      </c>
      <c r="H275" s="134">
        <f t="shared" si="51"/>
        <v>0</v>
      </c>
      <c r="I275" s="136" t="str">
        <f>I274</f>
        <v>门钢化中空玻璃</v>
      </c>
      <c r="K275" s="43" t="s">
        <v>177</v>
      </c>
    </row>
    <row r="276" spans="1:16" ht="18" customHeight="1">
      <c r="B276" s="124" t="str">
        <f>B275</f>
        <v>6单银Low-E+12A+6</v>
      </c>
      <c r="C276" s="133">
        <f t="shared" si="49"/>
        <v>-12</v>
      </c>
      <c r="D276" s="133">
        <f t="shared" si="49"/>
        <v>-12</v>
      </c>
      <c r="E276" s="32">
        <f t="shared" si="27"/>
        <v>1.44E-4</v>
      </c>
      <c r="F276" s="134">
        <f t="shared" si="50"/>
        <v>0</v>
      </c>
      <c r="G276" s="135">
        <f>G275</f>
        <v>148</v>
      </c>
      <c r="H276" s="134">
        <f t="shared" si="51"/>
        <v>0</v>
      </c>
      <c r="I276" s="136" t="str">
        <f>I275</f>
        <v>门钢化中空玻璃</v>
      </c>
    </row>
    <row r="277" spans="1:16" ht="18" customHeight="1">
      <c r="B277" s="124" t="str">
        <f>B276</f>
        <v>6单银Low-E+12A+6</v>
      </c>
      <c r="C277" s="133">
        <f t="shared" si="49"/>
        <v>-12</v>
      </c>
      <c r="D277" s="133">
        <f t="shared" si="49"/>
        <v>-12</v>
      </c>
      <c r="E277" s="32">
        <f t="shared" si="27"/>
        <v>1.44E-4</v>
      </c>
      <c r="F277" s="134">
        <f t="shared" si="50"/>
        <v>0</v>
      </c>
      <c r="G277" s="135">
        <f>G276</f>
        <v>148</v>
      </c>
      <c r="H277" s="134">
        <f t="shared" si="51"/>
        <v>0</v>
      </c>
      <c r="I277" s="136" t="str">
        <f>I276</f>
        <v>门钢化中空玻璃</v>
      </c>
    </row>
    <row r="278" spans="1:16" ht="18" customHeight="1">
      <c r="B278" s="124" t="str">
        <f>B277</f>
        <v>6单银Low-E+12A+6</v>
      </c>
      <c r="C278" s="133">
        <f t="shared" si="49"/>
        <v>-12</v>
      </c>
      <c r="D278" s="133">
        <f t="shared" si="49"/>
        <v>-12</v>
      </c>
      <c r="E278" s="32">
        <f t="shared" si="27"/>
        <v>1.44E-4</v>
      </c>
      <c r="F278" s="134">
        <f t="shared" si="50"/>
        <v>0</v>
      </c>
      <c r="G278" s="135">
        <f>G277</f>
        <v>148</v>
      </c>
      <c r="H278" s="134">
        <f t="shared" si="51"/>
        <v>0</v>
      </c>
      <c r="I278" s="136" t="str">
        <f>I277</f>
        <v>门钢化中空玻璃</v>
      </c>
    </row>
    <row r="279" spans="1:16" ht="18" customHeight="1">
      <c r="B279" s="124" t="str">
        <f>B278</f>
        <v>6单银Low-E+12A+6</v>
      </c>
      <c r="C279" s="133">
        <f t="shared" si="49"/>
        <v>-12</v>
      </c>
      <c r="D279" s="133">
        <f t="shared" si="49"/>
        <v>-12</v>
      </c>
      <c r="E279" s="32">
        <f t="shared" si="27"/>
        <v>1.44E-4</v>
      </c>
      <c r="F279" s="134">
        <f t="shared" si="50"/>
        <v>0</v>
      </c>
      <c r="G279" s="135">
        <f>G278</f>
        <v>148</v>
      </c>
      <c r="H279" s="134">
        <f t="shared" si="51"/>
        <v>0</v>
      </c>
      <c r="I279" s="136" t="str">
        <f>I278</f>
        <v>门钢化中空玻璃</v>
      </c>
    </row>
    <row r="280" spans="1:16" ht="18" customHeight="1">
      <c r="B280" s="48" t="s">
        <v>178</v>
      </c>
      <c r="C280" s="52"/>
      <c r="D280" s="50"/>
      <c r="E280" s="128"/>
      <c r="F280" s="50">
        <f>SUM(F274:F279)</f>
        <v>0</v>
      </c>
      <c r="G280" s="50"/>
      <c r="H280" s="52">
        <f>SUM(H274:H279)</f>
        <v>0</v>
      </c>
      <c r="I280" s="53">
        <f>ROUND(SUMPRODUCT(E274:E279*F274:F279),2)</f>
        <v>0</v>
      </c>
    </row>
    <row r="281" spans="1:16" ht="18" customHeight="1">
      <c r="B281" s="124" t="str">
        <f>材料价格!A10</f>
        <v>6单银Low-E+12A+6</v>
      </c>
      <c r="C281" s="133">
        <f>C252</f>
        <v>-12</v>
      </c>
      <c r="D281" s="133">
        <f>D252</f>
        <v>-12</v>
      </c>
      <c r="E281" s="32">
        <f t="shared" si="27"/>
        <v>1.44E-4</v>
      </c>
      <c r="F281" s="134"/>
      <c r="G281" s="137">
        <f>材料价格!B10</f>
        <v>148</v>
      </c>
      <c r="H281" s="134">
        <f>ROUND(E281*G281*F281,2)</f>
        <v>0</v>
      </c>
      <c r="I281" s="247" t="s">
        <v>179</v>
      </c>
    </row>
    <row r="282" spans="1:16" ht="18" customHeight="1">
      <c r="B282" s="124" t="str">
        <f>B281</f>
        <v>6单银Low-E+12A+6</v>
      </c>
      <c r="C282" s="133">
        <f>C253</f>
        <v>-12</v>
      </c>
      <c r="D282" s="133">
        <f>D253</f>
        <v>-12</v>
      </c>
      <c r="E282" s="32">
        <f t="shared" si="27"/>
        <v>1.44E-4</v>
      </c>
      <c r="F282" s="134"/>
      <c r="G282" s="135">
        <f>G281</f>
        <v>148</v>
      </c>
      <c r="H282" s="134">
        <f>ROUND(E282*G282*F282,2)</f>
        <v>0</v>
      </c>
      <c r="I282" s="247" t="s">
        <v>179</v>
      </c>
      <c r="J282" s="255"/>
      <c r="K282" s="255"/>
      <c r="L282" s="255"/>
      <c r="M282" s="255"/>
    </row>
    <row r="283" spans="1:16" ht="18" customHeight="1">
      <c r="B283" s="124" t="str">
        <f>B282</f>
        <v>6单银Low-E+12A+6</v>
      </c>
      <c r="C283" s="133">
        <f>D84-12</f>
        <v>-12</v>
      </c>
      <c r="D283" s="133">
        <f>E84-12</f>
        <v>-12</v>
      </c>
      <c r="E283" s="32">
        <f t="shared" si="27"/>
        <v>1.44E-4</v>
      </c>
      <c r="F283" s="134">
        <f>G84</f>
        <v>0</v>
      </c>
      <c r="G283" s="135">
        <f>G282</f>
        <v>148</v>
      </c>
      <c r="H283" s="134">
        <f>ROUND(E283*G283*F283,2)</f>
        <v>0</v>
      </c>
      <c r="I283" s="247" t="s">
        <v>179</v>
      </c>
      <c r="J283" s="255"/>
      <c r="K283" s="255"/>
      <c r="L283" s="255"/>
      <c r="M283" s="255"/>
    </row>
    <row r="284" spans="1:16" ht="18" customHeight="1">
      <c r="B284" s="124" t="str">
        <f>B283</f>
        <v>6单银Low-E+12A+6</v>
      </c>
      <c r="C284" s="133">
        <f>D85-12</f>
        <v>-12</v>
      </c>
      <c r="D284" s="133">
        <f>E85-12</f>
        <v>-12</v>
      </c>
      <c r="E284" s="32">
        <f t="shared" si="27"/>
        <v>1.44E-4</v>
      </c>
      <c r="F284" s="134">
        <f>G85</f>
        <v>0</v>
      </c>
      <c r="G284" s="135">
        <f>G283</f>
        <v>148</v>
      </c>
      <c r="H284" s="134">
        <f>ROUND(E284*G284*F284,2)</f>
        <v>0</v>
      </c>
      <c r="I284" s="247" t="s">
        <v>179</v>
      </c>
      <c r="J284" s="255"/>
      <c r="K284" s="255"/>
      <c r="L284" s="255"/>
      <c r="M284" s="255"/>
    </row>
    <row r="285" spans="1:16" ht="18" customHeight="1">
      <c r="B285" s="48" t="s">
        <v>180</v>
      </c>
      <c r="C285" s="52"/>
      <c r="D285" s="50"/>
      <c r="E285" s="50"/>
      <c r="F285" s="50">
        <f>SUM(F281:F284)</f>
        <v>0</v>
      </c>
      <c r="G285" s="50"/>
      <c r="H285" s="52">
        <f>SUM(H281:H284)</f>
        <v>0</v>
      </c>
      <c r="I285" s="53">
        <f>ROUND((E281*F281+E282*F282+E283*F283+E284*F284),2)</f>
        <v>0</v>
      </c>
      <c r="J285" s="255"/>
      <c r="K285" s="255"/>
      <c r="L285" s="255"/>
      <c r="M285" s="255"/>
    </row>
    <row r="286" spans="1:16" ht="18" customHeight="1">
      <c r="B286" s="124" t="str">
        <f>材料价格!A11</f>
        <v>8单银Low-E+12Ar+8+12A+8mm</v>
      </c>
      <c r="C286" s="133"/>
      <c r="D286" s="133"/>
      <c r="E286" s="32">
        <f>C286*D286/10^6</f>
        <v>0</v>
      </c>
      <c r="F286" s="134"/>
      <c r="G286" s="137">
        <f>材料价格!B11</f>
        <v>312</v>
      </c>
      <c r="H286" s="134">
        <f>ROUND(E286*G286*F286,2)</f>
        <v>0</v>
      </c>
      <c r="I286" s="247" t="s">
        <v>181</v>
      </c>
      <c r="J286" s="255"/>
      <c r="K286" s="255"/>
      <c r="L286" s="255"/>
      <c r="M286" s="255"/>
    </row>
    <row r="287" spans="1:16" ht="18" customHeight="1">
      <c r="B287" s="124" t="str">
        <f>B286</f>
        <v>8单银Low-E+12Ar+8+12A+8mm</v>
      </c>
      <c r="C287" s="133"/>
      <c r="D287" s="133"/>
      <c r="E287" s="32">
        <f>C287*D287/10^6</f>
        <v>0</v>
      </c>
      <c r="F287" s="134"/>
      <c r="G287" s="135">
        <f>G286</f>
        <v>312</v>
      </c>
      <c r="H287" s="134">
        <f>ROUND(E287*G287*F287,2)</f>
        <v>0</v>
      </c>
      <c r="I287" s="247" t="s">
        <v>181</v>
      </c>
      <c r="J287" s="255"/>
      <c r="K287" s="255"/>
      <c r="L287" s="255"/>
      <c r="M287" s="255"/>
    </row>
    <row r="288" spans="1:16" ht="18" customHeight="1">
      <c r="B288" s="138" t="str">
        <f>材料价格!A12</f>
        <v>10单银Low-E+12Ar+10+12A+10mm</v>
      </c>
      <c r="C288" s="139"/>
      <c r="D288" s="139"/>
      <c r="E288" s="140">
        <f>C288*D288/10^6</f>
        <v>0</v>
      </c>
      <c r="F288" s="141"/>
      <c r="G288" s="142">
        <f>材料价格!B12</f>
        <v>395</v>
      </c>
      <c r="H288" s="141">
        <f>ROUND(E288*G288*F288,2)</f>
        <v>0</v>
      </c>
      <c r="I288" s="143" t="s">
        <v>181</v>
      </c>
      <c r="J288" s="255"/>
      <c r="K288" s="255"/>
      <c r="L288" s="255"/>
      <c r="M288" s="255"/>
    </row>
    <row r="289" spans="2:13" ht="18" customHeight="1">
      <c r="B289" s="138" t="str">
        <f>B288</f>
        <v>10单银Low-E+12Ar+10+12A+10mm</v>
      </c>
      <c r="C289" s="139"/>
      <c r="D289" s="139"/>
      <c r="E289" s="140">
        <f>C289*D289/10^6</f>
        <v>0</v>
      </c>
      <c r="F289" s="141"/>
      <c r="G289" s="142">
        <f>G288</f>
        <v>395</v>
      </c>
      <c r="H289" s="141">
        <f>ROUND(E289*G289*F289,2)</f>
        <v>0</v>
      </c>
      <c r="I289" s="143" t="s">
        <v>181</v>
      </c>
      <c r="J289" s="255"/>
      <c r="K289" s="255"/>
      <c r="L289" s="255"/>
      <c r="M289" s="255"/>
    </row>
    <row r="290" spans="2:13" ht="18" customHeight="1">
      <c r="B290" s="48" t="s">
        <v>180</v>
      </c>
      <c r="C290" s="52"/>
      <c r="D290" s="50"/>
      <c r="E290" s="50"/>
      <c r="F290" s="50">
        <f>SUM(F286:F289)</f>
        <v>0</v>
      </c>
      <c r="G290" s="50"/>
      <c r="H290" s="52">
        <f>SUM(H286:H289)</f>
        <v>0</v>
      </c>
      <c r="I290" s="53">
        <f>ROUND((E286*F286+E287*F287+E288*F288+E289*F289),2)</f>
        <v>0</v>
      </c>
      <c r="J290" s="255"/>
      <c r="K290" s="255"/>
      <c r="L290" s="255"/>
      <c r="M290" s="255"/>
    </row>
    <row r="291" spans="2:13" ht="18" customHeight="1">
      <c r="B291" s="642" t="s">
        <v>182</v>
      </c>
      <c r="C291" s="144" t="s">
        <v>183</v>
      </c>
      <c r="D291" s="144" cm="1">
        <f t="array" ref="D291">SUMPRODUCT(E225:E232*F225:F232)+SUMPRODUCT(E243:E249*F243:F249)</f>
        <v>1.8247679999999999</v>
      </c>
      <c r="E291" s="144" t="s">
        <v>184</v>
      </c>
      <c r="F291" s="145">
        <f>F233+F250</f>
        <v>2</v>
      </c>
      <c r="G291" s="145" t="s">
        <v>185</v>
      </c>
      <c r="H291" s="144">
        <f>H233+H250</f>
        <v>270.07</v>
      </c>
      <c r="I291" s="146">
        <f>H291/F366</f>
        <v>124.57677937174223</v>
      </c>
      <c r="J291" s="255"/>
      <c r="K291" s="255"/>
      <c r="L291" s="255"/>
      <c r="M291" s="255"/>
    </row>
    <row r="292" spans="2:13" ht="18" customHeight="1">
      <c r="B292" s="642"/>
      <c r="C292" s="144" t="s">
        <v>186</v>
      </c>
      <c r="D292" s="144">
        <f>SUMPRODUCT(E234:E241*F234:F241)+SUMPRODUCT(E251:E257*F251:F257)+SUMPRODUCT(E259:E264*F259:F264)+SUMPRODUCT(E266:E268*F266:F268)+SUMPRODUCT(E270:E272*F270:F272)+SUMPRODUCT(E281:E284*F281:F284)+SUMPRODUCT(E286:E289*F286:F289)+SUMPRODUCT(E274:E279*F274:F279)</f>
        <v>0</v>
      </c>
      <c r="E292" s="144" t="s">
        <v>186</v>
      </c>
      <c r="F292" s="145">
        <f>F242+F258+F265+F269+F273+F285+F290+F280</f>
        <v>0</v>
      </c>
      <c r="G292" s="145" t="s">
        <v>185</v>
      </c>
      <c r="H292" s="144">
        <f>H242+H258+H265+H269+H273+H280+H285+H290</f>
        <v>0</v>
      </c>
      <c r="I292" s="146">
        <f>H292/F366</f>
        <v>0</v>
      </c>
      <c r="J292" s="255"/>
      <c r="K292" s="255"/>
      <c r="L292" s="255"/>
      <c r="M292" s="255"/>
    </row>
    <row r="293" spans="2:13" ht="18" customHeight="1">
      <c r="B293" s="23" t="s">
        <v>187</v>
      </c>
      <c r="C293" s="252" t="s">
        <v>188</v>
      </c>
      <c r="D293" s="68" t="s">
        <v>189</v>
      </c>
      <c r="E293" s="252" t="s">
        <v>8</v>
      </c>
      <c r="F293" s="252" t="s">
        <v>190</v>
      </c>
      <c r="G293" s="252" t="s">
        <v>191</v>
      </c>
      <c r="H293" s="252" t="s">
        <v>160</v>
      </c>
      <c r="I293" s="25" t="s">
        <v>1</v>
      </c>
      <c r="J293" s="255"/>
      <c r="K293" s="255"/>
      <c r="L293" s="255"/>
      <c r="M293" s="255"/>
    </row>
    <row r="294" spans="2:13" ht="18" customHeight="1">
      <c r="B294" s="629" t="s">
        <v>192</v>
      </c>
      <c r="C294" s="253">
        <f>D26</f>
        <v>0</v>
      </c>
      <c r="D294" s="250"/>
      <c r="E294" s="250"/>
      <c r="F294" s="250" t="s">
        <v>193</v>
      </c>
      <c r="G294" s="108">
        <f>材料价格!B14</f>
        <v>153</v>
      </c>
      <c r="H294" s="147">
        <f>E294*G294</f>
        <v>0</v>
      </c>
      <c r="I294" s="632" t="s">
        <v>194</v>
      </c>
      <c r="J294" s="255"/>
      <c r="K294" s="255"/>
      <c r="L294" s="255"/>
      <c r="M294" s="255"/>
    </row>
    <row r="295" spans="2:13" ht="18" customHeight="1">
      <c r="B295" s="629"/>
      <c r="C295" s="253"/>
      <c r="D295" s="250"/>
      <c r="E295" s="250"/>
      <c r="F295" s="250"/>
      <c r="G295" s="108"/>
      <c r="H295" s="147">
        <f t="shared" ref="H295:H303" si="52">E295*G295</f>
        <v>0</v>
      </c>
      <c r="I295" s="633"/>
      <c r="J295" s="255"/>
      <c r="K295" s="255"/>
      <c r="L295" s="255"/>
      <c r="M295" s="255"/>
    </row>
    <row r="296" spans="2:13" ht="18" customHeight="1">
      <c r="B296" s="629" t="s">
        <v>195</v>
      </c>
      <c r="C296" s="253"/>
      <c r="D296" s="148"/>
      <c r="E296" s="250"/>
      <c r="F296" s="250" t="str">
        <f>F294</f>
        <v>坚朗</v>
      </c>
      <c r="G296" s="108">
        <f>材料价格!B15</f>
        <v>80</v>
      </c>
      <c r="H296" s="147">
        <f t="shared" si="52"/>
        <v>0</v>
      </c>
      <c r="I296" s="632" t="s">
        <v>196</v>
      </c>
      <c r="J296" s="255"/>
      <c r="K296" s="255"/>
      <c r="L296" s="255"/>
      <c r="M296" s="255"/>
    </row>
    <row r="297" spans="2:13" ht="18" customHeight="1">
      <c r="B297" s="629"/>
      <c r="C297" s="253"/>
      <c r="D297" s="148"/>
      <c r="E297" s="250"/>
      <c r="F297" s="250"/>
      <c r="G297" s="108"/>
      <c r="H297" s="147">
        <f t="shared" si="52"/>
        <v>0</v>
      </c>
      <c r="I297" s="633"/>
      <c r="J297" s="255"/>
      <c r="K297" s="255"/>
      <c r="L297" s="255"/>
      <c r="M297" s="255"/>
    </row>
    <row r="298" spans="2:13" ht="18" customHeight="1">
      <c r="B298" s="629" t="s">
        <v>197</v>
      </c>
      <c r="C298" s="253"/>
      <c r="D298" s="148"/>
      <c r="E298" s="250"/>
      <c r="F298" s="250" t="str">
        <f>F296</f>
        <v>坚朗</v>
      </c>
      <c r="G298" s="108">
        <f>材料价格!B16</f>
        <v>88</v>
      </c>
      <c r="H298" s="147">
        <f t="shared" si="52"/>
        <v>0</v>
      </c>
      <c r="I298" s="633"/>
      <c r="J298" s="255"/>
      <c r="K298" s="255"/>
      <c r="L298" s="255"/>
      <c r="M298" s="255"/>
    </row>
    <row r="299" spans="2:13" ht="18" customHeight="1">
      <c r="B299" s="629"/>
      <c r="C299" s="253"/>
      <c r="D299" s="148"/>
      <c r="E299" s="250"/>
      <c r="F299" s="250"/>
      <c r="G299" s="108"/>
      <c r="H299" s="147">
        <f t="shared" si="52"/>
        <v>0</v>
      </c>
      <c r="I299" s="633"/>
      <c r="J299" s="255"/>
      <c r="K299" s="255"/>
      <c r="L299" s="255"/>
      <c r="M299" s="255"/>
    </row>
    <row r="300" spans="2:13" ht="18" customHeight="1">
      <c r="B300" s="629" t="s">
        <v>198</v>
      </c>
      <c r="C300" s="253">
        <f>D35</f>
        <v>0</v>
      </c>
      <c r="D300" s="148"/>
      <c r="E300" s="250"/>
      <c r="F300" s="250" t="str">
        <f>F298</f>
        <v>坚朗</v>
      </c>
      <c r="G300" s="108">
        <f>材料价格!B17</f>
        <v>115</v>
      </c>
      <c r="H300" s="147">
        <f t="shared" si="52"/>
        <v>0</v>
      </c>
      <c r="I300" s="149"/>
      <c r="J300" s="255"/>
      <c r="K300" s="255"/>
      <c r="L300" s="255"/>
      <c r="M300" s="255"/>
    </row>
    <row r="301" spans="2:13" ht="18" customHeight="1">
      <c r="B301" s="629"/>
      <c r="C301" s="253"/>
      <c r="D301" s="148"/>
      <c r="E301" s="250"/>
      <c r="F301" s="250"/>
      <c r="G301" s="108"/>
      <c r="H301" s="147">
        <f t="shared" si="52"/>
        <v>0</v>
      </c>
      <c r="I301" s="149"/>
      <c r="J301" s="255"/>
      <c r="K301" s="255"/>
      <c r="L301" s="255"/>
      <c r="M301" s="255"/>
    </row>
    <row r="302" spans="2:13" ht="18" customHeight="1">
      <c r="B302" s="629" t="s">
        <v>199</v>
      </c>
      <c r="C302" s="250" t="s">
        <v>200</v>
      </c>
      <c r="D302" s="148"/>
      <c r="E302" s="250"/>
      <c r="F302" s="250" t="str">
        <f>F300</f>
        <v>坚朗</v>
      </c>
      <c r="G302" s="108">
        <f>材料价格!B19</f>
        <v>230</v>
      </c>
      <c r="H302" s="147">
        <f t="shared" si="52"/>
        <v>0</v>
      </c>
      <c r="I302" s="247"/>
      <c r="J302" s="255"/>
      <c r="K302" s="255"/>
      <c r="L302" s="255"/>
      <c r="M302" s="255"/>
    </row>
    <row r="303" spans="2:13" ht="18" customHeight="1">
      <c r="B303" s="629"/>
      <c r="C303" s="250" t="s">
        <v>201</v>
      </c>
      <c r="D303" s="148"/>
      <c r="E303" s="250"/>
      <c r="F303" s="250" t="str">
        <f>F302</f>
        <v>坚朗</v>
      </c>
      <c r="G303" s="108">
        <f>材料价格!B20</f>
        <v>335</v>
      </c>
      <c r="H303" s="147">
        <f t="shared" si="52"/>
        <v>0</v>
      </c>
      <c r="I303" s="247"/>
      <c r="J303" s="255"/>
      <c r="K303" s="255"/>
      <c r="L303" s="255"/>
      <c r="M303" s="255"/>
    </row>
    <row r="304" spans="2:13" ht="18" customHeight="1">
      <c r="B304" s="150" t="s">
        <v>202</v>
      </c>
      <c r="C304" s="50"/>
      <c r="D304" s="50"/>
      <c r="E304" s="50">
        <f>SUM(E294:E303)</f>
        <v>0</v>
      </c>
      <c r="F304" s="50"/>
      <c r="G304" s="166"/>
      <c r="H304" s="151">
        <f>SUM(H294:H303)</f>
        <v>0</v>
      </c>
      <c r="I304" s="152"/>
      <c r="J304" s="42"/>
    </row>
    <row r="305" spans="1:16" ht="18" customHeight="1">
      <c r="B305" s="246" t="s">
        <v>300</v>
      </c>
      <c r="C305" s="250"/>
      <c r="D305" s="148"/>
      <c r="E305" s="253">
        <f>E294+E296</f>
        <v>0</v>
      </c>
      <c r="F305" s="148"/>
      <c r="G305" s="148">
        <f>材料价格!B27</f>
        <v>0</v>
      </c>
      <c r="H305" s="154">
        <f>E305*G305</f>
        <v>0</v>
      </c>
      <c r="I305" s="247" t="s">
        <v>203</v>
      </c>
    </row>
    <row r="306" spans="1:16" s="16" customFormat="1" ht="18" customHeight="1">
      <c r="A306" s="1"/>
      <c r="B306" s="246" t="s">
        <v>204</v>
      </c>
      <c r="C306" s="250"/>
      <c r="D306" s="148"/>
      <c r="E306" s="253">
        <f>E298+E299+E300+E301</f>
        <v>0</v>
      </c>
      <c r="F306" s="148"/>
      <c r="G306" s="148">
        <f>材料价格!B28</f>
        <v>118</v>
      </c>
      <c r="H306" s="154">
        <f>E306*G306</f>
        <v>0</v>
      </c>
      <c r="I306" s="247" t="s">
        <v>205</v>
      </c>
      <c r="J306" s="43"/>
      <c r="K306" s="43"/>
      <c r="L306" s="43"/>
      <c r="M306" s="43"/>
      <c r="N306" s="255"/>
      <c r="O306" s="255"/>
      <c r="P306" s="255"/>
    </row>
    <row r="307" spans="1:16" s="16" customFormat="1" ht="18" customHeight="1">
      <c r="A307" s="1"/>
      <c r="B307" s="246" t="s">
        <v>206</v>
      </c>
      <c r="C307" s="250"/>
      <c r="D307" s="148"/>
      <c r="E307" s="253"/>
      <c r="F307" s="148"/>
      <c r="G307" s="148"/>
      <c r="H307" s="154">
        <f>E307*G307</f>
        <v>0</v>
      </c>
      <c r="I307" s="247" t="s">
        <v>207</v>
      </c>
      <c r="J307" s="43"/>
      <c r="K307" s="43"/>
      <c r="L307" s="43"/>
      <c r="M307" s="43"/>
      <c r="N307" s="255"/>
      <c r="O307" s="255"/>
      <c r="P307" s="255"/>
    </row>
    <row r="308" spans="1:16" s="16" customFormat="1" ht="18" customHeight="1">
      <c r="A308" s="1"/>
      <c r="B308" s="150" t="s">
        <v>208</v>
      </c>
      <c r="C308" s="50"/>
      <c r="D308" s="50"/>
      <c r="E308" s="100">
        <f>SUM(E305:E307)</f>
        <v>0</v>
      </c>
      <c r="F308" s="50"/>
      <c r="G308" s="166"/>
      <c r="H308" s="155">
        <f>SUM(H305:H307)</f>
        <v>0</v>
      </c>
      <c r="I308" s="152"/>
      <c r="J308" s="43"/>
      <c r="K308" s="43"/>
      <c r="L308" s="43"/>
      <c r="M308" s="43"/>
      <c r="N308" s="255"/>
      <c r="O308" s="255"/>
      <c r="P308" s="255"/>
    </row>
    <row r="309" spans="1:16" s="16" customFormat="1" ht="18" customHeight="1">
      <c r="A309" s="1"/>
      <c r="B309" s="156" t="s">
        <v>209</v>
      </c>
      <c r="C309" s="157">
        <f>ROUND(IF(D4&lt;=200,4,0)+IF(D4&gt;200,(D4/200+1))+IF(E4&lt;=200,4,0)+IF(E4&gt;200,(E4/200+1)),0)</f>
        <v>18</v>
      </c>
      <c r="D309" s="148"/>
      <c r="E309" s="148"/>
      <c r="F309" s="148"/>
      <c r="G309" s="158">
        <v>0.5</v>
      </c>
      <c r="H309" s="159">
        <f>ROUND(C309*G309,2)</f>
        <v>9</v>
      </c>
      <c r="I309" s="247" t="s">
        <v>210</v>
      </c>
      <c r="J309" s="43"/>
      <c r="K309" s="43"/>
      <c r="L309" s="43"/>
      <c r="M309" s="43"/>
      <c r="N309" s="255"/>
      <c r="O309" s="255"/>
      <c r="P309" s="255"/>
    </row>
    <row r="310" spans="1:16" s="16" customFormat="1" ht="18" customHeight="1">
      <c r="A310" s="1"/>
      <c r="B310" s="156" t="s">
        <v>211</v>
      </c>
      <c r="C310" s="157">
        <f>C309*2</f>
        <v>36</v>
      </c>
      <c r="D310" s="148">
        <f>D309*2</f>
        <v>0</v>
      </c>
      <c r="E310" s="148"/>
      <c r="F310" s="148"/>
      <c r="G310" s="158">
        <v>0.3</v>
      </c>
      <c r="H310" s="159">
        <f>ROUND(C310*G310,2)</f>
        <v>10.8</v>
      </c>
      <c r="I310" s="247" t="s">
        <v>212</v>
      </c>
      <c r="J310" s="43"/>
      <c r="K310" s="43"/>
      <c r="L310" s="255"/>
      <c r="M310" s="255"/>
      <c r="N310" s="255"/>
      <c r="O310" s="255"/>
      <c r="P310" s="255"/>
    </row>
    <row r="311" spans="1:16" s="16" customFormat="1" ht="18" customHeight="1">
      <c r="A311" s="1"/>
      <c r="B311" s="160" t="s">
        <v>213</v>
      </c>
      <c r="C311" s="161">
        <f>F6</f>
        <v>2.1383999999999999</v>
      </c>
      <c r="D311" s="162"/>
      <c r="E311" s="162"/>
      <c r="F311" s="162"/>
      <c r="G311" s="163">
        <v>5</v>
      </c>
      <c r="H311" s="159">
        <f>ROUND(C311*G311,2)</f>
        <v>10.69</v>
      </c>
      <c r="I311" s="247"/>
      <c r="J311" s="43"/>
      <c r="K311" s="43"/>
      <c r="L311" s="255"/>
      <c r="M311" s="255"/>
      <c r="N311" s="255"/>
      <c r="O311" s="255"/>
      <c r="P311" s="255"/>
    </row>
    <row r="312" spans="1:16" s="16" customFormat="1" ht="18" customHeight="1">
      <c r="A312" s="1"/>
      <c r="B312" s="160" t="s">
        <v>214</v>
      </c>
      <c r="C312" s="161"/>
      <c r="D312" s="162"/>
      <c r="E312" s="162"/>
      <c r="F312" s="162"/>
      <c r="G312" s="163"/>
      <c r="H312" s="159">
        <f>ROUND(C312*G312,2)</f>
        <v>0</v>
      </c>
      <c r="I312" s="247"/>
      <c r="J312" s="43"/>
      <c r="K312" s="43"/>
      <c r="L312" s="255"/>
      <c r="M312" s="255"/>
      <c r="N312" s="255"/>
      <c r="O312" s="255"/>
      <c r="P312" s="255"/>
    </row>
    <row r="313" spans="1:16" s="16" customFormat="1" ht="18" customHeight="1">
      <c r="A313" s="1"/>
      <c r="B313" s="164" t="s">
        <v>397</v>
      </c>
      <c r="C313" s="161">
        <f>D291+D292</f>
        <v>1.8247679999999999</v>
      </c>
      <c r="D313" s="162"/>
      <c r="E313" s="162"/>
      <c r="F313" s="162"/>
      <c r="G313" s="163">
        <f>10+5</f>
        <v>15</v>
      </c>
      <c r="H313" s="159">
        <f>ROUND(C313*G313,2)</f>
        <v>27.37</v>
      </c>
      <c r="I313" s="247"/>
      <c r="J313" s="43"/>
      <c r="K313" s="43"/>
      <c r="L313" s="255"/>
      <c r="M313" s="255"/>
      <c r="N313" s="255"/>
      <c r="O313" s="255"/>
      <c r="P313" s="255"/>
    </row>
    <row r="314" spans="1:16" s="16" customFormat="1" ht="18" customHeight="1">
      <c r="A314" s="1"/>
      <c r="B314" s="150" t="s">
        <v>215</v>
      </c>
      <c r="C314" s="165"/>
      <c r="D314" s="50"/>
      <c r="E314" s="50"/>
      <c r="F314" s="50"/>
      <c r="G314" s="166"/>
      <c r="H314" s="155">
        <f>SUM(H309:H313)</f>
        <v>57.86</v>
      </c>
      <c r="I314" s="152"/>
      <c r="J314" s="43"/>
      <c r="K314" s="43"/>
      <c r="L314" s="255"/>
      <c r="M314" s="255"/>
      <c r="N314" s="255"/>
      <c r="O314" s="255"/>
      <c r="P314" s="255"/>
    </row>
    <row r="315" spans="1:16" s="16" customFormat="1" ht="18" customHeight="1">
      <c r="A315" s="1"/>
      <c r="B315" s="156" t="s">
        <v>216</v>
      </c>
      <c r="C315" s="167">
        <f>E203+E205+E207+I203+I205+E209+I207</f>
        <v>4</v>
      </c>
      <c r="D315" s="148"/>
      <c r="E315" s="148"/>
      <c r="F315" s="148"/>
      <c r="G315" s="168">
        <v>1.9</v>
      </c>
      <c r="H315" s="154">
        <f t="shared" ref="H315:H318" si="53">ROUND(C315*G315,2)</f>
        <v>7.6</v>
      </c>
      <c r="I315" s="224" t="s">
        <v>340</v>
      </c>
      <c r="J315" s="255"/>
      <c r="K315" s="43"/>
      <c r="L315" s="255"/>
      <c r="M315" s="255"/>
      <c r="N315" s="255"/>
      <c r="O315" s="255"/>
      <c r="P315" s="255"/>
    </row>
    <row r="316" spans="1:16" s="16" customFormat="1" ht="18" customHeight="1">
      <c r="A316" s="1"/>
      <c r="B316" s="156" t="s">
        <v>217</v>
      </c>
      <c r="C316" s="167">
        <f>ROUND((D4+E4)*2/1000,2)</f>
        <v>6.2</v>
      </c>
      <c r="D316" s="148"/>
      <c r="E316" s="238">
        <v>4</v>
      </c>
      <c r="F316" s="235">
        <f>材料价格!B25</f>
        <v>8.52</v>
      </c>
      <c r="G316" s="168">
        <f t="shared" ref="G316:G321" si="54">F316/E316</f>
        <v>2.13</v>
      </c>
      <c r="H316" s="154">
        <f t="shared" si="53"/>
        <v>13.21</v>
      </c>
      <c r="I316" s="169" t="s">
        <v>218</v>
      </c>
      <c r="J316" s="255"/>
      <c r="K316" s="43"/>
      <c r="L316" s="255"/>
      <c r="M316" s="255"/>
      <c r="N316" s="255"/>
      <c r="O316" s="255"/>
      <c r="P316" s="255"/>
    </row>
    <row r="317" spans="1:16" s="16" customFormat="1" ht="18" customHeight="1">
      <c r="A317" s="1"/>
      <c r="B317" s="156" t="s">
        <v>219</v>
      </c>
      <c r="C317" s="167">
        <f>C316</f>
        <v>6.2</v>
      </c>
      <c r="D317" s="148"/>
      <c r="E317" s="238">
        <v>3</v>
      </c>
      <c r="F317" s="235">
        <f>F316</f>
        <v>8.52</v>
      </c>
      <c r="G317" s="168">
        <f t="shared" si="54"/>
        <v>2.84</v>
      </c>
      <c r="H317" s="154">
        <f t="shared" si="53"/>
        <v>17.61</v>
      </c>
      <c r="I317" s="169" t="s">
        <v>220</v>
      </c>
      <c r="J317" s="255"/>
      <c r="K317" s="43"/>
      <c r="L317" s="255"/>
      <c r="M317" s="255"/>
      <c r="N317" s="255"/>
      <c r="O317" s="255"/>
      <c r="P317" s="255"/>
    </row>
    <row r="318" spans="1:16" s="16" customFormat="1" ht="18" customHeight="1">
      <c r="A318" s="1"/>
      <c r="B318" s="156" t="s">
        <v>221</v>
      </c>
      <c r="C318" s="167">
        <f>C316</f>
        <v>6.2</v>
      </c>
      <c r="D318" s="148"/>
      <c r="E318" s="238">
        <v>6.5</v>
      </c>
      <c r="F318" s="235">
        <f>材料价格!B26</f>
        <v>23</v>
      </c>
      <c r="G318" s="168">
        <f t="shared" si="54"/>
        <v>3.5384615384615383</v>
      </c>
      <c r="H318" s="154">
        <f t="shared" si="53"/>
        <v>21.94</v>
      </c>
      <c r="I318" s="224" t="s">
        <v>222</v>
      </c>
      <c r="J318" s="255"/>
      <c r="K318" s="43"/>
      <c r="L318" s="255"/>
      <c r="M318" s="255"/>
      <c r="N318" s="255"/>
      <c r="O318" s="255"/>
      <c r="P318" s="255"/>
    </row>
    <row r="319" spans="1:16" s="16" customFormat="1" ht="18" customHeight="1">
      <c r="A319" s="1"/>
      <c r="B319" s="156" t="s">
        <v>341</v>
      </c>
      <c r="C319" s="167">
        <f>ROUND((C97+C104+C88+C146+C153+C163)*1,2)</f>
        <v>8.6199999999999992</v>
      </c>
      <c r="D319" s="77">
        <v>1</v>
      </c>
      <c r="E319" s="238">
        <f>10</f>
        <v>10</v>
      </c>
      <c r="F319" s="235">
        <f>F317</f>
        <v>8.52</v>
      </c>
      <c r="G319" s="168">
        <f>F319/E319</f>
        <v>0.85199999999999998</v>
      </c>
      <c r="H319" s="154">
        <f>ROUND(C319*G319,2)</f>
        <v>7.34</v>
      </c>
      <c r="I319" s="247" t="s">
        <v>223</v>
      </c>
      <c r="J319" s="255"/>
      <c r="K319" s="43"/>
      <c r="L319" s="255"/>
      <c r="M319" s="255"/>
      <c r="N319" s="255"/>
      <c r="O319" s="255"/>
      <c r="P319" s="255"/>
    </row>
    <row r="320" spans="1:16" s="16" customFormat="1" ht="18" customHeight="1">
      <c r="A320" s="1"/>
      <c r="B320" s="156" t="s">
        <v>342</v>
      </c>
      <c r="C320" s="167">
        <f>C319</f>
        <v>8.6199999999999992</v>
      </c>
      <c r="D320" s="77">
        <v>1</v>
      </c>
      <c r="E320" s="238">
        <v>6</v>
      </c>
      <c r="F320" s="235">
        <f>F319</f>
        <v>8.52</v>
      </c>
      <c r="G320" s="168">
        <f t="shared" si="54"/>
        <v>1.42</v>
      </c>
      <c r="H320" s="154">
        <f>ROUND(C320*G320,2)</f>
        <v>12.24</v>
      </c>
      <c r="I320" s="247" t="s">
        <v>224</v>
      </c>
      <c r="J320" s="255"/>
      <c r="K320" s="170"/>
      <c r="L320" s="170"/>
      <c r="M320" s="170"/>
      <c r="N320" s="170"/>
      <c r="O320" s="170"/>
      <c r="P320" s="170"/>
    </row>
    <row r="321" spans="1:16" s="16" customFormat="1" ht="18" customHeight="1">
      <c r="A321" s="1"/>
      <c r="B321" s="156" t="s">
        <v>225</v>
      </c>
      <c r="C321" s="167">
        <f>C334*D334+C324*D324+C327*D327</f>
        <v>1.8119999999999998</v>
      </c>
      <c r="D321" s="77">
        <v>1</v>
      </c>
      <c r="E321" s="238">
        <f>10</f>
        <v>10</v>
      </c>
      <c r="F321" s="235">
        <f>F317</f>
        <v>8.52</v>
      </c>
      <c r="G321" s="168">
        <f t="shared" si="54"/>
        <v>0.85199999999999998</v>
      </c>
      <c r="H321" s="154">
        <f>ROUND(C321*G321,2)</f>
        <v>1.54</v>
      </c>
      <c r="I321" s="247" t="s">
        <v>226</v>
      </c>
      <c r="J321" s="255"/>
      <c r="K321" s="170"/>
      <c r="L321" s="170"/>
      <c r="M321" s="170"/>
      <c r="N321" s="170"/>
      <c r="O321" s="170"/>
      <c r="P321" s="170"/>
    </row>
    <row r="322" spans="1:16" s="16" customFormat="1" ht="18" customHeight="1">
      <c r="A322" s="1"/>
      <c r="B322" s="150" t="s">
        <v>227</v>
      </c>
      <c r="C322" s="165"/>
      <c r="D322" s="50"/>
      <c r="E322" s="50"/>
      <c r="F322" s="50"/>
      <c r="G322" s="166" t="s">
        <v>396</v>
      </c>
      <c r="H322" s="155">
        <f>SUM(H315:H321)</f>
        <v>81.48</v>
      </c>
      <c r="I322" s="152"/>
      <c r="J322" s="244" t="s">
        <v>399</v>
      </c>
      <c r="K322" s="245" t="s">
        <v>379</v>
      </c>
      <c r="L322" s="170"/>
      <c r="M322" s="170"/>
      <c r="N322" s="170"/>
      <c r="O322" s="170"/>
      <c r="P322" s="170"/>
    </row>
    <row r="323" spans="1:16" s="16" customFormat="1" ht="18" customHeight="1">
      <c r="A323" s="1"/>
      <c r="B323" s="156" t="s">
        <v>356</v>
      </c>
      <c r="C323" s="167">
        <f>C31</f>
        <v>0</v>
      </c>
      <c r="D323" s="239">
        <v>1</v>
      </c>
      <c r="E323" s="148"/>
      <c r="F323" s="148"/>
      <c r="G323" s="236">
        <f>0.45+0.85</f>
        <v>1.3</v>
      </c>
      <c r="H323" s="154">
        <f>ROUND(C323*D323*G323,2)</f>
        <v>0</v>
      </c>
      <c r="I323" s="247" t="s">
        <v>345</v>
      </c>
      <c r="J323" s="244">
        <v>1.76</v>
      </c>
      <c r="K323" s="245" t="s">
        <v>400</v>
      </c>
      <c r="L323" s="170"/>
      <c r="M323" s="171"/>
      <c r="N323" s="170"/>
      <c r="O323" s="170"/>
      <c r="P323" s="170"/>
    </row>
    <row r="324" spans="1:16" s="16" customFormat="1" ht="18" customHeight="1">
      <c r="A324" s="1"/>
      <c r="B324" s="156" t="s">
        <v>347</v>
      </c>
      <c r="C324" s="167">
        <f>C323</f>
        <v>0</v>
      </c>
      <c r="D324" s="239">
        <v>1</v>
      </c>
      <c r="E324" s="148"/>
      <c r="F324" s="148"/>
      <c r="G324" s="236">
        <v>6.89</v>
      </c>
      <c r="H324" s="154">
        <f t="shared" ref="H324:H329" si="55">ROUND(C324*D324*G324,2)</f>
        <v>0</v>
      </c>
      <c r="I324" s="247" t="s">
        <v>346</v>
      </c>
      <c r="J324" s="244">
        <v>12.25</v>
      </c>
      <c r="K324" s="245" t="s">
        <v>376</v>
      </c>
      <c r="L324" s="170"/>
      <c r="M324" s="171"/>
      <c r="N324" s="170"/>
      <c r="O324" s="170"/>
      <c r="P324" s="170"/>
    </row>
    <row r="325" spans="1:16" s="16" customFormat="1" ht="18" customHeight="1">
      <c r="A325" s="1"/>
      <c r="B325" s="156" t="s">
        <v>357</v>
      </c>
      <c r="C325" s="167">
        <f>C38</f>
        <v>0</v>
      </c>
      <c r="D325" s="239">
        <v>1</v>
      </c>
      <c r="E325" s="148"/>
      <c r="F325" s="148"/>
      <c r="G325" s="236">
        <f>0.85+0.61</f>
        <v>1.46</v>
      </c>
      <c r="H325" s="154">
        <f t="shared" si="55"/>
        <v>0</v>
      </c>
      <c r="I325" s="247" t="s">
        <v>354</v>
      </c>
      <c r="J325" s="244">
        <v>1.76</v>
      </c>
      <c r="K325" s="245" t="s">
        <v>378</v>
      </c>
      <c r="L325" s="170"/>
      <c r="M325" s="171"/>
      <c r="N325" s="170"/>
      <c r="O325" s="170"/>
      <c r="P325" s="170"/>
    </row>
    <row r="326" spans="1:16" s="16" customFormat="1" ht="18" customHeight="1">
      <c r="A326" s="1"/>
      <c r="B326" s="156" t="s">
        <v>355</v>
      </c>
      <c r="C326" s="167">
        <f>C325</f>
        <v>0</v>
      </c>
      <c r="D326" s="239">
        <v>1</v>
      </c>
      <c r="E326" s="148"/>
      <c r="F326" s="148"/>
      <c r="G326" s="236">
        <v>3.27</v>
      </c>
      <c r="H326" s="154">
        <f>ROUND(C326*D326*G326,2)</f>
        <v>0</v>
      </c>
      <c r="I326" s="247" t="s">
        <v>358</v>
      </c>
      <c r="J326" s="244">
        <v>3.27</v>
      </c>
      <c r="K326" s="245" t="s">
        <v>358</v>
      </c>
      <c r="L326" s="170"/>
      <c r="M326" s="171"/>
      <c r="N326" s="170"/>
      <c r="O326" s="170"/>
      <c r="P326" s="170"/>
    </row>
    <row r="327" spans="1:16" s="16" customFormat="1" ht="18" customHeight="1">
      <c r="A327" s="1"/>
      <c r="B327" s="156" t="s">
        <v>228</v>
      </c>
      <c r="C327" s="167">
        <f>C126</f>
        <v>0</v>
      </c>
      <c r="D327" s="239">
        <v>1</v>
      </c>
      <c r="E327" s="110"/>
      <c r="F327" s="148"/>
      <c r="G327" s="236">
        <v>6.89</v>
      </c>
      <c r="H327" s="154">
        <f t="shared" si="55"/>
        <v>0</v>
      </c>
      <c r="I327" s="247" t="s">
        <v>346</v>
      </c>
      <c r="J327" s="244">
        <v>12.25</v>
      </c>
      <c r="K327" s="245" t="s">
        <v>346</v>
      </c>
      <c r="L327" s="170"/>
      <c r="M327" s="171"/>
      <c r="N327" s="170"/>
      <c r="O327" s="170"/>
      <c r="P327" s="170"/>
    </row>
    <row r="328" spans="1:16" s="16" customFormat="1" ht="18" customHeight="1">
      <c r="A328" s="1"/>
      <c r="B328" s="156" t="s">
        <v>229</v>
      </c>
      <c r="C328" s="167">
        <f>C327</f>
        <v>0</v>
      </c>
      <c r="D328" s="239">
        <v>1</v>
      </c>
      <c r="E328" s="110"/>
      <c r="F328" s="148"/>
      <c r="G328" s="236">
        <f>G3233</f>
        <v>0</v>
      </c>
      <c r="H328" s="154">
        <f t="shared" si="55"/>
        <v>0</v>
      </c>
      <c r="I328" s="247" t="s">
        <v>345</v>
      </c>
      <c r="J328" s="244">
        <v>0</v>
      </c>
      <c r="K328" s="245" t="s">
        <v>400</v>
      </c>
      <c r="L328" s="170"/>
      <c r="M328" s="171"/>
      <c r="N328" s="170"/>
      <c r="O328" s="170"/>
      <c r="P328" s="170"/>
    </row>
    <row r="329" spans="1:16" s="16" customFormat="1" ht="18" customHeight="1">
      <c r="A329" s="1"/>
      <c r="B329" s="156" t="s">
        <v>230</v>
      </c>
      <c r="C329" s="167">
        <f>C119</f>
        <v>0</v>
      </c>
      <c r="D329" s="239">
        <v>1</v>
      </c>
      <c r="E329" s="148"/>
      <c r="F329" s="148"/>
      <c r="G329" s="236">
        <f>G3253</f>
        <v>0</v>
      </c>
      <c r="H329" s="154">
        <f t="shared" si="55"/>
        <v>0</v>
      </c>
      <c r="I329" s="247" t="s">
        <v>354</v>
      </c>
      <c r="J329" s="244">
        <v>0</v>
      </c>
      <c r="K329" s="245" t="s">
        <v>378</v>
      </c>
      <c r="L329" s="170"/>
      <c r="M329" s="171"/>
      <c r="N329" s="170"/>
      <c r="O329" s="170"/>
      <c r="P329" s="170"/>
    </row>
    <row r="330" spans="1:16" s="16" customFormat="1" ht="18" customHeight="1">
      <c r="A330" s="1"/>
      <c r="B330" s="156" t="s">
        <v>362</v>
      </c>
      <c r="C330" s="167">
        <f>C329</f>
        <v>0</v>
      </c>
      <c r="D330" s="239">
        <v>1</v>
      </c>
      <c r="E330" s="148"/>
      <c r="F330" s="148"/>
      <c r="G330" s="236">
        <v>3.27</v>
      </c>
      <c r="H330" s="154">
        <f>ROUND(C330*D330*G330,2)</f>
        <v>0</v>
      </c>
      <c r="I330" s="247" t="s">
        <v>358</v>
      </c>
      <c r="J330" s="244">
        <v>3.27</v>
      </c>
      <c r="K330" s="245" t="s">
        <v>358</v>
      </c>
      <c r="L330" s="170"/>
      <c r="M330" s="171"/>
      <c r="N330" s="170"/>
      <c r="O330" s="170"/>
      <c r="P330" s="170"/>
    </row>
    <row r="331" spans="1:16" s="16" customFormat="1" ht="18" customHeight="1">
      <c r="A331" s="1"/>
      <c r="B331" s="156" t="s">
        <v>343</v>
      </c>
      <c r="C331" s="167">
        <f>C319</f>
        <v>8.6199999999999992</v>
      </c>
      <c r="D331" s="239">
        <v>1</v>
      </c>
      <c r="E331" s="148"/>
      <c r="F331" s="148"/>
      <c r="G331" s="236">
        <v>1.25</v>
      </c>
      <c r="H331" s="154">
        <f>C331*D331*G331</f>
        <v>10.774999999999999</v>
      </c>
      <c r="I331" s="247" t="s">
        <v>344</v>
      </c>
      <c r="J331" s="244">
        <v>1.25</v>
      </c>
      <c r="K331" s="245" t="s">
        <v>344</v>
      </c>
      <c r="L331" s="170"/>
      <c r="M331" s="171"/>
      <c r="N331" s="170"/>
      <c r="O331" s="170"/>
      <c r="P331" s="170"/>
    </row>
    <row r="332" spans="1:16" s="16" customFormat="1" ht="18" customHeight="1">
      <c r="A332" s="1"/>
      <c r="B332" s="156" t="s">
        <v>350</v>
      </c>
      <c r="C332" s="167" cm="1">
        <f t="array" ref="C332">SUMPRODUCT(D26:D30*G26:G30)/1000</f>
        <v>0</v>
      </c>
      <c r="D332" s="239">
        <v>1</v>
      </c>
      <c r="E332" s="148"/>
      <c r="F332" s="148"/>
      <c r="G332" s="236">
        <v>0.41</v>
      </c>
      <c r="H332" s="154">
        <f>C332*D332*G332</f>
        <v>0</v>
      </c>
      <c r="I332" s="247" t="s">
        <v>348</v>
      </c>
      <c r="J332" s="244">
        <v>0.41</v>
      </c>
      <c r="K332" s="245" t="s">
        <v>348</v>
      </c>
      <c r="L332" s="170"/>
      <c r="M332" s="171"/>
      <c r="N332" s="170"/>
      <c r="O332" s="170"/>
      <c r="P332" s="170"/>
    </row>
    <row r="333" spans="1:16" s="16" customFormat="1" ht="18" customHeight="1">
      <c r="A333" s="1"/>
      <c r="B333" s="156" t="s">
        <v>349</v>
      </c>
      <c r="C333" s="167">
        <f>C88+C97+C104+C153+C163+C146</f>
        <v>8.6159999999999997</v>
      </c>
      <c r="D333" s="239">
        <v>1</v>
      </c>
      <c r="E333" s="148"/>
      <c r="F333" s="148"/>
      <c r="G333" s="236">
        <v>0.49</v>
      </c>
      <c r="H333" s="154">
        <f>C333*D333*G333</f>
        <v>4.2218399999999994</v>
      </c>
      <c r="I333" s="247" t="s">
        <v>351</v>
      </c>
      <c r="J333" s="244">
        <v>0.49</v>
      </c>
      <c r="K333" s="245" t="s">
        <v>351</v>
      </c>
      <c r="L333" s="170"/>
      <c r="M333" s="171"/>
      <c r="N333" s="170"/>
      <c r="O333" s="170"/>
      <c r="P333" s="170"/>
    </row>
    <row r="334" spans="1:16" s="16" customFormat="1" ht="18" customHeight="1">
      <c r="A334" s="1"/>
      <c r="B334" s="156" t="s">
        <v>353</v>
      </c>
      <c r="C334" s="167">
        <f t="array" ref="C334">SUMPRODUCT(D157:D162*G157:G162)/1000+SUM(G157:G162)*0.3+SUMPRODUCT(D68:D87*G68:G87)/1000+SUM(G68:G87)*0.3</f>
        <v>1.8119999999999998</v>
      </c>
      <c r="D334" s="239">
        <v>1</v>
      </c>
      <c r="E334" s="148"/>
      <c r="F334" s="148"/>
      <c r="G334" s="237">
        <v>5.36</v>
      </c>
      <c r="H334" s="154">
        <f>C334*G334</f>
        <v>9.7123200000000001</v>
      </c>
      <c r="I334" s="247" t="s">
        <v>352</v>
      </c>
      <c r="J334" s="244">
        <v>9.5500000000000007</v>
      </c>
      <c r="K334" s="245" t="s">
        <v>377</v>
      </c>
      <c r="L334" s="170"/>
      <c r="M334" s="171"/>
      <c r="N334" s="170"/>
      <c r="O334" s="170"/>
      <c r="P334" s="170"/>
    </row>
    <row r="335" spans="1:16" s="16" customFormat="1" ht="18" customHeight="1">
      <c r="A335" s="1"/>
      <c r="B335" s="156" t="s">
        <v>364</v>
      </c>
      <c r="C335" s="167">
        <f>C319</f>
        <v>8.6199999999999992</v>
      </c>
      <c r="D335" s="239">
        <v>1</v>
      </c>
      <c r="E335" s="148"/>
      <c r="F335" s="148"/>
      <c r="G335" s="237">
        <v>1.25</v>
      </c>
      <c r="H335" s="154"/>
      <c r="I335" s="149" t="s">
        <v>363</v>
      </c>
      <c r="J335" s="244">
        <v>1.25</v>
      </c>
      <c r="K335" s="245" t="s">
        <v>363</v>
      </c>
      <c r="L335" s="170"/>
      <c r="M335" s="171"/>
      <c r="N335" s="170"/>
      <c r="O335" s="170"/>
      <c r="P335" s="170"/>
    </row>
    <row r="336" spans="1:16" s="16" customFormat="1" ht="18" customHeight="1">
      <c r="A336" s="1"/>
      <c r="B336" s="156" t="s">
        <v>365</v>
      </c>
      <c r="C336" s="167">
        <f>C320</f>
        <v>8.6199999999999992</v>
      </c>
      <c r="D336" s="239">
        <v>1</v>
      </c>
      <c r="E336" s="148"/>
      <c r="F336" s="148"/>
      <c r="G336" s="237">
        <v>1.63</v>
      </c>
      <c r="H336" s="154"/>
      <c r="I336" s="149" t="s">
        <v>363</v>
      </c>
      <c r="J336" s="244">
        <v>1.63</v>
      </c>
      <c r="K336" s="245" t="s">
        <v>363</v>
      </c>
      <c r="L336" s="170"/>
      <c r="M336" s="171"/>
      <c r="N336" s="170"/>
      <c r="O336" s="170"/>
      <c r="P336" s="170"/>
    </row>
    <row r="337" spans="1:16" s="16" customFormat="1" ht="18" customHeight="1">
      <c r="A337" s="1"/>
      <c r="B337" s="150" t="s">
        <v>231</v>
      </c>
      <c r="C337" s="165"/>
      <c r="D337" s="50"/>
      <c r="E337" s="50"/>
      <c r="F337" s="50"/>
      <c r="G337" s="166"/>
      <c r="H337" s="155">
        <f>SUM(H323:H336)*1.05</f>
        <v>25.944617999999998</v>
      </c>
      <c r="I337" s="152"/>
      <c r="J337" s="172"/>
      <c r="K337" s="170"/>
      <c r="L337" s="170"/>
      <c r="M337" s="170"/>
      <c r="N337" s="170"/>
      <c r="O337" s="170"/>
      <c r="P337" s="170"/>
    </row>
    <row r="338" spans="1:16" s="16" customFormat="1" ht="18" customHeight="1">
      <c r="A338" s="1"/>
      <c r="B338" s="173" t="s">
        <v>366</v>
      </c>
      <c r="C338" s="174">
        <f>F250+F258+F265+F280+F285+F290</f>
        <v>2</v>
      </c>
      <c r="D338" s="175">
        <v>2</v>
      </c>
      <c r="E338" s="176"/>
      <c r="F338" s="176"/>
      <c r="G338" s="240">
        <v>0.5</v>
      </c>
      <c r="H338" s="177">
        <f t="shared" ref="H338:H343" si="56">D338*G338*C338</f>
        <v>2</v>
      </c>
      <c r="I338" s="178" t="s">
        <v>233</v>
      </c>
      <c r="J338" s="172"/>
      <c r="K338" s="170"/>
      <c r="L338" s="170"/>
      <c r="M338" s="170"/>
      <c r="N338" s="170"/>
      <c r="O338" s="170"/>
      <c r="P338" s="170"/>
    </row>
    <row r="339" spans="1:16" s="16" customFormat="1" ht="18" customHeight="1">
      <c r="A339" s="1"/>
      <c r="B339" s="173" t="s">
        <v>367</v>
      </c>
      <c r="C339" s="174">
        <f>F233+F242+F269+F273</f>
        <v>0</v>
      </c>
      <c r="D339" s="175">
        <v>4</v>
      </c>
      <c r="E339" s="176"/>
      <c r="F339" s="176"/>
      <c r="G339" s="240">
        <v>0.63</v>
      </c>
      <c r="H339" s="177">
        <f t="shared" si="56"/>
        <v>0</v>
      </c>
      <c r="I339" s="178" t="s">
        <v>234</v>
      </c>
      <c r="J339" s="172"/>
      <c r="K339" s="170"/>
      <c r="L339" s="170"/>
      <c r="M339" s="170"/>
      <c r="N339" s="170"/>
      <c r="O339" s="170"/>
      <c r="P339" s="170"/>
    </row>
    <row r="340" spans="1:16" s="16" customFormat="1" ht="18" customHeight="1">
      <c r="A340" s="1"/>
      <c r="B340" s="173" t="s">
        <v>366</v>
      </c>
      <c r="C340" s="174">
        <f>SUM(G157:G162)</f>
        <v>0</v>
      </c>
      <c r="D340" s="175">
        <f>IF(E113&gt;2200,2,0)</f>
        <v>0</v>
      </c>
      <c r="E340" s="176"/>
      <c r="F340" s="176"/>
      <c r="G340" s="240">
        <v>0.5</v>
      </c>
      <c r="H340" s="177">
        <f t="shared" si="56"/>
        <v>0</v>
      </c>
      <c r="I340" s="178" t="s">
        <v>235</v>
      </c>
      <c r="J340" s="172"/>
      <c r="K340" s="170"/>
      <c r="L340" s="170"/>
      <c r="M340" s="170"/>
      <c r="N340" s="170"/>
      <c r="O340" s="170"/>
      <c r="P340" s="170"/>
    </row>
    <row r="341" spans="1:16" s="16" customFormat="1" ht="18" customHeight="1">
      <c r="A341" s="1"/>
      <c r="B341" s="173" t="s">
        <v>367</v>
      </c>
      <c r="C341" s="174">
        <f>SUM(G116:G118)</f>
        <v>0</v>
      </c>
      <c r="D341" s="175">
        <v>4</v>
      </c>
      <c r="E341" s="176"/>
      <c r="F341" s="176"/>
      <c r="G341" s="240">
        <v>0.63</v>
      </c>
      <c r="H341" s="177">
        <f t="shared" si="56"/>
        <v>0</v>
      </c>
      <c r="I341" s="178" t="s">
        <v>236</v>
      </c>
      <c r="J341" s="172"/>
      <c r="K341" s="170"/>
      <c r="L341" s="170"/>
      <c r="M341" s="170"/>
      <c r="N341" s="170"/>
      <c r="O341" s="170"/>
      <c r="P341" s="170"/>
    </row>
    <row r="342" spans="1:16" ht="18" customHeight="1">
      <c r="B342" s="173" t="s">
        <v>237</v>
      </c>
      <c r="C342" s="174">
        <v>1</v>
      </c>
      <c r="D342" s="175">
        <f>(F291+F292)*10</f>
        <v>20</v>
      </c>
      <c r="E342" s="176"/>
      <c r="F342" s="176"/>
      <c r="G342" s="240">
        <v>0.37</v>
      </c>
      <c r="H342" s="177">
        <f t="shared" si="56"/>
        <v>7.4</v>
      </c>
      <c r="I342" s="178"/>
      <c r="J342" s="172"/>
      <c r="K342" s="172"/>
      <c r="L342" s="172"/>
      <c r="N342" s="43"/>
    </row>
    <row r="343" spans="1:16" ht="18" customHeight="1">
      <c r="B343" s="173" t="s">
        <v>232</v>
      </c>
      <c r="C343" s="174">
        <f>C338</f>
        <v>2</v>
      </c>
      <c r="D343" s="175">
        <v>0</v>
      </c>
      <c r="E343" s="176"/>
      <c r="F343" s="176"/>
      <c r="G343" s="240">
        <v>0.49</v>
      </c>
      <c r="H343" s="177">
        <f t="shared" si="56"/>
        <v>0</v>
      </c>
      <c r="I343" s="178" t="s">
        <v>238</v>
      </c>
      <c r="J343" s="172"/>
      <c r="K343" s="172"/>
      <c r="L343" s="172"/>
      <c r="N343" s="43"/>
    </row>
    <row r="344" spans="1:16" ht="18" customHeight="1">
      <c r="B344" s="156" t="s">
        <v>239</v>
      </c>
      <c r="C344" s="157"/>
      <c r="D344" s="250">
        <f>E203+E205*2+E207*2+I203+I205*2+I207*2</f>
        <v>4</v>
      </c>
      <c r="E344" s="148"/>
      <c r="F344" s="148"/>
      <c r="G344" s="148">
        <v>0.2</v>
      </c>
      <c r="H344" s="179">
        <f>D344*G344</f>
        <v>0.8</v>
      </c>
      <c r="I344" s="247" t="s">
        <v>368</v>
      </c>
      <c r="J344" s="172"/>
      <c r="K344" s="172"/>
      <c r="L344" s="172"/>
    </row>
    <row r="345" spans="1:16" ht="18" customHeight="1">
      <c r="B345" s="156" t="s">
        <v>240</v>
      </c>
      <c r="C345" s="157"/>
      <c r="D345" s="250">
        <f>4*(E52+E53+E54+E55+G52+G53+G54+G55+G60+G61+G62+G63+E130+E131+E132+G130+G131+G132+G137+G138)</f>
        <v>4</v>
      </c>
      <c r="E345" s="148"/>
      <c r="F345" s="148"/>
      <c r="G345" s="148">
        <v>0.22</v>
      </c>
      <c r="H345" s="179">
        <f>D345*G345</f>
        <v>0.88</v>
      </c>
      <c r="I345" s="247" t="s">
        <v>241</v>
      </c>
      <c r="J345" s="172"/>
      <c r="K345" s="172"/>
      <c r="L345" s="172"/>
    </row>
    <row r="346" spans="1:16" ht="18" customHeight="1">
      <c r="B346" s="156" t="s">
        <v>242</v>
      </c>
      <c r="C346" s="157"/>
      <c r="D346" s="250">
        <f>D345/2</f>
        <v>2</v>
      </c>
      <c r="E346" s="148"/>
      <c r="F346" s="148"/>
      <c r="G346" s="148">
        <v>0.22</v>
      </c>
      <c r="H346" s="179">
        <f>ROUND(D346*G346,2)</f>
        <v>0.44</v>
      </c>
      <c r="I346" s="247" t="s">
        <v>243</v>
      </c>
      <c r="J346" s="172"/>
      <c r="K346" s="172"/>
      <c r="L346" s="172"/>
    </row>
    <row r="347" spans="1:16" ht="18" customHeight="1">
      <c r="B347" s="156" t="s">
        <v>369</v>
      </c>
      <c r="C347" s="157"/>
      <c r="D347" s="250">
        <f>D346</f>
        <v>2</v>
      </c>
      <c r="E347" s="148"/>
      <c r="F347" s="148"/>
      <c r="G347" s="148">
        <v>1.37</v>
      </c>
      <c r="H347" s="179">
        <f>ROUND(D347*G347,2)</f>
        <v>2.74</v>
      </c>
      <c r="I347" s="247" t="s">
        <v>370</v>
      </c>
      <c r="J347" s="172"/>
      <c r="K347" s="172"/>
      <c r="L347" s="172"/>
    </row>
    <row r="348" spans="1:16" ht="18" customHeight="1">
      <c r="B348" s="156" t="s">
        <v>244</v>
      </c>
      <c r="C348" s="157"/>
      <c r="D348" s="250">
        <f>(F291+F292)*2</f>
        <v>4</v>
      </c>
      <c r="E348" s="148"/>
      <c r="F348" s="148"/>
      <c r="G348" s="148">
        <v>0.48</v>
      </c>
      <c r="H348" s="179">
        <f>ROUND(D348*G348,2)</f>
        <v>1.92</v>
      </c>
      <c r="I348" s="247" t="s">
        <v>245</v>
      </c>
      <c r="J348" s="255"/>
    </row>
    <row r="349" spans="1:16" ht="18" customHeight="1">
      <c r="B349" s="156" t="s">
        <v>246</v>
      </c>
      <c r="C349" s="157"/>
      <c r="D349" s="250">
        <f>ROUND((D4+E4-240)*2/200+E217*F217/200,0)</f>
        <v>35</v>
      </c>
      <c r="E349" s="148"/>
      <c r="F349" s="148"/>
      <c r="G349" s="148">
        <v>0.05</v>
      </c>
      <c r="H349" s="179">
        <f>ROUND(D349*G349,2)</f>
        <v>1.75</v>
      </c>
      <c r="I349" s="247" t="s">
        <v>247</v>
      </c>
      <c r="J349" s="255"/>
    </row>
    <row r="350" spans="1:16" ht="18" customHeight="1">
      <c r="B350" s="150" t="s">
        <v>248</v>
      </c>
      <c r="C350" s="165"/>
      <c r="D350" s="50"/>
      <c r="E350" s="50"/>
      <c r="F350" s="50"/>
      <c r="G350" s="166"/>
      <c r="H350" s="155">
        <f>SUM(H338:H349)</f>
        <v>17.93</v>
      </c>
      <c r="I350" s="152"/>
    </row>
    <row r="351" spans="1:16" ht="18" customHeight="1">
      <c r="B351" s="156" t="s">
        <v>359</v>
      </c>
      <c r="C351" s="157"/>
      <c r="D351" s="250">
        <f>SUMPRODUCT(G26:G30)*8+SUMPRODUCT(G35:G37)*8+SUMPRODUCT(G116:G118)*8+SUMPRODUCT(G123:G125)*8</f>
        <v>0</v>
      </c>
      <c r="E351" s="148"/>
      <c r="F351" s="148"/>
      <c r="G351" s="148">
        <v>1.26</v>
      </c>
      <c r="H351" s="154">
        <f>ROUND(D351*G351,2)</f>
        <v>0</v>
      </c>
      <c r="I351" s="247" t="s">
        <v>386</v>
      </c>
    </row>
    <row r="352" spans="1:16" ht="18" customHeight="1">
      <c r="B352" s="156" t="s">
        <v>360</v>
      </c>
      <c r="C352" s="157"/>
      <c r="D352" s="250">
        <f>G26*4+G27*4+G28*4+G29*4+G30*4</f>
        <v>0</v>
      </c>
      <c r="E352" s="148"/>
      <c r="F352" s="148"/>
      <c r="G352" s="148">
        <v>2</v>
      </c>
      <c r="H352" s="154">
        <f>ROUND(D352*G352,2)</f>
        <v>0</v>
      </c>
      <c r="I352" s="247" t="s">
        <v>361</v>
      </c>
    </row>
    <row r="353" spans="1:22" ht="18" customHeight="1">
      <c r="B353" s="156" t="s">
        <v>249</v>
      </c>
      <c r="C353" s="157"/>
      <c r="D353" s="250"/>
      <c r="E353" s="148"/>
      <c r="F353" s="148"/>
      <c r="G353" s="148">
        <v>1.6</v>
      </c>
      <c r="H353" s="154"/>
      <c r="I353" s="247"/>
    </row>
    <row r="354" spans="1:22" ht="18" customHeight="1">
      <c r="B354" s="156" t="s">
        <v>250</v>
      </c>
      <c r="C354" s="157"/>
      <c r="D354" s="44">
        <f>C22+C31+C38+C48+C56+C64+C112+C119+C126+C133+C139+C199</f>
        <v>7.4539999999999997</v>
      </c>
      <c r="E354" s="148"/>
      <c r="F354" s="148"/>
      <c r="G354" s="179">
        <v>4</v>
      </c>
      <c r="H354" s="154">
        <f t="shared" ref="H354:H356" si="57">ROUND(D354*G354,2)</f>
        <v>29.82</v>
      </c>
      <c r="I354" s="247"/>
    </row>
    <row r="355" spans="1:22" ht="18" customHeight="1">
      <c r="B355" s="156" t="s">
        <v>251</v>
      </c>
      <c r="C355" s="157" t="s">
        <v>252</v>
      </c>
      <c r="D355" s="44">
        <f>C88+C163</f>
        <v>8.6159999999999997</v>
      </c>
      <c r="E355" s="148"/>
      <c r="F355" s="148"/>
      <c r="G355" s="179">
        <v>3.15</v>
      </c>
      <c r="H355" s="154">
        <f t="shared" si="57"/>
        <v>27.14</v>
      </c>
      <c r="I355" s="247"/>
    </row>
    <row r="356" spans="1:22" ht="18" customHeight="1">
      <c r="B356" s="156" t="s">
        <v>253</v>
      </c>
      <c r="C356" s="157" t="s">
        <v>254</v>
      </c>
      <c r="D356" s="44">
        <f>C97+C104+C146+C153</f>
        <v>0</v>
      </c>
      <c r="E356" s="148"/>
      <c r="F356" s="148"/>
      <c r="G356" s="179">
        <v>3.65</v>
      </c>
      <c r="H356" s="154">
        <f t="shared" si="57"/>
        <v>0</v>
      </c>
      <c r="I356" s="247"/>
    </row>
    <row r="357" spans="1:22" ht="18" customHeight="1">
      <c r="B357" s="156" t="s">
        <v>387</v>
      </c>
      <c r="C357" s="157"/>
      <c r="D357" s="44">
        <f>F291+F292</f>
        <v>2</v>
      </c>
      <c r="E357" s="148"/>
      <c r="F357" s="148"/>
      <c r="G357" s="179">
        <v>6</v>
      </c>
      <c r="H357" s="154"/>
      <c r="I357" s="247"/>
    </row>
    <row r="358" spans="1:22" ht="18" customHeight="1">
      <c r="B358" s="156" t="s">
        <v>255</v>
      </c>
      <c r="C358" s="157"/>
      <c r="D358" s="180">
        <f>F14*2</f>
        <v>11.76</v>
      </c>
      <c r="E358" s="148"/>
      <c r="F358" s="148"/>
      <c r="G358" s="148">
        <v>70</v>
      </c>
      <c r="H358" s="154">
        <f>D358*G358</f>
        <v>823.19999999999993</v>
      </c>
      <c r="I358" s="247"/>
    </row>
    <row r="359" spans="1:22" ht="18" customHeight="1">
      <c r="B359" s="156" t="s">
        <v>858</v>
      </c>
      <c r="C359" s="157"/>
      <c r="D359" s="180">
        <f>D4*2/1000</f>
        <v>2.8</v>
      </c>
      <c r="E359" s="148"/>
      <c r="F359" s="148"/>
      <c r="G359" s="148">
        <v>180</v>
      </c>
      <c r="H359" s="154">
        <f>D359*G359</f>
        <v>503.99999999999994</v>
      </c>
      <c r="I359" s="247"/>
    </row>
    <row r="360" spans="1:22" ht="18" customHeight="1">
      <c r="B360" s="156" t="s">
        <v>388</v>
      </c>
      <c r="C360" s="157"/>
      <c r="D360" s="250">
        <v>1</v>
      </c>
      <c r="E360" s="148"/>
      <c r="F360" s="148"/>
      <c r="G360" s="148">
        <v>9.6</v>
      </c>
      <c r="H360" s="154">
        <f>ROUND(D360*G360,2)</f>
        <v>9.6</v>
      </c>
      <c r="I360" s="247"/>
    </row>
    <row r="361" spans="1:22" ht="18" customHeight="1">
      <c r="B361" s="156" t="s">
        <v>901</v>
      </c>
      <c r="C361" s="157"/>
      <c r="D361" s="463">
        <f>(D4+E4)*2/1000</f>
        <v>6.2</v>
      </c>
      <c r="E361" s="148"/>
      <c r="F361" s="148"/>
      <c r="G361" s="148">
        <v>45</v>
      </c>
      <c r="H361" s="154">
        <f>ROUND(D361*G361,2)</f>
        <v>279</v>
      </c>
      <c r="I361" s="468"/>
    </row>
    <row r="362" spans="1:22" ht="18" customHeight="1">
      <c r="B362" s="181" t="s">
        <v>398</v>
      </c>
      <c r="C362" s="157"/>
      <c r="D362" s="182">
        <f>F366</f>
        <v>2.1678999999999999</v>
      </c>
      <c r="E362" s="148"/>
      <c r="F362" s="148"/>
      <c r="G362" s="148">
        <v>3</v>
      </c>
      <c r="H362" s="154">
        <f>D362*G362</f>
        <v>6.5037000000000003</v>
      </c>
      <c r="I362" s="247"/>
    </row>
    <row r="363" spans="1:22" ht="18" customHeight="1">
      <c r="B363" s="150" t="s">
        <v>256</v>
      </c>
      <c r="C363" s="50"/>
      <c r="D363" s="50"/>
      <c r="E363" s="50"/>
      <c r="F363" s="50"/>
      <c r="G363" s="166"/>
      <c r="H363" s="155">
        <f>SUM(H351:H362)</f>
        <v>1679.2636999999997</v>
      </c>
      <c r="I363" s="183"/>
    </row>
    <row r="364" spans="1:22" ht="18" customHeight="1">
      <c r="B364" s="248" t="s">
        <v>257</v>
      </c>
      <c r="C364" s="185"/>
      <c r="D364" s="186"/>
      <c r="E364" s="185"/>
      <c r="F364" s="186"/>
      <c r="G364" s="186"/>
      <c r="H364" s="187">
        <f>SUM(H363,H350,H337,H322,H314,H308,H304)</f>
        <v>1862.4783179999997</v>
      </c>
      <c r="I364" s="188"/>
    </row>
    <row r="365" spans="1:22" ht="18" customHeight="1">
      <c r="A365" s="189"/>
      <c r="B365" s="190" t="s">
        <v>258</v>
      </c>
      <c r="C365" s="10" t="s">
        <v>14</v>
      </c>
      <c r="D365" s="10" t="s">
        <v>16</v>
      </c>
      <c r="E365" s="10" t="s">
        <v>17</v>
      </c>
      <c r="F365" s="10" t="s">
        <v>7</v>
      </c>
      <c r="G365" s="10" t="s">
        <v>5</v>
      </c>
      <c r="H365" s="10" t="s">
        <v>18</v>
      </c>
      <c r="I365" s="191" t="s">
        <v>259</v>
      </c>
      <c r="L365" s="192"/>
      <c r="M365" s="192"/>
    </row>
    <row r="366" spans="1:22" ht="18" customHeight="1">
      <c r="B366" s="48">
        <f>ROUND(I366/F366,2)</f>
        <v>1785.4</v>
      </c>
      <c r="C366" s="50" t="s">
        <v>299</v>
      </c>
      <c r="D366" s="50">
        <f>D5</f>
        <v>1330</v>
      </c>
      <c r="E366" s="50">
        <f>E5</f>
        <v>1630</v>
      </c>
      <c r="F366" s="49">
        <f>E366*D366/1000000</f>
        <v>2.1678999999999999</v>
      </c>
      <c r="G366" s="50">
        <f>G4</f>
        <v>1</v>
      </c>
      <c r="H366" s="49">
        <f>F366</f>
        <v>2.1678999999999999</v>
      </c>
      <c r="I366" s="193">
        <f>H364+H291+H292+I223+I12</f>
        <v>3870.5706267959995</v>
      </c>
      <c r="K366" s="192"/>
    </row>
    <row r="367" spans="1:22" ht="18" customHeight="1">
      <c r="B367" s="194" t="s">
        <v>258</v>
      </c>
      <c r="C367" s="195" t="s">
        <v>260</v>
      </c>
      <c r="D367" s="195" t="s">
        <v>261</v>
      </c>
      <c r="E367" s="195" t="s">
        <v>262</v>
      </c>
      <c r="F367" s="195" t="s">
        <v>263</v>
      </c>
      <c r="G367" s="195" t="s">
        <v>264</v>
      </c>
      <c r="H367" s="195" t="s">
        <v>265</v>
      </c>
      <c r="I367" s="196" t="s">
        <v>266</v>
      </c>
    </row>
    <row r="368" spans="1:22" ht="30" customHeight="1" thickBot="1">
      <c r="B368" s="197">
        <f>ROUND(I366/H366,2)</f>
        <v>1785.4</v>
      </c>
      <c r="C368" s="198">
        <f>E294+E296+E298+E300+E302+E303+E297+E299</f>
        <v>0</v>
      </c>
      <c r="D368" s="199"/>
      <c r="E368" s="199"/>
      <c r="F368" s="200"/>
      <c r="G368" s="200"/>
      <c r="H368" s="200"/>
      <c r="I368" s="201"/>
      <c r="O368" s="631" t="s">
        <v>603</v>
      </c>
      <c r="P368" s="631"/>
      <c r="Q368" s="631"/>
      <c r="R368" s="631"/>
      <c r="S368" s="631"/>
      <c r="T368" s="631"/>
      <c r="U368" s="631"/>
      <c r="V368" s="631"/>
    </row>
    <row r="369" spans="2:22" ht="20.100000000000001" customHeight="1">
      <c r="B369" s="42"/>
      <c r="L369" s="202"/>
      <c r="M369" s="202"/>
      <c r="N369" s="202"/>
      <c r="O369" s="634" t="s">
        <v>604</v>
      </c>
      <c r="P369" s="634"/>
      <c r="Q369" s="634"/>
      <c r="R369" s="634"/>
      <c r="S369" s="634"/>
      <c r="T369" s="634"/>
      <c r="U369" s="634"/>
      <c r="V369" s="634"/>
    </row>
    <row r="370" spans="2:22" ht="20.100000000000001" customHeight="1">
      <c r="B370" s="102" t="s">
        <v>862</v>
      </c>
      <c r="C370" s="203"/>
      <c r="D370" s="203" t="s">
        <v>267</v>
      </c>
      <c r="E370" s="203"/>
      <c r="J370" s="102"/>
      <c r="O370" s="285" t="s">
        <v>279</v>
      </c>
      <c r="P370" s="624" t="s">
        <v>633</v>
      </c>
      <c r="Q370" s="625"/>
      <c r="R370" s="312" t="str">
        <f ca="1">B4</f>
        <v>C1417</v>
      </c>
      <c r="S370" s="312"/>
      <c r="T370" s="313"/>
      <c r="U370" s="287" t="s">
        <v>605</v>
      </c>
      <c r="V370" s="288"/>
    </row>
    <row r="371" spans="2:22" ht="24.95" customHeight="1">
      <c r="B371" s="102">
        <f>ROUND(I366/F6,2)</f>
        <v>1810.03</v>
      </c>
      <c r="C371" s="203">
        <f>U392</f>
        <v>2643.5526999760418</v>
      </c>
      <c r="D371" s="203">
        <f>E304</f>
        <v>0</v>
      </c>
      <c r="E371" s="203"/>
      <c r="J371" s="102"/>
      <c r="O371" s="635" t="s">
        <v>606</v>
      </c>
      <c r="P371" s="623" t="s">
        <v>626</v>
      </c>
      <c r="Q371" s="623"/>
      <c r="R371" s="623"/>
      <c r="S371" s="623"/>
      <c r="T371" s="637"/>
      <c r="U371" s="291" t="s">
        <v>607</v>
      </c>
      <c r="V371" s="292" t="s">
        <v>313</v>
      </c>
    </row>
    <row r="372" spans="2:22" ht="24.95" customHeight="1">
      <c r="L372" s="102"/>
      <c r="M372" s="102"/>
      <c r="N372" s="102"/>
      <c r="O372" s="636"/>
      <c r="P372" s="638"/>
      <c r="Q372" s="638"/>
      <c r="R372" s="638"/>
      <c r="S372" s="638"/>
      <c r="T372" s="638"/>
      <c r="U372" s="291" t="s">
        <v>268</v>
      </c>
      <c r="V372" s="293">
        <f>F4</f>
        <v>1.87</v>
      </c>
    </row>
    <row r="373" spans="2:22" ht="24.95" customHeight="1">
      <c r="J373" s="102"/>
      <c r="K373" s="102"/>
      <c r="L373" s="102"/>
      <c r="M373" s="102"/>
      <c r="N373" s="102"/>
      <c r="O373" s="311" t="s">
        <v>0</v>
      </c>
      <c r="P373" s="289" t="s">
        <v>608</v>
      </c>
      <c r="Q373" s="289" t="s">
        <v>627</v>
      </c>
      <c r="R373" s="289" t="s">
        <v>269</v>
      </c>
      <c r="S373" s="294" t="s">
        <v>8</v>
      </c>
      <c r="T373" s="295" t="s">
        <v>609</v>
      </c>
      <c r="U373" s="296" t="s">
        <v>270</v>
      </c>
      <c r="V373" s="295" t="s">
        <v>610</v>
      </c>
    </row>
    <row r="374" spans="2:22" ht="20.100000000000001" customHeight="1">
      <c r="J374" s="102"/>
      <c r="K374" s="102"/>
      <c r="L374" s="102"/>
      <c r="M374" s="102"/>
      <c r="N374" s="102"/>
      <c r="O374" s="297" t="s">
        <v>305</v>
      </c>
      <c r="P374" s="298" t="s">
        <v>611</v>
      </c>
      <c r="Q374" s="298"/>
      <c r="R374" s="286"/>
      <c r="S374" s="299"/>
      <c r="T374" s="300"/>
      <c r="U374" s="301">
        <f>SUM(U375:U383)</f>
        <v>3782.9362907959994</v>
      </c>
      <c r="V374" s="286"/>
    </row>
    <row r="375" spans="2:22" ht="20.100000000000001" customHeight="1">
      <c r="J375" s="102"/>
      <c r="K375" s="102"/>
      <c r="L375" s="102"/>
      <c r="M375" s="102"/>
      <c r="N375" s="102"/>
      <c r="O375" s="286">
        <v>1</v>
      </c>
      <c r="P375" s="302" t="s">
        <v>612</v>
      </c>
      <c r="Q375" s="307"/>
      <c r="R375" s="286" t="s">
        <v>271</v>
      </c>
      <c r="S375" s="303">
        <f>E223</f>
        <v>35.813184000000007</v>
      </c>
      <c r="T375" s="304">
        <f>I223/E223</f>
        <v>46.083372782380913</v>
      </c>
      <c r="U375" s="305">
        <f t="shared" ref="U375:U383" si="58">T375*S375</f>
        <v>1650.392308796</v>
      </c>
      <c r="V375" s="306"/>
    </row>
    <row r="376" spans="2:22" ht="20.100000000000001" customHeight="1">
      <c r="J376" s="102"/>
      <c r="K376" s="102"/>
      <c r="L376" s="102"/>
      <c r="M376" s="102"/>
      <c r="N376" s="102"/>
      <c r="O376" s="286">
        <v>2</v>
      </c>
      <c r="P376" s="290" t="s">
        <v>613</v>
      </c>
      <c r="Q376" s="307"/>
      <c r="R376" s="286" t="s">
        <v>276</v>
      </c>
      <c r="S376" s="303">
        <f>D358</f>
        <v>11.76</v>
      </c>
      <c r="T376" s="304">
        <f>G358</f>
        <v>70</v>
      </c>
      <c r="U376" s="305">
        <f t="shared" si="58"/>
        <v>823.19999999999993</v>
      </c>
      <c r="V376" s="306"/>
    </row>
    <row r="377" spans="2:22" ht="20.100000000000001" customHeight="1">
      <c r="J377" s="102"/>
      <c r="K377" s="102"/>
      <c r="L377" s="102"/>
      <c r="M377" s="102"/>
      <c r="N377" s="102"/>
      <c r="O377" s="286">
        <v>3</v>
      </c>
      <c r="P377" s="302" t="s">
        <v>614</v>
      </c>
      <c r="Q377" s="302"/>
      <c r="R377" s="286" t="s">
        <v>312</v>
      </c>
      <c r="S377" s="303">
        <f>D291+D292</f>
        <v>1.8247679999999999</v>
      </c>
      <c r="T377" s="304">
        <f>材料价格!B10</f>
        <v>148</v>
      </c>
      <c r="U377" s="305">
        <f t="shared" si="58"/>
        <v>270.06566399999997</v>
      </c>
      <c r="V377" s="306"/>
    </row>
    <row r="378" spans="2:22" ht="20.100000000000001" customHeight="1">
      <c r="B378" s="630" t="s">
        <v>277</v>
      </c>
      <c r="C378" s="630"/>
      <c r="D378" s="630"/>
      <c r="E378" s="630"/>
      <c r="F378" s="630"/>
      <c r="G378" s="630"/>
      <c r="H378" s="630"/>
      <c r="I378" s="630"/>
      <c r="J378" s="102"/>
      <c r="K378" s="102"/>
      <c r="L378" s="102"/>
      <c r="M378" s="102"/>
      <c r="N378" s="102"/>
      <c r="O378" s="286">
        <v>4</v>
      </c>
      <c r="P378" s="302" t="s">
        <v>615</v>
      </c>
      <c r="Q378" s="306"/>
      <c r="R378" s="286" t="s">
        <v>278</v>
      </c>
      <c r="S378" s="303">
        <f>(H316+H317+H319+H320+H321)/F316</f>
        <v>6.096244131455399</v>
      </c>
      <c r="T378" s="304">
        <f>材料价格!B25</f>
        <v>8.52</v>
      </c>
      <c r="U378" s="305">
        <f t="shared" si="58"/>
        <v>51.94</v>
      </c>
      <c r="V378" s="306"/>
    </row>
    <row r="379" spans="2:22" ht="20.100000000000001" customHeight="1">
      <c r="B379" s="204" t="s">
        <v>279</v>
      </c>
      <c r="C379" s="205" t="s">
        <v>280</v>
      </c>
      <c r="D379" s="205" t="s">
        <v>281</v>
      </c>
      <c r="E379" s="205" t="s">
        <v>282</v>
      </c>
      <c r="F379" s="205" t="s">
        <v>379</v>
      </c>
      <c r="G379" s="205"/>
      <c r="H379" s="205" t="s">
        <v>28</v>
      </c>
      <c r="I379" s="205" t="s">
        <v>259</v>
      </c>
      <c r="J379" s="102"/>
      <c r="K379" s="102"/>
      <c r="L379" s="102"/>
      <c r="M379" s="102"/>
      <c r="N379" s="102"/>
      <c r="O379" s="286">
        <v>5</v>
      </c>
      <c r="P379" s="306" t="s">
        <v>616</v>
      </c>
      <c r="Q379" s="302"/>
      <c r="R379" s="286" t="s">
        <v>628</v>
      </c>
      <c r="S379" s="303">
        <f>H337/21</f>
        <v>1.2354579999999999</v>
      </c>
      <c r="T379" s="304">
        <v>21</v>
      </c>
      <c r="U379" s="305">
        <f t="shared" si="58"/>
        <v>25.944617999999998</v>
      </c>
      <c r="V379" s="306"/>
    </row>
    <row r="380" spans="2:22" ht="20.100000000000001" customHeight="1">
      <c r="B380" s="206" t="s">
        <v>284</v>
      </c>
      <c r="C380" s="208" t="s">
        <v>384</v>
      </c>
      <c r="D380" s="207">
        <f>C22+C31+C38+C48+C56+C112+C119+C126+C133+C139+C177+C184+C191+C199</f>
        <v>7.4539999999999997</v>
      </c>
      <c r="E380" s="207" t="s">
        <v>383</v>
      </c>
      <c r="F380" s="206"/>
      <c r="G380" s="206"/>
      <c r="H380" s="241">
        <v>2.4</v>
      </c>
      <c r="I380" s="207"/>
      <c r="J380" s="102"/>
      <c r="K380" s="102"/>
      <c r="L380" s="102"/>
      <c r="M380" s="102"/>
      <c r="N380" s="102"/>
      <c r="O380" s="286">
        <v>6</v>
      </c>
      <c r="P380" s="302" t="s">
        <v>319</v>
      </c>
      <c r="Q380" s="302"/>
      <c r="R380" s="286" t="s">
        <v>273</v>
      </c>
      <c r="S380" s="303"/>
      <c r="T380" s="304"/>
      <c r="U380" s="305">
        <f t="shared" si="58"/>
        <v>0</v>
      </c>
      <c r="V380" s="306"/>
    </row>
    <row r="381" spans="2:22" ht="20.100000000000001" customHeight="1">
      <c r="B381" s="206" t="s">
        <v>286</v>
      </c>
      <c r="C381" s="206" t="s">
        <v>287</v>
      </c>
      <c r="D381" s="209">
        <f>(J22+J31+J38+J48+J112+J119+J126)*4+(J56+J133)*2</f>
        <v>6</v>
      </c>
      <c r="E381" s="207" t="s">
        <v>285</v>
      </c>
      <c r="F381" s="206"/>
      <c r="G381" s="206"/>
      <c r="H381" s="241">
        <v>0.5</v>
      </c>
      <c r="I381" s="207">
        <f>H381*D381</f>
        <v>3</v>
      </c>
      <c r="J381" s="102"/>
      <c r="K381" s="102"/>
      <c r="L381" s="102"/>
      <c r="M381" s="102"/>
      <c r="N381" s="102"/>
      <c r="O381" s="286">
        <v>7</v>
      </c>
      <c r="P381" s="302" t="s">
        <v>295</v>
      </c>
      <c r="Q381" s="302"/>
      <c r="R381" s="286" t="s">
        <v>273</v>
      </c>
      <c r="S381" s="303"/>
      <c r="T381" s="304">
        <f>材料价格!B19</f>
        <v>230</v>
      </c>
      <c r="U381" s="305">
        <f t="shared" si="58"/>
        <v>0</v>
      </c>
      <c r="V381" s="306"/>
    </row>
    <row r="382" spans="2:22" ht="20.100000000000001" customHeight="1">
      <c r="B382" s="206" t="s">
        <v>289</v>
      </c>
      <c r="C382" s="206"/>
      <c r="D382" s="210">
        <f>ROUND((C22+C56*2+C64*2+C112+C133*2+C139*2)/0.3,0)+2</f>
        <v>32</v>
      </c>
      <c r="E382" s="207" t="s">
        <v>285</v>
      </c>
      <c r="F382" s="206"/>
      <c r="G382" s="206"/>
      <c r="H382" s="241">
        <v>0.3</v>
      </c>
      <c r="I382" s="207">
        <f t="shared" ref="I382:I387" si="59">H382*D382</f>
        <v>9.6</v>
      </c>
      <c r="J382" s="102"/>
      <c r="K382" s="102"/>
      <c r="L382" s="102"/>
      <c r="M382" s="102"/>
      <c r="N382" s="102"/>
      <c r="O382" s="286">
        <v>8</v>
      </c>
      <c r="P382" s="302" t="s">
        <v>296</v>
      </c>
      <c r="Q382" s="302"/>
      <c r="R382" s="286" t="s">
        <v>273</v>
      </c>
      <c r="S382" s="303">
        <f>E303</f>
        <v>0</v>
      </c>
      <c r="T382" s="304">
        <f>材料价格!B20</f>
        <v>335</v>
      </c>
      <c r="U382" s="305">
        <f t="shared" si="58"/>
        <v>0</v>
      </c>
      <c r="V382" s="306"/>
    </row>
    <row r="383" spans="2:22" ht="20.100000000000001" customHeight="1">
      <c r="B383" s="206" t="s">
        <v>381</v>
      </c>
      <c r="C383" s="206" t="s">
        <v>389</v>
      </c>
      <c r="D383" s="211">
        <f>C22+C31+C38+C56*2+C64*2+C112+C119+C126+C133*2</f>
        <v>9.0280000000000005</v>
      </c>
      <c r="E383" s="207" t="s">
        <v>285</v>
      </c>
      <c r="F383" s="206" t="s">
        <v>380</v>
      </c>
      <c r="G383" s="206"/>
      <c r="H383" s="241">
        <v>2.81</v>
      </c>
      <c r="I383" s="207">
        <f>H383*D383</f>
        <v>25.368680000000001</v>
      </c>
      <c r="J383" s="102"/>
      <c r="K383" s="102"/>
      <c r="L383" s="102"/>
      <c r="M383" s="102"/>
      <c r="N383" s="102"/>
      <c r="O383" s="286">
        <v>9</v>
      </c>
      <c r="P383" s="302" t="s">
        <v>617</v>
      </c>
      <c r="Q383" s="302"/>
      <c r="R383" s="286" t="s">
        <v>618</v>
      </c>
      <c r="S383" s="296">
        <v>1</v>
      </c>
      <c r="T383" s="304">
        <f>H363-H358+H350+H318+H315+H314</f>
        <v>961.39369999999985</v>
      </c>
      <c r="U383" s="305">
        <f t="shared" si="58"/>
        <v>961.39369999999985</v>
      </c>
      <c r="V383" s="306"/>
    </row>
    <row r="384" spans="2:22" ht="20.100000000000001" customHeight="1">
      <c r="B384" s="206" t="s">
        <v>390</v>
      </c>
      <c r="C384" s="206" t="s">
        <v>392</v>
      </c>
      <c r="D384" s="211">
        <f>C22+C88+C112+C163</f>
        <v>14.495999999999999</v>
      </c>
      <c r="E384" s="207" t="s">
        <v>285</v>
      </c>
      <c r="F384" s="206" t="s">
        <v>394</v>
      </c>
      <c r="G384" s="206"/>
      <c r="H384" s="241">
        <v>3.27</v>
      </c>
      <c r="I384" s="207">
        <f t="shared" ref="I384" si="60">H384*D384</f>
        <v>47.401919999999997</v>
      </c>
      <c r="J384" s="102"/>
      <c r="K384" s="102"/>
      <c r="L384" s="102"/>
      <c r="M384" s="102"/>
      <c r="N384" s="102"/>
      <c r="O384" s="297" t="s">
        <v>306</v>
      </c>
      <c r="P384" s="308" t="s">
        <v>314</v>
      </c>
      <c r="Q384" s="298"/>
      <c r="R384" s="286"/>
      <c r="S384" s="296"/>
      <c r="T384" s="309"/>
      <c r="U384" s="301">
        <f>SUM(U385:U386)</f>
        <v>299.2</v>
      </c>
      <c r="V384" s="286"/>
    </row>
    <row r="385" spans="2:22" ht="20.100000000000001" customHeight="1">
      <c r="B385" s="206" t="s">
        <v>391</v>
      </c>
      <c r="C385" s="206" t="s">
        <v>393</v>
      </c>
      <c r="D385" s="211">
        <f>(C97+C104+C119+C126)*2</f>
        <v>0</v>
      </c>
      <c r="E385" s="207" t="s">
        <v>285</v>
      </c>
      <c r="F385" s="206" t="s">
        <v>395</v>
      </c>
      <c r="G385" s="206"/>
      <c r="H385" s="241">
        <v>1.74</v>
      </c>
      <c r="I385" s="207">
        <f t="shared" si="59"/>
        <v>0</v>
      </c>
      <c r="J385" s="102"/>
      <c r="K385" s="102"/>
      <c r="L385" s="102"/>
      <c r="M385" s="102"/>
      <c r="N385" s="102"/>
      <c r="O385" s="286">
        <v>1</v>
      </c>
      <c r="P385" s="307" t="s">
        <v>619</v>
      </c>
      <c r="Q385" s="307"/>
      <c r="R385" s="300" t="s">
        <v>312</v>
      </c>
      <c r="S385" s="296">
        <f>V372</f>
        <v>1.87</v>
      </c>
      <c r="T385" s="310">
        <v>60</v>
      </c>
      <c r="U385" s="305">
        <f>T385*S385</f>
        <v>112.2</v>
      </c>
      <c r="V385" s="286"/>
    </row>
    <row r="386" spans="2:22" ht="20.100000000000001" customHeight="1">
      <c r="B386" s="208" t="s">
        <v>382</v>
      </c>
      <c r="C386" s="206" t="s">
        <v>291</v>
      </c>
      <c r="D386" s="211">
        <f>D338+D339+D341</f>
        <v>10</v>
      </c>
      <c r="E386" s="207" t="s">
        <v>285</v>
      </c>
      <c r="F386" s="206"/>
      <c r="G386" s="206"/>
      <c r="H386" s="241">
        <v>0.56999999999999995</v>
      </c>
      <c r="I386" s="207">
        <f>H386*D386</f>
        <v>5.6999999999999993</v>
      </c>
      <c r="J386" s="102"/>
      <c r="K386" s="102"/>
      <c r="L386" s="102"/>
      <c r="M386" s="102"/>
      <c r="N386" s="102"/>
      <c r="O386" s="286">
        <v>2</v>
      </c>
      <c r="P386" s="307" t="s">
        <v>288</v>
      </c>
      <c r="Q386" s="307"/>
      <c r="R386" s="300" t="s">
        <v>312</v>
      </c>
      <c r="S386" s="296">
        <f>V372</f>
        <v>1.87</v>
      </c>
      <c r="T386" s="310">
        <v>100</v>
      </c>
      <c r="U386" s="305">
        <f>T386*S386</f>
        <v>187</v>
      </c>
      <c r="V386" s="286"/>
    </row>
    <row r="387" spans="2:22" ht="20.100000000000001" customHeight="1">
      <c r="B387" s="206" t="s">
        <v>292</v>
      </c>
      <c r="C387" s="206"/>
      <c r="D387" s="211">
        <f>H366</f>
        <v>2.1678999999999999</v>
      </c>
      <c r="E387" s="207" t="s">
        <v>285</v>
      </c>
      <c r="F387" s="206"/>
      <c r="G387" s="206"/>
      <c r="H387" s="241">
        <v>20</v>
      </c>
      <c r="I387" s="207">
        <f t="shared" si="59"/>
        <v>43.357999999999997</v>
      </c>
      <c r="J387" s="102"/>
      <c r="K387" s="102"/>
      <c r="L387" s="102"/>
      <c r="M387" s="102"/>
      <c r="N387" s="102"/>
      <c r="O387" s="297" t="s">
        <v>307</v>
      </c>
      <c r="P387" s="308" t="s">
        <v>290</v>
      </c>
      <c r="Q387" s="298"/>
      <c r="R387" s="286"/>
      <c r="S387" s="296"/>
      <c r="T387" s="309"/>
      <c r="U387" s="301">
        <f>SUM(U388)</f>
        <v>37.400000000000006</v>
      </c>
      <c r="V387" s="286"/>
    </row>
    <row r="388" spans="2:22" ht="20.100000000000001" customHeight="1">
      <c r="B388" s="212" t="s">
        <v>4</v>
      </c>
      <c r="C388" s="213"/>
      <c r="D388" s="212"/>
      <c r="E388" s="212"/>
      <c r="F388" s="212"/>
      <c r="G388" s="212"/>
      <c r="H388" s="212"/>
      <c r="I388" s="213">
        <f>SUM(I380:I387)</f>
        <v>134.42859999999999</v>
      </c>
      <c r="J388" s="242"/>
      <c r="K388" s="102"/>
      <c r="L388" s="102"/>
      <c r="M388" s="102"/>
      <c r="N388" s="102"/>
      <c r="O388" s="286">
        <v>1</v>
      </c>
      <c r="P388" s="307" t="s">
        <v>290</v>
      </c>
      <c r="Q388" s="307"/>
      <c r="R388" s="300" t="s">
        <v>312</v>
      </c>
      <c r="S388" s="296">
        <f>V372</f>
        <v>1.87</v>
      </c>
      <c r="T388" s="310">
        <v>20</v>
      </c>
      <c r="U388" s="305">
        <f>T388*S388</f>
        <v>37.400000000000006</v>
      </c>
      <c r="V388" s="286"/>
    </row>
    <row r="389" spans="2:22" ht="20.100000000000001" customHeight="1">
      <c r="J389" s="102"/>
      <c r="K389" s="102"/>
      <c r="L389" s="102"/>
      <c r="M389" s="102"/>
      <c r="N389" s="102"/>
      <c r="O389" s="286" t="s">
        <v>308</v>
      </c>
      <c r="P389" s="618" t="s">
        <v>620</v>
      </c>
      <c r="Q389" s="619"/>
      <c r="R389" s="620"/>
      <c r="S389" s="621"/>
      <c r="T389" s="622"/>
      <c r="U389" s="301">
        <f>U374+U384+U387</f>
        <v>4119.5362907959989</v>
      </c>
      <c r="V389" s="286"/>
    </row>
    <row r="390" spans="2:22" ht="20.100000000000001" customHeight="1">
      <c r="J390" s="102"/>
      <c r="K390" s="102"/>
      <c r="L390" s="102"/>
      <c r="M390" s="102"/>
      <c r="N390" s="102"/>
      <c r="O390" s="286" t="s">
        <v>309</v>
      </c>
      <c r="P390" s="618" t="s">
        <v>621</v>
      </c>
      <c r="Q390" s="619"/>
      <c r="R390" s="626">
        <v>0.2</v>
      </c>
      <c r="S390" s="627"/>
      <c r="T390" s="628"/>
      <c r="U390" s="301">
        <f>U389*R390</f>
        <v>823.90725815919984</v>
      </c>
      <c r="V390" s="286"/>
    </row>
    <row r="391" spans="2:22" ht="20.100000000000001" customHeight="1">
      <c r="J391" s="102"/>
      <c r="K391" s="102"/>
      <c r="L391" s="102"/>
      <c r="M391" s="102"/>
      <c r="N391" s="102"/>
      <c r="O391" s="286" t="s">
        <v>310</v>
      </c>
      <c r="P391" s="618" t="s">
        <v>622</v>
      </c>
      <c r="Q391" s="619"/>
      <c r="R391" s="620"/>
      <c r="S391" s="621"/>
      <c r="T391" s="622"/>
      <c r="U391" s="301">
        <f>U389+U390</f>
        <v>4943.4435489551988</v>
      </c>
      <c r="V391" s="286"/>
    </row>
    <row r="392" spans="2:22" ht="30" customHeight="1">
      <c r="L392" s="102"/>
      <c r="M392" s="102"/>
      <c r="N392" s="102"/>
      <c r="O392" s="297" t="s">
        <v>311</v>
      </c>
      <c r="P392" s="618" t="s">
        <v>623</v>
      </c>
      <c r="Q392" s="619"/>
      <c r="R392" s="620"/>
      <c r="S392" s="621"/>
      <c r="T392" s="622"/>
      <c r="U392" s="301">
        <f>U391/V372</f>
        <v>2643.5526999760418</v>
      </c>
      <c r="V392" s="286" t="s">
        <v>624</v>
      </c>
    </row>
    <row r="393" spans="2:22" ht="45" customHeight="1">
      <c r="L393" s="102"/>
      <c r="M393" s="102"/>
      <c r="N393" s="102"/>
      <c r="O393" s="623" t="s">
        <v>625</v>
      </c>
      <c r="P393" s="623"/>
      <c r="Q393" s="623"/>
      <c r="R393" s="623"/>
      <c r="S393" s="623"/>
      <c r="T393" s="623"/>
      <c r="U393" s="623"/>
      <c r="V393" s="623"/>
    </row>
    <row r="394" spans="2:22" ht="18" customHeight="1">
      <c r="L394" s="102"/>
      <c r="M394" s="102"/>
      <c r="N394" s="102"/>
      <c r="O394" s="102"/>
      <c r="P394" s="102"/>
    </row>
    <row r="395" spans="2:22">
      <c r="L395" s="102"/>
      <c r="M395" s="102"/>
      <c r="N395" s="102"/>
      <c r="O395" s="102"/>
      <c r="P395" s="102"/>
    </row>
    <row r="396" spans="2:22">
      <c r="L396" s="102"/>
      <c r="M396" s="102"/>
      <c r="N396" s="102"/>
      <c r="O396" s="102"/>
      <c r="P396" s="102"/>
    </row>
    <row r="397" spans="2:22">
      <c r="L397" s="102"/>
      <c r="M397" s="102"/>
      <c r="N397" s="102"/>
      <c r="O397" s="102"/>
      <c r="P397" s="102"/>
    </row>
    <row r="398" spans="2:22">
      <c r="L398" s="102"/>
      <c r="M398" s="102"/>
      <c r="N398" s="102"/>
      <c r="O398" s="102"/>
      <c r="P398" s="102"/>
    </row>
    <row r="399" spans="2:22">
      <c r="L399" s="102"/>
      <c r="M399" s="102"/>
      <c r="N399" s="102"/>
      <c r="O399" s="102"/>
      <c r="P399" s="102"/>
    </row>
    <row r="400" spans="2:22">
      <c r="L400" s="102"/>
      <c r="M400" s="102"/>
      <c r="N400" s="102"/>
      <c r="O400" s="102"/>
      <c r="P400" s="102"/>
    </row>
    <row r="401" spans="12:16">
      <c r="L401" s="102"/>
      <c r="M401" s="102"/>
      <c r="N401" s="102"/>
      <c r="O401" s="102"/>
      <c r="P401" s="102"/>
    </row>
    <row r="402" spans="12:16">
      <c r="L402" s="102"/>
      <c r="M402" s="102"/>
      <c r="N402" s="102"/>
      <c r="O402" s="102"/>
      <c r="P402" s="102"/>
    </row>
    <row r="403" spans="12:16">
      <c r="L403" s="102"/>
      <c r="M403" s="102"/>
      <c r="N403" s="102"/>
      <c r="O403" s="102"/>
      <c r="P403" s="102"/>
    </row>
    <row r="404" spans="12:16">
      <c r="L404" s="102"/>
      <c r="M404" s="102"/>
      <c r="N404" s="102"/>
      <c r="O404" s="102"/>
      <c r="P404" s="102"/>
    </row>
    <row r="405" spans="12:16">
      <c r="L405" s="102"/>
      <c r="M405" s="102"/>
      <c r="N405" s="102"/>
      <c r="O405" s="102"/>
      <c r="P405" s="102"/>
    </row>
    <row r="406" spans="12:16">
      <c r="L406" s="102"/>
      <c r="M406" s="102"/>
      <c r="N406" s="102"/>
      <c r="O406" s="102"/>
      <c r="P406" s="102"/>
    </row>
    <row r="407" spans="12:16">
      <c r="L407" s="102"/>
      <c r="M407" s="102"/>
      <c r="N407" s="102"/>
      <c r="O407" s="102"/>
      <c r="P407" s="102"/>
    </row>
    <row r="408" spans="12:16">
      <c r="L408" s="102"/>
      <c r="M408" s="102"/>
      <c r="N408" s="102"/>
      <c r="O408" s="102"/>
      <c r="P408" s="102"/>
    </row>
    <row r="409" spans="12:16">
      <c r="L409" s="102"/>
      <c r="M409" s="102"/>
      <c r="N409" s="102"/>
      <c r="O409" s="102"/>
      <c r="P409" s="102"/>
    </row>
    <row r="410" spans="12:16">
      <c r="L410" s="102"/>
      <c r="M410" s="102"/>
      <c r="N410" s="102"/>
      <c r="O410" s="102"/>
      <c r="P410" s="102"/>
    </row>
    <row r="411" spans="12:16">
      <c r="L411" s="102"/>
      <c r="M411" s="102"/>
      <c r="N411" s="102"/>
      <c r="O411" s="102"/>
      <c r="P411" s="102"/>
    </row>
    <row r="412" spans="12:16">
      <c r="L412" s="102"/>
      <c r="M412" s="102"/>
      <c r="N412" s="102"/>
      <c r="O412" s="102"/>
      <c r="P412" s="102"/>
    </row>
    <row r="413" spans="12:16">
      <c r="L413" s="102"/>
      <c r="M413" s="102"/>
      <c r="N413" s="102"/>
      <c r="O413" s="102"/>
      <c r="P413" s="102"/>
    </row>
    <row r="414" spans="12:16">
      <c r="L414" s="102"/>
      <c r="M414" s="102"/>
      <c r="N414" s="102"/>
      <c r="O414" s="102"/>
      <c r="P414" s="102"/>
    </row>
    <row r="415" spans="12:16">
      <c r="L415" s="102"/>
      <c r="M415" s="102"/>
      <c r="N415" s="102"/>
      <c r="O415" s="102"/>
      <c r="P415" s="102"/>
    </row>
    <row r="416" spans="12:16">
      <c r="L416" s="102"/>
      <c r="M416" s="102"/>
      <c r="N416" s="102"/>
      <c r="O416" s="102"/>
      <c r="P416" s="102"/>
    </row>
    <row r="417" spans="10:16">
      <c r="L417" s="102"/>
      <c r="M417" s="102"/>
      <c r="N417" s="102"/>
      <c r="O417" s="102"/>
      <c r="P417" s="102"/>
    </row>
    <row r="418" spans="10:16">
      <c r="L418" s="102"/>
      <c r="M418" s="102"/>
      <c r="N418" s="102"/>
      <c r="O418" s="102"/>
      <c r="P418" s="102"/>
    </row>
    <row r="419" spans="10:16">
      <c r="L419" s="102"/>
      <c r="M419" s="102"/>
      <c r="N419" s="102"/>
      <c r="O419" s="102"/>
      <c r="P419" s="102"/>
    </row>
    <row r="420" spans="10:16">
      <c r="L420" s="102"/>
      <c r="M420" s="102"/>
      <c r="N420" s="102"/>
      <c r="O420" s="102"/>
      <c r="P420" s="102"/>
    </row>
    <row r="421" spans="10:16">
      <c r="L421" s="102"/>
      <c r="M421" s="102"/>
      <c r="N421" s="102"/>
      <c r="O421" s="102"/>
      <c r="P421" s="102"/>
    </row>
    <row r="422" spans="10:16">
      <c r="L422" s="102"/>
      <c r="M422" s="102"/>
      <c r="N422" s="102"/>
      <c r="O422" s="102"/>
      <c r="P422" s="102"/>
    </row>
    <row r="423" spans="10:16">
      <c r="L423" s="102"/>
      <c r="M423" s="102"/>
      <c r="N423" s="102"/>
      <c r="O423" s="102"/>
      <c r="P423" s="102"/>
    </row>
    <row r="424" spans="10:16">
      <c r="L424" s="102"/>
      <c r="M424" s="102"/>
      <c r="N424" s="102"/>
      <c r="O424" s="102"/>
      <c r="P424" s="102"/>
    </row>
    <row r="425" spans="10:16">
      <c r="L425" s="102"/>
      <c r="M425" s="102"/>
      <c r="N425" s="102"/>
      <c r="O425" s="102"/>
      <c r="P425" s="102"/>
    </row>
    <row r="426" spans="10:16">
      <c r="L426" s="102"/>
      <c r="M426" s="102"/>
      <c r="N426" s="102"/>
      <c r="O426" s="102"/>
      <c r="P426" s="102"/>
    </row>
    <row r="427" spans="10:16">
      <c r="J427" s="102"/>
      <c r="K427" s="102"/>
      <c r="L427" s="102"/>
      <c r="M427" s="102"/>
      <c r="N427" s="102"/>
      <c r="O427" s="102"/>
      <c r="P427" s="102"/>
    </row>
    <row r="428" spans="10:16">
      <c r="J428" s="102"/>
      <c r="K428" s="102"/>
      <c r="L428" s="102"/>
      <c r="M428" s="102"/>
      <c r="N428" s="102"/>
      <c r="O428" s="102"/>
      <c r="P428" s="102"/>
    </row>
    <row r="429" spans="10:16">
      <c r="J429" s="102"/>
      <c r="K429" s="102"/>
      <c r="L429" s="102"/>
      <c r="M429" s="102"/>
      <c r="N429" s="102"/>
      <c r="O429" s="102"/>
      <c r="P429" s="102"/>
    </row>
    <row r="430" spans="10:16">
      <c r="J430" s="102"/>
      <c r="K430" s="102"/>
      <c r="L430" s="102"/>
      <c r="M430" s="102"/>
      <c r="N430" s="102"/>
      <c r="O430" s="102"/>
      <c r="P430" s="102"/>
    </row>
    <row r="431" spans="10:16">
      <c r="J431" s="102"/>
      <c r="K431" s="102"/>
      <c r="L431" s="102"/>
      <c r="M431" s="102"/>
      <c r="N431" s="102"/>
      <c r="O431" s="102"/>
      <c r="P431" s="102"/>
    </row>
    <row r="432" spans="10:16">
      <c r="J432" s="102"/>
      <c r="K432" s="102"/>
      <c r="L432" s="102"/>
      <c r="M432" s="102"/>
      <c r="N432" s="102"/>
      <c r="O432" s="102"/>
      <c r="P432" s="102"/>
    </row>
    <row r="433" spans="10:16">
      <c r="J433" s="102"/>
      <c r="K433" s="102"/>
      <c r="L433" s="102"/>
      <c r="M433" s="102"/>
      <c r="N433" s="102"/>
      <c r="O433" s="102"/>
      <c r="P433" s="102"/>
    </row>
    <row r="434" spans="10:16">
      <c r="J434" s="102"/>
      <c r="K434" s="102"/>
      <c r="L434" s="102"/>
      <c r="M434" s="102"/>
      <c r="N434" s="102"/>
      <c r="O434" s="102"/>
      <c r="P434" s="102"/>
    </row>
    <row r="435" spans="10:16">
      <c r="J435" s="102"/>
      <c r="K435" s="102"/>
      <c r="L435" s="102"/>
      <c r="M435" s="102"/>
      <c r="N435" s="102"/>
      <c r="O435" s="102"/>
      <c r="P435" s="102"/>
    </row>
    <row r="436" spans="10:16">
      <c r="J436" s="102"/>
      <c r="K436" s="102"/>
      <c r="L436" s="102"/>
      <c r="M436" s="102"/>
      <c r="N436" s="102"/>
      <c r="O436" s="102"/>
      <c r="P436" s="102"/>
    </row>
    <row r="437" spans="10:16">
      <c r="J437" s="102"/>
      <c r="K437" s="102"/>
      <c r="L437" s="102"/>
      <c r="M437" s="102"/>
      <c r="N437" s="102"/>
      <c r="O437" s="102"/>
      <c r="P437" s="102"/>
    </row>
    <row r="438" spans="10:16">
      <c r="J438" s="102"/>
      <c r="K438" s="102"/>
      <c r="L438" s="102"/>
      <c r="M438" s="102"/>
      <c r="N438" s="102"/>
      <c r="O438" s="102"/>
      <c r="P438" s="102"/>
    </row>
    <row r="439" spans="10:16">
      <c r="J439" s="102"/>
      <c r="K439" s="102"/>
      <c r="L439" s="102"/>
      <c r="M439" s="102"/>
      <c r="N439" s="102"/>
      <c r="O439" s="102"/>
      <c r="P439" s="102"/>
    </row>
    <row r="440" spans="10:16">
      <c r="J440" s="102"/>
      <c r="K440" s="102"/>
      <c r="L440" s="102"/>
      <c r="M440" s="102"/>
      <c r="N440" s="102"/>
      <c r="O440" s="102"/>
      <c r="P440" s="102"/>
    </row>
    <row r="441" spans="10:16">
      <c r="J441" s="102"/>
      <c r="K441" s="102"/>
      <c r="L441" s="102"/>
      <c r="M441" s="102"/>
      <c r="N441" s="102"/>
      <c r="O441" s="102"/>
      <c r="P441" s="102"/>
    </row>
    <row r="442" spans="10:16">
      <c r="J442" s="102"/>
      <c r="K442" s="102"/>
      <c r="L442" s="102"/>
      <c r="M442" s="102"/>
      <c r="N442" s="102"/>
      <c r="O442" s="102"/>
      <c r="P442" s="102"/>
    </row>
    <row r="443" spans="10:16">
      <c r="J443" s="102"/>
      <c r="K443" s="102"/>
      <c r="L443" s="102"/>
      <c r="M443" s="102"/>
      <c r="N443" s="102"/>
      <c r="O443" s="102"/>
      <c r="P443" s="102"/>
    </row>
    <row r="444" spans="10:16">
      <c r="J444" s="102"/>
      <c r="K444" s="102"/>
      <c r="L444" s="102"/>
      <c r="M444" s="102"/>
      <c r="N444" s="102"/>
      <c r="O444" s="102"/>
      <c r="P444" s="102"/>
    </row>
    <row r="445" spans="10:16">
      <c r="J445" s="102"/>
      <c r="K445" s="102"/>
      <c r="L445" s="102"/>
      <c r="M445" s="102"/>
      <c r="N445" s="102"/>
      <c r="O445" s="102"/>
      <c r="P445" s="102"/>
    </row>
    <row r="446" spans="10:16">
      <c r="J446" s="102"/>
      <c r="K446" s="102"/>
      <c r="L446" s="102"/>
      <c r="M446" s="102"/>
      <c r="N446" s="102"/>
      <c r="O446" s="102"/>
      <c r="P446" s="102"/>
    </row>
    <row r="447" spans="10:16">
      <c r="J447" s="102"/>
      <c r="K447" s="102"/>
      <c r="L447" s="102"/>
      <c r="M447" s="102"/>
      <c r="N447" s="102"/>
      <c r="O447" s="102"/>
      <c r="P447" s="102"/>
    </row>
    <row r="448" spans="10:16">
      <c r="J448" s="102"/>
      <c r="K448" s="102"/>
      <c r="L448" s="102"/>
      <c r="M448" s="102"/>
      <c r="N448" s="102"/>
      <c r="O448" s="102"/>
      <c r="P448" s="102"/>
    </row>
    <row r="449" spans="10:16">
      <c r="J449" s="102"/>
      <c r="K449" s="102"/>
      <c r="L449" s="102"/>
      <c r="M449" s="102"/>
      <c r="N449" s="102"/>
      <c r="O449" s="102"/>
      <c r="P449" s="102"/>
    </row>
    <row r="450" spans="10:16">
      <c r="J450" s="102"/>
      <c r="K450" s="102"/>
      <c r="L450" s="102"/>
      <c r="M450" s="102"/>
      <c r="N450" s="102"/>
      <c r="O450" s="102"/>
      <c r="P450" s="102"/>
    </row>
    <row r="451" spans="10:16">
      <c r="J451" s="102"/>
      <c r="K451" s="102"/>
      <c r="L451" s="102"/>
      <c r="M451" s="102"/>
      <c r="N451" s="102"/>
      <c r="O451" s="102"/>
      <c r="P451" s="102"/>
    </row>
    <row r="452" spans="10:16">
      <c r="J452" s="102"/>
      <c r="K452" s="102"/>
      <c r="L452" s="102"/>
      <c r="M452" s="102"/>
      <c r="N452" s="102"/>
      <c r="O452" s="102"/>
      <c r="P452" s="102"/>
    </row>
    <row r="453" spans="10:16">
      <c r="J453" s="102"/>
      <c r="K453" s="102"/>
      <c r="L453" s="102"/>
      <c r="M453" s="102"/>
      <c r="N453" s="102"/>
      <c r="O453" s="102"/>
      <c r="P453" s="102"/>
    </row>
    <row r="454" spans="10:16">
      <c r="J454" s="102"/>
      <c r="K454" s="102"/>
      <c r="L454" s="102"/>
      <c r="M454" s="102"/>
      <c r="N454" s="102"/>
      <c r="O454" s="102"/>
      <c r="P454" s="102"/>
    </row>
    <row r="455" spans="10:16">
      <c r="J455" s="102"/>
      <c r="K455" s="102"/>
      <c r="L455" s="102"/>
      <c r="M455" s="102"/>
      <c r="N455" s="102"/>
      <c r="O455" s="102"/>
      <c r="P455" s="102"/>
    </row>
    <row r="456" spans="10:16">
      <c r="J456" s="102"/>
      <c r="K456" s="102"/>
      <c r="L456" s="102"/>
      <c r="M456" s="102"/>
      <c r="N456" s="102"/>
      <c r="O456" s="102"/>
      <c r="P456" s="102"/>
    </row>
    <row r="457" spans="10:16">
      <c r="J457" s="102"/>
      <c r="K457" s="102"/>
      <c r="L457" s="102"/>
      <c r="M457" s="102"/>
      <c r="N457" s="102"/>
      <c r="O457" s="102"/>
      <c r="P457" s="102"/>
    </row>
    <row r="458" spans="10:16">
      <c r="J458" s="102"/>
      <c r="K458" s="102"/>
      <c r="L458" s="102"/>
      <c r="M458" s="102"/>
      <c r="N458" s="102"/>
      <c r="O458" s="102"/>
      <c r="P458" s="102"/>
    </row>
    <row r="459" spans="10:16">
      <c r="J459" s="102"/>
      <c r="K459" s="102"/>
      <c r="L459" s="102"/>
      <c r="M459" s="102"/>
      <c r="N459" s="102"/>
      <c r="O459" s="102"/>
      <c r="P459" s="102"/>
    </row>
    <row r="460" spans="10:16">
      <c r="J460" s="102"/>
      <c r="K460" s="102"/>
      <c r="L460" s="102"/>
      <c r="M460" s="102"/>
      <c r="N460" s="102"/>
      <c r="O460" s="102"/>
      <c r="P460" s="102"/>
    </row>
    <row r="461" spans="10:16">
      <c r="J461" s="102"/>
      <c r="K461" s="102"/>
      <c r="L461" s="102"/>
      <c r="M461" s="102"/>
      <c r="N461" s="102"/>
      <c r="O461" s="102"/>
      <c r="P461" s="102"/>
    </row>
    <row r="462" spans="10:16">
      <c r="J462" s="102"/>
      <c r="K462" s="102"/>
      <c r="L462" s="102"/>
      <c r="M462" s="102"/>
      <c r="N462" s="102"/>
      <c r="O462" s="102"/>
      <c r="P462" s="102"/>
    </row>
    <row r="463" spans="10:16">
      <c r="J463" s="102"/>
      <c r="K463" s="102"/>
      <c r="L463" s="102"/>
      <c r="M463" s="102"/>
      <c r="N463" s="102"/>
      <c r="O463" s="102"/>
      <c r="P463" s="102"/>
    </row>
    <row r="464" spans="10:16">
      <c r="J464" s="102"/>
      <c r="K464" s="102"/>
      <c r="L464" s="102"/>
      <c r="M464" s="102"/>
      <c r="N464" s="102"/>
      <c r="O464" s="102"/>
      <c r="P464" s="102"/>
    </row>
  </sheetData>
  <mergeCells count="95">
    <mergeCell ref="F2:H2"/>
    <mergeCell ref="I2:I6"/>
    <mergeCell ref="J2:M2"/>
    <mergeCell ref="B4:B6"/>
    <mergeCell ref="B14:B21"/>
    <mergeCell ref="C14:C21"/>
    <mergeCell ref="B26:B30"/>
    <mergeCell ref="C26:C30"/>
    <mergeCell ref="B35:B37"/>
    <mergeCell ref="C35:C37"/>
    <mergeCell ref="B42:B47"/>
    <mergeCell ref="C42:C44"/>
    <mergeCell ref="C45:C47"/>
    <mergeCell ref="B52:B55"/>
    <mergeCell ref="C52:C55"/>
    <mergeCell ref="D59:F59"/>
    <mergeCell ref="B60:B63"/>
    <mergeCell ref="C60:C61"/>
    <mergeCell ref="D60:F60"/>
    <mergeCell ref="D61:F61"/>
    <mergeCell ref="C62:C63"/>
    <mergeCell ref="D62:F62"/>
    <mergeCell ref="D63:F63"/>
    <mergeCell ref="B68:B87"/>
    <mergeCell ref="C68:C74"/>
    <mergeCell ref="C75:C81"/>
    <mergeCell ref="C82:C87"/>
    <mergeCell ref="B92:B96"/>
    <mergeCell ref="C92:C96"/>
    <mergeCell ref="B137:B138"/>
    <mergeCell ref="C137:C138"/>
    <mergeCell ref="D137:F137"/>
    <mergeCell ref="D138:F138"/>
    <mergeCell ref="B101:B103"/>
    <mergeCell ref="C101:C103"/>
    <mergeCell ref="B108:B111"/>
    <mergeCell ref="C108:C111"/>
    <mergeCell ref="B116:B118"/>
    <mergeCell ref="C116:C118"/>
    <mergeCell ref="B123:B125"/>
    <mergeCell ref="C123:C125"/>
    <mergeCell ref="B130:B132"/>
    <mergeCell ref="C130:C132"/>
    <mergeCell ref="D136:F136"/>
    <mergeCell ref="B143:B145"/>
    <mergeCell ref="C143:C145"/>
    <mergeCell ref="B150:B152"/>
    <mergeCell ref="C150:C152"/>
    <mergeCell ref="B157:B162"/>
    <mergeCell ref="C157:C162"/>
    <mergeCell ref="B167:B169"/>
    <mergeCell ref="C167:C169"/>
    <mergeCell ref="B174:B176"/>
    <mergeCell ref="C174:C176"/>
    <mergeCell ref="B181:B183"/>
    <mergeCell ref="C181:C183"/>
    <mergeCell ref="F209:F210"/>
    <mergeCell ref="B188:B190"/>
    <mergeCell ref="C188:C190"/>
    <mergeCell ref="D194:F194"/>
    <mergeCell ref="B195:B196"/>
    <mergeCell ref="C195:C196"/>
    <mergeCell ref="D195:F195"/>
    <mergeCell ref="D196:F196"/>
    <mergeCell ref="B197:B198"/>
    <mergeCell ref="C197:C198"/>
    <mergeCell ref="D197:F197"/>
    <mergeCell ref="D198:F198"/>
    <mergeCell ref="F203:F204"/>
    <mergeCell ref="O369:V369"/>
    <mergeCell ref="F211:F212"/>
    <mergeCell ref="F213:F214"/>
    <mergeCell ref="B291:B292"/>
    <mergeCell ref="B294:B295"/>
    <mergeCell ref="I294:I295"/>
    <mergeCell ref="B296:B297"/>
    <mergeCell ref="I296:I297"/>
    <mergeCell ref="B298:B299"/>
    <mergeCell ref="I298:I299"/>
    <mergeCell ref="B300:B301"/>
    <mergeCell ref="B302:B303"/>
    <mergeCell ref="O368:V368"/>
    <mergeCell ref="P370:Q370"/>
    <mergeCell ref="O371:O372"/>
    <mergeCell ref="P371:T372"/>
    <mergeCell ref="B378:I378"/>
    <mergeCell ref="P389:Q389"/>
    <mergeCell ref="R389:T389"/>
    <mergeCell ref="O393:V393"/>
    <mergeCell ref="P390:Q390"/>
    <mergeCell ref="R390:T390"/>
    <mergeCell ref="P391:Q391"/>
    <mergeCell ref="R391:T391"/>
    <mergeCell ref="P392:Q392"/>
    <mergeCell ref="R392:T392"/>
  </mergeCells>
  <phoneticPr fontId="5" type="noConversion"/>
  <pageMargins left="0.19685039370078741" right="0.19685039370078741" top="0.74803149606299213" bottom="0.74803149606299213" header="0.31496062992125984" footer="0.31496062992125984"/>
  <pageSetup paperSize="9" scale="78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5F617-5159-417D-88C8-545078DD9AE5}">
  <sheetPr>
    <tabColor rgb="FF7030A0"/>
    <pageSetUpPr fitToPage="1"/>
  </sheetPr>
  <dimension ref="A1:V464"/>
  <sheetViews>
    <sheetView showZeros="0" zoomScaleNormal="100" workbookViewId="0">
      <selection activeCell="C372" sqref="C372"/>
    </sheetView>
  </sheetViews>
  <sheetFormatPr defaultColWidth="25.25" defaultRowHeight="13.5"/>
  <cols>
    <col min="1" max="1" width="0.5" style="1" customWidth="1"/>
    <col min="2" max="2" width="25.25" style="102" customWidth="1"/>
    <col min="3" max="3" width="14.75" style="102" customWidth="1"/>
    <col min="4" max="4" width="11.5" style="102" customWidth="1"/>
    <col min="5" max="5" width="11.25" style="102" customWidth="1"/>
    <col min="6" max="6" width="12.25" style="102" customWidth="1"/>
    <col min="7" max="7" width="10" style="102" customWidth="1"/>
    <col min="8" max="8" width="9.875" style="102" customWidth="1"/>
    <col min="9" max="9" width="26.875" style="102" customWidth="1"/>
    <col min="10" max="10" width="11.125" style="43" customWidth="1"/>
    <col min="11" max="11" width="7.875" style="43" customWidth="1"/>
    <col min="12" max="12" width="7.25" style="43" customWidth="1"/>
    <col min="13" max="13" width="9.125" style="43" customWidth="1"/>
    <col min="14" max="14" width="15.125" style="255" customWidth="1"/>
    <col min="15" max="15" width="13.125" style="255" customWidth="1"/>
    <col min="16" max="16" width="24.375" style="255" customWidth="1"/>
    <col min="17" max="17" width="13.75" style="255" customWidth="1"/>
    <col min="18" max="18" width="11.25" style="255" customWidth="1"/>
    <col min="19" max="19" width="10.75" style="255" customWidth="1"/>
    <col min="20" max="20" width="10" style="255" customWidth="1"/>
    <col min="21" max="21" width="9.875" style="255" customWidth="1"/>
    <col min="22" max="22" width="26.125" style="255" customWidth="1"/>
    <col min="23" max="23" width="11.125" style="255" customWidth="1"/>
    <col min="24" max="24" width="7.875" style="255" customWidth="1"/>
    <col min="25" max="25" width="7.25" style="255" customWidth="1"/>
    <col min="26" max="26" width="9.125" style="255" customWidth="1"/>
    <col min="27" max="27" width="15.125" style="255" customWidth="1"/>
    <col min="28" max="28" width="7.75" style="255" customWidth="1"/>
    <col min="29" max="29" width="7.125" style="255" customWidth="1"/>
    <col min="30" max="30" width="12.125" style="255" customWidth="1"/>
    <col min="31" max="31" width="8.25" style="255" customWidth="1"/>
    <col min="32" max="33" width="10.375" style="255" customWidth="1"/>
    <col min="34" max="34" width="15.625" style="255" customWidth="1"/>
    <col min="35" max="35" width="15.875" style="255" customWidth="1"/>
    <col min="36" max="36" width="8.125" style="255" customWidth="1"/>
    <col min="37" max="40" width="10.375" style="255" customWidth="1"/>
    <col min="41" max="41" width="7.25" style="255" customWidth="1"/>
    <col min="42" max="42" width="7.125" style="255" customWidth="1"/>
    <col min="43" max="43" width="9.5" style="255" customWidth="1"/>
    <col min="44" max="45" width="9" style="255" customWidth="1"/>
    <col min="46" max="46" width="16.125" style="255" customWidth="1"/>
    <col min="47" max="77" width="9" style="255" customWidth="1"/>
    <col min="78" max="237" width="25.25" style="255"/>
    <col min="238" max="267" width="9" style="255" customWidth="1"/>
    <col min="268" max="268" width="0.5" style="255" customWidth="1"/>
    <col min="269" max="269" width="25.25" style="255"/>
    <col min="270" max="270" width="0.5" style="255" customWidth="1"/>
    <col min="271" max="271" width="25.25" style="255"/>
    <col min="272" max="272" width="14.75" style="255" customWidth="1"/>
    <col min="273" max="273" width="11.5" style="255" customWidth="1"/>
    <col min="274" max="274" width="11.25" style="255" customWidth="1"/>
    <col min="275" max="275" width="10.75" style="255" customWidth="1"/>
    <col min="276" max="276" width="10" style="255" customWidth="1"/>
    <col min="277" max="277" width="9.875" style="255" customWidth="1"/>
    <col min="278" max="278" width="26.125" style="255" customWidth="1"/>
    <col min="279" max="279" width="11.125" style="255" customWidth="1"/>
    <col min="280" max="280" width="7.875" style="255" customWidth="1"/>
    <col min="281" max="281" width="7.25" style="255" customWidth="1"/>
    <col min="282" max="282" width="9.125" style="255" customWidth="1"/>
    <col min="283" max="283" width="15.125" style="255" customWidth="1"/>
    <col min="284" max="284" width="7.75" style="255" customWidth="1"/>
    <col min="285" max="285" width="7.125" style="255" customWidth="1"/>
    <col min="286" max="286" width="12.125" style="255" customWidth="1"/>
    <col min="287" max="287" width="8.25" style="255" customWidth="1"/>
    <col min="288" max="289" width="10.375" style="255" customWidth="1"/>
    <col min="290" max="290" width="15.625" style="255" customWidth="1"/>
    <col min="291" max="291" width="15.875" style="255" customWidth="1"/>
    <col min="292" max="292" width="8.125" style="255" customWidth="1"/>
    <col min="293" max="296" width="10.375" style="255" customWidth="1"/>
    <col min="297" max="297" width="7.25" style="255" customWidth="1"/>
    <col min="298" max="298" width="7.125" style="255" customWidth="1"/>
    <col min="299" max="299" width="9.5" style="255" customWidth="1"/>
    <col min="300" max="301" width="9" style="255" customWidth="1"/>
    <col min="302" max="302" width="16.125" style="255" customWidth="1"/>
    <col min="303" max="333" width="9" style="255" customWidth="1"/>
    <col min="334" max="493" width="25.25" style="255"/>
    <col min="494" max="523" width="9" style="255" customWidth="1"/>
    <col min="524" max="524" width="0.5" style="255" customWidth="1"/>
    <col min="525" max="525" width="25.25" style="255"/>
    <col min="526" max="526" width="0.5" style="255" customWidth="1"/>
    <col min="527" max="527" width="25.25" style="255"/>
    <col min="528" max="528" width="14.75" style="255" customWidth="1"/>
    <col min="529" max="529" width="11.5" style="255" customWidth="1"/>
    <col min="530" max="530" width="11.25" style="255" customWidth="1"/>
    <col min="531" max="531" width="10.75" style="255" customWidth="1"/>
    <col min="532" max="532" width="10" style="255" customWidth="1"/>
    <col min="533" max="533" width="9.875" style="255" customWidth="1"/>
    <col min="534" max="534" width="26.125" style="255" customWidth="1"/>
    <col min="535" max="535" width="11.125" style="255" customWidth="1"/>
    <col min="536" max="536" width="7.875" style="255" customWidth="1"/>
    <col min="537" max="537" width="7.25" style="255" customWidth="1"/>
    <col min="538" max="538" width="9.125" style="255" customWidth="1"/>
    <col min="539" max="539" width="15.125" style="255" customWidth="1"/>
    <col min="540" max="540" width="7.75" style="255" customWidth="1"/>
    <col min="541" max="541" width="7.125" style="255" customWidth="1"/>
    <col min="542" max="542" width="12.125" style="255" customWidth="1"/>
    <col min="543" max="543" width="8.25" style="255" customWidth="1"/>
    <col min="544" max="545" width="10.375" style="255" customWidth="1"/>
    <col min="546" max="546" width="15.625" style="255" customWidth="1"/>
    <col min="547" max="547" width="15.875" style="255" customWidth="1"/>
    <col min="548" max="548" width="8.125" style="255" customWidth="1"/>
    <col min="549" max="552" width="10.375" style="255" customWidth="1"/>
    <col min="553" max="553" width="7.25" style="255" customWidth="1"/>
    <col min="554" max="554" width="7.125" style="255" customWidth="1"/>
    <col min="555" max="555" width="9.5" style="255" customWidth="1"/>
    <col min="556" max="557" width="9" style="255" customWidth="1"/>
    <col min="558" max="558" width="16.125" style="255" customWidth="1"/>
    <col min="559" max="589" width="9" style="255" customWidth="1"/>
    <col min="590" max="749" width="25.25" style="255"/>
    <col min="750" max="779" width="9" style="255" customWidth="1"/>
    <col min="780" max="780" width="0.5" style="255" customWidth="1"/>
    <col min="781" max="781" width="25.25" style="255"/>
    <col min="782" max="782" width="0.5" style="255" customWidth="1"/>
    <col min="783" max="783" width="25.25" style="255"/>
    <col min="784" max="784" width="14.75" style="255" customWidth="1"/>
    <col min="785" max="785" width="11.5" style="255" customWidth="1"/>
    <col min="786" max="786" width="11.25" style="255" customWidth="1"/>
    <col min="787" max="787" width="10.75" style="255" customWidth="1"/>
    <col min="788" max="788" width="10" style="255" customWidth="1"/>
    <col min="789" max="789" width="9.875" style="255" customWidth="1"/>
    <col min="790" max="790" width="26.125" style="255" customWidth="1"/>
    <col min="791" max="791" width="11.125" style="255" customWidth="1"/>
    <col min="792" max="792" width="7.875" style="255" customWidth="1"/>
    <col min="793" max="793" width="7.25" style="255" customWidth="1"/>
    <col min="794" max="794" width="9.125" style="255" customWidth="1"/>
    <col min="795" max="795" width="15.125" style="255" customWidth="1"/>
    <col min="796" max="796" width="7.75" style="255" customWidth="1"/>
    <col min="797" max="797" width="7.125" style="255" customWidth="1"/>
    <col min="798" max="798" width="12.125" style="255" customWidth="1"/>
    <col min="799" max="799" width="8.25" style="255" customWidth="1"/>
    <col min="800" max="801" width="10.375" style="255" customWidth="1"/>
    <col min="802" max="802" width="15.625" style="255" customWidth="1"/>
    <col min="803" max="803" width="15.875" style="255" customWidth="1"/>
    <col min="804" max="804" width="8.125" style="255" customWidth="1"/>
    <col min="805" max="808" width="10.375" style="255" customWidth="1"/>
    <col min="809" max="809" width="7.25" style="255" customWidth="1"/>
    <col min="810" max="810" width="7.125" style="255" customWidth="1"/>
    <col min="811" max="811" width="9.5" style="255" customWidth="1"/>
    <col min="812" max="813" width="9" style="255" customWidth="1"/>
    <col min="814" max="814" width="16.125" style="255" customWidth="1"/>
    <col min="815" max="845" width="9" style="255" customWidth="1"/>
    <col min="846" max="1005" width="25.25" style="255"/>
    <col min="1006" max="1035" width="9" style="255" customWidth="1"/>
    <col min="1036" max="1036" width="0.5" style="255" customWidth="1"/>
    <col min="1037" max="1037" width="25.25" style="255"/>
    <col min="1038" max="1038" width="0.5" style="255" customWidth="1"/>
    <col min="1039" max="1039" width="25.25" style="255"/>
    <col min="1040" max="1040" width="14.75" style="255" customWidth="1"/>
    <col min="1041" max="1041" width="11.5" style="255" customWidth="1"/>
    <col min="1042" max="1042" width="11.25" style="255" customWidth="1"/>
    <col min="1043" max="1043" width="10.75" style="255" customWidth="1"/>
    <col min="1044" max="1044" width="10" style="255" customWidth="1"/>
    <col min="1045" max="1045" width="9.875" style="255" customWidth="1"/>
    <col min="1046" max="1046" width="26.125" style="255" customWidth="1"/>
    <col min="1047" max="1047" width="11.125" style="255" customWidth="1"/>
    <col min="1048" max="1048" width="7.875" style="255" customWidth="1"/>
    <col min="1049" max="1049" width="7.25" style="255" customWidth="1"/>
    <col min="1050" max="1050" width="9.125" style="255" customWidth="1"/>
    <col min="1051" max="1051" width="15.125" style="255" customWidth="1"/>
    <col min="1052" max="1052" width="7.75" style="255" customWidth="1"/>
    <col min="1053" max="1053" width="7.125" style="255" customWidth="1"/>
    <col min="1054" max="1054" width="12.125" style="255" customWidth="1"/>
    <col min="1055" max="1055" width="8.25" style="255" customWidth="1"/>
    <col min="1056" max="1057" width="10.375" style="255" customWidth="1"/>
    <col min="1058" max="1058" width="15.625" style="255" customWidth="1"/>
    <col min="1059" max="1059" width="15.875" style="255" customWidth="1"/>
    <col min="1060" max="1060" width="8.125" style="255" customWidth="1"/>
    <col min="1061" max="1064" width="10.375" style="255" customWidth="1"/>
    <col min="1065" max="1065" width="7.25" style="255" customWidth="1"/>
    <col min="1066" max="1066" width="7.125" style="255" customWidth="1"/>
    <col min="1067" max="1067" width="9.5" style="255" customWidth="1"/>
    <col min="1068" max="1069" width="9" style="255" customWidth="1"/>
    <col min="1070" max="1070" width="16.125" style="255" customWidth="1"/>
    <col min="1071" max="1101" width="9" style="255" customWidth="1"/>
    <col min="1102" max="1261" width="25.25" style="255"/>
    <col min="1262" max="1291" width="9" style="255" customWidth="1"/>
    <col min="1292" max="1292" width="0.5" style="255" customWidth="1"/>
    <col min="1293" max="1293" width="25.25" style="255"/>
    <col min="1294" max="1294" width="0.5" style="255" customWidth="1"/>
    <col min="1295" max="1295" width="25.25" style="255"/>
    <col min="1296" max="1296" width="14.75" style="255" customWidth="1"/>
    <col min="1297" max="1297" width="11.5" style="255" customWidth="1"/>
    <col min="1298" max="1298" width="11.25" style="255" customWidth="1"/>
    <col min="1299" max="1299" width="10.75" style="255" customWidth="1"/>
    <col min="1300" max="1300" width="10" style="255" customWidth="1"/>
    <col min="1301" max="1301" width="9.875" style="255" customWidth="1"/>
    <col min="1302" max="1302" width="26.125" style="255" customWidth="1"/>
    <col min="1303" max="1303" width="11.125" style="255" customWidth="1"/>
    <col min="1304" max="1304" width="7.875" style="255" customWidth="1"/>
    <col min="1305" max="1305" width="7.25" style="255" customWidth="1"/>
    <col min="1306" max="1306" width="9.125" style="255" customWidth="1"/>
    <col min="1307" max="1307" width="15.125" style="255" customWidth="1"/>
    <col min="1308" max="1308" width="7.75" style="255" customWidth="1"/>
    <col min="1309" max="1309" width="7.125" style="255" customWidth="1"/>
    <col min="1310" max="1310" width="12.125" style="255" customWidth="1"/>
    <col min="1311" max="1311" width="8.25" style="255" customWidth="1"/>
    <col min="1312" max="1313" width="10.375" style="255" customWidth="1"/>
    <col min="1314" max="1314" width="15.625" style="255" customWidth="1"/>
    <col min="1315" max="1315" width="15.875" style="255" customWidth="1"/>
    <col min="1316" max="1316" width="8.125" style="255" customWidth="1"/>
    <col min="1317" max="1320" width="10.375" style="255" customWidth="1"/>
    <col min="1321" max="1321" width="7.25" style="255" customWidth="1"/>
    <col min="1322" max="1322" width="7.125" style="255" customWidth="1"/>
    <col min="1323" max="1323" width="9.5" style="255" customWidth="1"/>
    <col min="1324" max="1325" width="9" style="255" customWidth="1"/>
    <col min="1326" max="1326" width="16.125" style="255" customWidth="1"/>
    <col min="1327" max="1357" width="9" style="255" customWidth="1"/>
    <col min="1358" max="1517" width="25.25" style="255"/>
    <col min="1518" max="1547" width="9" style="255" customWidth="1"/>
    <col min="1548" max="1548" width="0.5" style="255" customWidth="1"/>
    <col min="1549" max="1549" width="25.25" style="255"/>
    <col min="1550" max="1550" width="0.5" style="255" customWidth="1"/>
    <col min="1551" max="1551" width="25.25" style="255"/>
    <col min="1552" max="1552" width="14.75" style="255" customWidth="1"/>
    <col min="1553" max="1553" width="11.5" style="255" customWidth="1"/>
    <col min="1554" max="1554" width="11.25" style="255" customWidth="1"/>
    <col min="1555" max="1555" width="10.75" style="255" customWidth="1"/>
    <col min="1556" max="1556" width="10" style="255" customWidth="1"/>
    <col min="1557" max="1557" width="9.875" style="255" customWidth="1"/>
    <col min="1558" max="1558" width="26.125" style="255" customWidth="1"/>
    <col min="1559" max="1559" width="11.125" style="255" customWidth="1"/>
    <col min="1560" max="1560" width="7.875" style="255" customWidth="1"/>
    <col min="1561" max="1561" width="7.25" style="255" customWidth="1"/>
    <col min="1562" max="1562" width="9.125" style="255" customWidth="1"/>
    <col min="1563" max="1563" width="15.125" style="255" customWidth="1"/>
    <col min="1564" max="1564" width="7.75" style="255" customWidth="1"/>
    <col min="1565" max="1565" width="7.125" style="255" customWidth="1"/>
    <col min="1566" max="1566" width="12.125" style="255" customWidth="1"/>
    <col min="1567" max="1567" width="8.25" style="255" customWidth="1"/>
    <col min="1568" max="1569" width="10.375" style="255" customWidth="1"/>
    <col min="1570" max="1570" width="15.625" style="255" customWidth="1"/>
    <col min="1571" max="1571" width="15.875" style="255" customWidth="1"/>
    <col min="1572" max="1572" width="8.125" style="255" customWidth="1"/>
    <col min="1573" max="1576" width="10.375" style="255" customWidth="1"/>
    <col min="1577" max="1577" width="7.25" style="255" customWidth="1"/>
    <col min="1578" max="1578" width="7.125" style="255" customWidth="1"/>
    <col min="1579" max="1579" width="9.5" style="255" customWidth="1"/>
    <col min="1580" max="1581" width="9" style="255" customWidth="1"/>
    <col min="1582" max="1582" width="16.125" style="255" customWidth="1"/>
    <col min="1583" max="1613" width="9" style="255" customWidth="1"/>
    <col min="1614" max="1773" width="25.25" style="255"/>
    <col min="1774" max="1803" width="9" style="255" customWidth="1"/>
    <col min="1804" max="1804" width="0.5" style="255" customWidth="1"/>
    <col min="1805" max="1805" width="25.25" style="255"/>
    <col min="1806" max="1806" width="0.5" style="255" customWidth="1"/>
    <col min="1807" max="1807" width="25.25" style="255"/>
    <col min="1808" max="1808" width="14.75" style="255" customWidth="1"/>
    <col min="1809" max="1809" width="11.5" style="255" customWidth="1"/>
    <col min="1810" max="1810" width="11.25" style="255" customWidth="1"/>
    <col min="1811" max="1811" width="10.75" style="255" customWidth="1"/>
    <col min="1812" max="1812" width="10" style="255" customWidth="1"/>
    <col min="1813" max="1813" width="9.875" style="255" customWidth="1"/>
    <col min="1814" max="1814" width="26.125" style="255" customWidth="1"/>
    <col min="1815" max="1815" width="11.125" style="255" customWidth="1"/>
    <col min="1816" max="1816" width="7.875" style="255" customWidth="1"/>
    <col min="1817" max="1817" width="7.25" style="255" customWidth="1"/>
    <col min="1818" max="1818" width="9.125" style="255" customWidth="1"/>
    <col min="1819" max="1819" width="15.125" style="255" customWidth="1"/>
    <col min="1820" max="1820" width="7.75" style="255" customWidth="1"/>
    <col min="1821" max="1821" width="7.125" style="255" customWidth="1"/>
    <col min="1822" max="1822" width="12.125" style="255" customWidth="1"/>
    <col min="1823" max="1823" width="8.25" style="255" customWidth="1"/>
    <col min="1824" max="1825" width="10.375" style="255" customWidth="1"/>
    <col min="1826" max="1826" width="15.625" style="255" customWidth="1"/>
    <col min="1827" max="1827" width="15.875" style="255" customWidth="1"/>
    <col min="1828" max="1828" width="8.125" style="255" customWidth="1"/>
    <col min="1829" max="1832" width="10.375" style="255" customWidth="1"/>
    <col min="1833" max="1833" width="7.25" style="255" customWidth="1"/>
    <col min="1834" max="1834" width="7.125" style="255" customWidth="1"/>
    <col min="1835" max="1835" width="9.5" style="255" customWidth="1"/>
    <col min="1836" max="1837" width="9" style="255" customWidth="1"/>
    <col min="1838" max="1838" width="16.125" style="255" customWidth="1"/>
    <col min="1839" max="1869" width="9" style="255" customWidth="1"/>
    <col min="1870" max="2029" width="25.25" style="255"/>
    <col min="2030" max="2059" width="9" style="255" customWidth="1"/>
    <col min="2060" max="2060" width="0.5" style="255" customWidth="1"/>
    <col min="2061" max="2061" width="25.25" style="255"/>
    <col min="2062" max="2062" width="0.5" style="255" customWidth="1"/>
    <col min="2063" max="2063" width="25.25" style="255"/>
    <col min="2064" max="2064" width="14.75" style="255" customWidth="1"/>
    <col min="2065" max="2065" width="11.5" style="255" customWidth="1"/>
    <col min="2066" max="2066" width="11.25" style="255" customWidth="1"/>
    <col min="2067" max="2067" width="10.75" style="255" customWidth="1"/>
    <col min="2068" max="2068" width="10" style="255" customWidth="1"/>
    <col min="2069" max="2069" width="9.875" style="255" customWidth="1"/>
    <col min="2070" max="2070" width="26.125" style="255" customWidth="1"/>
    <col min="2071" max="2071" width="11.125" style="255" customWidth="1"/>
    <col min="2072" max="2072" width="7.875" style="255" customWidth="1"/>
    <col min="2073" max="2073" width="7.25" style="255" customWidth="1"/>
    <col min="2074" max="2074" width="9.125" style="255" customWidth="1"/>
    <col min="2075" max="2075" width="15.125" style="255" customWidth="1"/>
    <col min="2076" max="2076" width="7.75" style="255" customWidth="1"/>
    <col min="2077" max="2077" width="7.125" style="255" customWidth="1"/>
    <col min="2078" max="2078" width="12.125" style="255" customWidth="1"/>
    <col min="2079" max="2079" width="8.25" style="255" customWidth="1"/>
    <col min="2080" max="2081" width="10.375" style="255" customWidth="1"/>
    <col min="2082" max="2082" width="15.625" style="255" customWidth="1"/>
    <col min="2083" max="2083" width="15.875" style="255" customWidth="1"/>
    <col min="2084" max="2084" width="8.125" style="255" customWidth="1"/>
    <col min="2085" max="2088" width="10.375" style="255" customWidth="1"/>
    <col min="2089" max="2089" width="7.25" style="255" customWidth="1"/>
    <col min="2090" max="2090" width="7.125" style="255" customWidth="1"/>
    <col min="2091" max="2091" width="9.5" style="255" customWidth="1"/>
    <col min="2092" max="2093" width="9" style="255" customWidth="1"/>
    <col min="2094" max="2094" width="16.125" style="255" customWidth="1"/>
    <col min="2095" max="2125" width="9" style="255" customWidth="1"/>
    <col min="2126" max="2285" width="25.25" style="255"/>
    <col min="2286" max="2315" width="9" style="255" customWidth="1"/>
    <col min="2316" max="2316" width="0.5" style="255" customWidth="1"/>
    <col min="2317" max="2317" width="25.25" style="255"/>
    <col min="2318" max="2318" width="0.5" style="255" customWidth="1"/>
    <col min="2319" max="2319" width="25.25" style="255"/>
    <col min="2320" max="2320" width="14.75" style="255" customWidth="1"/>
    <col min="2321" max="2321" width="11.5" style="255" customWidth="1"/>
    <col min="2322" max="2322" width="11.25" style="255" customWidth="1"/>
    <col min="2323" max="2323" width="10.75" style="255" customWidth="1"/>
    <col min="2324" max="2324" width="10" style="255" customWidth="1"/>
    <col min="2325" max="2325" width="9.875" style="255" customWidth="1"/>
    <col min="2326" max="2326" width="26.125" style="255" customWidth="1"/>
    <col min="2327" max="2327" width="11.125" style="255" customWidth="1"/>
    <col min="2328" max="2328" width="7.875" style="255" customWidth="1"/>
    <col min="2329" max="2329" width="7.25" style="255" customWidth="1"/>
    <col min="2330" max="2330" width="9.125" style="255" customWidth="1"/>
    <col min="2331" max="2331" width="15.125" style="255" customWidth="1"/>
    <col min="2332" max="2332" width="7.75" style="255" customWidth="1"/>
    <col min="2333" max="2333" width="7.125" style="255" customWidth="1"/>
    <col min="2334" max="2334" width="12.125" style="255" customWidth="1"/>
    <col min="2335" max="2335" width="8.25" style="255" customWidth="1"/>
    <col min="2336" max="2337" width="10.375" style="255" customWidth="1"/>
    <col min="2338" max="2338" width="15.625" style="255" customWidth="1"/>
    <col min="2339" max="2339" width="15.875" style="255" customWidth="1"/>
    <col min="2340" max="2340" width="8.125" style="255" customWidth="1"/>
    <col min="2341" max="2344" width="10.375" style="255" customWidth="1"/>
    <col min="2345" max="2345" width="7.25" style="255" customWidth="1"/>
    <col min="2346" max="2346" width="7.125" style="255" customWidth="1"/>
    <col min="2347" max="2347" width="9.5" style="255" customWidth="1"/>
    <col min="2348" max="2349" width="9" style="255" customWidth="1"/>
    <col min="2350" max="2350" width="16.125" style="255" customWidth="1"/>
    <col min="2351" max="2381" width="9" style="255" customWidth="1"/>
    <col min="2382" max="2541" width="25.25" style="255"/>
    <col min="2542" max="2571" width="9" style="255" customWidth="1"/>
    <col min="2572" max="2572" width="0.5" style="255" customWidth="1"/>
    <col min="2573" max="2573" width="25.25" style="255"/>
    <col min="2574" max="2574" width="0.5" style="255" customWidth="1"/>
    <col min="2575" max="2575" width="25.25" style="255"/>
    <col min="2576" max="2576" width="14.75" style="255" customWidth="1"/>
    <col min="2577" max="2577" width="11.5" style="255" customWidth="1"/>
    <col min="2578" max="2578" width="11.25" style="255" customWidth="1"/>
    <col min="2579" max="2579" width="10.75" style="255" customWidth="1"/>
    <col min="2580" max="2580" width="10" style="255" customWidth="1"/>
    <col min="2581" max="2581" width="9.875" style="255" customWidth="1"/>
    <col min="2582" max="2582" width="26.125" style="255" customWidth="1"/>
    <col min="2583" max="2583" width="11.125" style="255" customWidth="1"/>
    <col min="2584" max="2584" width="7.875" style="255" customWidth="1"/>
    <col min="2585" max="2585" width="7.25" style="255" customWidth="1"/>
    <col min="2586" max="2586" width="9.125" style="255" customWidth="1"/>
    <col min="2587" max="2587" width="15.125" style="255" customWidth="1"/>
    <col min="2588" max="2588" width="7.75" style="255" customWidth="1"/>
    <col min="2589" max="2589" width="7.125" style="255" customWidth="1"/>
    <col min="2590" max="2590" width="12.125" style="255" customWidth="1"/>
    <col min="2591" max="2591" width="8.25" style="255" customWidth="1"/>
    <col min="2592" max="2593" width="10.375" style="255" customWidth="1"/>
    <col min="2594" max="2594" width="15.625" style="255" customWidth="1"/>
    <col min="2595" max="2595" width="15.875" style="255" customWidth="1"/>
    <col min="2596" max="2596" width="8.125" style="255" customWidth="1"/>
    <col min="2597" max="2600" width="10.375" style="255" customWidth="1"/>
    <col min="2601" max="2601" width="7.25" style="255" customWidth="1"/>
    <col min="2602" max="2602" width="7.125" style="255" customWidth="1"/>
    <col min="2603" max="2603" width="9.5" style="255" customWidth="1"/>
    <col min="2604" max="2605" width="9" style="255" customWidth="1"/>
    <col min="2606" max="2606" width="16.125" style="255" customWidth="1"/>
    <col min="2607" max="2637" width="9" style="255" customWidth="1"/>
    <col min="2638" max="2797" width="25.25" style="255"/>
    <col min="2798" max="2827" width="9" style="255" customWidth="1"/>
    <col min="2828" max="2828" width="0.5" style="255" customWidth="1"/>
    <col min="2829" max="2829" width="25.25" style="255"/>
    <col min="2830" max="2830" width="0.5" style="255" customWidth="1"/>
    <col min="2831" max="2831" width="25.25" style="255"/>
    <col min="2832" max="2832" width="14.75" style="255" customWidth="1"/>
    <col min="2833" max="2833" width="11.5" style="255" customWidth="1"/>
    <col min="2834" max="2834" width="11.25" style="255" customWidth="1"/>
    <col min="2835" max="2835" width="10.75" style="255" customWidth="1"/>
    <col min="2836" max="2836" width="10" style="255" customWidth="1"/>
    <col min="2837" max="2837" width="9.875" style="255" customWidth="1"/>
    <col min="2838" max="2838" width="26.125" style="255" customWidth="1"/>
    <col min="2839" max="2839" width="11.125" style="255" customWidth="1"/>
    <col min="2840" max="2840" width="7.875" style="255" customWidth="1"/>
    <col min="2841" max="2841" width="7.25" style="255" customWidth="1"/>
    <col min="2842" max="2842" width="9.125" style="255" customWidth="1"/>
    <col min="2843" max="2843" width="15.125" style="255" customWidth="1"/>
    <col min="2844" max="2844" width="7.75" style="255" customWidth="1"/>
    <col min="2845" max="2845" width="7.125" style="255" customWidth="1"/>
    <col min="2846" max="2846" width="12.125" style="255" customWidth="1"/>
    <col min="2847" max="2847" width="8.25" style="255" customWidth="1"/>
    <col min="2848" max="2849" width="10.375" style="255" customWidth="1"/>
    <col min="2850" max="2850" width="15.625" style="255" customWidth="1"/>
    <col min="2851" max="2851" width="15.875" style="255" customWidth="1"/>
    <col min="2852" max="2852" width="8.125" style="255" customWidth="1"/>
    <col min="2853" max="2856" width="10.375" style="255" customWidth="1"/>
    <col min="2857" max="2857" width="7.25" style="255" customWidth="1"/>
    <col min="2858" max="2858" width="7.125" style="255" customWidth="1"/>
    <col min="2859" max="2859" width="9.5" style="255" customWidth="1"/>
    <col min="2860" max="2861" width="9" style="255" customWidth="1"/>
    <col min="2862" max="2862" width="16.125" style="255" customWidth="1"/>
    <col min="2863" max="2893" width="9" style="255" customWidth="1"/>
    <col min="2894" max="3053" width="25.25" style="255"/>
    <col min="3054" max="3083" width="9" style="255" customWidth="1"/>
    <col min="3084" max="3084" width="0.5" style="255" customWidth="1"/>
    <col min="3085" max="3085" width="25.25" style="255"/>
    <col min="3086" max="3086" width="0.5" style="255" customWidth="1"/>
    <col min="3087" max="3087" width="25.25" style="255"/>
    <col min="3088" max="3088" width="14.75" style="255" customWidth="1"/>
    <col min="3089" max="3089" width="11.5" style="255" customWidth="1"/>
    <col min="3090" max="3090" width="11.25" style="255" customWidth="1"/>
    <col min="3091" max="3091" width="10.75" style="255" customWidth="1"/>
    <col min="3092" max="3092" width="10" style="255" customWidth="1"/>
    <col min="3093" max="3093" width="9.875" style="255" customWidth="1"/>
    <col min="3094" max="3094" width="26.125" style="255" customWidth="1"/>
    <col min="3095" max="3095" width="11.125" style="255" customWidth="1"/>
    <col min="3096" max="3096" width="7.875" style="255" customWidth="1"/>
    <col min="3097" max="3097" width="7.25" style="255" customWidth="1"/>
    <col min="3098" max="3098" width="9.125" style="255" customWidth="1"/>
    <col min="3099" max="3099" width="15.125" style="255" customWidth="1"/>
    <col min="3100" max="3100" width="7.75" style="255" customWidth="1"/>
    <col min="3101" max="3101" width="7.125" style="255" customWidth="1"/>
    <col min="3102" max="3102" width="12.125" style="255" customWidth="1"/>
    <col min="3103" max="3103" width="8.25" style="255" customWidth="1"/>
    <col min="3104" max="3105" width="10.375" style="255" customWidth="1"/>
    <col min="3106" max="3106" width="15.625" style="255" customWidth="1"/>
    <col min="3107" max="3107" width="15.875" style="255" customWidth="1"/>
    <col min="3108" max="3108" width="8.125" style="255" customWidth="1"/>
    <col min="3109" max="3112" width="10.375" style="255" customWidth="1"/>
    <col min="3113" max="3113" width="7.25" style="255" customWidth="1"/>
    <col min="3114" max="3114" width="7.125" style="255" customWidth="1"/>
    <col min="3115" max="3115" width="9.5" style="255" customWidth="1"/>
    <col min="3116" max="3117" width="9" style="255" customWidth="1"/>
    <col min="3118" max="3118" width="16.125" style="255" customWidth="1"/>
    <col min="3119" max="3149" width="9" style="255" customWidth="1"/>
    <col min="3150" max="3309" width="25.25" style="255"/>
    <col min="3310" max="3339" width="9" style="255" customWidth="1"/>
    <col min="3340" max="3340" width="0.5" style="255" customWidth="1"/>
    <col min="3341" max="3341" width="25.25" style="255"/>
    <col min="3342" max="3342" width="0.5" style="255" customWidth="1"/>
    <col min="3343" max="3343" width="25.25" style="255"/>
    <col min="3344" max="3344" width="14.75" style="255" customWidth="1"/>
    <col min="3345" max="3345" width="11.5" style="255" customWidth="1"/>
    <col min="3346" max="3346" width="11.25" style="255" customWidth="1"/>
    <col min="3347" max="3347" width="10.75" style="255" customWidth="1"/>
    <col min="3348" max="3348" width="10" style="255" customWidth="1"/>
    <col min="3349" max="3349" width="9.875" style="255" customWidth="1"/>
    <col min="3350" max="3350" width="26.125" style="255" customWidth="1"/>
    <col min="3351" max="3351" width="11.125" style="255" customWidth="1"/>
    <col min="3352" max="3352" width="7.875" style="255" customWidth="1"/>
    <col min="3353" max="3353" width="7.25" style="255" customWidth="1"/>
    <col min="3354" max="3354" width="9.125" style="255" customWidth="1"/>
    <col min="3355" max="3355" width="15.125" style="255" customWidth="1"/>
    <col min="3356" max="3356" width="7.75" style="255" customWidth="1"/>
    <col min="3357" max="3357" width="7.125" style="255" customWidth="1"/>
    <col min="3358" max="3358" width="12.125" style="255" customWidth="1"/>
    <col min="3359" max="3359" width="8.25" style="255" customWidth="1"/>
    <col min="3360" max="3361" width="10.375" style="255" customWidth="1"/>
    <col min="3362" max="3362" width="15.625" style="255" customWidth="1"/>
    <col min="3363" max="3363" width="15.875" style="255" customWidth="1"/>
    <col min="3364" max="3364" width="8.125" style="255" customWidth="1"/>
    <col min="3365" max="3368" width="10.375" style="255" customWidth="1"/>
    <col min="3369" max="3369" width="7.25" style="255" customWidth="1"/>
    <col min="3370" max="3370" width="7.125" style="255" customWidth="1"/>
    <col min="3371" max="3371" width="9.5" style="255" customWidth="1"/>
    <col min="3372" max="3373" width="9" style="255" customWidth="1"/>
    <col min="3374" max="3374" width="16.125" style="255" customWidth="1"/>
    <col min="3375" max="3405" width="9" style="255" customWidth="1"/>
    <col min="3406" max="3565" width="25.25" style="255"/>
    <col min="3566" max="3595" width="9" style="255" customWidth="1"/>
    <col min="3596" max="3596" width="0.5" style="255" customWidth="1"/>
    <col min="3597" max="3597" width="25.25" style="255"/>
    <col min="3598" max="3598" width="0.5" style="255" customWidth="1"/>
    <col min="3599" max="3599" width="25.25" style="255"/>
    <col min="3600" max="3600" width="14.75" style="255" customWidth="1"/>
    <col min="3601" max="3601" width="11.5" style="255" customWidth="1"/>
    <col min="3602" max="3602" width="11.25" style="255" customWidth="1"/>
    <col min="3603" max="3603" width="10.75" style="255" customWidth="1"/>
    <col min="3604" max="3604" width="10" style="255" customWidth="1"/>
    <col min="3605" max="3605" width="9.875" style="255" customWidth="1"/>
    <col min="3606" max="3606" width="26.125" style="255" customWidth="1"/>
    <col min="3607" max="3607" width="11.125" style="255" customWidth="1"/>
    <col min="3608" max="3608" width="7.875" style="255" customWidth="1"/>
    <col min="3609" max="3609" width="7.25" style="255" customWidth="1"/>
    <col min="3610" max="3610" width="9.125" style="255" customWidth="1"/>
    <col min="3611" max="3611" width="15.125" style="255" customWidth="1"/>
    <col min="3612" max="3612" width="7.75" style="255" customWidth="1"/>
    <col min="3613" max="3613" width="7.125" style="255" customWidth="1"/>
    <col min="3614" max="3614" width="12.125" style="255" customWidth="1"/>
    <col min="3615" max="3615" width="8.25" style="255" customWidth="1"/>
    <col min="3616" max="3617" width="10.375" style="255" customWidth="1"/>
    <col min="3618" max="3618" width="15.625" style="255" customWidth="1"/>
    <col min="3619" max="3619" width="15.875" style="255" customWidth="1"/>
    <col min="3620" max="3620" width="8.125" style="255" customWidth="1"/>
    <col min="3621" max="3624" width="10.375" style="255" customWidth="1"/>
    <col min="3625" max="3625" width="7.25" style="255" customWidth="1"/>
    <col min="3626" max="3626" width="7.125" style="255" customWidth="1"/>
    <col min="3627" max="3627" width="9.5" style="255" customWidth="1"/>
    <col min="3628" max="3629" width="9" style="255" customWidth="1"/>
    <col min="3630" max="3630" width="16.125" style="255" customWidth="1"/>
    <col min="3631" max="3661" width="9" style="255" customWidth="1"/>
    <col min="3662" max="3821" width="25.25" style="255"/>
    <col min="3822" max="3851" width="9" style="255" customWidth="1"/>
    <col min="3852" max="3852" width="0.5" style="255" customWidth="1"/>
    <col min="3853" max="3853" width="25.25" style="255"/>
    <col min="3854" max="3854" width="0.5" style="255" customWidth="1"/>
    <col min="3855" max="3855" width="25.25" style="255"/>
    <col min="3856" max="3856" width="14.75" style="255" customWidth="1"/>
    <col min="3857" max="3857" width="11.5" style="255" customWidth="1"/>
    <col min="3858" max="3858" width="11.25" style="255" customWidth="1"/>
    <col min="3859" max="3859" width="10.75" style="255" customWidth="1"/>
    <col min="3860" max="3860" width="10" style="255" customWidth="1"/>
    <col min="3861" max="3861" width="9.875" style="255" customWidth="1"/>
    <col min="3862" max="3862" width="26.125" style="255" customWidth="1"/>
    <col min="3863" max="3863" width="11.125" style="255" customWidth="1"/>
    <col min="3864" max="3864" width="7.875" style="255" customWidth="1"/>
    <col min="3865" max="3865" width="7.25" style="255" customWidth="1"/>
    <col min="3866" max="3866" width="9.125" style="255" customWidth="1"/>
    <col min="3867" max="3867" width="15.125" style="255" customWidth="1"/>
    <col min="3868" max="3868" width="7.75" style="255" customWidth="1"/>
    <col min="3869" max="3869" width="7.125" style="255" customWidth="1"/>
    <col min="3870" max="3870" width="12.125" style="255" customWidth="1"/>
    <col min="3871" max="3871" width="8.25" style="255" customWidth="1"/>
    <col min="3872" max="3873" width="10.375" style="255" customWidth="1"/>
    <col min="3874" max="3874" width="15.625" style="255" customWidth="1"/>
    <col min="3875" max="3875" width="15.875" style="255" customWidth="1"/>
    <col min="3876" max="3876" width="8.125" style="255" customWidth="1"/>
    <col min="3877" max="3880" width="10.375" style="255" customWidth="1"/>
    <col min="3881" max="3881" width="7.25" style="255" customWidth="1"/>
    <col min="3882" max="3882" width="7.125" style="255" customWidth="1"/>
    <col min="3883" max="3883" width="9.5" style="255" customWidth="1"/>
    <col min="3884" max="3885" width="9" style="255" customWidth="1"/>
    <col min="3886" max="3886" width="16.125" style="255" customWidth="1"/>
    <col min="3887" max="3917" width="9" style="255" customWidth="1"/>
    <col min="3918" max="4077" width="25.25" style="255"/>
    <col min="4078" max="4107" width="9" style="255" customWidth="1"/>
    <col min="4108" max="4108" width="0.5" style="255" customWidth="1"/>
    <col min="4109" max="4109" width="25.25" style="255"/>
    <col min="4110" max="4110" width="0.5" style="255" customWidth="1"/>
    <col min="4111" max="4111" width="25.25" style="255"/>
    <col min="4112" max="4112" width="14.75" style="255" customWidth="1"/>
    <col min="4113" max="4113" width="11.5" style="255" customWidth="1"/>
    <col min="4114" max="4114" width="11.25" style="255" customWidth="1"/>
    <col min="4115" max="4115" width="10.75" style="255" customWidth="1"/>
    <col min="4116" max="4116" width="10" style="255" customWidth="1"/>
    <col min="4117" max="4117" width="9.875" style="255" customWidth="1"/>
    <col min="4118" max="4118" width="26.125" style="255" customWidth="1"/>
    <col min="4119" max="4119" width="11.125" style="255" customWidth="1"/>
    <col min="4120" max="4120" width="7.875" style="255" customWidth="1"/>
    <col min="4121" max="4121" width="7.25" style="255" customWidth="1"/>
    <col min="4122" max="4122" width="9.125" style="255" customWidth="1"/>
    <col min="4123" max="4123" width="15.125" style="255" customWidth="1"/>
    <col min="4124" max="4124" width="7.75" style="255" customWidth="1"/>
    <col min="4125" max="4125" width="7.125" style="255" customWidth="1"/>
    <col min="4126" max="4126" width="12.125" style="255" customWidth="1"/>
    <col min="4127" max="4127" width="8.25" style="255" customWidth="1"/>
    <col min="4128" max="4129" width="10.375" style="255" customWidth="1"/>
    <col min="4130" max="4130" width="15.625" style="255" customWidth="1"/>
    <col min="4131" max="4131" width="15.875" style="255" customWidth="1"/>
    <col min="4132" max="4132" width="8.125" style="255" customWidth="1"/>
    <col min="4133" max="4136" width="10.375" style="255" customWidth="1"/>
    <col min="4137" max="4137" width="7.25" style="255" customWidth="1"/>
    <col min="4138" max="4138" width="7.125" style="255" customWidth="1"/>
    <col min="4139" max="4139" width="9.5" style="255" customWidth="1"/>
    <col min="4140" max="4141" width="9" style="255" customWidth="1"/>
    <col min="4142" max="4142" width="16.125" style="255" customWidth="1"/>
    <col min="4143" max="4173" width="9" style="255" customWidth="1"/>
    <col min="4174" max="4333" width="25.25" style="255"/>
    <col min="4334" max="4363" width="9" style="255" customWidth="1"/>
    <col min="4364" max="4364" width="0.5" style="255" customWidth="1"/>
    <col min="4365" max="4365" width="25.25" style="255"/>
    <col min="4366" max="4366" width="0.5" style="255" customWidth="1"/>
    <col min="4367" max="4367" width="25.25" style="255"/>
    <col min="4368" max="4368" width="14.75" style="255" customWidth="1"/>
    <col min="4369" max="4369" width="11.5" style="255" customWidth="1"/>
    <col min="4370" max="4370" width="11.25" style="255" customWidth="1"/>
    <col min="4371" max="4371" width="10.75" style="255" customWidth="1"/>
    <col min="4372" max="4372" width="10" style="255" customWidth="1"/>
    <col min="4373" max="4373" width="9.875" style="255" customWidth="1"/>
    <col min="4374" max="4374" width="26.125" style="255" customWidth="1"/>
    <col min="4375" max="4375" width="11.125" style="255" customWidth="1"/>
    <col min="4376" max="4376" width="7.875" style="255" customWidth="1"/>
    <col min="4377" max="4377" width="7.25" style="255" customWidth="1"/>
    <col min="4378" max="4378" width="9.125" style="255" customWidth="1"/>
    <col min="4379" max="4379" width="15.125" style="255" customWidth="1"/>
    <col min="4380" max="4380" width="7.75" style="255" customWidth="1"/>
    <col min="4381" max="4381" width="7.125" style="255" customWidth="1"/>
    <col min="4382" max="4382" width="12.125" style="255" customWidth="1"/>
    <col min="4383" max="4383" width="8.25" style="255" customWidth="1"/>
    <col min="4384" max="4385" width="10.375" style="255" customWidth="1"/>
    <col min="4386" max="4386" width="15.625" style="255" customWidth="1"/>
    <col min="4387" max="4387" width="15.875" style="255" customWidth="1"/>
    <col min="4388" max="4388" width="8.125" style="255" customWidth="1"/>
    <col min="4389" max="4392" width="10.375" style="255" customWidth="1"/>
    <col min="4393" max="4393" width="7.25" style="255" customWidth="1"/>
    <col min="4394" max="4394" width="7.125" style="255" customWidth="1"/>
    <col min="4395" max="4395" width="9.5" style="255" customWidth="1"/>
    <col min="4396" max="4397" width="9" style="255" customWidth="1"/>
    <col min="4398" max="4398" width="16.125" style="255" customWidth="1"/>
    <col min="4399" max="4429" width="9" style="255" customWidth="1"/>
    <col min="4430" max="4589" width="25.25" style="255"/>
    <col min="4590" max="4619" width="9" style="255" customWidth="1"/>
    <col min="4620" max="4620" width="0.5" style="255" customWidth="1"/>
    <col min="4621" max="4621" width="25.25" style="255"/>
    <col min="4622" max="4622" width="0.5" style="255" customWidth="1"/>
    <col min="4623" max="4623" width="25.25" style="255"/>
    <col min="4624" max="4624" width="14.75" style="255" customWidth="1"/>
    <col min="4625" max="4625" width="11.5" style="255" customWidth="1"/>
    <col min="4626" max="4626" width="11.25" style="255" customWidth="1"/>
    <col min="4627" max="4627" width="10.75" style="255" customWidth="1"/>
    <col min="4628" max="4628" width="10" style="255" customWidth="1"/>
    <col min="4629" max="4629" width="9.875" style="255" customWidth="1"/>
    <col min="4630" max="4630" width="26.125" style="255" customWidth="1"/>
    <col min="4631" max="4631" width="11.125" style="255" customWidth="1"/>
    <col min="4632" max="4632" width="7.875" style="255" customWidth="1"/>
    <col min="4633" max="4633" width="7.25" style="255" customWidth="1"/>
    <col min="4634" max="4634" width="9.125" style="255" customWidth="1"/>
    <col min="4635" max="4635" width="15.125" style="255" customWidth="1"/>
    <col min="4636" max="4636" width="7.75" style="255" customWidth="1"/>
    <col min="4637" max="4637" width="7.125" style="255" customWidth="1"/>
    <col min="4638" max="4638" width="12.125" style="255" customWidth="1"/>
    <col min="4639" max="4639" width="8.25" style="255" customWidth="1"/>
    <col min="4640" max="4641" width="10.375" style="255" customWidth="1"/>
    <col min="4642" max="4642" width="15.625" style="255" customWidth="1"/>
    <col min="4643" max="4643" width="15.875" style="255" customWidth="1"/>
    <col min="4644" max="4644" width="8.125" style="255" customWidth="1"/>
    <col min="4645" max="4648" width="10.375" style="255" customWidth="1"/>
    <col min="4649" max="4649" width="7.25" style="255" customWidth="1"/>
    <col min="4650" max="4650" width="7.125" style="255" customWidth="1"/>
    <col min="4651" max="4651" width="9.5" style="255" customWidth="1"/>
    <col min="4652" max="4653" width="9" style="255" customWidth="1"/>
    <col min="4654" max="4654" width="16.125" style="255" customWidth="1"/>
    <col min="4655" max="4685" width="9" style="255" customWidth="1"/>
    <col min="4686" max="4845" width="25.25" style="255"/>
    <col min="4846" max="4875" width="9" style="255" customWidth="1"/>
    <col min="4876" max="4876" width="0.5" style="255" customWidth="1"/>
    <col min="4877" max="4877" width="25.25" style="255"/>
    <col min="4878" max="4878" width="0.5" style="255" customWidth="1"/>
    <col min="4879" max="4879" width="25.25" style="255"/>
    <col min="4880" max="4880" width="14.75" style="255" customWidth="1"/>
    <col min="4881" max="4881" width="11.5" style="255" customWidth="1"/>
    <col min="4882" max="4882" width="11.25" style="255" customWidth="1"/>
    <col min="4883" max="4883" width="10.75" style="255" customWidth="1"/>
    <col min="4884" max="4884" width="10" style="255" customWidth="1"/>
    <col min="4885" max="4885" width="9.875" style="255" customWidth="1"/>
    <col min="4886" max="4886" width="26.125" style="255" customWidth="1"/>
    <col min="4887" max="4887" width="11.125" style="255" customWidth="1"/>
    <col min="4888" max="4888" width="7.875" style="255" customWidth="1"/>
    <col min="4889" max="4889" width="7.25" style="255" customWidth="1"/>
    <col min="4890" max="4890" width="9.125" style="255" customWidth="1"/>
    <col min="4891" max="4891" width="15.125" style="255" customWidth="1"/>
    <col min="4892" max="4892" width="7.75" style="255" customWidth="1"/>
    <col min="4893" max="4893" width="7.125" style="255" customWidth="1"/>
    <col min="4894" max="4894" width="12.125" style="255" customWidth="1"/>
    <col min="4895" max="4895" width="8.25" style="255" customWidth="1"/>
    <col min="4896" max="4897" width="10.375" style="255" customWidth="1"/>
    <col min="4898" max="4898" width="15.625" style="255" customWidth="1"/>
    <col min="4899" max="4899" width="15.875" style="255" customWidth="1"/>
    <col min="4900" max="4900" width="8.125" style="255" customWidth="1"/>
    <col min="4901" max="4904" width="10.375" style="255" customWidth="1"/>
    <col min="4905" max="4905" width="7.25" style="255" customWidth="1"/>
    <col min="4906" max="4906" width="7.125" style="255" customWidth="1"/>
    <col min="4907" max="4907" width="9.5" style="255" customWidth="1"/>
    <col min="4908" max="4909" width="9" style="255" customWidth="1"/>
    <col min="4910" max="4910" width="16.125" style="255" customWidth="1"/>
    <col min="4911" max="4941" width="9" style="255" customWidth="1"/>
    <col min="4942" max="5101" width="25.25" style="255"/>
    <col min="5102" max="5131" width="9" style="255" customWidth="1"/>
    <col min="5132" max="5132" width="0.5" style="255" customWidth="1"/>
    <col min="5133" max="5133" width="25.25" style="255"/>
    <col min="5134" max="5134" width="0.5" style="255" customWidth="1"/>
    <col min="5135" max="5135" width="25.25" style="255"/>
    <col min="5136" max="5136" width="14.75" style="255" customWidth="1"/>
    <col min="5137" max="5137" width="11.5" style="255" customWidth="1"/>
    <col min="5138" max="5138" width="11.25" style="255" customWidth="1"/>
    <col min="5139" max="5139" width="10.75" style="255" customWidth="1"/>
    <col min="5140" max="5140" width="10" style="255" customWidth="1"/>
    <col min="5141" max="5141" width="9.875" style="255" customWidth="1"/>
    <col min="5142" max="5142" width="26.125" style="255" customWidth="1"/>
    <col min="5143" max="5143" width="11.125" style="255" customWidth="1"/>
    <col min="5144" max="5144" width="7.875" style="255" customWidth="1"/>
    <col min="5145" max="5145" width="7.25" style="255" customWidth="1"/>
    <col min="5146" max="5146" width="9.125" style="255" customWidth="1"/>
    <col min="5147" max="5147" width="15.125" style="255" customWidth="1"/>
    <col min="5148" max="5148" width="7.75" style="255" customWidth="1"/>
    <col min="5149" max="5149" width="7.125" style="255" customWidth="1"/>
    <col min="5150" max="5150" width="12.125" style="255" customWidth="1"/>
    <col min="5151" max="5151" width="8.25" style="255" customWidth="1"/>
    <col min="5152" max="5153" width="10.375" style="255" customWidth="1"/>
    <col min="5154" max="5154" width="15.625" style="255" customWidth="1"/>
    <col min="5155" max="5155" width="15.875" style="255" customWidth="1"/>
    <col min="5156" max="5156" width="8.125" style="255" customWidth="1"/>
    <col min="5157" max="5160" width="10.375" style="255" customWidth="1"/>
    <col min="5161" max="5161" width="7.25" style="255" customWidth="1"/>
    <col min="5162" max="5162" width="7.125" style="255" customWidth="1"/>
    <col min="5163" max="5163" width="9.5" style="255" customWidth="1"/>
    <col min="5164" max="5165" width="9" style="255" customWidth="1"/>
    <col min="5166" max="5166" width="16.125" style="255" customWidth="1"/>
    <col min="5167" max="5197" width="9" style="255" customWidth="1"/>
    <col min="5198" max="5357" width="25.25" style="255"/>
    <col min="5358" max="5387" width="9" style="255" customWidth="1"/>
    <col min="5388" max="5388" width="0.5" style="255" customWidth="1"/>
    <col min="5389" max="5389" width="25.25" style="255"/>
    <col min="5390" max="5390" width="0.5" style="255" customWidth="1"/>
    <col min="5391" max="5391" width="25.25" style="255"/>
    <col min="5392" max="5392" width="14.75" style="255" customWidth="1"/>
    <col min="5393" max="5393" width="11.5" style="255" customWidth="1"/>
    <col min="5394" max="5394" width="11.25" style="255" customWidth="1"/>
    <col min="5395" max="5395" width="10.75" style="255" customWidth="1"/>
    <col min="5396" max="5396" width="10" style="255" customWidth="1"/>
    <col min="5397" max="5397" width="9.875" style="255" customWidth="1"/>
    <col min="5398" max="5398" width="26.125" style="255" customWidth="1"/>
    <col min="5399" max="5399" width="11.125" style="255" customWidth="1"/>
    <col min="5400" max="5400" width="7.875" style="255" customWidth="1"/>
    <col min="5401" max="5401" width="7.25" style="255" customWidth="1"/>
    <col min="5402" max="5402" width="9.125" style="255" customWidth="1"/>
    <col min="5403" max="5403" width="15.125" style="255" customWidth="1"/>
    <col min="5404" max="5404" width="7.75" style="255" customWidth="1"/>
    <col min="5405" max="5405" width="7.125" style="255" customWidth="1"/>
    <col min="5406" max="5406" width="12.125" style="255" customWidth="1"/>
    <col min="5407" max="5407" width="8.25" style="255" customWidth="1"/>
    <col min="5408" max="5409" width="10.375" style="255" customWidth="1"/>
    <col min="5410" max="5410" width="15.625" style="255" customWidth="1"/>
    <col min="5411" max="5411" width="15.875" style="255" customWidth="1"/>
    <col min="5412" max="5412" width="8.125" style="255" customWidth="1"/>
    <col min="5413" max="5416" width="10.375" style="255" customWidth="1"/>
    <col min="5417" max="5417" width="7.25" style="255" customWidth="1"/>
    <col min="5418" max="5418" width="7.125" style="255" customWidth="1"/>
    <col min="5419" max="5419" width="9.5" style="255" customWidth="1"/>
    <col min="5420" max="5421" width="9" style="255" customWidth="1"/>
    <col min="5422" max="5422" width="16.125" style="255" customWidth="1"/>
    <col min="5423" max="5453" width="9" style="255" customWidth="1"/>
    <col min="5454" max="5613" width="25.25" style="255"/>
    <col min="5614" max="5643" width="9" style="255" customWidth="1"/>
    <col min="5644" max="5644" width="0.5" style="255" customWidth="1"/>
    <col min="5645" max="5645" width="25.25" style="255"/>
    <col min="5646" max="5646" width="0.5" style="255" customWidth="1"/>
    <col min="5647" max="5647" width="25.25" style="255"/>
    <col min="5648" max="5648" width="14.75" style="255" customWidth="1"/>
    <col min="5649" max="5649" width="11.5" style="255" customWidth="1"/>
    <col min="5650" max="5650" width="11.25" style="255" customWidth="1"/>
    <col min="5651" max="5651" width="10.75" style="255" customWidth="1"/>
    <col min="5652" max="5652" width="10" style="255" customWidth="1"/>
    <col min="5653" max="5653" width="9.875" style="255" customWidth="1"/>
    <col min="5654" max="5654" width="26.125" style="255" customWidth="1"/>
    <col min="5655" max="5655" width="11.125" style="255" customWidth="1"/>
    <col min="5656" max="5656" width="7.875" style="255" customWidth="1"/>
    <col min="5657" max="5657" width="7.25" style="255" customWidth="1"/>
    <col min="5658" max="5658" width="9.125" style="255" customWidth="1"/>
    <col min="5659" max="5659" width="15.125" style="255" customWidth="1"/>
    <col min="5660" max="5660" width="7.75" style="255" customWidth="1"/>
    <col min="5661" max="5661" width="7.125" style="255" customWidth="1"/>
    <col min="5662" max="5662" width="12.125" style="255" customWidth="1"/>
    <col min="5663" max="5663" width="8.25" style="255" customWidth="1"/>
    <col min="5664" max="5665" width="10.375" style="255" customWidth="1"/>
    <col min="5666" max="5666" width="15.625" style="255" customWidth="1"/>
    <col min="5667" max="5667" width="15.875" style="255" customWidth="1"/>
    <col min="5668" max="5668" width="8.125" style="255" customWidth="1"/>
    <col min="5669" max="5672" width="10.375" style="255" customWidth="1"/>
    <col min="5673" max="5673" width="7.25" style="255" customWidth="1"/>
    <col min="5674" max="5674" width="7.125" style="255" customWidth="1"/>
    <col min="5675" max="5675" width="9.5" style="255" customWidth="1"/>
    <col min="5676" max="5677" width="9" style="255" customWidth="1"/>
    <col min="5678" max="5678" width="16.125" style="255" customWidth="1"/>
    <col min="5679" max="5709" width="9" style="255" customWidth="1"/>
    <col min="5710" max="5869" width="25.25" style="255"/>
    <col min="5870" max="5899" width="9" style="255" customWidth="1"/>
    <col min="5900" max="5900" width="0.5" style="255" customWidth="1"/>
    <col min="5901" max="5901" width="25.25" style="255"/>
    <col min="5902" max="5902" width="0.5" style="255" customWidth="1"/>
    <col min="5903" max="5903" width="25.25" style="255"/>
    <col min="5904" max="5904" width="14.75" style="255" customWidth="1"/>
    <col min="5905" max="5905" width="11.5" style="255" customWidth="1"/>
    <col min="5906" max="5906" width="11.25" style="255" customWidth="1"/>
    <col min="5907" max="5907" width="10.75" style="255" customWidth="1"/>
    <col min="5908" max="5908" width="10" style="255" customWidth="1"/>
    <col min="5909" max="5909" width="9.875" style="255" customWidth="1"/>
    <col min="5910" max="5910" width="26.125" style="255" customWidth="1"/>
    <col min="5911" max="5911" width="11.125" style="255" customWidth="1"/>
    <col min="5912" max="5912" width="7.875" style="255" customWidth="1"/>
    <col min="5913" max="5913" width="7.25" style="255" customWidth="1"/>
    <col min="5914" max="5914" width="9.125" style="255" customWidth="1"/>
    <col min="5915" max="5915" width="15.125" style="255" customWidth="1"/>
    <col min="5916" max="5916" width="7.75" style="255" customWidth="1"/>
    <col min="5917" max="5917" width="7.125" style="255" customWidth="1"/>
    <col min="5918" max="5918" width="12.125" style="255" customWidth="1"/>
    <col min="5919" max="5919" width="8.25" style="255" customWidth="1"/>
    <col min="5920" max="5921" width="10.375" style="255" customWidth="1"/>
    <col min="5922" max="5922" width="15.625" style="255" customWidth="1"/>
    <col min="5923" max="5923" width="15.875" style="255" customWidth="1"/>
    <col min="5924" max="5924" width="8.125" style="255" customWidth="1"/>
    <col min="5925" max="5928" width="10.375" style="255" customWidth="1"/>
    <col min="5929" max="5929" width="7.25" style="255" customWidth="1"/>
    <col min="5930" max="5930" width="7.125" style="255" customWidth="1"/>
    <col min="5931" max="5931" width="9.5" style="255" customWidth="1"/>
    <col min="5932" max="5933" width="9" style="255" customWidth="1"/>
    <col min="5934" max="5934" width="16.125" style="255" customWidth="1"/>
    <col min="5935" max="5965" width="9" style="255" customWidth="1"/>
    <col min="5966" max="6125" width="25.25" style="255"/>
    <col min="6126" max="6155" width="9" style="255" customWidth="1"/>
    <col min="6156" max="6156" width="0.5" style="255" customWidth="1"/>
    <col min="6157" max="6157" width="25.25" style="255"/>
    <col min="6158" max="6158" width="0.5" style="255" customWidth="1"/>
    <col min="6159" max="6159" width="25.25" style="255"/>
    <col min="6160" max="6160" width="14.75" style="255" customWidth="1"/>
    <col min="6161" max="6161" width="11.5" style="255" customWidth="1"/>
    <col min="6162" max="6162" width="11.25" style="255" customWidth="1"/>
    <col min="6163" max="6163" width="10.75" style="255" customWidth="1"/>
    <col min="6164" max="6164" width="10" style="255" customWidth="1"/>
    <col min="6165" max="6165" width="9.875" style="255" customWidth="1"/>
    <col min="6166" max="6166" width="26.125" style="255" customWidth="1"/>
    <col min="6167" max="6167" width="11.125" style="255" customWidth="1"/>
    <col min="6168" max="6168" width="7.875" style="255" customWidth="1"/>
    <col min="6169" max="6169" width="7.25" style="255" customWidth="1"/>
    <col min="6170" max="6170" width="9.125" style="255" customWidth="1"/>
    <col min="6171" max="6171" width="15.125" style="255" customWidth="1"/>
    <col min="6172" max="6172" width="7.75" style="255" customWidth="1"/>
    <col min="6173" max="6173" width="7.125" style="255" customWidth="1"/>
    <col min="6174" max="6174" width="12.125" style="255" customWidth="1"/>
    <col min="6175" max="6175" width="8.25" style="255" customWidth="1"/>
    <col min="6176" max="6177" width="10.375" style="255" customWidth="1"/>
    <col min="6178" max="6178" width="15.625" style="255" customWidth="1"/>
    <col min="6179" max="6179" width="15.875" style="255" customWidth="1"/>
    <col min="6180" max="6180" width="8.125" style="255" customWidth="1"/>
    <col min="6181" max="6184" width="10.375" style="255" customWidth="1"/>
    <col min="6185" max="6185" width="7.25" style="255" customWidth="1"/>
    <col min="6186" max="6186" width="7.125" style="255" customWidth="1"/>
    <col min="6187" max="6187" width="9.5" style="255" customWidth="1"/>
    <col min="6188" max="6189" width="9" style="255" customWidth="1"/>
    <col min="6190" max="6190" width="16.125" style="255" customWidth="1"/>
    <col min="6191" max="6221" width="9" style="255" customWidth="1"/>
    <col min="6222" max="6381" width="25.25" style="255"/>
    <col min="6382" max="6411" width="9" style="255" customWidth="1"/>
    <col min="6412" max="6412" width="0.5" style="255" customWidth="1"/>
    <col min="6413" max="6413" width="25.25" style="255"/>
    <col min="6414" max="6414" width="0.5" style="255" customWidth="1"/>
    <col min="6415" max="6415" width="25.25" style="255"/>
    <col min="6416" max="6416" width="14.75" style="255" customWidth="1"/>
    <col min="6417" max="6417" width="11.5" style="255" customWidth="1"/>
    <col min="6418" max="6418" width="11.25" style="255" customWidth="1"/>
    <col min="6419" max="6419" width="10.75" style="255" customWidth="1"/>
    <col min="6420" max="6420" width="10" style="255" customWidth="1"/>
    <col min="6421" max="6421" width="9.875" style="255" customWidth="1"/>
    <col min="6422" max="6422" width="26.125" style="255" customWidth="1"/>
    <col min="6423" max="6423" width="11.125" style="255" customWidth="1"/>
    <col min="6424" max="6424" width="7.875" style="255" customWidth="1"/>
    <col min="6425" max="6425" width="7.25" style="255" customWidth="1"/>
    <col min="6426" max="6426" width="9.125" style="255" customWidth="1"/>
    <col min="6427" max="6427" width="15.125" style="255" customWidth="1"/>
    <col min="6428" max="6428" width="7.75" style="255" customWidth="1"/>
    <col min="6429" max="6429" width="7.125" style="255" customWidth="1"/>
    <col min="6430" max="6430" width="12.125" style="255" customWidth="1"/>
    <col min="6431" max="6431" width="8.25" style="255" customWidth="1"/>
    <col min="6432" max="6433" width="10.375" style="255" customWidth="1"/>
    <col min="6434" max="6434" width="15.625" style="255" customWidth="1"/>
    <col min="6435" max="6435" width="15.875" style="255" customWidth="1"/>
    <col min="6436" max="6436" width="8.125" style="255" customWidth="1"/>
    <col min="6437" max="6440" width="10.375" style="255" customWidth="1"/>
    <col min="6441" max="6441" width="7.25" style="255" customWidth="1"/>
    <col min="6442" max="6442" width="7.125" style="255" customWidth="1"/>
    <col min="6443" max="6443" width="9.5" style="255" customWidth="1"/>
    <col min="6444" max="6445" width="9" style="255" customWidth="1"/>
    <col min="6446" max="6446" width="16.125" style="255" customWidth="1"/>
    <col min="6447" max="6477" width="9" style="255" customWidth="1"/>
    <col min="6478" max="6637" width="25.25" style="255"/>
    <col min="6638" max="6667" width="9" style="255" customWidth="1"/>
    <col min="6668" max="6668" width="0.5" style="255" customWidth="1"/>
    <col min="6669" max="6669" width="25.25" style="255"/>
    <col min="6670" max="6670" width="0.5" style="255" customWidth="1"/>
    <col min="6671" max="6671" width="25.25" style="255"/>
    <col min="6672" max="6672" width="14.75" style="255" customWidth="1"/>
    <col min="6673" max="6673" width="11.5" style="255" customWidth="1"/>
    <col min="6674" max="6674" width="11.25" style="255" customWidth="1"/>
    <col min="6675" max="6675" width="10.75" style="255" customWidth="1"/>
    <col min="6676" max="6676" width="10" style="255" customWidth="1"/>
    <col min="6677" max="6677" width="9.875" style="255" customWidth="1"/>
    <col min="6678" max="6678" width="26.125" style="255" customWidth="1"/>
    <col min="6679" max="6679" width="11.125" style="255" customWidth="1"/>
    <col min="6680" max="6680" width="7.875" style="255" customWidth="1"/>
    <col min="6681" max="6681" width="7.25" style="255" customWidth="1"/>
    <col min="6682" max="6682" width="9.125" style="255" customWidth="1"/>
    <col min="6683" max="6683" width="15.125" style="255" customWidth="1"/>
    <col min="6684" max="6684" width="7.75" style="255" customWidth="1"/>
    <col min="6685" max="6685" width="7.125" style="255" customWidth="1"/>
    <col min="6686" max="6686" width="12.125" style="255" customWidth="1"/>
    <col min="6687" max="6687" width="8.25" style="255" customWidth="1"/>
    <col min="6688" max="6689" width="10.375" style="255" customWidth="1"/>
    <col min="6690" max="6690" width="15.625" style="255" customWidth="1"/>
    <col min="6691" max="6691" width="15.875" style="255" customWidth="1"/>
    <col min="6692" max="6692" width="8.125" style="255" customWidth="1"/>
    <col min="6693" max="6696" width="10.375" style="255" customWidth="1"/>
    <col min="6697" max="6697" width="7.25" style="255" customWidth="1"/>
    <col min="6698" max="6698" width="7.125" style="255" customWidth="1"/>
    <col min="6699" max="6699" width="9.5" style="255" customWidth="1"/>
    <col min="6700" max="6701" width="9" style="255" customWidth="1"/>
    <col min="6702" max="6702" width="16.125" style="255" customWidth="1"/>
    <col min="6703" max="6733" width="9" style="255" customWidth="1"/>
    <col min="6734" max="6893" width="25.25" style="255"/>
    <col min="6894" max="6923" width="9" style="255" customWidth="1"/>
    <col min="6924" max="6924" width="0.5" style="255" customWidth="1"/>
    <col min="6925" max="6925" width="25.25" style="255"/>
    <col min="6926" max="6926" width="0.5" style="255" customWidth="1"/>
    <col min="6927" max="6927" width="25.25" style="255"/>
    <col min="6928" max="6928" width="14.75" style="255" customWidth="1"/>
    <col min="6929" max="6929" width="11.5" style="255" customWidth="1"/>
    <col min="6930" max="6930" width="11.25" style="255" customWidth="1"/>
    <col min="6931" max="6931" width="10.75" style="255" customWidth="1"/>
    <col min="6932" max="6932" width="10" style="255" customWidth="1"/>
    <col min="6933" max="6933" width="9.875" style="255" customWidth="1"/>
    <col min="6934" max="6934" width="26.125" style="255" customWidth="1"/>
    <col min="6935" max="6935" width="11.125" style="255" customWidth="1"/>
    <col min="6936" max="6936" width="7.875" style="255" customWidth="1"/>
    <col min="6937" max="6937" width="7.25" style="255" customWidth="1"/>
    <col min="6938" max="6938" width="9.125" style="255" customWidth="1"/>
    <col min="6939" max="6939" width="15.125" style="255" customWidth="1"/>
    <col min="6940" max="6940" width="7.75" style="255" customWidth="1"/>
    <col min="6941" max="6941" width="7.125" style="255" customWidth="1"/>
    <col min="6942" max="6942" width="12.125" style="255" customWidth="1"/>
    <col min="6943" max="6943" width="8.25" style="255" customWidth="1"/>
    <col min="6944" max="6945" width="10.375" style="255" customWidth="1"/>
    <col min="6946" max="6946" width="15.625" style="255" customWidth="1"/>
    <col min="6947" max="6947" width="15.875" style="255" customWidth="1"/>
    <col min="6948" max="6948" width="8.125" style="255" customWidth="1"/>
    <col min="6949" max="6952" width="10.375" style="255" customWidth="1"/>
    <col min="6953" max="6953" width="7.25" style="255" customWidth="1"/>
    <col min="6954" max="6954" width="7.125" style="255" customWidth="1"/>
    <col min="6955" max="6955" width="9.5" style="255" customWidth="1"/>
    <col min="6956" max="6957" width="9" style="255" customWidth="1"/>
    <col min="6958" max="6958" width="16.125" style="255" customWidth="1"/>
    <col min="6959" max="6989" width="9" style="255" customWidth="1"/>
    <col min="6990" max="7149" width="25.25" style="255"/>
    <col min="7150" max="7179" width="9" style="255" customWidth="1"/>
    <col min="7180" max="7180" width="0.5" style="255" customWidth="1"/>
    <col min="7181" max="7181" width="25.25" style="255"/>
    <col min="7182" max="7182" width="0.5" style="255" customWidth="1"/>
    <col min="7183" max="7183" width="25.25" style="255"/>
    <col min="7184" max="7184" width="14.75" style="255" customWidth="1"/>
    <col min="7185" max="7185" width="11.5" style="255" customWidth="1"/>
    <col min="7186" max="7186" width="11.25" style="255" customWidth="1"/>
    <col min="7187" max="7187" width="10.75" style="255" customWidth="1"/>
    <col min="7188" max="7188" width="10" style="255" customWidth="1"/>
    <col min="7189" max="7189" width="9.875" style="255" customWidth="1"/>
    <col min="7190" max="7190" width="26.125" style="255" customWidth="1"/>
    <col min="7191" max="7191" width="11.125" style="255" customWidth="1"/>
    <col min="7192" max="7192" width="7.875" style="255" customWidth="1"/>
    <col min="7193" max="7193" width="7.25" style="255" customWidth="1"/>
    <col min="7194" max="7194" width="9.125" style="255" customWidth="1"/>
    <col min="7195" max="7195" width="15.125" style="255" customWidth="1"/>
    <col min="7196" max="7196" width="7.75" style="255" customWidth="1"/>
    <col min="7197" max="7197" width="7.125" style="255" customWidth="1"/>
    <col min="7198" max="7198" width="12.125" style="255" customWidth="1"/>
    <col min="7199" max="7199" width="8.25" style="255" customWidth="1"/>
    <col min="7200" max="7201" width="10.375" style="255" customWidth="1"/>
    <col min="7202" max="7202" width="15.625" style="255" customWidth="1"/>
    <col min="7203" max="7203" width="15.875" style="255" customWidth="1"/>
    <col min="7204" max="7204" width="8.125" style="255" customWidth="1"/>
    <col min="7205" max="7208" width="10.375" style="255" customWidth="1"/>
    <col min="7209" max="7209" width="7.25" style="255" customWidth="1"/>
    <col min="7210" max="7210" width="7.125" style="255" customWidth="1"/>
    <col min="7211" max="7211" width="9.5" style="255" customWidth="1"/>
    <col min="7212" max="7213" width="9" style="255" customWidth="1"/>
    <col min="7214" max="7214" width="16.125" style="255" customWidth="1"/>
    <col min="7215" max="7245" width="9" style="255" customWidth="1"/>
    <col min="7246" max="7405" width="25.25" style="255"/>
    <col min="7406" max="7435" width="9" style="255" customWidth="1"/>
    <col min="7436" max="7436" width="0.5" style="255" customWidth="1"/>
    <col min="7437" max="7437" width="25.25" style="255"/>
    <col min="7438" max="7438" width="0.5" style="255" customWidth="1"/>
    <col min="7439" max="7439" width="25.25" style="255"/>
    <col min="7440" max="7440" width="14.75" style="255" customWidth="1"/>
    <col min="7441" max="7441" width="11.5" style="255" customWidth="1"/>
    <col min="7442" max="7442" width="11.25" style="255" customWidth="1"/>
    <col min="7443" max="7443" width="10.75" style="255" customWidth="1"/>
    <col min="7444" max="7444" width="10" style="255" customWidth="1"/>
    <col min="7445" max="7445" width="9.875" style="255" customWidth="1"/>
    <col min="7446" max="7446" width="26.125" style="255" customWidth="1"/>
    <col min="7447" max="7447" width="11.125" style="255" customWidth="1"/>
    <col min="7448" max="7448" width="7.875" style="255" customWidth="1"/>
    <col min="7449" max="7449" width="7.25" style="255" customWidth="1"/>
    <col min="7450" max="7450" width="9.125" style="255" customWidth="1"/>
    <col min="7451" max="7451" width="15.125" style="255" customWidth="1"/>
    <col min="7452" max="7452" width="7.75" style="255" customWidth="1"/>
    <col min="7453" max="7453" width="7.125" style="255" customWidth="1"/>
    <col min="7454" max="7454" width="12.125" style="255" customWidth="1"/>
    <col min="7455" max="7455" width="8.25" style="255" customWidth="1"/>
    <col min="7456" max="7457" width="10.375" style="255" customWidth="1"/>
    <col min="7458" max="7458" width="15.625" style="255" customWidth="1"/>
    <col min="7459" max="7459" width="15.875" style="255" customWidth="1"/>
    <col min="7460" max="7460" width="8.125" style="255" customWidth="1"/>
    <col min="7461" max="7464" width="10.375" style="255" customWidth="1"/>
    <col min="7465" max="7465" width="7.25" style="255" customWidth="1"/>
    <col min="7466" max="7466" width="7.125" style="255" customWidth="1"/>
    <col min="7467" max="7467" width="9.5" style="255" customWidth="1"/>
    <col min="7468" max="7469" width="9" style="255" customWidth="1"/>
    <col min="7470" max="7470" width="16.125" style="255" customWidth="1"/>
    <col min="7471" max="7501" width="9" style="255" customWidth="1"/>
    <col min="7502" max="7661" width="25.25" style="255"/>
    <col min="7662" max="7691" width="9" style="255" customWidth="1"/>
    <col min="7692" max="7692" width="0.5" style="255" customWidth="1"/>
    <col min="7693" max="7693" width="25.25" style="255"/>
    <col min="7694" max="7694" width="0.5" style="255" customWidth="1"/>
    <col min="7695" max="7695" width="25.25" style="255"/>
    <col min="7696" max="7696" width="14.75" style="255" customWidth="1"/>
    <col min="7697" max="7697" width="11.5" style="255" customWidth="1"/>
    <col min="7698" max="7698" width="11.25" style="255" customWidth="1"/>
    <col min="7699" max="7699" width="10.75" style="255" customWidth="1"/>
    <col min="7700" max="7700" width="10" style="255" customWidth="1"/>
    <col min="7701" max="7701" width="9.875" style="255" customWidth="1"/>
    <col min="7702" max="7702" width="26.125" style="255" customWidth="1"/>
    <col min="7703" max="7703" width="11.125" style="255" customWidth="1"/>
    <col min="7704" max="7704" width="7.875" style="255" customWidth="1"/>
    <col min="7705" max="7705" width="7.25" style="255" customWidth="1"/>
    <col min="7706" max="7706" width="9.125" style="255" customWidth="1"/>
    <col min="7707" max="7707" width="15.125" style="255" customWidth="1"/>
    <col min="7708" max="7708" width="7.75" style="255" customWidth="1"/>
    <col min="7709" max="7709" width="7.125" style="255" customWidth="1"/>
    <col min="7710" max="7710" width="12.125" style="255" customWidth="1"/>
    <col min="7711" max="7711" width="8.25" style="255" customWidth="1"/>
    <col min="7712" max="7713" width="10.375" style="255" customWidth="1"/>
    <col min="7714" max="7714" width="15.625" style="255" customWidth="1"/>
    <col min="7715" max="7715" width="15.875" style="255" customWidth="1"/>
    <col min="7716" max="7716" width="8.125" style="255" customWidth="1"/>
    <col min="7717" max="7720" width="10.375" style="255" customWidth="1"/>
    <col min="7721" max="7721" width="7.25" style="255" customWidth="1"/>
    <col min="7722" max="7722" width="7.125" style="255" customWidth="1"/>
    <col min="7723" max="7723" width="9.5" style="255" customWidth="1"/>
    <col min="7724" max="7725" width="9" style="255" customWidth="1"/>
    <col min="7726" max="7726" width="16.125" style="255" customWidth="1"/>
    <col min="7727" max="7757" width="9" style="255" customWidth="1"/>
    <col min="7758" max="7917" width="25.25" style="255"/>
    <col min="7918" max="7947" width="9" style="255" customWidth="1"/>
    <col min="7948" max="7948" width="0.5" style="255" customWidth="1"/>
    <col min="7949" max="7949" width="25.25" style="255"/>
    <col min="7950" max="7950" width="0.5" style="255" customWidth="1"/>
    <col min="7951" max="7951" width="25.25" style="255"/>
    <col min="7952" max="7952" width="14.75" style="255" customWidth="1"/>
    <col min="7953" max="7953" width="11.5" style="255" customWidth="1"/>
    <col min="7954" max="7954" width="11.25" style="255" customWidth="1"/>
    <col min="7955" max="7955" width="10.75" style="255" customWidth="1"/>
    <col min="7956" max="7956" width="10" style="255" customWidth="1"/>
    <col min="7957" max="7957" width="9.875" style="255" customWidth="1"/>
    <col min="7958" max="7958" width="26.125" style="255" customWidth="1"/>
    <col min="7959" max="7959" width="11.125" style="255" customWidth="1"/>
    <col min="7960" max="7960" width="7.875" style="255" customWidth="1"/>
    <col min="7961" max="7961" width="7.25" style="255" customWidth="1"/>
    <col min="7962" max="7962" width="9.125" style="255" customWidth="1"/>
    <col min="7963" max="7963" width="15.125" style="255" customWidth="1"/>
    <col min="7964" max="7964" width="7.75" style="255" customWidth="1"/>
    <col min="7965" max="7965" width="7.125" style="255" customWidth="1"/>
    <col min="7966" max="7966" width="12.125" style="255" customWidth="1"/>
    <col min="7967" max="7967" width="8.25" style="255" customWidth="1"/>
    <col min="7968" max="7969" width="10.375" style="255" customWidth="1"/>
    <col min="7970" max="7970" width="15.625" style="255" customWidth="1"/>
    <col min="7971" max="7971" width="15.875" style="255" customWidth="1"/>
    <col min="7972" max="7972" width="8.125" style="255" customWidth="1"/>
    <col min="7973" max="7976" width="10.375" style="255" customWidth="1"/>
    <col min="7977" max="7977" width="7.25" style="255" customWidth="1"/>
    <col min="7978" max="7978" width="7.125" style="255" customWidth="1"/>
    <col min="7979" max="7979" width="9.5" style="255" customWidth="1"/>
    <col min="7980" max="7981" width="9" style="255" customWidth="1"/>
    <col min="7982" max="7982" width="16.125" style="255" customWidth="1"/>
    <col min="7983" max="8013" width="9" style="255" customWidth="1"/>
    <col min="8014" max="8173" width="25.25" style="255"/>
    <col min="8174" max="8203" width="9" style="255" customWidth="1"/>
    <col min="8204" max="8204" width="0.5" style="255" customWidth="1"/>
    <col min="8205" max="8205" width="25.25" style="255"/>
    <col min="8206" max="8206" width="0.5" style="255" customWidth="1"/>
    <col min="8207" max="8207" width="25.25" style="255"/>
    <col min="8208" max="8208" width="14.75" style="255" customWidth="1"/>
    <col min="8209" max="8209" width="11.5" style="255" customWidth="1"/>
    <col min="8210" max="8210" width="11.25" style="255" customWidth="1"/>
    <col min="8211" max="8211" width="10.75" style="255" customWidth="1"/>
    <col min="8212" max="8212" width="10" style="255" customWidth="1"/>
    <col min="8213" max="8213" width="9.875" style="255" customWidth="1"/>
    <col min="8214" max="8214" width="26.125" style="255" customWidth="1"/>
    <col min="8215" max="8215" width="11.125" style="255" customWidth="1"/>
    <col min="8216" max="8216" width="7.875" style="255" customWidth="1"/>
    <col min="8217" max="8217" width="7.25" style="255" customWidth="1"/>
    <col min="8218" max="8218" width="9.125" style="255" customWidth="1"/>
    <col min="8219" max="8219" width="15.125" style="255" customWidth="1"/>
    <col min="8220" max="8220" width="7.75" style="255" customWidth="1"/>
    <col min="8221" max="8221" width="7.125" style="255" customWidth="1"/>
    <col min="8222" max="8222" width="12.125" style="255" customWidth="1"/>
    <col min="8223" max="8223" width="8.25" style="255" customWidth="1"/>
    <col min="8224" max="8225" width="10.375" style="255" customWidth="1"/>
    <col min="8226" max="8226" width="15.625" style="255" customWidth="1"/>
    <col min="8227" max="8227" width="15.875" style="255" customWidth="1"/>
    <col min="8228" max="8228" width="8.125" style="255" customWidth="1"/>
    <col min="8229" max="8232" width="10.375" style="255" customWidth="1"/>
    <col min="8233" max="8233" width="7.25" style="255" customWidth="1"/>
    <col min="8234" max="8234" width="7.125" style="255" customWidth="1"/>
    <col min="8235" max="8235" width="9.5" style="255" customWidth="1"/>
    <col min="8236" max="8237" width="9" style="255" customWidth="1"/>
    <col min="8238" max="8238" width="16.125" style="255" customWidth="1"/>
    <col min="8239" max="8269" width="9" style="255" customWidth="1"/>
    <col min="8270" max="8429" width="25.25" style="255"/>
    <col min="8430" max="8459" width="9" style="255" customWidth="1"/>
    <col min="8460" max="8460" width="0.5" style="255" customWidth="1"/>
    <col min="8461" max="8461" width="25.25" style="255"/>
    <col min="8462" max="8462" width="0.5" style="255" customWidth="1"/>
    <col min="8463" max="8463" width="25.25" style="255"/>
    <col min="8464" max="8464" width="14.75" style="255" customWidth="1"/>
    <col min="8465" max="8465" width="11.5" style="255" customWidth="1"/>
    <col min="8466" max="8466" width="11.25" style="255" customWidth="1"/>
    <col min="8467" max="8467" width="10.75" style="255" customWidth="1"/>
    <col min="8468" max="8468" width="10" style="255" customWidth="1"/>
    <col min="8469" max="8469" width="9.875" style="255" customWidth="1"/>
    <col min="8470" max="8470" width="26.125" style="255" customWidth="1"/>
    <col min="8471" max="8471" width="11.125" style="255" customWidth="1"/>
    <col min="8472" max="8472" width="7.875" style="255" customWidth="1"/>
    <col min="8473" max="8473" width="7.25" style="255" customWidth="1"/>
    <col min="8474" max="8474" width="9.125" style="255" customWidth="1"/>
    <col min="8475" max="8475" width="15.125" style="255" customWidth="1"/>
    <col min="8476" max="8476" width="7.75" style="255" customWidth="1"/>
    <col min="8477" max="8477" width="7.125" style="255" customWidth="1"/>
    <col min="8478" max="8478" width="12.125" style="255" customWidth="1"/>
    <col min="8479" max="8479" width="8.25" style="255" customWidth="1"/>
    <col min="8480" max="8481" width="10.375" style="255" customWidth="1"/>
    <col min="8482" max="8482" width="15.625" style="255" customWidth="1"/>
    <col min="8483" max="8483" width="15.875" style="255" customWidth="1"/>
    <col min="8484" max="8484" width="8.125" style="255" customWidth="1"/>
    <col min="8485" max="8488" width="10.375" style="255" customWidth="1"/>
    <col min="8489" max="8489" width="7.25" style="255" customWidth="1"/>
    <col min="8490" max="8490" width="7.125" style="255" customWidth="1"/>
    <col min="8491" max="8491" width="9.5" style="255" customWidth="1"/>
    <col min="8492" max="8493" width="9" style="255" customWidth="1"/>
    <col min="8494" max="8494" width="16.125" style="255" customWidth="1"/>
    <col min="8495" max="8525" width="9" style="255" customWidth="1"/>
    <col min="8526" max="8685" width="25.25" style="255"/>
    <col min="8686" max="8715" width="9" style="255" customWidth="1"/>
    <col min="8716" max="8716" width="0.5" style="255" customWidth="1"/>
    <col min="8717" max="8717" width="25.25" style="255"/>
    <col min="8718" max="8718" width="0.5" style="255" customWidth="1"/>
    <col min="8719" max="8719" width="25.25" style="255"/>
    <col min="8720" max="8720" width="14.75" style="255" customWidth="1"/>
    <col min="8721" max="8721" width="11.5" style="255" customWidth="1"/>
    <col min="8722" max="8722" width="11.25" style="255" customWidth="1"/>
    <col min="8723" max="8723" width="10.75" style="255" customWidth="1"/>
    <col min="8724" max="8724" width="10" style="255" customWidth="1"/>
    <col min="8725" max="8725" width="9.875" style="255" customWidth="1"/>
    <col min="8726" max="8726" width="26.125" style="255" customWidth="1"/>
    <col min="8727" max="8727" width="11.125" style="255" customWidth="1"/>
    <col min="8728" max="8728" width="7.875" style="255" customWidth="1"/>
    <col min="8729" max="8729" width="7.25" style="255" customWidth="1"/>
    <col min="8730" max="8730" width="9.125" style="255" customWidth="1"/>
    <col min="8731" max="8731" width="15.125" style="255" customWidth="1"/>
    <col min="8732" max="8732" width="7.75" style="255" customWidth="1"/>
    <col min="8733" max="8733" width="7.125" style="255" customWidth="1"/>
    <col min="8734" max="8734" width="12.125" style="255" customWidth="1"/>
    <col min="8735" max="8735" width="8.25" style="255" customWidth="1"/>
    <col min="8736" max="8737" width="10.375" style="255" customWidth="1"/>
    <col min="8738" max="8738" width="15.625" style="255" customWidth="1"/>
    <col min="8739" max="8739" width="15.875" style="255" customWidth="1"/>
    <col min="8740" max="8740" width="8.125" style="255" customWidth="1"/>
    <col min="8741" max="8744" width="10.375" style="255" customWidth="1"/>
    <col min="8745" max="8745" width="7.25" style="255" customWidth="1"/>
    <col min="8746" max="8746" width="7.125" style="255" customWidth="1"/>
    <col min="8747" max="8747" width="9.5" style="255" customWidth="1"/>
    <col min="8748" max="8749" width="9" style="255" customWidth="1"/>
    <col min="8750" max="8750" width="16.125" style="255" customWidth="1"/>
    <col min="8751" max="8781" width="9" style="255" customWidth="1"/>
    <col min="8782" max="8941" width="25.25" style="255"/>
    <col min="8942" max="8971" width="9" style="255" customWidth="1"/>
    <col min="8972" max="8972" width="0.5" style="255" customWidth="1"/>
    <col min="8973" max="8973" width="25.25" style="255"/>
    <col min="8974" max="8974" width="0.5" style="255" customWidth="1"/>
    <col min="8975" max="8975" width="25.25" style="255"/>
    <col min="8976" max="8976" width="14.75" style="255" customWidth="1"/>
    <col min="8977" max="8977" width="11.5" style="255" customWidth="1"/>
    <col min="8978" max="8978" width="11.25" style="255" customWidth="1"/>
    <col min="8979" max="8979" width="10.75" style="255" customWidth="1"/>
    <col min="8980" max="8980" width="10" style="255" customWidth="1"/>
    <col min="8981" max="8981" width="9.875" style="255" customWidth="1"/>
    <col min="8982" max="8982" width="26.125" style="255" customWidth="1"/>
    <col min="8983" max="8983" width="11.125" style="255" customWidth="1"/>
    <col min="8984" max="8984" width="7.875" style="255" customWidth="1"/>
    <col min="8985" max="8985" width="7.25" style="255" customWidth="1"/>
    <col min="8986" max="8986" width="9.125" style="255" customWidth="1"/>
    <col min="8987" max="8987" width="15.125" style="255" customWidth="1"/>
    <col min="8988" max="8988" width="7.75" style="255" customWidth="1"/>
    <col min="8989" max="8989" width="7.125" style="255" customWidth="1"/>
    <col min="8990" max="8990" width="12.125" style="255" customWidth="1"/>
    <col min="8991" max="8991" width="8.25" style="255" customWidth="1"/>
    <col min="8992" max="8993" width="10.375" style="255" customWidth="1"/>
    <col min="8994" max="8994" width="15.625" style="255" customWidth="1"/>
    <col min="8995" max="8995" width="15.875" style="255" customWidth="1"/>
    <col min="8996" max="8996" width="8.125" style="255" customWidth="1"/>
    <col min="8997" max="9000" width="10.375" style="255" customWidth="1"/>
    <col min="9001" max="9001" width="7.25" style="255" customWidth="1"/>
    <col min="9002" max="9002" width="7.125" style="255" customWidth="1"/>
    <col min="9003" max="9003" width="9.5" style="255" customWidth="1"/>
    <col min="9004" max="9005" width="9" style="255" customWidth="1"/>
    <col min="9006" max="9006" width="16.125" style="255" customWidth="1"/>
    <col min="9007" max="9037" width="9" style="255" customWidth="1"/>
    <col min="9038" max="9197" width="25.25" style="255"/>
    <col min="9198" max="9227" width="9" style="255" customWidth="1"/>
    <col min="9228" max="9228" width="0.5" style="255" customWidth="1"/>
    <col min="9229" max="9229" width="25.25" style="255"/>
    <col min="9230" max="9230" width="0.5" style="255" customWidth="1"/>
    <col min="9231" max="9231" width="25.25" style="255"/>
    <col min="9232" max="9232" width="14.75" style="255" customWidth="1"/>
    <col min="9233" max="9233" width="11.5" style="255" customWidth="1"/>
    <col min="9234" max="9234" width="11.25" style="255" customWidth="1"/>
    <col min="9235" max="9235" width="10.75" style="255" customWidth="1"/>
    <col min="9236" max="9236" width="10" style="255" customWidth="1"/>
    <col min="9237" max="9237" width="9.875" style="255" customWidth="1"/>
    <col min="9238" max="9238" width="26.125" style="255" customWidth="1"/>
    <col min="9239" max="9239" width="11.125" style="255" customWidth="1"/>
    <col min="9240" max="9240" width="7.875" style="255" customWidth="1"/>
    <col min="9241" max="9241" width="7.25" style="255" customWidth="1"/>
    <col min="9242" max="9242" width="9.125" style="255" customWidth="1"/>
    <col min="9243" max="9243" width="15.125" style="255" customWidth="1"/>
    <col min="9244" max="9244" width="7.75" style="255" customWidth="1"/>
    <col min="9245" max="9245" width="7.125" style="255" customWidth="1"/>
    <col min="9246" max="9246" width="12.125" style="255" customWidth="1"/>
    <col min="9247" max="9247" width="8.25" style="255" customWidth="1"/>
    <col min="9248" max="9249" width="10.375" style="255" customWidth="1"/>
    <col min="9250" max="9250" width="15.625" style="255" customWidth="1"/>
    <col min="9251" max="9251" width="15.875" style="255" customWidth="1"/>
    <col min="9252" max="9252" width="8.125" style="255" customWidth="1"/>
    <col min="9253" max="9256" width="10.375" style="255" customWidth="1"/>
    <col min="9257" max="9257" width="7.25" style="255" customWidth="1"/>
    <col min="9258" max="9258" width="7.125" style="255" customWidth="1"/>
    <col min="9259" max="9259" width="9.5" style="255" customWidth="1"/>
    <col min="9260" max="9261" width="9" style="255" customWidth="1"/>
    <col min="9262" max="9262" width="16.125" style="255" customWidth="1"/>
    <col min="9263" max="9293" width="9" style="255" customWidth="1"/>
    <col min="9294" max="9453" width="25.25" style="255"/>
    <col min="9454" max="9483" width="9" style="255" customWidth="1"/>
    <col min="9484" max="9484" width="0.5" style="255" customWidth="1"/>
    <col min="9485" max="9485" width="25.25" style="255"/>
    <col min="9486" max="9486" width="0.5" style="255" customWidth="1"/>
    <col min="9487" max="9487" width="25.25" style="255"/>
    <col min="9488" max="9488" width="14.75" style="255" customWidth="1"/>
    <col min="9489" max="9489" width="11.5" style="255" customWidth="1"/>
    <col min="9490" max="9490" width="11.25" style="255" customWidth="1"/>
    <col min="9491" max="9491" width="10.75" style="255" customWidth="1"/>
    <col min="9492" max="9492" width="10" style="255" customWidth="1"/>
    <col min="9493" max="9493" width="9.875" style="255" customWidth="1"/>
    <col min="9494" max="9494" width="26.125" style="255" customWidth="1"/>
    <col min="9495" max="9495" width="11.125" style="255" customWidth="1"/>
    <col min="9496" max="9496" width="7.875" style="255" customWidth="1"/>
    <col min="9497" max="9497" width="7.25" style="255" customWidth="1"/>
    <col min="9498" max="9498" width="9.125" style="255" customWidth="1"/>
    <col min="9499" max="9499" width="15.125" style="255" customWidth="1"/>
    <col min="9500" max="9500" width="7.75" style="255" customWidth="1"/>
    <col min="9501" max="9501" width="7.125" style="255" customWidth="1"/>
    <col min="9502" max="9502" width="12.125" style="255" customWidth="1"/>
    <col min="9503" max="9503" width="8.25" style="255" customWidth="1"/>
    <col min="9504" max="9505" width="10.375" style="255" customWidth="1"/>
    <col min="9506" max="9506" width="15.625" style="255" customWidth="1"/>
    <col min="9507" max="9507" width="15.875" style="255" customWidth="1"/>
    <col min="9508" max="9508" width="8.125" style="255" customWidth="1"/>
    <col min="9509" max="9512" width="10.375" style="255" customWidth="1"/>
    <col min="9513" max="9513" width="7.25" style="255" customWidth="1"/>
    <col min="9514" max="9514" width="7.125" style="255" customWidth="1"/>
    <col min="9515" max="9515" width="9.5" style="255" customWidth="1"/>
    <col min="9516" max="9517" width="9" style="255" customWidth="1"/>
    <col min="9518" max="9518" width="16.125" style="255" customWidth="1"/>
    <col min="9519" max="9549" width="9" style="255" customWidth="1"/>
    <col min="9550" max="9709" width="25.25" style="255"/>
    <col min="9710" max="9739" width="9" style="255" customWidth="1"/>
    <col min="9740" max="9740" width="0.5" style="255" customWidth="1"/>
    <col min="9741" max="9741" width="25.25" style="255"/>
    <col min="9742" max="9742" width="0.5" style="255" customWidth="1"/>
    <col min="9743" max="9743" width="25.25" style="255"/>
    <col min="9744" max="9744" width="14.75" style="255" customWidth="1"/>
    <col min="9745" max="9745" width="11.5" style="255" customWidth="1"/>
    <col min="9746" max="9746" width="11.25" style="255" customWidth="1"/>
    <col min="9747" max="9747" width="10.75" style="255" customWidth="1"/>
    <col min="9748" max="9748" width="10" style="255" customWidth="1"/>
    <col min="9749" max="9749" width="9.875" style="255" customWidth="1"/>
    <col min="9750" max="9750" width="26.125" style="255" customWidth="1"/>
    <col min="9751" max="9751" width="11.125" style="255" customWidth="1"/>
    <col min="9752" max="9752" width="7.875" style="255" customWidth="1"/>
    <col min="9753" max="9753" width="7.25" style="255" customWidth="1"/>
    <col min="9754" max="9754" width="9.125" style="255" customWidth="1"/>
    <col min="9755" max="9755" width="15.125" style="255" customWidth="1"/>
    <col min="9756" max="9756" width="7.75" style="255" customWidth="1"/>
    <col min="9757" max="9757" width="7.125" style="255" customWidth="1"/>
    <col min="9758" max="9758" width="12.125" style="255" customWidth="1"/>
    <col min="9759" max="9759" width="8.25" style="255" customWidth="1"/>
    <col min="9760" max="9761" width="10.375" style="255" customWidth="1"/>
    <col min="9762" max="9762" width="15.625" style="255" customWidth="1"/>
    <col min="9763" max="9763" width="15.875" style="255" customWidth="1"/>
    <col min="9764" max="9764" width="8.125" style="255" customWidth="1"/>
    <col min="9765" max="9768" width="10.375" style="255" customWidth="1"/>
    <col min="9769" max="9769" width="7.25" style="255" customWidth="1"/>
    <col min="9770" max="9770" width="7.125" style="255" customWidth="1"/>
    <col min="9771" max="9771" width="9.5" style="255" customWidth="1"/>
    <col min="9772" max="9773" width="9" style="255" customWidth="1"/>
    <col min="9774" max="9774" width="16.125" style="255" customWidth="1"/>
    <col min="9775" max="9805" width="9" style="255" customWidth="1"/>
    <col min="9806" max="9965" width="25.25" style="255"/>
    <col min="9966" max="9995" width="9" style="255" customWidth="1"/>
    <col min="9996" max="9996" width="0.5" style="255" customWidth="1"/>
    <col min="9997" max="9997" width="25.25" style="255"/>
    <col min="9998" max="9998" width="0.5" style="255" customWidth="1"/>
    <col min="9999" max="9999" width="25.25" style="255"/>
    <col min="10000" max="10000" width="14.75" style="255" customWidth="1"/>
    <col min="10001" max="10001" width="11.5" style="255" customWidth="1"/>
    <col min="10002" max="10002" width="11.25" style="255" customWidth="1"/>
    <col min="10003" max="10003" width="10.75" style="255" customWidth="1"/>
    <col min="10004" max="10004" width="10" style="255" customWidth="1"/>
    <col min="10005" max="10005" width="9.875" style="255" customWidth="1"/>
    <col min="10006" max="10006" width="26.125" style="255" customWidth="1"/>
    <col min="10007" max="10007" width="11.125" style="255" customWidth="1"/>
    <col min="10008" max="10008" width="7.875" style="255" customWidth="1"/>
    <col min="10009" max="10009" width="7.25" style="255" customWidth="1"/>
    <col min="10010" max="10010" width="9.125" style="255" customWidth="1"/>
    <col min="10011" max="10011" width="15.125" style="255" customWidth="1"/>
    <col min="10012" max="10012" width="7.75" style="255" customWidth="1"/>
    <col min="10013" max="10013" width="7.125" style="255" customWidth="1"/>
    <col min="10014" max="10014" width="12.125" style="255" customWidth="1"/>
    <col min="10015" max="10015" width="8.25" style="255" customWidth="1"/>
    <col min="10016" max="10017" width="10.375" style="255" customWidth="1"/>
    <col min="10018" max="10018" width="15.625" style="255" customWidth="1"/>
    <col min="10019" max="10019" width="15.875" style="255" customWidth="1"/>
    <col min="10020" max="10020" width="8.125" style="255" customWidth="1"/>
    <col min="10021" max="10024" width="10.375" style="255" customWidth="1"/>
    <col min="10025" max="10025" width="7.25" style="255" customWidth="1"/>
    <col min="10026" max="10026" width="7.125" style="255" customWidth="1"/>
    <col min="10027" max="10027" width="9.5" style="255" customWidth="1"/>
    <col min="10028" max="10029" width="9" style="255" customWidth="1"/>
    <col min="10030" max="10030" width="16.125" style="255" customWidth="1"/>
    <col min="10031" max="10061" width="9" style="255" customWidth="1"/>
    <col min="10062" max="10221" width="25.25" style="255"/>
    <col min="10222" max="10251" width="9" style="255" customWidth="1"/>
    <col min="10252" max="10252" width="0.5" style="255" customWidth="1"/>
    <col min="10253" max="10253" width="25.25" style="255"/>
    <col min="10254" max="10254" width="0.5" style="255" customWidth="1"/>
    <col min="10255" max="10255" width="25.25" style="255"/>
    <col min="10256" max="10256" width="14.75" style="255" customWidth="1"/>
    <col min="10257" max="10257" width="11.5" style="255" customWidth="1"/>
    <col min="10258" max="10258" width="11.25" style="255" customWidth="1"/>
    <col min="10259" max="10259" width="10.75" style="255" customWidth="1"/>
    <col min="10260" max="10260" width="10" style="255" customWidth="1"/>
    <col min="10261" max="10261" width="9.875" style="255" customWidth="1"/>
    <col min="10262" max="10262" width="26.125" style="255" customWidth="1"/>
    <col min="10263" max="10263" width="11.125" style="255" customWidth="1"/>
    <col min="10264" max="10264" width="7.875" style="255" customWidth="1"/>
    <col min="10265" max="10265" width="7.25" style="255" customWidth="1"/>
    <col min="10266" max="10266" width="9.125" style="255" customWidth="1"/>
    <col min="10267" max="10267" width="15.125" style="255" customWidth="1"/>
    <col min="10268" max="10268" width="7.75" style="255" customWidth="1"/>
    <col min="10269" max="10269" width="7.125" style="255" customWidth="1"/>
    <col min="10270" max="10270" width="12.125" style="255" customWidth="1"/>
    <col min="10271" max="10271" width="8.25" style="255" customWidth="1"/>
    <col min="10272" max="10273" width="10.375" style="255" customWidth="1"/>
    <col min="10274" max="10274" width="15.625" style="255" customWidth="1"/>
    <col min="10275" max="10275" width="15.875" style="255" customWidth="1"/>
    <col min="10276" max="10276" width="8.125" style="255" customWidth="1"/>
    <col min="10277" max="10280" width="10.375" style="255" customWidth="1"/>
    <col min="10281" max="10281" width="7.25" style="255" customWidth="1"/>
    <col min="10282" max="10282" width="7.125" style="255" customWidth="1"/>
    <col min="10283" max="10283" width="9.5" style="255" customWidth="1"/>
    <col min="10284" max="10285" width="9" style="255" customWidth="1"/>
    <col min="10286" max="10286" width="16.125" style="255" customWidth="1"/>
    <col min="10287" max="10317" width="9" style="255" customWidth="1"/>
    <col min="10318" max="10477" width="25.25" style="255"/>
    <col min="10478" max="10507" width="9" style="255" customWidth="1"/>
    <col min="10508" max="10508" width="0.5" style="255" customWidth="1"/>
    <col min="10509" max="10509" width="25.25" style="255"/>
    <col min="10510" max="10510" width="0.5" style="255" customWidth="1"/>
    <col min="10511" max="10511" width="25.25" style="255"/>
    <col min="10512" max="10512" width="14.75" style="255" customWidth="1"/>
    <col min="10513" max="10513" width="11.5" style="255" customWidth="1"/>
    <col min="10514" max="10514" width="11.25" style="255" customWidth="1"/>
    <col min="10515" max="10515" width="10.75" style="255" customWidth="1"/>
    <col min="10516" max="10516" width="10" style="255" customWidth="1"/>
    <col min="10517" max="10517" width="9.875" style="255" customWidth="1"/>
    <col min="10518" max="10518" width="26.125" style="255" customWidth="1"/>
    <col min="10519" max="10519" width="11.125" style="255" customWidth="1"/>
    <col min="10520" max="10520" width="7.875" style="255" customWidth="1"/>
    <col min="10521" max="10521" width="7.25" style="255" customWidth="1"/>
    <col min="10522" max="10522" width="9.125" style="255" customWidth="1"/>
    <col min="10523" max="10523" width="15.125" style="255" customWidth="1"/>
    <col min="10524" max="10524" width="7.75" style="255" customWidth="1"/>
    <col min="10525" max="10525" width="7.125" style="255" customWidth="1"/>
    <col min="10526" max="10526" width="12.125" style="255" customWidth="1"/>
    <col min="10527" max="10527" width="8.25" style="255" customWidth="1"/>
    <col min="10528" max="10529" width="10.375" style="255" customWidth="1"/>
    <col min="10530" max="10530" width="15.625" style="255" customWidth="1"/>
    <col min="10531" max="10531" width="15.875" style="255" customWidth="1"/>
    <col min="10532" max="10532" width="8.125" style="255" customWidth="1"/>
    <col min="10533" max="10536" width="10.375" style="255" customWidth="1"/>
    <col min="10537" max="10537" width="7.25" style="255" customWidth="1"/>
    <col min="10538" max="10538" width="7.125" style="255" customWidth="1"/>
    <col min="10539" max="10539" width="9.5" style="255" customWidth="1"/>
    <col min="10540" max="10541" width="9" style="255" customWidth="1"/>
    <col min="10542" max="10542" width="16.125" style="255" customWidth="1"/>
    <col min="10543" max="10573" width="9" style="255" customWidth="1"/>
    <col min="10574" max="10733" width="25.25" style="255"/>
    <col min="10734" max="10763" width="9" style="255" customWidth="1"/>
    <col min="10764" max="10764" width="0.5" style="255" customWidth="1"/>
    <col min="10765" max="10765" width="25.25" style="255"/>
    <col min="10766" max="10766" width="0.5" style="255" customWidth="1"/>
    <col min="10767" max="10767" width="25.25" style="255"/>
    <col min="10768" max="10768" width="14.75" style="255" customWidth="1"/>
    <col min="10769" max="10769" width="11.5" style="255" customWidth="1"/>
    <col min="10770" max="10770" width="11.25" style="255" customWidth="1"/>
    <col min="10771" max="10771" width="10.75" style="255" customWidth="1"/>
    <col min="10772" max="10772" width="10" style="255" customWidth="1"/>
    <col min="10773" max="10773" width="9.875" style="255" customWidth="1"/>
    <col min="10774" max="10774" width="26.125" style="255" customWidth="1"/>
    <col min="10775" max="10775" width="11.125" style="255" customWidth="1"/>
    <col min="10776" max="10776" width="7.875" style="255" customWidth="1"/>
    <col min="10777" max="10777" width="7.25" style="255" customWidth="1"/>
    <col min="10778" max="10778" width="9.125" style="255" customWidth="1"/>
    <col min="10779" max="10779" width="15.125" style="255" customWidth="1"/>
    <col min="10780" max="10780" width="7.75" style="255" customWidth="1"/>
    <col min="10781" max="10781" width="7.125" style="255" customWidth="1"/>
    <col min="10782" max="10782" width="12.125" style="255" customWidth="1"/>
    <col min="10783" max="10783" width="8.25" style="255" customWidth="1"/>
    <col min="10784" max="10785" width="10.375" style="255" customWidth="1"/>
    <col min="10786" max="10786" width="15.625" style="255" customWidth="1"/>
    <col min="10787" max="10787" width="15.875" style="255" customWidth="1"/>
    <col min="10788" max="10788" width="8.125" style="255" customWidth="1"/>
    <col min="10789" max="10792" width="10.375" style="255" customWidth="1"/>
    <col min="10793" max="10793" width="7.25" style="255" customWidth="1"/>
    <col min="10794" max="10794" width="7.125" style="255" customWidth="1"/>
    <col min="10795" max="10795" width="9.5" style="255" customWidth="1"/>
    <col min="10796" max="10797" width="9" style="255" customWidth="1"/>
    <col min="10798" max="10798" width="16.125" style="255" customWidth="1"/>
    <col min="10799" max="10829" width="9" style="255" customWidth="1"/>
    <col min="10830" max="10989" width="25.25" style="255"/>
    <col min="10990" max="11019" width="9" style="255" customWidth="1"/>
    <col min="11020" max="11020" width="0.5" style="255" customWidth="1"/>
    <col min="11021" max="11021" width="25.25" style="255"/>
    <col min="11022" max="11022" width="0.5" style="255" customWidth="1"/>
    <col min="11023" max="11023" width="25.25" style="255"/>
    <col min="11024" max="11024" width="14.75" style="255" customWidth="1"/>
    <col min="11025" max="11025" width="11.5" style="255" customWidth="1"/>
    <col min="11026" max="11026" width="11.25" style="255" customWidth="1"/>
    <col min="11027" max="11027" width="10.75" style="255" customWidth="1"/>
    <col min="11028" max="11028" width="10" style="255" customWidth="1"/>
    <col min="11029" max="11029" width="9.875" style="255" customWidth="1"/>
    <col min="11030" max="11030" width="26.125" style="255" customWidth="1"/>
    <col min="11031" max="11031" width="11.125" style="255" customWidth="1"/>
    <col min="11032" max="11032" width="7.875" style="255" customWidth="1"/>
    <col min="11033" max="11033" width="7.25" style="255" customWidth="1"/>
    <col min="11034" max="11034" width="9.125" style="255" customWidth="1"/>
    <col min="11035" max="11035" width="15.125" style="255" customWidth="1"/>
    <col min="11036" max="11036" width="7.75" style="255" customWidth="1"/>
    <col min="11037" max="11037" width="7.125" style="255" customWidth="1"/>
    <col min="11038" max="11038" width="12.125" style="255" customWidth="1"/>
    <col min="11039" max="11039" width="8.25" style="255" customWidth="1"/>
    <col min="11040" max="11041" width="10.375" style="255" customWidth="1"/>
    <col min="11042" max="11042" width="15.625" style="255" customWidth="1"/>
    <col min="11043" max="11043" width="15.875" style="255" customWidth="1"/>
    <col min="11044" max="11044" width="8.125" style="255" customWidth="1"/>
    <col min="11045" max="11048" width="10.375" style="255" customWidth="1"/>
    <col min="11049" max="11049" width="7.25" style="255" customWidth="1"/>
    <col min="11050" max="11050" width="7.125" style="255" customWidth="1"/>
    <col min="11051" max="11051" width="9.5" style="255" customWidth="1"/>
    <col min="11052" max="11053" width="9" style="255" customWidth="1"/>
    <col min="11054" max="11054" width="16.125" style="255" customWidth="1"/>
    <col min="11055" max="11085" width="9" style="255" customWidth="1"/>
    <col min="11086" max="11245" width="25.25" style="255"/>
    <col min="11246" max="11275" width="9" style="255" customWidth="1"/>
    <col min="11276" max="11276" width="0.5" style="255" customWidth="1"/>
    <col min="11277" max="11277" width="25.25" style="255"/>
    <col min="11278" max="11278" width="0.5" style="255" customWidth="1"/>
    <col min="11279" max="11279" width="25.25" style="255"/>
    <col min="11280" max="11280" width="14.75" style="255" customWidth="1"/>
    <col min="11281" max="11281" width="11.5" style="255" customWidth="1"/>
    <col min="11282" max="11282" width="11.25" style="255" customWidth="1"/>
    <col min="11283" max="11283" width="10.75" style="255" customWidth="1"/>
    <col min="11284" max="11284" width="10" style="255" customWidth="1"/>
    <col min="11285" max="11285" width="9.875" style="255" customWidth="1"/>
    <col min="11286" max="11286" width="26.125" style="255" customWidth="1"/>
    <col min="11287" max="11287" width="11.125" style="255" customWidth="1"/>
    <col min="11288" max="11288" width="7.875" style="255" customWidth="1"/>
    <col min="11289" max="11289" width="7.25" style="255" customWidth="1"/>
    <col min="11290" max="11290" width="9.125" style="255" customWidth="1"/>
    <col min="11291" max="11291" width="15.125" style="255" customWidth="1"/>
    <col min="11292" max="11292" width="7.75" style="255" customWidth="1"/>
    <col min="11293" max="11293" width="7.125" style="255" customWidth="1"/>
    <col min="11294" max="11294" width="12.125" style="255" customWidth="1"/>
    <col min="11295" max="11295" width="8.25" style="255" customWidth="1"/>
    <col min="11296" max="11297" width="10.375" style="255" customWidth="1"/>
    <col min="11298" max="11298" width="15.625" style="255" customWidth="1"/>
    <col min="11299" max="11299" width="15.875" style="255" customWidth="1"/>
    <col min="11300" max="11300" width="8.125" style="255" customWidth="1"/>
    <col min="11301" max="11304" width="10.375" style="255" customWidth="1"/>
    <col min="11305" max="11305" width="7.25" style="255" customWidth="1"/>
    <col min="11306" max="11306" width="7.125" style="255" customWidth="1"/>
    <col min="11307" max="11307" width="9.5" style="255" customWidth="1"/>
    <col min="11308" max="11309" width="9" style="255" customWidth="1"/>
    <col min="11310" max="11310" width="16.125" style="255" customWidth="1"/>
    <col min="11311" max="11341" width="9" style="255" customWidth="1"/>
    <col min="11342" max="11501" width="25.25" style="255"/>
    <col min="11502" max="11531" width="9" style="255" customWidth="1"/>
    <col min="11532" max="11532" width="0.5" style="255" customWidth="1"/>
    <col min="11533" max="11533" width="25.25" style="255"/>
    <col min="11534" max="11534" width="0.5" style="255" customWidth="1"/>
    <col min="11535" max="11535" width="25.25" style="255"/>
    <col min="11536" max="11536" width="14.75" style="255" customWidth="1"/>
    <col min="11537" max="11537" width="11.5" style="255" customWidth="1"/>
    <col min="11538" max="11538" width="11.25" style="255" customWidth="1"/>
    <col min="11539" max="11539" width="10.75" style="255" customWidth="1"/>
    <col min="11540" max="11540" width="10" style="255" customWidth="1"/>
    <col min="11541" max="11541" width="9.875" style="255" customWidth="1"/>
    <col min="11542" max="11542" width="26.125" style="255" customWidth="1"/>
    <col min="11543" max="11543" width="11.125" style="255" customWidth="1"/>
    <col min="11544" max="11544" width="7.875" style="255" customWidth="1"/>
    <col min="11545" max="11545" width="7.25" style="255" customWidth="1"/>
    <col min="11546" max="11546" width="9.125" style="255" customWidth="1"/>
    <col min="11547" max="11547" width="15.125" style="255" customWidth="1"/>
    <col min="11548" max="11548" width="7.75" style="255" customWidth="1"/>
    <col min="11549" max="11549" width="7.125" style="255" customWidth="1"/>
    <col min="11550" max="11550" width="12.125" style="255" customWidth="1"/>
    <col min="11551" max="11551" width="8.25" style="255" customWidth="1"/>
    <col min="11552" max="11553" width="10.375" style="255" customWidth="1"/>
    <col min="11554" max="11554" width="15.625" style="255" customWidth="1"/>
    <col min="11555" max="11555" width="15.875" style="255" customWidth="1"/>
    <col min="11556" max="11556" width="8.125" style="255" customWidth="1"/>
    <col min="11557" max="11560" width="10.375" style="255" customWidth="1"/>
    <col min="11561" max="11561" width="7.25" style="255" customWidth="1"/>
    <col min="11562" max="11562" width="7.125" style="255" customWidth="1"/>
    <col min="11563" max="11563" width="9.5" style="255" customWidth="1"/>
    <col min="11564" max="11565" width="9" style="255" customWidth="1"/>
    <col min="11566" max="11566" width="16.125" style="255" customWidth="1"/>
    <col min="11567" max="11597" width="9" style="255" customWidth="1"/>
    <col min="11598" max="11757" width="25.25" style="255"/>
    <col min="11758" max="11787" width="9" style="255" customWidth="1"/>
    <col min="11788" max="11788" width="0.5" style="255" customWidth="1"/>
    <col min="11789" max="11789" width="25.25" style="255"/>
    <col min="11790" max="11790" width="0.5" style="255" customWidth="1"/>
    <col min="11791" max="11791" width="25.25" style="255"/>
    <col min="11792" max="11792" width="14.75" style="255" customWidth="1"/>
    <col min="11793" max="11793" width="11.5" style="255" customWidth="1"/>
    <col min="11794" max="11794" width="11.25" style="255" customWidth="1"/>
    <col min="11795" max="11795" width="10.75" style="255" customWidth="1"/>
    <col min="11796" max="11796" width="10" style="255" customWidth="1"/>
    <col min="11797" max="11797" width="9.875" style="255" customWidth="1"/>
    <col min="11798" max="11798" width="26.125" style="255" customWidth="1"/>
    <col min="11799" max="11799" width="11.125" style="255" customWidth="1"/>
    <col min="11800" max="11800" width="7.875" style="255" customWidth="1"/>
    <col min="11801" max="11801" width="7.25" style="255" customWidth="1"/>
    <col min="11802" max="11802" width="9.125" style="255" customWidth="1"/>
    <col min="11803" max="11803" width="15.125" style="255" customWidth="1"/>
    <col min="11804" max="11804" width="7.75" style="255" customWidth="1"/>
    <col min="11805" max="11805" width="7.125" style="255" customWidth="1"/>
    <col min="11806" max="11806" width="12.125" style="255" customWidth="1"/>
    <col min="11807" max="11807" width="8.25" style="255" customWidth="1"/>
    <col min="11808" max="11809" width="10.375" style="255" customWidth="1"/>
    <col min="11810" max="11810" width="15.625" style="255" customWidth="1"/>
    <col min="11811" max="11811" width="15.875" style="255" customWidth="1"/>
    <col min="11812" max="11812" width="8.125" style="255" customWidth="1"/>
    <col min="11813" max="11816" width="10.375" style="255" customWidth="1"/>
    <col min="11817" max="11817" width="7.25" style="255" customWidth="1"/>
    <col min="11818" max="11818" width="7.125" style="255" customWidth="1"/>
    <col min="11819" max="11819" width="9.5" style="255" customWidth="1"/>
    <col min="11820" max="11821" width="9" style="255" customWidth="1"/>
    <col min="11822" max="11822" width="16.125" style="255" customWidth="1"/>
    <col min="11823" max="11853" width="9" style="255" customWidth="1"/>
    <col min="11854" max="12013" width="25.25" style="255"/>
    <col min="12014" max="12043" width="9" style="255" customWidth="1"/>
    <col min="12044" max="12044" width="0.5" style="255" customWidth="1"/>
    <col min="12045" max="12045" width="25.25" style="255"/>
    <col min="12046" max="12046" width="0.5" style="255" customWidth="1"/>
    <col min="12047" max="12047" width="25.25" style="255"/>
    <col min="12048" max="12048" width="14.75" style="255" customWidth="1"/>
    <col min="12049" max="12049" width="11.5" style="255" customWidth="1"/>
    <col min="12050" max="12050" width="11.25" style="255" customWidth="1"/>
    <col min="12051" max="12051" width="10.75" style="255" customWidth="1"/>
    <col min="12052" max="12052" width="10" style="255" customWidth="1"/>
    <col min="12053" max="12053" width="9.875" style="255" customWidth="1"/>
    <col min="12054" max="12054" width="26.125" style="255" customWidth="1"/>
    <col min="12055" max="12055" width="11.125" style="255" customWidth="1"/>
    <col min="12056" max="12056" width="7.875" style="255" customWidth="1"/>
    <col min="12057" max="12057" width="7.25" style="255" customWidth="1"/>
    <col min="12058" max="12058" width="9.125" style="255" customWidth="1"/>
    <col min="12059" max="12059" width="15.125" style="255" customWidth="1"/>
    <col min="12060" max="12060" width="7.75" style="255" customWidth="1"/>
    <col min="12061" max="12061" width="7.125" style="255" customWidth="1"/>
    <col min="12062" max="12062" width="12.125" style="255" customWidth="1"/>
    <col min="12063" max="12063" width="8.25" style="255" customWidth="1"/>
    <col min="12064" max="12065" width="10.375" style="255" customWidth="1"/>
    <col min="12066" max="12066" width="15.625" style="255" customWidth="1"/>
    <col min="12067" max="12067" width="15.875" style="255" customWidth="1"/>
    <col min="12068" max="12068" width="8.125" style="255" customWidth="1"/>
    <col min="12069" max="12072" width="10.375" style="255" customWidth="1"/>
    <col min="12073" max="12073" width="7.25" style="255" customWidth="1"/>
    <col min="12074" max="12074" width="7.125" style="255" customWidth="1"/>
    <col min="12075" max="12075" width="9.5" style="255" customWidth="1"/>
    <col min="12076" max="12077" width="9" style="255" customWidth="1"/>
    <col min="12078" max="12078" width="16.125" style="255" customWidth="1"/>
    <col min="12079" max="12109" width="9" style="255" customWidth="1"/>
    <col min="12110" max="12269" width="25.25" style="255"/>
    <col min="12270" max="12299" width="9" style="255" customWidth="1"/>
    <col min="12300" max="12300" width="0.5" style="255" customWidth="1"/>
    <col min="12301" max="12301" width="25.25" style="255"/>
    <col min="12302" max="12302" width="0.5" style="255" customWidth="1"/>
    <col min="12303" max="12303" width="25.25" style="255"/>
    <col min="12304" max="12304" width="14.75" style="255" customWidth="1"/>
    <col min="12305" max="12305" width="11.5" style="255" customWidth="1"/>
    <col min="12306" max="12306" width="11.25" style="255" customWidth="1"/>
    <col min="12307" max="12307" width="10.75" style="255" customWidth="1"/>
    <col min="12308" max="12308" width="10" style="255" customWidth="1"/>
    <col min="12309" max="12309" width="9.875" style="255" customWidth="1"/>
    <col min="12310" max="12310" width="26.125" style="255" customWidth="1"/>
    <col min="12311" max="12311" width="11.125" style="255" customWidth="1"/>
    <col min="12312" max="12312" width="7.875" style="255" customWidth="1"/>
    <col min="12313" max="12313" width="7.25" style="255" customWidth="1"/>
    <col min="12314" max="12314" width="9.125" style="255" customWidth="1"/>
    <col min="12315" max="12315" width="15.125" style="255" customWidth="1"/>
    <col min="12316" max="12316" width="7.75" style="255" customWidth="1"/>
    <col min="12317" max="12317" width="7.125" style="255" customWidth="1"/>
    <col min="12318" max="12318" width="12.125" style="255" customWidth="1"/>
    <col min="12319" max="12319" width="8.25" style="255" customWidth="1"/>
    <col min="12320" max="12321" width="10.375" style="255" customWidth="1"/>
    <col min="12322" max="12322" width="15.625" style="255" customWidth="1"/>
    <col min="12323" max="12323" width="15.875" style="255" customWidth="1"/>
    <col min="12324" max="12324" width="8.125" style="255" customWidth="1"/>
    <col min="12325" max="12328" width="10.375" style="255" customWidth="1"/>
    <col min="12329" max="12329" width="7.25" style="255" customWidth="1"/>
    <col min="12330" max="12330" width="7.125" style="255" customWidth="1"/>
    <col min="12331" max="12331" width="9.5" style="255" customWidth="1"/>
    <col min="12332" max="12333" width="9" style="255" customWidth="1"/>
    <col min="12334" max="12334" width="16.125" style="255" customWidth="1"/>
    <col min="12335" max="12365" width="9" style="255" customWidth="1"/>
    <col min="12366" max="12525" width="25.25" style="255"/>
    <col min="12526" max="12555" width="9" style="255" customWidth="1"/>
    <col min="12556" max="12556" width="0.5" style="255" customWidth="1"/>
    <col min="12557" max="12557" width="25.25" style="255"/>
    <col min="12558" max="12558" width="0.5" style="255" customWidth="1"/>
    <col min="12559" max="12559" width="25.25" style="255"/>
    <col min="12560" max="12560" width="14.75" style="255" customWidth="1"/>
    <col min="12561" max="12561" width="11.5" style="255" customWidth="1"/>
    <col min="12562" max="12562" width="11.25" style="255" customWidth="1"/>
    <col min="12563" max="12563" width="10.75" style="255" customWidth="1"/>
    <col min="12564" max="12564" width="10" style="255" customWidth="1"/>
    <col min="12565" max="12565" width="9.875" style="255" customWidth="1"/>
    <col min="12566" max="12566" width="26.125" style="255" customWidth="1"/>
    <col min="12567" max="12567" width="11.125" style="255" customWidth="1"/>
    <col min="12568" max="12568" width="7.875" style="255" customWidth="1"/>
    <col min="12569" max="12569" width="7.25" style="255" customWidth="1"/>
    <col min="12570" max="12570" width="9.125" style="255" customWidth="1"/>
    <col min="12571" max="12571" width="15.125" style="255" customWidth="1"/>
    <col min="12572" max="12572" width="7.75" style="255" customWidth="1"/>
    <col min="12573" max="12573" width="7.125" style="255" customWidth="1"/>
    <col min="12574" max="12574" width="12.125" style="255" customWidth="1"/>
    <col min="12575" max="12575" width="8.25" style="255" customWidth="1"/>
    <col min="12576" max="12577" width="10.375" style="255" customWidth="1"/>
    <col min="12578" max="12578" width="15.625" style="255" customWidth="1"/>
    <col min="12579" max="12579" width="15.875" style="255" customWidth="1"/>
    <col min="12580" max="12580" width="8.125" style="255" customWidth="1"/>
    <col min="12581" max="12584" width="10.375" style="255" customWidth="1"/>
    <col min="12585" max="12585" width="7.25" style="255" customWidth="1"/>
    <col min="12586" max="12586" width="7.125" style="255" customWidth="1"/>
    <col min="12587" max="12587" width="9.5" style="255" customWidth="1"/>
    <col min="12588" max="12589" width="9" style="255" customWidth="1"/>
    <col min="12590" max="12590" width="16.125" style="255" customWidth="1"/>
    <col min="12591" max="12621" width="9" style="255" customWidth="1"/>
    <col min="12622" max="12781" width="25.25" style="255"/>
    <col min="12782" max="12811" width="9" style="255" customWidth="1"/>
    <col min="12812" max="12812" width="0.5" style="255" customWidth="1"/>
    <col min="12813" max="12813" width="25.25" style="255"/>
    <col min="12814" max="12814" width="0.5" style="255" customWidth="1"/>
    <col min="12815" max="12815" width="25.25" style="255"/>
    <col min="12816" max="12816" width="14.75" style="255" customWidth="1"/>
    <col min="12817" max="12817" width="11.5" style="255" customWidth="1"/>
    <col min="12818" max="12818" width="11.25" style="255" customWidth="1"/>
    <col min="12819" max="12819" width="10.75" style="255" customWidth="1"/>
    <col min="12820" max="12820" width="10" style="255" customWidth="1"/>
    <col min="12821" max="12821" width="9.875" style="255" customWidth="1"/>
    <col min="12822" max="12822" width="26.125" style="255" customWidth="1"/>
    <col min="12823" max="12823" width="11.125" style="255" customWidth="1"/>
    <col min="12824" max="12824" width="7.875" style="255" customWidth="1"/>
    <col min="12825" max="12825" width="7.25" style="255" customWidth="1"/>
    <col min="12826" max="12826" width="9.125" style="255" customWidth="1"/>
    <col min="12827" max="12827" width="15.125" style="255" customWidth="1"/>
    <col min="12828" max="12828" width="7.75" style="255" customWidth="1"/>
    <col min="12829" max="12829" width="7.125" style="255" customWidth="1"/>
    <col min="12830" max="12830" width="12.125" style="255" customWidth="1"/>
    <col min="12831" max="12831" width="8.25" style="255" customWidth="1"/>
    <col min="12832" max="12833" width="10.375" style="255" customWidth="1"/>
    <col min="12834" max="12834" width="15.625" style="255" customWidth="1"/>
    <col min="12835" max="12835" width="15.875" style="255" customWidth="1"/>
    <col min="12836" max="12836" width="8.125" style="255" customWidth="1"/>
    <col min="12837" max="12840" width="10.375" style="255" customWidth="1"/>
    <col min="12841" max="12841" width="7.25" style="255" customWidth="1"/>
    <col min="12842" max="12842" width="7.125" style="255" customWidth="1"/>
    <col min="12843" max="12843" width="9.5" style="255" customWidth="1"/>
    <col min="12844" max="12845" width="9" style="255" customWidth="1"/>
    <col min="12846" max="12846" width="16.125" style="255" customWidth="1"/>
    <col min="12847" max="12877" width="9" style="255" customWidth="1"/>
    <col min="12878" max="13037" width="25.25" style="255"/>
    <col min="13038" max="13067" width="9" style="255" customWidth="1"/>
    <col min="13068" max="13068" width="0.5" style="255" customWidth="1"/>
    <col min="13069" max="13069" width="25.25" style="255"/>
    <col min="13070" max="13070" width="0.5" style="255" customWidth="1"/>
    <col min="13071" max="13071" width="25.25" style="255"/>
    <col min="13072" max="13072" width="14.75" style="255" customWidth="1"/>
    <col min="13073" max="13073" width="11.5" style="255" customWidth="1"/>
    <col min="13074" max="13074" width="11.25" style="255" customWidth="1"/>
    <col min="13075" max="13075" width="10.75" style="255" customWidth="1"/>
    <col min="13076" max="13076" width="10" style="255" customWidth="1"/>
    <col min="13077" max="13077" width="9.875" style="255" customWidth="1"/>
    <col min="13078" max="13078" width="26.125" style="255" customWidth="1"/>
    <col min="13079" max="13079" width="11.125" style="255" customWidth="1"/>
    <col min="13080" max="13080" width="7.875" style="255" customWidth="1"/>
    <col min="13081" max="13081" width="7.25" style="255" customWidth="1"/>
    <col min="13082" max="13082" width="9.125" style="255" customWidth="1"/>
    <col min="13083" max="13083" width="15.125" style="255" customWidth="1"/>
    <col min="13084" max="13084" width="7.75" style="255" customWidth="1"/>
    <col min="13085" max="13085" width="7.125" style="255" customWidth="1"/>
    <col min="13086" max="13086" width="12.125" style="255" customWidth="1"/>
    <col min="13087" max="13087" width="8.25" style="255" customWidth="1"/>
    <col min="13088" max="13089" width="10.375" style="255" customWidth="1"/>
    <col min="13090" max="13090" width="15.625" style="255" customWidth="1"/>
    <col min="13091" max="13091" width="15.875" style="255" customWidth="1"/>
    <col min="13092" max="13092" width="8.125" style="255" customWidth="1"/>
    <col min="13093" max="13096" width="10.375" style="255" customWidth="1"/>
    <col min="13097" max="13097" width="7.25" style="255" customWidth="1"/>
    <col min="13098" max="13098" width="7.125" style="255" customWidth="1"/>
    <col min="13099" max="13099" width="9.5" style="255" customWidth="1"/>
    <col min="13100" max="13101" width="9" style="255" customWidth="1"/>
    <col min="13102" max="13102" width="16.125" style="255" customWidth="1"/>
    <col min="13103" max="13133" width="9" style="255" customWidth="1"/>
    <col min="13134" max="13293" width="25.25" style="255"/>
    <col min="13294" max="13323" width="9" style="255" customWidth="1"/>
    <col min="13324" max="13324" width="0.5" style="255" customWidth="1"/>
    <col min="13325" max="13325" width="25.25" style="255"/>
    <col min="13326" max="13326" width="0.5" style="255" customWidth="1"/>
    <col min="13327" max="13327" width="25.25" style="255"/>
    <col min="13328" max="13328" width="14.75" style="255" customWidth="1"/>
    <col min="13329" max="13329" width="11.5" style="255" customWidth="1"/>
    <col min="13330" max="13330" width="11.25" style="255" customWidth="1"/>
    <col min="13331" max="13331" width="10.75" style="255" customWidth="1"/>
    <col min="13332" max="13332" width="10" style="255" customWidth="1"/>
    <col min="13333" max="13333" width="9.875" style="255" customWidth="1"/>
    <col min="13334" max="13334" width="26.125" style="255" customWidth="1"/>
    <col min="13335" max="13335" width="11.125" style="255" customWidth="1"/>
    <col min="13336" max="13336" width="7.875" style="255" customWidth="1"/>
    <col min="13337" max="13337" width="7.25" style="255" customWidth="1"/>
    <col min="13338" max="13338" width="9.125" style="255" customWidth="1"/>
    <col min="13339" max="13339" width="15.125" style="255" customWidth="1"/>
    <col min="13340" max="13340" width="7.75" style="255" customWidth="1"/>
    <col min="13341" max="13341" width="7.125" style="255" customWidth="1"/>
    <col min="13342" max="13342" width="12.125" style="255" customWidth="1"/>
    <col min="13343" max="13343" width="8.25" style="255" customWidth="1"/>
    <col min="13344" max="13345" width="10.375" style="255" customWidth="1"/>
    <col min="13346" max="13346" width="15.625" style="255" customWidth="1"/>
    <col min="13347" max="13347" width="15.875" style="255" customWidth="1"/>
    <col min="13348" max="13348" width="8.125" style="255" customWidth="1"/>
    <col min="13349" max="13352" width="10.375" style="255" customWidth="1"/>
    <col min="13353" max="13353" width="7.25" style="255" customWidth="1"/>
    <col min="13354" max="13354" width="7.125" style="255" customWidth="1"/>
    <col min="13355" max="13355" width="9.5" style="255" customWidth="1"/>
    <col min="13356" max="13357" width="9" style="255" customWidth="1"/>
    <col min="13358" max="13358" width="16.125" style="255" customWidth="1"/>
    <col min="13359" max="13389" width="9" style="255" customWidth="1"/>
    <col min="13390" max="13549" width="25.25" style="255"/>
    <col min="13550" max="13579" width="9" style="255" customWidth="1"/>
    <col min="13580" max="13580" width="0.5" style="255" customWidth="1"/>
    <col min="13581" max="13581" width="25.25" style="255"/>
    <col min="13582" max="13582" width="0.5" style="255" customWidth="1"/>
    <col min="13583" max="13583" width="25.25" style="255"/>
    <col min="13584" max="13584" width="14.75" style="255" customWidth="1"/>
    <col min="13585" max="13585" width="11.5" style="255" customWidth="1"/>
    <col min="13586" max="13586" width="11.25" style="255" customWidth="1"/>
    <col min="13587" max="13587" width="10.75" style="255" customWidth="1"/>
    <col min="13588" max="13588" width="10" style="255" customWidth="1"/>
    <col min="13589" max="13589" width="9.875" style="255" customWidth="1"/>
    <col min="13590" max="13590" width="26.125" style="255" customWidth="1"/>
    <col min="13591" max="13591" width="11.125" style="255" customWidth="1"/>
    <col min="13592" max="13592" width="7.875" style="255" customWidth="1"/>
    <col min="13593" max="13593" width="7.25" style="255" customWidth="1"/>
    <col min="13594" max="13594" width="9.125" style="255" customWidth="1"/>
    <col min="13595" max="13595" width="15.125" style="255" customWidth="1"/>
    <col min="13596" max="13596" width="7.75" style="255" customWidth="1"/>
    <col min="13597" max="13597" width="7.125" style="255" customWidth="1"/>
    <col min="13598" max="13598" width="12.125" style="255" customWidth="1"/>
    <col min="13599" max="13599" width="8.25" style="255" customWidth="1"/>
    <col min="13600" max="13601" width="10.375" style="255" customWidth="1"/>
    <col min="13602" max="13602" width="15.625" style="255" customWidth="1"/>
    <col min="13603" max="13603" width="15.875" style="255" customWidth="1"/>
    <col min="13604" max="13604" width="8.125" style="255" customWidth="1"/>
    <col min="13605" max="13608" width="10.375" style="255" customWidth="1"/>
    <col min="13609" max="13609" width="7.25" style="255" customWidth="1"/>
    <col min="13610" max="13610" width="7.125" style="255" customWidth="1"/>
    <col min="13611" max="13611" width="9.5" style="255" customWidth="1"/>
    <col min="13612" max="13613" width="9" style="255" customWidth="1"/>
    <col min="13614" max="13614" width="16.125" style="255" customWidth="1"/>
    <col min="13615" max="13645" width="9" style="255" customWidth="1"/>
    <col min="13646" max="13805" width="25.25" style="255"/>
    <col min="13806" max="13835" width="9" style="255" customWidth="1"/>
    <col min="13836" max="13836" width="0.5" style="255" customWidth="1"/>
    <col min="13837" max="13837" width="25.25" style="255"/>
    <col min="13838" max="13838" width="0.5" style="255" customWidth="1"/>
    <col min="13839" max="13839" width="25.25" style="255"/>
    <col min="13840" max="13840" width="14.75" style="255" customWidth="1"/>
    <col min="13841" max="13841" width="11.5" style="255" customWidth="1"/>
    <col min="13842" max="13842" width="11.25" style="255" customWidth="1"/>
    <col min="13843" max="13843" width="10.75" style="255" customWidth="1"/>
    <col min="13844" max="13844" width="10" style="255" customWidth="1"/>
    <col min="13845" max="13845" width="9.875" style="255" customWidth="1"/>
    <col min="13846" max="13846" width="26.125" style="255" customWidth="1"/>
    <col min="13847" max="13847" width="11.125" style="255" customWidth="1"/>
    <col min="13848" max="13848" width="7.875" style="255" customWidth="1"/>
    <col min="13849" max="13849" width="7.25" style="255" customWidth="1"/>
    <col min="13850" max="13850" width="9.125" style="255" customWidth="1"/>
    <col min="13851" max="13851" width="15.125" style="255" customWidth="1"/>
    <col min="13852" max="13852" width="7.75" style="255" customWidth="1"/>
    <col min="13853" max="13853" width="7.125" style="255" customWidth="1"/>
    <col min="13854" max="13854" width="12.125" style="255" customWidth="1"/>
    <col min="13855" max="13855" width="8.25" style="255" customWidth="1"/>
    <col min="13856" max="13857" width="10.375" style="255" customWidth="1"/>
    <col min="13858" max="13858" width="15.625" style="255" customWidth="1"/>
    <col min="13859" max="13859" width="15.875" style="255" customWidth="1"/>
    <col min="13860" max="13860" width="8.125" style="255" customWidth="1"/>
    <col min="13861" max="13864" width="10.375" style="255" customWidth="1"/>
    <col min="13865" max="13865" width="7.25" style="255" customWidth="1"/>
    <col min="13866" max="13866" width="7.125" style="255" customWidth="1"/>
    <col min="13867" max="13867" width="9.5" style="255" customWidth="1"/>
    <col min="13868" max="13869" width="9" style="255" customWidth="1"/>
    <col min="13870" max="13870" width="16.125" style="255" customWidth="1"/>
    <col min="13871" max="13901" width="9" style="255" customWidth="1"/>
    <col min="13902" max="14061" width="25.25" style="255"/>
    <col min="14062" max="14091" width="9" style="255" customWidth="1"/>
    <col min="14092" max="14092" width="0.5" style="255" customWidth="1"/>
    <col min="14093" max="14093" width="25.25" style="255"/>
    <col min="14094" max="14094" width="0.5" style="255" customWidth="1"/>
    <col min="14095" max="14095" width="25.25" style="255"/>
    <col min="14096" max="14096" width="14.75" style="255" customWidth="1"/>
    <col min="14097" max="14097" width="11.5" style="255" customWidth="1"/>
    <col min="14098" max="14098" width="11.25" style="255" customWidth="1"/>
    <col min="14099" max="14099" width="10.75" style="255" customWidth="1"/>
    <col min="14100" max="14100" width="10" style="255" customWidth="1"/>
    <col min="14101" max="14101" width="9.875" style="255" customWidth="1"/>
    <col min="14102" max="14102" width="26.125" style="255" customWidth="1"/>
    <col min="14103" max="14103" width="11.125" style="255" customWidth="1"/>
    <col min="14104" max="14104" width="7.875" style="255" customWidth="1"/>
    <col min="14105" max="14105" width="7.25" style="255" customWidth="1"/>
    <col min="14106" max="14106" width="9.125" style="255" customWidth="1"/>
    <col min="14107" max="14107" width="15.125" style="255" customWidth="1"/>
    <col min="14108" max="14108" width="7.75" style="255" customWidth="1"/>
    <col min="14109" max="14109" width="7.125" style="255" customWidth="1"/>
    <col min="14110" max="14110" width="12.125" style="255" customWidth="1"/>
    <col min="14111" max="14111" width="8.25" style="255" customWidth="1"/>
    <col min="14112" max="14113" width="10.375" style="255" customWidth="1"/>
    <col min="14114" max="14114" width="15.625" style="255" customWidth="1"/>
    <col min="14115" max="14115" width="15.875" style="255" customWidth="1"/>
    <col min="14116" max="14116" width="8.125" style="255" customWidth="1"/>
    <col min="14117" max="14120" width="10.375" style="255" customWidth="1"/>
    <col min="14121" max="14121" width="7.25" style="255" customWidth="1"/>
    <col min="14122" max="14122" width="7.125" style="255" customWidth="1"/>
    <col min="14123" max="14123" width="9.5" style="255" customWidth="1"/>
    <col min="14124" max="14125" width="9" style="255" customWidth="1"/>
    <col min="14126" max="14126" width="16.125" style="255" customWidth="1"/>
    <col min="14127" max="14157" width="9" style="255" customWidth="1"/>
    <col min="14158" max="14317" width="25.25" style="255"/>
    <col min="14318" max="14347" width="9" style="255" customWidth="1"/>
    <col min="14348" max="14348" width="0.5" style="255" customWidth="1"/>
    <col min="14349" max="14349" width="25.25" style="255"/>
    <col min="14350" max="14350" width="0.5" style="255" customWidth="1"/>
    <col min="14351" max="14351" width="25.25" style="255"/>
    <col min="14352" max="14352" width="14.75" style="255" customWidth="1"/>
    <col min="14353" max="14353" width="11.5" style="255" customWidth="1"/>
    <col min="14354" max="14354" width="11.25" style="255" customWidth="1"/>
    <col min="14355" max="14355" width="10.75" style="255" customWidth="1"/>
    <col min="14356" max="14356" width="10" style="255" customWidth="1"/>
    <col min="14357" max="14357" width="9.875" style="255" customWidth="1"/>
    <col min="14358" max="14358" width="26.125" style="255" customWidth="1"/>
    <col min="14359" max="14359" width="11.125" style="255" customWidth="1"/>
    <col min="14360" max="14360" width="7.875" style="255" customWidth="1"/>
    <col min="14361" max="14361" width="7.25" style="255" customWidth="1"/>
    <col min="14362" max="14362" width="9.125" style="255" customWidth="1"/>
    <col min="14363" max="14363" width="15.125" style="255" customWidth="1"/>
    <col min="14364" max="14364" width="7.75" style="255" customWidth="1"/>
    <col min="14365" max="14365" width="7.125" style="255" customWidth="1"/>
    <col min="14366" max="14366" width="12.125" style="255" customWidth="1"/>
    <col min="14367" max="14367" width="8.25" style="255" customWidth="1"/>
    <col min="14368" max="14369" width="10.375" style="255" customWidth="1"/>
    <col min="14370" max="14370" width="15.625" style="255" customWidth="1"/>
    <col min="14371" max="14371" width="15.875" style="255" customWidth="1"/>
    <col min="14372" max="14372" width="8.125" style="255" customWidth="1"/>
    <col min="14373" max="14376" width="10.375" style="255" customWidth="1"/>
    <col min="14377" max="14377" width="7.25" style="255" customWidth="1"/>
    <col min="14378" max="14378" width="7.125" style="255" customWidth="1"/>
    <col min="14379" max="14379" width="9.5" style="255" customWidth="1"/>
    <col min="14380" max="14381" width="9" style="255" customWidth="1"/>
    <col min="14382" max="14382" width="16.125" style="255" customWidth="1"/>
    <col min="14383" max="14413" width="9" style="255" customWidth="1"/>
    <col min="14414" max="14573" width="25.25" style="255"/>
    <col min="14574" max="14603" width="9" style="255" customWidth="1"/>
    <col min="14604" max="14604" width="0.5" style="255" customWidth="1"/>
    <col min="14605" max="14605" width="25.25" style="255"/>
    <col min="14606" max="14606" width="0.5" style="255" customWidth="1"/>
    <col min="14607" max="14607" width="25.25" style="255"/>
    <col min="14608" max="14608" width="14.75" style="255" customWidth="1"/>
    <col min="14609" max="14609" width="11.5" style="255" customWidth="1"/>
    <col min="14610" max="14610" width="11.25" style="255" customWidth="1"/>
    <col min="14611" max="14611" width="10.75" style="255" customWidth="1"/>
    <col min="14612" max="14612" width="10" style="255" customWidth="1"/>
    <col min="14613" max="14613" width="9.875" style="255" customWidth="1"/>
    <col min="14614" max="14614" width="26.125" style="255" customWidth="1"/>
    <col min="14615" max="14615" width="11.125" style="255" customWidth="1"/>
    <col min="14616" max="14616" width="7.875" style="255" customWidth="1"/>
    <col min="14617" max="14617" width="7.25" style="255" customWidth="1"/>
    <col min="14618" max="14618" width="9.125" style="255" customWidth="1"/>
    <col min="14619" max="14619" width="15.125" style="255" customWidth="1"/>
    <col min="14620" max="14620" width="7.75" style="255" customWidth="1"/>
    <col min="14621" max="14621" width="7.125" style="255" customWidth="1"/>
    <col min="14622" max="14622" width="12.125" style="255" customWidth="1"/>
    <col min="14623" max="14623" width="8.25" style="255" customWidth="1"/>
    <col min="14624" max="14625" width="10.375" style="255" customWidth="1"/>
    <col min="14626" max="14626" width="15.625" style="255" customWidth="1"/>
    <col min="14627" max="14627" width="15.875" style="255" customWidth="1"/>
    <col min="14628" max="14628" width="8.125" style="255" customWidth="1"/>
    <col min="14629" max="14632" width="10.375" style="255" customWidth="1"/>
    <col min="14633" max="14633" width="7.25" style="255" customWidth="1"/>
    <col min="14634" max="14634" width="7.125" style="255" customWidth="1"/>
    <col min="14635" max="14635" width="9.5" style="255" customWidth="1"/>
    <col min="14636" max="14637" width="9" style="255" customWidth="1"/>
    <col min="14638" max="14638" width="16.125" style="255" customWidth="1"/>
    <col min="14639" max="14669" width="9" style="255" customWidth="1"/>
    <col min="14670" max="14829" width="25.25" style="255"/>
    <col min="14830" max="14859" width="9" style="255" customWidth="1"/>
    <col min="14860" max="14860" width="0.5" style="255" customWidth="1"/>
    <col min="14861" max="14861" width="25.25" style="255"/>
    <col min="14862" max="14862" width="0.5" style="255" customWidth="1"/>
    <col min="14863" max="14863" width="25.25" style="255"/>
    <col min="14864" max="14864" width="14.75" style="255" customWidth="1"/>
    <col min="14865" max="14865" width="11.5" style="255" customWidth="1"/>
    <col min="14866" max="14866" width="11.25" style="255" customWidth="1"/>
    <col min="14867" max="14867" width="10.75" style="255" customWidth="1"/>
    <col min="14868" max="14868" width="10" style="255" customWidth="1"/>
    <col min="14869" max="14869" width="9.875" style="255" customWidth="1"/>
    <col min="14870" max="14870" width="26.125" style="255" customWidth="1"/>
    <col min="14871" max="14871" width="11.125" style="255" customWidth="1"/>
    <col min="14872" max="14872" width="7.875" style="255" customWidth="1"/>
    <col min="14873" max="14873" width="7.25" style="255" customWidth="1"/>
    <col min="14874" max="14874" width="9.125" style="255" customWidth="1"/>
    <col min="14875" max="14875" width="15.125" style="255" customWidth="1"/>
    <col min="14876" max="14876" width="7.75" style="255" customWidth="1"/>
    <col min="14877" max="14877" width="7.125" style="255" customWidth="1"/>
    <col min="14878" max="14878" width="12.125" style="255" customWidth="1"/>
    <col min="14879" max="14879" width="8.25" style="255" customWidth="1"/>
    <col min="14880" max="14881" width="10.375" style="255" customWidth="1"/>
    <col min="14882" max="14882" width="15.625" style="255" customWidth="1"/>
    <col min="14883" max="14883" width="15.875" style="255" customWidth="1"/>
    <col min="14884" max="14884" width="8.125" style="255" customWidth="1"/>
    <col min="14885" max="14888" width="10.375" style="255" customWidth="1"/>
    <col min="14889" max="14889" width="7.25" style="255" customWidth="1"/>
    <col min="14890" max="14890" width="7.125" style="255" customWidth="1"/>
    <col min="14891" max="14891" width="9.5" style="255" customWidth="1"/>
    <col min="14892" max="14893" width="9" style="255" customWidth="1"/>
    <col min="14894" max="14894" width="16.125" style="255" customWidth="1"/>
    <col min="14895" max="14925" width="9" style="255" customWidth="1"/>
    <col min="14926" max="15085" width="25.25" style="255"/>
    <col min="15086" max="15115" width="9" style="255" customWidth="1"/>
    <col min="15116" max="15116" width="0.5" style="255" customWidth="1"/>
    <col min="15117" max="15117" width="25.25" style="255"/>
    <col min="15118" max="15118" width="0.5" style="255" customWidth="1"/>
    <col min="15119" max="15119" width="25.25" style="255"/>
    <col min="15120" max="15120" width="14.75" style="255" customWidth="1"/>
    <col min="15121" max="15121" width="11.5" style="255" customWidth="1"/>
    <col min="15122" max="15122" width="11.25" style="255" customWidth="1"/>
    <col min="15123" max="15123" width="10.75" style="255" customWidth="1"/>
    <col min="15124" max="15124" width="10" style="255" customWidth="1"/>
    <col min="15125" max="15125" width="9.875" style="255" customWidth="1"/>
    <col min="15126" max="15126" width="26.125" style="255" customWidth="1"/>
    <col min="15127" max="15127" width="11.125" style="255" customWidth="1"/>
    <col min="15128" max="15128" width="7.875" style="255" customWidth="1"/>
    <col min="15129" max="15129" width="7.25" style="255" customWidth="1"/>
    <col min="15130" max="15130" width="9.125" style="255" customWidth="1"/>
    <col min="15131" max="15131" width="15.125" style="255" customWidth="1"/>
    <col min="15132" max="15132" width="7.75" style="255" customWidth="1"/>
    <col min="15133" max="15133" width="7.125" style="255" customWidth="1"/>
    <col min="15134" max="15134" width="12.125" style="255" customWidth="1"/>
    <col min="15135" max="15135" width="8.25" style="255" customWidth="1"/>
    <col min="15136" max="15137" width="10.375" style="255" customWidth="1"/>
    <col min="15138" max="15138" width="15.625" style="255" customWidth="1"/>
    <col min="15139" max="15139" width="15.875" style="255" customWidth="1"/>
    <col min="15140" max="15140" width="8.125" style="255" customWidth="1"/>
    <col min="15141" max="15144" width="10.375" style="255" customWidth="1"/>
    <col min="15145" max="15145" width="7.25" style="255" customWidth="1"/>
    <col min="15146" max="15146" width="7.125" style="255" customWidth="1"/>
    <col min="15147" max="15147" width="9.5" style="255" customWidth="1"/>
    <col min="15148" max="15149" width="9" style="255" customWidth="1"/>
    <col min="15150" max="15150" width="16.125" style="255" customWidth="1"/>
    <col min="15151" max="15181" width="9" style="255" customWidth="1"/>
    <col min="15182" max="15341" width="25.25" style="255"/>
    <col min="15342" max="15371" width="9" style="255" customWidth="1"/>
    <col min="15372" max="15372" width="0.5" style="255" customWidth="1"/>
    <col min="15373" max="15373" width="25.25" style="255"/>
    <col min="15374" max="15374" width="0.5" style="255" customWidth="1"/>
    <col min="15375" max="15375" width="25.25" style="255"/>
    <col min="15376" max="15376" width="14.75" style="255" customWidth="1"/>
    <col min="15377" max="15377" width="11.5" style="255" customWidth="1"/>
    <col min="15378" max="15378" width="11.25" style="255" customWidth="1"/>
    <col min="15379" max="15379" width="10.75" style="255" customWidth="1"/>
    <col min="15380" max="15380" width="10" style="255" customWidth="1"/>
    <col min="15381" max="15381" width="9.875" style="255" customWidth="1"/>
    <col min="15382" max="15382" width="26.125" style="255" customWidth="1"/>
    <col min="15383" max="15383" width="11.125" style="255" customWidth="1"/>
    <col min="15384" max="15384" width="7.875" style="255" customWidth="1"/>
    <col min="15385" max="15385" width="7.25" style="255" customWidth="1"/>
    <col min="15386" max="15386" width="9.125" style="255" customWidth="1"/>
    <col min="15387" max="15387" width="15.125" style="255" customWidth="1"/>
    <col min="15388" max="15388" width="7.75" style="255" customWidth="1"/>
    <col min="15389" max="15389" width="7.125" style="255" customWidth="1"/>
    <col min="15390" max="15390" width="12.125" style="255" customWidth="1"/>
    <col min="15391" max="15391" width="8.25" style="255" customWidth="1"/>
    <col min="15392" max="15393" width="10.375" style="255" customWidth="1"/>
    <col min="15394" max="15394" width="15.625" style="255" customWidth="1"/>
    <col min="15395" max="15395" width="15.875" style="255" customWidth="1"/>
    <col min="15396" max="15396" width="8.125" style="255" customWidth="1"/>
    <col min="15397" max="15400" width="10.375" style="255" customWidth="1"/>
    <col min="15401" max="15401" width="7.25" style="255" customWidth="1"/>
    <col min="15402" max="15402" width="7.125" style="255" customWidth="1"/>
    <col min="15403" max="15403" width="9.5" style="255" customWidth="1"/>
    <col min="15404" max="15405" width="9" style="255" customWidth="1"/>
    <col min="15406" max="15406" width="16.125" style="255" customWidth="1"/>
    <col min="15407" max="15437" width="9" style="255" customWidth="1"/>
    <col min="15438" max="15597" width="25.25" style="255"/>
    <col min="15598" max="15627" width="9" style="255" customWidth="1"/>
    <col min="15628" max="15628" width="0.5" style="255" customWidth="1"/>
    <col min="15629" max="15629" width="25.25" style="255"/>
    <col min="15630" max="15630" width="0.5" style="255" customWidth="1"/>
    <col min="15631" max="15631" width="25.25" style="255"/>
    <col min="15632" max="15632" width="14.75" style="255" customWidth="1"/>
    <col min="15633" max="15633" width="11.5" style="255" customWidth="1"/>
    <col min="15634" max="15634" width="11.25" style="255" customWidth="1"/>
    <col min="15635" max="15635" width="10.75" style="255" customWidth="1"/>
    <col min="15636" max="15636" width="10" style="255" customWidth="1"/>
    <col min="15637" max="15637" width="9.875" style="255" customWidth="1"/>
    <col min="15638" max="15638" width="26.125" style="255" customWidth="1"/>
    <col min="15639" max="15639" width="11.125" style="255" customWidth="1"/>
    <col min="15640" max="15640" width="7.875" style="255" customWidth="1"/>
    <col min="15641" max="15641" width="7.25" style="255" customWidth="1"/>
    <col min="15642" max="15642" width="9.125" style="255" customWidth="1"/>
    <col min="15643" max="15643" width="15.125" style="255" customWidth="1"/>
    <col min="15644" max="15644" width="7.75" style="255" customWidth="1"/>
    <col min="15645" max="15645" width="7.125" style="255" customWidth="1"/>
    <col min="15646" max="15646" width="12.125" style="255" customWidth="1"/>
    <col min="15647" max="15647" width="8.25" style="255" customWidth="1"/>
    <col min="15648" max="15649" width="10.375" style="255" customWidth="1"/>
    <col min="15650" max="15650" width="15.625" style="255" customWidth="1"/>
    <col min="15651" max="15651" width="15.875" style="255" customWidth="1"/>
    <col min="15652" max="15652" width="8.125" style="255" customWidth="1"/>
    <col min="15653" max="15656" width="10.375" style="255" customWidth="1"/>
    <col min="15657" max="15657" width="7.25" style="255" customWidth="1"/>
    <col min="15658" max="15658" width="7.125" style="255" customWidth="1"/>
    <col min="15659" max="15659" width="9.5" style="255" customWidth="1"/>
    <col min="15660" max="15661" width="9" style="255" customWidth="1"/>
    <col min="15662" max="15662" width="16.125" style="255" customWidth="1"/>
    <col min="15663" max="15693" width="9" style="255" customWidth="1"/>
    <col min="15694" max="15853" width="25.25" style="255"/>
    <col min="15854" max="15883" width="9" style="255" customWidth="1"/>
    <col min="15884" max="15884" width="0.5" style="255" customWidth="1"/>
    <col min="15885" max="15885" width="25.25" style="255"/>
    <col min="15886" max="15886" width="0.5" style="255" customWidth="1"/>
    <col min="15887" max="15887" width="25.25" style="255"/>
    <col min="15888" max="15888" width="14.75" style="255" customWidth="1"/>
    <col min="15889" max="15889" width="11.5" style="255" customWidth="1"/>
    <col min="15890" max="15890" width="11.25" style="255" customWidth="1"/>
    <col min="15891" max="15891" width="10.75" style="255" customWidth="1"/>
    <col min="15892" max="15892" width="10" style="255" customWidth="1"/>
    <col min="15893" max="15893" width="9.875" style="255" customWidth="1"/>
    <col min="15894" max="15894" width="26.125" style="255" customWidth="1"/>
    <col min="15895" max="15895" width="11.125" style="255" customWidth="1"/>
    <col min="15896" max="15896" width="7.875" style="255" customWidth="1"/>
    <col min="15897" max="15897" width="7.25" style="255" customWidth="1"/>
    <col min="15898" max="15898" width="9.125" style="255" customWidth="1"/>
    <col min="15899" max="15899" width="15.125" style="255" customWidth="1"/>
    <col min="15900" max="15900" width="7.75" style="255" customWidth="1"/>
    <col min="15901" max="15901" width="7.125" style="255" customWidth="1"/>
    <col min="15902" max="15902" width="12.125" style="255" customWidth="1"/>
    <col min="15903" max="15903" width="8.25" style="255" customWidth="1"/>
    <col min="15904" max="15905" width="10.375" style="255" customWidth="1"/>
    <col min="15906" max="15906" width="15.625" style="255" customWidth="1"/>
    <col min="15907" max="15907" width="15.875" style="255" customWidth="1"/>
    <col min="15908" max="15908" width="8.125" style="255" customWidth="1"/>
    <col min="15909" max="15912" width="10.375" style="255" customWidth="1"/>
    <col min="15913" max="15913" width="7.25" style="255" customWidth="1"/>
    <col min="15914" max="15914" width="7.125" style="255" customWidth="1"/>
    <col min="15915" max="15915" width="9.5" style="255" customWidth="1"/>
    <col min="15916" max="15917" width="9" style="255" customWidth="1"/>
    <col min="15918" max="15918" width="16.125" style="255" customWidth="1"/>
    <col min="15919" max="15949" width="9" style="255" customWidth="1"/>
    <col min="15950" max="16109" width="25.25" style="255"/>
    <col min="16110" max="16139" width="9" style="255" customWidth="1"/>
    <col min="16140" max="16140" width="0.5" style="255" customWidth="1"/>
    <col min="16141" max="16384" width="25.25" style="255"/>
  </cols>
  <sheetData>
    <row r="1" spans="1:16" ht="14.25" thickBot="1"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1"/>
      <c r="O1" s="1"/>
      <c r="P1" s="1"/>
    </row>
    <row r="2" spans="1:16" ht="18" customHeight="1">
      <c r="A2" s="5"/>
      <c r="B2" s="6" t="s">
        <v>402</v>
      </c>
      <c r="C2" s="254"/>
      <c r="D2" s="254" t="s">
        <v>9</v>
      </c>
      <c r="E2" s="254" t="s">
        <v>10</v>
      </c>
      <c r="F2" s="661" t="s">
        <v>11</v>
      </c>
      <c r="G2" s="661"/>
      <c r="H2" s="661"/>
      <c r="I2" s="662" t="s">
        <v>12</v>
      </c>
      <c r="J2" s="664" t="s">
        <v>13</v>
      </c>
      <c r="K2" s="665"/>
      <c r="L2" s="665"/>
      <c r="M2" s="666"/>
      <c r="N2" s="8"/>
      <c r="O2" s="8"/>
      <c r="P2" s="8"/>
    </row>
    <row r="3" spans="1:16" ht="18" customHeight="1">
      <c r="B3" s="9" t="s">
        <v>14</v>
      </c>
      <c r="C3" s="10" t="s">
        <v>15</v>
      </c>
      <c r="D3" s="10" t="s">
        <v>16</v>
      </c>
      <c r="E3" s="10" t="s">
        <v>17</v>
      </c>
      <c r="F3" s="10" t="s">
        <v>7</v>
      </c>
      <c r="G3" s="10" t="s">
        <v>5</v>
      </c>
      <c r="H3" s="10" t="s">
        <v>18</v>
      </c>
      <c r="I3" s="663"/>
      <c r="J3" s="11" t="s">
        <v>19</v>
      </c>
      <c r="K3" s="12" t="s">
        <v>20</v>
      </c>
      <c r="L3" s="12" t="s">
        <v>21</v>
      </c>
      <c r="M3" s="13" t="s">
        <v>22</v>
      </c>
      <c r="N3" s="14"/>
      <c r="P3" s="15"/>
    </row>
    <row r="4" spans="1:16" ht="18" customHeight="1">
      <c r="B4" s="667" t="str">
        <f ca="1">MID(CELL("filename",Q13),FIND("]",CELL("filename",Q13))+1,30)</f>
        <v>C2430</v>
      </c>
      <c r="C4" s="17" t="s">
        <v>23</v>
      </c>
      <c r="D4" s="17">
        <v>2400</v>
      </c>
      <c r="E4" s="17">
        <v>3000</v>
      </c>
      <c r="F4" s="18">
        <v>6.58</v>
      </c>
      <c r="G4" s="17">
        <v>1</v>
      </c>
      <c r="H4" s="17">
        <f>F4*G4</f>
        <v>6.58</v>
      </c>
      <c r="I4" s="663"/>
      <c r="J4" s="19">
        <v>40</v>
      </c>
      <c r="K4" s="20">
        <v>20</v>
      </c>
      <c r="L4" s="21">
        <v>1.5</v>
      </c>
      <c r="M4" s="22">
        <f t="shared" ref="M4:M11" si="0">ROUND(((J4*K4)-(J4-2*L4)*(K4-2*L4))*7.8/1000,3)</f>
        <v>1.3340000000000001</v>
      </c>
    </row>
    <row r="5" spans="1:16" ht="18" customHeight="1">
      <c r="B5" s="668"/>
      <c r="C5" s="221" t="s">
        <v>299</v>
      </c>
      <c r="D5" s="221">
        <f>D4-70</f>
        <v>2330</v>
      </c>
      <c r="E5" s="221">
        <f>E4-70</f>
        <v>2930</v>
      </c>
      <c r="F5" s="222">
        <f>D5*E5/10^6</f>
        <v>6.8269000000000002</v>
      </c>
      <c r="G5" s="221">
        <v>1</v>
      </c>
      <c r="H5" s="222">
        <f>F5*G5</f>
        <v>6.8269000000000002</v>
      </c>
      <c r="I5" s="663"/>
      <c r="J5" s="19">
        <v>40</v>
      </c>
      <c r="K5" s="20">
        <v>20</v>
      </c>
      <c r="L5" s="21">
        <v>2</v>
      </c>
      <c r="M5" s="22">
        <f t="shared" si="0"/>
        <v>1.7470000000000001</v>
      </c>
    </row>
    <row r="6" spans="1:16" ht="18" customHeight="1">
      <c r="B6" s="669"/>
      <c r="C6" s="17" t="s">
        <v>24</v>
      </c>
      <c r="D6" s="17">
        <f>D4-80</f>
        <v>2320</v>
      </c>
      <c r="E6" s="17">
        <f>E4-80</f>
        <v>2920</v>
      </c>
      <c r="F6" s="18">
        <f>D6*E6/10^6</f>
        <v>6.7744</v>
      </c>
      <c r="G6" s="17">
        <v>1</v>
      </c>
      <c r="H6" s="18">
        <f>F6*G6</f>
        <v>6.7744</v>
      </c>
      <c r="I6" s="663"/>
      <c r="J6" s="19">
        <v>40</v>
      </c>
      <c r="K6" s="20">
        <v>20</v>
      </c>
      <c r="L6" s="21">
        <v>2</v>
      </c>
      <c r="M6" s="22">
        <f t="shared" si="0"/>
        <v>1.7470000000000001</v>
      </c>
    </row>
    <row r="7" spans="1:16" ht="18" customHeight="1">
      <c r="B7" s="23" t="s">
        <v>25</v>
      </c>
      <c r="C7" s="252" t="s">
        <v>16</v>
      </c>
      <c r="D7" s="252" t="s">
        <v>26</v>
      </c>
      <c r="E7" s="252" t="s">
        <v>17</v>
      </c>
      <c r="F7" s="252" t="s">
        <v>27</v>
      </c>
      <c r="G7" s="252" t="s">
        <v>22</v>
      </c>
      <c r="H7" s="252" t="s">
        <v>28</v>
      </c>
      <c r="I7" s="25" t="s">
        <v>29</v>
      </c>
      <c r="J7" s="19">
        <v>80</v>
      </c>
      <c r="K7" s="20">
        <v>40</v>
      </c>
      <c r="L7" s="21">
        <v>2</v>
      </c>
      <c r="M7" s="22">
        <f t="shared" si="0"/>
        <v>3.6190000000000002</v>
      </c>
    </row>
    <row r="8" spans="1:16" ht="18" customHeight="1">
      <c r="B8" s="251" t="s">
        <v>30</v>
      </c>
      <c r="C8" s="27">
        <f>D4-30</f>
        <v>2370</v>
      </c>
      <c r="D8" s="27">
        <v>2</v>
      </c>
      <c r="E8" s="27">
        <f>E4-30</f>
        <v>2970</v>
      </c>
      <c r="F8" s="27">
        <v>2</v>
      </c>
      <c r="G8" s="28">
        <v>1.7470000000000001</v>
      </c>
      <c r="H8" s="29">
        <f>材料价格!B3</f>
        <v>7.5</v>
      </c>
      <c r="I8" s="30">
        <f>ROUND((C8*D8+E8*F8)*G8*H8/1000*1.1,2)</f>
        <v>153.93</v>
      </c>
      <c r="J8" s="19">
        <v>40</v>
      </c>
      <c r="K8" s="20">
        <v>20</v>
      </c>
      <c r="L8" s="21">
        <v>1.4</v>
      </c>
      <c r="M8" s="22">
        <f>ROUND(((J8*K8)-(J8-2*L8)*(K8-2*L8))*2.71/1000,3)</f>
        <v>0.434</v>
      </c>
    </row>
    <row r="9" spans="1:16" ht="18" customHeight="1">
      <c r="B9" s="251" t="s">
        <v>30</v>
      </c>
      <c r="C9" s="250"/>
      <c r="D9" s="250"/>
      <c r="E9" s="250"/>
      <c r="F9" s="250"/>
      <c r="G9" s="28">
        <v>1.7470000000000001</v>
      </c>
      <c r="H9" s="32">
        <f>H8</f>
        <v>7.5</v>
      </c>
      <c r="I9" s="30">
        <f>ROUND((C9*D9+E9*F9)*G9*H9/1000*1.1,2)</f>
        <v>0</v>
      </c>
      <c r="J9" s="19"/>
      <c r="K9" s="20"/>
      <c r="L9" s="21"/>
      <c r="M9" s="22">
        <f t="shared" si="0"/>
        <v>0</v>
      </c>
    </row>
    <row r="10" spans="1:16" ht="18" customHeight="1">
      <c r="B10" s="251" t="s">
        <v>31</v>
      </c>
      <c r="C10" s="250"/>
      <c r="D10" s="250"/>
      <c r="E10" s="250"/>
      <c r="F10" s="250"/>
      <c r="G10" s="28">
        <v>3.6190000000000002</v>
      </c>
      <c r="H10" s="32">
        <f>H9</f>
        <v>7.5</v>
      </c>
      <c r="I10" s="30">
        <f>ROUND((C10*D10+E10*F10)*G10*H10/1000*1.1,2)</f>
        <v>0</v>
      </c>
      <c r="J10" s="19"/>
      <c r="K10" s="20"/>
      <c r="L10" s="12"/>
      <c r="M10" s="22">
        <f t="shared" si="0"/>
        <v>0</v>
      </c>
    </row>
    <row r="11" spans="1:16" ht="18" customHeight="1" thickBot="1">
      <c r="B11" s="251" t="s">
        <v>32</v>
      </c>
      <c r="C11" s="250"/>
      <c r="D11" s="250"/>
      <c r="E11" s="250"/>
      <c r="F11" s="250"/>
      <c r="G11" s="28">
        <v>2.9950000000000001</v>
      </c>
      <c r="H11" s="32">
        <f>H10</f>
        <v>7.5</v>
      </c>
      <c r="I11" s="30">
        <f>ROUND((C11*D11+E11*F11)*G11*H11/1000*1.1,2)</f>
        <v>0</v>
      </c>
      <c r="J11" s="33"/>
      <c r="K11" s="34"/>
      <c r="L11" s="35"/>
      <c r="M11" s="36">
        <f t="shared" si="0"/>
        <v>0</v>
      </c>
    </row>
    <row r="12" spans="1:16" ht="18" customHeight="1">
      <c r="B12" s="37" t="s">
        <v>33</v>
      </c>
      <c r="C12" s="38">
        <f>((I9+I10+I8+I11)/H8)/F4</f>
        <v>3.1191489361702129</v>
      </c>
      <c r="D12" s="39" t="s">
        <v>34</v>
      </c>
      <c r="E12" s="38">
        <f>(I9+I10+I8+I11)/F4</f>
        <v>23.393617021276597</v>
      </c>
      <c r="F12" s="40" t="s">
        <v>35</v>
      </c>
      <c r="G12" s="39"/>
      <c r="H12" s="39">
        <f>ROUND(SUM(I8:I11)/H8,2)</f>
        <v>20.52</v>
      </c>
      <c r="I12" s="41">
        <f>SUM(I8:I11)</f>
        <v>153.93</v>
      </c>
      <c r="J12" s="42"/>
    </row>
    <row r="13" spans="1:16" ht="18" customHeight="1">
      <c r="B13" s="23" t="s">
        <v>36</v>
      </c>
      <c r="C13" s="252" t="s">
        <v>14</v>
      </c>
      <c r="D13" s="252" t="s">
        <v>37</v>
      </c>
      <c r="E13" s="252" t="s">
        <v>38</v>
      </c>
      <c r="F13" s="252" t="s">
        <v>39</v>
      </c>
      <c r="G13" s="252" t="s">
        <v>8</v>
      </c>
      <c r="H13" s="252" t="s">
        <v>22</v>
      </c>
      <c r="I13" s="25" t="s">
        <v>40</v>
      </c>
    </row>
    <row r="14" spans="1:16" ht="18" customHeight="1">
      <c r="B14" s="648" t="s">
        <v>41</v>
      </c>
      <c r="C14" s="649" t="s">
        <v>404</v>
      </c>
      <c r="D14" s="250">
        <f>D6</f>
        <v>2320</v>
      </c>
      <c r="E14" s="250">
        <v>1200</v>
      </c>
      <c r="F14" s="44">
        <f>ROUND((D14+E14)*2/1000,4)</f>
        <v>7.04</v>
      </c>
      <c r="G14" s="250">
        <v>1</v>
      </c>
      <c r="H14" s="250">
        <v>1.47</v>
      </c>
      <c r="I14" s="284">
        <f>ROUND(F14*G14*H14,3)*2</f>
        <v>20.698</v>
      </c>
      <c r="J14" s="42"/>
      <c r="K14" s="46"/>
      <c r="L14" s="46"/>
      <c r="M14" s="42"/>
    </row>
    <row r="15" spans="1:16" ht="18" customHeight="1">
      <c r="B15" s="648"/>
      <c r="C15" s="650"/>
      <c r="D15" s="250">
        <f>D14</f>
        <v>2320</v>
      </c>
      <c r="E15" s="250">
        <f>E6-E14</f>
        <v>1720</v>
      </c>
      <c r="F15" s="44">
        <f t="shared" ref="F15:F21" si="1">ROUND((D15+E15)*2/1000,4)</f>
        <v>8.08</v>
      </c>
      <c r="G15" s="250">
        <v>1</v>
      </c>
      <c r="H15" s="250">
        <f t="shared" ref="H15:H21" si="2">H14</f>
        <v>1.47</v>
      </c>
      <c r="I15" s="247">
        <f>ROUND(F15*G15*H15,3)</f>
        <v>11.878</v>
      </c>
      <c r="K15" s="47"/>
      <c r="M15" s="255"/>
    </row>
    <row r="16" spans="1:16" ht="18" customHeight="1">
      <c r="B16" s="648"/>
      <c r="C16" s="650"/>
      <c r="D16" s="250"/>
      <c r="E16" s="250"/>
      <c r="F16" s="44">
        <f t="shared" si="1"/>
        <v>0</v>
      </c>
      <c r="G16" s="250"/>
      <c r="H16" s="250">
        <f t="shared" si="2"/>
        <v>1.47</v>
      </c>
      <c r="I16" s="247">
        <f t="shared" ref="I16:I21" si="3">ROUND(F16*G16*H16,3)</f>
        <v>0</v>
      </c>
      <c r="K16" s="47"/>
      <c r="L16" s="46"/>
      <c r="M16" s="42"/>
    </row>
    <row r="17" spans="2:15" ht="18" customHeight="1">
      <c r="B17" s="648"/>
      <c r="C17" s="650"/>
      <c r="D17" s="250"/>
      <c r="E17" s="250"/>
      <c r="F17" s="44">
        <f t="shared" si="1"/>
        <v>0</v>
      </c>
      <c r="G17" s="250"/>
      <c r="H17" s="250">
        <f t="shared" si="2"/>
        <v>1.47</v>
      </c>
      <c r="I17" s="247">
        <f t="shared" si="3"/>
        <v>0</v>
      </c>
      <c r="K17" s="47"/>
      <c r="M17" s="42"/>
    </row>
    <row r="18" spans="2:15" ht="18" customHeight="1">
      <c r="B18" s="648"/>
      <c r="C18" s="650"/>
      <c r="D18" s="250"/>
      <c r="E18" s="250"/>
      <c r="F18" s="44">
        <f t="shared" si="1"/>
        <v>0</v>
      </c>
      <c r="G18" s="250"/>
      <c r="H18" s="250">
        <f t="shared" si="2"/>
        <v>1.47</v>
      </c>
      <c r="I18" s="247">
        <f t="shared" si="3"/>
        <v>0</v>
      </c>
      <c r="M18" s="42"/>
    </row>
    <row r="19" spans="2:15" ht="18" customHeight="1">
      <c r="B19" s="648"/>
      <c r="C19" s="650"/>
      <c r="D19" s="250"/>
      <c r="E19" s="250"/>
      <c r="F19" s="44">
        <f t="shared" si="1"/>
        <v>0</v>
      </c>
      <c r="G19" s="250"/>
      <c r="H19" s="250">
        <f t="shared" si="2"/>
        <v>1.47</v>
      </c>
      <c r="I19" s="247">
        <f t="shared" si="3"/>
        <v>0</v>
      </c>
      <c r="M19" s="42"/>
    </row>
    <row r="20" spans="2:15" ht="18" customHeight="1">
      <c r="B20" s="648"/>
      <c r="C20" s="650"/>
      <c r="D20" s="250"/>
      <c r="E20" s="250"/>
      <c r="F20" s="44">
        <f t="shared" si="1"/>
        <v>0</v>
      </c>
      <c r="G20" s="250"/>
      <c r="H20" s="250">
        <f t="shared" si="2"/>
        <v>1.47</v>
      </c>
      <c r="I20" s="247">
        <f t="shared" si="3"/>
        <v>0</v>
      </c>
      <c r="K20" s="47"/>
      <c r="M20" s="42"/>
    </row>
    <row r="21" spans="2:15" ht="18" customHeight="1">
      <c r="B21" s="648"/>
      <c r="C21" s="651"/>
      <c r="D21" s="250"/>
      <c r="E21" s="250"/>
      <c r="F21" s="44">
        <f t="shared" si="1"/>
        <v>0</v>
      </c>
      <c r="G21" s="250"/>
      <c r="H21" s="250">
        <f t="shared" si="2"/>
        <v>1.47</v>
      </c>
      <c r="I21" s="247">
        <f t="shared" si="3"/>
        <v>0</v>
      </c>
    </row>
    <row r="22" spans="2:15" ht="18" customHeight="1">
      <c r="B22" s="48" t="s">
        <v>42</v>
      </c>
      <c r="C22" s="49">
        <f>SUMPRODUCT(F14:F21*G14:G21)</f>
        <v>15.120000000000001</v>
      </c>
      <c r="D22" s="50" t="s">
        <v>43</v>
      </c>
      <c r="E22" s="49">
        <f>SUM(I14:I21)*1.1</f>
        <v>35.833600000000004</v>
      </c>
      <c r="F22" s="50" t="s">
        <v>44</v>
      </c>
      <c r="G22" s="51">
        <f>(C$218+C$219)/1000</f>
        <v>46.081499999999998</v>
      </c>
      <c r="H22" s="52" t="s">
        <v>45</v>
      </c>
      <c r="I22" s="53">
        <f>ROUND(E22*G22,2)</f>
        <v>1651.27</v>
      </c>
      <c r="J22" s="243">
        <f>SUM(G14:G21)</f>
        <v>2</v>
      </c>
    </row>
    <row r="23" spans="2:15" ht="18" customHeight="1">
      <c r="B23" s="48" t="s">
        <v>46</v>
      </c>
      <c r="C23" s="50">
        <v>207.36</v>
      </c>
      <c r="D23" s="50" t="s">
        <v>47</v>
      </c>
      <c r="E23" s="49">
        <f>ROUND(C22*(C23/1000),2)</f>
        <v>3.14</v>
      </c>
      <c r="F23" s="50" t="s">
        <v>48</v>
      </c>
      <c r="G23" s="50">
        <v>10</v>
      </c>
      <c r="H23" s="52" t="s">
        <v>49</v>
      </c>
      <c r="I23" s="53">
        <f>E23*G23</f>
        <v>31.400000000000002</v>
      </c>
    </row>
    <row r="24" spans="2:15" ht="18" customHeight="1" thickBot="1">
      <c r="B24" s="48" t="s">
        <v>50</v>
      </c>
      <c r="C24" s="50">
        <v>169.96</v>
      </c>
      <c r="D24" s="50" t="s">
        <v>51</v>
      </c>
      <c r="E24" s="49">
        <f>ROUND(C22*(C24/1000),2)</f>
        <v>2.57</v>
      </c>
      <c r="F24" s="50" t="s">
        <v>48</v>
      </c>
      <c r="G24" s="50">
        <v>10</v>
      </c>
      <c r="H24" s="52" t="s">
        <v>49</v>
      </c>
      <c r="I24" s="53">
        <f>E24*G24</f>
        <v>25.7</v>
      </c>
    </row>
    <row r="25" spans="2:15" ht="18" customHeight="1">
      <c r="B25" s="23" t="s">
        <v>36</v>
      </c>
      <c r="C25" s="252" t="s">
        <v>14</v>
      </c>
      <c r="D25" s="252" t="s">
        <v>37</v>
      </c>
      <c r="E25" s="252" t="s">
        <v>38</v>
      </c>
      <c r="F25" s="252" t="s">
        <v>39</v>
      </c>
      <c r="G25" s="252" t="s">
        <v>8</v>
      </c>
      <c r="H25" s="252" t="s">
        <v>22</v>
      </c>
      <c r="I25" s="25" t="s">
        <v>40</v>
      </c>
      <c r="J25" s="54" t="s">
        <v>2</v>
      </c>
      <c r="K25" s="55" t="s">
        <v>3</v>
      </c>
      <c r="L25" s="55" t="s">
        <v>52</v>
      </c>
      <c r="M25" s="55" t="s">
        <v>53</v>
      </c>
      <c r="N25" s="56" t="s">
        <v>14</v>
      </c>
    </row>
    <row r="26" spans="2:15" ht="18" customHeight="1">
      <c r="B26" s="648" t="s">
        <v>54</v>
      </c>
      <c r="C26" s="649" t="s">
        <v>55</v>
      </c>
      <c r="D26" s="253">
        <f>J26-IF(L26=1,44,IF(L26=2,30,IF(L26=3,16,0)))</f>
        <v>0</v>
      </c>
      <c r="E26" s="253">
        <f>K26-IF(M26=1,44,IF(M26=2,30,IF(M26=3,16,0)))</f>
        <v>0</v>
      </c>
      <c r="F26" s="44">
        <f>ROUND((D26+E26)*2/1000,4)</f>
        <v>0</v>
      </c>
      <c r="G26" s="250"/>
      <c r="H26" s="58">
        <v>1.62</v>
      </c>
      <c r="I26" s="59">
        <f>IF(AND(D26&gt;0,E26&gt;0,F26&gt;0),F26*G26*H26,0)</f>
        <v>0</v>
      </c>
      <c r="J26" s="60"/>
      <c r="K26" s="61"/>
      <c r="L26" s="61"/>
      <c r="M26" s="61"/>
      <c r="N26" s="62" t="s">
        <v>56</v>
      </c>
      <c r="O26" s="63" t="s">
        <v>57</v>
      </c>
    </row>
    <row r="27" spans="2:15" ht="18" customHeight="1">
      <c r="B27" s="648"/>
      <c r="C27" s="650"/>
      <c r="D27" s="253">
        <f t="shared" ref="D27:E30" si="4">J27-IF(L27=1,44,IF(L27=2,30,IF(L27=3,16,0)))</f>
        <v>0</v>
      </c>
      <c r="E27" s="253">
        <f t="shared" si="4"/>
        <v>0</v>
      </c>
      <c r="F27" s="44">
        <f>ROUND((D27+E27)*2/1000,4)</f>
        <v>0</v>
      </c>
      <c r="G27" s="250"/>
      <c r="H27" s="58">
        <f>H26</f>
        <v>1.62</v>
      </c>
      <c r="I27" s="59">
        <f>IF(AND(D27&gt;0,E27&gt;0,F27&gt;0),F27*G27*H27,0)</f>
        <v>0</v>
      </c>
      <c r="J27" s="60"/>
      <c r="K27" s="61"/>
      <c r="L27" s="61"/>
      <c r="M27" s="61"/>
      <c r="N27" s="62" t="s">
        <v>58</v>
      </c>
      <c r="O27" s="63" t="s">
        <v>59</v>
      </c>
    </row>
    <row r="28" spans="2:15" ht="18" customHeight="1">
      <c r="B28" s="648"/>
      <c r="C28" s="650"/>
      <c r="D28" s="253">
        <f t="shared" si="4"/>
        <v>0</v>
      </c>
      <c r="E28" s="253">
        <f t="shared" si="4"/>
        <v>0</v>
      </c>
      <c r="F28" s="44">
        <f>ROUND((D28+E28)*2/1000,4)</f>
        <v>0</v>
      </c>
      <c r="G28" s="250"/>
      <c r="H28" s="58">
        <f>H27</f>
        <v>1.62</v>
      </c>
      <c r="I28" s="59">
        <f>IF(AND(D28&gt;0,E28&gt;0,F28&gt;0),F28*G28*H28,0)</f>
        <v>0</v>
      </c>
      <c r="J28" s="60"/>
      <c r="K28" s="61"/>
      <c r="L28" s="61"/>
      <c r="M28" s="61"/>
      <c r="N28" s="62" t="s">
        <v>60</v>
      </c>
      <c r="O28" s="63" t="s">
        <v>59</v>
      </c>
    </row>
    <row r="29" spans="2:15" ht="18" customHeight="1">
      <c r="B29" s="648"/>
      <c r="C29" s="650"/>
      <c r="D29" s="253">
        <f t="shared" si="4"/>
        <v>0</v>
      </c>
      <c r="E29" s="253">
        <f t="shared" si="4"/>
        <v>0</v>
      </c>
      <c r="F29" s="44">
        <f>ROUND((D29+E29)*2/1000,4)</f>
        <v>0</v>
      </c>
      <c r="G29" s="250"/>
      <c r="H29" s="58">
        <f>H28</f>
        <v>1.62</v>
      </c>
      <c r="I29" s="59">
        <f>IF(AND(D29&gt;0,E29&gt;0,F29&gt;0),F29*G29*H29,0)</f>
        <v>0</v>
      </c>
      <c r="J29" s="60"/>
      <c r="K29" s="61"/>
      <c r="L29" s="61"/>
      <c r="M29" s="61"/>
      <c r="N29" s="62"/>
    </row>
    <row r="30" spans="2:15" ht="18" customHeight="1" thickBot="1">
      <c r="B30" s="648"/>
      <c r="C30" s="651"/>
      <c r="D30" s="253">
        <f t="shared" si="4"/>
        <v>0</v>
      </c>
      <c r="E30" s="253">
        <f t="shared" si="4"/>
        <v>0</v>
      </c>
      <c r="F30" s="44">
        <f>ROUND((D30+E30)*2/1000,4)</f>
        <v>0</v>
      </c>
      <c r="G30" s="250"/>
      <c r="H30" s="58">
        <f>H29</f>
        <v>1.62</v>
      </c>
      <c r="I30" s="59">
        <f>IF(AND(D30&gt;0,E30&gt;0,F30&gt;0),F30*G30*H30,0)</f>
        <v>0</v>
      </c>
      <c r="J30" s="64"/>
      <c r="K30" s="65"/>
      <c r="L30" s="65"/>
      <c r="M30" s="65"/>
      <c r="N30" s="66"/>
    </row>
    <row r="31" spans="2:15" ht="18" customHeight="1">
      <c r="B31" s="48" t="s">
        <v>42</v>
      </c>
      <c r="C31" s="49">
        <f>SUMPRODUCT(F26:F30*G26:G30)</f>
        <v>0</v>
      </c>
      <c r="D31" s="50" t="s">
        <v>43</v>
      </c>
      <c r="E31" s="49">
        <f>SUM(I26:I30)*1.1</f>
        <v>0</v>
      </c>
      <c r="F31" s="50" t="s">
        <v>44</v>
      </c>
      <c r="G31" s="51">
        <f>(C$218+C$221)/1000</f>
        <v>46.081499999999998</v>
      </c>
      <c r="H31" s="52" t="s">
        <v>45</v>
      </c>
      <c r="I31" s="53">
        <f>ROUND(E31*G31,2)</f>
        <v>0</v>
      </c>
      <c r="J31" s="243">
        <f>SUM(G26:G30)</f>
        <v>0</v>
      </c>
    </row>
    <row r="32" spans="2:15" ht="18" customHeight="1">
      <c r="B32" s="48" t="s">
        <v>46</v>
      </c>
      <c r="C32" s="50">
        <v>183.32</v>
      </c>
      <c r="D32" s="50" t="s">
        <v>47</v>
      </c>
      <c r="E32" s="49">
        <f>ROUND(C31*(C32/1000),2)</f>
        <v>0</v>
      </c>
      <c r="F32" s="50" t="s">
        <v>48</v>
      </c>
      <c r="G32" s="50">
        <f>G$23</f>
        <v>10</v>
      </c>
      <c r="H32" s="52" t="s">
        <v>49</v>
      </c>
      <c r="I32" s="53">
        <f>E32*G32</f>
        <v>0</v>
      </c>
    </row>
    <row r="33" spans="2:14" ht="18" customHeight="1" thickBot="1">
      <c r="B33" s="48" t="s">
        <v>50</v>
      </c>
      <c r="C33" s="50">
        <v>257.82</v>
      </c>
      <c r="D33" s="50" t="s">
        <v>51</v>
      </c>
      <c r="E33" s="49">
        <f>ROUND(C31*(C33/1000),2)</f>
        <v>0</v>
      </c>
      <c r="F33" s="50" t="s">
        <v>48</v>
      </c>
      <c r="G33" s="50">
        <f>G$24</f>
        <v>10</v>
      </c>
      <c r="H33" s="52" t="s">
        <v>49</v>
      </c>
      <c r="I33" s="53">
        <f>E33*G33</f>
        <v>0</v>
      </c>
    </row>
    <row r="34" spans="2:14" ht="18" customHeight="1" thickBot="1">
      <c r="B34" s="67" t="s">
        <v>36</v>
      </c>
      <c r="C34" s="68" t="s">
        <v>14</v>
      </c>
      <c r="D34" s="68" t="s">
        <v>37</v>
      </c>
      <c r="E34" s="68" t="s">
        <v>38</v>
      </c>
      <c r="F34" s="68" t="s">
        <v>39</v>
      </c>
      <c r="G34" s="68" t="s">
        <v>8</v>
      </c>
      <c r="H34" s="68" t="s">
        <v>22</v>
      </c>
      <c r="I34" s="69" t="s">
        <v>40</v>
      </c>
      <c r="J34" s="54" t="s">
        <v>2</v>
      </c>
      <c r="K34" s="55" t="s">
        <v>3</v>
      </c>
      <c r="L34" s="55" t="s">
        <v>61</v>
      </c>
      <c r="M34" s="55" t="s">
        <v>62</v>
      </c>
      <c r="N34" s="70" t="s">
        <v>14</v>
      </c>
    </row>
    <row r="35" spans="2:14" ht="18" customHeight="1">
      <c r="B35" s="648" t="s">
        <v>63</v>
      </c>
      <c r="C35" s="649" t="s">
        <v>64</v>
      </c>
      <c r="D35" s="253">
        <f t="shared" ref="D35:E37" si="5">J35-IF(L35=1,44,IF(L35=2,30,IF(L35=3,16,IF(L35=11,118,IF(L35=12,100,IF(L35=13,76.8,0))))))</f>
        <v>480</v>
      </c>
      <c r="E35" s="253">
        <f t="shared" si="5"/>
        <v>800</v>
      </c>
      <c r="F35" s="250">
        <f>ROUND((D35+E35)*2/1000,4)</f>
        <v>2.56</v>
      </c>
      <c r="G35" s="250">
        <v>4</v>
      </c>
      <c r="H35" s="58">
        <v>1.8140000000000001</v>
      </c>
      <c r="I35" s="59">
        <f>ROUND(F35*G35*H35,3)</f>
        <v>18.574999999999999</v>
      </c>
      <c r="J35" s="60">
        <f>D15/4</f>
        <v>580</v>
      </c>
      <c r="K35" s="61">
        <v>900</v>
      </c>
      <c r="L35" s="61">
        <v>12</v>
      </c>
      <c r="M35" s="61">
        <v>12</v>
      </c>
      <c r="N35" s="71" t="s">
        <v>56</v>
      </c>
    </row>
    <row r="36" spans="2:14" ht="18" customHeight="1">
      <c r="B36" s="660"/>
      <c r="C36" s="650"/>
      <c r="D36" s="253">
        <f t="shared" si="5"/>
        <v>0</v>
      </c>
      <c r="E36" s="253">
        <f t="shared" si="5"/>
        <v>0</v>
      </c>
      <c r="F36" s="250">
        <f>ROUND((D36+E36)*2/1000,4)</f>
        <v>0</v>
      </c>
      <c r="G36" s="250"/>
      <c r="H36" s="58">
        <f>H35</f>
        <v>1.8140000000000001</v>
      </c>
      <c r="I36" s="59">
        <f>ROUND(F36*G36*H36,3)</f>
        <v>0</v>
      </c>
      <c r="J36" s="60"/>
      <c r="K36" s="61"/>
      <c r="L36" s="61"/>
      <c r="M36" s="61"/>
      <c r="N36" s="72" t="s">
        <v>58</v>
      </c>
    </row>
    <row r="37" spans="2:14" ht="18" customHeight="1">
      <c r="B37" s="660"/>
      <c r="C37" s="651"/>
      <c r="D37" s="253">
        <f t="shared" si="5"/>
        <v>0</v>
      </c>
      <c r="E37" s="253">
        <f t="shared" si="5"/>
        <v>0</v>
      </c>
      <c r="F37" s="250">
        <f>ROUND((D37+E37)*2/1000,4)</f>
        <v>0</v>
      </c>
      <c r="G37" s="250"/>
      <c r="H37" s="58">
        <f>H36</f>
        <v>1.8140000000000001</v>
      </c>
      <c r="I37" s="59">
        <f>ROUND(F37*G37*H37,3)</f>
        <v>0</v>
      </c>
      <c r="J37" s="60"/>
      <c r="K37" s="61"/>
      <c r="L37" s="61"/>
      <c r="M37" s="61"/>
      <c r="N37" s="72" t="s">
        <v>60</v>
      </c>
    </row>
    <row r="38" spans="2:14" ht="18" customHeight="1">
      <c r="B38" s="48" t="s">
        <v>42</v>
      </c>
      <c r="C38" s="49">
        <f>SUMPRODUCT(F35:F37*G35:G37)</f>
        <v>10.24</v>
      </c>
      <c r="D38" s="50" t="s">
        <v>43</v>
      </c>
      <c r="E38" s="49">
        <f>SUM(I35:I37)*1.1</f>
        <v>20.432500000000001</v>
      </c>
      <c r="F38" s="50" t="s">
        <v>44</v>
      </c>
      <c r="G38" s="51">
        <f>(C$218+C$219)/1000</f>
        <v>46.081499999999998</v>
      </c>
      <c r="H38" s="52" t="s">
        <v>45</v>
      </c>
      <c r="I38" s="53">
        <f>ROUND(E38*G38,2)</f>
        <v>941.56</v>
      </c>
      <c r="J38" s="243">
        <f>SUM(G35:G37)</f>
        <v>4</v>
      </c>
      <c r="K38" s="255"/>
      <c r="L38" s="255"/>
      <c r="M38" s="255"/>
      <c r="N38" s="73" t="s">
        <v>65</v>
      </c>
    </row>
    <row r="39" spans="2:14" ht="18" customHeight="1">
      <c r="B39" s="48" t="s">
        <v>46</v>
      </c>
      <c r="C39" s="50">
        <v>320.14</v>
      </c>
      <c r="D39" s="50" t="s">
        <v>47</v>
      </c>
      <c r="E39" s="49">
        <f>ROUND(C38*(C39/1000),2)</f>
        <v>3.28</v>
      </c>
      <c r="F39" s="50" t="s">
        <v>48</v>
      </c>
      <c r="G39" s="50">
        <f>G$23</f>
        <v>10</v>
      </c>
      <c r="H39" s="52" t="s">
        <v>49</v>
      </c>
      <c r="I39" s="53">
        <f>E39*G39</f>
        <v>32.799999999999997</v>
      </c>
      <c r="J39" s="255"/>
      <c r="K39" s="255"/>
      <c r="L39" s="255"/>
      <c r="M39" s="255"/>
      <c r="N39" s="73" t="s">
        <v>66</v>
      </c>
    </row>
    <row r="40" spans="2:14" ht="18" customHeight="1" thickBot="1">
      <c r="B40" s="48" t="s">
        <v>50</v>
      </c>
      <c r="C40" s="50">
        <v>156.99</v>
      </c>
      <c r="D40" s="50" t="s">
        <v>51</v>
      </c>
      <c r="E40" s="49">
        <f>ROUND(C38*(C40/1000),2)</f>
        <v>1.61</v>
      </c>
      <c r="F40" s="50" t="s">
        <v>48</v>
      </c>
      <c r="G40" s="50">
        <f>G$24</f>
        <v>10</v>
      </c>
      <c r="H40" s="52" t="s">
        <v>49</v>
      </c>
      <c r="I40" s="53">
        <f>E40*G40</f>
        <v>16.100000000000001</v>
      </c>
      <c r="J40" s="255"/>
      <c r="K40" s="255"/>
      <c r="L40" s="255"/>
      <c r="M40" s="255"/>
      <c r="N40" s="74" t="s">
        <v>67</v>
      </c>
    </row>
    <row r="41" spans="2:14" ht="18" customHeight="1" thickBot="1">
      <c r="B41" s="23" t="s">
        <v>36</v>
      </c>
      <c r="C41" s="252" t="s">
        <v>14</v>
      </c>
      <c r="D41" s="252" t="s">
        <v>37</v>
      </c>
      <c r="E41" s="252" t="s">
        <v>38</v>
      </c>
      <c r="F41" s="252" t="s">
        <v>39</v>
      </c>
      <c r="G41" s="252" t="s">
        <v>8</v>
      </c>
      <c r="H41" s="252" t="s">
        <v>22</v>
      </c>
      <c r="I41" s="25" t="s">
        <v>40</v>
      </c>
      <c r="J41" s="54" t="s">
        <v>2</v>
      </c>
      <c r="K41" s="55" t="s">
        <v>3</v>
      </c>
      <c r="L41" s="55" t="s">
        <v>61</v>
      </c>
      <c r="M41" s="55" t="s">
        <v>62</v>
      </c>
      <c r="N41" s="70" t="s">
        <v>14</v>
      </c>
    </row>
    <row r="42" spans="2:14" ht="18" customHeight="1">
      <c r="B42" s="648" t="s">
        <v>68</v>
      </c>
      <c r="C42" s="649" t="s">
        <v>69</v>
      </c>
      <c r="D42" s="253">
        <f>J42-IF(L42=1,46,IF(L42=2,34.5,IF(L42=3,23)))</f>
        <v>545.5</v>
      </c>
      <c r="E42" s="253">
        <f>K42-IF(M42=1,46,IF(M42=2,34.5,IF(M42=3,23)))</f>
        <v>865.5</v>
      </c>
      <c r="F42" s="250">
        <f t="shared" ref="F42:F47" si="6">ROUND((D42+E42)*2/1000,4)</f>
        <v>2.8220000000000001</v>
      </c>
      <c r="G42" s="250">
        <f>G35</f>
        <v>4</v>
      </c>
      <c r="H42" s="250">
        <v>1.26</v>
      </c>
      <c r="I42" s="59">
        <f t="shared" ref="I42:I47" si="7">ROUND(F42*G42*H42,3)</f>
        <v>14.223000000000001</v>
      </c>
      <c r="J42" s="60">
        <f>J35</f>
        <v>580</v>
      </c>
      <c r="K42" s="61">
        <f>K35</f>
        <v>900</v>
      </c>
      <c r="L42" s="61">
        <v>2</v>
      </c>
      <c r="M42" s="61">
        <v>2</v>
      </c>
      <c r="N42" s="71" t="s">
        <v>56</v>
      </c>
    </row>
    <row r="43" spans="2:14" ht="18" customHeight="1">
      <c r="B43" s="648"/>
      <c r="C43" s="650"/>
      <c r="D43" s="253">
        <f t="shared" ref="D43:E47" si="8">J43-IF(L43=1,46,IF(L43=2,34.5,IF(L43=3,23)))</f>
        <v>0</v>
      </c>
      <c r="E43" s="253">
        <f t="shared" si="8"/>
        <v>0</v>
      </c>
      <c r="F43" s="250">
        <f t="shared" si="6"/>
        <v>0</v>
      </c>
      <c r="G43" s="250"/>
      <c r="H43" s="250">
        <f>H42</f>
        <v>1.26</v>
      </c>
      <c r="I43" s="59">
        <f t="shared" si="7"/>
        <v>0</v>
      </c>
      <c r="J43" s="60"/>
      <c r="K43" s="61"/>
      <c r="L43" s="61"/>
      <c r="M43" s="61"/>
      <c r="N43" s="72" t="s">
        <v>58</v>
      </c>
    </row>
    <row r="44" spans="2:14" ht="18" customHeight="1">
      <c r="B44" s="648"/>
      <c r="C44" s="651"/>
      <c r="D44" s="253">
        <f t="shared" si="8"/>
        <v>0</v>
      </c>
      <c r="E44" s="253">
        <f t="shared" si="8"/>
        <v>0</v>
      </c>
      <c r="F44" s="250">
        <f t="shared" si="6"/>
        <v>0</v>
      </c>
      <c r="G44" s="250"/>
      <c r="H44" s="250">
        <f>H43</f>
        <v>1.26</v>
      </c>
      <c r="I44" s="59">
        <f t="shared" si="7"/>
        <v>0</v>
      </c>
      <c r="J44" s="60"/>
      <c r="K44" s="61"/>
      <c r="L44" s="61"/>
      <c r="M44" s="61"/>
      <c r="N44" s="72" t="s">
        <v>60</v>
      </c>
    </row>
    <row r="45" spans="2:14" ht="18" customHeight="1">
      <c r="B45" s="648"/>
      <c r="C45" s="649" t="s">
        <v>70</v>
      </c>
      <c r="D45" s="253">
        <f t="shared" si="8"/>
        <v>0</v>
      </c>
      <c r="E45" s="253">
        <f t="shared" si="8"/>
        <v>0</v>
      </c>
      <c r="F45" s="250">
        <f t="shared" si="6"/>
        <v>0</v>
      </c>
      <c r="G45" s="250"/>
      <c r="H45" s="250">
        <f>H44</f>
        <v>1.26</v>
      </c>
      <c r="I45" s="59">
        <f t="shared" si="7"/>
        <v>0</v>
      </c>
      <c r="J45" s="60"/>
      <c r="K45" s="61"/>
      <c r="L45" s="61"/>
      <c r="M45" s="61"/>
      <c r="N45" s="71" t="s">
        <v>56</v>
      </c>
    </row>
    <row r="46" spans="2:14" ht="18" customHeight="1">
      <c r="B46" s="648"/>
      <c r="C46" s="650"/>
      <c r="D46" s="253">
        <f t="shared" si="8"/>
        <v>0</v>
      </c>
      <c r="E46" s="253">
        <f t="shared" si="8"/>
        <v>0</v>
      </c>
      <c r="F46" s="250">
        <f t="shared" si="6"/>
        <v>0</v>
      </c>
      <c r="G46" s="250"/>
      <c r="H46" s="250">
        <f>H45</f>
        <v>1.26</v>
      </c>
      <c r="I46" s="59">
        <f t="shared" si="7"/>
        <v>0</v>
      </c>
      <c r="J46" s="60"/>
      <c r="K46" s="61"/>
      <c r="L46" s="61"/>
      <c r="M46" s="61"/>
      <c r="N46" s="72" t="s">
        <v>58</v>
      </c>
    </row>
    <row r="47" spans="2:14" ht="18" customHeight="1" thickBot="1">
      <c r="B47" s="648"/>
      <c r="C47" s="651"/>
      <c r="D47" s="253">
        <f t="shared" si="8"/>
        <v>0</v>
      </c>
      <c r="E47" s="253">
        <f t="shared" si="8"/>
        <v>0</v>
      </c>
      <c r="F47" s="250">
        <f t="shared" si="6"/>
        <v>0</v>
      </c>
      <c r="G47" s="250"/>
      <c r="H47" s="250">
        <f>H46</f>
        <v>1.26</v>
      </c>
      <c r="I47" s="59">
        <f t="shared" si="7"/>
        <v>0</v>
      </c>
      <c r="J47" s="64"/>
      <c r="K47" s="65"/>
      <c r="L47" s="65"/>
      <c r="M47" s="65"/>
      <c r="N47" s="75" t="s">
        <v>60</v>
      </c>
    </row>
    <row r="48" spans="2:14" ht="18" customHeight="1">
      <c r="B48" s="48" t="s">
        <v>42</v>
      </c>
      <c r="C48" s="49">
        <f>SUMPRODUCT(F42:F47*G42:G47)</f>
        <v>11.288</v>
      </c>
      <c r="D48" s="50" t="s">
        <v>43</v>
      </c>
      <c r="E48" s="49">
        <f>SUM(I42:I47)*1.1</f>
        <v>15.645300000000002</v>
      </c>
      <c r="F48" s="50" t="s">
        <v>44</v>
      </c>
      <c r="G48" s="51">
        <f>(C$218+C$219)/1000</f>
        <v>46.081499999999998</v>
      </c>
      <c r="H48" s="52" t="s">
        <v>45</v>
      </c>
      <c r="I48" s="53">
        <f>ROUND(E48*G48,2)</f>
        <v>720.96</v>
      </c>
      <c r="J48" s="243">
        <f>SUM(G42:G47)</f>
        <v>4</v>
      </c>
      <c r="K48" s="255"/>
      <c r="L48" s="255"/>
      <c r="M48" s="255"/>
    </row>
    <row r="49" spans="2:14" ht="18" customHeight="1">
      <c r="B49" s="48" t="s">
        <v>46</v>
      </c>
      <c r="C49" s="50">
        <v>132.47999999999999</v>
      </c>
      <c r="D49" s="50" t="s">
        <v>47</v>
      </c>
      <c r="E49" s="49">
        <f>ROUND(C48*(C49/1000),2)</f>
        <v>1.5</v>
      </c>
      <c r="F49" s="50" t="s">
        <v>48</v>
      </c>
      <c r="G49" s="50">
        <f>G$23</f>
        <v>10</v>
      </c>
      <c r="H49" s="52" t="s">
        <v>49</v>
      </c>
      <c r="I49" s="53">
        <f>E49*G49</f>
        <v>15</v>
      </c>
      <c r="J49" s="255"/>
      <c r="K49" s="255"/>
      <c r="L49" s="255"/>
      <c r="M49" s="255"/>
    </row>
    <row r="50" spans="2:14" ht="18" customHeight="1" thickBot="1">
      <c r="B50" s="48" t="s">
        <v>50</v>
      </c>
      <c r="C50" s="50">
        <v>202.06</v>
      </c>
      <c r="D50" s="50" t="s">
        <v>51</v>
      </c>
      <c r="E50" s="49">
        <f>ROUND(C48*(C50/1000),2)</f>
        <v>2.2799999999999998</v>
      </c>
      <c r="F50" s="50" t="s">
        <v>48</v>
      </c>
      <c r="G50" s="50">
        <f>G$24</f>
        <v>10</v>
      </c>
      <c r="H50" s="52" t="s">
        <v>49</v>
      </c>
      <c r="I50" s="53">
        <f>E50*G50</f>
        <v>22.799999999999997</v>
      </c>
      <c r="J50" s="255"/>
    </row>
    <row r="51" spans="2:14" ht="18" customHeight="1" thickBot="1">
      <c r="B51" s="23" t="s">
        <v>36</v>
      </c>
      <c r="C51" s="252" t="s">
        <v>14</v>
      </c>
      <c r="D51" s="252" t="s">
        <v>37</v>
      </c>
      <c r="E51" s="252" t="s">
        <v>71</v>
      </c>
      <c r="F51" s="252" t="s">
        <v>38</v>
      </c>
      <c r="G51" s="252" t="s">
        <v>72</v>
      </c>
      <c r="H51" s="252" t="s">
        <v>22</v>
      </c>
      <c r="I51" s="25" t="s">
        <v>40</v>
      </c>
      <c r="J51" s="54" t="s">
        <v>2</v>
      </c>
      <c r="K51" s="55" t="s">
        <v>3</v>
      </c>
      <c r="L51" s="55" t="s">
        <v>61</v>
      </c>
      <c r="M51" s="55" t="s">
        <v>62</v>
      </c>
      <c r="N51" s="70" t="s">
        <v>14</v>
      </c>
    </row>
    <row r="52" spans="2:14" ht="18" customHeight="1">
      <c r="B52" s="648" t="s">
        <v>73</v>
      </c>
      <c r="C52" s="649" t="s">
        <v>405</v>
      </c>
      <c r="D52" s="253">
        <f>J52-IF(L52=1,46,IF(L52=2,32,IF(L52=3,18,0)))</f>
        <v>548</v>
      </c>
      <c r="E52" s="253">
        <v>4</v>
      </c>
      <c r="F52" s="253">
        <f>K52-IF(M52=1,46,IF(M52=2,32,IF(M52=3,118,0)))</f>
        <v>1674</v>
      </c>
      <c r="G52" s="250">
        <v>3</v>
      </c>
      <c r="H52" s="250">
        <v>1.6379999999999999</v>
      </c>
      <c r="I52" s="59">
        <f>ROUND((D52*E52+F52*G52)/1000*H52,3)</f>
        <v>11.817</v>
      </c>
      <c r="J52" s="60">
        <f>J35</f>
        <v>580</v>
      </c>
      <c r="K52" s="61">
        <f>E15</f>
        <v>1720</v>
      </c>
      <c r="L52" s="61">
        <v>2</v>
      </c>
      <c r="M52" s="61">
        <v>1</v>
      </c>
      <c r="N52" s="76" t="s">
        <v>56</v>
      </c>
    </row>
    <row r="53" spans="2:14" ht="18" customHeight="1">
      <c r="B53" s="648"/>
      <c r="C53" s="650"/>
      <c r="D53" s="253">
        <f t="shared" ref="D53:D55" si="9">J53-IF(L53=1,46,IF(L53=2,32,IF(L53=3,18,0)))</f>
        <v>0</v>
      </c>
      <c r="E53" s="253"/>
      <c r="F53" s="253">
        <f t="shared" ref="F53:F55" si="10">K53-IF(M53=1,46,IF(M53=2,32,IF(M53=3,118,0)))</f>
        <v>0</v>
      </c>
      <c r="G53" s="250"/>
      <c r="H53" s="250">
        <f>H52</f>
        <v>1.6379999999999999</v>
      </c>
      <c r="I53" s="59">
        <f>ROUND((D53*E53+F53*G53)/1000*H53,3)</f>
        <v>0</v>
      </c>
      <c r="J53" s="60"/>
      <c r="K53" s="61"/>
      <c r="L53" s="61"/>
      <c r="M53" s="61"/>
      <c r="N53" s="76" t="s">
        <v>58</v>
      </c>
    </row>
    <row r="54" spans="2:14" ht="18" customHeight="1">
      <c r="B54" s="648"/>
      <c r="C54" s="650"/>
      <c r="D54" s="253">
        <f t="shared" si="9"/>
        <v>0</v>
      </c>
      <c r="E54" s="253"/>
      <c r="F54" s="253">
        <f t="shared" si="10"/>
        <v>0</v>
      </c>
      <c r="G54" s="250"/>
      <c r="H54" s="250">
        <f>H53</f>
        <v>1.6379999999999999</v>
      </c>
      <c r="I54" s="59">
        <f>ROUND((D54*E54+F54*G54)/1000*H54,3)</f>
        <v>0</v>
      </c>
      <c r="J54" s="60"/>
      <c r="K54" s="61"/>
      <c r="L54" s="61"/>
      <c r="M54" s="61"/>
      <c r="N54" s="76" t="s">
        <v>60</v>
      </c>
    </row>
    <row r="55" spans="2:14" ht="18" customHeight="1" thickBot="1">
      <c r="B55" s="648"/>
      <c r="C55" s="651"/>
      <c r="D55" s="253">
        <f t="shared" si="9"/>
        <v>0</v>
      </c>
      <c r="E55" s="253"/>
      <c r="F55" s="253">
        <f t="shared" si="10"/>
        <v>0</v>
      </c>
      <c r="G55" s="250"/>
      <c r="H55" s="77">
        <f>H54</f>
        <v>1.6379999999999999</v>
      </c>
      <c r="I55" s="59">
        <f>ROUND((D55*E55+F55*G55)/1000*H55,3)</f>
        <v>0</v>
      </c>
      <c r="J55" s="78"/>
      <c r="K55" s="79"/>
      <c r="L55" s="79"/>
      <c r="M55" s="79"/>
      <c r="N55" s="80"/>
    </row>
    <row r="56" spans="2:14" ht="18" customHeight="1">
      <c r="B56" s="48" t="s">
        <v>42</v>
      </c>
      <c r="C56" s="49">
        <f>SUMPRODUCT(D52:D55*E52:E55+F52:F55*G52:G55)/1000</f>
        <v>7.2140000000000004</v>
      </c>
      <c r="D56" s="50" t="s">
        <v>43</v>
      </c>
      <c r="E56" s="49">
        <f>SUM(I52:I55)*1.1</f>
        <v>12.998700000000001</v>
      </c>
      <c r="F56" s="50" t="s">
        <v>44</v>
      </c>
      <c r="G56" s="51">
        <f>(C$218+C$219)/1000</f>
        <v>46.081499999999998</v>
      </c>
      <c r="H56" s="52" t="s">
        <v>45</v>
      </c>
      <c r="I56" s="53">
        <f>ROUND(E56*G56,2)</f>
        <v>599</v>
      </c>
      <c r="J56" s="243">
        <f>SUM(E52:E55)+SUM(G52:G55)</f>
        <v>7</v>
      </c>
    </row>
    <row r="57" spans="2:14" ht="18" customHeight="1">
      <c r="B57" s="48" t="s">
        <v>46</v>
      </c>
      <c r="C57" s="50">
        <v>265.52999999999997</v>
      </c>
      <c r="D57" s="50" t="s">
        <v>47</v>
      </c>
      <c r="E57" s="49">
        <f>ROUND(C56*(C57/1000),2)</f>
        <v>1.92</v>
      </c>
      <c r="F57" s="50" t="s">
        <v>48</v>
      </c>
      <c r="G57" s="50">
        <f>G$23</f>
        <v>10</v>
      </c>
      <c r="H57" s="52" t="s">
        <v>49</v>
      </c>
      <c r="I57" s="53">
        <f>E57*G57</f>
        <v>19.2</v>
      </c>
      <c r="L57" s="47"/>
    </row>
    <row r="58" spans="2:14" ht="18" customHeight="1">
      <c r="B58" s="48" t="s">
        <v>50</v>
      </c>
      <c r="C58" s="50">
        <v>173.62</v>
      </c>
      <c r="D58" s="50" t="s">
        <v>51</v>
      </c>
      <c r="E58" s="49">
        <f>ROUND(C56*(C58/1000),2)</f>
        <v>1.25</v>
      </c>
      <c r="F58" s="50" t="s">
        <v>48</v>
      </c>
      <c r="G58" s="50">
        <f>G$24</f>
        <v>10</v>
      </c>
      <c r="H58" s="52" t="s">
        <v>49</v>
      </c>
      <c r="I58" s="53">
        <f>E58*G58</f>
        <v>12.5</v>
      </c>
      <c r="L58" s="47"/>
    </row>
    <row r="59" spans="2:14" ht="18" customHeight="1">
      <c r="B59" s="23" t="s">
        <v>36</v>
      </c>
      <c r="C59" s="252" t="s">
        <v>14</v>
      </c>
      <c r="D59" s="652" t="s">
        <v>74</v>
      </c>
      <c r="E59" s="652"/>
      <c r="F59" s="652"/>
      <c r="G59" s="252" t="s">
        <v>75</v>
      </c>
      <c r="H59" s="252" t="s">
        <v>22</v>
      </c>
      <c r="I59" s="25" t="s">
        <v>40</v>
      </c>
      <c r="L59" s="47"/>
    </row>
    <row r="60" spans="2:14" ht="18" customHeight="1">
      <c r="B60" s="648" t="s">
        <v>76</v>
      </c>
      <c r="C60" s="649" t="s">
        <v>77</v>
      </c>
      <c r="D60" s="646"/>
      <c r="E60" s="646"/>
      <c r="F60" s="646"/>
      <c r="G60" s="250"/>
      <c r="H60" s="250">
        <v>1.9339999999999999</v>
      </c>
      <c r="I60" s="59">
        <f>ROUND(D60*G60*H60/1000,3)</f>
        <v>0</v>
      </c>
      <c r="L60" s="47"/>
    </row>
    <row r="61" spans="2:14" ht="18" customHeight="1">
      <c r="B61" s="648"/>
      <c r="C61" s="651"/>
      <c r="D61" s="646"/>
      <c r="E61" s="646"/>
      <c r="F61" s="646"/>
      <c r="G61" s="250"/>
      <c r="H61" s="250">
        <v>1.9339999999999999</v>
      </c>
      <c r="I61" s="59">
        <f>ROUND(D61*G61*H61/1000,3)</f>
        <v>0</v>
      </c>
    </row>
    <row r="62" spans="2:14" ht="18" customHeight="1">
      <c r="B62" s="648"/>
      <c r="C62" s="649" t="s">
        <v>78</v>
      </c>
      <c r="D62" s="646"/>
      <c r="E62" s="646"/>
      <c r="F62" s="646"/>
      <c r="G62" s="250"/>
      <c r="H62" s="250">
        <v>2.3130000000000002</v>
      </c>
      <c r="I62" s="59">
        <f>ROUND(D62*G62*H62/1000,3)</f>
        <v>0</v>
      </c>
    </row>
    <row r="63" spans="2:14" ht="18" customHeight="1">
      <c r="B63" s="648"/>
      <c r="C63" s="651"/>
      <c r="D63" s="646"/>
      <c r="E63" s="646"/>
      <c r="F63" s="646"/>
      <c r="G63" s="250"/>
      <c r="H63" s="250">
        <v>2.3130000000000002</v>
      </c>
      <c r="I63" s="59">
        <f>ROUND(D63*G63*H63/1000,3)</f>
        <v>0</v>
      </c>
    </row>
    <row r="64" spans="2:14" ht="18" customHeight="1">
      <c r="B64" s="48" t="s">
        <v>42</v>
      </c>
      <c r="C64" s="49">
        <f>SUMPRODUCT(D60:F63*G60:G63)/1000</f>
        <v>0</v>
      </c>
      <c r="D64" s="50" t="s">
        <v>43</v>
      </c>
      <c r="E64" s="49">
        <f>SUM(I60:I63)*1.1</f>
        <v>0</v>
      </c>
      <c r="F64" s="50" t="s">
        <v>44</v>
      </c>
      <c r="G64" s="51">
        <f>(C$218+C$219)/1000</f>
        <v>46.081499999999998</v>
      </c>
      <c r="H64" s="52" t="s">
        <v>45</v>
      </c>
      <c r="I64" s="53">
        <f>ROUND(E64*G64,2)</f>
        <v>0</v>
      </c>
      <c r="J64" s="43">
        <f>SUM(G60:G63)</f>
        <v>0</v>
      </c>
    </row>
    <row r="65" spans="2:14" ht="18" customHeight="1">
      <c r="B65" s="48" t="s">
        <v>46</v>
      </c>
      <c r="C65" s="50">
        <v>337.92</v>
      </c>
      <c r="D65" s="50" t="s">
        <v>47</v>
      </c>
      <c r="E65" s="49">
        <f>ROUND(C64*(C65/1000),2)</f>
        <v>0</v>
      </c>
      <c r="F65" s="50" t="s">
        <v>48</v>
      </c>
      <c r="G65" s="50">
        <f>G$23</f>
        <v>10</v>
      </c>
      <c r="H65" s="52" t="s">
        <v>49</v>
      </c>
      <c r="I65" s="53">
        <f>E65*G65</f>
        <v>0</v>
      </c>
    </row>
    <row r="66" spans="2:14" ht="18" customHeight="1" thickBot="1">
      <c r="B66" s="48" t="s">
        <v>50</v>
      </c>
      <c r="C66" s="50">
        <v>175.93</v>
      </c>
      <c r="D66" s="50" t="s">
        <v>51</v>
      </c>
      <c r="E66" s="49">
        <f>ROUND(C64*(C66/1000),2)</f>
        <v>0</v>
      </c>
      <c r="F66" s="50" t="s">
        <v>48</v>
      </c>
      <c r="G66" s="50">
        <f>G$24</f>
        <v>10</v>
      </c>
      <c r="H66" s="52" t="s">
        <v>49</v>
      </c>
      <c r="I66" s="53">
        <f>E66*G66</f>
        <v>0</v>
      </c>
    </row>
    <row r="67" spans="2:14" ht="18" customHeight="1" thickBot="1">
      <c r="B67" s="23" t="s">
        <v>36</v>
      </c>
      <c r="C67" s="252" t="s">
        <v>14</v>
      </c>
      <c r="D67" s="252" t="s">
        <v>37</v>
      </c>
      <c r="E67" s="252" t="s">
        <v>38</v>
      </c>
      <c r="F67" s="252" t="s">
        <v>39</v>
      </c>
      <c r="G67" s="252" t="s">
        <v>8</v>
      </c>
      <c r="H67" s="252" t="s">
        <v>22</v>
      </c>
      <c r="I67" s="25" t="s">
        <v>40</v>
      </c>
      <c r="J67" s="54" t="s">
        <v>2</v>
      </c>
      <c r="K67" s="55" t="s">
        <v>3</v>
      </c>
      <c r="L67" s="55" t="s">
        <v>52</v>
      </c>
      <c r="M67" s="55" t="s">
        <v>53</v>
      </c>
      <c r="N67" s="70" t="s">
        <v>14</v>
      </c>
    </row>
    <row r="68" spans="2:14" ht="18" customHeight="1">
      <c r="B68" s="648" t="s">
        <v>79</v>
      </c>
      <c r="C68" s="649" t="s">
        <v>323</v>
      </c>
      <c r="D68" s="81">
        <f>J68-IF(L68=1,72,IF(L68=2,54,IF(L68=3,26,IF(L68=11,102.8,IF(L68=12,88.8,IF(L68=13,74.8,0))))))</f>
        <v>2248</v>
      </c>
      <c r="E68" s="81">
        <f>K68-IF(M68=1,72,IF(M68=2,24,IF(M68=3,26,IF(M68=11,102.8,IF(M68=12,88.8,IF(M68=13,74.8,0))))))</f>
        <v>1128</v>
      </c>
      <c r="F68" s="81">
        <f>2*(D68+E68)/1000</f>
        <v>6.7519999999999998</v>
      </c>
      <c r="G68" s="82">
        <v>1</v>
      </c>
      <c r="H68" s="250">
        <v>0.224</v>
      </c>
      <c r="I68" s="283">
        <f>ROUND(F68*G68*H68,3)*2</f>
        <v>3.024</v>
      </c>
      <c r="J68" s="83">
        <f>D14</f>
        <v>2320</v>
      </c>
      <c r="K68" s="83">
        <f>E14</f>
        <v>1200</v>
      </c>
      <c r="L68" s="84">
        <v>1</v>
      </c>
      <c r="M68" s="84">
        <v>1</v>
      </c>
      <c r="N68" s="71" t="s">
        <v>56</v>
      </c>
    </row>
    <row r="69" spans="2:14" ht="18" customHeight="1">
      <c r="B69" s="648"/>
      <c r="C69" s="650"/>
      <c r="D69" s="81">
        <f t="shared" ref="D69:D87" si="11">J69-IF(L69=1,72,IF(L69=2,54,IF(L69=3,26,IF(L69=11,102.8,IF(L69=12,88.8,IF(L69=13,74.8,0))))))</f>
        <v>526</v>
      </c>
      <c r="E69" s="81">
        <f t="shared" ref="E69:E87" si="12">K69-IF(M69=1,72,IF(M69=2,24,IF(M69=3,26,IF(M69=11,102.8,IF(M69=12,88.8,IF(M69=13,74.8,0))))))</f>
        <v>796</v>
      </c>
      <c r="F69" s="81">
        <f t="shared" ref="F69:F87" si="13">2*(D69+E69)/1000</f>
        <v>2.6440000000000001</v>
      </c>
      <c r="G69" s="82">
        <v>4</v>
      </c>
      <c r="H69" s="250">
        <f>H68</f>
        <v>0.224</v>
      </c>
      <c r="I69" s="59">
        <f t="shared" ref="I69:I87" si="14">ROUND(F69*G69*H69,3)</f>
        <v>2.3690000000000002</v>
      </c>
      <c r="J69" s="83">
        <f>J35</f>
        <v>580</v>
      </c>
      <c r="K69" s="84">
        <f>E15-K35</f>
        <v>820</v>
      </c>
      <c r="L69" s="84">
        <v>2</v>
      </c>
      <c r="M69" s="84">
        <v>2</v>
      </c>
      <c r="N69" s="72" t="s">
        <v>58</v>
      </c>
    </row>
    <row r="70" spans="2:14" ht="18" customHeight="1">
      <c r="B70" s="648"/>
      <c r="C70" s="650"/>
      <c r="D70" s="81">
        <f t="shared" si="11"/>
        <v>0</v>
      </c>
      <c r="E70" s="81">
        <f t="shared" si="12"/>
        <v>0</v>
      </c>
      <c r="F70" s="81">
        <f t="shared" si="13"/>
        <v>0</v>
      </c>
      <c r="G70" s="82"/>
      <c r="H70" s="250">
        <f>H69</f>
        <v>0.224</v>
      </c>
      <c r="I70" s="59">
        <f t="shared" si="14"/>
        <v>0</v>
      </c>
      <c r="J70" s="83"/>
      <c r="K70" s="84"/>
      <c r="L70" s="84"/>
      <c r="M70" s="84"/>
      <c r="N70" s="72" t="s">
        <v>60</v>
      </c>
    </row>
    <row r="71" spans="2:14" ht="18" customHeight="1">
      <c r="B71" s="648"/>
      <c r="C71" s="650"/>
      <c r="D71" s="81">
        <f t="shared" si="11"/>
        <v>0</v>
      </c>
      <c r="E71" s="81">
        <f t="shared" si="12"/>
        <v>0</v>
      </c>
      <c r="F71" s="81">
        <f t="shared" si="13"/>
        <v>0</v>
      </c>
      <c r="G71" s="82"/>
      <c r="H71" s="77">
        <f>H70</f>
        <v>0.224</v>
      </c>
      <c r="I71" s="59">
        <f t="shared" si="14"/>
        <v>0</v>
      </c>
      <c r="J71" s="85"/>
      <c r="K71" s="86"/>
      <c r="L71" s="86"/>
      <c r="M71" s="86"/>
      <c r="N71" s="72" t="s">
        <v>65</v>
      </c>
    </row>
    <row r="72" spans="2:14" ht="18" customHeight="1">
      <c r="B72" s="648"/>
      <c r="C72" s="650"/>
      <c r="D72" s="81">
        <f t="shared" si="11"/>
        <v>0</v>
      </c>
      <c r="E72" s="81">
        <f t="shared" si="12"/>
        <v>0</v>
      </c>
      <c r="F72" s="81">
        <f t="shared" si="13"/>
        <v>0</v>
      </c>
      <c r="G72" s="82"/>
      <c r="H72" s="77">
        <f>H71</f>
        <v>0.224</v>
      </c>
      <c r="I72" s="87">
        <f t="shared" si="14"/>
        <v>0</v>
      </c>
      <c r="J72" s="85"/>
      <c r="K72" s="86"/>
      <c r="L72" s="86"/>
      <c r="M72" s="86"/>
      <c r="N72" s="72" t="s">
        <v>66</v>
      </c>
    </row>
    <row r="73" spans="2:14" ht="18" customHeight="1">
      <c r="B73" s="648"/>
      <c r="C73" s="650"/>
      <c r="D73" s="81">
        <f t="shared" si="11"/>
        <v>0</v>
      </c>
      <c r="E73" s="81">
        <f t="shared" si="12"/>
        <v>0</v>
      </c>
      <c r="F73" s="81">
        <f t="shared" si="13"/>
        <v>0</v>
      </c>
      <c r="G73" s="82"/>
      <c r="H73" s="250">
        <f>H70</f>
        <v>0.224</v>
      </c>
      <c r="I73" s="87">
        <f t="shared" si="14"/>
        <v>0</v>
      </c>
      <c r="J73" s="83"/>
      <c r="K73" s="84"/>
      <c r="L73" s="84"/>
      <c r="M73" s="84"/>
      <c r="N73" s="72" t="s">
        <v>67</v>
      </c>
    </row>
    <row r="74" spans="2:14" ht="18" customHeight="1">
      <c r="B74" s="648"/>
      <c r="C74" s="651"/>
      <c r="D74" s="81">
        <f t="shared" si="11"/>
        <v>0</v>
      </c>
      <c r="E74" s="81">
        <f t="shared" si="12"/>
        <v>0</v>
      </c>
      <c r="F74" s="81">
        <f t="shared" si="13"/>
        <v>0</v>
      </c>
      <c r="G74" s="82"/>
      <c r="H74" s="250">
        <f>H73</f>
        <v>0.224</v>
      </c>
      <c r="I74" s="87">
        <f t="shared" si="14"/>
        <v>0</v>
      </c>
      <c r="J74" s="83"/>
      <c r="K74" s="84"/>
      <c r="L74" s="84"/>
      <c r="M74" s="84"/>
      <c r="N74" s="88"/>
    </row>
    <row r="75" spans="2:14" ht="18" customHeight="1">
      <c r="B75" s="648"/>
      <c r="C75" s="649" t="s">
        <v>324</v>
      </c>
      <c r="D75" s="89">
        <f t="shared" si="11"/>
        <v>0</v>
      </c>
      <c r="E75" s="89">
        <f t="shared" si="12"/>
        <v>0</v>
      </c>
      <c r="F75" s="89">
        <f t="shared" si="13"/>
        <v>0</v>
      </c>
      <c r="G75" s="90"/>
      <c r="H75" s="91">
        <f>H74</f>
        <v>0.224</v>
      </c>
      <c r="I75" s="92">
        <f t="shared" si="14"/>
        <v>0</v>
      </c>
      <c r="J75" s="83"/>
      <c r="K75" s="84"/>
      <c r="L75" s="84"/>
      <c r="M75" s="84"/>
      <c r="N75" s="93" t="s">
        <v>80</v>
      </c>
    </row>
    <row r="76" spans="2:14" ht="18" customHeight="1">
      <c r="B76" s="648"/>
      <c r="C76" s="650"/>
      <c r="D76" s="89">
        <f t="shared" si="11"/>
        <v>0</v>
      </c>
      <c r="E76" s="89">
        <f t="shared" si="12"/>
        <v>0</v>
      </c>
      <c r="F76" s="89">
        <f t="shared" si="13"/>
        <v>0</v>
      </c>
      <c r="G76" s="90"/>
      <c r="H76" s="91">
        <f>H72</f>
        <v>0.224</v>
      </c>
      <c r="I76" s="92">
        <f t="shared" si="14"/>
        <v>0</v>
      </c>
      <c r="J76" s="83"/>
      <c r="K76" s="84"/>
      <c r="L76" s="84"/>
      <c r="M76" s="84"/>
      <c r="N76" s="93" t="s">
        <v>80</v>
      </c>
    </row>
    <row r="77" spans="2:14" ht="18" customHeight="1">
      <c r="B77" s="648"/>
      <c r="C77" s="650"/>
      <c r="D77" s="89">
        <f t="shared" si="11"/>
        <v>0</v>
      </c>
      <c r="E77" s="89">
        <f t="shared" si="12"/>
        <v>0</v>
      </c>
      <c r="F77" s="89">
        <f t="shared" si="13"/>
        <v>0</v>
      </c>
      <c r="G77" s="90"/>
      <c r="H77" s="91">
        <f t="shared" ref="H77:H87" si="15">H76</f>
        <v>0.224</v>
      </c>
      <c r="I77" s="92">
        <f t="shared" si="14"/>
        <v>0</v>
      </c>
      <c r="J77" s="83"/>
      <c r="K77" s="84"/>
      <c r="L77" s="84"/>
      <c r="M77" s="84"/>
      <c r="N77" s="93" t="s">
        <v>80</v>
      </c>
    </row>
    <row r="78" spans="2:14" ht="18" customHeight="1">
      <c r="B78" s="648"/>
      <c r="C78" s="650"/>
      <c r="D78" s="89">
        <f t="shared" si="11"/>
        <v>0</v>
      </c>
      <c r="E78" s="89">
        <f t="shared" si="12"/>
        <v>0</v>
      </c>
      <c r="F78" s="89">
        <f t="shared" si="13"/>
        <v>0</v>
      </c>
      <c r="G78" s="90"/>
      <c r="H78" s="91">
        <f t="shared" si="15"/>
        <v>0.224</v>
      </c>
      <c r="I78" s="92">
        <f t="shared" si="14"/>
        <v>0</v>
      </c>
      <c r="J78" s="83"/>
      <c r="K78" s="84"/>
      <c r="L78" s="84"/>
      <c r="M78" s="84"/>
      <c r="N78" s="93" t="s">
        <v>80</v>
      </c>
    </row>
    <row r="79" spans="2:14" ht="18" customHeight="1">
      <c r="B79" s="648"/>
      <c r="C79" s="650"/>
      <c r="D79" s="89">
        <f t="shared" si="11"/>
        <v>0</v>
      </c>
      <c r="E79" s="89">
        <f t="shared" si="12"/>
        <v>0</v>
      </c>
      <c r="F79" s="89">
        <f t="shared" si="13"/>
        <v>0</v>
      </c>
      <c r="G79" s="90"/>
      <c r="H79" s="91">
        <f t="shared" si="15"/>
        <v>0.224</v>
      </c>
      <c r="I79" s="94">
        <f t="shared" si="14"/>
        <v>0</v>
      </c>
      <c r="J79" s="83"/>
      <c r="K79" s="84"/>
      <c r="L79" s="84"/>
      <c r="M79" s="84"/>
      <c r="N79" s="93" t="s">
        <v>80</v>
      </c>
    </row>
    <row r="80" spans="2:14" ht="18" customHeight="1">
      <c r="B80" s="648"/>
      <c r="C80" s="650"/>
      <c r="D80" s="89">
        <f t="shared" si="11"/>
        <v>0</v>
      </c>
      <c r="E80" s="89">
        <f t="shared" si="12"/>
        <v>0</v>
      </c>
      <c r="F80" s="89">
        <f t="shared" si="13"/>
        <v>0</v>
      </c>
      <c r="G80" s="90"/>
      <c r="H80" s="91">
        <f t="shared" si="15"/>
        <v>0.224</v>
      </c>
      <c r="I80" s="94">
        <f t="shared" si="14"/>
        <v>0</v>
      </c>
      <c r="J80" s="83"/>
      <c r="K80" s="84"/>
      <c r="L80" s="84"/>
      <c r="M80" s="84"/>
      <c r="N80" s="93" t="s">
        <v>80</v>
      </c>
    </row>
    <row r="81" spans="2:14" ht="18" customHeight="1">
      <c r="B81" s="648"/>
      <c r="C81" s="651"/>
      <c r="D81" s="89">
        <f t="shared" si="11"/>
        <v>0</v>
      </c>
      <c r="E81" s="89">
        <f t="shared" si="12"/>
        <v>0</v>
      </c>
      <c r="F81" s="89">
        <f t="shared" si="13"/>
        <v>0</v>
      </c>
      <c r="G81" s="90"/>
      <c r="H81" s="91">
        <f t="shared" si="15"/>
        <v>0.224</v>
      </c>
      <c r="I81" s="94">
        <f t="shared" si="14"/>
        <v>0</v>
      </c>
      <c r="J81" s="95"/>
      <c r="K81" s="96"/>
      <c r="L81" s="96"/>
      <c r="M81" s="96"/>
      <c r="N81" s="93" t="s">
        <v>81</v>
      </c>
    </row>
    <row r="82" spans="2:14" ht="18" customHeight="1">
      <c r="B82" s="648"/>
      <c r="C82" s="639" t="s">
        <v>325</v>
      </c>
      <c r="D82" s="81">
        <f t="shared" si="11"/>
        <v>0</v>
      </c>
      <c r="E82" s="81">
        <f t="shared" si="12"/>
        <v>0</v>
      </c>
      <c r="F82" s="81">
        <f t="shared" si="13"/>
        <v>0</v>
      </c>
      <c r="G82" s="82"/>
      <c r="H82" s="250">
        <f t="shared" si="15"/>
        <v>0.224</v>
      </c>
      <c r="I82" s="59">
        <f t="shared" si="14"/>
        <v>0</v>
      </c>
      <c r="J82" s="83"/>
      <c r="K82" s="84"/>
      <c r="L82" s="84"/>
      <c r="M82" s="84"/>
      <c r="N82" s="88"/>
    </row>
    <row r="83" spans="2:14" ht="18" customHeight="1">
      <c r="B83" s="648"/>
      <c r="C83" s="645"/>
      <c r="D83" s="81">
        <f t="shared" si="11"/>
        <v>0</v>
      </c>
      <c r="E83" s="81">
        <f t="shared" si="12"/>
        <v>0</v>
      </c>
      <c r="F83" s="81">
        <f t="shared" si="13"/>
        <v>0</v>
      </c>
      <c r="G83" s="82"/>
      <c r="H83" s="250">
        <f t="shared" si="15"/>
        <v>0.224</v>
      </c>
      <c r="I83" s="59">
        <f t="shared" si="14"/>
        <v>0</v>
      </c>
      <c r="J83" s="83"/>
      <c r="K83" s="84"/>
      <c r="L83" s="84"/>
      <c r="M83" s="84"/>
      <c r="N83" s="88"/>
    </row>
    <row r="84" spans="2:14" ht="18" customHeight="1">
      <c r="B84" s="648"/>
      <c r="C84" s="645"/>
      <c r="D84" s="81">
        <f t="shared" si="11"/>
        <v>0</v>
      </c>
      <c r="E84" s="81">
        <f t="shared" si="12"/>
        <v>0</v>
      </c>
      <c r="F84" s="81">
        <f t="shared" si="13"/>
        <v>0</v>
      </c>
      <c r="G84" s="82"/>
      <c r="H84" s="250">
        <f t="shared" si="15"/>
        <v>0.224</v>
      </c>
      <c r="I84" s="59">
        <f t="shared" si="14"/>
        <v>0</v>
      </c>
      <c r="J84" s="83"/>
      <c r="K84" s="84"/>
      <c r="L84" s="84"/>
      <c r="M84" s="84"/>
      <c r="N84" s="76"/>
    </row>
    <row r="85" spans="2:14" ht="18" customHeight="1">
      <c r="B85" s="648"/>
      <c r="C85" s="645"/>
      <c r="D85" s="81">
        <f t="shared" si="11"/>
        <v>0</v>
      </c>
      <c r="E85" s="81">
        <f t="shared" si="12"/>
        <v>0</v>
      </c>
      <c r="F85" s="81">
        <f t="shared" si="13"/>
        <v>0</v>
      </c>
      <c r="G85" s="82"/>
      <c r="H85" s="250">
        <f t="shared" si="15"/>
        <v>0.224</v>
      </c>
      <c r="I85" s="59">
        <f t="shared" si="14"/>
        <v>0</v>
      </c>
      <c r="J85" s="83"/>
      <c r="K85" s="84"/>
      <c r="L85" s="84"/>
      <c r="M85" s="84"/>
      <c r="N85" s="76"/>
    </row>
    <row r="86" spans="2:14" ht="18" customHeight="1">
      <c r="B86" s="648"/>
      <c r="C86" s="645"/>
      <c r="D86" s="81">
        <f t="shared" si="11"/>
        <v>0</v>
      </c>
      <c r="E86" s="81">
        <f t="shared" si="12"/>
        <v>0</v>
      </c>
      <c r="F86" s="81">
        <f t="shared" si="13"/>
        <v>0</v>
      </c>
      <c r="G86" s="82"/>
      <c r="H86" s="250">
        <f t="shared" si="15"/>
        <v>0.224</v>
      </c>
      <c r="I86" s="59">
        <f t="shared" si="14"/>
        <v>0</v>
      </c>
      <c r="J86" s="85"/>
      <c r="K86" s="86"/>
      <c r="L86" s="86"/>
      <c r="M86" s="86"/>
      <c r="N86" s="76"/>
    </row>
    <row r="87" spans="2:14" ht="18" customHeight="1" thickBot="1">
      <c r="B87" s="648"/>
      <c r="C87" s="640"/>
      <c r="D87" s="81">
        <f t="shared" si="11"/>
        <v>0</v>
      </c>
      <c r="E87" s="81">
        <f t="shared" si="12"/>
        <v>0</v>
      </c>
      <c r="F87" s="81">
        <f t="shared" si="13"/>
        <v>0</v>
      </c>
      <c r="G87" s="82"/>
      <c r="H87" s="250">
        <f t="shared" si="15"/>
        <v>0.224</v>
      </c>
      <c r="I87" s="59">
        <f t="shared" si="14"/>
        <v>0</v>
      </c>
      <c r="J87" s="97"/>
      <c r="K87" s="98"/>
      <c r="L87" s="98"/>
      <c r="M87" s="98"/>
      <c r="N87" s="80"/>
    </row>
    <row r="88" spans="2:14" ht="18" customHeight="1">
      <c r="B88" s="48" t="s">
        <v>42</v>
      </c>
      <c r="C88" s="49">
        <f>SUMPRODUCT(F68:F87*G68:G87)</f>
        <v>17.327999999999999</v>
      </c>
      <c r="D88" s="50" t="s">
        <v>43</v>
      </c>
      <c r="E88" s="49">
        <f>SUM(I68:I87)*1.1</f>
        <v>5.9323000000000015</v>
      </c>
      <c r="F88" s="50" t="s">
        <v>44</v>
      </c>
      <c r="G88" s="51">
        <f>(C$218+C$222)/1000</f>
        <v>39.781500000000001</v>
      </c>
      <c r="H88" s="52" t="s">
        <v>45</v>
      </c>
      <c r="I88" s="53">
        <f>ROUND(E88*G88,2)</f>
        <v>236</v>
      </c>
      <c r="J88" s="255"/>
      <c r="K88" s="255"/>
      <c r="L88" s="255"/>
      <c r="M88" s="255"/>
    </row>
    <row r="89" spans="2:14" ht="18" customHeight="1">
      <c r="B89" s="48" t="s">
        <v>46</v>
      </c>
      <c r="C89" s="50">
        <v>181.72</v>
      </c>
      <c r="D89" s="50" t="s">
        <v>47</v>
      </c>
      <c r="E89" s="49">
        <f>ROUND(C88*(C89/1000),2)</f>
        <v>3.15</v>
      </c>
      <c r="F89" s="50" t="s">
        <v>48</v>
      </c>
      <c r="G89" s="50">
        <f>G$23</f>
        <v>10</v>
      </c>
      <c r="H89" s="52" t="s">
        <v>49</v>
      </c>
      <c r="I89" s="53">
        <f>E89*G89</f>
        <v>31.5</v>
      </c>
      <c r="J89" s="255"/>
      <c r="K89" s="255"/>
      <c r="L89" s="255"/>
      <c r="M89" s="255"/>
    </row>
    <row r="90" spans="2:14" ht="18" customHeight="1">
      <c r="B90" s="48" t="s">
        <v>50</v>
      </c>
      <c r="C90" s="50"/>
      <c r="D90" s="50" t="s">
        <v>51</v>
      </c>
      <c r="E90" s="49">
        <f>ROUND(C88*(C90/1000),2)</f>
        <v>0</v>
      </c>
      <c r="F90" s="50" t="s">
        <v>48</v>
      </c>
      <c r="G90" s="50">
        <f>G$24</f>
        <v>10</v>
      </c>
      <c r="H90" s="52" t="s">
        <v>49</v>
      </c>
      <c r="I90" s="53">
        <f>E90*G90</f>
        <v>0</v>
      </c>
      <c r="J90" s="255"/>
      <c r="K90" s="255"/>
      <c r="L90" s="255"/>
      <c r="M90" s="255"/>
    </row>
    <row r="91" spans="2:14" ht="18" customHeight="1">
      <c r="B91" s="23" t="s">
        <v>36</v>
      </c>
      <c r="C91" s="252" t="s">
        <v>14</v>
      </c>
      <c r="D91" s="252" t="s">
        <v>37</v>
      </c>
      <c r="E91" s="252" t="s">
        <v>38</v>
      </c>
      <c r="F91" s="252" t="s">
        <v>39</v>
      </c>
      <c r="G91" s="252" t="s">
        <v>8</v>
      </c>
      <c r="H91" s="252" t="s">
        <v>22</v>
      </c>
      <c r="I91" s="25" t="s">
        <v>40</v>
      </c>
      <c r="J91" s="255"/>
      <c r="K91" s="255"/>
      <c r="L91" s="255"/>
      <c r="M91" s="255"/>
    </row>
    <row r="92" spans="2:14" ht="18" customHeight="1">
      <c r="B92" s="648" t="s">
        <v>82</v>
      </c>
      <c r="C92" s="653" t="s">
        <v>326</v>
      </c>
      <c r="D92" s="253">
        <f>D26-90</f>
        <v>-90</v>
      </c>
      <c r="E92" s="253">
        <f>E26-90</f>
        <v>-90</v>
      </c>
      <c r="F92" s="253">
        <f>2*(D92+E92)/1000</f>
        <v>-0.36</v>
      </c>
      <c r="G92" s="250">
        <f>G26</f>
        <v>0</v>
      </c>
      <c r="H92" s="250">
        <v>0.27100000000000002</v>
      </c>
      <c r="I92" s="59">
        <f>ROUND(F92*G92*H92,3)</f>
        <v>0</v>
      </c>
    </row>
    <row r="93" spans="2:14" ht="18" customHeight="1">
      <c r="B93" s="648"/>
      <c r="C93" s="658"/>
      <c r="D93" s="253">
        <f t="shared" ref="D93:E96" si="16">D27-90</f>
        <v>-90</v>
      </c>
      <c r="E93" s="253">
        <f t="shared" si="16"/>
        <v>-90</v>
      </c>
      <c r="F93" s="253">
        <f>2*(D93+E93)/1000</f>
        <v>-0.36</v>
      </c>
      <c r="G93" s="250">
        <f>G27</f>
        <v>0</v>
      </c>
      <c r="H93" s="250">
        <f>H92</f>
        <v>0.27100000000000002</v>
      </c>
      <c r="I93" s="59">
        <f>ROUND(F93*G93*H93,3)</f>
        <v>0</v>
      </c>
      <c r="M93" s="42"/>
    </row>
    <row r="94" spans="2:14" ht="18" customHeight="1">
      <c r="B94" s="648"/>
      <c r="C94" s="658"/>
      <c r="D94" s="253">
        <f t="shared" si="16"/>
        <v>-90</v>
      </c>
      <c r="E94" s="253">
        <f t="shared" si="16"/>
        <v>-90</v>
      </c>
      <c r="F94" s="253">
        <f>2*(D94+E94)/1000</f>
        <v>-0.36</v>
      </c>
      <c r="G94" s="250">
        <f>G28</f>
        <v>0</v>
      </c>
      <c r="H94" s="250">
        <f>H93</f>
        <v>0.27100000000000002</v>
      </c>
      <c r="I94" s="59">
        <f>ROUND(F94*G94*H94,3)</f>
        <v>0</v>
      </c>
    </row>
    <row r="95" spans="2:14" ht="18" customHeight="1">
      <c r="B95" s="648"/>
      <c r="C95" s="658"/>
      <c r="D95" s="253">
        <f t="shared" si="16"/>
        <v>-90</v>
      </c>
      <c r="E95" s="253">
        <f t="shared" si="16"/>
        <v>-90</v>
      </c>
      <c r="F95" s="253">
        <f>2*(D95+E95)/1000</f>
        <v>-0.36</v>
      </c>
      <c r="G95" s="250">
        <f>G29</f>
        <v>0</v>
      </c>
      <c r="H95" s="250">
        <f>H94</f>
        <v>0.27100000000000002</v>
      </c>
      <c r="I95" s="59">
        <f>ROUND(F95*G95*H95,3)</f>
        <v>0</v>
      </c>
    </row>
    <row r="96" spans="2:14" ht="18" customHeight="1">
      <c r="B96" s="648"/>
      <c r="C96" s="659"/>
      <c r="D96" s="253">
        <f t="shared" si="16"/>
        <v>-90</v>
      </c>
      <c r="E96" s="253">
        <f t="shared" si="16"/>
        <v>-90</v>
      </c>
      <c r="F96" s="253">
        <f>2*(D96+E96)/1000</f>
        <v>-0.36</v>
      </c>
      <c r="G96" s="250">
        <f>G30</f>
        <v>0</v>
      </c>
      <c r="H96" s="250">
        <f>H95</f>
        <v>0.27100000000000002</v>
      </c>
      <c r="I96" s="59">
        <f>ROUND(F96*G96*H96,3)</f>
        <v>0</v>
      </c>
    </row>
    <row r="97" spans="2:13" ht="18" customHeight="1">
      <c r="B97" s="48" t="s">
        <v>42</v>
      </c>
      <c r="C97" s="49">
        <f>SUMPRODUCT(F92:F96*G92:G96)</f>
        <v>0</v>
      </c>
      <c r="D97" s="50" t="s">
        <v>43</v>
      </c>
      <c r="E97" s="49">
        <f>SUM(I92:I96)*1.1</f>
        <v>0</v>
      </c>
      <c r="F97" s="50" t="s">
        <v>44</v>
      </c>
      <c r="G97" s="51">
        <f>(C$218+C$222)/1000</f>
        <v>39.781500000000001</v>
      </c>
      <c r="H97" s="52" t="s">
        <v>45</v>
      </c>
      <c r="I97" s="53">
        <f>ROUND(E97*G97,2)</f>
        <v>0</v>
      </c>
    </row>
    <row r="98" spans="2:13" ht="18" customHeight="1">
      <c r="B98" s="48" t="s">
        <v>46</v>
      </c>
      <c r="C98" s="50">
        <v>186.72</v>
      </c>
      <c r="D98" s="50" t="s">
        <v>47</v>
      </c>
      <c r="E98" s="49">
        <f>ROUND(C97*(C98/1000),2)</f>
        <v>0</v>
      </c>
      <c r="F98" s="50" t="s">
        <v>48</v>
      </c>
      <c r="G98" s="50">
        <f>G$23</f>
        <v>10</v>
      </c>
      <c r="H98" s="52" t="s">
        <v>49</v>
      </c>
      <c r="I98" s="53">
        <f>E98*G98</f>
        <v>0</v>
      </c>
    </row>
    <row r="99" spans="2:13" ht="18" customHeight="1">
      <c r="B99" s="48" t="s">
        <v>50</v>
      </c>
      <c r="C99" s="50">
        <v>0</v>
      </c>
      <c r="D99" s="50" t="s">
        <v>51</v>
      </c>
      <c r="E99" s="49">
        <f>ROUND(C97*(C99/1000),2)</f>
        <v>0</v>
      </c>
      <c r="F99" s="50" t="s">
        <v>48</v>
      </c>
      <c r="G99" s="50">
        <f>G$24</f>
        <v>10</v>
      </c>
      <c r="H99" s="52" t="s">
        <v>49</v>
      </c>
      <c r="I99" s="53">
        <f>E99*G99</f>
        <v>0</v>
      </c>
    </row>
    <row r="100" spans="2:13" ht="18" customHeight="1">
      <c r="B100" s="23" t="s">
        <v>36</v>
      </c>
      <c r="C100" s="252" t="s">
        <v>14</v>
      </c>
      <c r="D100" s="252" t="s">
        <v>37</v>
      </c>
      <c r="E100" s="252" t="s">
        <v>38</v>
      </c>
      <c r="F100" s="252" t="s">
        <v>39</v>
      </c>
      <c r="G100" s="252" t="s">
        <v>8</v>
      </c>
      <c r="H100" s="252" t="s">
        <v>22</v>
      </c>
      <c r="I100" s="25" t="s">
        <v>40</v>
      </c>
    </row>
    <row r="101" spans="2:13" ht="18" customHeight="1">
      <c r="B101" s="648" t="s">
        <v>84</v>
      </c>
      <c r="C101" s="653" t="str">
        <f>C92</f>
        <v>SDL2281</v>
      </c>
      <c r="D101" s="253">
        <f>D35-122</f>
        <v>358</v>
      </c>
      <c r="E101" s="253">
        <f t="shared" ref="D101:E103" si="17">E35-122</f>
        <v>678</v>
      </c>
      <c r="F101" s="253">
        <f>2*(D101+E101)/1000</f>
        <v>2.0720000000000001</v>
      </c>
      <c r="G101" s="250">
        <f>G35</f>
        <v>4</v>
      </c>
      <c r="H101" s="250">
        <f>H96</f>
        <v>0.27100000000000002</v>
      </c>
      <c r="I101" s="59">
        <f>ROUND(F101*G101*H101,3)</f>
        <v>2.246</v>
      </c>
    </row>
    <row r="102" spans="2:13" ht="18" customHeight="1">
      <c r="B102" s="648"/>
      <c r="C102" s="650"/>
      <c r="D102" s="253">
        <f t="shared" si="17"/>
        <v>-122</v>
      </c>
      <c r="E102" s="253">
        <f t="shared" si="17"/>
        <v>-122</v>
      </c>
      <c r="F102" s="253">
        <f>2*(D102+E102)/1000</f>
        <v>-0.48799999999999999</v>
      </c>
      <c r="G102" s="250">
        <f>G36</f>
        <v>0</v>
      </c>
      <c r="H102" s="250">
        <f>H101</f>
        <v>0.27100000000000002</v>
      </c>
      <c r="I102" s="59">
        <f>ROUND(F102*G102*H102,3)</f>
        <v>0</v>
      </c>
      <c r="K102" s="99"/>
      <c r="M102" s="99"/>
    </row>
    <row r="103" spans="2:13" ht="18" customHeight="1">
      <c r="B103" s="648"/>
      <c r="C103" s="651"/>
      <c r="D103" s="253">
        <f t="shared" si="17"/>
        <v>-122</v>
      </c>
      <c r="E103" s="253">
        <f t="shared" si="17"/>
        <v>-122</v>
      </c>
      <c r="F103" s="253">
        <f>2*(D103+E103)/1000</f>
        <v>-0.48799999999999999</v>
      </c>
      <c r="G103" s="250">
        <f>G37</f>
        <v>0</v>
      </c>
      <c r="H103" s="250">
        <f>H102</f>
        <v>0.27100000000000002</v>
      </c>
      <c r="I103" s="59">
        <f>ROUND(F103*G103*H103,3)</f>
        <v>0</v>
      </c>
      <c r="M103" s="99"/>
    </row>
    <row r="104" spans="2:13" ht="18" customHeight="1">
      <c r="B104" s="48" t="s">
        <v>42</v>
      </c>
      <c r="C104" s="49">
        <f>SUMPRODUCT(F101:F103*G101:G103)</f>
        <v>8.2880000000000003</v>
      </c>
      <c r="D104" s="50" t="s">
        <v>43</v>
      </c>
      <c r="E104" s="49">
        <f>SUM(I101:I103)*1.1</f>
        <v>2.4706000000000001</v>
      </c>
      <c r="F104" s="50" t="s">
        <v>44</v>
      </c>
      <c r="G104" s="51">
        <f>(C$218+C$222)/1000</f>
        <v>39.781500000000001</v>
      </c>
      <c r="H104" s="52" t="s">
        <v>45</v>
      </c>
      <c r="I104" s="53">
        <f>ROUND(E104*G104,2)</f>
        <v>98.28</v>
      </c>
    </row>
    <row r="105" spans="2:13" ht="18" customHeight="1">
      <c r="B105" s="48" t="s">
        <v>46</v>
      </c>
      <c r="C105" s="50">
        <v>186.72</v>
      </c>
      <c r="D105" s="50" t="s">
        <v>47</v>
      </c>
      <c r="E105" s="49">
        <f>ROUND(C104*(C105/1000),2)</f>
        <v>1.55</v>
      </c>
      <c r="F105" s="50" t="s">
        <v>48</v>
      </c>
      <c r="G105" s="50">
        <f>G$23</f>
        <v>10</v>
      </c>
      <c r="H105" s="52" t="s">
        <v>49</v>
      </c>
      <c r="I105" s="53">
        <f>ROUND(E105*G105,2)</f>
        <v>15.5</v>
      </c>
    </row>
    <row r="106" spans="2:13" ht="18" customHeight="1">
      <c r="B106" s="48" t="s">
        <v>50</v>
      </c>
      <c r="C106" s="50">
        <v>0</v>
      </c>
      <c r="D106" s="50" t="s">
        <v>51</v>
      </c>
      <c r="E106" s="49">
        <f>ROUND(C104*(C106/1000),2)</f>
        <v>0</v>
      </c>
      <c r="F106" s="50" t="s">
        <v>48</v>
      </c>
      <c r="G106" s="50">
        <f>G$24</f>
        <v>10</v>
      </c>
      <c r="H106" s="52" t="s">
        <v>49</v>
      </c>
      <c r="I106" s="53">
        <f>ROUND(E106*G106,2)</f>
        <v>0</v>
      </c>
    </row>
    <row r="107" spans="2:13" ht="18" customHeight="1">
      <c r="B107" s="23" t="s">
        <v>36</v>
      </c>
      <c r="C107" s="252" t="s">
        <v>14</v>
      </c>
      <c r="D107" s="252" t="s">
        <v>37</v>
      </c>
      <c r="E107" s="252" t="s">
        <v>38</v>
      </c>
      <c r="F107" s="252" t="s">
        <v>39</v>
      </c>
      <c r="G107" s="252" t="s">
        <v>8</v>
      </c>
      <c r="H107" s="252" t="s">
        <v>22</v>
      </c>
      <c r="I107" s="25" t="s">
        <v>40</v>
      </c>
    </row>
    <row r="108" spans="2:13" ht="18" customHeight="1">
      <c r="B108" s="648" t="s">
        <v>85</v>
      </c>
      <c r="C108" s="655" t="s">
        <v>86</v>
      </c>
      <c r="D108" s="250"/>
      <c r="E108" s="250"/>
      <c r="F108" s="250">
        <f>ROUND((D108+E108)*2/1000,4)</f>
        <v>0</v>
      </c>
      <c r="G108" s="250"/>
      <c r="H108" s="250">
        <v>1.857</v>
      </c>
      <c r="I108" s="59">
        <f>ROUND(F108*G108*H108,3)</f>
        <v>0</v>
      </c>
    </row>
    <row r="109" spans="2:13" ht="18" customHeight="1">
      <c r="B109" s="648"/>
      <c r="C109" s="656"/>
      <c r="D109" s="250"/>
      <c r="E109" s="250"/>
      <c r="F109" s="250">
        <f>ROUND((D109+E109)*2/1000,4)</f>
        <v>0</v>
      </c>
      <c r="G109" s="250"/>
      <c r="H109" s="250">
        <f>H108</f>
        <v>1.857</v>
      </c>
      <c r="I109" s="59">
        <f>ROUND(F109*G109*H109,3)</f>
        <v>0</v>
      </c>
      <c r="K109" s="42"/>
      <c r="L109" s="42"/>
      <c r="M109" s="42"/>
    </row>
    <row r="110" spans="2:13" ht="18" customHeight="1">
      <c r="B110" s="648"/>
      <c r="C110" s="656"/>
      <c r="D110" s="250"/>
      <c r="E110" s="250"/>
      <c r="F110" s="250">
        <f>ROUND((D110+E110)*2/1000,4)</f>
        <v>0</v>
      </c>
      <c r="G110" s="250"/>
      <c r="H110" s="250">
        <f>H109</f>
        <v>1.857</v>
      </c>
      <c r="I110" s="59">
        <f>ROUND(F110*G110*H110,3)</f>
        <v>0</v>
      </c>
      <c r="K110" s="42"/>
      <c r="L110" s="42"/>
      <c r="M110" s="42"/>
    </row>
    <row r="111" spans="2:13" ht="18" customHeight="1">
      <c r="B111" s="648"/>
      <c r="C111" s="657"/>
      <c r="D111" s="250"/>
      <c r="E111" s="250"/>
      <c r="F111" s="250">
        <f>ROUND((D111+E111)*2/1000,4)</f>
        <v>0</v>
      </c>
      <c r="G111" s="250"/>
      <c r="H111" s="250">
        <f>H110</f>
        <v>1.857</v>
      </c>
      <c r="I111" s="59">
        <f>ROUND(F111*G111*H111,3)</f>
        <v>0</v>
      </c>
      <c r="K111" s="42"/>
      <c r="L111" s="42"/>
      <c r="M111" s="42"/>
    </row>
    <row r="112" spans="2:13" ht="18" customHeight="1">
      <c r="B112" s="48" t="s">
        <v>42</v>
      </c>
      <c r="C112" s="49">
        <f>SUMPRODUCT(F108:F111*G108:G111)</f>
        <v>0</v>
      </c>
      <c r="D112" s="50" t="s">
        <v>43</v>
      </c>
      <c r="E112" s="49">
        <f>SUM(I108:I111)*1.1</f>
        <v>0</v>
      </c>
      <c r="F112" s="50" t="s">
        <v>44</v>
      </c>
      <c r="G112" s="51">
        <f>(C$218+C$219)/1000</f>
        <v>46.081499999999998</v>
      </c>
      <c r="H112" s="52" t="s">
        <v>45</v>
      </c>
      <c r="I112" s="53">
        <f>ROUND(E112*G112,2)</f>
        <v>0</v>
      </c>
      <c r="J112" s="243">
        <f>SUM(G108:G111)</f>
        <v>0</v>
      </c>
      <c r="K112" s="42"/>
      <c r="L112" s="42"/>
      <c r="M112" s="42"/>
    </row>
    <row r="113" spans="2:14" ht="18" customHeight="1">
      <c r="B113" s="48" t="s">
        <v>46</v>
      </c>
      <c r="C113" s="50">
        <v>241.03</v>
      </c>
      <c r="D113" s="50" t="s">
        <v>47</v>
      </c>
      <c r="E113" s="49">
        <f>ROUND(C112*(C113/1000),2)</f>
        <v>0</v>
      </c>
      <c r="F113" s="50" t="s">
        <v>48</v>
      </c>
      <c r="G113" s="50">
        <f>G$23</f>
        <v>10</v>
      </c>
      <c r="H113" s="52" t="s">
        <v>49</v>
      </c>
      <c r="I113" s="53">
        <f>E113*G113</f>
        <v>0</v>
      </c>
      <c r="K113" s="42"/>
      <c r="L113" s="42"/>
      <c r="M113" s="42"/>
    </row>
    <row r="114" spans="2:14" ht="18" customHeight="1" thickBot="1">
      <c r="B114" s="48" t="s">
        <v>50</v>
      </c>
      <c r="C114" s="50">
        <v>204.38</v>
      </c>
      <c r="D114" s="50" t="s">
        <v>51</v>
      </c>
      <c r="E114" s="49">
        <f>ROUND(C112*(C114/1000),2)</f>
        <v>0</v>
      </c>
      <c r="F114" s="50" t="s">
        <v>48</v>
      </c>
      <c r="G114" s="50">
        <f>G$24</f>
        <v>10</v>
      </c>
      <c r="H114" s="52" t="s">
        <v>49</v>
      </c>
      <c r="I114" s="53">
        <f>E114*G114</f>
        <v>0</v>
      </c>
    </row>
    <row r="115" spans="2:14" ht="18" customHeight="1" thickBot="1">
      <c r="B115" s="23" t="s">
        <v>36</v>
      </c>
      <c r="C115" s="252" t="s">
        <v>14</v>
      </c>
      <c r="D115" s="252" t="s">
        <v>37</v>
      </c>
      <c r="E115" s="252" t="s">
        <v>38</v>
      </c>
      <c r="F115" s="252" t="s">
        <v>39</v>
      </c>
      <c r="G115" s="252" t="s">
        <v>8</v>
      </c>
      <c r="H115" s="252" t="s">
        <v>22</v>
      </c>
      <c r="I115" s="25" t="s">
        <v>40</v>
      </c>
      <c r="J115" s="54" t="s">
        <v>2</v>
      </c>
      <c r="K115" s="55" t="s">
        <v>3</v>
      </c>
      <c r="L115" s="55" t="s">
        <v>61</v>
      </c>
      <c r="M115" s="55" t="s">
        <v>62</v>
      </c>
      <c r="N115" s="70" t="s">
        <v>14</v>
      </c>
    </row>
    <row r="116" spans="2:14" ht="18" customHeight="1">
      <c r="B116" s="648" t="s">
        <v>87</v>
      </c>
      <c r="C116" s="649" t="s">
        <v>88</v>
      </c>
      <c r="D116" s="253">
        <f t="shared" ref="D116:E118" si="18">J116-IF(L116=1,78,IF(L116=2,55.5,IF(L116=3,41,0)))</f>
        <v>0</v>
      </c>
      <c r="E116" s="253">
        <f t="shared" si="18"/>
        <v>0</v>
      </c>
      <c r="F116" s="250">
        <f>ROUND((D116+E116)*2/1000,4)</f>
        <v>0</v>
      </c>
      <c r="G116" s="250"/>
      <c r="H116" s="58">
        <v>2.456</v>
      </c>
      <c r="I116" s="59">
        <f>ROUND(F116*G116*H116,3)</f>
        <v>0</v>
      </c>
      <c r="J116" s="60"/>
      <c r="K116" s="61"/>
      <c r="L116" s="61"/>
      <c r="M116" s="61"/>
      <c r="N116" s="76" t="s">
        <v>56</v>
      </c>
    </row>
    <row r="117" spans="2:14" ht="18" customHeight="1">
      <c r="B117" s="648"/>
      <c r="C117" s="650"/>
      <c r="D117" s="253">
        <f t="shared" si="18"/>
        <v>0</v>
      </c>
      <c r="E117" s="253">
        <f t="shared" si="18"/>
        <v>0</v>
      </c>
      <c r="F117" s="250">
        <f>ROUND((D117+E117)*2/1000,4)</f>
        <v>0</v>
      </c>
      <c r="G117" s="250">
        <v>0</v>
      </c>
      <c r="H117" s="58">
        <f>H116</f>
        <v>2.456</v>
      </c>
      <c r="I117" s="59">
        <f>ROUND(F117*G117*H117,3)</f>
        <v>0</v>
      </c>
      <c r="J117" s="60"/>
      <c r="K117" s="61"/>
      <c r="L117" s="61"/>
      <c r="M117" s="61"/>
      <c r="N117" s="76" t="s">
        <v>58</v>
      </c>
    </row>
    <row r="118" spans="2:14" ht="18" customHeight="1" thickBot="1">
      <c r="B118" s="648"/>
      <c r="C118" s="651"/>
      <c r="D118" s="253">
        <f t="shared" si="18"/>
        <v>0</v>
      </c>
      <c r="E118" s="253">
        <f t="shared" si="18"/>
        <v>0</v>
      </c>
      <c r="F118" s="250">
        <f>ROUND((D118+E118)*2/1000,4)</f>
        <v>0</v>
      </c>
      <c r="G118" s="250">
        <v>0</v>
      </c>
      <c r="H118" s="58">
        <f>H117</f>
        <v>2.456</v>
      </c>
      <c r="I118" s="59">
        <f>ROUND(F118*G118*H118,3)</f>
        <v>0</v>
      </c>
      <c r="J118" s="64"/>
      <c r="K118" s="65"/>
      <c r="L118" s="65"/>
      <c r="M118" s="65"/>
      <c r="N118" s="80" t="s">
        <v>89</v>
      </c>
    </row>
    <row r="119" spans="2:14" ht="18" customHeight="1">
      <c r="B119" s="48" t="s">
        <v>42</v>
      </c>
      <c r="C119" s="49">
        <f>SUMPRODUCT(F116:F118*G116:G118)</f>
        <v>0</v>
      </c>
      <c r="D119" s="100" t="s">
        <v>43</v>
      </c>
      <c r="E119" s="100">
        <f>SUM(I116:I118)*1.1</f>
        <v>0</v>
      </c>
      <c r="F119" s="50" t="s">
        <v>44</v>
      </c>
      <c r="G119" s="51">
        <f>(C$218+C$219)/1000</f>
        <v>46.081499999999998</v>
      </c>
      <c r="H119" s="52" t="s">
        <v>45</v>
      </c>
      <c r="I119" s="53">
        <f>ROUND(E119*G119,2)</f>
        <v>0</v>
      </c>
      <c r="J119" s="243">
        <f>SUM(G116:G118)</f>
        <v>0</v>
      </c>
      <c r="K119" s="255"/>
      <c r="L119" s="255"/>
      <c r="M119" s="255"/>
    </row>
    <row r="120" spans="2:14" ht="18" customHeight="1">
      <c r="B120" s="48" t="s">
        <v>46</v>
      </c>
      <c r="C120" s="50">
        <v>350.56</v>
      </c>
      <c r="D120" s="100" t="s">
        <v>47</v>
      </c>
      <c r="E120" s="100">
        <f>ROUND(C119*(C120/1000),2)</f>
        <v>0</v>
      </c>
      <c r="F120" s="50" t="s">
        <v>48</v>
      </c>
      <c r="G120" s="50">
        <f>G$23</f>
        <v>10</v>
      </c>
      <c r="H120" s="52" t="s">
        <v>49</v>
      </c>
      <c r="I120" s="53">
        <f>E120*G120</f>
        <v>0</v>
      </c>
      <c r="J120" s="255"/>
      <c r="K120" s="255"/>
      <c r="L120" s="255"/>
      <c r="M120" s="255"/>
    </row>
    <row r="121" spans="2:14" ht="18" customHeight="1" thickBot="1">
      <c r="B121" s="48" t="s">
        <v>50</v>
      </c>
      <c r="C121" s="50">
        <v>189.03</v>
      </c>
      <c r="D121" s="100" t="s">
        <v>51</v>
      </c>
      <c r="E121" s="100">
        <f>ROUND(C119*(C121/1000),2)</f>
        <v>0</v>
      </c>
      <c r="F121" s="50" t="s">
        <v>48</v>
      </c>
      <c r="G121" s="50">
        <f>G$24</f>
        <v>10</v>
      </c>
      <c r="H121" s="52" t="s">
        <v>49</v>
      </c>
      <c r="I121" s="53">
        <f>E121*G121</f>
        <v>0</v>
      </c>
      <c r="J121" s="255"/>
    </row>
    <row r="122" spans="2:14" ht="18" customHeight="1" thickBot="1">
      <c r="B122" s="23" t="s">
        <v>36</v>
      </c>
      <c r="C122" s="252" t="s">
        <v>14</v>
      </c>
      <c r="D122" s="101" t="s">
        <v>37</v>
      </c>
      <c r="E122" s="101" t="s">
        <v>38</v>
      </c>
      <c r="F122" s="252" t="s">
        <v>39</v>
      </c>
      <c r="G122" s="252" t="s">
        <v>8</v>
      </c>
      <c r="H122" s="252" t="s">
        <v>22</v>
      </c>
      <c r="I122" s="25" t="s">
        <v>40</v>
      </c>
      <c r="J122" s="54" t="s">
        <v>2</v>
      </c>
      <c r="K122" s="55" t="s">
        <v>3</v>
      </c>
      <c r="L122" s="55" t="s">
        <v>61</v>
      </c>
      <c r="M122" s="55" t="s">
        <v>62</v>
      </c>
      <c r="N122" s="70" t="s">
        <v>14</v>
      </c>
    </row>
    <row r="123" spans="2:14" ht="18" customHeight="1">
      <c r="B123" s="648" t="s">
        <v>90</v>
      </c>
      <c r="C123" s="649" t="s">
        <v>91</v>
      </c>
      <c r="D123" s="253">
        <f t="shared" ref="D123:E125" si="19">J123-IF(L123=1,78,IF(L123=2,55.5,IF(L123=3,41,0)))</f>
        <v>0</v>
      </c>
      <c r="E123" s="253">
        <f t="shared" si="19"/>
        <v>0</v>
      </c>
      <c r="F123" s="250">
        <f>ROUND((D123+E123)*2/1000,4)</f>
        <v>0</v>
      </c>
      <c r="G123" s="250"/>
      <c r="H123" s="58">
        <v>2.4710000000000001</v>
      </c>
      <c r="I123" s="59">
        <f>ROUND(F123*G123*H123,3)</f>
        <v>0</v>
      </c>
      <c r="J123" s="60"/>
      <c r="K123" s="61"/>
      <c r="L123" s="61"/>
      <c r="M123" s="61"/>
      <c r="N123" s="76" t="s">
        <v>56</v>
      </c>
    </row>
    <row r="124" spans="2:14" ht="18" customHeight="1">
      <c r="B124" s="648"/>
      <c r="C124" s="650"/>
      <c r="D124" s="253">
        <f t="shared" si="19"/>
        <v>0</v>
      </c>
      <c r="E124" s="253">
        <f t="shared" si="19"/>
        <v>0</v>
      </c>
      <c r="F124" s="250">
        <f>ROUND((D124+E124)*2/1000,4)</f>
        <v>0</v>
      </c>
      <c r="G124" s="250"/>
      <c r="H124" s="58">
        <f>H123</f>
        <v>2.4710000000000001</v>
      </c>
      <c r="I124" s="59">
        <f>ROUND(F124*G124*H124,3)</f>
        <v>0</v>
      </c>
      <c r="J124" s="60"/>
      <c r="K124" s="61"/>
      <c r="L124" s="61"/>
      <c r="M124" s="61"/>
      <c r="N124" s="76" t="s">
        <v>58</v>
      </c>
    </row>
    <row r="125" spans="2:14" ht="18" customHeight="1" thickBot="1">
      <c r="B125" s="648"/>
      <c r="C125" s="651"/>
      <c r="D125" s="253">
        <f t="shared" si="19"/>
        <v>0</v>
      </c>
      <c r="E125" s="253">
        <f t="shared" si="19"/>
        <v>0</v>
      </c>
      <c r="F125" s="250">
        <f>ROUND((D125+E125)*2/1000,4)</f>
        <v>0</v>
      </c>
      <c r="G125" s="250"/>
      <c r="H125" s="58">
        <f>H124</f>
        <v>2.4710000000000001</v>
      </c>
      <c r="I125" s="59">
        <f>ROUND(F125*G125*H125,3)</f>
        <v>0</v>
      </c>
      <c r="J125" s="64"/>
      <c r="K125" s="65"/>
      <c r="L125" s="65"/>
      <c r="M125" s="65"/>
      <c r="N125" s="80" t="s">
        <v>89</v>
      </c>
    </row>
    <row r="126" spans="2:14" ht="18" customHeight="1">
      <c r="B126" s="48" t="s">
        <v>42</v>
      </c>
      <c r="C126" s="49">
        <f>SUMPRODUCT(F123:F125*G123:G125)</f>
        <v>0</v>
      </c>
      <c r="D126" s="50" t="s">
        <v>43</v>
      </c>
      <c r="E126" s="49">
        <f>SUM(I123:I125)*1.1</f>
        <v>0</v>
      </c>
      <c r="F126" s="50" t="s">
        <v>44</v>
      </c>
      <c r="G126" s="51">
        <f>(C$218+C$221)/1000</f>
        <v>46.081499999999998</v>
      </c>
      <c r="H126" s="52" t="s">
        <v>45</v>
      </c>
      <c r="I126" s="53">
        <f>ROUND(E126*G126,2)</f>
        <v>0</v>
      </c>
      <c r="J126" s="243">
        <f>SUM(G123:G125)</f>
        <v>0</v>
      </c>
      <c r="K126" s="255"/>
      <c r="L126" s="255"/>
      <c r="M126" s="255"/>
    </row>
    <row r="127" spans="2:14" ht="18" customHeight="1">
      <c r="B127" s="48" t="s">
        <v>46</v>
      </c>
      <c r="C127" s="50">
        <v>236.53</v>
      </c>
      <c r="D127" s="50" t="s">
        <v>47</v>
      </c>
      <c r="E127" s="49">
        <f>ROUND(C126*(C127/1000),2)</f>
        <v>0</v>
      </c>
      <c r="F127" s="50" t="s">
        <v>48</v>
      </c>
      <c r="G127" s="50">
        <f>G$23</f>
        <v>10</v>
      </c>
      <c r="H127" s="52" t="s">
        <v>49</v>
      </c>
      <c r="I127" s="53">
        <f>E127*G127</f>
        <v>0</v>
      </c>
      <c r="J127" s="255"/>
      <c r="K127" s="255"/>
      <c r="L127" s="255"/>
      <c r="M127" s="255"/>
    </row>
    <row r="128" spans="2:14" ht="18" customHeight="1" thickBot="1">
      <c r="B128" s="48" t="s">
        <v>50</v>
      </c>
      <c r="C128" s="50">
        <v>311.02999999999997</v>
      </c>
      <c r="D128" s="50" t="s">
        <v>51</v>
      </c>
      <c r="E128" s="49">
        <f>ROUND(C126*(C128/1000),2)</f>
        <v>0</v>
      </c>
      <c r="F128" s="50" t="s">
        <v>48</v>
      </c>
      <c r="G128" s="50">
        <f>G$24</f>
        <v>10</v>
      </c>
      <c r="H128" s="52" t="s">
        <v>49</v>
      </c>
      <c r="I128" s="53">
        <f>E128*G128</f>
        <v>0</v>
      </c>
      <c r="J128" s="255"/>
    </row>
    <row r="129" spans="2:14" ht="18" customHeight="1" thickBot="1">
      <c r="B129" s="23" t="s">
        <v>36</v>
      </c>
      <c r="C129" s="252" t="s">
        <v>14</v>
      </c>
      <c r="D129" s="252" t="s">
        <v>37</v>
      </c>
      <c r="E129" s="252" t="s">
        <v>71</v>
      </c>
      <c r="F129" s="252" t="s">
        <v>38</v>
      </c>
      <c r="G129" s="252" t="s">
        <v>72</v>
      </c>
      <c r="H129" s="252" t="s">
        <v>22</v>
      </c>
      <c r="I129" s="25" t="s">
        <v>40</v>
      </c>
      <c r="J129" s="54" t="s">
        <v>2</v>
      </c>
      <c r="K129" s="55" t="s">
        <v>3</v>
      </c>
      <c r="L129" s="55" t="s">
        <v>61</v>
      </c>
      <c r="M129" s="55" t="s">
        <v>62</v>
      </c>
      <c r="N129" s="70" t="s">
        <v>14</v>
      </c>
    </row>
    <row r="130" spans="2:14" ht="18" customHeight="1">
      <c r="B130" s="648" t="s">
        <v>92</v>
      </c>
      <c r="C130" s="649" t="s">
        <v>93</v>
      </c>
      <c r="D130" s="253">
        <f>J130-IF(L130=1,81,IF(L130=2,58.5,IF(L130=3,36,0)))</f>
        <v>0</v>
      </c>
      <c r="E130" s="253">
        <v>0</v>
      </c>
      <c r="F130" s="253">
        <f>K130-IF(M130=1,81,IF(M130=2,58.5,IF(M130=3,36,0)))</f>
        <v>0</v>
      </c>
      <c r="G130" s="250">
        <v>0</v>
      </c>
      <c r="H130" s="250">
        <v>2.0489999999999999</v>
      </c>
      <c r="I130" s="59">
        <f>ROUND((D130*E130+F130*G130)/1000*H130,3)</f>
        <v>0</v>
      </c>
      <c r="J130" s="60"/>
      <c r="K130" s="61"/>
      <c r="L130" s="61"/>
      <c r="M130" s="61"/>
      <c r="N130" s="76" t="s">
        <v>56</v>
      </c>
    </row>
    <row r="131" spans="2:14" ht="18" customHeight="1">
      <c r="B131" s="648"/>
      <c r="C131" s="650"/>
      <c r="D131" s="253">
        <f>J131-IF(L131=1,81,IF(L131=2,58.5,IF(L131=3,36,0)))</f>
        <v>0</v>
      </c>
      <c r="E131" s="253">
        <v>0</v>
      </c>
      <c r="F131" s="253">
        <f>K131-IF(M131=1,81,IF(M131=2,58.5,IF(M131=3,36,0)))</f>
        <v>0</v>
      </c>
      <c r="G131" s="250"/>
      <c r="H131" s="250">
        <f>H130</f>
        <v>2.0489999999999999</v>
      </c>
      <c r="I131" s="59">
        <f>ROUND((D131*E131+F131*G131)/1000*H131,3)</f>
        <v>0</v>
      </c>
      <c r="J131" s="60"/>
      <c r="K131" s="61"/>
      <c r="L131" s="61"/>
      <c r="M131" s="61"/>
      <c r="N131" s="76" t="s">
        <v>58</v>
      </c>
    </row>
    <row r="132" spans="2:14" ht="18" customHeight="1" thickBot="1">
      <c r="B132" s="648"/>
      <c r="C132" s="651"/>
      <c r="D132" s="253">
        <f>J132-IF(L132=1,81,IF(L132=2,58.5,IF(L132=3,36,0)))</f>
        <v>0</v>
      </c>
      <c r="E132" s="253"/>
      <c r="F132" s="253">
        <f>K132-IF(M132=1,81,IF(M132=2,58.5,IF(M132=3,36,0)))</f>
        <v>0</v>
      </c>
      <c r="G132" s="250"/>
      <c r="H132" s="250">
        <f>H131</f>
        <v>2.0489999999999999</v>
      </c>
      <c r="I132" s="59">
        <f>ROUND((D132*E132+F132*G132)/1000*H132,3)</f>
        <v>0</v>
      </c>
      <c r="J132" s="64"/>
      <c r="K132" s="65"/>
      <c r="L132" s="65"/>
      <c r="M132" s="65"/>
      <c r="N132" s="80" t="s">
        <v>89</v>
      </c>
    </row>
    <row r="133" spans="2:14" ht="18" customHeight="1">
      <c r="B133" s="48" t="s">
        <v>42</v>
      </c>
      <c r="C133" s="49">
        <f>SUMPRODUCT(D130:D132*E130:E132+F130:F132*G130:G132)/1000</f>
        <v>0</v>
      </c>
      <c r="D133" s="50" t="s">
        <v>43</v>
      </c>
      <c r="E133" s="49">
        <f>SUM(I130:I132)*1.1</f>
        <v>0</v>
      </c>
      <c r="F133" s="50" t="s">
        <v>44</v>
      </c>
      <c r="G133" s="51">
        <f>(C$218+C$219)/1000</f>
        <v>46.081499999999998</v>
      </c>
      <c r="H133" s="52" t="s">
        <v>45</v>
      </c>
      <c r="I133" s="53">
        <f>ROUND(E133*G133,2)</f>
        <v>0</v>
      </c>
      <c r="J133" s="243">
        <f>SUM(G130:G132)+SUM(E130:E132)</f>
        <v>0</v>
      </c>
    </row>
    <row r="134" spans="2:14" ht="18" customHeight="1">
      <c r="B134" s="48" t="s">
        <v>46</v>
      </c>
      <c r="C134" s="50">
        <v>298.42</v>
      </c>
      <c r="D134" s="50" t="s">
        <v>47</v>
      </c>
      <c r="E134" s="49">
        <f>ROUND(C133*(C134/1000),2)</f>
        <v>0</v>
      </c>
      <c r="F134" s="50" t="s">
        <v>48</v>
      </c>
      <c r="G134" s="50">
        <f>G$23</f>
        <v>10</v>
      </c>
      <c r="H134" s="52" t="s">
        <v>49</v>
      </c>
      <c r="I134" s="53">
        <f>ROUND(E134*G134,2)</f>
        <v>0</v>
      </c>
    </row>
    <row r="135" spans="2:14" ht="18" customHeight="1">
      <c r="B135" s="48" t="s">
        <v>50</v>
      </c>
      <c r="C135" s="50">
        <v>208.08</v>
      </c>
      <c r="D135" s="50" t="s">
        <v>51</v>
      </c>
      <c r="E135" s="49">
        <f>ROUND(C133*(C135/1000),2)</f>
        <v>0</v>
      </c>
      <c r="F135" s="50" t="s">
        <v>48</v>
      </c>
      <c r="G135" s="50">
        <f>G$24</f>
        <v>10</v>
      </c>
      <c r="H135" s="52" t="s">
        <v>49</v>
      </c>
      <c r="I135" s="53">
        <f>ROUND(E135*G135,2)</f>
        <v>0</v>
      </c>
    </row>
    <row r="136" spans="2:14" ht="18" customHeight="1">
      <c r="B136" s="23" t="s">
        <v>36</v>
      </c>
      <c r="C136" s="252" t="s">
        <v>14</v>
      </c>
      <c r="D136" s="652" t="s">
        <v>38</v>
      </c>
      <c r="E136" s="652"/>
      <c r="F136" s="652"/>
      <c r="G136" s="252" t="s">
        <v>72</v>
      </c>
      <c r="H136" s="252" t="s">
        <v>22</v>
      </c>
      <c r="I136" s="25" t="s">
        <v>40</v>
      </c>
    </row>
    <row r="137" spans="2:14" ht="18" customHeight="1">
      <c r="B137" s="648" t="s">
        <v>94</v>
      </c>
      <c r="C137" s="649" t="s">
        <v>95</v>
      </c>
      <c r="D137" s="654">
        <f>E116</f>
        <v>0</v>
      </c>
      <c r="E137" s="646"/>
      <c r="F137" s="646"/>
      <c r="G137" s="250"/>
      <c r="H137" s="250">
        <v>1.3360000000000001</v>
      </c>
      <c r="I137" s="59">
        <f>ROUND(D137*H137*G137/1000,3)</f>
        <v>0</v>
      </c>
    </row>
    <row r="138" spans="2:14" ht="18" customHeight="1">
      <c r="B138" s="648"/>
      <c r="C138" s="651"/>
      <c r="D138" s="654"/>
      <c r="E138" s="646"/>
      <c r="F138" s="646"/>
      <c r="G138" s="250"/>
      <c r="H138" s="250">
        <f>H137</f>
        <v>1.3360000000000001</v>
      </c>
      <c r="I138" s="59">
        <f>ROUND(D138*H138*G138/1000,3)</f>
        <v>0</v>
      </c>
    </row>
    <row r="139" spans="2:14" ht="18" customHeight="1">
      <c r="B139" s="48" t="s">
        <v>42</v>
      </c>
      <c r="C139" s="49">
        <f>SUMPRODUCT(D137:F138*G137:G138)/1000</f>
        <v>0</v>
      </c>
      <c r="D139" s="50" t="s">
        <v>43</v>
      </c>
      <c r="E139" s="49">
        <f>SUM(I137:I138)*1.1</f>
        <v>0</v>
      </c>
      <c r="F139" s="50" t="s">
        <v>44</v>
      </c>
      <c r="G139" s="51">
        <f>(C$218+C$219)/1000</f>
        <v>46.081499999999998</v>
      </c>
      <c r="H139" s="52" t="s">
        <v>45</v>
      </c>
      <c r="I139" s="53">
        <f>ROUND(E139*G139,2)</f>
        <v>0</v>
      </c>
    </row>
    <row r="140" spans="2:14" ht="18" customHeight="1">
      <c r="B140" s="48" t="s">
        <v>46</v>
      </c>
      <c r="C140" s="50">
        <v>143.24</v>
      </c>
      <c r="D140" s="50" t="s">
        <v>47</v>
      </c>
      <c r="E140" s="49">
        <f>ROUND(C139*(C140/1000),2)</f>
        <v>0</v>
      </c>
      <c r="F140" s="50" t="s">
        <v>48</v>
      </c>
      <c r="G140" s="50">
        <f>G$23</f>
        <v>10</v>
      </c>
      <c r="H140" s="52" t="s">
        <v>49</v>
      </c>
      <c r="I140" s="53">
        <f>E140*G140</f>
        <v>0</v>
      </c>
    </row>
    <row r="141" spans="2:14" ht="18" customHeight="1">
      <c r="B141" s="48" t="s">
        <v>50</v>
      </c>
      <c r="C141" s="50">
        <v>85.04</v>
      </c>
      <c r="D141" s="50" t="s">
        <v>51</v>
      </c>
      <c r="E141" s="49">
        <f>ROUND(C139*(C141/1000),2)</f>
        <v>0</v>
      </c>
      <c r="F141" s="50" t="s">
        <v>48</v>
      </c>
      <c r="G141" s="50">
        <f>G$24</f>
        <v>10</v>
      </c>
      <c r="H141" s="52" t="s">
        <v>49</v>
      </c>
      <c r="I141" s="53">
        <f>E141*G141</f>
        <v>0</v>
      </c>
    </row>
    <row r="142" spans="2:14" ht="18" customHeight="1">
      <c r="B142" s="23" t="s">
        <v>36</v>
      </c>
      <c r="C142" s="252" t="s">
        <v>14</v>
      </c>
      <c r="D142" s="252" t="s">
        <v>37</v>
      </c>
      <c r="E142" s="252" t="s">
        <v>38</v>
      </c>
      <c r="F142" s="252" t="s">
        <v>39</v>
      </c>
      <c r="G142" s="252" t="s">
        <v>8</v>
      </c>
      <c r="H142" s="252" t="s">
        <v>22</v>
      </c>
      <c r="I142" s="25" t="s">
        <v>40</v>
      </c>
    </row>
    <row r="143" spans="2:14" ht="18" customHeight="1">
      <c r="B143" s="648" t="s">
        <v>96</v>
      </c>
      <c r="C143" s="653" t="s">
        <v>83</v>
      </c>
      <c r="D143" s="253">
        <f t="shared" ref="D143:E145" si="20">D116-154</f>
        <v>-154</v>
      </c>
      <c r="E143" s="253">
        <f t="shared" si="20"/>
        <v>-154</v>
      </c>
      <c r="F143" s="253">
        <f>(D143+E143)*2/1000</f>
        <v>-0.61599999999999999</v>
      </c>
      <c r="G143" s="250">
        <f>G116</f>
        <v>0</v>
      </c>
      <c r="H143" s="250">
        <v>0.27100000000000002</v>
      </c>
      <c r="I143" s="59">
        <f>ROUND((F143*G143)*H143,3)</f>
        <v>0</v>
      </c>
    </row>
    <row r="144" spans="2:14" ht="18" customHeight="1">
      <c r="B144" s="648"/>
      <c r="C144" s="650"/>
      <c r="D144" s="253">
        <f t="shared" si="20"/>
        <v>-154</v>
      </c>
      <c r="E144" s="253">
        <f t="shared" si="20"/>
        <v>-154</v>
      </c>
      <c r="F144" s="253">
        <f>(D144+E144)*2/1000</f>
        <v>-0.61599999999999999</v>
      </c>
      <c r="G144" s="250">
        <f>G117</f>
        <v>0</v>
      </c>
      <c r="H144" s="250">
        <f>H143</f>
        <v>0.27100000000000002</v>
      </c>
      <c r="I144" s="59">
        <f>ROUND((F144*G144)*H144,3)</f>
        <v>0</v>
      </c>
    </row>
    <row r="145" spans="2:14" ht="18" customHeight="1">
      <c r="B145" s="648"/>
      <c r="C145" s="651"/>
      <c r="D145" s="253">
        <f t="shared" si="20"/>
        <v>-154</v>
      </c>
      <c r="E145" s="253">
        <f t="shared" si="20"/>
        <v>-154</v>
      </c>
      <c r="F145" s="253">
        <f>(D145+E145)*2/1000</f>
        <v>-0.61599999999999999</v>
      </c>
      <c r="G145" s="250">
        <f>G118</f>
        <v>0</v>
      </c>
      <c r="H145" s="250">
        <f>H144</f>
        <v>0.27100000000000002</v>
      </c>
      <c r="I145" s="59">
        <f>ROUND((F145*G145)*H145,3)</f>
        <v>0</v>
      </c>
    </row>
    <row r="146" spans="2:14" ht="18" customHeight="1">
      <c r="B146" s="48" t="s">
        <v>42</v>
      </c>
      <c r="C146" s="49">
        <f>SUMPRODUCT(F143:F145*G143:G145)</f>
        <v>0</v>
      </c>
      <c r="D146" s="50" t="s">
        <v>43</v>
      </c>
      <c r="E146" s="49">
        <f>SUM(I143:I145)*1.1</f>
        <v>0</v>
      </c>
      <c r="F146" s="50" t="s">
        <v>44</v>
      </c>
      <c r="G146" s="51">
        <f>(C$218+C$222)/1000</f>
        <v>39.781500000000001</v>
      </c>
      <c r="H146" s="52" t="s">
        <v>45</v>
      </c>
      <c r="I146" s="53">
        <f>ROUND(E146*G146,2)</f>
        <v>0</v>
      </c>
    </row>
    <row r="147" spans="2:14" ht="18" customHeight="1">
      <c r="B147" s="48" t="s">
        <v>46</v>
      </c>
      <c r="C147" s="50">
        <v>186.72</v>
      </c>
      <c r="D147" s="50" t="s">
        <v>47</v>
      </c>
      <c r="E147" s="49">
        <f>ROUND(C146*(C147/1000),2)</f>
        <v>0</v>
      </c>
      <c r="F147" s="50" t="s">
        <v>48</v>
      </c>
      <c r="G147" s="50">
        <f>G$23</f>
        <v>10</v>
      </c>
      <c r="H147" s="52" t="s">
        <v>49</v>
      </c>
      <c r="I147" s="53">
        <f>E147*G147</f>
        <v>0</v>
      </c>
      <c r="K147" s="42"/>
      <c r="L147" s="42"/>
      <c r="M147" s="42"/>
    </row>
    <row r="148" spans="2:14" ht="18" customHeight="1">
      <c r="B148" s="48" t="s">
        <v>50</v>
      </c>
      <c r="C148" s="50">
        <v>0</v>
      </c>
      <c r="D148" s="50" t="s">
        <v>51</v>
      </c>
      <c r="E148" s="49">
        <f>ROUND(C146*(C148/1000),2)</f>
        <v>0</v>
      </c>
      <c r="F148" s="50" t="s">
        <v>48</v>
      </c>
      <c r="G148" s="50">
        <f>G$24</f>
        <v>10</v>
      </c>
      <c r="H148" s="52" t="s">
        <v>49</v>
      </c>
      <c r="I148" s="53">
        <f>E148*G148</f>
        <v>0</v>
      </c>
      <c r="K148" s="42"/>
      <c r="L148" s="42"/>
      <c r="M148" s="42"/>
    </row>
    <row r="149" spans="2:14" ht="18" customHeight="1">
      <c r="B149" s="23" t="s">
        <v>36</v>
      </c>
      <c r="C149" s="252" t="s">
        <v>14</v>
      </c>
      <c r="D149" s="252" t="s">
        <v>37</v>
      </c>
      <c r="E149" s="252" t="s">
        <v>38</v>
      </c>
      <c r="F149" s="252" t="s">
        <v>39</v>
      </c>
      <c r="G149" s="252" t="s">
        <v>8</v>
      </c>
      <c r="H149" s="252" t="s">
        <v>22</v>
      </c>
      <c r="I149" s="25" t="s">
        <v>40</v>
      </c>
      <c r="K149" s="42"/>
      <c r="L149" s="42"/>
      <c r="M149" s="42"/>
    </row>
    <row r="150" spans="2:14" ht="18" customHeight="1">
      <c r="B150" s="648" t="s">
        <v>97</v>
      </c>
      <c r="C150" s="653" t="s">
        <v>83</v>
      </c>
      <c r="D150" s="253">
        <f t="shared" ref="D150:E152" si="21">D123-160</f>
        <v>-160</v>
      </c>
      <c r="E150" s="253">
        <f t="shared" si="21"/>
        <v>-160</v>
      </c>
      <c r="F150" s="253">
        <f>(D150+E150)*2/1000</f>
        <v>-0.64</v>
      </c>
      <c r="G150" s="250">
        <f>G123</f>
        <v>0</v>
      </c>
      <c r="H150" s="250">
        <f>H145</f>
        <v>0.27100000000000002</v>
      </c>
      <c r="I150" s="59">
        <f>ROUND((F150*G150)*H150,3)</f>
        <v>0</v>
      </c>
      <c r="K150" s="42"/>
      <c r="L150" s="42"/>
      <c r="M150" s="42"/>
    </row>
    <row r="151" spans="2:14" ht="18" customHeight="1">
      <c r="B151" s="648"/>
      <c r="C151" s="650"/>
      <c r="D151" s="253">
        <f t="shared" si="21"/>
        <v>-160</v>
      </c>
      <c r="E151" s="253">
        <f t="shared" si="21"/>
        <v>-160</v>
      </c>
      <c r="F151" s="253">
        <f>(D151+E151)*2/1000</f>
        <v>-0.64</v>
      </c>
      <c r="G151" s="250">
        <f>G124</f>
        <v>0</v>
      </c>
      <c r="H151" s="250">
        <f>H150</f>
        <v>0.27100000000000002</v>
      </c>
      <c r="I151" s="59">
        <f>ROUND((F151*G151)*H151,3)</f>
        <v>0</v>
      </c>
      <c r="K151" s="42"/>
      <c r="L151" s="42"/>
      <c r="M151" s="42"/>
    </row>
    <row r="152" spans="2:14" ht="18" customHeight="1">
      <c r="B152" s="648"/>
      <c r="C152" s="651"/>
      <c r="D152" s="253">
        <f t="shared" si="21"/>
        <v>-160</v>
      </c>
      <c r="E152" s="253">
        <f t="shared" si="21"/>
        <v>-160</v>
      </c>
      <c r="F152" s="253">
        <f>(D152+E152)*2/1000</f>
        <v>-0.64</v>
      </c>
      <c r="G152" s="250">
        <f>G125</f>
        <v>0</v>
      </c>
      <c r="H152" s="250">
        <f>H151</f>
        <v>0.27100000000000002</v>
      </c>
      <c r="I152" s="59">
        <f>ROUND((F152*G152)*H152,3)</f>
        <v>0</v>
      </c>
      <c r="K152" s="42"/>
      <c r="L152" s="42"/>
      <c r="M152" s="42"/>
    </row>
    <row r="153" spans="2:14" ht="18" customHeight="1">
      <c r="B153" s="48" t="s">
        <v>42</v>
      </c>
      <c r="C153" s="49">
        <f>SUMPRODUCT(F150:F152*G150:G152)</f>
        <v>0</v>
      </c>
      <c r="D153" s="50" t="s">
        <v>43</v>
      </c>
      <c r="E153" s="49">
        <f>SUM(I150:I152)*1.1</f>
        <v>0</v>
      </c>
      <c r="F153" s="50" t="s">
        <v>44</v>
      </c>
      <c r="G153" s="51">
        <f>(C$218+C$222)/1000</f>
        <v>39.781500000000001</v>
      </c>
      <c r="H153" s="52" t="s">
        <v>45</v>
      </c>
      <c r="I153" s="53">
        <f>ROUND(E153*G153,2)</f>
        <v>0</v>
      </c>
      <c r="K153" s="42"/>
      <c r="L153" s="42"/>
      <c r="M153" s="42"/>
    </row>
    <row r="154" spans="2:14" ht="18" customHeight="1">
      <c r="B154" s="48" t="s">
        <v>46</v>
      </c>
      <c r="C154" s="50">
        <v>186.72</v>
      </c>
      <c r="D154" s="50" t="s">
        <v>47</v>
      </c>
      <c r="E154" s="49">
        <f>ROUND(C153*(C154/1000),2)</f>
        <v>0</v>
      </c>
      <c r="F154" s="50" t="s">
        <v>48</v>
      </c>
      <c r="G154" s="50">
        <f>G$23</f>
        <v>10</v>
      </c>
      <c r="H154" s="52" t="s">
        <v>49</v>
      </c>
      <c r="I154" s="53">
        <f>E154*G154</f>
        <v>0</v>
      </c>
    </row>
    <row r="155" spans="2:14" ht="18" customHeight="1" thickBot="1">
      <c r="B155" s="48" t="s">
        <v>50</v>
      </c>
      <c r="C155" s="50">
        <v>0</v>
      </c>
      <c r="D155" s="50" t="s">
        <v>51</v>
      </c>
      <c r="E155" s="49">
        <f>ROUND(C153*(C155/1000),2)</f>
        <v>0</v>
      </c>
      <c r="F155" s="50" t="s">
        <v>48</v>
      </c>
      <c r="G155" s="50">
        <f>G$24</f>
        <v>10</v>
      </c>
      <c r="H155" s="52" t="s">
        <v>49</v>
      </c>
      <c r="I155" s="53">
        <f>E155*G155</f>
        <v>0</v>
      </c>
    </row>
    <row r="156" spans="2:14" ht="18" customHeight="1" thickBot="1">
      <c r="B156" s="23" t="s">
        <v>36</v>
      </c>
      <c r="C156" s="252" t="s">
        <v>14</v>
      </c>
      <c r="D156" s="252" t="s">
        <v>37</v>
      </c>
      <c r="E156" s="252" t="s">
        <v>38</v>
      </c>
      <c r="F156" s="252" t="s">
        <v>39</v>
      </c>
      <c r="G156" s="252" t="s">
        <v>8</v>
      </c>
      <c r="H156" s="252" t="s">
        <v>22</v>
      </c>
      <c r="I156" s="25" t="s">
        <v>40</v>
      </c>
      <c r="J156" s="54" t="s">
        <v>2</v>
      </c>
      <c r="K156" s="55" t="s">
        <v>3</v>
      </c>
      <c r="L156" s="55" t="s">
        <v>61</v>
      </c>
      <c r="M156" s="55" t="s">
        <v>62</v>
      </c>
      <c r="N156" s="70" t="s">
        <v>14</v>
      </c>
    </row>
    <row r="157" spans="2:14" ht="18" customHeight="1">
      <c r="B157" s="648" t="s">
        <v>98</v>
      </c>
      <c r="C157" s="649" t="s">
        <v>99</v>
      </c>
      <c r="D157" s="253">
        <f t="shared" ref="D157:E162" si="22">J157-IF(L157=1,90,IF(L157=2,67.5,IF(L157=3,45,0)))</f>
        <v>0</v>
      </c>
      <c r="E157" s="253">
        <f t="shared" si="22"/>
        <v>0</v>
      </c>
      <c r="F157" s="253">
        <f t="shared" ref="F157:F162" si="23">2*(D157+E157)/1000</f>
        <v>0</v>
      </c>
      <c r="G157" s="250">
        <v>0</v>
      </c>
      <c r="H157" s="250">
        <f>H68</f>
        <v>0.224</v>
      </c>
      <c r="I157" s="59">
        <f t="shared" ref="I157:I162" si="24">ROUND((F157*G157)*H157,3)</f>
        <v>0</v>
      </c>
      <c r="J157" s="60"/>
      <c r="K157" s="61"/>
      <c r="L157" s="61"/>
      <c r="M157" s="61"/>
      <c r="N157" s="76" t="s">
        <v>56</v>
      </c>
    </row>
    <row r="158" spans="2:14" ht="18" customHeight="1">
      <c r="B158" s="648"/>
      <c r="C158" s="650"/>
      <c r="D158" s="253">
        <f t="shared" si="22"/>
        <v>0</v>
      </c>
      <c r="E158" s="253">
        <f t="shared" si="22"/>
        <v>0</v>
      </c>
      <c r="F158" s="253">
        <f t="shared" si="23"/>
        <v>0</v>
      </c>
      <c r="G158" s="250"/>
      <c r="H158" s="250">
        <f>H157</f>
        <v>0.224</v>
      </c>
      <c r="I158" s="59">
        <f t="shared" si="24"/>
        <v>0</v>
      </c>
      <c r="J158" s="60"/>
      <c r="K158" s="61"/>
      <c r="L158" s="61"/>
      <c r="M158" s="61"/>
      <c r="N158" s="76" t="s">
        <v>58</v>
      </c>
    </row>
    <row r="159" spans="2:14" ht="18" customHeight="1">
      <c r="B159" s="648"/>
      <c r="C159" s="650"/>
      <c r="D159" s="253">
        <f t="shared" si="22"/>
        <v>0</v>
      </c>
      <c r="E159" s="253">
        <f t="shared" si="22"/>
        <v>0</v>
      </c>
      <c r="F159" s="253">
        <f t="shared" si="23"/>
        <v>0</v>
      </c>
      <c r="G159" s="250"/>
      <c r="H159" s="250">
        <f>H158</f>
        <v>0.224</v>
      </c>
      <c r="I159" s="59">
        <f t="shared" si="24"/>
        <v>0</v>
      </c>
      <c r="J159" s="60"/>
      <c r="K159" s="61"/>
      <c r="L159" s="61"/>
      <c r="M159" s="61"/>
      <c r="N159" s="76" t="s">
        <v>60</v>
      </c>
    </row>
    <row r="160" spans="2:14" ht="18" customHeight="1">
      <c r="B160" s="648"/>
      <c r="C160" s="650"/>
      <c r="D160" s="253">
        <f t="shared" si="22"/>
        <v>0</v>
      </c>
      <c r="E160" s="253">
        <f t="shared" si="22"/>
        <v>0</v>
      </c>
      <c r="F160" s="253">
        <f t="shared" si="23"/>
        <v>0</v>
      </c>
      <c r="G160" s="250">
        <v>0</v>
      </c>
      <c r="H160" s="77">
        <f>H159</f>
        <v>0.224</v>
      </c>
      <c r="I160" s="59">
        <f t="shared" si="24"/>
        <v>0</v>
      </c>
      <c r="J160" s="60"/>
      <c r="K160" s="61"/>
      <c r="L160" s="61"/>
      <c r="M160" s="61"/>
      <c r="N160" s="76"/>
    </row>
    <row r="161" spans="2:16" ht="18" customHeight="1">
      <c r="B161" s="648"/>
      <c r="C161" s="650"/>
      <c r="D161" s="253">
        <f t="shared" si="22"/>
        <v>0</v>
      </c>
      <c r="E161" s="253">
        <f t="shared" si="22"/>
        <v>0</v>
      </c>
      <c r="F161" s="253">
        <f t="shared" si="23"/>
        <v>0</v>
      </c>
      <c r="G161" s="250"/>
      <c r="H161" s="250">
        <f>H160</f>
        <v>0.224</v>
      </c>
      <c r="I161" s="59">
        <f t="shared" si="24"/>
        <v>0</v>
      </c>
      <c r="J161" s="60"/>
      <c r="K161" s="61"/>
      <c r="L161" s="61"/>
      <c r="M161" s="61"/>
      <c r="N161" s="76"/>
    </row>
    <row r="162" spans="2:16" ht="18" customHeight="1" thickBot="1">
      <c r="B162" s="648"/>
      <c r="C162" s="651"/>
      <c r="D162" s="253">
        <f t="shared" si="22"/>
        <v>0</v>
      </c>
      <c r="E162" s="253">
        <f t="shared" si="22"/>
        <v>0</v>
      </c>
      <c r="F162" s="253">
        <f t="shared" si="23"/>
        <v>0</v>
      </c>
      <c r="G162" s="250"/>
      <c r="H162" s="250">
        <f>H160</f>
        <v>0.224</v>
      </c>
      <c r="I162" s="59">
        <f t="shared" si="24"/>
        <v>0</v>
      </c>
      <c r="J162" s="64"/>
      <c r="K162" s="65"/>
      <c r="L162" s="65"/>
      <c r="M162" s="65"/>
      <c r="N162" s="80"/>
    </row>
    <row r="163" spans="2:16" ht="18" customHeight="1">
      <c r="B163" s="48" t="s">
        <v>42</v>
      </c>
      <c r="C163" s="49">
        <f>SUMPRODUCT(F157:F162*G157:G162)</f>
        <v>0</v>
      </c>
      <c r="D163" s="50" t="s">
        <v>43</v>
      </c>
      <c r="E163" s="49">
        <f>SUM(I157:I162)*1.1</f>
        <v>0</v>
      </c>
      <c r="F163" s="50" t="s">
        <v>44</v>
      </c>
      <c r="G163" s="51">
        <f>(C$218+C$222)/1000</f>
        <v>39.781500000000001</v>
      </c>
      <c r="H163" s="52" t="s">
        <v>45</v>
      </c>
      <c r="I163" s="53">
        <f>ROUND(E163*G163,2)</f>
        <v>0</v>
      </c>
      <c r="J163" s="102"/>
      <c r="K163" s="102"/>
      <c r="L163" s="102"/>
      <c r="M163" s="102"/>
      <c r="O163" s="102"/>
      <c r="P163" s="102"/>
    </row>
    <row r="164" spans="2:16" ht="18" customHeight="1">
      <c r="B164" s="48" t="s">
        <v>46</v>
      </c>
      <c r="C164" s="50">
        <v>181.72</v>
      </c>
      <c r="D164" s="50" t="s">
        <v>47</v>
      </c>
      <c r="E164" s="49">
        <f>ROUND(C163*(C164/1000),2)</f>
        <v>0</v>
      </c>
      <c r="F164" s="50" t="s">
        <v>48</v>
      </c>
      <c r="G164" s="50">
        <f>G$23</f>
        <v>10</v>
      </c>
      <c r="H164" s="52" t="s">
        <v>49</v>
      </c>
      <c r="I164" s="53">
        <f>E164*G164</f>
        <v>0</v>
      </c>
      <c r="J164" s="102"/>
      <c r="K164" s="102"/>
      <c r="L164" s="102"/>
      <c r="M164" s="102"/>
      <c r="O164" s="102"/>
      <c r="P164" s="102"/>
    </row>
    <row r="165" spans="2:16" ht="18" customHeight="1">
      <c r="B165" s="48" t="s">
        <v>50</v>
      </c>
      <c r="C165" s="50"/>
      <c r="D165" s="50" t="s">
        <v>51</v>
      </c>
      <c r="E165" s="49">
        <f>ROUND(C163*(C165/1000),2)</f>
        <v>0</v>
      </c>
      <c r="F165" s="50" t="s">
        <v>48</v>
      </c>
      <c r="G165" s="50">
        <f>G$24</f>
        <v>10</v>
      </c>
      <c r="H165" s="52" t="s">
        <v>49</v>
      </c>
      <c r="I165" s="53">
        <f>E165*G165</f>
        <v>0</v>
      </c>
      <c r="K165" s="43">
        <f>J165*E165</f>
        <v>0</v>
      </c>
    </row>
    <row r="166" spans="2:16" ht="18" customHeight="1">
      <c r="B166" s="23" t="s">
        <v>36</v>
      </c>
      <c r="C166" s="252" t="s">
        <v>14</v>
      </c>
      <c r="D166" s="252" t="s">
        <v>37</v>
      </c>
      <c r="E166" s="252" t="s">
        <v>71</v>
      </c>
      <c r="F166" s="252" t="s">
        <v>38</v>
      </c>
      <c r="G166" s="252" t="s">
        <v>72</v>
      </c>
      <c r="H166" s="252" t="s">
        <v>22</v>
      </c>
      <c r="I166" s="25" t="s">
        <v>40</v>
      </c>
    </row>
    <row r="167" spans="2:16" ht="18" customHeight="1">
      <c r="B167" s="648" t="s">
        <v>100</v>
      </c>
      <c r="C167" s="649" t="s">
        <v>101</v>
      </c>
      <c r="D167" s="250"/>
      <c r="E167" s="250"/>
      <c r="F167" s="250"/>
      <c r="G167" s="250"/>
      <c r="H167" s="28">
        <v>6.3E-2</v>
      </c>
      <c r="I167" s="59">
        <f>ROUND((D167*E167+F167*G167)/1000*H167,3)</f>
        <v>0</v>
      </c>
    </row>
    <row r="168" spans="2:16" ht="18" customHeight="1">
      <c r="B168" s="648"/>
      <c r="C168" s="650"/>
      <c r="D168" s="250"/>
      <c r="E168" s="250"/>
      <c r="F168" s="250"/>
      <c r="G168" s="250"/>
      <c r="H168" s="28">
        <f>H167</f>
        <v>6.3E-2</v>
      </c>
      <c r="I168" s="59">
        <f>ROUND((D168*E168+F168*G168)/1000*H168,3)</f>
        <v>0</v>
      </c>
    </row>
    <row r="169" spans="2:16" ht="18" customHeight="1">
      <c r="B169" s="648"/>
      <c r="C169" s="651"/>
      <c r="D169" s="250"/>
      <c r="E169" s="250"/>
      <c r="F169" s="250"/>
      <c r="G169" s="250"/>
      <c r="H169" s="28">
        <f>H168</f>
        <v>6.3E-2</v>
      </c>
      <c r="I169" s="59">
        <f>ROUND((D169*E169+F169*G169)/1000*H169,3)</f>
        <v>0</v>
      </c>
    </row>
    <row r="170" spans="2:16" ht="18" customHeight="1">
      <c r="B170" s="48" t="s">
        <v>42</v>
      </c>
      <c r="C170" s="49">
        <f>SUMPRODUCT(D167:D169*E167:E169+F167:F169*G167:G169)/1000</f>
        <v>0</v>
      </c>
      <c r="D170" s="50" t="s">
        <v>43</v>
      </c>
      <c r="E170" s="49">
        <f>SUM(I167:I169)*1.1</f>
        <v>0</v>
      </c>
      <c r="F170" s="50" t="s">
        <v>44</v>
      </c>
      <c r="G170" s="51">
        <f>(C$218+$C$222)/1000</f>
        <v>39.781500000000001</v>
      </c>
      <c r="H170" s="52" t="s">
        <v>45</v>
      </c>
      <c r="I170" s="53">
        <f>ROUND(E170*G170,2)</f>
        <v>0</v>
      </c>
    </row>
    <row r="171" spans="2:16" ht="18" customHeight="1">
      <c r="B171" s="48" t="s">
        <v>46</v>
      </c>
      <c r="C171" s="50">
        <v>105.66</v>
      </c>
      <c r="D171" s="50" t="s">
        <v>47</v>
      </c>
      <c r="E171" s="49">
        <f>ROUND(C170*(C171/1000),2)</f>
        <v>0</v>
      </c>
      <c r="F171" s="50" t="s">
        <v>48</v>
      </c>
      <c r="G171" s="50">
        <f>G$23</f>
        <v>10</v>
      </c>
      <c r="H171" s="52" t="s">
        <v>49</v>
      </c>
      <c r="I171" s="53">
        <f>E171*G171</f>
        <v>0</v>
      </c>
    </row>
    <row r="172" spans="2:16" ht="18" customHeight="1">
      <c r="B172" s="48" t="s">
        <v>50</v>
      </c>
      <c r="C172" s="50">
        <v>125.66</v>
      </c>
      <c r="D172" s="50" t="s">
        <v>51</v>
      </c>
      <c r="E172" s="49">
        <f>ROUND(C170*(C172/1000),2)</f>
        <v>0</v>
      </c>
      <c r="F172" s="50" t="s">
        <v>48</v>
      </c>
      <c r="G172" s="50">
        <f>G$24</f>
        <v>10</v>
      </c>
      <c r="H172" s="52" t="s">
        <v>49</v>
      </c>
      <c r="I172" s="53">
        <f>E172*G172</f>
        <v>0</v>
      </c>
    </row>
    <row r="173" spans="2:16" ht="18" customHeight="1">
      <c r="B173" s="23" t="s">
        <v>36</v>
      </c>
      <c r="C173" s="252" t="s">
        <v>14</v>
      </c>
      <c r="D173" s="252" t="s">
        <v>37</v>
      </c>
      <c r="E173" s="252" t="s">
        <v>71</v>
      </c>
      <c r="F173" s="252" t="s">
        <v>38</v>
      </c>
      <c r="G173" s="252" t="s">
        <v>72</v>
      </c>
      <c r="H173" s="252" t="s">
        <v>22</v>
      </c>
      <c r="I173" s="25" t="s">
        <v>40</v>
      </c>
    </row>
    <row r="174" spans="2:16" ht="18" customHeight="1">
      <c r="B174" s="648" t="s">
        <v>102</v>
      </c>
      <c r="C174" s="649" t="s">
        <v>103</v>
      </c>
      <c r="D174" s="250"/>
      <c r="E174" s="250"/>
      <c r="F174" s="250"/>
      <c r="G174" s="250"/>
      <c r="H174" s="28">
        <v>1.0980000000000001</v>
      </c>
      <c r="I174" s="59">
        <f>ROUND((D174*E174+F174*G174)/1000*H174,3)</f>
        <v>0</v>
      </c>
    </row>
    <row r="175" spans="2:16" ht="18" customHeight="1">
      <c r="B175" s="648"/>
      <c r="C175" s="650"/>
      <c r="D175" s="250"/>
      <c r="E175" s="250"/>
      <c r="F175" s="250"/>
      <c r="G175" s="250"/>
      <c r="H175" s="28">
        <f>H174</f>
        <v>1.0980000000000001</v>
      </c>
      <c r="I175" s="59">
        <f>ROUND((D175*E175+F175*G175)/1000*H175,3)</f>
        <v>0</v>
      </c>
    </row>
    <row r="176" spans="2:16" ht="18" customHeight="1">
      <c r="B176" s="648"/>
      <c r="C176" s="651"/>
      <c r="D176" s="250"/>
      <c r="E176" s="250"/>
      <c r="F176" s="250"/>
      <c r="G176" s="250"/>
      <c r="H176" s="28">
        <f>H175</f>
        <v>1.0980000000000001</v>
      </c>
      <c r="I176" s="59">
        <f>ROUND((D176*E176+F176*G176)/1000*H176,3)</f>
        <v>0</v>
      </c>
    </row>
    <row r="177" spans="2:9" ht="18" customHeight="1">
      <c r="B177" s="48" t="s">
        <v>42</v>
      </c>
      <c r="C177" s="49">
        <f>SUMPRODUCT(D174:D176*E174:E176+F174:F176*G174:G176)/1000</f>
        <v>0</v>
      </c>
      <c r="D177" s="50" t="s">
        <v>43</v>
      </c>
      <c r="E177" s="49">
        <f>SUM(I174:I176)*1.1</f>
        <v>0</v>
      </c>
      <c r="F177" s="50" t="s">
        <v>44</v>
      </c>
      <c r="G177" s="51">
        <f>(C$218+C$219)/1000</f>
        <v>46.081499999999998</v>
      </c>
      <c r="H177" s="52" t="s">
        <v>45</v>
      </c>
      <c r="I177" s="53">
        <f>ROUND(E177*G177,2)</f>
        <v>0</v>
      </c>
    </row>
    <row r="178" spans="2:9" ht="18" customHeight="1">
      <c r="B178" s="48" t="s">
        <v>46</v>
      </c>
      <c r="C178" s="50">
        <v>105.66</v>
      </c>
      <c r="D178" s="50" t="s">
        <v>47</v>
      </c>
      <c r="E178" s="49">
        <f>ROUND(C177*(C178/1000),2)</f>
        <v>0</v>
      </c>
      <c r="F178" s="50" t="s">
        <v>48</v>
      </c>
      <c r="G178" s="50">
        <f>G$23</f>
        <v>10</v>
      </c>
      <c r="H178" s="52" t="s">
        <v>49</v>
      </c>
      <c r="I178" s="53">
        <f>E178*G178</f>
        <v>0</v>
      </c>
    </row>
    <row r="179" spans="2:9" ht="18" customHeight="1">
      <c r="B179" s="48" t="s">
        <v>50</v>
      </c>
      <c r="C179" s="50">
        <v>125.66</v>
      </c>
      <c r="D179" s="50" t="s">
        <v>51</v>
      </c>
      <c r="E179" s="49">
        <f>ROUND(C177*(C179/1000),2)</f>
        <v>0</v>
      </c>
      <c r="F179" s="50" t="s">
        <v>48</v>
      </c>
      <c r="G179" s="50">
        <f>G$24</f>
        <v>10</v>
      </c>
      <c r="H179" s="52" t="s">
        <v>49</v>
      </c>
      <c r="I179" s="53">
        <f>E179*G179</f>
        <v>0</v>
      </c>
    </row>
    <row r="180" spans="2:9" ht="18" customHeight="1">
      <c r="B180" s="23" t="s">
        <v>36</v>
      </c>
      <c r="C180" s="252" t="s">
        <v>14</v>
      </c>
      <c r="D180" s="252" t="s">
        <v>37</v>
      </c>
      <c r="E180" s="252" t="s">
        <v>71</v>
      </c>
      <c r="F180" s="252" t="s">
        <v>38</v>
      </c>
      <c r="G180" s="252" t="s">
        <v>72</v>
      </c>
      <c r="H180" s="252" t="s">
        <v>22</v>
      </c>
      <c r="I180" s="25" t="s">
        <v>40</v>
      </c>
    </row>
    <row r="181" spans="2:9" ht="18" customHeight="1">
      <c r="B181" s="648" t="s">
        <v>104</v>
      </c>
      <c r="C181" s="649" t="s">
        <v>105</v>
      </c>
      <c r="D181" s="250">
        <f>D6</f>
        <v>2320</v>
      </c>
      <c r="E181" s="250">
        <v>1</v>
      </c>
      <c r="F181" s="250"/>
      <c r="G181" s="250"/>
      <c r="H181" s="28">
        <v>1.5629999999999999</v>
      </c>
      <c r="I181" s="59">
        <f>ROUND((D181*E181+F181*G181)/1000*H181,3)</f>
        <v>3.6259999999999999</v>
      </c>
    </row>
    <row r="182" spans="2:9" ht="18" customHeight="1">
      <c r="B182" s="648"/>
      <c r="C182" s="650"/>
      <c r="D182" s="250"/>
      <c r="E182" s="250"/>
      <c r="F182" s="250"/>
      <c r="G182" s="250"/>
      <c r="H182" s="28">
        <f>H181</f>
        <v>1.5629999999999999</v>
      </c>
      <c r="I182" s="59">
        <f>ROUND((D182*E182+F182*G182)/1000*H182,3)</f>
        <v>0</v>
      </c>
    </row>
    <row r="183" spans="2:9" ht="18" customHeight="1">
      <c r="B183" s="648"/>
      <c r="C183" s="651"/>
      <c r="D183" s="250"/>
      <c r="E183" s="250"/>
      <c r="F183" s="250"/>
      <c r="G183" s="250"/>
      <c r="H183" s="28">
        <f>H182</f>
        <v>1.5629999999999999</v>
      </c>
      <c r="I183" s="59">
        <f>ROUND((D183*E183+F183*G183)/1000*H183,3)</f>
        <v>0</v>
      </c>
    </row>
    <row r="184" spans="2:9" ht="18" customHeight="1">
      <c r="B184" s="48" t="s">
        <v>42</v>
      </c>
      <c r="C184" s="49">
        <f>SUMPRODUCT(D181:D183*E181:E183+F181:F183*G181:G183)/1000</f>
        <v>2.3199999999999998</v>
      </c>
      <c r="D184" s="50" t="s">
        <v>43</v>
      </c>
      <c r="E184" s="49">
        <f>SUM(I181:I183)*1.1</f>
        <v>3.9886000000000004</v>
      </c>
      <c r="F184" s="50" t="s">
        <v>44</v>
      </c>
      <c r="G184" s="51">
        <f>(C$218+C$219)/1000</f>
        <v>46.081499999999998</v>
      </c>
      <c r="H184" s="52" t="s">
        <v>45</v>
      </c>
      <c r="I184" s="53">
        <f>ROUND(E184*G184,2)</f>
        <v>183.8</v>
      </c>
    </row>
    <row r="185" spans="2:9" ht="18" customHeight="1">
      <c r="B185" s="48" t="s">
        <v>46</v>
      </c>
      <c r="C185" s="50">
        <v>105.66</v>
      </c>
      <c r="D185" s="50" t="s">
        <v>47</v>
      </c>
      <c r="E185" s="49">
        <f>ROUND(C184*(C185/1000),2)</f>
        <v>0.25</v>
      </c>
      <c r="F185" s="50" t="s">
        <v>48</v>
      </c>
      <c r="G185" s="50">
        <f>G$23</f>
        <v>10</v>
      </c>
      <c r="H185" s="52" t="s">
        <v>49</v>
      </c>
      <c r="I185" s="53">
        <f>E185*G185</f>
        <v>2.5</v>
      </c>
    </row>
    <row r="186" spans="2:9" ht="18" customHeight="1">
      <c r="B186" s="48" t="s">
        <v>50</v>
      </c>
      <c r="C186" s="50">
        <v>125.66</v>
      </c>
      <c r="D186" s="50" t="s">
        <v>51</v>
      </c>
      <c r="E186" s="49">
        <f>ROUND(C184*(C186/1000),2)</f>
        <v>0.28999999999999998</v>
      </c>
      <c r="F186" s="50" t="s">
        <v>48</v>
      </c>
      <c r="G186" s="50">
        <f>G$24</f>
        <v>10</v>
      </c>
      <c r="H186" s="52" t="s">
        <v>49</v>
      </c>
      <c r="I186" s="53">
        <f>E186*G186</f>
        <v>2.9</v>
      </c>
    </row>
    <row r="187" spans="2:9" ht="18" customHeight="1">
      <c r="B187" s="23" t="s">
        <v>36</v>
      </c>
      <c r="C187" s="252" t="s">
        <v>14</v>
      </c>
      <c r="D187" s="252" t="s">
        <v>37</v>
      </c>
      <c r="E187" s="252" t="s">
        <v>71</v>
      </c>
      <c r="F187" s="252" t="s">
        <v>38</v>
      </c>
      <c r="G187" s="252" t="s">
        <v>72</v>
      </c>
      <c r="H187" s="252" t="s">
        <v>22</v>
      </c>
      <c r="I187" s="25" t="s">
        <v>40</v>
      </c>
    </row>
    <row r="188" spans="2:9" ht="18" customHeight="1">
      <c r="B188" s="648" t="s">
        <v>106</v>
      </c>
      <c r="C188" s="649" t="s">
        <v>107</v>
      </c>
      <c r="D188" s="250"/>
      <c r="E188" s="250"/>
      <c r="F188" s="250"/>
      <c r="G188" s="250"/>
      <c r="H188" s="28">
        <v>1.732</v>
      </c>
      <c r="I188" s="59">
        <f>ROUND((D188*E188+F188*G188)/1000*H188,3)</f>
        <v>0</v>
      </c>
    </row>
    <row r="189" spans="2:9" ht="18" customHeight="1">
      <c r="B189" s="648"/>
      <c r="C189" s="650"/>
      <c r="D189" s="250"/>
      <c r="E189" s="250"/>
      <c r="F189" s="250"/>
      <c r="G189" s="250"/>
      <c r="H189" s="28">
        <f>H188</f>
        <v>1.732</v>
      </c>
      <c r="I189" s="59">
        <f>ROUND((D189*E189+F189*G189)/1000*H189,3)</f>
        <v>0</v>
      </c>
    </row>
    <row r="190" spans="2:9" ht="18" customHeight="1">
      <c r="B190" s="648"/>
      <c r="C190" s="651"/>
      <c r="D190" s="250"/>
      <c r="E190" s="250"/>
      <c r="F190" s="250">
        <f>E6</f>
        <v>2920</v>
      </c>
      <c r="G190" s="250"/>
      <c r="H190" s="28">
        <f>H189</f>
        <v>1.732</v>
      </c>
      <c r="I190" s="59">
        <f>ROUND((D190*E190+F190*G190)/1000*H190,3)</f>
        <v>0</v>
      </c>
    </row>
    <row r="191" spans="2:9" ht="18" customHeight="1">
      <c r="B191" s="48" t="s">
        <v>42</v>
      </c>
      <c r="C191" s="49">
        <f>SUMPRODUCT(D188:D190*E188:E190+F188:F190*G188:G190)/1000</f>
        <v>0</v>
      </c>
      <c r="D191" s="50" t="s">
        <v>43</v>
      </c>
      <c r="E191" s="49">
        <f>SUM(I188:I190)*1.1</f>
        <v>0</v>
      </c>
      <c r="F191" s="50" t="s">
        <v>44</v>
      </c>
      <c r="G191" s="51">
        <f>(C$218+C$219)/1000</f>
        <v>46.081499999999998</v>
      </c>
      <c r="H191" s="52" t="s">
        <v>45</v>
      </c>
      <c r="I191" s="53">
        <f>ROUND(E191*G191,2)</f>
        <v>0</v>
      </c>
    </row>
    <row r="192" spans="2:9" ht="18" customHeight="1">
      <c r="B192" s="48" t="s">
        <v>46</v>
      </c>
      <c r="C192" s="50">
        <v>105.66</v>
      </c>
      <c r="D192" s="50" t="s">
        <v>47</v>
      </c>
      <c r="E192" s="49">
        <f>ROUND(C191*(C192/1000),2)</f>
        <v>0</v>
      </c>
      <c r="F192" s="50" t="s">
        <v>48</v>
      </c>
      <c r="G192" s="50">
        <f>G$23</f>
        <v>10</v>
      </c>
      <c r="H192" s="52" t="s">
        <v>49</v>
      </c>
      <c r="I192" s="53">
        <f>E192*G192</f>
        <v>0</v>
      </c>
    </row>
    <row r="193" spans="2:15" ht="18" customHeight="1">
      <c r="B193" s="48" t="s">
        <v>50</v>
      </c>
      <c r="C193" s="50">
        <v>125.66</v>
      </c>
      <c r="D193" s="50" t="s">
        <v>51</v>
      </c>
      <c r="E193" s="49">
        <f>ROUND(C191*(C193/1000),2)</f>
        <v>0</v>
      </c>
      <c r="F193" s="50" t="s">
        <v>48</v>
      </c>
      <c r="G193" s="50">
        <f>G$24</f>
        <v>10</v>
      </c>
      <c r="H193" s="52" t="s">
        <v>49</v>
      </c>
      <c r="I193" s="53">
        <f>E193*G193</f>
        <v>0</v>
      </c>
    </row>
    <row r="194" spans="2:15" ht="18" customHeight="1">
      <c r="B194" s="23" t="s">
        <v>36</v>
      </c>
      <c r="C194" s="252" t="s">
        <v>14</v>
      </c>
      <c r="D194" s="652" t="s">
        <v>38</v>
      </c>
      <c r="E194" s="652"/>
      <c r="F194" s="652"/>
      <c r="G194" s="252" t="s">
        <v>72</v>
      </c>
      <c r="H194" s="252" t="s">
        <v>22</v>
      </c>
      <c r="I194" s="25" t="s">
        <v>40</v>
      </c>
    </row>
    <row r="195" spans="2:15" ht="18" customHeight="1">
      <c r="B195" s="643" t="s">
        <v>108</v>
      </c>
      <c r="C195" s="645" t="s">
        <v>109</v>
      </c>
      <c r="D195" s="646"/>
      <c r="E195" s="646"/>
      <c r="F195" s="646"/>
      <c r="G195" s="250"/>
      <c r="H195" s="250">
        <v>1.796</v>
      </c>
      <c r="I195" s="59">
        <f>ROUND((D195*G195*H195)/1000,3)</f>
        <v>0</v>
      </c>
    </row>
    <row r="196" spans="2:15" ht="18" customHeight="1">
      <c r="B196" s="644"/>
      <c r="C196" s="640"/>
      <c r="D196" s="646"/>
      <c r="E196" s="646"/>
      <c r="F196" s="646"/>
      <c r="G196" s="250"/>
      <c r="H196" s="250">
        <f>H195</f>
        <v>1.796</v>
      </c>
      <c r="I196" s="59">
        <f>ROUND((D196*G196*H196)/1000,3)</f>
        <v>0</v>
      </c>
    </row>
    <row r="197" spans="2:15" ht="18" customHeight="1">
      <c r="B197" s="643" t="s">
        <v>110</v>
      </c>
      <c r="C197" s="645" t="s">
        <v>111</v>
      </c>
      <c r="D197" s="646"/>
      <c r="E197" s="646"/>
      <c r="F197" s="646"/>
      <c r="G197" s="250"/>
      <c r="H197" s="250">
        <v>1.355</v>
      </c>
      <c r="I197" s="59"/>
    </row>
    <row r="198" spans="2:15" ht="18" customHeight="1">
      <c r="B198" s="644"/>
      <c r="C198" s="640"/>
      <c r="D198" s="646"/>
      <c r="E198" s="646"/>
      <c r="F198" s="646"/>
      <c r="G198" s="250"/>
      <c r="H198" s="250">
        <f>H197</f>
        <v>1.355</v>
      </c>
      <c r="I198" s="59"/>
    </row>
    <row r="199" spans="2:15" ht="18" customHeight="1">
      <c r="B199" s="48" t="s">
        <v>42</v>
      </c>
      <c r="C199" s="49">
        <f>SUMPRODUCT(D195:F198*G195:G198)/1000</f>
        <v>0</v>
      </c>
      <c r="D199" s="50" t="s">
        <v>43</v>
      </c>
      <c r="E199" s="49">
        <f>SUM(I195:I198)*1.1</f>
        <v>0</v>
      </c>
      <c r="F199" s="50" t="s">
        <v>44</v>
      </c>
      <c r="G199" s="51">
        <f>(C$218+C$219)/1000</f>
        <v>46.081499999999998</v>
      </c>
      <c r="H199" s="52" t="s">
        <v>45</v>
      </c>
      <c r="I199" s="53">
        <f>ROUND(E199*G199,2)</f>
        <v>0</v>
      </c>
    </row>
    <row r="200" spans="2:15" ht="18" customHeight="1">
      <c r="B200" s="48" t="s">
        <v>46</v>
      </c>
      <c r="C200" s="50">
        <v>267.77999999999997</v>
      </c>
      <c r="D200" s="50" t="s">
        <v>47</v>
      </c>
      <c r="E200" s="49">
        <f>ROUND(C199*(C200/1000),2)</f>
        <v>0</v>
      </c>
      <c r="F200" s="50" t="s">
        <v>48</v>
      </c>
      <c r="G200" s="50">
        <f>G$23</f>
        <v>10</v>
      </c>
      <c r="H200" s="52" t="s">
        <v>49</v>
      </c>
      <c r="I200" s="53">
        <f>E200*G200</f>
        <v>0</v>
      </c>
    </row>
    <row r="201" spans="2:15" ht="18" customHeight="1">
      <c r="B201" s="48" t="s">
        <v>50</v>
      </c>
      <c r="C201" s="50">
        <v>104.29</v>
      </c>
      <c r="D201" s="50" t="s">
        <v>51</v>
      </c>
      <c r="E201" s="49">
        <f>ROUND(C199*(C201/1000),2)</f>
        <v>0</v>
      </c>
      <c r="F201" s="50" t="s">
        <v>48</v>
      </c>
      <c r="G201" s="50">
        <f>G$24</f>
        <v>10</v>
      </c>
      <c r="H201" s="52" t="s">
        <v>49</v>
      </c>
      <c r="I201" s="53">
        <f>E201*G201</f>
        <v>0</v>
      </c>
    </row>
    <row r="202" spans="2:15" ht="18" customHeight="1">
      <c r="B202" s="103" t="s">
        <v>112</v>
      </c>
      <c r="C202" s="104" t="s">
        <v>113</v>
      </c>
      <c r="D202" s="104" t="s">
        <v>28</v>
      </c>
      <c r="E202" s="104" t="s">
        <v>8</v>
      </c>
      <c r="F202" s="104" t="s">
        <v>112</v>
      </c>
      <c r="G202" s="104" t="s">
        <v>113</v>
      </c>
      <c r="H202" s="104" t="s">
        <v>28</v>
      </c>
      <c r="I202" s="105" t="s">
        <v>8</v>
      </c>
      <c r="N202" s="106"/>
      <c r="O202" s="102"/>
    </row>
    <row r="203" spans="2:15" ht="18" customHeight="1">
      <c r="B203" s="251" t="s">
        <v>327</v>
      </c>
      <c r="C203" s="107" t="s">
        <v>114</v>
      </c>
      <c r="D203" s="108">
        <v>2.15</v>
      </c>
      <c r="E203" s="253">
        <f>SUM(G14:G21)*4</f>
        <v>8</v>
      </c>
      <c r="F203" s="647" t="s">
        <v>115</v>
      </c>
      <c r="G203" s="107" t="s">
        <v>116</v>
      </c>
      <c r="H203" s="108">
        <v>2.46</v>
      </c>
      <c r="I203" s="247">
        <f>SUM(G108:G111)*4</f>
        <v>0</v>
      </c>
      <c r="J203" s="42"/>
      <c r="N203" s="106"/>
      <c r="O203" s="102"/>
    </row>
    <row r="204" spans="2:15" ht="18" customHeight="1">
      <c r="B204" s="251" t="s">
        <v>328</v>
      </c>
      <c r="C204" s="107" t="s">
        <v>117</v>
      </c>
      <c r="D204" s="108">
        <v>1.72</v>
      </c>
      <c r="E204" s="253">
        <f>E203</f>
        <v>8</v>
      </c>
      <c r="F204" s="646"/>
      <c r="G204" s="107" t="s">
        <v>118</v>
      </c>
      <c r="H204" s="108">
        <v>3.11</v>
      </c>
      <c r="I204" s="247">
        <f>I203</f>
        <v>0</v>
      </c>
      <c r="J204" s="42"/>
      <c r="N204" s="106"/>
      <c r="O204" s="102"/>
    </row>
    <row r="205" spans="2:15" ht="18" customHeight="1">
      <c r="B205" s="109" t="s">
        <v>330</v>
      </c>
      <c r="C205" s="107" t="s">
        <v>119</v>
      </c>
      <c r="D205" s="108">
        <v>2.68</v>
      </c>
      <c r="E205" s="253">
        <f>SUM(G26:G30)*4</f>
        <v>0</v>
      </c>
      <c r="F205" s="110" t="s">
        <v>120</v>
      </c>
      <c r="G205" s="107" t="s">
        <v>121</v>
      </c>
      <c r="H205" s="111">
        <v>4.76</v>
      </c>
      <c r="I205" s="247">
        <f>SUM(G123:G125)*4</f>
        <v>0</v>
      </c>
      <c r="J205" s="42"/>
      <c r="N205" s="106"/>
      <c r="O205" s="102"/>
    </row>
    <row r="206" spans="2:15" ht="18" customHeight="1">
      <c r="B206" s="109" t="s">
        <v>329</v>
      </c>
      <c r="C206" s="107" t="s">
        <v>122</v>
      </c>
      <c r="D206" s="108">
        <v>1.27</v>
      </c>
      <c r="E206" s="253">
        <f>E205</f>
        <v>0</v>
      </c>
      <c r="F206" s="110" t="s">
        <v>123</v>
      </c>
      <c r="G206" s="107" t="s">
        <v>124</v>
      </c>
      <c r="H206" s="111">
        <v>3.85</v>
      </c>
      <c r="I206" s="247">
        <f>I205</f>
        <v>0</v>
      </c>
      <c r="J206" s="42"/>
      <c r="N206" s="106"/>
      <c r="O206" s="102"/>
    </row>
    <row r="207" spans="2:15" ht="18" customHeight="1">
      <c r="B207" s="109" t="s">
        <v>331</v>
      </c>
      <c r="C207" s="107" t="s">
        <v>125</v>
      </c>
      <c r="D207" s="111" t="s">
        <v>126</v>
      </c>
      <c r="E207" s="253">
        <f>SUM(G35:G37)*4</f>
        <v>16</v>
      </c>
      <c r="F207" s="110" t="s">
        <v>127</v>
      </c>
      <c r="G207" s="107" t="s">
        <v>128</v>
      </c>
      <c r="H207" s="111">
        <v>4.29</v>
      </c>
      <c r="I207" s="247">
        <f>SUM(G116:G118)*4</f>
        <v>0</v>
      </c>
      <c r="J207" s="42"/>
      <c r="N207" s="106"/>
      <c r="O207" s="102"/>
    </row>
    <row r="208" spans="2:15" ht="18" customHeight="1">
      <c r="B208" s="109" t="s">
        <v>332</v>
      </c>
      <c r="C208" s="107" t="s">
        <v>129</v>
      </c>
      <c r="D208" s="111" t="s">
        <v>130</v>
      </c>
      <c r="E208" s="253">
        <f>E207</f>
        <v>16</v>
      </c>
      <c r="F208" s="110" t="s">
        <v>131</v>
      </c>
      <c r="G208" s="107" t="s">
        <v>132</v>
      </c>
      <c r="H208" s="111">
        <v>4.5</v>
      </c>
      <c r="I208" s="247">
        <f>I207</f>
        <v>0</v>
      </c>
      <c r="J208" s="42"/>
      <c r="N208" s="106"/>
      <c r="O208" s="102"/>
    </row>
    <row r="209" spans="2:15" ht="18" customHeight="1">
      <c r="B209" s="249" t="s">
        <v>333</v>
      </c>
      <c r="C209" s="250">
        <v>12.6</v>
      </c>
      <c r="D209" s="111">
        <v>1.32</v>
      </c>
      <c r="E209" s="253">
        <f>SUM(G42:G47)*4</f>
        <v>16</v>
      </c>
      <c r="F209" s="639"/>
      <c r="G209" s="107"/>
      <c r="H209" s="28"/>
      <c r="I209" s="247"/>
      <c r="N209" s="106"/>
      <c r="O209" s="102"/>
    </row>
    <row r="210" spans="2:15" ht="18" customHeight="1">
      <c r="B210" s="249" t="s">
        <v>334</v>
      </c>
      <c r="C210" s="250">
        <v>15.8</v>
      </c>
      <c r="D210" s="111">
        <v>1.18</v>
      </c>
      <c r="E210" s="253">
        <f>E209</f>
        <v>16</v>
      </c>
      <c r="F210" s="640"/>
      <c r="G210" s="107"/>
      <c r="H210" s="28"/>
      <c r="I210" s="231"/>
      <c r="N210" s="106"/>
      <c r="O210" s="102"/>
    </row>
    <row r="211" spans="2:15" ht="18" customHeight="1">
      <c r="B211" s="251" t="s">
        <v>335</v>
      </c>
      <c r="C211" s="107" t="s">
        <v>337</v>
      </c>
      <c r="D211" s="111">
        <v>2.81</v>
      </c>
      <c r="E211" s="250">
        <f>SUM(E52+E53+E54+E55+G52+G53+G54+G55+G60+G61+G62+G63)*2</f>
        <v>14</v>
      </c>
      <c r="F211" s="641" t="s">
        <v>133</v>
      </c>
      <c r="G211" s="111">
        <f>SUMPRODUCT(D35:D37,G35:G37)/1000</f>
        <v>1.92</v>
      </c>
      <c r="H211" s="28">
        <v>0.16</v>
      </c>
      <c r="I211" s="232">
        <f>G211*H211</f>
        <v>0.30719999999999997</v>
      </c>
      <c r="N211" s="106"/>
      <c r="O211" s="102"/>
    </row>
    <row r="212" spans="2:15" ht="18" customHeight="1">
      <c r="B212" s="251" t="s">
        <v>336</v>
      </c>
      <c r="C212" s="107" t="s">
        <v>338</v>
      </c>
      <c r="D212" s="111">
        <v>3.51</v>
      </c>
      <c r="E212" s="250">
        <f>E211</f>
        <v>14</v>
      </c>
      <c r="F212" s="641"/>
      <c r="G212" s="111">
        <f>SUMPRODUCT(D26:D30,G26:G30)/1000</f>
        <v>0</v>
      </c>
      <c r="H212" s="28">
        <v>0.16</v>
      </c>
      <c r="I212" s="232">
        <f>G212*H212</f>
        <v>0</v>
      </c>
      <c r="N212" s="106"/>
      <c r="O212" s="102"/>
    </row>
    <row r="213" spans="2:15" ht="18" customHeight="1">
      <c r="B213" s="251" t="s">
        <v>134</v>
      </c>
      <c r="C213" s="250">
        <v>30.6</v>
      </c>
      <c r="D213" s="111">
        <v>2.81</v>
      </c>
      <c r="E213" s="253">
        <f>SUM(+E130+E131+E132+G130+G131+G132)*2</f>
        <v>0</v>
      </c>
      <c r="F213" s="641" t="s">
        <v>135</v>
      </c>
      <c r="G213" s="111">
        <f>SUMPRODUCT(E26:E30,G26:G30)/1000</f>
        <v>0</v>
      </c>
      <c r="H213" s="28">
        <v>0.16</v>
      </c>
      <c r="I213" s="232">
        <f>G213*H213</f>
        <v>0</v>
      </c>
      <c r="N213" s="106"/>
      <c r="O213" s="102"/>
    </row>
    <row r="214" spans="2:15" ht="18" customHeight="1">
      <c r="B214" s="251" t="s">
        <v>136</v>
      </c>
      <c r="C214" s="250">
        <v>30.6</v>
      </c>
      <c r="D214" s="111">
        <v>3.51</v>
      </c>
      <c r="E214" s="253">
        <f>E213</f>
        <v>0</v>
      </c>
      <c r="F214" s="641"/>
      <c r="G214" s="111">
        <f>SUMPRODUCT(E35:E37,G35:G37)/1000</f>
        <v>3.2</v>
      </c>
      <c r="H214" s="28">
        <v>0.16</v>
      </c>
      <c r="I214" s="232">
        <f>G214*H214</f>
        <v>0.51200000000000001</v>
      </c>
      <c r="N214" s="106"/>
      <c r="O214" s="102"/>
    </row>
    <row r="215" spans="2:15" ht="18" customHeight="1">
      <c r="B215" s="52" t="s">
        <v>137</v>
      </c>
      <c r="C215" s="112" cm="1">
        <f t="array" ref="C215">SUMPRODUCT(D203:D214*E203:E214)+SUMPRODUCT(H203:H210*I203:I210)</f>
        <v>240.07999999999998</v>
      </c>
      <c r="D215" s="52"/>
      <c r="E215" s="52"/>
      <c r="F215" s="52"/>
      <c r="G215" s="52" t="s">
        <v>138</v>
      </c>
      <c r="H215" s="52" cm="1">
        <f t="array" ref="H215">SUMPRODUCT(G211:G214*H211:H214)</f>
        <v>0.81919999999999993</v>
      </c>
      <c r="I215" s="233">
        <f>H215*1.08</f>
        <v>0.88473599999999997</v>
      </c>
      <c r="N215" s="106"/>
      <c r="O215" s="102"/>
    </row>
    <row r="216" spans="2:15" ht="18" customHeight="1">
      <c r="B216" s="23" t="s">
        <v>139</v>
      </c>
      <c r="C216" s="252" t="s">
        <v>14</v>
      </c>
      <c r="D216" s="252" t="s">
        <v>22</v>
      </c>
      <c r="E216" s="252" t="s">
        <v>8</v>
      </c>
      <c r="F216" s="252" t="s">
        <v>113</v>
      </c>
      <c r="G216" s="252" t="s">
        <v>40</v>
      </c>
      <c r="H216" s="252" t="s">
        <v>28</v>
      </c>
      <c r="I216" s="25" t="s">
        <v>29</v>
      </c>
      <c r="N216" s="106"/>
      <c r="O216" s="102"/>
    </row>
    <row r="217" spans="2:15" ht="18" customHeight="1">
      <c r="B217" s="48" t="s">
        <v>140</v>
      </c>
      <c r="C217" s="52" t="s">
        <v>141</v>
      </c>
      <c r="D217" s="50">
        <v>0.14199999999999999</v>
      </c>
      <c r="E217" s="50">
        <v>1</v>
      </c>
      <c r="F217" s="50">
        <f>D6</f>
        <v>2320</v>
      </c>
      <c r="G217" s="128">
        <f>D217*F217*E217/1000*1.1</f>
        <v>0.36238400000000004</v>
      </c>
      <c r="H217" s="52">
        <f>(C218+C222)/1000</f>
        <v>39.781500000000001</v>
      </c>
      <c r="I217" s="193">
        <f>G217*H217</f>
        <v>14.416179096000002</v>
      </c>
      <c r="N217" s="106"/>
      <c r="O217" s="102"/>
    </row>
    <row r="218" spans="2:15" ht="18" customHeight="1">
      <c r="B218" s="37" t="s">
        <v>142</v>
      </c>
      <c r="C218" s="113">
        <f>材料价格!B4</f>
        <v>22081.5</v>
      </c>
      <c r="D218" s="39" t="s">
        <v>143</v>
      </c>
      <c r="E218" s="114">
        <f>E139+E133+E126+E119+E112+E199+E177+E64+E56+E48+E38+E31+E22+E184+E191</f>
        <v>88.898700000000019</v>
      </c>
      <c r="F218" s="39" t="s">
        <v>144</v>
      </c>
      <c r="G218" s="115">
        <f>I218/E218-C218/1000</f>
        <v>24.000051248780906</v>
      </c>
      <c r="H218" s="39" t="s">
        <v>145</v>
      </c>
      <c r="I218" s="116">
        <f>I22+I31+I38+I48+I56+I64+I199+I112+I119+I126+I133+I139+I177+I184+I191</f>
        <v>4096.59</v>
      </c>
      <c r="N218" s="106"/>
      <c r="O218" s="102"/>
    </row>
    <row r="219" spans="2:15" ht="18" customHeight="1">
      <c r="B219" s="117" t="s">
        <v>146</v>
      </c>
      <c r="C219" s="118">
        <f>材料价格!B5</f>
        <v>24000</v>
      </c>
      <c r="D219" s="39" t="s">
        <v>147</v>
      </c>
      <c r="E219" s="114">
        <f>E163+E153+E146+E104+E97+E88+G217+E170</f>
        <v>8.765284000000003</v>
      </c>
      <c r="F219" s="39" t="s">
        <v>148</v>
      </c>
      <c r="G219" s="119">
        <f>I219/E219-C218/1000</f>
        <v>17.700003839008509</v>
      </c>
      <c r="H219" s="39" t="s">
        <v>149</v>
      </c>
      <c r="I219" s="116">
        <f>I88+I97+I104+I146+I153+I163+I217+I170</f>
        <v>348.69617909599998</v>
      </c>
      <c r="N219" s="106"/>
      <c r="O219" s="102"/>
    </row>
    <row r="220" spans="2:15" ht="18" customHeight="1">
      <c r="B220" s="117" t="s">
        <v>150</v>
      </c>
      <c r="C220" s="118">
        <f>C219</f>
        <v>24000</v>
      </c>
      <c r="D220" s="39" t="s">
        <v>151</v>
      </c>
      <c r="E220" s="120">
        <f>I215</f>
        <v>0.88473599999999997</v>
      </c>
      <c r="F220" s="39" t="s">
        <v>152</v>
      </c>
      <c r="G220" s="119">
        <f>I220/E220-C218/1000</f>
        <v>2.897702835648154</v>
      </c>
      <c r="H220" s="39" t="s">
        <v>153</v>
      </c>
      <c r="I220" s="116">
        <f>ROUND(E220*(C218+C223)/1000,2)</f>
        <v>22.1</v>
      </c>
      <c r="N220" s="106"/>
      <c r="O220" s="102"/>
    </row>
    <row r="221" spans="2:15" ht="18" customHeight="1">
      <c r="B221" s="117" t="s">
        <v>154</v>
      </c>
      <c r="C221" s="121">
        <f>C220</f>
        <v>24000</v>
      </c>
      <c r="D221" s="39" t="s">
        <v>155</v>
      </c>
      <c r="E221" s="39"/>
      <c r="F221" s="39" t="s">
        <v>156</v>
      </c>
      <c r="G221" s="39"/>
      <c r="H221" s="39" t="s">
        <v>49</v>
      </c>
      <c r="I221" s="116">
        <f>E221*G221</f>
        <v>0</v>
      </c>
      <c r="J221" s="42"/>
      <c r="K221" s="255"/>
    </row>
    <row r="222" spans="2:15" ht="18" customHeight="1">
      <c r="B222" s="117" t="s">
        <v>148</v>
      </c>
      <c r="C222" s="122">
        <f>材料价格!B6</f>
        <v>17700</v>
      </c>
      <c r="D222" s="39" t="s">
        <v>157</v>
      </c>
      <c r="E222" s="39"/>
      <c r="F222" s="39" t="s">
        <v>156</v>
      </c>
      <c r="G222" s="39"/>
      <c r="H222" s="39" t="s">
        <v>49</v>
      </c>
      <c r="I222" s="116">
        <f>E222*G222</f>
        <v>0</v>
      </c>
      <c r="J222" s="123"/>
      <c r="K222" s="123"/>
      <c r="L222" s="123"/>
    </row>
    <row r="223" spans="2:15" ht="18" customHeight="1">
      <c r="B223" s="117" t="s">
        <v>152</v>
      </c>
      <c r="C223" s="122">
        <f>材料价格!B9</f>
        <v>2900</v>
      </c>
      <c r="D223" s="39" t="s">
        <v>158</v>
      </c>
      <c r="E223" s="114">
        <f>SUM(E218:E220)</f>
        <v>98.548720000000031</v>
      </c>
      <c r="F223" s="39"/>
      <c r="G223" s="39" t="s">
        <v>339</v>
      </c>
      <c r="H223" s="39"/>
      <c r="I223" s="234">
        <f>SUM(I218:I222)+C215</f>
        <v>4707.4661790960008</v>
      </c>
      <c r="J223" s="123"/>
      <c r="K223" s="123"/>
      <c r="L223" s="123"/>
    </row>
    <row r="224" spans="2:15" ht="18" customHeight="1">
      <c r="B224" s="23" t="s">
        <v>159</v>
      </c>
      <c r="C224" s="252" t="s">
        <v>113</v>
      </c>
      <c r="D224" s="252" t="s">
        <v>16</v>
      </c>
      <c r="E224" s="252" t="s">
        <v>7</v>
      </c>
      <c r="F224" s="252" t="s">
        <v>8</v>
      </c>
      <c r="G224" s="252" t="s">
        <v>28</v>
      </c>
      <c r="H224" s="252" t="s">
        <v>160</v>
      </c>
      <c r="I224" s="25" t="s">
        <v>1</v>
      </c>
      <c r="J224" s="255"/>
      <c r="K224" s="255"/>
      <c r="L224" s="255"/>
      <c r="M224" s="255"/>
    </row>
    <row r="225" spans="2:13" ht="18" customHeight="1">
      <c r="B225" s="124" t="str">
        <f>材料价格!A10</f>
        <v>6单银Low-E+12A+6</v>
      </c>
      <c r="C225" s="253">
        <f t="shared" ref="C225:D229" si="25">D92</f>
        <v>-90</v>
      </c>
      <c r="D225" s="253">
        <f t="shared" si="25"/>
        <v>-90</v>
      </c>
      <c r="E225" s="32">
        <f>C225*D225/10^6</f>
        <v>8.0999999999999996E-3</v>
      </c>
      <c r="F225" s="250">
        <f>G26</f>
        <v>0</v>
      </c>
      <c r="G225" s="125">
        <f>材料价格!B10</f>
        <v>148</v>
      </c>
      <c r="H225" s="250">
        <f>ROUND(E225*G225*F225,2)</f>
        <v>0</v>
      </c>
      <c r="I225" s="247" t="s">
        <v>161</v>
      </c>
      <c r="J225" s="255"/>
      <c r="K225" s="255"/>
      <c r="L225" s="255"/>
      <c r="M225" s="255"/>
    </row>
    <row r="226" spans="2:13" ht="18" customHeight="1">
      <c r="B226" s="124" t="str">
        <f t="shared" ref="B226:B232" si="26">B225</f>
        <v>6单银Low-E+12A+6</v>
      </c>
      <c r="C226" s="253">
        <f t="shared" si="25"/>
        <v>-90</v>
      </c>
      <c r="D226" s="253">
        <f t="shared" si="25"/>
        <v>-90</v>
      </c>
      <c r="E226" s="32">
        <f t="shared" ref="E226:E284" si="27">C226*D226/10^6</f>
        <v>8.0999999999999996E-3</v>
      </c>
      <c r="F226" s="250">
        <f>G27</f>
        <v>0</v>
      </c>
      <c r="G226" s="126">
        <f t="shared" ref="G226:G232" si="28">G225</f>
        <v>148</v>
      </c>
      <c r="H226" s="250">
        <f t="shared" ref="H226:H241" si="29">ROUND(E226*G226*F226,2)</f>
        <v>0</v>
      </c>
      <c r="I226" s="247" t="s">
        <v>162</v>
      </c>
      <c r="J226" s="255"/>
      <c r="K226" s="255"/>
      <c r="L226" s="255"/>
      <c r="M226" s="255"/>
    </row>
    <row r="227" spans="2:13" ht="18" customHeight="1">
      <c r="B227" s="124" t="str">
        <f t="shared" si="26"/>
        <v>6单银Low-E+12A+6</v>
      </c>
      <c r="C227" s="253">
        <f t="shared" si="25"/>
        <v>-90</v>
      </c>
      <c r="D227" s="253">
        <f t="shared" si="25"/>
        <v>-90</v>
      </c>
      <c r="E227" s="32">
        <f t="shared" si="27"/>
        <v>8.0999999999999996E-3</v>
      </c>
      <c r="F227" s="250">
        <f>G28</f>
        <v>0</v>
      </c>
      <c r="G227" s="126">
        <f t="shared" si="28"/>
        <v>148</v>
      </c>
      <c r="H227" s="250">
        <f t="shared" si="29"/>
        <v>0</v>
      </c>
      <c r="I227" s="247" t="s">
        <v>162</v>
      </c>
      <c r="J227" s="255"/>
      <c r="K227" s="255"/>
      <c r="L227" s="255"/>
      <c r="M227" s="255"/>
    </row>
    <row r="228" spans="2:13" ht="18" customHeight="1">
      <c r="B228" s="124" t="str">
        <f t="shared" si="26"/>
        <v>6单银Low-E+12A+6</v>
      </c>
      <c r="C228" s="253">
        <f t="shared" si="25"/>
        <v>-90</v>
      </c>
      <c r="D228" s="253">
        <f t="shared" si="25"/>
        <v>-90</v>
      </c>
      <c r="E228" s="32">
        <f t="shared" si="27"/>
        <v>8.0999999999999996E-3</v>
      </c>
      <c r="F228" s="250">
        <f>G29</f>
        <v>0</v>
      </c>
      <c r="G228" s="126">
        <f t="shared" si="28"/>
        <v>148</v>
      </c>
      <c r="H228" s="250">
        <f t="shared" si="29"/>
        <v>0</v>
      </c>
      <c r="I228" s="247" t="s">
        <v>162</v>
      </c>
      <c r="J228" s="255"/>
      <c r="K228" s="255"/>
      <c r="L228" s="255"/>
      <c r="M228" s="255"/>
    </row>
    <row r="229" spans="2:13" ht="18" customHeight="1">
      <c r="B229" s="124" t="str">
        <f t="shared" si="26"/>
        <v>6单银Low-E+12A+6</v>
      </c>
      <c r="C229" s="253">
        <f t="shared" si="25"/>
        <v>-90</v>
      </c>
      <c r="D229" s="253">
        <f t="shared" si="25"/>
        <v>-90</v>
      </c>
      <c r="E229" s="32">
        <f t="shared" si="27"/>
        <v>8.0999999999999996E-3</v>
      </c>
      <c r="F229" s="250">
        <f>G30</f>
        <v>0</v>
      </c>
      <c r="G229" s="126">
        <f t="shared" si="28"/>
        <v>148</v>
      </c>
      <c r="H229" s="250">
        <f t="shared" si="29"/>
        <v>0</v>
      </c>
      <c r="I229" s="247" t="s">
        <v>162</v>
      </c>
      <c r="J229" s="123"/>
      <c r="K229" s="123"/>
      <c r="L229" s="123"/>
    </row>
    <row r="230" spans="2:13" ht="18" customHeight="1">
      <c r="B230" s="124" t="str">
        <f t="shared" si="26"/>
        <v>6单银Low-E+12A+6</v>
      </c>
      <c r="C230" s="253">
        <f t="shared" ref="C230:D232" si="30">D101</f>
        <v>358</v>
      </c>
      <c r="D230" s="253">
        <f t="shared" si="30"/>
        <v>678</v>
      </c>
      <c r="E230" s="32">
        <f t="shared" si="27"/>
        <v>0.242724</v>
      </c>
      <c r="F230" s="250">
        <f>G101</f>
        <v>4</v>
      </c>
      <c r="G230" s="126">
        <f t="shared" si="28"/>
        <v>148</v>
      </c>
      <c r="H230" s="250">
        <f t="shared" si="29"/>
        <v>143.69</v>
      </c>
      <c r="I230" s="127" t="s">
        <v>163</v>
      </c>
      <c r="J230" s="123"/>
      <c r="K230" s="123"/>
      <c r="L230" s="123"/>
    </row>
    <row r="231" spans="2:13" ht="18" customHeight="1">
      <c r="B231" s="124" t="str">
        <f t="shared" si="26"/>
        <v>6单银Low-E+12A+6</v>
      </c>
      <c r="C231" s="253">
        <f t="shared" si="30"/>
        <v>-122</v>
      </c>
      <c r="D231" s="253">
        <f t="shared" si="30"/>
        <v>-122</v>
      </c>
      <c r="E231" s="32">
        <f t="shared" si="27"/>
        <v>1.4884E-2</v>
      </c>
      <c r="F231" s="250">
        <f>G102</f>
        <v>0</v>
      </c>
      <c r="G231" s="126">
        <f t="shared" si="28"/>
        <v>148</v>
      </c>
      <c r="H231" s="250">
        <f t="shared" si="29"/>
        <v>0</v>
      </c>
      <c r="I231" s="127" t="s">
        <v>163</v>
      </c>
    </row>
    <row r="232" spans="2:13" ht="18" customHeight="1">
      <c r="B232" s="124" t="str">
        <f t="shared" si="26"/>
        <v>6单银Low-E+12A+6</v>
      </c>
      <c r="C232" s="253">
        <f t="shared" si="30"/>
        <v>-122</v>
      </c>
      <c r="D232" s="253">
        <f t="shared" si="30"/>
        <v>-122</v>
      </c>
      <c r="E232" s="32">
        <f t="shared" si="27"/>
        <v>1.4884E-2</v>
      </c>
      <c r="F232" s="250">
        <f>G103</f>
        <v>0</v>
      </c>
      <c r="G232" s="126">
        <f t="shared" si="28"/>
        <v>148</v>
      </c>
      <c r="H232" s="250">
        <f t="shared" si="29"/>
        <v>0</v>
      </c>
      <c r="I232" s="127" t="s">
        <v>163</v>
      </c>
    </row>
    <row r="233" spans="2:13" ht="18" customHeight="1">
      <c r="B233" s="48" t="s">
        <v>164</v>
      </c>
      <c r="C233" s="52"/>
      <c r="D233" s="50"/>
      <c r="E233" s="128"/>
      <c r="F233" s="50">
        <f>SUM(F225:F232)</f>
        <v>4</v>
      </c>
      <c r="G233" s="50"/>
      <c r="H233" s="52">
        <f>SUM(H225:H232)</f>
        <v>143.69</v>
      </c>
      <c r="I233" s="53">
        <f>ROUND((E225*F225+E226*F226+E227*F227+E228*F228+E229*F229+E230*F230+E231*F231+E232*F232),2)</f>
        <v>0.97</v>
      </c>
    </row>
    <row r="234" spans="2:13" ht="18" customHeight="1">
      <c r="B234" s="124" t="str">
        <f>B232</f>
        <v>6单银Low-E+12A+6</v>
      </c>
      <c r="C234" s="253">
        <f>C225</f>
        <v>-90</v>
      </c>
      <c r="D234" s="253">
        <f>D225</f>
        <v>-90</v>
      </c>
      <c r="E234" s="32">
        <f t="shared" si="27"/>
        <v>8.0999999999999996E-3</v>
      </c>
      <c r="F234" s="250">
        <f>IF(F225=0,G26,0)</f>
        <v>0</v>
      </c>
      <c r="G234" s="126">
        <f>G232</f>
        <v>148</v>
      </c>
      <c r="H234" s="250">
        <f t="shared" si="29"/>
        <v>0</v>
      </c>
      <c r="I234" s="247" t="s">
        <v>165</v>
      </c>
      <c r="J234" s="129"/>
    </row>
    <row r="235" spans="2:13" ht="18" customHeight="1">
      <c r="B235" s="124" t="str">
        <f t="shared" ref="B235:B241" si="31">B234</f>
        <v>6单银Low-E+12A+6</v>
      </c>
      <c r="C235" s="253">
        <f t="shared" ref="C235:D241" si="32">C226</f>
        <v>-90</v>
      </c>
      <c r="D235" s="253">
        <f t="shared" si="32"/>
        <v>-90</v>
      </c>
      <c r="E235" s="32">
        <f t="shared" si="27"/>
        <v>8.0999999999999996E-3</v>
      </c>
      <c r="F235" s="250">
        <f>IF(F226=0,G27,0)</f>
        <v>0</v>
      </c>
      <c r="G235" s="126">
        <f>G234</f>
        <v>148</v>
      </c>
      <c r="H235" s="250">
        <f t="shared" si="29"/>
        <v>0</v>
      </c>
      <c r="I235" s="247" t="s">
        <v>165</v>
      </c>
      <c r="J235" s="129"/>
    </row>
    <row r="236" spans="2:13" ht="18" customHeight="1">
      <c r="B236" s="124" t="str">
        <f t="shared" si="31"/>
        <v>6单银Low-E+12A+6</v>
      </c>
      <c r="C236" s="253">
        <f t="shared" si="32"/>
        <v>-90</v>
      </c>
      <c r="D236" s="253">
        <f t="shared" si="32"/>
        <v>-90</v>
      </c>
      <c r="E236" s="32">
        <f t="shared" si="27"/>
        <v>8.0999999999999996E-3</v>
      </c>
      <c r="F236" s="250">
        <f>IF(F227=0,G28,0)</f>
        <v>0</v>
      </c>
      <c r="G236" s="126">
        <f t="shared" ref="G236:G241" si="33">G234</f>
        <v>148</v>
      </c>
      <c r="H236" s="250">
        <f t="shared" si="29"/>
        <v>0</v>
      </c>
      <c r="I236" s="247" t="s">
        <v>165</v>
      </c>
      <c r="J236" s="129"/>
    </row>
    <row r="237" spans="2:13" ht="18" customHeight="1">
      <c r="B237" s="124" t="str">
        <f t="shared" si="31"/>
        <v>6单银Low-E+12A+6</v>
      </c>
      <c r="C237" s="253">
        <f t="shared" si="32"/>
        <v>-90</v>
      </c>
      <c r="D237" s="253">
        <f t="shared" si="32"/>
        <v>-90</v>
      </c>
      <c r="E237" s="32">
        <f t="shared" si="27"/>
        <v>8.0999999999999996E-3</v>
      </c>
      <c r="F237" s="250">
        <f>IF(F228=0,G29,0)</f>
        <v>0</v>
      </c>
      <c r="G237" s="126">
        <f t="shared" si="33"/>
        <v>148</v>
      </c>
      <c r="H237" s="250">
        <f t="shared" si="29"/>
        <v>0</v>
      </c>
      <c r="I237" s="247" t="s">
        <v>165</v>
      </c>
      <c r="J237" s="129"/>
    </row>
    <row r="238" spans="2:13" ht="18" customHeight="1">
      <c r="B238" s="124" t="str">
        <f t="shared" si="31"/>
        <v>6单银Low-E+12A+6</v>
      </c>
      <c r="C238" s="253">
        <f t="shared" si="32"/>
        <v>-90</v>
      </c>
      <c r="D238" s="253">
        <f t="shared" si="32"/>
        <v>-90</v>
      </c>
      <c r="E238" s="32">
        <f t="shared" si="27"/>
        <v>8.0999999999999996E-3</v>
      </c>
      <c r="F238" s="250">
        <f>IF(F229=0,G30,0)</f>
        <v>0</v>
      </c>
      <c r="G238" s="126">
        <f t="shared" si="33"/>
        <v>148</v>
      </c>
      <c r="H238" s="250">
        <f t="shared" si="29"/>
        <v>0</v>
      </c>
      <c r="I238" s="247" t="s">
        <v>165</v>
      </c>
      <c r="J238" s="129"/>
    </row>
    <row r="239" spans="2:13" ht="18" customHeight="1">
      <c r="B239" s="124" t="str">
        <f t="shared" si="31"/>
        <v>6单银Low-E+12A+6</v>
      </c>
      <c r="C239" s="253">
        <f t="shared" si="32"/>
        <v>358</v>
      </c>
      <c r="D239" s="253">
        <f t="shared" si="32"/>
        <v>678</v>
      </c>
      <c r="E239" s="32">
        <f t="shared" si="27"/>
        <v>0.242724</v>
      </c>
      <c r="F239" s="250">
        <f>IF(F230=0,G35,0)</f>
        <v>0</v>
      </c>
      <c r="G239" s="126">
        <f t="shared" si="33"/>
        <v>148</v>
      </c>
      <c r="H239" s="250">
        <f t="shared" si="29"/>
        <v>0</v>
      </c>
      <c r="I239" s="127" t="s">
        <v>166</v>
      </c>
      <c r="J239" s="129"/>
    </row>
    <row r="240" spans="2:13" ht="18" customHeight="1">
      <c r="B240" s="124" t="str">
        <f t="shared" si="31"/>
        <v>6单银Low-E+12A+6</v>
      </c>
      <c r="C240" s="253">
        <f t="shared" si="32"/>
        <v>-122</v>
      </c>
      <c r="D240" s="253">
        <f t="shared" si="32"/>
        <v>-122</v>
      </c>
      <c r="E240" s="32">
        <f t="shared" si="27"/>
        <v>1.4884E-2</v>
      </c>
      <c r="F240" s="250">
        <f>IF(F231=0,G36,0)</f>
        <v>0</v>
      </c>
      <c r="G240" s="126">
        <f t="shared" si="33"/>
        <v>148</v>
      </c>
      <c r="H240" s="250">
        <f t="shared" si="29"/>
        <v>0</v>
      </c>
      <c r="I240" s="127" t="s">
        <v>166</v>
      </c>
      <c r="J240" s="129"/>
    </row>
    <row r="241" spans="1:16" ht="18" customHeight="1">
      <c r="B241" s="124" t="str">
        <f t="shared" si="31"/>
        <v>6单银Low-E+12A+6</v>
      </c>
      <c r="C241" s="253">
        <f t="shared" si="32"/>
        <v>-122</v>
      </c>
      <c r="D241" s="253">
        <f t="shared" si="32"/>
        <v>-122</v>
      </c>
      <c r="E241" s="32">
        <f t="shared" si="27"/>
        <v>1.4884E-2</v>
      </c>
      <c r="F241" s="250">
        <f>IF(F232=0,G37,0)</f>
        <v>0</v>
      </c>
      <c r="G241" s="126">
        <f t="shared" si="33"/>
        <v>148</v>
      </c>
      <c r="H241" s="250">
        <f t="shared" si="29"/>
        <v>0</v>
      </c>
      <c r="I241" s="127" t="s">
        <v>166</v>
      </c>
      <c r="J241" s="129"/>
    </row>
    <row r="242" spans="1:16" s="43" customFormat="1" ht="18" customHeight="1">
      <c r="A242" s="1"/>
      <c r="B242" s="48" t="s">
        <v>167</v>
      </c>
      <c r="C242" s="52"/>
      <c r="D242" s="50"/>
      <c r="E242" s="128"/>
      <c r="F242" s="50">
        <f>SUM(F234:F241)</f>
        <v>0</v>
      </c>
      <c r="G242" s="50"/>
      <c r="H242" s="52">
        <f>SUM(H234:H241)</f>
        <v>0</v>
      </c>
      <c r="I242" s="53">
        <f>ROUND(SUMPRODUCT(E234:E241*F234:F241),2)</f>
        <v>0</v>
      </c>
      <c r="J242" s="129"/>
      <c r="N242" s="255"/>
      <c r="O242" s="255"/>
      <c r="P242" s="255"/>
    </row>
    <row r="243" spans="1:16" s="43" customFormat="1" ht="18" customHeight="1">
      <c r="A243" s="1"/>
      <c r="B243" s="124" t="str">
        <f>B240</f>
        <v>6单银Low-E+12A+6</v>
      </c>
      <c r="C243" s="253">
        <f t="shared" ref="C243:D249" si="34">D68-12</f>
        <v>2236</v>
      </c>
      <c r="D243" s="253">
        <f t="shared" si="34"/>
        <v>1116</v>
      </c>
      <c r="E243" s="32">
        <f t="shared" si="27"/>
        <v>2.4953759999999998</v>
      </c>
      <c r="F243" s="82">
        <f t="shared" ref="F243:F249" si="35">G68</f>
        <v>1</v>
      </c>
      <c r="G243" s="130">
        <f>G241</f>
        <v>148</v>
      </c>
      <c r="H243" s="250">
        <f t="shared" ref="H243:H249" si="36">ROUND(E243*G243*F243,2)</f>
        <v>369.32</v>
      </c>
      <c r="I243" s="247" t="s">
        <v>168</v>
      </c>
      <c r="J243" s="129"/>
      <c r="N243" s="255"/>
      <c r="O243" s="255"/>
      <c r="P243" s="255"/>
    </row>
    <row r="244" spans="1:16" s="43" customFormat="1" ht="18" customHeight="1">
      <c r="A244" s="1"/>
      <c r="B244" s="124" t="str">
        <f t="shared" ref="B244:B249" si="37">B243</f>
        <v>6单银Low-E+12A+6</v>
      </c>
      <c r="C244" s="253">
        <f t="shared" si="34"/>
        <v>514</v>
      </c>
      <c r="D244" s="253">
        <f t="shared" si="34"/>
        <v>784</v>
      </c>
      <c r="E244" s="32">
        <f t="shared" si="27"/>
        <v>0.402976</v>
      </c>
      <c r="F244" s="82">
        <f t="shared" si="35"/>
        <v>4</v>
      </c>
      <c r="G244" s="130">
        <f t="shared" ref="G244:G249" si="38">G243</f>
        <v>148</v>
      </c>
      <c r="H244" s="250">
        <f t="shared" si="36"/>
        <v>238.56</v>
      </c>
      <c r="I244" s="247" t="s">
        <v>168</v>
      </c>
      <c r="J244" s="129"/>
      <c r="N244" s="255"/>
      <c r="O244" s="255"/>
      <c r="P244" s="255"/>
    </row>
    <row r="245" spans="1:16" s="43" customFormat="1" ht="18" customHeight="1">
      <c r="A245" s="1"/>
      <c r="B245" s="124" t="str">
        <f t="shared" si="37"/>
        <v>6单银Low-E+12A+6</v>
      </c>
      <c r="C245" s="253">
        <f t="shared" si="34"/>
        <v>-12</v>
      </c>
      <c r="D245" s="253">
        <f t="shared" si="34"/>
        <v>-12</v>
      </c>
      <c r="E245" s="32">
        <f t="shared" si="27"/>
        <v>1.44E-4</v>
      </c>
      <c r="F245" s="82">
        <f t="shared" si="35"/>
        <v>0</v>
      </c>
      <c r="G245" s="130">
        <f t="shared" si="38"/>
        <v>148</v>
      </c>
      <c r="H245" s="250">
        <f t="shared" si="36"/>
        <v>0</v>
      </c>
      <c r="I245" s="247" t="s">
        <v>168</v>
      </c>
      <c r="J245" s="129"/>
      <c r="N245" s="255"/>
      <c r="O245" s="255"/>
      <c r="P245" s="255"/>
    </row>
    <row r="246" spans="1:16" s="43" customFormat="1" ht="18" customHeight="1">
      <c r="A246" s="1"/>
      <c r="B246" s="124" t="str">
        <f t="shared" si="37"/>
        <v>6单银Low-E+12A+6</v>
      </c>
      <c r="C246" s="253">
        <f t="shared" si="34"/>
        <v>-12</v>
      </c>
      <c r="D246" s="253">
        <f t="shared" si="34"/>
        <v>-12</v>
      </c>
      <c r="E246" s="32">
        <f t="shared" si="27"/>
        <v>1.44E-4</v>
      </c>
      <c r="F246" s="82">
        <f t="shared" si="35"/>
        <v>0</v>
      </c>
      <c r="G246" s="130">
        <f t="shared" si="38"/>
        <v>148</v>
      </c>
      <c r="H246" s="250">
        <f t="shared" si="36"/>
        <v>0</v>
      </c>
      <c r="I246" s="247" t="s">
        <v>168</v>
      </c>
      <c r="J246" s="129"/>
      <c r="N246" s="255"/>
      <c r="O246" s="255"/>
      <c r="P246" s="255"/>
    </row>
    <row r="247" spans="1:16" s="43" customFormat="1" ht="18" customHeight="1">
      <c r="A247" s="1"/>
      <c r="B247" s="124" t="str">
        <f t="shared" si="37"/>
        <v>6单银Low-E+12A+6</v>
      </c>
      <c r="C247" s="253">
        <f t="shared" si="34"/>
        <v>-12</v>
      </c>
      <c r="D247" s="253">
        <f t="shared" si="34"/>
        <v>-12</v>
      </c>
      <c r="E247" s="32">
        <f t="shared" si="27"/>
        <v>1.44E-4</v>
      </c>
      <c r="F247" s="82">
        <f t="shared" si="35"/>
        <v>0</v>
      </c>
      <c r="G247" s="130">
        <f t="shared" si="38"/>
        <v>148</v>
      </c>
      <c r="H247" s="250">
        <f t="shared" si="36"/>
        <v>0</v>
      </c>
      <c r="I247" s="247" t="s">
        <v>168</v>
      </c>
      <c r="J247" s="129"/>
      <c r="N247" s="255"/>
      <c r="O247" s="255"/>
      <c r="P247" s="255"/>
    </row>
    <row r="248" spans="1:16" s="43" customFormat="1" ht="18" customHeight="1">
      <c r="A248" s="1"/>
      <c r="B248" s="124" t="str">
        <f t="shared" si="37"/>
        <v>6单银Low-E+12A+6</v>
      </c>
      <c r="C248" s="253">
        <f t="shared" si="34"/>
        <v>-12</v>
      </c>
      <c r="D248" s="253">
        <f t="shared" si="34"/>
        <v>-12</v>
      </c>
      <c r="E248" s="32">
        <f t="shared" si="27"/>
        <v>1.44E-4</v>
      </c>
      <c r="F248" s="82">
        <f t="shared" si="35"/>
        <v>0</v>
      </c>
      <c r="G248" s="130">
        <f t="shared" si="38"/>
        <v>148</v>
      </c>
      <c r="H248" s="250">
        <f t="shared" si="36"/>
        <v>0</v>
      </c>
      <c r="I248" s="247" t="s">
        <v>168</v>
      </c>
      <c r="J248" s="129"/>
      <c r="N248" s="255"/>
      <c r="O248" s="255"/>
      <c r="P248" s="255"/>
    </row>
    <row r="249" spans="1:16" s="43" customFormat="1" ht="18" customHeight="1">
      <c r="A249" s="1"/>
      <c r="B249" s="124" t="str">
        <f t="shared" si="37"/>
        <v>6单银Low-E+12A+6</v>
      </c>
      <c r="C249" s="253">
        <f t="shared" si="34"/>
        <v>-12</v>
      </c>
      <c r="D249" s="253">
        <f t="shared" si="34"/>
        <v>-12</v>
      </c>
      <c r="E249" s="32">
        <f t="shared" si="27"/>
        <v>1.44E-4</v>
      </c>
      <c r="F249" s="82">
        <f t="shared" si="35"/>
        <v>0</v>
      </c>
      <c r="G249" s="130">
        <f t="shared" si="38"/>
        <v>148</v>
      </c>
      <c r="H249" s="250">
        <f t="shared" si="36"/>
        <v>0</v>
      </c>
      <c r="I249" s="247" t="s">
        <v>168</v>
      </c>
      <c r="J249" s="129"/>
      <c r="N249" s="255"/>
      <c r="O249" s="255"/>
      <c r="P249" s="255"/>
    </row>
    <row r="250" spans="1:16" s="43" customFormat="1" ht="18" customHeight="1">
      <c r="A250" s="1"/>
      <c r="B250" s="131" t="str">
        <f>B246</f>
        <v>6单银Low-E+12A+6</v>
      </c>
      <c r="C250" s="52"/>
      <c r="D250" s="50"/>
      <c r="E250" s="128"/>
      <c r="F250" s="50">
        <f>SUM(F243:F249)</f>
        <v>5</v>
      </c>
      <c r="G250" s="50"/>
      <c r="H250" s="52">
        <f>SUM(H243:H249)</f>
        <v>607.88</v>
      </c>
      <c r="I250" s="53">
        <f>ROUND((E243*F243+E244*F244+E245*F245+E246*F246+E247*F247+E248*F248+E249*F249),2)</f>
        <v>4.1100000000000003</v>
      </c>
      <c r="J250" s="43">
        <f>(I242+I258+I273+I280)</f>
        <v>0</v>
      </c>
      <c r="N250" s="255"/>
      <c r="O250" s="255"/>
      <c r="P250" s="255"/>
    </row>
    <row r="251" spans="1:16" s="43" customFormat="1" ht="18" customHeight="1">
      <c r="A251" s="1"/>
      <c r="B251" s="124" t="str">
        <f>B249</f>
        <v>6单银Low-E+12A+6</v>
      </c>
      <c r="C251" s="253">
        <f t="shared" ref="C251:D257" si="39">D75-12</f>
        <v>-12</v>
      </c>
      <c r="D251" s="253">
        <f t="shared" si="39"/>
        <v>-12</v>
      </c>
      <c r="E251" s="32">
        <f t="shared" si="27"/>
        <v>1.44E-4</v>
      </c>
      <c r="F251" s="82">
        <f t="shared" ref="F251:F257" si="40">G75</f>
        <v>0</v>
      </c>
      <c r="G251" s="130">
        <f>G249</f>
        <v>148</v>
      </c>
      <c r="H251" s="250">
        <f>ROUND(E251*G251*F251,2)</f>
        <v>0</v>
      </c>
      <c r="I251" s="132" t="s">
        <v>169</v>
      </c>
      <c r="N251" s="255"/>
      <c r="O251" s="255"/>
      <c r="P251" s="255"/>
    </row>
    <row r="252" spans="1:16" s="43" customFormat="1" ht="18" customHeight="1">
      <c r="A252" s="1"/>
      <c r="B252" s="124" t="str">
        <f t="shared" ref="B252:B257" si="41">B251</f>
        <v>6单银Low-E+12A+6</v>
      </c>
      <c r="C252" s="253">
        <f t="shared" si="39"/>
        <v>-12</v>
      </c>
      <c r="D252" s="253">
        <f t="shared" si="39"/>
        <v>-12</v>
      </c>
      <c r="E252" s="32">
        <f t="shared" si="27"/>
        <v>1.44E-4</v>
      </c>
      <c r="F252" s="82">
        <f t="shared" si="40"/>
        <v>0</v>
      </c>
      <c r="G252" s="130">
        <f t="shared" ref="G252:G257" si="42">G251</f>
        <v>148</v>
      </c>
      <c r="H252" s="250">
        <f t="shared" ref="H252:H264" si="43">ROUND(E252*G252*F252,2)</f>
        <v>0</v>
      </c>
      <c r="I252" s="132" t="str">
        <f t="shared" ref="I252:I257" si="44">I251</f>
        <v>固定钢化中空</v>
      </c>
      <c r="N252" s="255"/>
      <c r="O252" s="255"/>
      <c r="P252" s="255"/>
    </row>
    <row r="253" spans="1:16" s="43" customFormat="1" ht="18" customHeight="1">
      <c r="A253" s="1"/>
      <c r="B253" s="124" t="str">
        <f t="shared" si="41"/>
        <v>6单银Low-E+12A+6</v>
      </c>
      <c r="C253" s="253">
        <f t="shared" si="39"/>
        <v>-12</v>
      </c>
      <c r="D253" s="253">
        <f t="shared" si="39"/>
        <v>-12</v>
      </c>
      <c r="E253" s="32">
        <f t="shared" si="27"/>
        <v>1.44E-4</v>
      </c>
      <c r="F253" s="82">
        <f t="shared" si="40"/>
        <v>0</v>
      </c>
      <c r="G253" s="130">
        <f t="shared" si="42"/>
        <v>148</v>
      </c>
      <c r="H253" s="250">
        <f t="shared" si="43"/>
        <v>0</v>
      </c>
      <c r="I253" s="132" t="str">
        <f t="shared" si="44"/>
        <v>固定钢化中空</v>
      </c>
      <c r="N253" s="255"/>
      <c r="O253" s="255"/>
      <c r="P253" s="255"/>
    </row>
    <row r="254" spans="1:16" s="43" customFormat="1" ht="18" customHeight="1">
      <c r="A254" s="1"/>
      <c r="B254" s="124" t="str">
        <f t="shared" si="41"/>
        <v>6单银Low-E+12A+6</v>
      </c>
      <c r="C254" s="253">
        <f t="shared" si="39"/>
        <v>-12</v>
      </c>
      <c r="D254" s="253">
        <f t="shared" si="39"/>
        <v>-12</v>
      </c>
      <c r="E254" s="32">
        <f t="shared" si="27"/>
        <v>1.44E-4</v>
      </c>
      <c r="F254" s="82">
        <f t="shared" si="40"/>
        <v>0</v>
      </c>
      <c r="G254" s="130">
        <f t="shared" si="42"/>
        <v>148</v>
      </c>
      <c r="H254" s="250">
        <f t="shared" si="43"/>
        <v>0</v>
      </c>
      <c r="I254" s="132" t="str">
        <f t="shared" si="44"/>
        <v>固定钢化中空</v>
      </c>
      <c r="J254" s="42"/>
      <c r="N254" s="255"/>
      <c r="O254" s="255"/>
      <c r="P254" s="255"/>
    </row>
    <row r="255" spans="1:16" s="43" customFormat="1" ht="18" customHeight="1">
      <c r="A255" s="1"/>
      <c r="B255" s="124" t="str">
        <f t="shared" si="41"/>
        <v>6单银Low-E+12A+6</v>
      </c>
      <c r="C255" s="253">
        <f t="shared" si="39"/>
        <v>-12</v>
      </c>
      <c r="D255" s="253">
        <f t="shared" si="39"/>
        <v>-12</v>
      </c>
      <c r="E255" s="32">
        <f t="shared" si="27"/>
        <v>1.44E-4</v>
      </c>
      <c r="F255" s="82">
        <f t="shared" si="40"/>
        <v>0</v>
      </c>
      <c r="G255" s="130">
        <f t="shared" si="42"/>
        <v>148</v>
      </c>
      <c r="H255" s="250">
        <f t="shared" si="43"/>
        <v>0</v>
      </c>
      <c r="I255" s="132" t="str">
        <f t="shared" si="44"/>
        <v>固定钢化中空</v>
      </c>
      <c r="N255" s="255"/>
      <c r="O255" s="255"/>
      <c r="P255" s="255"/>
    </row>
    <row r="256" spans="1:16" s="43" customFormat="1" ht="18" customHeight="1">
      <c r="A256" s="1"/>
      <c r="B256" s="124" t="str">
        <f t="shared" si="41"/>
        <v>6单银Low-E+12A+6</v>
      </c>
      <c r="C256" s="253">
        <f t="shared" si="39"/>
        <v>-12</v>
      </c>
      <c r="D256" s="253">
        <f t="shared" si="39"/>
        <v>-12</v>
      </c>
      <c r="E256" s="32">
        <f t="shared" si="27"/>
        <v>1.44E-4</v>
      </c>
      <c r="F256" s="82">
        <f t="shared" si="40"/>
        <v>0</v>
      </c>
      <c r="G256" s="130">
        <f t="shared" si="42"/>
        <v>148</v>
      </c>
      <c r="H256" s="250">
        <f t="shared" si="43"/>
        <v>0</v>
      </c>
      <c r="I256" s="132" t="str">
        <f t="shared" si="44"/>
        <v>固定钢化中空</v>
      </c>
      <c r="N256" s="255"/>
      <c r="O256" s="255"/>
      <c r="P256" s="255"/>
    </row>
    <row r="257" spans="1:16" s="43" customFormat="1" ht="18" customHeight="1">
      <c r="A257" s="1"/>
      <c r="B257" s="124" t="str">
        <f t="shared" si="41"/>
        <v>6单银Low-E+12A+6</v>
      </c>
      <c r="C257" s="253">
        <f t="shared" si="39"/>
        <v>-12</v>
      </c>
      <c r="D257" s="253">
        <f t="shared" si="39"/>
        <v>-12</v>
      </c>
      <c r="E257" s="32">
        <f t="shared" si="27"/>
        <v>1.44E-4</v>
      </c>
      <c r="F257" s="82">
        <f t="shared" si="40"/>
        <v>0</v>
      </c>
      <c r="G257" s="130">
        <f t="shared" si="42"/>
        <v>148</v>
      </c>
      <c r="H257" s="250">
        <f t="shared" si="43"/>
        <v>0</v>
      </c>
      <c r="I257" s="132" t="str">
        <f t="shared" si="44"/>
        <v>固定钢化中空</v>
      </c>
      <c r="N257" s="255"/>
      <c r="O257" s="255"/>
      <c r="P257" s="255"/>
    </row>
    <row r="258" spans="1:16" s="43" customFormat="1" ht="18" customHeight="1">
      <c r="A258" s="1"/>
      <c r="B258" s="48" t="s">
        <v>170</v>
      </c>
      <c r="C258" s="52"/>
      <c r="D258" s="50"/>
      <c r="E258" s="128"/>
      <c r="F258" s="50">
        <f>SUM(F251:F257)</f>
        <v>0</v>
      </c>
      <c r="G258" s="50"/>
      <c r="H258" s="52">
        <f>SUM(H251:H257)</f>
        <v>0</v>
      </c>
      <c r="I258" s="53">
        <f>ROUND((E251*F251+E252*F252+E253*F253+E254*F254+E255*F255+E256*F256+E257*F257),2)</f>
        <v>0</v>
      </c>
      <c r="N258" s="255"/>
      <c r="O258" s="255"/>
      <c r="P258" s="255"/>
    </row>
    <row r="259" spans="1:16" s="43" customFormat="1" ht="18" customHeight="1">
      <c r="A259" s="1"/>
      <c r="B259" s="124" t="str">
        <f>B257</f>
        <v>6单银Low-E+12A+6</v>
      </c>
      <c r="C259" s="253">
        <f t="shared" ref="C259:D264" si="45">D82-12</f>
        <v>-12</v>
      </c>
      <c r="D259" s="253">
        <f t="shared" si="45"/>
        <v>-12</v>
      </c>
      <c r="E259" s="32">
        <f t="shared" si="27"/>
        <v>1.44E-4</v>
      </c>
      <c r="F259" s="82">
        <f t="shared" ref="F259:F264" si="46">G82</f>
        <v>0</v>
      </c>
      <c r="G259" s="130">
        <f>G257</f>
        <v>148</v>
      </c>
      <c r="H259" s="250">
        <f t="shared" si="43"/>
        <v>0</v>
      </c>
      <c r="I259" s="247" t="s">
        <v>171</v>
      </c>
      <c r="N259" s="255"/>
      <c r="O259" s="255"/>
      <c r="P259" s="255"/>
    </row>
    <row r="260" spans="1:16" s="43" customFormat="1" ht="18" customHeight="1">
      <c r="A260" s="1"/>
      <c r="B260" s="124" t="str">
        <f>B259</f>
        <v>6单银Low-E+12A+6</v>
      </c>
      <c r="C260" s="253">
        <f t="shared" si="45"/>
        <v>-12</v>
      </c>
      <c r="D260" s="253">
        <f t="shared" si="45"/>
        <v>-12</v>
      </c>
      <c r="E260" s="32">
        <f t="shared" si="27"/>
        <v>1.44E-4</v>
      </c>
      <c r="F260" s="82">
        <f t="shared" si="46"/>
        <v>0</v>
      </c>
      <c r="G260" s="130">
        <f>G259</f>
        <v>148</v>
      </c>
      <c r="H260" s="250">
        <f t="shared" si="43"/>
        <v>0</v>
      </c>
      <c r="I260" s="247" t="s">
        <v>171</v>
      </c>
      <c r="N260" s="255"/>
      <c r="O260" s="255"/>
      <c r="P260" s="255"/>
    </row>
    <row r="261" spans="1:16" s="43" customFormat="1" ht="18" customHeight="1">
      <c r="A261" s="1"/>
      <c r="B261" s="124" t="str">
        <f>B260</f>
        <v>6单银Low-E+12A+6</v>
      </c>
      <c r="C261" s="253">
        <f t="shared" si="45"/>
        <v>-12</v>
      </c>
      <c r="D261" s="253">
        <f t="shared" si="45"/>
        <v>-12</v>
      </c>
      <c r="E261" s="32">
        <f t="shared" si="27"/>
        <v>1.44E-4</v>
      </c>
      <c r="F261" s="82">
        <f t="shared" si="46"/>
        <v>0</v>
      </c>
      <c r="G261" s="130">
        <f>G260</f>
        <v>148</v>
      </c>
      <c r="H261" s="250">
        <f t="shared" si="43"/>
        <v>0</v>
      </c>
      <c r="I261" s="247" t="s">
        <v>171</v>
      </c>
      <c r="N261" s="255"/>
      <c r="O261" s="255"/>
      <c r="P261" s="255"/>
    </row>
    <row r="262" spans="1:16" s="43" customFormat="1" ht="18" customHeight="1">
      <c r="A262" s="1"/>
      <c r="B262" s="124" t="str">
        <f>B261</f>
        <v>6单银Low-E+12A+6</v>
      </c>
      <c r="C262" s="253">
        <f t="shared" si="45"/>
        <v>-12</v>
      </c>
      <c r="D262" s="253">
        <f t="shared" si="45"/>
        <v>-12</v>
      </c>
      <c r="E262" s="32">
        <f t="shared" si="27"/>
        <v>1.44E-4</v>
      </c>
      <c r="F262" s="82">
        <f t="shared" si="46"/>
        <v>0</v>
      </c>
      <c r="G262" s="130">
        <f>G261</f>
        <v>148</v>
      </c>
      <c r="H262" s="250">
        <f t="shared" si="43"/>
        <v>0</v>
      </c>
      <c r="I262" s="247" t="s">
        <v>171</v>
      </c>
      <c r="N262" s="255"/>
      <c r="O262" s="255"/>
      <c r="P262" s="255"/>
    </row>
    <row r="263" spans="1:16" s="43" customFormat="1" ht="18" customHeight="1">
      <c r="A263" s="1"/>
      <c r="B263" s="124" t="str">
        <f>B262</f>
        <v>6单银Low-E+12A+6</v>
      </c>
      <c r="C263" s="253">
        <f t="shared" si="45"/>
        <v>-12</v>
      </c>
      <c r="D263" s="253">
        <f t="shared" si="45"/>
        <v>-12</v>
      </c>
      <c r="E263" s="32">
        <f t="shared" si="27"/>
        <v>1.44E-4</v>
      </c>
      <c r="F263" s="82">
        <f t="shared" si="46"/>
        <v>0</v>
      </c>
      <c r="G263" s="130">
        <f>G262</f>
        <v>148</v>
      </c>
      <c r="H263" s="250">
        <f t="shared" si="43"/>
        <v>0</v>
      </c>
      <c r="I263" s="247" t="s">
        <v>171</v>
      </c>
      <c r="N263" s="255"/>
      <c r="O263" s="255"/>
      <c r="P263" s="255"/>
    </row>
    <row r="264" spans="1:16" s="43" customFormat="1" ht="18" customHeight="1">
      <c r="A264" s="1"/>
      <c r="B264" s="124" t="str">
        <f>B263</f>
        <v>6单银Low-E+12A+6</v>
      </c>
      <c r="C264" s="253">
        <f t="shared" si="45"/>
        <v>-12</v>
      </c>
      <c r="D264" s="253">
        <f t="shared" si="45"/>
        <v>-12</v>
      </c>
      <c r="E264" s="32">
        <f t="shared" si="27"/>
        <v>1.44E-4</v>
      </c>
      <c r="F264" s="82">
        <f t="shared" si="46"/>
        <v>0</v>
      </c>
      <c r="G264" s="130">
        <f>G263</f>
        <v>148</v>
      </c>
      <c r="H264" s="250">
        <f t="shared" si="43"/>
        <v>0</v>
      </c>
      <c r="I264" s="247" t="s">
        <v>171</v>
      </c>
      <c r="N264" s="255"/>
      <c r="O264" s="255"/>
      <c r="P264" s="255"/>
    </row>
    <row r="265" spans="1:16" s="43" customFormat="1" ht="18" customHeight="1">
      <c r="A265" s="1"/>
      <c r="B265" s="48" t="s">
        <v>172</v>
      </c>
      <c r="C265" s="52"/>
      <c r="D265" s="50"/>
      <c r="E265" s="128"/>
      <c r="F265" s="50">
        <f>SUM(F259:F264)</f>
        <v>0</v>
      </c>
      <c r="G265" s="50"/>
      <c r="H265" s="52">
        <f>SUM(H259:H264)</f>
        <v>0</v>
      </c>
      <c r="I265" s="53">
        <f>ROUND(SUMPRODUCT(E259:E264*F259:F264),2)</f>
        <v>0</v>
      </c>
      <c r="N265" s="255"/>
      <c r="O265" s="255"/>
      <c r="P265" s="255"/>
    </row>
    <row r="266" spans="1:16" s="43" customFormat="1" ht="18" customHeight="1">
      <c r="A266" s="1"/>
      <c r="B266" s="124" t="str">
        <f>B264</f>
        <v>6单银Low-E+12A+6</v>
      </c>
      <c r="C266" s="133">
        <f t="shared" ref="C266:D268" si="47">D143</f>
        <v>-154</v>
      </c>
      <c r="D266" s="133">
        <f t="shared" si="47"/>
        <v>-154</v>
      </c>
      <c r="E266" s="32">
        <f t="shared" si="27"/>
        <v>2.3716000000000001E-2</v>
      </c>
      <c r="F266" s="134">
        <f>G143</f>
        <v>0</v>
      </c>
      <c r="G266" s="135">
        <f>G264</f>
        <v>148</v>
      </c>
      <c r="H266" s="134">
        <f>ROUND(E266*G266*F266,2)</f>
        <v>0</v>
      </c>
      <c r="I266" s="136" t="s">
        <v>173</v>
      </c>
      <c r="N266" s="255"/>
      <c r="O266" s="255"/>
      <c r="P266" s="255"/>
    </row>
    <row r="267" spans="1:16" s="43" customFormat="1" ht="18" customHeight="1">
      <c r="A267" s="1"/>
      <c r="B267" s="124" t="str">
        <f>B264</f>
        <v>6单银Low-E+12A+6</v>
      </c>
      <c r="C267" s="133">
        <f t="shared" si="47"/>
        <v>-154</v>
      </c>
      <c r="D267" s="133">
        <f t="shared" si="47"/>
        <v>-154</v>
      </c>
      <c r="E267" s="32">
        <f t="shared" si="27"/>
        <v>2.3716000000000001E-2</v>
      </c>
      <c r="F267" s="134">
        <f>G144</f>
        <v>0</v>
      </c>
      <c r="G267" s="135">
        <f>G266</f>
        <v>148</v>
      </c>
      <c r="H267" s="134">
        <f>ROUND(E267*G267*F267,2)</f>
        <v>0</v>
      </c>
      <c r="I267" s="136" t="s">
        <v>173</v>
      </c>
      <c r="N267" s="255"/>
      <c r="O267" s="255"/>
      <c r="P267" s="255"/>
    </row>
    <row r="268" spans="1:16" s="43" customFormat="1" ht="18" customHeight="1">
      <c r="A268" s="1"/>
      <c r="B268" s="124" t="str">
        <f>B267</f>
        <v>6单银Low-E+12A+6</v>
      </c>
      <c r="C268" s="133">
        <f t="shared" si="47"/>
        <v>-154</v>
      </c>
      <c r="D268" s="133">
        <f t="shared" si="47"/>
        <v>-154</v>
      </c>
      <c r="E268" s="32">
        <f t="shared" si="27"/>
        <v>2.3716000000000001E-2</v>
      </c>
      <c r="F268" s="134">
        <f>G145</f>
        <v>0</v>
      </c>
      <c r="G268" s="135">
        <f>G267</f>
        <v>148</v>
      </c>
      <c r="H268" s="134">
        <f>ROUND(E268*G268*F268,2)</f>
        <v>0</v>
      </c>
      <c r="I268" s="136" t="s">
        <v>173</v>
      </c>
      <c r="N268" s="255"/>
      <c r="O268" s="255"/>
      <c r="P268" s="255"/>
    </row>
    <row r="269" spans="1:16" s="43" customFormat="1" ht="18" customHeight="1">
      <c r="A269" s="1"/>
      <c r="B269" s="48" t="s">
        <v>174</v>
      </c>
      <c r="C269" s="52"/>
      <c r="D269" s="50"/>
      <c r="E269" s="128"/>
      <c r="F269" s="50">
        <f>SUM(F266:F268)</f>
        <v>0</v>
      </c>
      <c r="G269" s="50"/>
      <c r="H269" s="52">
        <f>SUM(H266:H268)</f>
        <v>0</v>
      </c>
      <c r="I269" s="53">
        <f>ROUND((E266*F266+E267*F267+E268*F268),2)</f>
        <v>0</v>
      </c>
      <c r="N269" s="255"/>
      <c r="O269" s="255"/>
      <c r="P269" s="255"/>
    </row>
    <row r="270" spans="1:16" s="43" customFormat="1" ht="18" customHeight="1">
      <c r="A270" s="1"/>
      <c r="B270" s="124" t="str">
        <f>B268</f>
        <v>6单银Low-E+12A+6</v>
      </c>
      <c r="C270" s="133">
        <f t="shared" ref="C270:D272" si="48">D150</f>
        <v>-160</v>
      </c>
      <c r="D270" s="133">
        <f t="shared" si="48"/>
        <v>-160</v>
      </c>
      <c r="E270" s="32">
        <f t="shared" si="27"/>
        <v>2.5600000000000001E-2</v>
      </c>
      <c r="F270" s="134">
        <f>G150</f>
        <v>0</v>
      </c>
      <c r="G270" s="135">
        <f>G268</f>
        <v>148</v>
      </c>
      <c r="H270" s="134">
        <f>ROUND(E270*G270*F270,2)</f>
        <v>0</v>
      </c>
      <c r="I270" s="136" t="s">
        <v>173</v>
      </c>
      <c r="N270" s="255"/>
      <c r="O270" s="255"/>
      <c r="P270" s="255"/>
    </row>
    <row r="271" spans="1:16" s="43" customFormat="1" ht="18" customHeight="1">
      <c r="A271" s="1"/>
      <c r="B271" s="124" t="str">
        <f>B270</f>
        <v>6单银Low-E+12A+6</v>
      </c>
      <c r="C271" s="133">
        <f t="shared" si="48"/>
        <v>-160</v>
      </c>
      <c r="D271" s="133">
        <f t="shared" si="48"/>
        <v>-160</v>
      </c>
      <c r="E271" s="32">
        <f t="shared" si="27"/>
        <v>2.5600000000000001E-2</v>
      </c>
      <c r="F271" s="134">
        <f>G151</f>
        <v>0</v>
      </c>
      <c r="G271" s="135">
        <f>G270</f>
        <v>148</v>
      </c>
      <c r="H271" s="134">
        <f>ROUND(E271*G271*F271,2)</f>
        <v>0</v>
      </c>
      <c r="I271" s="136" t="s">
        <v>173</v>
      </c>
      <c r="N271" s="255"/>
      <c r="O271" s="255"/>
      <c r="P271" s="255"/>
    </row>
    <row r="272" spans="1:16" s="43" customFormat="1" ht="18" customHeight="1">
      <c r="A272" s="1"/>
      <c r="B272" s="124" t="str">
        <f>B271</f>
        <v>6单银Low-E+12A+6</v>
      </c>
      <c r="C272" s="133">
        <f t="shared" si="48"/>
        <v>-160</v>
      </c>
      <c r="D272" s="133">
        <f t="shared" si="48"/>
        <v>-160</v>
      </c>
      <c r="E272" s="32">
        <f t="shared" si="27"/>
        <v>2.5600000000000001E-2</v>
      </c>
      <c r="F272" s="134">
        <f>G152</f>
        <v>0</v>
      </c>
      <c r="G272" s="135">
        <f>G271</f>
        <v>148</v>
      </c>
      <c r="H272" s="134">
        <f>ROUND(E272*G272*F272,2)</f>
        <v>0</v>
      </c>
      <c r="I272" s="136" t="s">
        <v>173</v>
      </c>
      <c r="N272" s="255"/>
      <c r="O272" s="255"/>
      <c r="P272" s="255"/>
    </row>
    <row r="273" spans="1:16" s="43" customFormat="1" ht="18" customHeight="1">
      <c r="A273" s="1"/>
      <c r="B273" s="48" t="s">
        <v>175</v>
      </c>
      <c r="C273" s="52"/>
      <c r="D273" s="50"/>
      <c r="E273" s="128"/>
      <c r="F273" s="50">
        <f>SUM(F270:F272)</f>
        <v>0</v>
      </c>
      <c r="G273" s="50"/>
      <c r="H273" s="52">
        <f>SUM(H270:H272)</f>
        <v>0</v>
      </c>
      <c r="I273" s="53">
        <f>ROUND((E270*F270+E271*F271+E272*F272),2)</f>
        <v>0</v>
      </c>
      <c r="N273" s="255"/>
      <c r="O273" s="255"/>
      <c r="P273" s="255"/>
    </row>
    <row r="274" spans="1:16" ht="18" customHeight="1">
      <c r="B274" s="124" t="str">
        <f>B272</f>
        <v>6单银Low-E+12A+6</v>
      </c>
      <c r="C274" s="133">
        <f t="shared" ref="C274:D279" si="49">D157-12</f>
        <v>-12</v>
      </c>
      <c r="D274" s="133">
        <f t="shared" si="49"/>
        <v>-12</v>
      </c>
      <c r="E274" s="32">
        <f t="shared" si="27"/>
        <v>1.44E-4</v>
      </c>
      <c r="F274" s="134">
        <f t="shared" ref="F274:F279" si="50">G157</f>
        <v>0</v>
      </c>
      <c r="G274" s="135">
        <f>G272</f>
        <v>148</v>
      </c>
      <c r="H274" s="134">
        <f t="shared" ref="H274:H279" si="51">ROUND(E274*G274*F274,2)</f>
        <v>0</v>
      </c>
      <c r="I274" s="136" t="s">
        <v>176</v>
      </c>
    </row>
    <row r="275" spans="1:16" ht="18" customHeight="1">
      <c r="B275" s="124" t="str">
        <f>B274</f>
        <v>6单银Low-E+12A+6</v>
      </c>
      <c r="C275" s="133">
        <f t="shared" si="49"/>
        <v>-12</v>
      </c>
      <c r="D275" s="133">
        <f t="shared" si="49"/>
        <v>-12</v>
      </c>
      <c r="E275" s="32">
        <f t="shared" si="27"/>
        <v>1.44E-4</v>
      </c>
      <c r="F275" s="134">
        <f t="shared" si="50"/>
        <v>0</v>
      </c>
      <c r="G275" s="135">
        <f>G274</f>
        <v>148</v>
      </c>
      <c r="H275" s="134">
        <f t="shared" si="51"/>
        <v>0</v>
      </c>
      <c r="I275" s="136" t="str">
        <f>I274</f>
        <v>门钢化中空玻璃</v>
      </c>
      <c r="K275" s="43" t="s">
        <v>177</v>
      </c>
    </row>
    <row r="276" spans="1:16" ht="18" customHeight="1">
      <c r="B276" s="124" t="str">
        <f>B275</f>
        <v>6单银Low-E+12A+6</v>
      </c>
      <c r="C276" s="133">
        <f t="shared" si="49"/>
        <v>-12</v>
      </c>
      <c r="D276" s="133">
        <f t="shared" si="49"/>
        <v>-12</v>
      </c>
      <c r="E276" s="32">
        <f t="shared" si="27"/>
        <v>1.44E-4</v>
      </c>
      <c r="F276" s="134">
        <f t="shared" si="50"/>
        <v>0</v>
      </c>
      <c r="G276" s="135">
        <f>G275</f>
        <v>148</v>
      </c>
      <c r="H276" s="134">
        <f t="shared" si="51"/>
        <v>0</v>
      </c>
      <c r="I276" s="136" t="str">
        <f>I275</f>
        <v>门钢化中空玻璃</v>
      </c>
    </row>
    <row r="277" spans="1:16" ht="18" customHeight="1">
      <c r="B277" s="124" t="str">
        <f>B276</f>
        <v>6单银Low-E+12A+6</v>
      </c>
      <c r="C277" s="133">
        <f t="shared" si="49"/>
        <v>-12</v>
      </c>
      <c r="D277" s="133">
        <f t="shared" si="49"/>
        <v>-12</v>
      </c>
      <c r="E277" s="32">
        <f t="shared" si="27"/>
        <v>1.44E-4</v>
      </c>
      <c r="F277" s="134">
        <f t="shared" si="50"/>
        <v>0</v>
      </c>
      <c r="G277" s="135">
        <f>G276</f>
        <v>148</v>
      </c>
      <c r="H277" s="134">
        <f t="shared" si="51"/>
        <v>0</v>
      </c>
      <c r="I277" s="136" t="str">
        <f>I276</f>
        <v>门钢化中空玻璃</v>
      </c>
    </row>
    <row r="278" spans="1:16" ht="18" customHeight="1">
      <c r="B278" s="124" t="str">
        <f>B277</f>
        <v>6单银Low-E+12A+6</v>
      </c>
      <c r="C278" s="133">
        <f t="shared" si="49"/>
        <v>-12</v>
      </c>
      <c r="D278" s="133">
        <f t="shared" si="49"/>
        <v>-12</v>
      </c>
      <c r="E278" s="32">
        <f t="shared" si="27"/>
        <v>1.44E-4</v>
      </c>
      <c r="F278" s="134">
        <f t="shared" si="50"/>
        <v>0</v>
      </c>
      <c r="G278" s="135">
        <f>G277</f>
        <v>148</v>
      </c>
      <c r="H278" s="134">
        <f t="shared" si="51"/>
        <v>0</v>
      </c>
      <c r="I278" s="136" t="str">
        <f>I277</f>
        <v>门钢化中空玻璃</v>
      </c>
    </row>
    <row r="279" spans="1:16" ht="18" customHeight="1">
      <c r="B279" s="124" t="str">
        <f>B278</f>
        <v>6单银Low-E+12A+6</v>
      </c>
      <c r="C279" s="133">
        <f t="shared" si="49"/>
        <v>-12</v>
      </c>
      <c r="D279" s="133">
        <f t="shared" si="49"/>
        <v>-12</v>
      </c>
      <c r="E279" s="32">
        <f t="shared" si="27"/>
        <v>1.44E-4</v>
      </c>
      <c r="F279" s="134">
        <f t="shared" si="50"/>
        <v>0</v>
      </c>
      <c r="G279" s="135">
        <f>G278</f>
        <v>148</v>
      </c>
      <c r="H279" s="134">
        <f t="shared" si="51"/>
        <v>0</v>
      </c>
      <c r="I279" s="136" t="str">
        <f>I278</f>
        <v>门钢化中空玻璃</v>
      </c>
    </row>
    <row r="280" spans="1:16" ht="18" customHeight="1">
      <c r="B280" s="48" t="s">
        <v>178</v>
      </c>
      <c r="C280" s="52"/>
      <c r="D280" s="50"/>
      <c r="E280" s="128"/>
      <c r="F280" s="50">
        <f>SUM(F274:F279)</f>
        <v>0</v>
      </c>
      <c r="G280" s="50"/>
      <c r="H280" s="52">
        <f>SUM(H274:H279)</f>
        <v>0</v>
      </c>
      <c r="I280" s="53">
        <f>ROUND(SUMPRODUCT(E274:E279*F274:F279),2)</f>
        <v>0</v>
      </c>
    </row>
    <row r="281" spans="1:16" ht="18" customHeight="1">
      <c r="B281" s="124" t="str">
        <f>材料价格!A10</f>
        <v>6单银Low-E+12A+6</v>
      </c>
      <c r="C281" s="133">
        <f>C252</f>
        <v>-12</v>
      </c>
      <c r="D281" s="133">
        <f>D252</f>
        <v>-12</v>
      </c>
      <c r="E281" s="32">
        <f t="shared" si="27"/>
        <v>1.44E-4</v>
      </c>
      <c r="F281" s="134"/>
      <c r="G281" s="137">
        <f>材料价格!B10</f>
        <v>148</v>
      </c>
      <c r="H281" s="134">
        <f>ROUND(E281*G281*F281,2)</f>
        <v>0</v>
      </c>
      <c r="I281" s="247" t="s">
        <v>179</v>
      </c>
    </row>
    <row r="282" spans="1:16" ht="18" customHeight="1">
      <c r="B282" s="124" t="str">
        <f>B281</f>
        <v>6单银Low-E+12A+6</v>
      </c>
      <c r="C282" s="133">
        <f>C253</f>
        <v>-12</v>
      </c>
      <c r="D282" s="133">
        <f>D253</f>
        <v>-12</v>
      </c>
      <c r="E282" s="32">
        <f t="shared" si="27"/>
        <v>1.44E-4</v>
      </c>
      <c r="F282" s="134"/>
      <c r="G282" s="135">
        <f>G281</f>
        <v>148</v>
      </c>
      <c r="H282" s="134">
        <f>ROUND(E282*G282*F282,2)</f>
        <v>0</v>
      </c>
      <c r="I282" s="247" t="s">
        <v>179</v>
      </c>
      <c r="J282" s="255"/>
      <c r="K282" s="255"/>
      <c r="L282" s="255"/>
      <c r="M282" s="255"/>
    </row>
    <row r="283" spans="1:16" ht="18" customHeight="1">
      <c r="B283" s="124" t="str">
        <f>B282</f>
        <v>6单银Low-E+12A+6</v>
      </c>
      <c r="C283" s="133">
        <f>D84-12</f>
        <v>-12</v>
      </c>
      <c r="D283" s="133">
        <f>E84-12</f>
        <v>-12</v>
      </c>
      <c r="E283" s="32">
        <f t="shared" si="27"/>
        <v>1.44E-4</v>
      </c>
      <c r="F283" s="134">
        <f>G84</f>
        <v>0</v>
      </c>
      <c r="G283" s="135">
        <f>G282</f>
        <v>148</v>
      </c>
      <c r="H283" s="134">
        <f>ROUND(E283*G283*F283,2)</f>
        <v>0</v>
      </c>
      <c r="I283" s="247" t="s">
        <v>179</v>
      </c>
      <c r="J283" s="255"/>
      <c r="K283" s="255"/>
      <c r="L283" s="255"/>
      <c r="M283" s="255"/>
    </row>
    <row r="284" spans="1:16" ht="18" customHeight="1">
      <c r="B284" s="124" t="str">
        <f>B283</f>
        <v>6单银Low-E+12A+6</v>
      </c>
      <c r="C284" s="133">
        <f>D85-12</f>
        <v>-12</v>
      </c>
      <c r="D284" s="133">
        <f>E85-12</f>
        <v>-12</v>
      </c>
      <c r="E284" s="32">
        <f t="shared" si="27"/>
        <v>1.44E-4</v>
      </c>
      <c r="F284" s="134">
        <f>G85</f>
        <v>0</v>
      </c>
      <c r="G284" s="135">
        <f>G283</f>
        <v>148</v>
      </c>
      <c r="H284" s="134">
        <f>ROUND(E284*G284*F284,2)</f>
        <v>0</v>
      </c>
      <c r="I284" s="247" t="s">
        <v>179</v>
      </c>
      <c r="J284" s="255"/>
      <c r="K284" s="255"/>
      <c r="L284" s="255"/>
      <c r="M284" s="255"/>
    </row>
    <row r="285" spans="1:16" ht="18" customHeight="1">
      <c r="B285" s="48" t="s">
        <v>180</v>
      </c>
      <c r="C285" s="52"/>
      <c r="D285" s="50"/>
      <c r="E285" s="50"/>
      <c r="F285" s="50">
        <f>SUM(F281:F284)</f>
        <v>0</v>
      </c>
      <c r="G285" s="50"/>
      <c r="H285" s="52">
        <f>SUM(H281:H284)</f>
        <v>0</v>
      </c>
      <c r="I285" s="53">
        <f>ROUND((E281*F281+E282*F282+E283*F283+E284*F284),2)</f>
        <v>0</v>
      </c>
      <c r="J285" s="255"/>
      <c r="K285" s="255"/>
      <c r="L285" s="255"/>
      <c r="M285" s="255"/>
    </row>
    <row r="286" spans="1:16" ht="18" customHeight="1">
      <c r="B286" s="124" t="str">
        <f>材料价格!A11</f>
        <v>8单银Low-E+12Ar+8+12A+8mm</v>
      </c>
      <c r="C286" s="133"/>
      <c r="D286" s="133"/>
      <c r="E286" s="32">
        <f>C286*D286/10^6</f>
        <v>0</v>
      </c>
      <c r="F286" s="134"/>
      <c r="G286" s="137">
        <f>材料价格!B11</f>
        <v>312</v>
      </c>
      <c r="H286" s="134">
        <f>ROUND(E286*G286*F286,2)</f>
        <v>0</v>
      </c>
      <c r="I286" s="247" t="s">
        <v>181</v>
      </c>
      <c r="J286" s="255"/>
      <c r="K286" s="255"/>
      <c r="L286" s="255"/>
      <c r="M286" s="255"/>
    </row>
    <row r="287" spans="1:16" ht="18" customHeight="1">
      <c r="B287" s="124" t="str">
        <f>B286</f>
        <v>8单银Low-E+12Ar+8+12A+8mm</v>
      </c>
      <c r="C287" s="133"/>
      <c r="D287" s="133"/>
      <c r="E287" s="32">
        <f>C287*D287/10^6</f>
        <v>0</v>
      </c>
      <c r="F287" s="134"/>
      <c r="G287" s="135">
        <f>G286</f>
        <v>312</v>
      </c>
      <c r="H287" s="134">
        <f>ROUND(E287*G287*F287,2)</f>
        <v>0</v>
      </c>
      <c r="I287" s="247" t="s">
        <v>181</v>
      </c>
      <c r="J287" s="255"/>
      <c r="K287" s="255"/>
      <c r="L287" s="255"/>
      <c r="M287" s="255"/>
    </row>
    <row r="288" spans="1:16" ht="18" customHeight="1">
      <c r="B288" s="138" t="str">
        <f>材料价格!A12</f>
        <v>10单银Low-E+12Ar+10+12A+10mm</v>
      </c>
      <c r="C288" s="139"/>
      <c r="D288" s="139"/>
      <c r="E288" s="140">
        <f>C288*D288/10^6</f>
        <v>0</v>
      </c>
      <c r="F288" s="141"/>
      <c r="G288" s="142">
        <f>材料价格!B12</f>
        <v>395</v>
      </c>
      <c r="H288" s="141">
        <f>ROUND(E288*G288*F288,2)</f>
        <v>0</v>
      </c>
      <c r="I288" s="143" t="s">
        <v>181</v>
      </c>
      <c r="J288" s="255"/>
      <c r="K288" s="255"/>
      <c r="L288" s="255"/>
      <c r="M288" s="255"/>
    </row>
    <row r="289" spans="2:13" ht="18" customHeight="1">
      <c r="B289" s="138" t="str">
        <f>B288</f>
        <v>10单银Low-E+12Ar+10+12A+10mm</v>
      </c>
      <c r="C289" s="139"/>
      <c r="D289" s="139"/>
      <c r="E289" s="140">
        <f>C289*D289/10^6</f>
        <v>0</v>
      </c>
      <c r="F289" s="141"/>
      <c r="G289" s="142">
        <f>G288</f>
        <v>395</v>
      </c>
      <c r="H289" s="141">
        <f>ROUND(E289*G289*F289,2)</f>
        <v>0</v>
      </c>
      <c r="I289" s="143" t="s">
        <v>181</v>
      </c>
      <c r="J289" s="255"/>
      <c r="K289" s="255"/>
      <c r="L289" s="255"/>
      <c r="M289" s="255"/>
    </row>
    <row r="290" spans="2:13" ht="18" customHeight="1">
      <c r="B290" s="48" t="s">
        <v>180</v>
      </c>
      <c r="C290" s="52"/>
      <c r="D290" s="50"/>
      <c r="E290" s="50"/>
      <c r="F290" s="50">
        <f>SUM(F286:F289)</f>
        <v>0</v>
      </c>
      <c r="G290" s="50"/>
      <c r="H290" s="52">
        <f>SUM(H286:H289)</f>
        <v>0</v>
      </c>
      <c r="I290" s="53">
        <f>ROUND((E286*F286+E287*F287+E288*F288+E289*F289),2)</f>
        <v>0</v>
      </c>
      <c r="J290" s="255"/>
      <c r="K290" s="255"/>
      <c r="L290" s="255"/>
      <c r="M290" s="255"/>
    </row>
    <row r="291" spans="2:13" ht="18" customHeight="1">
      <c r="B291" s="642" t="s">
        <v>182</v>
      </c>
      <c r="C291" s="144" t="s">
        <v>183</v>
      </c>
      <c r="D291" s="144" cm="1">
        <f t="array" ref="D291">SUMPRODUCT(E225:E232*F225:F232)+SUMPRODUCT(E243:E249*F243:F249)</f>
        <v>5.0781759999999991</v>
      </c>
      <c r="E291" s="144" t="s">
        <v>184</v>
      </c>
      <c r="F291" s="145">
        <f>F233+F250</f>
        <v>9</v>
      </c>
      <c r="G291" s="145" t="s">
        <v>185</v>
      </c>
      <c r="H291" s="144">
        <f>H233+H250</f>
        <v>751.56999999999994</v>
      </c>
      <c r="I291" s="146">
        <f>H291/F366</f>
        <v>110.08949889408076</v>
      </c>
      <c r="J291" s="255"/>
      <c r="K291" s="255"/>
      <c r="L291" s="255"/>
      <c r="M291" s="255"/>
    </row>
    <row r="292" spans="2:13" ht="18" customHeight="1">
      <c r="B292" s="642"/>
      <c r="C292" s="144" t="s">
        <v>186</v>
      </c>
      <c r="D292" s="144">
        <f>SUMPRODUCT(E234:E241*F234:F241)+SUMPRODUCT(E251:E257*F251:F257)+SUMPRODUCT(E259:E264*F259:F264)+SUMPRODUCT(E266:E268*F266:F268)+SUMPRODUCT(E270:E272*F270:F272)+SUMPRODUCT(E281:E284*F281:F284)+SUMPRODUCT(E286:E289*F286:F289)+SUMPRODUCT(E274:E279*F274:F279)</f>
        <v>0</v>
      </c>
      <c r="E292" s="144" t="s">
        <v>186</v>
      </c>
      <c r="F292" s="145">
        <f>F242+F258+F265+F269+F273+F285+F290+F280</f>
        <v>0</v>
      </c>
      <c r="G292" s="145" t="s">
        <v>185</v>
      </c>
      <c r="H292" s="144">
        <f>H242+H258+H265+H269+H273+H280+H285+H290</f>
        <v>0</v>
      </c>
      <c r="I292" s="146">
        <f>H292/F366</f>
        <v>0</v>
      </c>
      <c r="J292" s="255"/>
      <c r="K292" s="255"/>
      <c r="L292" s="255"/>
      <c r="M292" s="255"/>
    </row>
    <row r="293" spans="2:13" ht="18" customHeight="1">
      <c r="B293" s="23" t="s">
        <v>187</v>
      </c>
      <c r="C293" s="252" t="s">
        <v>188</v>
      </c>
      <c r="D293" s="68" t="s">
        <v>189</v>
      </c>
      <c r="E293" s="252" t="s">
        <v>8</v>
      </c>
      <c r="F293" s="252" t="s">
        <v>190</v>
      </c>
      <c r="G293" s="252" t="s">
        <v>191</v>
      </c>
      <c r="H293" s="252" t="s">
        <v>160</v>
      </c>
      <c r="I293" s="25" t="s">
        <v>1</v>
      </c>
      <c r="J293" s="255"/>
      <c r="K293" s="255"/>
      <c r="L293" s="255"/>
      <c r="M293" s="255"/>
    </row>
    <row r="294" spans="2:13" ht="18" customHeight="1">
      <c r="B294" s="629" t="s">
        <v>192</v>
      </c>
      <c r="C294" s="253">
        <f>D26</f>
        <v>0</v>
      </c>
      <c r="D294" s="250"/>
      <c r="E294" s="250"/>
      <c r="F294" s="250" t="s">
        <v>193</v>
      </c>
      <c r="G294" s="108">
        <f>材料价格!B14</f>
        <v>153</v>
      </c>
      <c r="H294" s="147">
        <f>E294*G294</f>
        <v>0</v>
      </c>
      <c r="I294" s="632" t="s">
        <v>194</v>
      </c>
      <c r="J294" s="255"/>
      <c r="K294" s="255"/>
      <c r="L294" s="255"/>
      <c r="M294" s="255"/>
    </row>
    <row r="295" spans="2:13" ht="18" customHeight="1">
      <c r="B295" s="629"/>
      <c r="C295" s="253"/>
      <c r="D295" s="250"/>
      <c r="E295" s="250"/>
      <c r="F295" s="250"/>
      <c r="G295" s="108"/>
      <c r="H295" s="147">
        <f t="shared" ref="H295:H303" si="52">E295*G295</f>
        <v>0</v>
      </c>
      <c r="I295" s="633"/>
      <c r="J295" s="255"/>
      <c r="K295" s="255"/>
      <c r="L295" s="255"/>
      <c r="M295" s="255"/>
    </row>
    <row r="296" spans="2:13" ht="18" customHeight="1">
      <c r="B296" s="629" t="s">
        <v>195</v>
      </c>
      <c r="C296" s="253"/>
      <c r="D296" s="148"/>
      <c r="E296" s="250"/>
      <c r="F296" s="250" t="str">
        <f>F294</f>
        <v>坚朗</v>
      </c>
      <c r="G296" s="108">
        <f>材料价格!B15</f>
        <v>80</v>
      </c>
      <c r="H296" s="147">
        <f t="shared" si="52"/>
        <v>0</v>
      </c>
      <c r="I296" s="632" t="s">
        <v>196</v>
      </c>
      <c r="J296" s="255"/>
      <c r="K296" s="255"/>
      <c r="L296" s="255"/>
      <c r="M296" s="255"/>
    </row>
    <row r="297" spans="2:13" ht="18" customHeight="1">
      <c r="B297" s="629"/>
      <c r="C297" s="253"/>
      <c r="D297" s="148"/>
      <c r="E297" s="250"/>
      <c r="F297" s="250"/>
      <c r="G297" s="108"/>
      <c r="H297" s="147">
        <f t="shared" si="52"/>
        <v>0</v>
      </c>
      <c r="I297" s="633"/>
      <c r="J297" s="255"/>
      <c r="K297" s="255"/>
      <c r="L297" s="255"/>
      <c r="M297" s="255"/>
    </row>
    <row r="298" spans="2:13" ht="18" customHeight="1">
      <c r="B298" s="629" t="s">
        <v>197</v>
      </c>
      <c r="C298" s="253"/>
      <c r="D298" s="148"/>
      <c r="E298" s="250">
        <v>4</v>
      </c>
      <c r="F298" s="250" t="str">
        <f>F296</f>
        <v>坚朗</v>
      </c>
      <c r="G298" s="108">
        <f>材料价格!B16</f>
        <v>88</v>
      </c>
      <c r="H298" s="147">
        <f t="shared" si="52"/>
        <v>352</v>
      </c>
      <c r="I298" s="633"/>
      <c r="J298" s="255"/>
      <c r="K298" s="255"/>
      <c r="L298" s="255"/>
      <c r="M298" s="255"/>
    </row>
    <row r="299" spans="2:13" ht="18" customHeight="1">
      <c r="B299" s="629"/>
      <c r="C299" s="253"/>
      <c r="D299" s="148"/>
      <c r="E299" s="250"/>
      <c r="F299" s="250"/>
      <c r="G299" s="108"/>
      <c r="H299" s="147">
        <f t="shared" si="52"/>
        <v>0</v>
      </c>
      <c r="I299" s="633"/>
      <c r="J299" s="255"/>
      <c r="K299" s="255"/>
      <c r="L299" s="255"/>
      <c r="M299" s="255"/>
    </row>
    <row r="300" spans="2:13" ht="18" customHeight="1">
      <c r="B300" s="629" t="s">
        <v>198</v>
      </c>
      <c r="C300" s="253">
        <f>D35</f>
        <v>480</v>
      </c>
      <c r="D300" s="148"/>
      <c r="E300" s="250"/>
      <c r="F300" s="250" t="str">
        <f>F298</f>
        <v>坚朗</v>
      </c>
      <c r="G300" s="108">
        <f>材料价格!B17</f>
        <v>115</v>
      </c>
      <c r="H300" s="147">
        <f t="shared" si="52"/>
        <v>0</v>
      </c>
      <c r="I300" s="149"/>
      <c r="J300" s="255"/>
      <c r="K300" s="255"/>
      <c r="L300" s="255"/>
      <c r="M300" s="255"/>
    </row>
    <row r="301" spans="2:13" ht="18" customHeight="1">
      <c r="B301" s="629"/>
      <c r="C301" s="253"/>
      <c r="D301" s="148"/>
      <c r="E301" s="250"/>
      <c r="F301" s="250"/>
      <c r="G301" s="108"/>
      <c r="H301" s="147">
        <f t="shared" si="52"/>
        <v>0</v>
      </c>
      <c r="I301" s="149"/>
      <c r="J301" s="255"/>
      <c r="K301" s="255"/>
      <c r="L301" s="255"/>
      <c r="M301" s="255"/>
    </row>
    <row r="302" spans="2:13" ht="18" customHeight="1">
      <c r="B302" s="629" t="s">
        <v>199</v>
      </c>
      <c r="C302" s="250" t="s">
        <v>200</v>
      </c>
      <c r="D302" s="148"/>
      <c r="E302" s="250"/>
      <c r="F302" s="250" t="str">
        <f>F300</f>
        <v>坚朗</v>
      </c>
      <c r="G302" s="108">
        <f>材料价格!B19</f>
        <v>230</v>
      </c>
      <c r="H302" s="147">
        <f t="shared" si="52"/>
        <v>0</v>
      </c>
      <c r="I302" s="247"/>
      <c r="J302" s="255"/>
      <c r="K302" s="255"/>
      <c r="L302" s="255"/>
      <c r="M302" s="255"/>
    </row>
    <row r="303" spans="2:13" ht="18" customHeight="1">
      <c r="B303" s="629"/>
      <c r="C303" s="250" t="s">
        <v>201</v>
      </c>
      <c r="D303" s="148"/>
      <c r="E303" s="250"/>
      <c r="F303" s="250" t="str">
        <f>F302</f>
        <v>坚朗</v>
      </c>
      <c r="G303" s="108">
        <f>材料价格!B20</f>
        <v>335</v>
      </c>
      <c r="H303" s="147">
        <f t="shared" si="52"/>
        <v>0</v>
      </c>
      <c r="I303" s="247"/>
      <c r="J303" s="255"/>
      <c r="K303" s="255"/>
      <c r="L303" s="255"/>
      <c r="M303" s="255"/>
    </row>
    <row r="304" spans="2:13" ht="18" customHeight="1">
      <c r="B304" s="150" t="s">
        <v>202</v>
      </c>
      <c r="C304" s="50"/>
      <c r="D304" s="50"/>
      <c r="E304" s="50">
        <f>SUM(E294:E303)</f>
        <v>4</v>
      </c>
      <c r="F304" s="50"/>
      <c r="G304" s="166"/>
      <c r="H304" s="151">
        <f>SUM(H294:H303)</f>
        <v>352</v>
      </c>
      <c r="I304" s="152"/>
      <c r="J304" s="42"/>
    </row>
    <row r="305" spans="1:16" ht="18" customHeight="1">
      <c r="B305" s="246" t="s">
        <v>300</v>
      </c>
      <c r="C305" s="250"/>
      <c r="D305" s="148"/>
      <c r="E305" s="253">
        <f>E294+E296</f>
        <v>0</v>
      </c>
      <c r="F305" s="148"/>
      <c r="G305" s="148">
        <f>材料价格!B27</f>
        <v>0</v>
      </c>
      <c r="H305" s="154">
        <f>E305*G305</f>
        <v>0</v>
      </c>
      <c r="I305" s="247" t="s">
        <v>203</v>
      </c>
    </row>
    <row r="306" spans="1:16" s="16" customFormat="1" ht="18" customHeight="1">
      <c r="A306" s="1"/>
      <c r="B306" s="246" t="s">
        <v>204</v>
      </c>
      <c r="C306" s="250"/>
      <c r="D306" s="148"/>
      <c r="E306" s="253">
        <f>E298+E299+E300+E301</f>
        <v>4</v>
      </c>
      <c r="F306" s="148"/>
      <c r="G306" s="148">
        <f>材料价格!B28</f>
        <v>118</v>
      </c>
      <c r="H306" s="154">
        <f>E306*G306</f>
        <v>472</v>
      </c>
      <c r="I306" s="247" t="s">
        <v>205</v>
      </c>
      <c r="J306" s="43"/>
      <c r="K306" s="43"/>
      <c r="L306" s="43"/>
      <c r="M306" s="43"/>
      <c r="N306" s="255"/>
      <c r="O306" s="255"/>
      <c r="P306" s="255"/>
    </row>
    <row r="307" spans="1:16" s="16" customFormat="1" ht="18" customHeight="1">
      <c r="A307" s="1"/>
      <c r="B307" s="246" t="s">
        <v>206</v>
      </c>
      <c r="C307" s="250"/>
      <c r="D307" s="148"/>
      <c r="E307" s="253"/>
      <c r="F307" s="148"/>
      <c r="G307" s="148"/>
      <c r="H307" s="154">
        <f>E307*G307</f>
        <v>0</v>
      </c>
      <c r="I307" s="247" t="s">
        <v>207</v>
      </c>
      <c r="J307" s="43"/>
      <c r="K307" s="43"/>
      <c r="L307" s="43"/>
      <c r="M307" s="43"/>
      <c r="N307" s="255"/>
      <c r="O307" s="255"/>
      <c r="P307" s="255"/>
    </row>
    <row r="308" spans="1:16" s="16" customFormat="1" ht="18" customHeight="1">
      <c r="A308" s="1"/>
      <c r="B308" s="150" t="s">
        <v>208</v>
      </c>
      <c r="C308" s="50"/>
      <c r="D308" s="50"/>
      <c r="E308" s="100">
        <f>SUM(E305:E307)</f>
        <v>4</v>
      </c>
      <c r="F308" s="50"/>
      <c r="G308" s="166"/>
      <c r="H308" s="155">
        <f>SUM(H305:H307)</f>
        <v>472</v>
      </c>
      <c r="I308" s="152"/>
      <c r="J308" s="43"/>
      <c r="K308" s="43"/>
      <c r="L308" s="43"/>
      <c r="M308" s="43"/>
      <c r="N308" s="255"/>
      <c r="O308" s="255"/>
      <c r="P308" s="255"/>
    </row>
    <row r="309" spans="1:16" s="16" customFormat="1" ht="18" customHeight="1">
      <c r="A309" s="1"/>
      <c r="B309" s="156" t="s">
        <v>209</v>
      </c>
      <c r="C309" s="157">
        <f>ROUND(IF(D4&lt;=200,4,0)+IF(D4&gt;200,(D4/200+1))+IF(E4&lt;=200,4,0)+IF(E4&gt;200,(E4/200+1)),0)</f>
        <v>29</v>
      </c>
      <c r="D309" s="148"/>
      <c r="E309" s="148"/>
      <c r="F309" s="148"/>
      <c r="G309" s="158">
        <v>0.5</v>
      </c>
      <c r="H309" s="159">
        <f>ROUND(C309*G309,2)</f>
        <v>14.5</v>
      </c>
      <c r="I309" s="247" t="s">
        <v>210</v>
      </c>
      <c r="J309" s="43"/>
      <c r="K309" s="43"/>
      <c r="L309" s="43"/>
      <c r="M309" s="43"/>
      <c r="N309" s="255"/>
      <c r="O309" s="255"/>
      <c r="P309" s="255"/>
    </row>
    <row r="310" spans="1:16" s="16" customFormat="1" ht="18" customHeight="1">
      <c r="A310" s="1"/>
      <c r="B310" s="156" t="s">
        <v>211</v>
      </c>
      <c r="C310" s="157">
        <f>C309*2</f>
        <v>58</v>
      </c>
      <c r="D310" s="148">
        <f>D309*2</f>
        <v>0</v>
      </c>
      <c r="E310" s="148"/>
      <c r="F310" s="148"/>
      <c r="G310" s="158">
        <v>0.3</v>
      </c>
      <c r="H310" s="159">
        <f>ROUND(C310*G310,2)</f>
        <v>17.399999999999999</v>
      </c>
      <c r="I310" s="247" t="s">
        <v>212</v>
      </c>
      <c r="J310" s="43"/>
      <c r="K310" s="43"/>
      <c r="L310" s="255"/>
      <c r="M310" s="255"/>
      <c r="N310" s="255"/>
      <c r="O310" s="255"/>
      <c r="P310" s="255"/>
    </row>
    <row r="311" spans="1:16" s="16" customFormat="1" ht="18" customHeight="1">
      <c r="A311" s="1"/>
      <c r="B311" s="160" t="s">
        <v>213</v>
      </c>
      <c r="C311" s="161">
        <f>F6</f>
        <v>6.7744</v>
      </c>
      <c r="D311" s="162"/>
      <c r="E311" s="162"/>
      <c r="F311" s="162"/>
      <c r="G311" s="163">
        <v>5</v>
      </c>
      <c r="H311" s="159">
        <f>ROUND(C311*G311,2)</f>
        <v>33.869999999999997</v>
      </c>
      <c r="I311" s="247"/>
      <c r="J311" s="43"/>
      <c r="K311" s="43"/>
      <c r="L311" s="255"/>
      <c r="M311" s="255"/>
      <c r="N311" s="255"/>
      <c r="O311" s="255"/>
      <c r="P311" s="255"/>
    </row>
    <row r="312" spans="1:16" s="16" customFormat="1" ht="18" customHeight="1">
      <c r="A312" s="1"/>
      <c r="B312" s="160" t="s">
        <v>214</v>
      </c>
      <c r="C312" s="161"/>
      <c r="D312" s="162"/>
      <c r="E312" s="162"/>
      <c r="F312" s="162"/>
      <c r="G312" s="163"/>
      <c r="H312" s="159">
        <f>ROUND(C312*G312,2)</f>
        <v>0</v>
      </c>
      <c r="I312" s="247"/>
      <c r="J312" s="43"/>
      <c r="K312" s="43"/>
      <c r="L312" s="255"/>
      <c r="M312" s="255"/>
      <c r="N312" s="255"/>
      <c r="O312" s="255"/>
      <c r="P312" s="255"/>
    </row>
    <row r="313" spans="1:16" s="16" customFormat="1" ht="18" customHeight="1">
      <c r="A313" s="1"/>
      <c r="B313" s="164" t="s">
        <v>397</v>
      </c>
      <c r="C313" s="161">
        <f>D291+D292</f>
        <v>5.0781759999999991</v>
      </c>
      <c r="D313" s="162"/>
      <c r="E313" s="162"/>
      <c r="F313" s="162"/>
      <c r="G313" s="163">
        <f>10+5</f>
        <v>15</v>
      </c>
      <c r="H313" s="159">
        <f>ROUND(C313*G313,2)</f>
        <v>76.17</v>
      </c>
      <c r="I313" s="247"/>
      <c r="J313" s="43"/>
      <c r="K313" s="43"/>
      <c r="L313" s="255"/>
      <c r="M313" s="255"/>
      <c r="N313" s="255"/>
      <c r="O313" s="255"/>
      <c r="P313" s="255"/>
    </row>
    <row r="314" spans="1:16" s="16" customFormat="1" ht="18" customHeight="1">
      <c r="A314" s="1"/>
      <c r="B314" s="150" t="s">
        <v>215</v>
      </c>
      <c r="C314" s="165"/>
      <c r="D314" s="50"/>
      <c r="E314" s="50"/>
      <c r="F314" s="50"/>
      <c r="G314" s="166"/>
      <c r="H314" s="155">
        <f>SUM(H309:H313)</f>
        <v>141.94</v>
      </c>
      <c r="I314" s="152"/>
      <c r="J314" s="43"/>
      <c r="K314" s="43"/>
      <c r="L314" s="255"/>
      <c r="M314" s="255"/>
      <c r="N314" s="255"/>
      <c r="O314" s="255"/>
      <c r="P314" s="255"/>
    </row>
    <row r="315" spans="1:16" s="16" customFormat="1" ht="18" customHeight="1">
      <c r="A315" s="1"/>
      <c r="B315" s="156" t="s">
        <v>216</v>
      </c>
      <c r="C315" s="167">
        <f>E203+E205+E207+I203+I205+E209+I207</f>
        <v>40</v>
      </c>
      <c r="D315" s="148"/>
      <c r="E315" s="148"/>
      <c r="F315" s="148"/>
      <c r="G315" s="168">
        <v>1.9</v>
      </c>
      <c r="H315" s="154">
        <f t="shared" ref="H315:H318" si="53">ROUND(C315*G315,2)</f>
        <v>76</v>
      </c>
      <c r="I315" s="224" t="s">
        <v>340</v>
      </c>
      <c r="J315" s="255"/>
      <c r="K315" s="43"/>
      <c r="L315" s="255"/>
      <c r="M315" s="255"/>
      <c r="N315" s="255"/>
      <c r="O315" s="255"/>
      <c r="P315" s="255"/>
    </row>
    <row r="316" spans="1:16" s="16" customFormat="1" ht="18" customHeight="1">
      <c r="A316" s="1"/>
      <c r="B316" s="156" t="s">
        <v>217</v>
      </c>
      <c r="C316" s="167">
        <f>ROUND((D4+E4)*2/1000,2)</f>
        <v>10.8</v>
      </c>
      <c r="D316" s="148"/>
      <c r="E316" s="238">
        <v>4</v>
      </c>
      <c r="F316" s="235">
        <f>材料价格!B25</f>
        <v>8.52</v>
      </c>
      <c r="G316" s="168">
        <f t="shared" ref="G316:G321" si="54">F316/E316</f>
        <v>2.13</v>
      </c>
      <c r="H316" s="154">
        <f t="shared" si="53"/>
        <v>23</v>
      </c>
      <c r="I316" s="169" t="s">
        <v>218</v>
      </c>
      <c r="J316" s="255"/>
      <c r="K316" s="43"/>
      <c r="L316" s="255"/>
      <c r="M316" s="255"/>
      <c r="N316" s="255"/>
      <c r="O316" s="255"/>
      <c r="P316" s="255"/>
    </row>
    <row r="317" spans="1:16" s="16" customFormat="1" ht="18" customHeight="1">
      <c r="A317" s="1"/>
      <c r="B317" s="156" t="s">
        <v>219</v>
      </c>
      <c r="C317" s="167">
        <f>C316</f>
        <v>10.8</v>
      </c>
      <c r="D317" s="148"/>
      <c r="E317" s="238">
        <v>3</v>
      </c>
      <c r="F317" s="235">
        <f>F316</f>
        <v>8.52</v>
      </c>
      <c r="G317" s="168">
        <f t="shared" si="54"/>
        <v>2.84</v>
      </c>
      <c r="H317" s="154">
        <f t="shared" si="53"/>
        <v>30.67</v>
      </c>
      <c r="I317" s="169" t="s">
        <v>220</v>
      </c>
      <c r="J317" s="255"/>
      <c r="K317" s="43"/>
      <c r="L317" s="255"/>
      <c r="M317" s="255"/>
      <c r="N317" s="255"/>
      <c r="O317" s="255"/>
      <c r="P317" s="255"/>
    </row>
    <row r="318" spans="1:16" s="16" customFormat="1" ht="18" customHeight="1">
      <c r="A318" s="1"/>
      <c r="B318" s="156" t="s">
        <v>221</v>
      </c>
      <c r="C318" s="167">
        <f>C316</f>
        <v>10.8</v>
      </c>
      <c r="D318" s="148"/>
      <c r="E318" s="238">
        <v>6.5</v>
      </c>
      <c r="F318" s="235">
        <f>材料价格!B26</f>
        <v>23</v>
      </c>
      <c r="G318" s="168">
        <f t="shared" si="54"/>
        <v>3.5384615384615383</v>
      </c>
      <c r="H318" s="154">
        <f t="shared" si="53"/>
        <v>38.22</v>
      </c>
      <c r="I318" s="224" t="s">
        <v>222</v>
      </c>
      <c r="J318" s="255"/>
      <c r="K318" s="43"/>
      <c r="L318" s="255"/>
      <c r="M318" s="255"/>
      <c r="N318" s="255"/>
      <c r="O318" s="255"/>
      <c r="P318" s="255"/>
    </row>
    <row r="319" spans="1:16" s="16" customFormat="1" ht="18" customHeight="1">
      <c r="A319" s="1"/>
      <c r="B319" s="156" t="s">
        <v>341</v>
      </c>
      <c r="C319" s="167">
        <f>ROUND((C97+C104+C88+C146+C153+C163)*1,2)</f>
        <v>25.62</v>
      </c>
      <c r="D319" s="77">
        <v>1</v>
      </c>
      <c r="E319" s="238">
        <f>10</f>
        <v>10</v>
      </c>
      <c r="F319" s="235">
        <f>F317</f>
        <v>8.52</v>
      </c>
      <c r="G319" s="168">
        <f>F319/E319</f>
        <v>0.85199999999999998</v>
      </c>
      <c r="H319" s="154">
        <f>ROUND(C319*G319,2)</f>
        <v>21.83</v>
      </c>
      <c r="I319" s="247" t="s">
        <v>223</v>
      </c>
      <c r="J319" s="255"/>
      <c r="K319" s="43"/>
      <c r="L319" s="255"/>
      <c r="M319" s="255"/>
      <c r="N319" s="255"/>
      <c r="O319" s="255"/>
      <c r="P319" s="255"/>
    </row>
    <row r="320" spans="1:16" s="16" customFormat="1" ht="18" customHeight="1">
      <c r="A320" s="1"/>
      <c r="B320" s="156" t="s">
        <v>342</v>
      </c>
      <c r="C320" s="167">
        <f>C319</f>
        <v>25.62</v>
      </c>
      <c r="D320" s="77">
        <v>1</v>
      </c>
      <c r="E320" s="238">
        <v>6</v>
      </c>
      <c r="F320" s="235">
        <f>F319</f>
        <v>8.52</v>
      </c>
      <c r="G320" s="168">
        <f t="shared" si="54"/>
        <v>1.42</v>
      </c>
      <c r="H320" s="154">
        <f>ROUND(C320*G320,2)</f>
        <v>36.380000000000003</v>
      </c>
      <c r="I320" s="247" t="s">
        <v>224</v>
      </c>
      <c r="J320" s="255"/>
      <c r="K320" s="170"/>
      <c r="L320" s="170"/>
      <c r="M320" s="170"/>
      <c r="N320" s="170"/>
      <c r="O320" s="170"/>
      <c r="P320" s="170"/>
    </row>
    <row r="321" spans="1:16" s="16" customFormat="1" ht="18" customHeight="1">
      <c r="A321" s="1"/>
      <c r="B321" s="156" t="s">
        <v>225</v>
      </c>
      <c r="C321" s="167">
        <f>C334*D334+C324*D324+C327*D327</f>
        <v>5.8520000000000003</v>
      </c>
      <c r="D321" s="77">
        <v>1</v>
      </c>
      <c r="E321" s="238">
        <f>10</f>
        <v>10</v>
      </c>
      <c r="F321" s="235">
        <f>F317</f>
        <v>8.52</v>
      </c>
      <c r="G321" s="168">
        <f t="shared" si="54"/>
        <v>0.85199999999999998</v>
      </c>
      <c r="H321" s="154">
        <f>ROUND(C321*G321,2)</f>
        <v>4.99</v>
      </c>
      <c r="I321" s="247" t="s">
        <v>226</v>
      </c>
      <c r="J321" s="255"/>
      <c r="K321" s="170"/>
      <c r="L321" s="170"/>
      <c r="M321" s="170"/>
      <c r="N321" s="170"/>
      <c r="O321" s="170"/>
      <c r="P321" s="170"/>
    </row>
    <row r="322" spans="1:16" s="16" customFormat="1" ht="18" customHeight="1">
      <c r="A322" s="1"/>
      <c r="B322" s="150" t="s">
        <v>227</v>
      </c>
      <c r="C322" s="165"/>
      <c r="D322" s="50"/>
      <c r="E322" s="50"/>
      <c r="F322" s="50"/>
      <c r="G322" s="166" t="s">
        <v>396</v>
      </c>
      <c r="H322" s="155">
        <f>SUM(H315:H321)</f>
        <v>231.09000000000003</v>
      </c>
      <c r="I322" s="152"/>
      <c r="J322" s="244" t="s">
        <v>399</v>
      </c>
      <c r="K322" s="245" t="s">
        <v>379</v>
      </c>
      <c r="L322" s="170"/>
      <c r="M322" s="170"/>
      <c r="N322" s="170"/>
      <c r="O322" s="170"/>
      <c r="P322" s="170"/>
    </row>
    <row r="323" spans="1:16" s="16" customFormat="1" ht="18" customHeight="1">
      <c r="A323" s="1"/>
      <c r="B323" s="156" t="s">
        <v>356</v>
      </c>
      <c r="C323" s="167">
        <f>C31</f>
        <v>0</v>
      </c>
      <c r="D323" s="239">
        <v>1</v>
      </c>
      <c r="E323" s="148"/>
      <c r="F323" s="148"/>
      <c r="G323" s="236">
        <f>0.45+0.85</f>
        <v>1.3</v>
      </c>
      <c r="H323" s="154">
        <f>ROUND(C323*D323*G323,2)</f>
        <v>0</v>
      </c>
      <c r="I323" s="247" t="s">
        <v>345</v>
      </c>
      <c r="J323" s="244">
        <v>1.76</v>
      </c>
      <c r="K323" s="245" t="s">
        <v>400</v>
      </c>
      <c r="L323" s="170"/>
      <c r="M323" s="171"/>
      <c r="N323" s="170"/>
      <c r="O323" s="170"/>
      <c r="P323" s="170"/>
    </row>
    <row r="324" spans="1:16" s="16" customFormat="1" ht="18" customHeight="1">
      <c r="A324" s="1"/>
      <c r="B324" s="156" t="s">
        <v>347</v>
      </c>
      <c r="C324" s="167">
        <f>C323</f>
        <v>0</v>
      </c>
      <c r="D324" s="239">
        <v>1</v>
      </c>
      <c r="E324" s="148"/>
      <c r="F324" s="148"/>
      <c r="G324" s="236">
        <v>6.89</v>
      </c>
      <c r="H324" s="154">
        <f t="shared" ref="H324:H329" si="55">ROUND(C324*D324*G324,2)</f>
        <v>0</v>
      </c>
      <c r="I324" s="247" t="s">
        <v>346</v>
      </c>
      <c r="J324" s="244">
        <v>12.25</v>
      </c>
      <c r="K324" s="245" t="s">
        <v>376</v>
      </c>
      <c r="L324" s="170"/>
      <c r="M324" s="171"/>
      <c r="N324" s="170"/>
      <c r="O324" s="170"/>
      <c r="P324" s="170"/>
    </row>
    <row r="325" spans="1:16" s="16" customFormat="1" ht="18" customHeight="1">
      <c r="A325" s="1"/>
      <c r="B325" s="156" t="s">
        <v>357</v>
      </c>
      <c r="C325" s="167">
        <f>C38</f>
        <v>10.24</v>
      </c>
      <c r="D325" s="239">
        <v>1</v>
      </c>
      <c r="E325" s="148"/>
      <c r="F325" s="148"/>
      <c r="G325" s="236">
        <f>0.85+0.61</f>
        <v>1.46</v>
      </c>
      <c r="H325" s="154">
        <f t="shared" si="55"/>
        <v>14.95</v>
      </c>
      <c r="I325" s="247" t="s">
        <v>354</v>
      </c>
      <c r="J325" s="244">
        <v>1.76</v>
      </c>
      <c r="K325" s="245" t="s">
        <v>378</v>
      </c>
      <c r="L325" s="170"/>
      <c r="M325" s="171"/>
      <c r="N325" s="170"/>
      <c r="O325" s="170"/>
      <c r="P325" s="170"/>
    </row>
    <row r="326" spans="1:16" s="16" customFormat="1" ht="18" customHeight="1">
      <c r="A326" s="1"/>
      <c r="B326" s="156" t="s">
        <v>355</v>
      </c>
      <c r="C326" s="167">
        <f>C325</f>
        <v>10.24</v>
      </c>
      <c r="D326" s="239">
        <v>1</v>
      </c>
      <c r="E326" s="148"/>
      <c r="F326" s="148"/>
      <c r="G326" s="236">
        <v>3.27</v>
      </c>
      <c r="H326" s="154">
        <f>ROUND(C326*D326*G326,2)</f>
        <v>33.479999999999997</v>
      </c>
      <c r="I326" s="247" t="s">
        <v>358</v>
      </c>
      <c r="J326" s="244">
        <v>3.27</v>
      </c>
      <c r="K326" s="245" t="s">
        <v>358</v>
      </c>
      <c r="L326" s="170"/>
      <c r="M326" s="171"/>
      <c r="N326" s="170"/>
      <c r="O326" s="170"/>
      <c r="P326" s="170"/>
    </row>
    <row r="327" spans="1:16" s="16" customFormat="1" ht="18" customHeight="1">
      <c r="A327" s="1"/>
      <c r="B327" s="156" t="s">
        <v>228</v>
      </c>
      <c r="C327" s="167">
        <f>C126</f>
        <v>0</v>
      </c>
      <c r="D327" s="239">
        <v>1</v>
      </c>
      <c r="E327" s="110"/>
      <c r="F327" s="148"/>
      <c r="G327" s="236">
        <v>6.89</v>
      </c>
      <c r="H327" s="154">
        <f t="shared" si="55"/>
        <v>0</v>
      </c>
      <c r="I327" s="247" t="s">
        <v>346</v>
      </c>
      <c r="J327" s="244">
        <v>12.25</v>
      </c>
      <c r="K327" s="245" t="s">
        <v>346</v>
      </c>
      <c r="L327" s="170"/>
      <c r="M327" s="171"/>
      <c r="N327" s="170"/>
      <c r="O327" s="170"/>
      <c r="P327" s="170"/>
    </row>
    <row r="328" spans="1:16" s="16" customFormat="1" ht="18" customHeight="1">
      <c r="A328" s="1"/>
      <c r="B328" s="156" t="s">
        <v>229</v>
      </c>
      <c r="C328" s="167">
        <f>C327</f>
        <v>0</v>
      </c>
      <c r="D328" s="239">
        <v>1</v>
      </c>
      <c r="E328" s="110"/>
      <c r="F328" s="148"/>
      <c r="G328" s="236">
        <f>G3233</f>
        <v>0</v>
      </c>
      <c r="H328" s="154">
        <f t="shared" si="55"/>
        <v>0</v>
      </c>
      <c r="I328" s="247" t="s">
        <v>345</v>
      </c>
      <c r="J328" s="244">
        <v>0</v>
      </c>
      <c r="K328" s="245" t="s">
        <v>400</v>
      </c>
      <c r="L328" s="170"/>
      <c r="M328" s="171"/>
      <c r="N328" s="170"/>
      <c r="O328" s="170"/>
      <c r="P328" s="170"/>
    </row>
    <row r="329" spans="1:16" s="16" customFormat="1" ht="18" customHeight="1">
      <c r="A329" s="1"/>
      <c r="B329" s="156" t="s">
        <v>230</v>
      </c>
      <c r="C329" s="167">
        <f>C119</f>
        <v>0</v>
      </c>
      <c r="D329" s="239">
        <v>1</v>
      </c>
      <c r="E329" s="148"/>
      <c r="F329" s="148"/>
      <c r="G329" s="236">
        <f>G3253</f>
        <v>0</v>
      </c>
      <c r="H329" s="154">
        <f t="shared" si="55"/>
        <v>0</v>
      </c>
      <c r="I329" s="247" t="s">
        <v>354</v>
      </c>
      <c r="J329" s="244">
        <v>0</v>
      </c>
      <c r="K329" s="245" t="s">
        <v>378</v>
      </c>
      <c r="L329" s="170"/>
      <c r="M329" s="171"/>
      <c r="N329" s="170"/>
      <c r="O329" s="170"/>
      <c r="P329" s="170"/>
    </row>
    <row r="330" spans="1:16" s="16" customFormat="1" ht="18" customHeight="1">
      <c r="A330" s="1"/>
      <c r="B330" s="156" t="s">
        <v>362</v>
      </c>
      <c r="C330" s="167">
        <f>C329</f>
        <v>0</v>
      </c>
      <c r="D330" s="239">
        <v>1</v>
      </c>
      <c r="E330" s="148"/>
      <c r="F330" s="148"/>
      <c r="G330" s="236">
        <v>3.27</v>
      </c>
      <c r="H330" s="154">
        <f>ROUND(C330*D330*G330,2)</f>
        <v>0</v>
      </c>
      <c r="I330" s="247" t="s">
        <v>358</v>
      </c>
      <c r="J330" s="244">
        <v>3.27</v>
      </c>
      <c r="K330" s="245" t="s">
        <v>358</v>
      </c>
      <c r="L330" s="170"/>
      <c r="M330" s="171"/>
      <c r="N330" s="170"/>
      <c r="O330" s="170"/>
      <c r="P330" s="170"/>
    </row>
    <row r="331" spans="1:16" s="16" customFormat="1" ht="18" customHeight="1">
      <c r="A331" s="1"/>
      <c r="B331" s="156" t="s">
        <v>343</v>
      </c>
      <c r="C331" s="167">
        <f>C319</f>
        <v>25.62</v>
      </c>
      <c r="D331" s="239">
        <v>1</v>
      </c>
      <c r="E331" s="148"/>
      <c r="F331" s="148"/>
      <c r="G331" s="236">
        <v>1.25</v>
      </c>
      <c r="H331" s="154">
        <f>C331*D331*G331</f>
        <v>32.024999999999999</v>
      </c>
      <c r="I331" s="247" t="s">
        <v>344</v>
      </c>
      <c r="J331" s="244">
        <v>1.25</v>
      </c>
      <c r="K331" s="245" t="s">
        <v>344</v>
      </c>
      <c r="L331" s="170"/>
      <c r="M331" s="171"/>
      <c r="N331" s="170"/>
      <c r="O331" s="170"/>
      <c r="P331" s="170"/>
    </row>
    <row r="332" spans="1:16" s="16" customFormat="1" ht="18" customHeight="1">
      <c r="A332" s="1"/>
      <c r="B332" s="156" t="s">
        <v>350</v>
      </c>
      <c r="C332" s="167" cm="1">
        <f t="array" ref="C332">SUMPRODUCT(D26:D30*G26:G30)/1000</f>
        <v>0</v>
      </c>
      <c r="D332" s="239">
        <v>1</v>
      </c>
      <c r="E332" s="148"/>
      <c r="F332" s="148"/>
      <c r="G332" s="236">
        <v>0.41</v>
      </c>
      <c r="H332" s="154">
        <f>C332*D332*G332</f>
        <v>0</v>
      </c>
      <c r="I332" s="247" t="s">
        <v>348</v>
      </c>
      <c r="J332" s="244">
        <v>0.41</v>
      </c>
      <c r="K332" s="245" t="s">
        <v>348</v>
      </c>
      <c r="L332" s="170"/>
      <c r="M332" s="171"/>
      <c r="N332" s="170"/>
      <c r="O332" s="170"/>
      <c r="P332" s="170"/>
    </row>
    <row r="333" spans="1:16" s="16" customFormat="1" ht="18" customHeight="1">
      <c r="A333" s="1"/>
      <c r="B333" s="156" t="s">
        <v>349</v>
      </c>
      <c r="C333" s="167">
        <f>C88+C97+C104+C153+C163+C146</f>
        <v>25.616</v>
      </c>
      <c r="D333" s="239">
        <v>1</v>
      </c>
      <c r="E333" s="148"/>
      <c r="F333" s="148"/>
      <c r="G333" s="236">
        <v>0.49</v>
      </c>
      <c r="H333" s="154">
        <f>C333*D333*G333</f>
        <v>12.55184</v>
      </c>
      <c r="I333" s="247" t="s">
        <v>351</v>
      </c>
      <c r="J333" s="244">
        <v>0.49</v>
      </c>
      <c r="K333" s="245" t="s">
        <v>351</v>
      </c>
      <c r="L333" s="170"/>
      <c r="M333" s="171"/>
      <c r="N333" s="170"/>
      <c r="O333" s="170"/>
      <c r="P333" s="170"/>
    </row>
    <row r="334" spans="1:16" s="16" customFormat="1" ht="18" customHeight="1">
      <c r="A334" s="1"/>
      <c r="B334" s="156" t="s">
        <v>353</v>
      </c>
      <c r="C334" s="167">
        <f t="array" ref="C334">SUMPRODUCT(D157:D162*G157:G162)/1000+SUM(G157:G162)*0.3+SUMPRODUCT(D68:D87*G68:G87)/1000+SUM(G68:G87)*0.3</f>
        <v>5.8520000000000003</v>
      </c>
      <c r="D334" s="239">
        <v>1</v>
      </c>
      <c r="E334" s="148"/>
      <c r="F334" s="148"/>
      <c r="G334" s="237">
        <v>5.36</v>
      </c>
      <c r="H334" s="154">
        <f>C334*G334</f>
        <v>31.366720000000004</v>
      </c>
      <c r="I334" s="247" t="s">
        <v>352</v>
      </c>
      <c r="J334" s="244">
        <v>9.5500000000000007</v>
      </c>
      <c r="K334" s="245" t="s">
        <v>377</v>
      </c>
      <c r="L334" s="170"/>
      <c r="M334" s="171"/>
      <c r="N334" s="170"/>
      <c r="O334" s="170"/>
      <c r="P334" s="170"/>
    </row>
    <row r="335" spans="1:16" s="16" customFormat="1" ht="18" customHeight="1">
      <c r="A335" s="1"/>
      <c r="B335" s="156" t="s">
        <v>364</v>
      </c>
      <c r="C335" s="167">
        <f>C319</f>
        <v>25.62</v>
      </c>
      <c r="D335" s="239">
        <v>1</v>
      </c>
      <c r="E335" s="148"/>
      <c r="F335" s="148"/>
      <c r="G335" s="237">
        <v>1.25</v>
      </c>
      <c r="H335" s="154"/>
      <c r="I335" s="149" t="s">
        <v>363</v>
      </c>
      <c r="J335" s="244">
        <v>1.25</v>
      </c>
      <c r="K335" s="245" t="s">
        <v>363</v>
      </c>
      <c r="L335" s="170"/>
      <c r="M335" s="171"/>
      <c r="N335" s="170"/>
      <c r="O335" s="170"/>
      <c r="P335" s="170"/>
    </row>
    <row r="336" spans="1:16" s="16" customFormat="1" ht="18" customHeight="1">
      <c r="A336" s="1"/>
      <c r="B336" s="156" t="s">
        <v>365</v>
      </c>
      <c r="C336" s="167">
        <f>C320</f>
        <v>25.62</v>
      </c>
      <c r="D336" s="239">
        <v>1</v>
      </c>
      <c r="E336" s="148"/>
      <c r="F336" s="148"/>
      <c r="G336" s="237">
        <v>1.63</v>
      </c>
      <c r="H336" s="154"/>
      <c r="I336" s="149" t="s">
        <v>363</v>
      </c>
      <c r="J336" s="244">
        <v>1.63</v>
      </c>
      <c r="K336" s="245" t="s">
        <v>363</v>
      </c>
      <c r="L336" s="170"/>
      <c r="M336" s="171"/>
      <c r="N336" s="170"/>
      <c r="O336" s="170"/>
      <c r="P336" s="170"/>
    </row>
    <row r="337" spans="1:16" s="16" customFormat="1" ht="18" customHeight="1">
      <c r="A337" s="1"/>
      <c r="B337" s="150" t="s">
        <v>231</v>
      </c>
      <c r="C337" s="165"/>
      <c r="D337" s="50"/>
      <c r="E337" s="50"/>
      <c r="F337" s="50"/>
      <c r="G337" s="166"/>
      <c r="H337" s="155">
        <f>SUM(H323:H336)*1.05</f>
        <v>130.59223799999998</v>
      </c>
      <c r="I337" s="152"/>
      <c r="J337" s="172"/>
      <c r="K337" s="170"/>
      <c r="L337" s="170"/>
      <c r="M337" s="170"/>
      <c r="N337" s="170"/>
      <c r="O337" s="170"/>
      <c r="P337" s="170"/>
    </row>
    <row r="338" spans="1:16" s="16" customFormat="1" ht="18" customHeight="1">
      <c r="A338" s="1"/>
      <c r="B338" s="173" t="s">
        <v>366</v>
      </c>
      <c r="C338" s="174">
        <f>F250+F258+F265+F280+F285+F290</f>
        <v>5</v>
      </c>
      <c r="D338" s="175">
        <v>2</v>
      </c>
      <c r="E338" s="176"/>
      <c r="F338" s="176"/>
      <c r="G338" s="240">
        <v>0.5</v>
      </c>
      <c r="H338" s="177">
        <f t="shared" ref="H338:H343" si="56">D338*G338*C338</f>
        <v>5</v>
      </c>
      <c r="I338" s="178" t="s">
        <v>233</v>
      </c>
      <c r="J338" s="172"/>
      <c r="K338" s="170"/>
      <c r="L338" s="170"/>
      <c r="M338" s="170"/>
      <c r="N338" s="170"/>
      <c r="O338" s="170"/>
      <c r="P338" s="170"/>
    </row>
    <row r="339" spans="1:16" s="16" customFormat="1" ht="18" customHeight="1">
      <c r="A339" s="1"/>
      <c r="B339" s="173" t="s">
        <v>367</v>
      </c>
      <c r="C339" s="174">
        <f>F233+F242+F269+F273</f>
        <v>4</v>
      </c>
      <c r="D339" s="175">
        <v>4</v>
      </c>
      <c r="E339" s="176"/>
      <c r="F339" s="176"/>
      <c r="G339" s="240">
        <v>0.63</v>
      </c>
      <c r="H339" s="177">
        <f t="shared" si="56"/>
        <v>10.08</v>
      </c>
      <c r="I339" s="178" t="s">
        <v>234</v>
      </c>
      <c r="J339" s="172"/>
      <c r="K339" s="170"/>
      <c r="L339" s="170"/>
      <c r="M339" s="170"/>
      <c r="N339" s="170"/>
      <c r="O339" s="170"/>
      <c r="P339" s="170"/>
    </row>
    <row r="340" spans="1:16" s="16" customFormat="1" ht="18" customHeight="1">
      <c r="A340" s="1"/>
      <c r="B340" s="173" t="s">
        <v>366</v>
      </c>
      <c r="C340" s="174">
        <f>SUM(G157:G162)</f>
        <v>0</v>
      </c>
      <c r="D340" s="175">
        <f>IF(E113&gt;2200,2,0)</f>
        <v>0</v>
      </c>
      <c r="E340" s="176"/>
      <c r="F340" s="176"/>
      <c r="G340" s="240">
        <v>0.5</v>
      </c>
      <c r="H340" s="177">
        <f t="shared" si="56"/>
        <v>0</v>
      </c>
      <c r="I340" s="178" t="s">
        <v>235</v>
      </c>
      <c r="J340" s="172"/>
      <c r="K340" s="170"/>
      <c r="L340" s="170"/>
      <c r="M340" s="170"/>
      <c r="N340" s="170"/>
      <c r="O340" s="170"/>
      <c r="P340" s="170"/>
    </row>
    <row r="341" spans="1:16" s="16" customFormat="1" ht="18" customHeight="1">
      <c r="A341" s="1"/>
      <c r="B341" s="173" t="s">
        <v>367</v>
      </c>
      <c r="C341" s="174">
        <f>SUM(G116:G118)</f>
        <v>0</v>
      </c>
      <c r="D341" s="175">
        <v>4</v>
      </c>
      <c r="E341" s="176"/>
      <c r="F341" s="176"/>
      <c r="G341" s="240">
        <v>0.63</v>
      </c>
      <c r="H341" s="177">
        <f t="shared" si="56"/>
        <v>0</v>
      </c>
      <c r="I341" s="178" t="s">
        <v>236</v>
      </c>
      <c r="J341" s="172"/>
      <c r="K341" s="170"/>
      <c r="L341" s="170"/>
      <c r="M341" s="170"/>
      <c r="N341" s="170"/>
      <c r="O341" s="170"/>
      <c r="P341" s="170"/>
    </row>
    <row r="342" spans="1:16" ht="18" customHeight="1">
      <c r="B342" s="173" t="s">
        <v>237</v>
      </c>
      <c r="C342" s="174">
        <v>1</v>
      </c>
      <c r="D342" s="175">
        <f>(F291+F292)*10</f>
        <v>90</v>
      </c>
      <c r="E342" s="176"/>
      <c r="F342" s="176"/>
      <c r="G342" s="240">
        <v>0.37</v>
      </c>
      <c r="H342" s="177">
        <f t="shared" si="56"/>
        <v>33.299999999999997</v>
      </c>
      <c r="I342" s="178"/>
      <c r="J342" s="172"/>
      <c r="K342" s="172"/>
      <c r="L342" s="172"/>
      <c r="N342" s="43"/>
    </row>
    <row r="343" spans="1:16" ht="18" customHeight="1">
      <c r="B343" s="173" t="s">
        <v>232</v>
      </c>
      <c r="C343" s="174">
        <f>C338</f>
        <v>5</v>
      </c>
      <c r="D343" s="175">
        <v>0</v>
      </c>
      <c r="E343" s="176"/>
      <c r="F343" s="176"/>
      <c r="G343" s="240">
        <v>0.49</v>
      </c>
      <c r="H343" s="177">
        <f t="shared" si="56"/>
        <v>0</v>
      </c>
      <c r="I343" s="178" t="s">
        <v>238</v>
      </c>
      <c r="J343" s="172"/>
      <c r="K343" s="172"/>
      <c r="L343" s="172"/>
      <c r="N343" s="43"/>
    </row>
    <row r="344" spans="1:16" ht="18" customHeight="1">
      <c r="B344" s="156" t="s">
        <v>239</v>
      </c>
      <c r="C344" s="157"/>
      <c r="D344" s="250">
        <f>E203+E205*2+E207*2+I203+I205*2+I207*2</f>
        <v>40</v>
      </c>
      <c r="E344" s="148"/>
      <c r="F344" s="148"/>
      <c r="G344" s="148">
        <v>0.2</v>
      </c>
      <c r="H344" s="179">
        <f>D344*G344</f>
        <v>8</v>
      </c>
      <c r="I344" s="247" t="s">
        <v>368</v>
      </c>
      <c r="J344" s="172"/>
      <c r="K344" s="172"/>
      <c r="L344" s="172"/>
    </row>
    <row r="345" spans="1:16" ht="18" customHeight="1">
      <c r="B345" s="156" t="s">
        <v>240</v>
      </c>
      <c r="C345" s="157"/>
      <c r="D345" s="250">
        <f>4*(E52+E53+E54+E55+G52+G53+G54+G55+G60+G61+G62+G63+E130+E131+E132+G130+G131+G132+G137+G138)</f>
        <v>28</v>
      </c>
      <c r="E345" s="148"/>
      <c r="F345" s="148"/>
      <c r="G345" s="148">
        <v>0.22</v>
      </c>
      <c r="H345" s="179">
        <f>D345*G345</f>
        <v>6.16</v>
      </c>
      <c r="I345" s="247" t="s">
        <v>241</v>
      </c>
      <c r="J345" s="172"/>
      <c r="K345" s="172"/>
      <c r="L345" s="172"/>
    </row>
    <row r="346" spans="1:16" ht="18" customHeight="1">
      <c r="B346" s="156" t="s">
        <v>242</v>
      </c>
      <c r="C346" s="157"/>
      <c r="D346" s="250">
        <f>D345/2</f>
        <v>14</v>
      </c>
      <c r="E346" s="148"/>
      <c r="F346" s="148"/>
      <c r="G346" s="148">
        <v>0.22</v>
      </c>
      <c r="H346" s="179">
        <f>ROUND(D346*G346,2)</f>
        <v>3.08</v>
      </c>
      <c r="I346" s="247" t="s">
        <v>243</v>
      </c>
      <c r="J346" s="172"/>
      <c r="K346" s="172"/>
      <c r="L346" s="172"/>
    </row>
    <row r="347" spans="1:16" ht="18" customHeight="1">
      <c r="B347" s="156" t="s">
        <v>369</v>
      </c>
      <c r="C347" s="157"/>
      <c r="D347" s="250">
        <f>D346</f>
        <v>14</v>
      </c>
      <c r="E347" s="148"/>
      <c r="F347" s="148"/>
      <c r="G347" s="148">
        <v>1.37</v>
      </c>
      <c r="H347" s="179">
        <f>ROUND(D347*G347,2)</f>
        <v>19.18</v>
      </c>
      <c r="I347" s="247" t="s">
        <v>370</v>
      </c>
      <c r="J347" s="172"/>
      <c r="K347" s="172"/>
      <c r="L347" s="172"/>
    </row>
    <row r="348" spans="1:16" ht="18" customHeight="1">
      <c r="B348" s="156" t="s">
        <v>244</v>
      </c>
      <c r="C348" s="157"/>
      <c r="D348" s="250">
        <f>(F291+F292)*2</f>
        <v>18</v>
      </c>
      <c r="E348" s="148"/>
      <c r="F348" s="148"/>
      <c r="G348" s="148">
        <v>0.48</v>
      </c>
      <c r="H348" s="179">
        <f>ROUND(D348*G348,2)</f>
        <v>8.64</v>
      </c>
      <c r="I348" s="247" t="s">
        <v>245</v>
      </c>
      <c r="J348" s="255"/>
    </row>
    <row r="349" spans="1:16" ht="18" customHeight="1">
      <c r="B349" s="156" t="s">
        <v>246</v>
      </c>
      <c r="C349" s="157"/>
      <c r="D349" s="250">
        <f>ROUND((D4+E4-240)*2/200+E217*F217/200,0)</f>
        <v>63</v>
      </c>
      <c r="E349" s="148"/>
      <c r="F349" s="148"/>
      <c r="G349" s="148">
        <v>0.05</v>
      </c>
      <c r="H349" s="179">
        <f>ROUND(D349*G349,2)</f>
        <v>3.15</v>
      </c>
      <c r="I349" s="247" t="s">
        <v>247</v>
      </c>
      <c r="J349" s="255"/>
    </row>
    <row r="350" spans="1:16" ht="18" customHeight="1">
      <c r="B350" s="150" t="s">
        <v>248</v>
      </c>
      <c r="C350" s="165"/>
      <c r="D350" s="50"/>
      <c r="E350" s="50"/>
      <c r="F350" s="50"/>
      <c r="G350" s="166"/>
      <c r="H350" s="155">
        <f>SUM(H338:H349)</f>
        <v>96.589999999999989</v>
      </c>
      <c r="I350" s="152"/>
    </row>
    <row r="351" spans="1:16" ht="18" customHeight="1">
      <c r="B351" s="156" t="s">
        <v>359</v>
      </c>
      <c r="C351" s="157"/>
      <c r="D351" s="250">
        <f>SUMPRODUCT(G26:G30)*8+SUMPRODUCT(G35:G37)*8+SUMPRODUCT(G116:G118)*8+SUMPRODUCT(G123:G125)*8</f>
        <v>32</v>
      </c>
      <c r="E351" s="148"/>
      <c r="F351" s="148"/>
      <c r="G351" s="148">
        <v>1.26</v>
      </c>
      <c r="H351" s="154">
        <f>ROUND(D351*G351,2)</f>
        <v>40.32</v>
      </c>
      <c r="I351" s="247" t="s">
        <v>386</v>
      </c>
    </row>
    <row r="352" spans="1:16" ht="18" customHeight="1">
      <c r="B352" s="156" t="s">
        <v>360</v>
      </c>
      <c r="C352" s="157"/>
      <c r="D352" s="250">
        <f>G26*4+G27*4+G28*4+G29*4+G30*4</f>
        <v>0</v>
      </c>
      <c r="E352" s="148"/>
      <c r="F352" s="148"/>
      <c r="G352" s="148">
        <v>2</v>
      </c>
      <c r="H352" s="154">
        <f>ROUND(D352*G352,2)</f>
        <v>0</v>
      </c>
      <c r="I352" s="247" t="s">
        <v>361</v>
      </c>
    </row>
    <row r="353" spans="1:22" ht="18" customHeight="1">
      <c r="B353" s="156" t="s">
        <v>249</v>
      </c>
      <c r="C353" s="157"/>
      <c r="D353" s="250"/>
      <c r="E353" s="148"/>
      <c r="F353" s="148"/>
      <c r="G353" s="148">
        <v>1.6</v>
      </c>
      <c r="H353" s="154"/>
      <c r="I353" s="247"/>
    </row>
    <row r="354" spans="1:22" ht="18" customHeight="1">
      <c r="B354" s="156" t="s">
        <v>250</v>
      </c>
      <c r="C354" s="157"/>
      <c r="D354" s="44">
        <f>C22+C31+C38+C48+C56+C64+C112+C119+C126+C133+C139+C199</f>
        <v>43.861999999999995</v>
      </c>
      <c r="E354" s="148"/>
      <c r="F354" s="148"/>
      <c r="G354" s="179">
        <v>4</v>
      </c>
      <c r="H354" s="154">
        <f t="shared" ref="H354:H356" si="57">ROUND(D354*G354,2)</f>
        <v>175.45</v>
      </c>
      <c r="I354" s="247"/>
    </row>
    <row r="355" spans="1:22" ht="18" customHeight="1">
      <c r="B355" s="156" t="s">
        <v>251</v>
      </c>
      <c r="C355" s="157" t="s">
        <v>252</v>
      </c>
      <c r="D355" s="44">
        <f>C88+C163</f>
        <v>17.327999999999999</v>
      </c>
      <c r="E355" s="148"/>
      <c r="F355" s="148"/>
      <c r="G355" s="179">
        <v>3.15</v>
      </c>
      <c r="H355" s="154">
        <f t="shared" si="57"/>
        <v>54.58</v>
      </c>
      <c r="I355" s="247"/>
    </row>
    <row r="356" spans="1:22" ht="18" customHeight="1">
      <c r="B356" s="156" t="s">
        <v>253</v>
      </c>
      <c r="C356" s="157" t="s">
        <v>254</v>
      </c>
      <c r="D356" s="44">
        <f>C97+C104+C146+C153</f>
        <v>8.2880000000000003</v>
      </c>
      <c r="E356" s="148"/>
      <c r="F356" s="148"/>
      <c r="G356" s="179">
        <v>3.65</v>
      </c>
      <c r="H356" s="154">
        <f t="shared" si="57"/>
        <v>30.25</v>
      </c>
      <c r="I356" s="247"/>
    </row>
    <row r="357" spans="1:22" ht="18" customHeight="1">
      <c r="B357" s="156" t="s">
        <v>387</v>
      </c>
      <c r="C357" s="157"/>
      <c r="D357" s="44">
        <f>F291+F292</f>
        <v>9</v>
      </c>
      <c r="E357" s="148"/>
      <c r="F357" s="148"/>
      <c r="G357" s="179">
        <v>6</v>
      </c>
      <c r="H357" s="154"/>
      <c r="I357" s="247"/>
    </row>
    <row r="358" spans="1:22" ht="18" customHeight="1">
      <c r="B358" s="156" t="s">
        <v>255</v>
      </c>
      <c r="C358" s="157"/>
      <c r="D358" s="180">
        <f>F14*1.5</f>
        <v>10.56</v>
      </c>
      <c r="E358" s="148"/>
      <c r="F358" s="148"/>
      <c r="G358" s="148">
        <v>70</v>
      </c>
      <c r="H358" s="154">
        <f>D358*G358</f>
        <v>739.2</v>
      </c>
      <c r="I358" s="247"/>
    </row>
    <row r="359" spans="1:22" ht="18" customHeight="1">
      <c r="B359" s="156" t="s">
        <v>858</v>
      </c>
      <c r="C359" s="157"/>
      <c r="D359" s="180">
        <f>D4*3/1000</f>
        <v>7.2</v>
      </c>
      <c r="E359" s="148"/>
      <c r="F359" s="148"/>
      <c r="G359" s="148">
        <v>180</v>
      </c>
      <c r="H359" s="154">
        <f>D359*G359</f>
        <v>1296</v>
      </c>
      <c r="I359" s="247"/>
    </row>
    <row r="360" spans="1:22" ht="18" customHeight="1">
      <c r="B360" s="156" t="s">
        <v>388</v>
      </c>
      <c r="C360" s="157"/>
      <c r="D360" s="250">
        <v>1</v>
      </c>
      <c r="E360" s="148"/>
      <c r="F360" s="148"/>
      <c r="G360" s="148">
        <v>9.6</v>
      </c>
      <c r="H360" s="154">
        <f>ROUND(D360*G360,2)</f>
        <v>9.6</v>
      </c>
      <c r="I360" s="247"/>
    </row>
    <row r="361" spans="1:22" ht="18" customHeight="1">
      <c r="B361" s="156" t="s">
        <v>901</v>
      </c>
      <c r="C361" s="157"/>
      <c r="D361" s="463">
        <f>(D4+E4)*2/1000</f>
        <v>10.8</v>
      </c>
      <c r="E361" s="148"/>
      <c r="F361" s="148"/>
      <c r="G361" s="148">
        <v>45</v>
      </c>
      <c r="H361" s="154">
        <f>ROUND(D361*G361,2)</f>
        <v>486</v>
      </c>
      <c r="I361" s="468"/>
    </row>
    <row r="362" spans="1:22" ht="18" customHeight="1">
      <c r="B362" s="181" t="s">
        <v>398</v>
      </c>
      <c r="C362" s="157"/>
      <c r="D362" s="182">
        <f>F366</f>
        <v>6.8269000000000002</v>
      </c>
      <c r="E362" s="148"/>
      <c r="F362" s="148"/>
      <c r="G362" s="148">
        <v>3</v>
      </c>
      <c r="H362" s="154">
        <f>D362*G362</f>
        <v>20.480699999999999</v>
      </c>
      <c r="I362" s="247"/>
    </row>
    <row r="363" spans="1:22" ht="18" customHeight="1">
      <c r="B363" s="150" t="s">
        <v>256</v>
      </c>
      <c r="C363" s="50"/>
      <c r="D363" s="50"/>
      <c r="E363" s="50"/>
      <c r="F363" s="50"/>
      <c r="G363" s="166"/>
      <c r="H363" s="155">
        <f>SUM(H351:H362)</f>
        <v>2851.8807000000002</v>
      </c>
      <c r="I363" s="183"/>
    </row>
    <row r="364" spans="1:22" ht="18" customHeight="1">
      <c r="B364" s="248" t="s">
        <v>257</v>
      </c>
      <c r="C364" s="185"/>
      <c r="D364" s="186"/>
      <c r="E364" s="185"/>
      <c r="F364" s="186"/>
      <c r="G364" s="186"/>
      <c r="H364" s="187">
        <f>SUM(H363,H350,H337,H322,H314,H308,H304)</f>
        <v>4276.0929380000007</v>
      </c>
      <c r="I364" s="188"/>
    </row>
    <row r="365" spans="1:22" ht="18" customHeight="1">
      <c r="A365" s="189"/>
      <c r="B365" s="190" t="s">
        <v>258</v>
      </c>
      <c r="C365" s="10" t="s">
        <v>14</v>
      </c>
      <c r="D365" s="10" t="s">
        <v>16</v>
      </c>
      <c r="E365" s="10" t="s">
        <v>17</v>
      </c>
      <c r="F365" s="10" t="s">
        <v>7</v>
      </c>
      <c r="G365" s="10" t="s">
        <v>5</v>
      </c>
      <c r="H365" s="10" t="s">
        <v>18</v>
      </c>
      <c r="I365" s="191" t="s">
        <v>259</v>
      </c>
      <c r="L365" s="192"/>
      <c r="M365" s="192"/>
    </row>
    <row r="366" spans="1:22" ht="18" customHeight="1">
      <c r="B366" s="48">
        <f>ROUND(I366/F366,2)</f>
        <v>1448.54</v>
      </c>
      <c r="C366" s="50" t="s">
        <v>299</v>
      </c>
      <c r="D366" s="50">
        <f>D5</f>
        <v>2330</v>
      </c>
      <c r="E366" s="50">
        <f>E5</f>
        <v>2930</v>
      </c>
      <c r="F366" s="49">
        <f>E366*D366/1000000</f>
        <v>6.8269000000000002</v>
      </c>
      <c r="G366" s="50">
        <f>G4</f>
        <v>1</v>
      </c>
      <c r="H366" s="49">
        <f>F366</f>
        <v>6.8269000000000002</v>
      </c>
      <c r="I366" s="193">
        <f>H364+H291+H292+I223+I12</f>
        <v>9889.0591170960015</v>
      </c>
      <c r="K366" s="192"/>
    </row>
    <row r="367" spans="1:22" ht="18" customHeight="1">
      <c r="B367" s="194" t="s">
        <v>258</v>
      </c>
      <c r="C367" s="195" t="s">
        <v>260</v>
      </c>
      <c r="D367" s="195" t="s">
        <v>261</v>
      </c>
      <c r="E367" s="195" t="s">
        <v>262</v>
      </c>
      <c r="F367" s="195" t="s">
        <v>263</v>
      </c>
      <c r="G367" s="195" t="s">
        <v>264</v>
      </c>
      <c r="H367" s="195" t="s">
        <v>265</v>
      </c>
      <c r="I367" s="196" t="s">
        <v>266</v>
      </c>
    </row>
    <row r="368" spans="1:22" ht="30" customHeight="1" thickBot="1">
      <c r="B368" s="197">
        <f>ROUND(I366/H366,2)</f>
        <v>1448.54</v>
      </c>
      <c r="C368" s="198">
        <f>E294+E296+E298+E300+E302+E303+E297+E299</f>
        <v>4</v>
      </c>
      <c r="D368" s="199"/>
      <c r="E368" s="199"/>
      <c r="F368" s="200"/>
      <c r="G368" s="200"/>
      <c r="H368" s="200"/>
      <c r="I368" s="201"/>
      <c r="O368" s="631" t="s">
        <v>603</v>
      </c>
      <c r="P368" s="631"/>
      <c r="Q368" s="631"/>
      <c r="R368" s="631"/>
      <c r="S368" s="631"/>
      <c r="T368" s="631"/>
      <c r="U368" s="631"/>
      <c r="V368" s="631"/>
    </row>
    <row r="369" spans="2:22" ht="20.100000000000001" customHeight="1">
      <c r="B369" s="42"/>
      <c r="L369" s="202"/>
      <c r="M369" s="202"/>
      <c r="N369" s="202"/>
      <c r="O369" s="634" t="s">
        <v>604</v>
      </c>
      <c r="P369" s="634"/>
      <c r="Q369" s="634"/>
      <c r="R369" s="634"/>
      <c r="S369" s="634"/>
      <c r="T369" s="634"/>
      <c r="U369" s="634"/>
      <c r="V369" s="634"/>
    </row>
    <row r="370" spans="2:22" ht="20.100000000000001" customHeight="1">
      <c r="B370" s="102" t="s">
        <v>862</v>
      </c>
      <c r="C370" s="203"/>
      <c r="D370" s="203" t="s">
        <v>267</v>
      </c>
      <c r="E370" s="203"/>
      <c r="J370" s="102"/>
      <c r="O370" s="285" t="s">
        <v>279</v>
      </c>
      <c r="P370" s="624" t="s">
        <v>633</v>
      </c>
      <c r="Q370" s="625"/>
      <c r="R370" s="312" t="str">
        <f ca="1">B4</f>
        <v>C2430</v>
      </c>
      <c r="S370" s="312"/>
      <c r="T370" s="313"/>
      <c r="U370" s="287" t="s">
        <v>605</v>
      </c>
      <c r="V370" s="288"/>
    </row>
    <row r="371" spans="2:22" ht="24.95" customHeight="1">
      <c r="B371" s="102">
        <f>ROUND(I366/F6,2)</f>
        <v>1459.77</v>
      </c>
      <c r="C371" s="203">
        <f>U392</f>
        <v>1905.3244677986627</v>
      </c>
      <c r="D371" s="203">
        <f>E304</f>
        <v>4</v>
      </c>
      <c r="E371" s="203"/>
      <c r="J371" s="102"/>
      <c r="O371" s="635" t="s">
        <v>606</v>
      </c>
      <c r="P371" s="623" t="s">
        <v>626</v>
      </c>
      <c r="Q371" s="623"/>
      <c r="R371" s="623"/>
      <c r="S371" s="623"/>
      <c r="T371" s="637"/>
      <c r="U371" s="291" t="s">
        <v>607</v>
      </c>
      <c r="V371" s="292" t="s">
        <v>313</v>
      </c>
    </row>
    <row r="372" spans="2:22" ht="24.95" customHeight="1">
      <c r="L372" s="102"/>
      <c r="M372" s="102"/>
      <c r="N372" s="102"/>
      <c r="O372" s="636"/>
      <c r="P372" s="638"/>
      <c r="Q372" s="638"/>
      <c r="R372" s="638"/>
      <c r="S372" s="638"/>
      <c r="T372" s="638"/>
      <c r="U372" s="291" t="s">
        <v>268</v>
      </c>
      <c r="V372" s="293">
        <f>F4</f>
        <v>6.58</v>
      </c>
    </row>
    <row r="373" spans="2:22" ht="24.95" customHeight="1">
      <c r="J373" s="102"/>
      <c r="K373" s="102"/>
      <c r="L373" s="102"/>
      <c r="M373" s="102"/>
      <c r="N373" s="102"/>
      <c r="O373" s="311" t="s">
        <v>0</v>
      </c>
      <c r="P373" s="289" t="s">
        <v>608</v>
      </c>
      <c r="Q373" s="289" t="s">
        <v>627</v>
      </c>
      <c r="R373" s="289" t="s">
        <v>269</v>
      </c>
      <c r="S373" s="294" t="s">
        <v>8</v>
      </c>
      <c r="T373" s="295" t="s">
        <v>609</v>
      </c>
      <c r="U373" s="296" t="s">
        <v>270</v>
      </c>
      <c r="V373" s="295" t="s">
        <v>610</v>
      </c>
    </row>
    <row r="374" spans="2:22" ht="20.100000000000001" customHeight="1">
      <c r="J374" s="102"/>
      <c r="K374" s="102"/>
      <c r="L374" s="102"/>
      <c r="M374" s="102"/>
      <c r="N374" s="102"/>
      <c r="O374" s="297" t="s">
        <v>305</v>
      </c>
      <c r="P374" s="298" t="s">
        <v>611</v>
      </c>
      <c r="Q374" s="298"/>
      <c r="R374" s="286"/>
      <c r="S374" s="299"/>
      <c r="T374" s="300"/>
      <c r="U374" s="301">
        <f>SUM(U375:U383)</f>
        <v>9263.1291650960011</v>
      </c>
      <c r="V374" s="286"/>
    </row>
    <row r="375" spans="2:22" ht="20.100000000000001" customHeight="1">
      <c r="J375" s="102"/>
      <c r="K375" s="102"/>
      <c r="L375" s="102"/>
      <c r="M375" s="102"/>
      <c r="N375" s="102"/>
      <c r="O375" s="286">
        <v>1</v>
      </c>
      <c r="P375" s="302" t="s">
        <v>612</v>
      </c>
      <c r="Q375" s="307"/>
      <c r="R375" s="286" t="s">
        <v>271</v>
      </c>
      <c r="S375" s="303">
        <f>E223</f>
        <v>98.548720000000031</v>
      </c>
      <c r="T375" s="304">
        <f>I223/E223</f>
        <v>47.767907884506258</v>
      </c>
      <c r="U375" s="305">
        <f t="shared" ref="U375:U383" si="58">T375*S375</f>
        <v>4707.4661790960008</v>
      </c>
      <c r="V375" s="306"/>
    </row>
    <row r="376" spans="2:22" ht="20.100000000000001" customHeight="1">
      <c r="J376" s="102"/>
      <c r="K376" s="102"/>
      <c r="L376" s="102"/>
      <c r="M376" s="102"/>
      <c r="N376" s="102"/>
      <c r="O376" s="286">
        <v>2</v>
      </c>
      <c r="P376" s="290" t="s">
        <v>613</v>
      </c>
      <c r="Q376" s="307"/>
      <c r="R376" s="286" t="s">
        <v>276</v>
      </c>
      <c r="S376" s="303">
        <f>D358</f>
        <v>10.56</v>
      </c>
      <c r="T376" s="304">
        <f>G358</f>
        <v>70</v>
      </c>
      <c r="U376" s="305">
        <f t="shared" si="58"/>
        <v>739.2</v>
      </c>
      <c r="V376" s="306"/>
    </row>
    <row r="377" spans="2:22" ht="20.100000000000001" customHeight="1">
      <c r="J377" s="102"/>
      <c r="K377" s="102"/>
      <c r="L377" s="102"/>
      <c r="M377" s="102"/>
      <c r="N377" s="102"/>
      <c r="O377" s="286">
        <v>3</v>
      </c>
      <c r="P377" s="302" t="s">
        <v>614</v>
      </c>
      <c r="Q377" s="302"/>
      <c r="R377" s="286" t="s">
        <v>312</v>
      </c>
      <c r="S377" s="303">
        <f>D291+D292</f>
        <v>5.0781759999999991</v>
      </c>
      <c r="T377" s="304">
        <f>材料价格!B10</f>
        <v>148</v>
      </c>
      <c r="U377" s="305">
        <f t="shared" si="58"/>
        <v>751.57004799999982</v>
      </c>
      <c r="V377" s="306"/>
    </row>
    <row r="378" spans="2:22" ht="20.100000000000001" customHeight="1">
      <c r="B378" s="630" t="s">
        <v>277</v>
      </c>
      <c r="C378" s="630"/>
      <c r="D378" s="630"/>
      <c r="E378" s="630"/>
      <c r="F378" s="630"/>
      <c r="G378" s="630"/>
      <c r="H378" s="630"/>
      <c r="I378" s="630"/>
      <c r="J378" s="102"/>
      <c r="K378" s="102"/>
      <c r="L378" s="102"/>
      <c r="M378" s="102"/>
      <c r="N378" s="102"/>
      <c r="O378" s="286">
        <v>4</v>
      </c>
      <c r="P378" s="302" t="s">
        <v>615</v>
      </c>
      <c r="Q378" s="306"/>
      <c r="R378" s="286" t="s">
        <v>278</v>
      </c>
      <c r="S378" s="303">
        <f>(H316+H317+H319+H320+H321)/F316</f>
        <v>13.717136150234742</v>
      </c>
      <c r="T378" s="304">
        <f>材料价格!B25</f>
        <v>8.52</v>
      </c>
      <c r="U378" s="305">
        <f t="shared" si="58"/>
        <v>116.86999999999999</v>
      </c>
      <c r="V378" s="306"/>
    </row>
    <row r="379" spans="2:22" ht="20.100000000000001" customHeight="1">
      <c r="B379" s="204" t="s">
        <v>279</v>
      </c>
      <c r="C379" s="205" t="s">
        <v>280</v>
      </c>
      <c r="D379" s="205" t="s">
        <v>281</v>
      </c>
      <c r="E379" s="205" t="s">
        <v>282</v>
      </c>
      <c r="F379" s="205" t="s">
        <v>379</v>
      </c>
      <c r="G379" s="205"/>
      <c r="H379" s="205" t="s">
        <v>28</v>
      </c>
      <c r="I379" s="205" t="s">
        <v>259</v>
      </c>
      <c r="J379" s="102"/>
      <c r="K379" s="102"/>
      <c r="L379" s="102"/>
      <c r="M379" s="102"/>
      <c r="N379" s="102"/>
      <c r="O379" s="286">
        <v>5</v>
      </c>
      <c r="P379" s="306" t="s">
        <v>616</v>
      </c>
      <c r="Q379" s="302"/>
      <c r="R379" s="286" t="s">
        <v>628</v>
      </c>
      <c r="S379" s="303">
        <f>H337/21</f>
        <v>6.2186779999999988</v>
      </c>
      <c r="T379" s="304">
        <v>21</v>
      </c>
      <c r="U379" s="305">
        <f t="shared" si="58"/>
        <v>130.59223799999998</v>
      </c>
      <c r="V379" s="306"/>
    </row>
    <row r="380" spans="2:22" ht="20.100000000000001" customHeight="1">
      <c r="B380" s="206" t="s">
        <v>284</v>
      </c>
      <c r="C380" s="208" t="s">
        <v>384</v>
      </c>
      <c r="D380" s="207">
        <f>C22+C31+C38+C48+C56+C112+C119+C126+C133+C139+C177+C184+C191+C199</f>
        <v>46.181999999999995</v>
      </c>
      <c r="E380" s="207" t="s">
        <v>383</v>
      </c>
      <c r="F380" s="206"/>
      <c r="G380" s="206"/>
      <c r="H380" s="241">
        <v>2.4</v>
      </c>
      <c r="I380" s="207"/>
      <c r="J380" s="102"/>
      <c r="K380" s="102"/>
      <c r="L380" s="102"/>
      <c r="M380" s="102"/>
      <c r="N380" s="102"/>
      <c r="O380" s="286">
        <v>6</v>
      </c>
      <c r="P380" s="302" t="s">
        <v>319</v>
      </c>
      <c r="Q380" s="302"/>
      <c r="R380" s="286" t="s">
        <v>273</v>
      </c>
      <c r="S380" s="303">
        <f>E298</f>
        <v>4</v>
      </c>
      <c r="T380" s="304">
        <f>材料价格!B16</f>
        <v>88</v>
      </c>
      <c r="U380" s="305">
        <f t="shared" si="58"/>
        <v>352</v>
      </c>
      <c r="V380" s="306"/>
    </row>
    <row r="381" spans="2:22" ht="20.100000000000001" customHeight="1">
      <c r="B381" s="206" t="s">
        <v>286</v>
      </c>
      <c r="C381" s="206" t="s">
        <v>287</v>
      </c>
      <c r="D381" s="209">
        <f>(J22+J31+J38+J48+J112+J119+J126)*4+(J56+J133)*2</f>
        <v>54</v>
      </c>
      <c r="E381" s="207" t="s">
        <v>285</v>
      </c>
      <c r="F381" s="206"/>
      <c r="G381" s="206"/>
      <c r="H381" s="241">
        <v>0.5</v>
      </c>
      <c r="I381" s="207">
        <f>H381*D381</f>
        <v>27</v>
      </c>
      <c r="J381" s="102"/>
      <c r="K381" s="102"/>
      <c r="L381" s="102"/>
      <c r="M381" s="102"/>
      <c r="N381" s="102"/>
      <c r="O381" s="286">
        <v>7</v>
      </c>
      <c r="P381" s="302" t="s">
        <v>295</v>
      </c>
      <c r="Q381" s="302"/>
      <c r="R381" s="286" t="s">
        <v>273</v>
      </c>
      <c r="S381" s="303"/>
      <c r="T381" s="304">
        <f>材料价格!B19</f>
        <v>230</v>
      </c>
      <c r="U381" s="305">
        <f t="shared" si="58"/>
        <v>0</v>
      </c>
      <c r="V381" s="306"/>
    </row>
    <row r="382" spans="2:22" ht="20.100000000000001" customHeight="1">
      <c r="B382" s="206" t="s">
        <v>289</v>
      </c>
      <c r="C382" s="206"/>
      <c r="D382" s="210">
        <f>ROUND((C22+C56*2+C64*2+C112+C133*2+C139*2)/0.3,0)+2</f>
        <v>100</v>
      </c>
      <c r="E382" s="207" t="s">
        <v>285</v>
      </c>
      <c r="F382" s="206"/>
      <c r="G382" s="206"/>
      <c r="H382" s="241">
        <v>0.3</v>
      </c>
      <c r="I382" s="207">
        <f t="shared" ref="I382:I387" si="59">H382*D382</f>
        <v>30</v>
      </c>
      <c r="J382" s="102"/>
      <c r="K382" s="102"/>
      <c r="L382" s="102"/>
      <c r="M382" s="102"/>
      <c r="N382" s="102"/>
      <c r="O382" s="286">
        <v>8</v>
      </c>
      <c r="P382" s="302" t="s">
        <v>296</v>
      </c>
      <c r="Q382" s="302"/>
      <c r="R382" s="286" t="s">
        <v>273</v>
      </c>
      <c r="S382" s="303">
        <f>E303</f>
        <v>0</v>
      </c>
      <c r="T382" s="304">
        <f>材料价格!B20</f>
        <v>335</v>
      </c>
      <c r="U382" s="305">
        <f t="shared" si="58"/>
        <v>0</v>
      </c>
      <c r="V382" s="306"/>
    </row>
    <row r="383" spans="2:22" ht="20.100000000000001" customHeight="1">
      <c r="B383" s="206" t="s">
        <v>381</v>
      </c>
      <c r="C383" s="206" t="s">
        <v>389</v>
      </c>
      <c r="D383" s="211">
        <f>C22+C31+C38+C56*2+C64*2+C112+C119+C126+C133*2</f>
        <v>39.787999999999997</v>
      </c>
      <c r="E383" s="207" t="s">
        <v>285</v>
      </c>
      <c r="F383" s="206" t="s">
        <v>380</v>
      </c>
      <c r="G383" s="206"/>
      <c r="H383" s="241">
        <v>2.81</v>
      </c>
      <c r="I383" s="207">
        <f>H383*D383</f>
        <v>111.80427999999999</v>
      </c>
      <c r="J383" s="102"/>
      <c r="K383" s="102"/>
      <c r="L383" s="102"/>
      <c r="M383" s="102"/>
      <c r="N383" s="102"/>
      <c r="O383" s="286">
        <v>9</v>
      </c>
      <c r="P383" s="302" t="s">
        <v>617</v>
      </c>
      <c r="Q383" s="302"/>
      <c r="R383" s="286" t="s">
        <v>618</v>
      </c>
      <c r="S383" s="296">
        <v>1</v>
      </c>
      <c r="T383" s="304">
        <f>H363-H358+H350+H318+H315+H314</f>
        <v>2465.4306999999999</v>
      </c>
      <c r="U383" s="305">
        <f t="shared" si="58"/>
        <v>2465.4306999999999</v>
      </c>
      <c r="V383" s="306"/>
    </row>
    <row r="384" spans="2:22" ht="20.100000000000001" customHeight="1">
      <c r="B384" s="206" t="s">
        <v>390</v>
      </c>
      <c r="C384" s="206" t="s">
        <v>392</v>
      </c>
      <c r="D384" s="211">
        <f>C22+C88+C112+C163</f>
        <v>32.448</v>
      </c>
      <c r="E384" s="207" t="s">
        <v>285</v>
      </c>
      <c r="F384" s="206" t="s">
        <v>394</v>
      </c>
      <c r="G384" s="206"/>
      <c r="H384" s="241">
        <v>3.27</v>
      </c>
      <c r="I384" s="207">
        <f t="shared" ref="I384" si="60">H384*D384</f>
        <v>106.10496000000001</v>
      </c>
      <c r="J384" s="102"/>
      <c r="K384" s="102"/>
      <c r="L384" s="102"/>
      <c r="M384" s="102"/>
      <c r="N384" s="102"/>
      <c r="O384" s="297" t="s">
        <v>306</v>
      </c>
      <c r="P384" s="308" t="s">
        <v>314</v>
      </c>
      <c r="Q384" s="298"/>
      <c r="R384" s="286"/>
      <c r="S384" s="296"/>
      <c r="T384" s="309"/>
      <c r="U384" s="301">
        <f>SUM(U385:U386)</f>
        <v>1052.8</v>
      </c>
      <c r="V384" s="286"/>
    </row>
    <row r="385" spans="2:22" ht="20.100000000000001" customHeight="1">
      <c r="B385" s="206" t="s">
        <v>391</v>
      </c>
      <c r="C385" s="206" t="s">
        <v>393</v>
      </c>
      <c r="D385" s="211">
        <f>(C97+C104+C119+C126)*2</f>
        <v>16.576000000000001</v>
      </c>
      <c r="E385" s="207" t="s">
        <v>285</v>
      </c>
      <c r="F385" s="206" t="s">
        <v>395</v>
      </c>
      <c r="G385" s="206"/>
      <c r="H385" s="241">
        <v>1.74</v>
      </c>
      <c r="I385" s="207">
        <f t="shared" si="59"/>
        <v>28.84224</v>
      </c>
      <c r="J385" s="102"/>
      <c r="K385" s="102"/>
      <c r="L385" s="102"/>
      <c r="M385" s="102"/>
      <c r="N385" s="102"/>
      <c r="O385" s="286">
        <v>1</v>
      </c>
      <c r="P385" s="307" t="s">
        <v>619</v>
      </c>
      <c r="Q385" s="307"/>
      <c r="R385" s="300" t="s">
        <v>312</v>
      </c>
      <c r="S385" s="296">
        <f>V372</f>
        <v>6.58</v>
      </c>
      <c r="T385" s="310">
        <v>60</v>
      </c>
      <c r="U385" s="305">
        <f>T385*S385</f>
        <v>394.8</v>
      </c>
      <c r="V385" s="286"/>
    </row>
    <row r="386" spans="2:22" ht="20.100000000000001" customHeight="1">
      <c r="B386" s="208" t="s">
        <v>382</v>
      </c>
      <c r="C386" s="206" t="s">
        <v>291</v>
      </c>
      <c r="D386" s="211">
        <f>D338+D339+D341</f>
        <v>10</v>
      </c>
      <c r="E386" s="207" t="s">
        <v>285</v>
      </c>
      <c r="F386" s="206"/>
      <c r="G386" s="206"/>
      <c r="H386" s="241">
        <v>0.56999999999999995</v>
      </c>
      <c r="I386" s="207">
        <f>H386*D386</f>
        <v>5.6999999999999993</v>
      </c>
      <c r="J386" s="102"/>
      <c r="K386" s="102"/>
      <c r="L386" s="102"/>
      <c r="M386" s="102"/>
      <c r="N386" s="102"/>
      <c r="O386" s="286">
        <v>2</v>
      </c>
      <c r="P386" s="307" t="s">
        <v>288</v>
      </c>
      <c r="Q386" s="307"/>
      <c r="R386" s="300" t="s">
        <v>312</v>
      </c>
      <c r="S386" s="296">
        <f>V372</f>
        <v>6.58</v>
      </c>
      <c r="T386" s="310">
        <v>100</v>
      </c>
      <c r="U386" s="305">
        <f>T386*S386</f>
        <v>658</v>
      </c>
      <c r="V386" s="286"/>
    </row>
    <row r="387" spans="2:22" ht="20.100000000000001" customHeight="1">
      <c r="B387" s="206" t="s">
        <v>292</v>
      </c>
      <c r="C387" s="206"/>
      <c r="D387" s="211">
        <f>H366</f>
        <v>6.8269000000000002</v>
      </c>
      <c r="E387" s="207" t="s">
        <v>285</v>
      </c>
      <c r="F387" s="206"/>
      <c r="G387" s="206"/>
      <c r="H387" s="241">
        <v>20</v>
      </c>
      <c r="I387" s="207">
        <f t="shared" si="59"/>
        <v>136.53800000000001</v>
      </c>
      <c r="J387" s="102"/>
      <c r="K387" s="102"/>
      <c r="L387" s="102"/>
      <c r="M387" s="102"/>
      <c r="N387" s="102"/>
      <c r="O387" s="297" t="s">
        <v>307</v>
      </c>
      <c r="P387" s="308" t="s">
        <v>290</v>
      </c>
      <c r="Q387" s="298"/>
      <c r="R387" s="286"/>
      <c r="S387" s="296"/>
      <c r="T387" s="309"/>
      <c r="U387" s="301">
        <f>SUM(U388)</f>
        <v>131.6</v>
      </c>
      <c r="V387" s="286"/>
    </row>
    <row r="388" spans="2:22" ht="20.100000000000001" customHeight="1">
      <c r="B388" s="212" t="s">
        <v>4</v>
      </c>
      <c r="C388" s="213"/>
      <c r="D388" s="212"/>
      <c r="E388" s="212"/>
      <c r="F388" s="212"/>
      <c r="G388" s="212"/>
      <c r="H388" s="212"/>
      <c r="I388" s="213">
        <f>SUM(I380:I387)</f>
        <v>445.98948000000001</v>
      </c>
      <c r="J388" s="242"/>
      <c r="K388" s="102"/>
      <c r="L388" s="102"/>
      <c r="M388" s="102"/>
      <c r="N388" s="102"/>
      <c r="O388" s="286">
        <v>1</v>
      </c>
      <c r="P388" s="307" t="s">
        <v>290</v>
      </c>
      <c r="Q388" s="307"/>
      <c r="R388" s="300" t="s">
        <v>312</v>
      </c>
      <c r="S388" s="296">
        <f>V372</f>
        <v>6.58</v>
      </c>
      <c r="T388" s="310">
        <v>20</v>
      </c>
      <c r="U388" s="305">
        <f>T388*S388</f>
        <v>131.6</v>
      </c>
      <c r="V388" s="286"/>
    </row>
    <row r="389" spans="2:22" ht="20.100000000000001" customHeight="1">
      <c r="J389" s="102"/>
      <c r="K389" s="102"/>
      <c r="L389" s="102"/>
      <c r="M389" s="102"/>
      <c r="N389" s="102"/>
      <c r="O389" s="286" t="s">
        <v>308</v>
      </c>
      <c r="P389" s="618" t="s">
        <v>620</v>
      </c>
      <c r="Q389" s="619"/>
      <c r="R389" s="620"/>
      <c r="S389" s="621"/>
      <c r="T389" s="622"/>
      <c r="U389" s="301">
        <f>U374+U384+U387</f>
        <v>10447.529165096001</v>
      </c>
      <c r="V389" s="286"/>
    </row>
    <row r="390" spans="2:22" ht="20.100000000000001" customHeight="1">
      <c r="J390" s="102"/>
      <c r="K390" s="102"/>
      <c r="L390" s="102"/>
      <c r="M390" s="102"/>
      <c r="N390" s="102"/>
      <c r="O390" s="286" t="s">
        <v>309</v>
      </c>
      <c r="P390" s="618" t="s">
        <v>621</v>
      </c>
      <c r="Q390" s="619"/>
      <c r="R390" s="626">
        <v>0.2</v>
      </c>
      <c r="S390" s="627"/>
      <c r="T390" s="628"/>
      <c r="U390" s="301">
        <f>U389*R390</f>
        <v>2089.5058330192001</v>
      </c>
      <c r="V390" s="286"/>
    </row>
    <row r="391" spans="2:22" ht="20.100000000000001" customHeight="1">
      <c r="J391" s="102"/>
      <c r="K391" s="102"/>
      <c r="L391" s="102"/>
      <c r="M391" s="102"/>
      <c r="N391" s="102"/>
      <c r="O391" s="286" t="s">
        <v>310</v>
      </c>
      <c r="P391" s="618" t="s">
        <v>622</v>
      </c>
      <c r="Q391" s="619"/>
      <c r="R391" s="620"/>
      <c r="S391" s="621"/>
      <c r="T391" s="622"/>
      <c r="U391" s="301">
        <f>U389+U390</f>
        <v>12537.034998115201</v>
      </c>
      <c r="V391" s="286"/>
    </row>
    <row r="392" spans="2:22" ht="30" customHeight="1">
      <c r="L392" s="102"/>
      <c r="M392" s="102"/>
      <c r="N392" s="102"/>
      <c r="O392" s="297" t="s">
        <v>311</v>
      </c>
      <c r="P392" s="618" t="s">
        <v>623</v>
      </c>
      <c r="Q392" s="619"/>
      <c r="R392" s="620"/>
      <c r="S392" s="621"/>
      <c r="T392" s="622"/>
      <c r="U392" s="301">
        <f>U391/V372</f>
        <v>1905.3244677986627</v>
      </c>
      <c r="V392" s="286" t="s">
        <v>624</v>
      </c>
    </row>
    <row r="393" spans="2:22" ht="45" customHeight="1">
      <c r="L393" s="102"/>
      <c r="M393" s="102"/>
      <c r="N393" s="102"/>
      <c r="O393" s="623" t="s">
        <v>625</v>
      </c>
      <c r="P393" s="623"/>
      <c r="Q393" s="623"/>
      <c r="R393" s="623"/>
      <c r="S393" s="623"/>
      <c r="T393" s="623"/>
      <c r="U393" s="623"/>
      <c r="V393" s="623"/>
    </row>
    <row r="394" spans="2:22" ht="18" customHeight="1">
      <c r="L394" s="102"/>
      <c r="M394" s="102"/>
      <c r="N394" s="102"/>
      <c r="O394" s="102"/>
      <c r="P394" s="102"/>
    </row>
    <row r="395" spans="2:22">
      <c r="L395" s="102"/>
      <c r="M395" s="102"/>
      <c r="N395" s="102"/>
      <c r="O395" s="102"/>
      <c r="P395" s="102"/>
    </row>
    <row r="396" spans="2:22">
      <c r="L396" s="102"/>
      <c r="M396" s="102"/>
      <c r="N396" s="102"/>
      <c r="O396" s="102"/>
      <c r="P396" s="102"/>
    </row>
    <row r="397" spans="2:22">
      <c r="L397" s="102"/>
      <c r="M397" s="102"/>
      <c r="N397" s="102"/>
      <c r="O397" s="102"/>
      <c r="P397" s="102"/>
    </row>
    <row r="398" spans="2:22">
      <c r="L398" s="102"/>
      <c r="M398" s="102"/>
      <c r="N398" s="102"/>
      <c r="O398" s="102"/>
      <c r="P398" s="102"/>
    </row>
    <row r="399" spans="2:22">
      <c r="L399" s="102"/>
      <c r="M399" s="102"/>
      <c r="N399" s="102"/>
      <c r="O399" s="102"/>
      <c r="P399" s="102"/>
    </row>
    <row r="400" spans="2:22">
      <c r="L400" s="102"/>
      <c r="M400" s="102"/>
      <c r="N400" s="102"/>
      <c r="O400" s="102"/>
      <c r="P400" s="102"/>
    </row>
    <row r="401" spans="12:16">
      <c r="L401" s="102"/>
      <c r="M401" s="102"/>
      <c r="N401" s="102"/>
      <c r="O401" s="102"/>
      <c r="P401" s="102"/>
    </row>
    <row r="402" spans="12:16">
      <c r="L402" s="102"/>
      <c r="M402" s="102"/>
      <c r="N402" s="102"/>
      <c r="O402" s="102"/>
      <c r="P402" s="102"/>
    </row>
    <row r="403" spans="12:16">
      <c r="L403" s="102"/>
      <c r="M403" s="102"/>
      <c r="N403" s="102"/>
      <c r="O403" s="102"/>
      <c r="P403" s="102"/>
    </row>
    <row r="404" spans="12:16">
      <c r="L404" s="102"/>
      <c r="M404" s="102"/>
      <c r="N404" s="102"/>
      <c r="O404" s="102"/>
      <c r="P404" s="102"/>
    </row>
    <row r="405" spans="12:16">
      <c r="L405" s="102"/>
      <c r="M405" s="102"/>
      <c r="N405" s="102"/>
      <c r="O405" s="102"/>
      <c r="P405" s="102"/>
    </row>
    <row r="406" spans="12:16">
      <c r="L406" s="102"/>
      <c r="M406" s="102"/>
      <c r="N406" s="102"/>
      <c r="O406" s="102"/>
      <c r="P406" s="102"/>
    </row>
    <row r="407" spans="12:16">
      <c r="L407" s="102"/>
      <c r="M407" s="102"/>
      <c r="N407" s="102"/>
      <c r="O407" s="102"/>
      <c r="P407" s="102"/>
    </row>
    <row r="408" spans="12:16">
      <c r="L408" s="102"/>
      <c r="M408" s="102"/>
      <c r="N408" s="102"/>
      <c r="O408" s="102"/>
      <c r="P408" s="102"/>
    </row>
    <row r="409" spans="12:16">
      <c r="L409" s="102"/>
      <c r="M409" s="102"/>
      <c r="N409" s="102"/>
      <c r="O409" s="102"/>
      <c r="P409" s="102"/>
    </row>
    <row r="410" spans="12:16">
      <c r="L410" s="102"/>
      <c r="M410" s="102"/>
      <c r="N410" s="102"/>
      <c r="O410" s="102"/>
      <c r="P410" s="102"/>
    </row>
    <row r="411" spans="12:16">
      <c r="L411" s="102"/>
      <c r="M411" s="102"/>
      <c r="N411" s="102"/>
      <c r="O411" s="102"/>
      <c r="P411" s="102"/>
    </row>
    <row r="412" spans="12:16">
      <c r="L412" s="102"/>
      <c r="M412" s="102"/>
      <c r="N412" s="102"/>
      <c r="O412" s="102"/>
      <c r="P412" s="102"/>
    </row>
    <row r="413" spans="12:16">
      <c r="L413" s="102"/>
      <c r="M413" s="102"/>
      <c r="N413" s="102"/>
      <c r="O413" s="102"/>
      <c r="P413" s="102"/>
    </row>
    <row r="414" spans="12:16">
      <c r="L414" s="102"/>
      <c r="M414" s="102"/>
      <c r="N414" s="102"/>
      <c r="O414" s="102"/>
      <c r="P414" s="102"/>
    </row>
    <row r="415" spans="12:16">
      <c r="L415" s="102"/>
      <c r="M415" s="102"/>
      <c r="N415" s="102"/>
      <c r="O415" s="102"/>
      <c r="P415" s="102"/>
    </row>
    <row r="416" spans="12:16">
      <c r="L416" s="102"/>
      <c r="M416" s="102"/>
      <c r="N416" s="102"/>
      <c r="O416" s="102"/>
      <c r="P416" s="102"/>
    </row>
    <row r="417" spans="10:16">
      <c r="L417" s="102"/>
      <c r="M417" s="102"/>
      <c r="N417" s="102"/>
      <c r="O417" s="102"/>
      <c r="P417" s="102"/>
    </row>
    <row r="418" spans="10:16">
      <c r="L418" s="102"/>
      <c r="M418" s="102"/>
      <c r="N418" s="102"/>
      <c r="O418" s="102"/>
      <c r="P418" s="102"/>
    </row>
    <row r="419" spans="10:16">
      <c r="L419" s="102"/>
      <c r="M419" s="102"/>
      <c r="N419" s="102"/>
      <c r="O419" s="102"/>
      <c r="P419" s="102"/>
    </row>
    <row r="420" spans="10:16">
      <c r="L420" s="102"/>
      <c r="M420" s="102"/>
      <c r="N420" s="102"/>
      <c r="O420" s="102"/>
      <c r="P420" s="102"/>
    </row>
    <row r="421" spans="10:16">
      <c r="L421" s="102"/>
      <c r="M421" s="102"/>
      <c r="N421" s="102"/>
      <c r="O421" s="102"/>
      <c r="P421" s="102"/>
    </row>
    <row r="422" spans="10:16">
      <c r="L422" s="102"/>
      <c r="M422" s="102"/>
      <c r="N422" s="102"/>
      <c r="O422" s="102"/>
      <c r="P422" s="102"/>
    </row>
    <row r="423" spans="10:16">
      <c r="L423" s="102"/>
      <c r="M423" s="102"/>
      <c r="N423" s="102"/>
      <c r="O423" s="102"/>
      <c r="P423" s="102"/>
    </row>
    <row r="424" spans="10:16">
      <c r="L424" s="102"/>
      <c r="M424" s="102"/>
      <c r="N424" s="102"/>
      <c r="O424" s="102"/>
      <c r="P424" s="102"/>
    </row>
    <row r="425" spans="10:16">
      <c r="L425" s="102"/>
      <c r="M425" s="102"/>
      <c r="N425" s="102"/>
      <c r="O425" s="102"/>
      <c r="P425" s="102"/>
    </row>
    <row r="426" spans="10:16">
      <c r="L426" s="102"/>
      <c r="M426" s="102"/>
      <c r="N426" s="102"/>
      <c r="O426" s="102"/>
      <c r="P426" s="102"/>
    </row>
    <row r="427" spans="10:16">
      <c r="J427" s="102"/>
      <c r="K427" s="102"/>
      <c r="L427" s="102"/>
      <c r="M427" s="102"/>
      <c r="N427" s="102"/>
      <c r="O427" s="102"/>
      <c r="P427" s="102"/>
    </row>
    <row r="428" spans="10:16">
      <c r="J428" s="102"/>
      <c r="K428" s="102"/>
      <c r="L428" s="102"/>
      <c r="M428" s="102"/>
      <c r="N428" s="102"/>
      <c r="O428" s="102"/>
      <c r="P428" s="102"/>
    </row>
    <row r="429" spans="10:16">
      <c r="J429" s="102"/>
      <c r="K429" s="102"/>
      <c r="L429" s="102"/>
      <c r="M429" s="102"/>
      <c r="N429" s="102"/>
      <c r="O429" s="102"/>
      <c r="P429" s="102"/>
    </row>
    <row r="430" spans="10:16">
      <c r="J430" s="102"/>
      <c r="K430" s="102"/>
      <c r="L430" s="102"/>
      <c r="M430" s="102"/>
      <c r="N430" s="102"/>
      <c r="O430" s="102"/>
      <c r="P430" s="102"/>
    </row>
    <row r="431" spans="10:16">
      <c r="J431" s="102"/>
      <c r="K431" s="102"/>
      <c r="L431" s="102"/>
      <c r="M431" s="102"/>
      <c r="N431" s="102"/>
      <c r="O431" s="102"/>
      <c r="P431" s="102"/>
    </row>
    <row r="432" spans="10:16">
      <c r="J432" s="102"/>
      <c r="K432" s="102"/>
      <c r="L432" s="102"/>
      <c r="M432" s="102"/>
      <c r="N432" s="102"/>
      <c r="O432" s="102"/>
      <c r="P432" s="102"/>
    </row>
    <row r="433" spans="10:16">
      <c r="J433" s="102"/>
      <c r="K433" s="102"/>
      <c r="L433" s="102"/>
      <c r="M433" s="102"/>
      <c r="N433" s="102"/>
      <c r="O433" s="102"/>
      <c r="P433" s="102"/>
    </row>
    <row r="434" spans="10:16">
      <c r="J434" s="102"/>
      <c r="K434" s="102"/>
      <c r="L434" s="102"/>
      <c r="M434" s="102"/>
      <c r="N434" s="102"/>
      <c r="O434" s="102"/>
      <c r="P434" s="102"/>
    </row>
    <row r="435" spans="10:16">
      <c r="J435" s="102"/>
      <c r="K435" s="102"/>
      <c r="L435" s="102"/>
      <c r="M435" s="102"/>
      <c r="N435" s="102"/>
      <c r="O435" s="102"/>
      <c r="P435" s="102"/>
    </row>
    <row r="436" spans="10:16">
      <c r="J436" s="102"/>
      <c r="K436" s="102"/>
      <c r="L436" s="102"/>
      <c r="M436" s="102"/>
      <c r="N436" s="102"/>
      <c r="O436" s="102"/>
      <c r="P436" s="102"/>
    </row>
    <row r="437" spans="10:16">
      <c r="J437" s="102"/>
      <c r="K437" s="102"/>
      <c r="L437" s="102"/>
      <c r="M437" s="102"/>
      <c r="N437" s="102"/>
      <c r="O437" s="102"/>
      <c r="P437" s="102"/>
    </row>
    <row r="438" spans="10:16">
      <c r="J438" s="102"/>
      <c r="K438" s="102"/>
      <c r="L438" s="102"/>
      <c r="M438" s="102"/>
      <c r="N438" s="102"/>
      <c r="O438" s="102"/>
      <c r="P438" s="102"/>
    </row>
    <row r="439" spans="10:16">
      <c r="J439" s="102"/>
      <c r="K439" s="102"/>
      <c r="L439" s="102"/>
      <c r="M439" s="102"/>
      <c r="N439" s="102"/>
      <c r="O439" s="102"/>
      <c r="P439" s="102"/>
    </row>
    <row r="440" spans="10:16">
      <c r="J440" s="102"/>
      <c r="K440" s="102"/>
      <c r="L440" s="102"/>
      <c r="M440" s="102"/>
      <c r="N440" s="102"/>
      <c r="O440" s="102"/>
      <c r="P440" s="102"/>
    </row>
    <row r="441" spans="10:16">
      <c r="J441" s="102"/>
      <c r="K441" s="102"/>
      <c r="L441" s="102"/>
      <c r="M441" s="102"/>
      <c r="N441" s="102"/>
      <c r="O441" s="102"/>
      <c r="P441" s="102"/>
    </row>
    <row r="442" spans="10:16">
      <c r="J442" s="102"/>
      <c r="K442" s="102"/>
      <c r="L442" s="102"/>
      <c r="M442" s="102"/>
      <c r="N442" s="102"/>
      <c r="O442" s="102"/>
      <c r="P442" s="102"/>
    </row>
    <row r="443" spans="10:16">
      <c r="J443" s="102"/>
      <c r="K443" s="102"/>
      <c r="L443" s="102"/>
      <c r="M443" s="102"/>
      <c r="N443" s="102"/>
      <c r="O443" s="102"/>
      <c r="P443" s="102"/>
    </row>
    <row r="444" spans="10:16">
      <c r="J444" s="102"/>
      <c r="K444" s="102"/>
      <c r="L444" s="102"/>
      <c r="M444" s="102"/>
      <c r="N444" s="102"/>
      <c r="O444" s="102"/>
      <c r="P444" s="102"/>
    </row>
    <row r="445" spans="10:16">
      <c r="J445" s="102"/>
      <c r="K445" s="102"/>
      <c r="L445" s="102"/>
      <c r="M445" s="102"/>
      <c r="N445" s="102"/>
      <c r="O445" s="102"/>
      <c r="P445" s="102"/>
    </row>
    <row r="446" spans="10:16">
      <c r="J446" s="102"/>
      <c r="K446" s="102"/>
      <c r="L446" s="102"/>
      <c r="M446" s="102"/>
      <c r="N446" s="102"/>
      <c r="O446" s="102"/>
      <c r="P446" s="102"/>
    </row>
    <row r="447" spans="10:16">
      <c r="J447" s="102"/>
      <c r="K447" s="102"/>
      <c r="L447" s="102"/>
      <c r="M447" s="102"/>
      <c r="N447" s="102"/>
      <c r="O447" s="102"/>
      <c r="P447" s="102"/>
    </row>
    <row r="448" spans="10:16">
      <c r="J448" s="102"/>
      <c r="K448" s="102"/>
      <c r="L448" s="102"/>
      <c r="M448" s="102"/>
      <c r="N448" s="102"/>
      <c r="O448" s="102"/>
      <c r="P448" s="102"/>
    </row>
    <row r="449" spans="10:16">
      <c r="J449" s="102"/>
      <c r="K449" s="102"/>
      <c r="L449" s="102"/>
      <c r="M449" s="102"/>
      <c r="N449" s="102"/>
      <c r="O449" s="102"/>
      <c r="P449" s="102"/>
    </row>
    <row r="450" spans="10:16">
      <c r="J450" s="102"/>
      <c r="K450" s="102"/>
      <c r="L450" s="102"/>
      <c r="M450" s="102"/>
      <c r="N450" s="102"/>
      <c r="O450" s="102"/>
      <c r="P450" s="102"/>
    </row>
    <row r="451" spans="10:16">
      <c r="J451" s="102"/>
      <c r="K451" s="102"/>
      <c r="L451" s="102"/>
      <c r="M451" s="102"/>
      <c r="N451" s="102"/>
      <c r="O451" s="102"/>
      <c r="P451" s="102"/>
    </row>
    <row r="452" spans="10:16">
      <c r="J452" s="102"/>
      <c r="K452" s="102"/>
      <c r="L452" s="102"/>
      <c r="M452" s="102"/>
      <c r="N452" s="102"/>
      <c r="O452" s="102"/>
      <c r="P452" s="102"/>
    </row>
    <row r="453" spans="10:16">
      <c r="J453" s="102"/>
      <c r="K453" s="102"/>
      <c r="L453" s="102"/>
      <c r="M453" s="102"/>
      <c r="N453" s="102"/>
      <c r="O453" s="102"/>
      <c r="P453" s="102"/>
    </row>
    <row r="454" spans="10:16">
      <c r="J454" s="102"/>
      <c r="K454" s="102"/>
      <c r="L454" s="102"/>
      <c r="M454" s="102"/>
      <c r="N454" s="102"/>
      <c r="O454" s="102"/>
      <c r="P454" s="102"/>
    </row>
    <row r="455" spans="10:16">
      <c r="J455" s="102"/>
      <c r="K455" s="102"/>
      <c r="L455" s="102"/>
      <c r="M455" s="102"/>
      <c r="N455" s="102"/>
      <c r="O455" s="102"/>
      <c r="P455" s="102"/>
    </row>
    <row r="456" spans="10:16">
      <c r="J456" s="102"/>
      <c r="K456" s="102"/>
      <c r="L456" s="102"/>
      <c r="M456" s="102"/>
      <c r="N456" s="102"/>
      <c r="O456" s="102"/>
      <c r="P456" s="102"/>
    </row>
    <row r="457" spans="10:16">
      <c r="J457" s="102"/>
      <c r="K457" s="102"/>
      <c r="L457" s="102"/>
      <c r="M457" s="102"/>
      <c r="N457" s="102"/>
      <c r="O457" s="102"/>
      <c r="P457" s="102"/>
    </row>
    <row r="458" spans="10:16">
      <c r="J458" s="102"/>
      <c r="K458" s="102"/>
      <c r="L458" s="102"/>
      <c r="M458" s="102"/>
      <c r="N458" s="102"/>
      <c r="O458" s="102"/>
      <c r="P458" s="102"/>
    </row>
    <row r="459" spans="10:16">
      <c r="J459" s="102"/>
      <c r="K459" s="102"/>
      <c r="L459" s="102"/>
      <c r="M459" s="102"/>
      <c r="N459" s="102"/>
      <c r="O459" s="102"/>
      <c r="P459" s="102"/>
    </row>
    <row r="460" spans="10:16">
      <c r="J460" s="102"/>
      <c r="K460" s="102"/>
      <c r="L460" s="102"/>
      <c r="M460" s="102"/>
      <c r="N460" s="102"/>
      <c r="O460" s="102"/>
      <c r="P460" s="102"/>
    </row>
    <row r="461" spans="10:16">
      <c r="J461" s="102"/>
      <c r="K461" s="102"/>
      <c r="L461" s="102"/>
      <c r="M461" s="102"/>
      <c r="N461" s="102"/>
      <c r="O461" s="102"/>
      <c r="P461" s="102"/>
    </row>
    <row r="462" spans="10:16">
      <c r="J462" s="102"/>
      <c r="K462" s="102"/>
      <c r="L462" s="102"/>
      <c r="M462" s="102"/>
      <c r="N462" s="102"/>
      <c r="O462" s="102"/>
      <c r="P462" s="102"/>
    </row>
    <row r="463" spans="10:16">
      <c r="J463" s="102"/>
      <c r="K463" s="102"/>
      <c r="L463" s="102"/>
      <c r="M463" s="102"/>
      <c r="N463" s="102"/>
      <c r="O463" s="102"/>
      <c r="P463" s="102"/>
    </row>
    <row r="464" spans="10:16">
      <c r="J464" s="102"/>
      <c r="K464" s="102"/>
      <c r="L464" s="102"/>
      <c r="M464" s="102"/>
      <c r="N464" s="102"/>
      <c r="O464" s="102"/>
      <c r="P464" s="102"/>
    </row>
  </sheetData>
  <mergeCells count="95">
    <mergeCell ref="F2:H2"/>
    <mergeCell ref="I2:I6"/>
    <mergeCell ref="J2:M2"/>
    <mergeCell ref="B4:B6"/>
    <mergeCell ref="B14:B21"/>
    <mergeCell ref="C14:C21"/>
    <mergeCell ref="B26:B30"/>
    <mergeCell ref="C26:C30"/>
    <mergeCell ref="B35:B37"/>
    <mergeCell ref="C35:C37"/>
    <mergeCell ref="B42:B47"/>
    <mergeCell ref="C42:C44"/>
    <mergeCell ref="C45:C47"/>
    <mergeCell ref="B52:B55"/>
    <mergeCell ref="C52:C55"/>
    <mergeCell ref="D59:F59"/>
    <mergeCell ref="B60:B63"/>
    <mergeCell ref="C60:C61"/>
    <mergeCell ref="D60:F60"/>
    <mergeCell ref="D61:F61"/>
    <mergeCell ref="C62:C63"/>
    <mergeCell ref="D62:F62"/>
    <mergeCell ref="D63:F63"/>
    <mergeCell ref="B68:B87"/>
    <mergeCell ref="C68:C74"/>
    <mergeCell ref="C75:C81"/>
    <mergeCell ref="C82:C87"/>
    <mergeCell ref="B92:B96"/>
    <mergeCell ref="C92:C96"/>
    <mergeCell ref="B137:B138"/>
    <mergeCell ref="C137:C138"/>
    <mergeCell ref="D137:F137"/>
    <mergeCell ref="D138:F138"/>
    <mergeCell ref="B101:B103"/>
    <mergeCell ref="C101:C103"/>
    <mergeCell ref="B108:B111"/>
    <mergeCell ref="C108:C111"/>
    <mergeCell ref="B116:B118"/>
    <mergeCell ref="C116:C118"/>
    <mergeCell ref="B123:B125"/>
    <mergeCell ref="C123:C125"/>
    <mergeCell ref="B130:B132"/>
    <mergeCell ref="C130:C132"/>
    <mergeCell ref="D136:F136"/>
    <mergeCell ref="B143:B145"/>
    <mergeCell ref="C143:C145"/>
    <mergeCell ref="B150:B152"/>
    <mergeCell ref="C150:C152"/>
    <mergeCell ref="B157:B162"/>
    <mergeCell ref="C157:C162"/>
    <mergeCell ref="B167:B169"/>
    <mergeCell ref="C167:C169"/>
    <mergeCell ref="B174:B176"/>
    <mergeCell ref="C174:C176"/>
    <mergeCell ref="B181:B183"/>
    <mergeCell ref="C181:C183"/>
    <mergeCell ref="F209:F210"/>
    <mergeCell ref="B188:B190"/>
    <mergeCell ref="C188:C190"/>
    <mergeCell ref="D194:F194"/>
    <mergeCell ref="B195:B196"/>
    <mergeCell ref="C195:C196"/>
    <mergeCell ref="D195:F195"/>
    <mergeCell ref="D196:F196"/>
    <mergeCell ref="B197:B198"/>
    <mergeCell ref="C197:C198"/>
    <mergeCell ref="D197:F197"/>
    <mergeCell ref="D198:F198"/>
    <mergeCell ref="F203:F204"/>
    <mergeCell ref="O369:V369"/>
    <mergeCell ref="F211:F212"/>
    <mergeCell ref="F213:F214"/>
    <mergeCell ref="B291:B292"/>
    <mergeCell ref="B294:B295"/>
    <mergeCell ref="I294:I295"/>
    <mergeCell ref="B296:B297"/>
    <mergeCell ref="I296:I297"/>
    <mergeCell ref="B298:B299"/>
    <mergeCell ref="I298:I299"/>
    <mergeCell ref="B300:B301"/>
    <mergeCell ref="B302:B303"/>
    <mergeCell ref="O368:V368"/>
    <mergeCell ref="P370:Q370"/>
    <mergeCell ref="O371:O372"/>
    <mergeCell ref="P371:T372"/>
    <mergeCell ref="B378:I378"/>
    <mergeCell ref="P389:Q389"/>
    <mergeCell ref="R389:T389"/>
    <mergeCell ref="O393:V393"/>
    <mergeCell ref="P390:Q390"/>
    <mergeCell ref="R390:T390"/>
    <mergeCell ref="P391:Q391"/>
    <mergeCell ref="R391:T391"/>
    <mergeCell ref="P392:Q392"/>
    <mergeCell ref="R392:T392"/>
  </mergeCells>
  <phoneticPr fontId="5" type="noConversion"/>
  <pageMargins left="0.19685039370078741" right="0.19685039370078741" top="0.74803149606299213" bottom="0.74803149606299213" header="0.31496062992125984" footer="0.31496062992125984"/>
  <pageSetup paperSize="9" scale="78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927DF-97BB-4E05-808F-5428B2FD4C1E}">
  <sheetPr>
    <tabColor rgb="FF7030A0"/>
    <pageSetUpPr fitToPage="1"/>
  </sheetPr>
  <dimension ref="A1:V464"/>
  <sheetViews>
    <sheetView showZeros="0" topLeftCell="A357" zoomScaleNormal="100" workbookViewId="0">
      <selection activeCell="C372" sqref="C372"/>
    </sheetView>
  </sheetViews>
  <sheetFormatPr defaultColWidth="25.25" defaultRowHeight="13.5"/>
  <cols>
    <col min="1" max="1" width="0.5" style="1" customWidth="1"/>
    <col min="2" max="2" width="25.25" style="102" customWidth="1"/>
    <col min="3" max="3" width="14.75" style="102" customWidth="1"/>
    <col min="4" max="4" width="11.5" style="102" customWidth="1"/>
    <col min="5" max="5" width="11.25" style="102" customWidth="1"/>
    <col min="6" max="6" width="12.25" style="102" customWidth="1"/>
    <col min="7" max="7" width="10" style="102" customWidth="1"/>
    <col min="8" max="8" width="9.875" style="102" customWidth="1"/>
    <col min="9" max="9" width="26.875" style="102" customWidth="1"/>
    <col min="10" max="10" width="11.125" style="43" customWidth="1"/>
    <col min="11" max="11" width="7.875" style="43" customWidth="1"/>
    <col min="12" max="12" width="7.25" style="43" customWidth="1"/>
    <col min="13" max="13" width="9.125" style="43" customWidth="1"/>
    <col min="14" max="14" width="15.125" style="255" customWidth="1"/>
    <col min="15" max="15" width="13.125" style="255" customWidth="1"/>
    <col min="16" max="16" width="24.375" style="255" customWidth="1"/>
    <col min="17" max="17" width="13.75" style="255" customWidth="1"/>
    <col min="18" max="18" width="11.25" style="255" customWidth="1"/>
    <col min="19" max="19" width="10.75" style="255" customWidth="1"/>
    <col min="20" max="20" width="10" style="255" customWidth="1"/>
    <col min="21" max="21" width="9.875" style="255" customWidth="1"/>
    <col min="22" max="22" width="26.125" style="255" customWidth="1"/>
    <col min="23" max="23" width="11.125" style="255" customWidth="1"/>
    <col min="24" max="24" width="7.875" style="255" customWidth="1"/>
    <col min="25" max="25" width="7.25" style="255" customWidth="1"/>
    <col min="26" max="26" width="9.125" style="255" customWidth="1"/>
    <col min="27" max="27" width="15.125" style="255" customWidth="1"/>
    <col min="28" max="28" width="7.75" style="255" customWidth="1"/>
    <col min="29" max="29" width="7.125" style="255" customWidth="1"/>
    <col min="30" max="30" width="12.125" style="255" customWidth="1"/>
    <col min="31" max="31" width="8.25" style="255" customWidth="1"/>
    <col min="32" max="33" width="10.375" style="255" customWidth="1"/>
    <col min="34" max="34" width="15.625" style="255" customWidth="1"/>
    <col min="35" max="35" width="15.875" style="255" customWidth="1"/>
    <col min="36" max="36" width="8.125" style="255" customWidth="1"/>
    <col min="37" max="40" width="10.375" style="255" customWidth="1"/>
    <col min="41" max="41" width="7.25" style="255" customWidth="1"/>
    <col min="42" max="42" width="7.125" style="255" customWidth="1"/>
    <col min="43" max="43" width="9.5" style="255" customWidth="1"/>
    <col min="44" max="45" width="9" style="255" customWidth="1"/>
    <col min="46" max="46" width="16.125" style="255" customWidth="1"/>
    <col min="47" max="77" width="9" style="255" customWidth="1"/>
    <col min="78" max="237" width="25.25" style="255"/>
    <col min="238" max="267" width="9" style="255" customWidth="1"/>
    <col min="268" max="268" width="0.5" style="255" customWidth="1"/>
    <col min="269" max="269" width="25.25" style="255"/>
    <col min="270" max="270" width="0.5" style="255" customWidth="1"/>
    <col min="271" max="271" width="25.25" style="255"/>
    <col min="272" max="272" width="14.75" style="255" customWidth="1"/>
    <col min="273" max="273" width="11.5" style="255" customWidth="1"/>
    <col min="274" max="274" width="11.25" style="255" customWidth="1"/>
    <col min="275" max="275" width="10.75" style="255" customWidth="1"/>
    <col min="276" max="276" width="10" style="255" customWidth="1"/>
    <col min="277" max="277" width="9.875" style="255" customWidth="1"/>
    <col min="278" max="278" width="26.125" style="255" customWidth="1"/>
    <col min="279" max="279" width="11.125" style="255" customWidth="1"/>
    <col min="280" max="280" width="7.875" style="255" customWidth="1"/>
    <col min="281" max="281" width="7.25" style="255" customWidth="1"/>
    <col min="282" max="282" width="9.125" style="255" customWidth="1"/>
    <col min="283" max="283" width="15.125" style="255" customWidth="1"/>
    <col min="284" max="284" width="7.75" style="255" customWidth="1"/>
    <col min="285" max="285" width="7.125" style="255" customWidth="1"/>
    <col min="286" max="286" width="12.125" style="255" customWidth="1"/>
    <col min="287" max="287" width="8.25" style="255" customWidth="1"/>
    <col min="288" max="289" width="10.375" style="255" customWidth="1"/>
    <col min="290" max="290" width="15.625" style="255" customWidth="1"/>
    <col min="291" max="291" width="15.875" style="255" customWidth="1"/>
    <col min="292" max="292" width="8.125" style="255" customWidth="1"/>
    <col min="293" max="296" width="10.375" style="255" customWidth="1"/>
    <col min="297" max="297" width="7.25" style="255" customWidth="1"/>
    <col min="298" max="298" width="7.125" style="255" customWidth="1"/>
    <col min="299" max="299" width="9.5" style="255" customWidth="1"/>
    <col min="300" max="301" width="9" style="255" customWidth="1"/>
    <col min="302" max="302" width="16.125" style="255" customWidth="1"/>
    <col min="303" max="333" width="9" style="255" customWidth="1"/>
    <col min="334" max="493" width="25.25" style="255"/>
    <col min="494" max="523" width="9" style="255" customWidth="1"/>
    <col min="524" max="524" width="0.5" style="255" customWidth="1"/>
    <col min="525" max="525" width="25.25" style="255"/>
    <col min="526" max="526" width="0.5" style="255" customWidth="1"/>
    <col min="527" max="527" width="25.25" style="255"/>
    <col min="528" max="528" width="14.75" style="255" customWidth="1"/>
    <col min="529" max="529" width="11.5" style="255" customWidth="1"/>
    <col min="530" max="530" width="11.25" style="255" customWidth="1"/>
    <col min="531" max="531" width="10.75" style="255" customWidth="1"/>
    <col min="532" max="532" width="10" style="255" customWidth="1"/>
    <col min="533" max="533" width="9.875" style="255" customWidth="1"/>
    <col min="534" max="534" width="26.125" style="255" customWidth="1"/>
    <col min="535" max="535" width="11.125" style="255" customWidth="1"/>
    <col min="536" max="536" width="7.875" style="255" customWidth="1"/>
    <col min="537" max="537" width="7.25" style="255" customWidth="1"/>
    <col min="538" max="538" width="9.125" style="255" customWidth="1"/>
    <col min="539" max="539" width="15.125" style="255" customWidth="1"/>
    <col min="540" max="540" width="7.75" style="255" customWidth="1"/>
    <col min="541" max="541" width="7.125" style="255" customWidth="1"/>
    <col min="542" max="542" width="12.125" style="255" customWidth="1"/>
    <col min="543" max="543" width="8.25" style="255" customWidth="1"/>
    <col min="544" max="545" width="10.375" style="255" customWidth="1"/>
    <col min="546" max="546" width="15.625" style="255" customWidth="1"/>
    <col min="547" max="547" width="15.875" style="255" customWidth="1"/>
    <col min="548" max="548" width="8.125" style="255" customWidth="1"/>
    <col min="549" max="552" width="10.375" style="255" customWidth="1"/>
    <col min="553" max="553" width="7.25" style="255" customWidth="1"/>
    <col min="554" max="554" width="7.125" style="255" customWidth="1"/>
    <col min="555" max="555" width="9.5" style="255" customWidth="1"/>
    <col min="556" max="557" width="9" style="255" customWidth="1"/>
    <col min="558" max="558" width="16.125" style="255" customWidth="1"/>
    <col min="559" max="589" width="9" style="255" customWidth="1"/>
    <col min="590" max="749" width="25.25" style="255"/>
    <col min="750" max="779" width="9" style="255" customWidth="1"/>
    <col min="780" max="780" width="0.5" style="255" customWidth="1"/>
    <col min="781" max="781" width="25.25" style="255"/>
    <col min="782" max="782" width="0.5" style="255" customWidth="1"/>
    <col min="783" max="783" width="25.25" style="255"/>
    <col min="784" max="784" width="14.75" style="255" customWidth="1"/>
    <col min="785" max="785" width="11.5" style="255" customWidth="1"/>
    <col min="786" max="786" width="11.25" style="255" customWidth="1"/>
    <col min="787" max="787" width="10.75" style="255" customWidth="1"/>
    <col min="788" max="788" width="10" style="255" customWidth="1"/>
    <col min="789" max="789" width="9.875" style="255" customWidth="1"/>
    <col min="790" max="790" width="26.125" style="255" customWidth="1"/>
    <col min="791" max="791" width="11.125" style="255" customWidth="1"/>
    <col min="792" max="792" width="7.875" style="255" customWidth="1"/>
    <col min="793" max="793" width="7.25" style="255" customWidth="1"/>
    <col min="794" max="794" width="9.125" style="255" customWidth="1"/>
    <col min="795" max="795" width="15.125" style="255" customWidth="1"/>
    <col min="796" max="796" width="7.75" style="255" customWidth="1"/>
    <col min="797" max="797" width="7.125" style="255" customWidth="1"/>
    <col min="798" max="798" width="12.125" style="255" customWidth="1"/>
    <col min="799" max="799" width="8.25" style="255" customWidth="1"/>
    <col min="800" max="801" width="10.375" style="255" customWidth="1"/>
    <col min="802" max="802" width="15.625" style="255" customWidth="1"/>
    <col min="803" max="803" width="15.875" style="255" customWidth="1"/>
    <col min="804" max="804" width="8.125" style="255" customWidth="1"/>
    <col min="805" max="808" width="10.375" style="255" customWidth="1"/>
    <col min="809" max="809" width="7.25" style="255" customWidth="1"/>
    <col min="810" max="810" width="7.125" style="255" customWidth="1"/>
    <col min="811" max="811" width="9.5" style="255" customWidth="1"/>
    <col min="812" max="813" width="9" style="255" customWidth="1"/>
    <col min="814" max="814" width="16.125" style="255" customWidth="1"/>
    <col min="815" max="845" width="9" style="255" customWidth="1"/>
    <col min="846" max="1005" width="25.25" style="255"/>
    <col min="1006" max="1035" width="9" style="255" customWidth="1"/>
    <col min="1036" max="1036" width="0.5" style="255" customWidth="1"/>
    <col min="1037" max="1037" width="25.25" style="255"/>
    <col min="1038" max="1038" width="0.5" style="255" customWidth="1"/>
    <col min="1039" max="1039" width="25.25" style="255"/>
    <col min="1040" max="1040" width="14.75" style="255" customWidth="1"/>
    <col min="1041" max="1041" width="11.5" style="255" customWidth="1"/>
    <col min="1042" max="1042" width="11.25" style="255" customWidth="1"/>
    <col min="1043" max="1043" width="10.75" style="255" customWidth="1"/>
    <col min="1044" max="1044" width="10" style="255" customWidth="1"/>
    <col min="1045" max="1045" width="9.875" style="255" customWidth="1"/>
    <col min="1046" max="1046" width="26.125" style="255" customWidth="1"/>
    <col min="1047" max="1047" width="11.125" style="255" customWidth="1"/>
    <col min="1048" max="1048" width="7.875" style="255" customWidth="1"/>
    <col min="1049" max="1049" width="7.25" style="255" customWidth="1"/>
    <col min="1050" max="1050" width="9.125" style="255" customWidth="1"/>
    <col min="1051" max="1051" width="15.125" style="255" customWidth="1"/>
    <col min="1052" max="1052" width="7.75" style="255" customWidth="1"/>
    <col min="1053" max="1053" width="7.125" style="255" customWidth="1"/>
    <col min="1054" max="1054" width="12.125" style="255" customWidth="1"/>
    <col min="1055" max="1055" width="8.25" style="255" customWidth="1"/>
    <col min="1056" max="1057" width="10.375" style="255" customWidth="1"/>
    <col min="1058" max="1058" width="15.625" style="255" customWidth="1"/>
    <col min="1059" max="1059" width="15.875" style="255" customWidth="1"/>
    <col min="1060" max="1060" width="8.125" style="255" customWidth="1"/>
    <col min="1061" max="1064" width="10.375" style="255" customWidth="1"/>
    <col min="1065" max="1065" width="7.25" style="255" customWidth="1"/>
    <col min="1066" max="1066" width="7.125" style="255" customWidth="1"/>
    <col min="1067" max="1067" width="9.5" style="255" customWidth="1"/>
    <col min="1068" max="1069" width="9" style="255" customWidth="1"/>
    <col min="1070" max="1070" width="16.125" style="255" customWidth="1"/>
    <col min="1071" max="1101" width="9" style="255" customWidth="1"/>
    <col min="1102" max="1261" width="25.25" style="255"/>
    <col min="1262" max="1291" width="9" style="255" customWidth="1"/>
    <col min="1292" max="1292" width="0.5" style="255" customWidth="1"/>
    <col min="1293" max="1293" width="25.25" style="255"/>
    <col min="1294" max="1294" width="0.5" style="255" customWidth="1"/>
    <col min="1295" max="1295" width="25.25" style="255"/>
    <col min="1296" max="1296" width="14.75" style="255" customWidth="1"/>
    <col min="1297" max="1297" width="11.5" style="255" customWidth="1"/>
    <col min="1298" max="1298" width="11.25" style="255" customWidth="1"/>
    <col min="1299" max="1299" width="10.75" style="255" customWidth="1"/>
    <col min="1300" max="1300" width="10" style="255" customWidth="1"/>
    <col min="1301" max="1301" width="9.875" style="255" customWidth="1"/>
    <col min="1302" max="1302" width="26.125" style="255" customWidth="1"/>
    <col min="1303" max="1303" width="11.125" style="255" customWidth="1"/>
    <col min="1304" max="1304" width="7.875" style="255" customWidth="1"/>
    <col min="1305" max="1305" width="7.25" style="255" customWidth="1"/>
    <col min="1306" max="1306" width="9.125" style="255" customWidth="1"/>
    <col min="1307" max="1307" width="15.125" style="255" customWidth="1"/>
    <col min="1308" max="1308" width="7.75" style="255" customWidth="1"/>
    <col min="1309" max="1309" width="7.125" style="255" customWidth="1"/>
    <col min="1310" max="1310" width="12.125" style="255" customWidth="1"/>
    <col min="1311" max="1311" width="8.25" style="255" customWidth="1"/>
    <col min="1312" max="1313" width="10.375" style="255" customWidth="1"/>
    <col min="1314" max="1314" width="15.625" style="255" customWidth="1"/>
    <col min="1315" max="1315" width="15.875" style="255" customWidth="1"/>
    <col min="1316" max="1316" width="8.125" style="255" customWidth="1"/>
    <col min="1317" max="1320" width="10.375" style="255" customWidth="1"/>
    <col min="1321" max="1321" width="7.25" style="255" customWidth="1"/>
    <col min="1322" max="1322" width="7.125" style="255" customWidth="1"/>
    <col min="1323" max="1323" width="9.5" style="255" customWidth="1"/>
    <col min="1324" max="1325" width="9" style="255" customWidth="1"/>
    <col min="1326" max="1326" width="16.125" style="255" customWidth="1"/>
    <col min="1327" max="1357" width="9" style="255" customWidth="1"/>
    <col min="1358" max="1517" width="25.25" style="255"/>
    <col min="1518" max="1547" width="9" style="255" customWidth="1"/>
    <col min="1548" max="1548" width="0.5" style="255" customWidth="1"/>
    <col min="1549" max="1549" width="25.25" style="255"/>
    <col min="1550" max="1550" width="0.5" style="255" customWidth="1"/>
    <col min="1551" max="1551" width="25.25" style="255"/>
    <col min="1552" max="1552" width="14.75" style="255" customWidth="1"/>
    <col min="1553" max="1553" width="11.5" style="255" customWidth="1"/>
    <col min="1554" max="1554" width="11.25" style="255" customWidth="1"/>
    <col min="1555" max="1555" width="10.75" style="255" customWidth="1"/>
    <col min="1556" max="1556" width="10" style="255" customWidth="1"/>
    <col min="1557" max="1557" width="9.875" style="255" customWidth="1"/>
    <col min="1558" max="1558" width="26.125" style="255" customWidth="1"/>
    <col min="1559" max="1559" width="11.125" style="255" customWidth="1"/>
    <col min="1560" max="1560" width="7.875" style="255" customWidth="1"/>
    <col min="1561" max="1561" width="7.25" style="255" customWidth="1"/>
    <col min="1562" max="1562" width="9.125" style="255" customWidth="1"/>
    <col min="1563" max="1563" width="15.125" style="255" customWidth="1"/>
    <col min="1564" max="1564" width="7.75" style="255" customWidth="1"/>
    <col min="1565" max="1565" width="7.125" style="255" customWidth="1"/>
    <col min="1566" max="1566" width="12.125" style="255" customWidth="1"/>
    <col min="1567" max="1567" width="8.25" style="255" customWidth="1"/>
    <col min="1568" max="1569" width="10.375" style="255" customWidth="1"/>
    <col min="1570" max="1570" width="15.625" style="255" customWidth="1"/>
    <col min="1571" max="1571" width="15.875" style="255" customWidth="1"/>
    <col min="1572" max="1572" width="8.125" style="255" customWidth="1"/>
    <col min="1573" max="1576" width="10.375" style="255" customWidth="1"/>
    <col min="1577" max="1577" width="7.25" style="255" customWidth="1"/>
    <col min="1578" max="1578" width="7.125" style="255" customWidth="1"/>
    <col min="1579" max="1579" width="9.5" style="255" customWidth="1"/>
    <col min="1580" max="1581" width="9" style="255" customWidth="1"/>
    <col min="1582" max="1582" width="16.125" style="255" customWidth="1"/>
    <col min="1583" max="1613" width="9" style="255" customWidth="1"/>
    <col min="1614" max="1773" width="25.25" style="255"/>
    <col min="1774" max="1803" width="9" style="255" customWidth="1"/>
    <col min="1804" max="1804" width="0.5" style="255" customWidth="1"/>
    <col min="1805" max="1805" width="25.25" style="255"/>
    <col min="1806" max="1806" width="0.5" style="255" customWidth="1"/>
    <col min="1807" max="1807" width="25.25" style="255"/>
    <col min="1808" max="1808" width="14.75" style="255" customWidth="1"/>
    <col min="1809" max="1809" width="11.5" style="255" customWidth="1"/>
    <col min="1810" max="1810" width="11.25" style="255" customWidth="1"/>
    <col min="1811" max="1811" width="10.75" style="255" customWidth="1"/>
    <col min="1812" max="1812" width="10" style="255" customWidth="1"/>
    <col min="1813" max="1813" width="9.875" style="255" customWidth="1"/>
    <col min="1814" max="1814" width="26.125" style="255" customWidth="1"/>
    <col min="1815" max="1815" width="11.125" style="255" customWidth="1"/>
    <col min="1816" max="1816" width="7.875" style="255" customWidth="1"/>
    <col min="1817" max="1817" width="7.25" style="255" customWidth="1"/>
    <col min="1818" max="1818" width="9.125" style="255" customWidth="1"/>
    <col min="1819" max="1819" width="15.125" style="255" customWidth="1"/>
    <col min="1820" max="1820" width="7.75" style="255" customWidth="1"/>
    <col min="1821" max="1821" width="7.125" style="255" customWidth="1"/>
    <col min="1822" max="1822" width="12.125" style="255" customWidth="1"/>
    <col min="1823" max="1823" width="8.25" style="255" customWidth="1"/>
    <col min="1824" max="1825" width="10.375" style="255" customWidth="1"/>
    <col min="1826" max="1826" width="15.625" style="255" customWidth="1"/>
    <col min="1827" max="1827" width="15.875" style="255" customWidth="1"/>
    <col min="1828" max="1828" width="8.125" style="255" customWidth="1"/>
    <col min="1829" max="1832" width="10.375" style="255" customWidth="1"/>
    <col min="1833" max="1833" width="7.25" style="255" customWidth="1"/>
    <col min="1834" max="1834" width="7.125" style="255" customWidth="1"/>
    <col min="1835" max="1835" width="9.5" style="255" customWidth="1"/>
    <col min="1836" max="1837" width="9" style="255" customWidth="1"/>
    <col min="1838" max="1838" width="16.125" style="255" customWidth="1"/>
    <col min="1839" max="1869" width="9" style="255" customWidth="1"/>
    <col min="1870" max="2029" width="25.25" style="255"/>
    <col min="2030" max="2059" width="9" style="255" customWidth="1"/>
    <col min="2060" max="2060" width="0.5" style="255" customWidth="1"/>
    <col min="2061" max="2061" width="25.25" style="255"/>
    <col min="2062" max="2062" width="0.5" style="255" customWidth="1"/>
    <col min="2063" max="2063" width="25.25" style="255"/>
    <col min="2064" max="2064" width="14.75" style="255" customWidth="1"/>
    <col min="2065" max="2065" width="11.5" style="255" customWidth="1"/>
    <col min="2066" max="2066" width="11.25" style="255" customWidth="1"/>
    <col min="2067" max="2067" width="10.75" style="255" customWidth="1"/>
    <col min="2068" max="2068" width="10" style="255" customWidth="1"/>
    <col min="2069" max="2069" width="9.875" style="255" customWidth="1"/>
    <col min="2070" max="2070" width="26.125" style="255" customWidth="1"/>
    <col min="2071" max="2071" width="11.125" style="255" customWidth="1"/>
    <col min="2072" max="2072" width="7.875" style="255" customWidth="1"/>
    <col min="2073" max="2073" width="7.25" style="255" customWidth="1"/>
    <col min="2074" max="2074" width="9.125" style="255" customWidth="1"/>
    <col min="2075" max="2075" width="15.125" style="255" customWidth="1"/>
    <col min="2076" max="2076" width="7.75" style="255" customWidth="1"/>
    <col min="2077" max="2077" width="7.125" style="255" customWidth="1"/>
    <col min="2078" max="2078" width="12.125" style="255" customWidth="1"/>
    <col min="2079" max="2079" width="8.25" style="255" customWidth="1"/>
    <col min="2080" max="2081" width="10.375" style="255" customWidth="1"/>
    <col min="2082" max="2082" width="15.625" style="255" customWidth="1"/>
    <col min="2083" max="2083" width="15.875" style="255" customWidth="1"/>
    <col min="2084" max="2084" width="8.125" style="255" customWidth="1"/>
    <col min="2085" max="2088" width="10.375" style="255" customWidth="1"/>
    <col min="2089" max="2089" width="7.25" style="255" customWidth="1"/>
    <col min="2090" max="2090" width="7.125" style="255" customWidth="1"/>
    <col min="2091" max="2091" width="9.5" style="255" customWidth="1"/>
    <col min="2092" max="2093" width="9" style="255" customWidth="1"/>
    <col min="2094" max="2094" width="16.125" style="255" customWidth="1"/>
    <col min="2095" max="2125" width="9" style="255" customWidth="1"/>
    <col min="2126" max="2285" width="25.25" style="255"/>
    <col min="2286" max="2315" width="9" style="255" customWidth="1"/>
    <col min="2316" max="2316" width="0.5" style="255" customWidth="1"/>
    <col min="2317" max="2317" width="25.25" style="255"/>
    <col min="2318" max="2318" width="0.5" style="255" customWidth="1"/>
    <col min="2319" max="2319" width="25.25" style="255"/>
    <col min="2320" max="2320" width="14.75" style="255" customWidth="1"/>
    <col min="2321" max="2321" width="11.5" style="255" customWidth="1"/>
    <col min="2322" max="2322" width="11.25" style="255" customWidth="1"/>
    <col min="2323" max="2323" width="10.75" style="255" customWidth="1"/>
    <col min="2324" max="2324" width="10" style="255" customWidth="1"/>
    <col min="2325" max="2325" width="9.875" style="255" customWidth="1"/>
    <col min="2326" max="2326" width="26.125" style="255" customWidth="1"/>
    <col min="2327" max="2327" width="11.125" style="255" customWidth="1"/>
    <col min="2328" max="2328" width="7.875" style="255" customWidth="1"/>
    <col min="2329" max="2329" width="7.25" style="255" customWidth="1"/>
    <col min="2330" max="2330" width="9.125" style="255" customWidth="1"/>
    <col min="2331" max="2331" width="15.125" style="255" customWidth="1"/>
    <col min="2332" max="2332" width="7.75" style="255" customWidth="1"/>
    <col min="2333" max="2333" width="7.125" style="255" customWidth="1"/>
    <col min="2334" max="2334" width="12.125" style="255" customWidth="1"/>
    <col min="2335" max="2335" width="8.25" style="255" customWidth="1"/>
    <col min="2336" max="2337" width="10.375" style="255" customWidth="1"/>
    <col min="2338" max="2338" width="15.625" style="255" customWidth="1"/>
    <col min="2339" max="2339" width="15.875" style="255" customWidth="1"/>
    <col min="2340" max="2340" width="8.125" style="255" customWidth="1"/>
    <col min="2341" max="2344" width="10.375" style="255" customWidth="1"/>
    <col min="2345" max="2345" width="7.25" style="255" customWidth="1"/>
    <col min="2346" max="2346" width="7.125" style="255" customWidth="1"/>
    <col min="2347" max="2347" width="9.5" style="255" customWidth="1"/>
    <col min="2348" max="2349" width="9" style="255" customWidth="1"/>
    <col min="2350" max="2350" width="16.125" style="255" customWidth="1"/>
    <col min="2351" max="2381" width="9" style="255" customWidth="1"/>
    <col min="2382" max="2541" width="25.25" style="255"/>
    <col min="2542" max="2571" width="9" style="255" customWidth="1"/>
    <col min="2572" max="2572" width="0.5" style="255" customWidth="1"/>
    <col min="2573" max="2573" width="25.25" style="255"/>
    <col min="2574" max="2574" width="0.5" style="255" customWidth="1"/>
    <col min="2575" max="2575" width="25.25" style="255"/>
    <col min="2576" max="2576" width="14.75" style="255" customWidth="1"/>
    <col min="2577" max="2577" width="11.5" style="255" customWidth="1"/>
    <col min="2578" max="2578" width="11.25" style="255" customWidth="1"/>
    <col min="2579" max="2579" width="10.75" style="255" customWidth="1"/>
    <col min="2580" max="2580" width="10" style="255" customWidth="1"/>
    <col min="2581" max="2581" width="9.875" style="255" customWidth="1"/>
    <col min="2582" max="2582" width="26.125" style="255" customWidth="1"/>
    <col min="2583" max="2583" width="11.125" style="255" customWidth="1"/>
    <col min="2584" max="2584" width="7.875" style="255" customWidth="1"/>
    <col min="2585" max="2585" width="7.25" style="255" customWidth="1"/>
    <col min="2586" max="2586" width="9.125" style="255" customWidth="1"/>
    <col min="2587" max="2587" width="15.125" style="255" customWidth="1"/>
    <col min="2588" max="2588" width="7.75" style="255" customWidth="1"/>
    <col min="2589" max="2589" width="7.125" style="255" customWidth="1"/>
    <col min="2590" max="2590" width="12.125" style="255" customWidth="1"/>
    <col min="2591" max="2591" width="8.25" style="255" customWidth="1"/>
    <col min="2592" max="2593" width="10.375" style="255" customWidth="1"/>
    <col min="2594" max="2594" width="15.625" style="255" customWidth="1"/>
    <col min="2595" max="2595" width="15.875" style="255" customWidth="1"/>
    <col min="2596" max="2596" width="8.125" style="255" customWidth="1"/>
    <col min="2597" max="2600" width="10.375" style="255" customWidth="1"/>
    <col min="2601" max="2601" width="7.25" style="255" customWidth="1"/>
    <col min="2602" max="2602" width="7.125" style="255" customWidth="1"/>
    <col min="2603" max="2603" width="9.5" style="255" customWidth="1"/>
    <col min="2604" max="2605" width="9" style="255" customWidth="1"/>
    <col min="2606" max="2606" width="16.125" style="255" customWidth="1"/>
    <col min="2607" max="2637" width="9" style="255" customWidth="1"/>
    <col min="2638" max="2797" width="25.25" style="255"/>
    <col min="2798" max="2827" width="9" style="255" customWidth="1"/>
    <col min="2828" max="2828" width="0.5" style="255" customWidth="1"/>
    <col min="2829" max="2829" width="25.25" style="255"/>
    <col min="2830" max="2830" width="0.5" style="255" customWidth="1"/>
    <col min="2831" max="2831" width="25.25" style="255"/>
    <col min="2832" max="2832" width="14.75" style="255" customWidth="1"/>
    <col min="2833" max="2833" width="11.5" style="255" customWidth="1"/>
    <col min="2834" max="2834" width="11.25" style="255" customWidth="1"/>
    <col min="2835" max="2835" width="10.75" style="255" customWidth="1"/>
    <col min="2836" max="2836" width="10" style="255" customWidth="1"/>
    <col min="2837" max="2837" width="9.875" style="255" customWidth="1"/>
    <col min="2838" max="2838" width="26.125" style="255" customWidth="1"/>
    <col min="2839" max="2839" width="11.125" style="255" customWidth="1"/>
    <col min="2840" max="2840" width="7.875" style="255" customWidth="1"/>
    <col min="2841" max="2841" width="7.25" style="255" customWidth="1"/>
    <col min="2842" max="2842" width="9.125" style="255" customWidth="1"/>
    <col min="2843" max="2843" width="15.125" style="255" customWidth="1"/>
    <col min="2844" max="2844" width="7.75" style="255" customWidth="1"/>
    <col min="2845" max="2845" width="7.125" style="255" customWidth="1"/>
    <col min="2846" max="2846" width="12.125" style="255" customWidth="1"/>
    <col min="2847" max="2847" width="8.25" style="255" customWidth="1"/>
    <col min="2848" max="2849" width="10.375" style="255" customWidth="1"/>
    <col min="2850" max="2850" width="15.625" style="255" customWidth="1"/>
    <col min="2851" max="2851" width="15.875" style="255" customWidth="1"/>
    <col min="2852" max="2852" width="8.125" style="255" customWidth="1"/>
    <col min="2853" max="2856" width="10.375" style="255" customWidth="1"/>
    <col min="2857" max="2857" width="7.25" style="255" customWidth="1"/>
    <col min="2858" max="2858" width="7.125" style="255" customWidth="1"/>
    <col min="2859" max="2859" width="9.5" style="255" customWidth="1"/>
    <col min="2860" max="2861" width="9" style="255" customWidth="1"/>
    <col min="2862" max="2862" width="16.125" style="255" customWidth="1"/>
    <col min="2863" max="2893" width="9" style="255" customWidth="1"/>
    <col min="2894" max="3053" width="25.25" style="255"/>
    <col min="3054" max="3083" width="9" style="255" customWidth="1"/>
    <col min="3084" max="3084" width="0.5" style="255" customWidth="1"/>
    <col min="3085" max="3085" width="25.25" style="255"/>
    <col min="3086" max="3086" width="0.5" style="255" customWidth="1"/>
    <col min="3087" max="3087" width="25.25" style="255"/>
    <col min="3088" max="3088" width="14.75" style="255" customWidth="1"/>
    <col min="3089" max="3089" width="11.5" style="255" customWidth="1"/>
    <col min="3090" max="3090" width="11.25" style="255" customWidth="1"/>
    <col min="3091" max="3091" width="10.75" style="255" customWidth="1"/>
    <col min="3092" max="3092" width="10" style="255" customWidth="1"/>
    <col min="3093" max="3093" width="9.875" style="255" customWidth="1"/>
    <col min="3094" max="3094" width="26.125" style="255" customWidth="1"/>
    <col min="3095" max="3095" width="11.125" style="255" customWidth="1"/>
    <col min="3096" max="3096" width="7.875" style="255" customWidth="1"/>
    <col min="3097" max="3097" width="7.25" style="255" customWidth="1"/>
    <col min="3098" max="3098" width="9.125" style="255" customWidth="1"/>
    <col min="3099" max="3099" width="15.125" style="255" customWidth="1"/>
    <col min="3100" max="3100" width="7.75" style="255" customWidth="1"/>
    <col min="3101" max="3101" width="7.125" style="255" customWidth="1"/>
    <col min="3102" max="3102" width="12.125" style="255" customWidth="1"/>
    <col min="3103" max="3103" width="8.25" style="255" customWidth="1"/>
    <col min="3104" max="3105" width="10.375" style="255" customWidth="1"/>
    <col min="3106" max="3106" width="15.625" style="255" customWidth="1"/>
    <col min="3107" max="3107" width="15.875" style="255" customWidth="1"/>
    <col min="3108" max="3108" width="8.125" style="255" customWidth="1"/>
    <col min="3109" max="3112" width="10.375" style="255" customWidth="1"/>
    <col min="3113" max="3113" width="7.25" style="255" customWidth="1"/>
    <col min="3114" max="3114" width="7.125" style="255" customWidth="1"/>
    <col min="3115" max="3115" width="9.5" style="255" customWidth="1"/>
    <col min="3116" max="3117" width="9" style="255" customWidth="1"/>
    <col min="3118" max="3118" width="16.125" style="255" customWidth="1"/>
    <col min="3119" max="3149" width="9" style="255" customWidth="1"/>
    <col min="3150" max="3309" width="25.25" style="255"/>
    <col min="3310" max="3339" width="9" style="255" customWidth="1"/>
    <col min="3340" max="3340" width="0.5" style="255" customWidth="1"/>
    <col min="3341" max="3341" width="25.25" style="255"/>
    <col min="3342" max="3342" width="0.5" style="255" customWidth="1"/>
    <col min="3343" max="3343" width="25.25" style="255"/>
    <col min="3344" max="3344" width="14.75" style="255" customWidth="1"/>
    <col min="3345" max="3345" width="11.5" style="255" customWidth="1"/>
    <col min="3346" max="3346" width="11.25" style="255" customWidth="1"/>
    <col min="3347" max="3347" width="10.75" style="255" customWidth="1"/>
    <col min="3348" max="3348" width="10" style="255" customWidth="1"/>
    <col min="3349" max="3349" width="9.875" style="255" customWidth="1"/>
    <col min="3350" max="3350" width="26.125" style="255" customWidth="1"/>
    <col min="3351" max="3351" width="11.125" style="255" customWidth="1"/>
    <col min="3352" max="3352" width="7.875" style="255" customWidth="1"/>
    <col min="3353" max="3353" width="7.25" style="255" customWidth="1"/>
    <col min="3354" max="3354" width="9.125" style="255" customWidth="1"/>
    <col min="3355" max="3355" width="15.125" style="255" customWidth="1"/>
    <col min="3356" max="3356" width="7.75" style="255" customWidth="1"/>
    <col min="3357" max="3357" width="7.125" style="255" customWidth="1"/>
    <col min="3358" max="3358" width="12.125" style="255" customWidth="1"/>
    <col min="3359" max="3359" width="8.25" style="255" customWidth="1"/>
    <col min="3360" max="3361" width="10.375" style="255" customWidth="1"/>
    <col min="3362" max="3362" width="15.625" style="255" customWidth="1"/>
    <col min="3363" max="3363" width="15.875" style="255" customWidth="1"/>
    <col min="3364" max="3364" width="8.125" style="255" customWidth="1"/>
    <col min="3365" max="3368" width="10.375" style="255" customWidth="1"/>
    <col min="3369" max="3369" width="7.25" style="255" customWidth="1"/>
    <col min="3370" max="3370" width="7.125" style="255" customWidth="1"/>
    <col min="3371" max="3371" width="9.5" style="255" customWidth="1"/>
    <col min="3372" max="3373" width="9" style="255" customWidth="1"/>
    <col min="3374" max="3374" width="16.125" style="255" customWidth="1"/>
    <col min="3375" max="3405" width="9" style="255" customWidth="1"/>
    <col min="3406" max="3565" width="25.25" style="255"/>
    <col min="3566" max="3595" width="9" style="255" customWidth="1"/>
    <col min="3596" max="3596" width="0.5" style="255" customWidth="1"/>
    <col min="3597" max="3597" width="25.25" style="255"/>
    <col min="3598" max="3598" width="0.5" style="255" customWidth="1"/>
    <col min="3599" max="3599" width="25.25" style="255"/>
    <col min="3600" max="3600" width="14.75" style="255" customWidth="1"/>
    <col min="3601" max="3601" width="11.5" style="255" customWidth="1"/>
    <col min="3602" max="3602" width="11.25" style="255" customWidth="1"/>
    <col min="3603" max="3603" width="10.75" style="255" customWidth="1"/>
    <col min="3604" max="3604" width="10" style="255" customWidth="1"/>
    <col min="3605" max="3605" width="9.875" style="255" customWidth="1"/>
    <col min="3606" max="3606" width="26.125" style="255" customWidth="1"/>
    <col min="3607" max="3607" width="11.125" style="255" customWidth="1"/>
    <col min="3608" max="3608" width="7.875" style="255" customWidth="1"/>
    <col min="3609" max="3609" width="7.25" style="255" customWidth="1"/>
    <col min="3610" max="3610" width="9.125" style="255" customWidth="1"/>
    <col min="3611" max="3611" width="15.125" style="255" customWidth="1"/>
    <col min="3612" max="3612" width="7.75" style="255" customWidth="1"/>
    <col min="3613" max="3613" width="7.125" style="255" customWidth="1"/>
    <col min="3614" max="3614" width="12.125" style="255" customWidth="1"/>
    <col min="3615" max="3615" width="8.25" style="255" customWidth="1"/>
    <col min="3616" max="3617" width="10.375" style="255" customWidth="1"/>
    <col min="3618" max="3618" width="15.625" style="255" customWidth="1"/>
    <col min="3619" max="3619" width="15.875" style="255" customWidth="1"/>
    <col min="3620" max="3620" width="8.125" style="255" customWidth="1"/>
    <col min="3621" max="3624" width="10.375" style="255" customWidth="1"/>
    <col min="3625" max="3625" width="7.25" style="255" customWidth="1"/>
    <col min="3626" max="3626" width="7.125" style="255" customWidth="1"/>
    <col min="3627" max="3627" width="9.5" style="255" customWidth="1"/>
    <col min="3628" max="3629" width="9" style="255" customWidth="1"/>
    <col min="3630" max="3630" width="16.125" style="255" customWidth="1"/>
    <col min="3631" max="3661" width="9" style="255" customWidth="1"/>
    <col min="3662" max="3821" width="25.25" style="255"/>
    <col min="3822" max="3851" width="9" style="255" customWidth="1"/>
    <col min="3852" max="3852" width="0.5" style="255" customWidth="1"/>
    <col min="3853" max="3853" width="25.25" style="255"/>
    <col min="3854" max="3854" width="0.5" style="255" customWidth="1"/>
    <col min="3855" max="3855" width="25.25" style="255"/>
    <col min="3856" max="3856" width="14.75" style="255" customWidth="1"/>
    <col min="3857" max="3857" width="11.5" style="255" customWidth="1"/>
    <col min="3858" max="3858" width="11.25" style="255" customWidth="1"/>
    <col min="3859" max="3859" width="10.75" style="255" customWidth="1"/>
    <col min="3860" max="3860" width="10" style="255" customWidth="1"/>
    <col min="3861" max="3861" width="9.875" style="255" customWidth="1"/>
    <col min="3862" max="3862" width="26.125" style="255" customWidth="1"/>
    <col min="3863" max="3863" width="11.125" style="255" customWidth="1"/>
    <col min="3864" max="3864" width="7.875" style="255" customWidth="1"/>
    <col min="3865" max="3865" width="7.25" style="255" customWidth="1"/>
    <col min="3866" max="3866" width="9.125" style="255" customWidth="1"/>
    <col min="3867" max="3867" width="15.125" style="255" customWidth="1"/>
    <col min="3868" max="3868" width="7.75" style="255" customWidth="1"/>
    <col min="3869" max="3869" width="7.125" style="255" customWidth="1"/>
    <col min="3870" max="3870" width="12.125" style="255" customWidth="1"/>
    <col min="3871" max="3871" width="8.25" style="255" customWidth="1"/>
    <col min="3872" max="3873" width="10.375" style="255" customWidth="1"/>
    <col min="3874" max="3874" width="15.625" style="255" customWidth="1"/>
    <col min="3875" max="3875" width="15.875" style="255" customWidth="1"/>
    <col min="3876" max="3876" width="8.125" style="255" customWidth="1"/>
    <col min="3877" max="3880" width="10.375" style="255" customWidth="1"/>
    <col min="3881" max="3881" width="7.25" style="255" customWidth="1"/>
    <col min="3882" max="3882" width="7.125" style="255" customWidth="1"/>
    <col min="3883" max="3883" width="9.5" style="255" customWidth="1"/>
    <col min="3884" max="3885" width="9" style="255" customWidth="1"/>
    <col min="3886" max="3886" width="16.125" style="255" customWidth="1"/>
    <col min="3887" max="3917" width="9" style="255" customWidth="1"/>
    <col min="3918" max="4077" width="25.25" style="255"/>
    <col min="4078" max="4107" width="9" style="255" customWidth="1"/>
    <col min="4108" max="4108" width="0.5" style="255" customWidth="1"/>
    <col min="4109" max="4109" width="25.25" style="255"/>
    <col min="4110" max="4110" width="0.5" style="255" customWidth="1"/>
    <col min="4111" max="4111" width="25.25" style="255"/>
    <col min="4112" max="4112" width="14.75" style="255" customWidth="1"/>
    <col min="4113" max="4113" width="11.5" style="255" customWidth="1"/>
    <col min="4114" max="4114" width="11.25" style="255" customWidth="1"/>
    <col min="4115" max="4115" width="10.75" style="255" customWidth="1"/>
    <col min="4116" max="4116" width="10" style="255" customWidth="1"/>
    <col min="4117" max="4117" width="9.875" style="255" customWidth="1"/>
    <col min="4118" max="4118" width="26.125" style="255" customWidth="1"/>
    <col min="4119" max="4119" width="11.125" style="255" customWidth="1"/>
    <col min="4120" max="4120" width="7.875" style="255" customWidth="1"/>
    <col min="4121" max="4121" width="7.25" style="255" customWidth="1"/>
    <col min="4122" max="4122" width="9.125" style="255" customWidth="1"/>
    <col min="4123" max="4123" width="15.125" style="255" customWidth="1"/>
    <col min="4124" max="4124" width="7.75" style="255" customWidth="1"/>
    <col min="4125" max="4125" width="7.125" style="255" customWidth="1"/>
    <col min="4126" max="4126" width="12.125" style="255" customWidth="1"/>
    <col min="4127" max="4127" width="8.25" style="255" customWidth="1"/>
    <col min="4128" max="4129" width="10.375" style="255" customWidth="1"/>
    <col min="4130" max="4130" width="15.625" style="255" customWidth="1"/>
    <col min="4131" max="4131" width="15.875" style="255" customWidth="1"/>
    <col min="4132" max="4132" width="8.125" style="255" customWidth="1"/>
    <col min="4133" max="4136" width="10.375" style="255" customWidth="1"/>
    <col min="4137" max="4137" width="7.25" style="255" customWidth="1"/>
    <col min="4138" max="4138" width="7.125" style="255" customWidth="1"/>
    <col min="4139" max="4139" width="9.5" style="255" customWidth="1"/>
    <col min="4140" max="4141" width="9" style="255" customWidth="1"/>
    <col min="4142" max="4142" width="16.125" style="255" customWidth="1"/>
    <col min="4143" max="4173" width="9" style="255" customWidth="1"/>
    <col min="4174" max="4333" width="25.25" style="255"/>
    <col min="4334" max="4363" width="9" style="255" customWidth="1"/>
    <col min="4364" max="4364" width="0.5" style="255" customWidth="1"/>
    <col min="4365" max="4365" width="25.25" style="255"/>
    <col min="4366" max="4366" width="0.5" style="255" customWidth="1"/>
    <col min="4367" max="4367" width="25.25" style="255"/>
    <col min="4368" max="4368" width="14.75" style="255" customWidth="1"/>
    <col min="4369" max="4369" width="11.5" style="255" customWidth="1"/>
    <col min="4370" max="4370" width="11.25" style="255" customWidth="1"/>
    <col min="4371" max="4371" width="10.75" style="255" customWidth="1"/>
    <col min="4372" max="4372" width="10" style="255" customWidth="1"/>
    <col min="4373" max="4373" width="9.875" style="255" customWidth="1"/>
    <col min="4374" max="4374" width="26.125" style="255" customWidth="1"/>
    <col min="4375" max="4375" width="11.125" style="255" customWidth="1"/>
    <col min="4376" max="4376" width="7.875" style="255" customWidth="1"/>
    <col min="4377" max="4377" width="7.25" style="255" customWidth="1"/>
    <col min="4378" max="4378" width="9.125" style="255" customWidth="1"/>
    <col min="4379" max="4379" width="15.125" style="255" customWidth="1"/>
    <col min="4380" max="4380" width="7.75" style="255" customWidth="1"/>
    <col min="4381" max="4381" width="7.125" style="255" customWidth="1"/>
    <col min="4382" max="4382" width="12.125" style="255" customWidth="1"/>
    <col min="4383" max="4383" width="8.25" style="255" customWidth="1"/>
    <col min="4384" max="4385" width="10.375" style="255" customWidth="1"/>
    <col min="4386" max="4386" width="15.625" style="255" customWidth="1"/>
    <col min="4387" max="4387" width="15.875" style="255" customWidth="1"/>
    <col min="4388" max="4388" width="8.125" style="255" customWidth="1"/>
    <col min="4389" max="4392" width="10.375" style="255" customWidth="1"/>
    <col min="4393" max="4393" width="7.25" style="255" customWidth="1"/>
    <col min="4394" max="4394" width="7.125" style="255" customWidth="1"/>
    <col min="4395" max="4395" width="9.5" style="255" customWidth="1"/>
    <col min="4396" max="4397" width="9" style="255" customWidth="1"/>
    <col min="4398" max="4398" width="16.125" style="255" customWidth="1"/>
    <col min="4399" max="4429" width="9" style="255" customWidth="1"/>
    <col min="4430" max="4589" width="25.25" style="255"/>
    <col min="4590" max="4619" width="9" style="255" customWidth="1"/>
    <col min="4620" max="4620" width="0.5" style="255" customWidth="1"/>
    <col min="4621" max="4621" width="25.25" style="255"/>
    <col min="4622" max="4622" width="0.5" style="255" customWidth="1"/>
    <col min="4623" max="4623" width="25.25" style="255"/>
    <col min="4624" max="4624" width="14.75" style="255" customWidth="1"/>
    <col min="4625" max="4625" width="11.5" style="255" customWidth="1"/>
    <col min="4626" max="4626" width="11.25" style="255" customWidth="1"/>
    <col min="4627" max="4627" width="10.75" style="255" customWidth="1"/>
    <col min="4628" max="4628" width="10" style="255" customWidth="1"/>
    <col min="4629" max="4629" width="9.875" style="255" customWidth="1"/>
    <col min="4630" max="4630" width="26.125" style="255" customWidth="1"/>
    <col min="4631" max="4631" width="11.125" style="255" customWidth="1"/>
    <col min="4632" max="4632" width="7.875" style="255" customWidth="1"/>
    <col min="4633" max="4633" width="7.25" style="255" customWidth="1"/>
    <col min="4634" max="4634" width="9.125" style="255" customWidth="1"/>
    <col min="4635" max="4635" width="15.125" style="255" customWidth="1"/>
    <col min="4636" max="4636" width="7.75" style="255" customWidth="1"/>
    <col min="4637" max="4637" width="7.125" style="255" customWidth="1"/>
    <col min="4638" max="4638" width="12.125" style="255" customWidth="1"/>
    <col min="4639" max="4639" width="8.25" style="255" customWidth="1"/>
    <col min="4640" max="4641" width="10.375" style="255" customWidth="1"/>
    <col min="4642" max="4642" width="15.625" style="255" customWidth="1"/>
    <col min="4643" max="4643" width="15.875" style="255" customWidth="1"/>
    <col min="4644" max="4644" width="8.125" style="255" customWidth="1"/>
    <col min="4645" max="4648" width="10.375" style="255" customWidth="1"/>
    <col min="4649" max="4649" width="7.25" style="255" customWidth="1"/>
    <col min="4650" max="4650" width="7.125" style="255" customWidth="1"/>
    <col min="4651" max="4651" width="9.5" style="255" customWidth="1"/>
    <col min="4652" max="4653" width="9" style="255" customWidth="1"/>
    <col min="4654" max="4654" width="16.125" style="255" customWidth="1"/>
    <col min="4655" max="4685" width="9" style="255" customWidth="1"/>
    <col min="4686" max="4845" width="25.25" style="255"/>
    <col min="4846" max="4875" width="9" style="255" customWidth="1"/>
    <col min="4876" max="4876" width="0.5" style="255" customWidth="1"/>
    <col min="4877" max="4877" width="25.25" style="255"/>
    <col min="4878" max="4878" width="0.5" style="255" customWidth="1"/>
    <col min="4879" max="4879" width="25.25" style="255"/>
    <col min="4880" max="4880" width="14.75" style="255" customWidth="1"/>
    <col min="4881" max="4881" width="11.5" style="255" customWidth="1"/>
    <col min="4882" max="4882" width="11.25" style="255" customWidth="1"/>
    <col min="4883" max="4883" width="10.75" style="255" customWidth="1"/>
    <col min="4884" max="4884" width="10" style="255" customWidth="1"/>
    <col min="4885" max="4885" width="9.875" style="255" customWidth="1"/>
    <col min="4886" max="4886" width="26.125" style="255" customWidth="1"/>
    <col min="4887" max="4887" width="11.125" style="255" customWidth="1"/>
    <col min="4888" max="4888" width="7.875" style="255" customWidth="1"/>
    <col min="4889" max="4889" width="7.25" style="255" customWidth="1"/>
    <col min="4890" max="4890" width="9.125" style="255" customWidth="1"/>
    <col min="4891" max="4891" width="15.125" style="255" customWidth="1"/>
    <col min="4892" max="4892" width="7.75" style="255" customWidth="1"/>
    <col min="4893" max="4893" width="7.125" style="255" customWidth="1"/>
    <col min="4894" max="4894" width="12.125" style="255" customWidth="1"/>
    <col min="4895" max="4895" width="8.25" style="255" customWidth="1"/>
    <col min="4896" max="4897" width="10.375" style="255" customWidth="1"/>
    <col min="4898" max="4898" width="15.625" style="255" customWidth="1"/>
    <col min="4899" max="4899" width="15.875" style="255" customWidth="1"/>
    <col min="4900" max="4900" width="8.125" style="255" customWidth="1"/>
    <col min="4901" max="4904" width="10.375" style="255" customWidth="1"/>
    <col min="4905" max="4905" width="7.25" style="255" customWidth="1"/>
    <col min="4906" max="4906" width="7.125" style="255" customWidth="1"/>
    <col min="4907" max="4907" width="9.5" style="255" customWidth="1"/>
    <col min="4908" max="4909" width="9" style="255" customWidth="1"/>
    <col min="4910" max="4910" width="16.125" style="255" customWidth="1"/>
    <col min="4911" max="4941" width="9" style="255" customWidth="1"/>
    <col min="4942" max="5101" width="25.25" style="255"/>
    <col min="5102" max="5131" width="9" style="255" customWidth="1"/>
    <col min="5132" max="5132" width="0.5" style="255" customWidth="1"/>
    <col min="5133" max="5133" width="25.25" style="255"/>
    <col min="5134" max="5134" width="0.5" style="255" customWidth="1"/>
    <col min="5135" max="5135" width="25.25" style="255"/>
    <col min="5136" max="5136" width="14.75" style="255" customWidth="1"/>
    <col min="5137" max="5137" width="11.5" style="255" customWidth="1"/>
    <col min="5138" max="5138" width="11.25" style="255" customWidth="1"/>
    <col min="5139" max="5139" width="10.75" style="255" customWidth="1"/>
    <col min="5140" max="5140" width="10" style="255" customWidth="1"/>
    <col min="5141" max="5141" width="9.875" style="255" customWidth="1"/>
    <col min="5142" max="5142" width="26.125" style="255" customWidth="1"/>
    <col min="5143" max="5143" width="11.125" style="255" customWidth="1"/>
    <col min="5144" max="5144" width="7.875" style="255" customWidth="1"/>
    <col min="5145" max="5145" width="7.25" style="255" customWidth="1"/>
    <col min="5146" max="5146" width="9.125" style="255" customWidth="1"/>
    <col min="5147" max="5147" width="15.125" style="255" customWidth="1"/>
    <col min="5148" max="5148" width="7.75" style="255" customWidth="1"/>
    <col min="5149" max="5149" width="7.125" style="255" customWidth="1"/>
    <col min="5150" max="5150" width="12.125" style="255" customWidth="1"/>
    <col min="5151" max="5151" width="8.25" style="255" customWidth="1"/>
    <col min="5152" max="5153" width="10.375" style="255" customWidth="1"/>
    <col min="5154" max="5154" width="15.625" style="255" customWidth="1"/>
    <col min="5155" max="5155" width="15.875" style="255" customWidth="1"/>
    <col min="5156" max="5156" width="8.125" style="255" customWidth="1"/>
    <col min="5157" max="5160" width="10.375" style="255" customWidth="1"/>
    <col min="5161" max="5161" width="7.25" style="255" customWidth="1"/>
    <col min="5162" max="5162" width="7.125" style="255" customWidth="1"/>
    <col min="5163" max="5163" width="9.5" style="255" customWidth="1"/>
    <col min="5164" max="5165" width="9" style="255" customWidth="1"/>
    <col min="5166" max="5166" width="16.125" style="255" customWidth="1"/>
    <col min="5167" max="5197" width="9" style="255" customWidth="1"/>
    <col min="5198" max="5357" width="25.25" style="255"/>
    <col min="5358" max="5387" width="9" style="255" customWidth="1"/>
    <col min="5388" max="5388" width="0.5" style="255" customWidth="1"/>
    <col min="5389" max="5389" width="25.25" style="255"/>
    <col min="5390" max="5390" width="0.5" style="255" customWidth="1"/>
    <col min="5391" max="5391" width="25.25" style="255"/>
    <col min="5392" max="5392" width="14.75" style="255" customWidth="1"/>
    <col min="5393" max="5393" width="11.5" style="255" customWidth="1"/>
    <col min="5394" max="5394" width="11.25" style="255" customWidth="1"/>
    <col min="5395" max="5395" width="10.75" style="255" customWidth="1"/>
    <col min="5396" max="5396" width="10" style="255" customWidth="1"/>
    <col min="5397" max="5397" width="9.875" style="255" customWidth="1"/>
    <col min="5398" max="5398" width="26.125" style="255" customWidth="1"/>
    <col min="5399" max="5399" width="11.125" style="255" customWidth="1"/>
    <col min="5400" max="5400" width="7.875" style="255" customWidth="1"/>
    <col min="5401" max="5401" width="7.25" style="255" customWidth="1"/>
    <col min="5402" max="5402" width="9.125" style="255" customWidth="1"/>
    <col min="5403" max="5403" width="15.125" style="255" customWidth="1"/>
    <col min="5404" max="5404" width="7.75" style="255" customWidth="1"/>
    <col min="5405" max="5405" width="7.125" style="255" customWidth="1"/>
    <col min="5406" max="5406" width="12.125" style="255" customWidth="1"/>
    <col min="5407" max="5407" width="8.25" style="255" customWidth="1"/>
    <col min="5408" max="5409" width="10.375" style="255" customWidth="1"/>
    <col min="5410" max="5410" width="15.625" style="255" customWidth="1"/>
    <col min="5411" max="5411" width="15.875" style="255" customWidth="1"/>
    <col min="5412" max="5412" width="8.125" style="255" customWidth="1"/>
    <col min="5413" max="5416" width="10.375" style="255" customWidth="1"/>
    <col min="5417" max="5417" width="7.25" style="255" customWidth="1"/>
    <col min="5418" max="5418" width="7.125" style="255" customWidth="1"/>
    <col min="5419" max="5419" width="9.5" style="255" customWidth="1"/>
    <col min="5420" max="5421" width="9" style="255" customWidth="1"/>
    <col min="5422" max="5422" width="16.125" style="255" customWidth="1"/>
    <col min="5423" max="5453" width="9" style="255" customWidth="1"/>
    <col min="5454" max="5613" width="25.25" style="255"/>
    <col min="5614" max="5643" width="9" style="255" customWidth="1"/>
    <col min="5644" max="5644" width="0.5" style="255" customWidth="1"/>
    <col min="5645" max="5645" width="25.25" style="255"/>
    <col min="5646" max="5646" width="0.5" style="255" customWidth="1"/>
    <col min="5647" max="5647" width="25.25" style="255"/>
    <col min="5648" max="5648" width="14.75" style="255" customWidth="1"/>
    <col min="5649" max="5649" width="11.5" style="255" customWidth="1"/>
    <col min="5650" max="5650" width="11.25" style="255" customWidth="1"/>
    <col min="5651" max="5651" width="10.75" style="255" customWidth="1"/>
    <col min="5652" max="5652" width="10" style="255" customWidth="1"/>
    <col min="5653" max="5653" width="9.875" style="255" customWidth="1"/>
    <col min="5654" max="5654" width="26.125" style="255" customWidth="1"/>
    <col min="5655" max="5655" width="11.125" style="255" customWidth="1"/>
    <col min="5656" max="5656" width="7.875" style="255" customWidth="1"/>
    <col min="5657" max="5657" width="7.25" style="255" customWidth="1"/>
    <col min="5658" max="5658" width="9.125" style="255" customWidth="1"/>
    <col min="5659" max="5659" width="15.125" style="255" customWidth="1"/>
    <col min="5660" max="5660" width="7.75" style="255" customWidth="1"/>
    <col min="5661" max="5661" width="7.125" style="255" customWidth="1"/>
    <col min="5662" max="5662" width="12.125" style="255" customWidth="1"/>
    <col min="5663" max="5663" width="8.25" style="255" customWidth="1"/>
    <col min="5664" max="5665" width="10.375" style="255" customWidth="1"/>
    <col min="5666" max="5666" width="15.625" style="255" customWidth="1"/>
    <col min="5667" max="5667" width="15.875" style="255" customWidth="1"/>
    <col min="5668" max="5668" width="8.125" style="255" customWidth="1"/>
    <col min="5669" max="5672" width="10.375" style="255" customWidth="1"/>
    <col min="5673" max="5673" width="7.25" style="255" customWidth="1"/>
    <col min="5674" max="5674" width="7.125" style="255" customWidth="1"/>
    <col min="5675" max="5675" width="9.5" style="255" customWidth="1"/>
    <col min="5676" max="5677" width="9" style="255" customWidth="1"/>
    <col min="5678" max="5678" width="16.125" style="255" customWidth="1"/>
    <col min="5679" max="5709" width="9" style="255" customWidth="1"/>
    <col min="5710" max="5869" width="25.25" style="255"/>
    <col min="5870" max="5899" width="9" style="255" customWidth="1"/>
    <col min="5900" max="5900" width="0.5" style="255" customWidth="1"/>
    <col min="5901" max="5901" width="25.25" style="255"/>
    <col min="5902" max="5902" width="0.5" style="255" customWidth="1"/>
    <col min="5903" max="5903" width="25.25" style="255"/>
    <col min="5904" max="5904" width="14.75" style="255" customWidth="1"/>
    <col min="5905" max="5905" width="11.5" style="255" customWidth="1"/>
    <col min="5906" max="5906" width="11.25" style="255" customWidth="1"/>
    <col min="5907" max="5907" width="10.75" style="255" customWidth="1"/>
    <col min="5908" max="5908" width="10" style="255" customWidth="1"/>
    <col min="5909" max="5909" width="9.875" style="255" customWidth="1"/>
    <col min="5910" max="5910" width="26.125" style="255" customWidth="1"/>
    <col min="5911" max="5911" width="11.125" style="255" customWidth="1"/>
    <col min="5912" max="5912" width="7.875" style="255" customWidth="1"/>
    <col min="5913" max="5913" width="7.25" style="255" customWidth="1"/>
    <col min="5914" max="5914" width="9.125" style="255" customWidth="1"/>
    <col min="5915" max="5915" width="15.125" style="255" customWidth="1"/>
    <col min="5916" max="5916" width="7.75" style="255" customWidth="1"/>
    <col min="5917" max="5917" width="7.125" style="255" customWidth="1"/>
    <col min="5918" max="5918" width="12.125" style="255" customWidth="1"/>
    <col min="5919" max="5919" width="8.25" style="255" customWidth="1"/>
    <col min="5920" max="5921" width="10.375" style="255" customWidth="1"/>
    <col min="5922" max="5922" width="15.625" style="255" customWidth="1"/>
    <col min="5923" max="5923" width="15.875" style="255" customWidth="1"/>
    <col min="5924" max="5924" width="8.125" style="255" customWidth="1"/>
    <col min="5925" max="5928" width="10.375" style="255" customWidth="1"/>
    <col min="5929" max="5929" width="7.25" style="255" customWidth="1"/>
    <col min="5930" max="5930" width="7.125" style="255" customWidth="1"/>
    <col min="5931" max="5931" width="9.5" style="255" customWidth="1"/>
    <col min="5932" max="5933" width="9" style="255" customWidth="1"/>
    <col min="5934" max="5934" width="16.125" style="255" customWidth="1"/>
    <col min="5935" max="5965" width="9" style="255" customWidth="1"/>
    <col min="5966" max="6125" width="25.25" style="255"/>
    <col min="6126" max="6155" width="9" style="255" customWidth="1"/>
    <col min="6156" max="6156" width="0.5" style="255" customWidth="1"/>
    <col min="6157" max="6157" width="25.25" style="255"/>
    <col min="6158" max="6158" width="0.5" style="255" customWidth="1"/>
    <col min="6159" max="6159" width="25.25" style="255"/>
    <col min="6160" max="6160" width="14.75" style="255" customWidth="1"/>
    <col min="6161" max="6161" width="11.5" style="255" customWidth="1"/>
    <col min="6162" max="6162" width="11.25" style="255" customWidth="1"/>
    <col min="6163" max="6163" width="10.75" style="255" customWidth="1"/>
    <col min="6164" max="6164" width="10" style="255" customWidth="1"/>
    <col min="6165" max="6165" width="9.875" style="255" customWidth="1"/>
    <col min="6166" max="6166" width="26.125" style="255" customWidth="1"/>
    <col min="6167" max="6167" width="11.125" style="255" customWidth="1"/>
    <col min="6168" max="6168" width="7.875" style="255" customWidth="1"/>
    <col min="6169" max="6169" width="7.25" style="255" customWidth="1"/>
    <col min="6170" max="6170" width="9.125" style="255" customWidth="1"/>
    <col min="6171" max="6171" width="15.125" style="255" customWidth="1"/>
    <col min="6172" max="6172" width="7.75" style="255" customWidth="1"/>
    <col min="6173" max="6173" width="7.125" style="255" customWidth="1"/>
    <col min="6174" max="6174" width="12.125" style="255" customWidth="1"/>
    <col min="6175" max="6175" width="8.25" style="255" customWidth="1"/>
    <col min="6176" max="6177" width="10.375" style="255" customWidth="1"/>
    <col min="6178" max="6178" width="15.625" style="255" customWidth="1"/>
    <col min="6179" max="6179" width="15.875" style="255" customWidth="1"/>
    <col min="6180" max="6180" width="8.125" style="255" customWidth="1"/>
    <col min="6181" max="6184" width="10.375" style="255" customWidth="1"/>
    <col min="6185" max="6185" width="7.25" style="255" customWidth="1"/>
    <col min="6186" max="6186" width="7.125" style="255" customWidth="1"/>
    <col min="6187" max="6187" width="9.5" style="255" customWidth="1"/>
    <col min="6188" max="6189" width="9" style="255" customWidth="1"/>
    <col min="6190" max="6190" width="16.125" style="255" customWidth="1"/>
    <col min="6191" max="6221" width="9" style="255" customWidth="1"/>
    <col min="6222" max="6381" width="25.25" style="255"/>
    <col min="6382" max="6411" width="9" style="255" customWidth="1"/>
    <col min="6412" max="6412" width="0.5" style="255" customWidth="1"/>
    <col min="6413" max="6413" width="25.25" style="255"/>
    <col min="6414" max="6414" width="0.5" style="255" customWidth="1"/>
    <col min="6415" max="6415" width="25.25" style="255"/>
    <col min="6416" max="6416" width="14.75" style="255" customWidth="1"/>
    <col min="6417" max="6417" width="11.5" style="255" customWidth="1"/>
    <col min="6418" max="6418" width="11.25" style="255" customWidth="1"/>
    <col min="6419" max="6419" width="10.75" style="255" customWidth="1"/>
    <col min="6420" max="6420" width="10" style="255" customWidth="1"/>
    <col min="6421" max="6421" width="9.875" style="255" customWidth="1"/>
    <col min="6422" max="6422" width="26.125" style="255" customWidth="1"/>
    <col min="6423" max="6423" width="11.125" style="255" customWidth="1"/>
    <col min="6424" max="6424" width="7.875" style="255" customWidth="1"/>
    <col min="6425" max="6425" width="7.25" style="255" customWidth="1"/>
    <col min="6426" max="6426" width="9.125" style="255" customWidth="1"/>
    <col min="6427" max="6427" width="15.125" style="255" customWidth="1"/>
    <col min="6428" max="6428" width="7.75" style="255" customWidth="1"/>
    <col min="6429" max="6429" width="7.125" style="255" customWidth="1"/>
    <col min="6430" max="6430" width="12.125" style="255" customWidth="1"/>
    <col min="6431" max="6431" width="8.25" style="255" customWidth="1"/>
    <col min="6432" max="6433" width="10.375" style="255" customWidth="1"/>
    <col min="6434" max="6434" width="15.625" style="255" customWidth="1"/>
    <col min="6435" max="6435" width="15.875" style="255" customWidth="1"/>
    <col min="6436" max="6436" width="8.125" style="255" customWidth="1"/>
    <col min="6437" max="6440" width="10.375" style="255" customWidth="1"/>
    <col min="6441" max="6441" width="7.25" style="255" customWidth="1"/>
    <col min="6442" max="6442" width="7.125" style="255" customWidth="1"/>
    <col min="6443" max="6443" width="9.5" style="255" customWidth="1"/>
    <col min="6444" max="6445" width="9" style="255" customWidth="1"/>
    <col min="6446" max="6446" width="16.125" style="255" customWidth="1"/>
    <col min="6447" max="6477" width="9" style="255" customWidth="1"/>
    <col min="6478" max="6637" width="25.25" style="255"/>
    <col min="6638" max="6667" width="9" style="255" customWidth="1"/>
    <col min="6668" max="6668" width="0.5" style="255" customWidth="1"/>
    <col min="6669" max="6669" width="25.25" style="255"/>
    <col min="6670" max="6670" width="0.5" style="255" customWidth="1"/>
    <col min="6671" max="6671" width="25.25" style="255"/>
    <col min="6672" max="6672" width="14.75" style="255" customWidth="1"/>
    <col min="6673" max="6673" width="11.5" style="255" customWidth="1"/>
    <col min="6674" max="6674" width="11.25" style="255" customWidth="1"/>
    <col min="6675" max="6675" width="10.75" style="255" customWidth="1"/>
    <col min="6676" max="6676" width="10" style="255" customWidth="1"/>
    <col min="6677" max="6677" width="9.875" style="255" customWidth="1"/>
    <col min="6678" max="6678" width="26.125" style="255" customWidth="1"/>
    <col min="6679" max="6679" width="11.125" style="255" customWidth="1"/>
    <col min="6680" max="6680" width="7.875" style="255" customWidth="1"/>
    <col min="6681" max="6681" width="7.25" style="255" customWidth="1"/>
    <col min="6682" max="6682" width="9.125" style="255" customWidth="1"/>
    <col min="6683" max="6683" width="15.125" style="255" customWidth="1"/>
    <col min="6684" max="6684" width="7.75" style="255" customWidth="1"/>
    <col min="6685" max="6685" width="7.125" style="255" customWidth="1"/>
    <col min="6686" max="6686" width="12.125" style="255" customWidth="1"/>
    <col min="6687" max="6687" width="8.25" style="255" customWidth="1"/>
    <col min="6688" max="6689" width="10.375" style="255" customWidth="1"/>
    <col min="6690" max="6690" width="15.625" style="255" customWidth="1"/>
    <col min="6691" max="6691" width="15.875" style="255" customWidth="1"/>
    <col min="6692" max="6692" width="8.125" style="255" customWidth="1"/>
    <col min="6693" max="6696" width="10.375" style="255" customWidth="1"/>
    <col min="6697" max="6697" width="7.25" style="255" customWidth="1"/>
    <col min="6698" max="6698" width="7.125" style="255" customWidth="1"/>
    <col min="6699" max="6699" width="9.5" style="255" customWidth="1"/>
    <col min="6700" max="6701" width="9" style="255" customWidth="1"/>
    <col min="6702" max="6702" width="16.125" style="255" customWidth="1"/>
    <col min="6703" max="6733" width="9" style="255" customWidth="1"/>
    <col min="6734" max="6893" width="25.25" style="255"/>
    <col min="6894" max="6923" width="9" style="255" customWidth="1"/>
    <col min="6924" max="6924" width="0.5" style="255" customWidth="1"/>
    <col min="6925" max="6925" width="25.25" style="255"/>
    <col min="6926" max="6926" width="0.5" style="255" customWidth="1"/>
    <col min="6927" max="6927" width="25.25" style="255"/>
    <col min="6928" max="6928" width="14.75" style="255" customWidth="1"/>
    <col min="6929" max="6929" width="11.5" style="255" customWidth="1"/>
    <col min="6930" max="6930" width="11.25" style="255" customWidth="1"/>
    <col min="6931" max="6931" width="10.75" style="255" customWidth="1"/>
    <col min="6932" max="6932" width="10" style="255" customWidth="1"/>
    <col min="6933" max="6933" width="9.875" style="255" customWidth="1"/>
    <col min="6934" max="6934" width="26.125" style="255" customWidth="1"/>
    <col min="6935" max="6935" width="11.125" style="255" customWidth="1"/>
    <col min="6936" max="6936" width="7.875" style="255" customWidth="1"/>
    <col min="6937" max="6937" width="7.25" style="255" customWidth="1"/>
    <col min="6938" max="6938" width="9.125" style="255" customWidth="1"/>
    <col min="6939" max="6939" width="15.125" style="255" customWidth="1"/>
    <col min="6940" max="6940" width="7.75" style="255" customWidth="1"/>
    <col min="6941" max="6941" width="7.125" style="255" customWidth="1"/>
    <col min="6942" max="6942" width="12.125" style="255" customWidth="1"/>
    <col min="6943" max="6943" width="8.25" style="255" customWidth="1"/>
    <col min="6944" max="6945" width="10.375" style="255" customWidth="1"/>
    <col min="6946" max="6946" width="15.625" style="255" customWidth="1"/>
    <col min="6947" max="6947" width="15.875" style="255" customWidth="1"/>
    <col min="6948" max="6948" width="8.125" style="255" customWidth="1"/>
    <col min="6949" max="6952" width="10.375" style="255" customWidth="1"/>
    <col min="6953" max="6953" width="7.25" style="255" customWidth="1"/>
    <col min="6954" max="6954" width="7.125" style="255" customWidth="1"/>
    <col min="6955" max="6955" width="9.5" style="255" customWidth="1"/>
    <col min="6956" max="6957" width="9" style="255" customWidth="1"/>
    <col min="6958" max="6958" width="16.125" style="255" customWidth="1"/>
    <col min="6959" max="6989" width="9" style="255" customWidth="1"/>
    <col min="6990" max="7149" width="25.25" style="255"/>
    <col min="7150" max="7179" width="9" style="255" customWidth="1"/>
    <col min="7180" max="7180" width="0.5" style="255" customWidth="1"/>
    <col min="7181" max="7181" width="25.25" style="255"/>
    <col min="7182" max="7182" width="0.5" style="255" customWidth="1"/>
    <col min="7183" max="7183" width="25.25" style="255"/>
    <col min="7184" max="7184" width="14.75" style="255" customWidth="1"/>
    <col min="7185" max="7185" width="11.5" style="255" customWidth="1"/>
    <col min="7186" max="7186" width="11.25" style="255" customWidth="1"/>
    <col min="7187" max="7187" width="10.75" style="255" customWidth="1"/>
    <col min="7188" max="7188" width="10" style="255" customWidth="1"/>
    <col min="7189" max="7189" width="9.875" style="255" customWidth="1"/>
    <col min="7190" max="7190" width="26.125" style="255" customWidth="1"/>
    <col min="7191" max="7191" width="11.125" style="255" customWidth="1"/>
    <col min="7192" max="7192" width="7.875" style="255" customWidth="1"/>
    <col min="7193" max="7193" width="7.25" style="255" customWidth="1"/>
    <col min="7194" max="7194" width="9.125" style="255" customWidth="1"/>
    <col min="7195" max="7195" width="15.125" style="255" customWidth="1"/>
    <col min="7196" max="7196" width="7.75" style="255" customWidth="1"/>
    <col min="7197" max="7197" width="7.125" style="255" customWidth="1"/>
    <col min="7198" max="7198" width="12.125" style="255" customWidth="1"/>
    <col min="7199" max="7199" width="8.25" style="255" customWidth="1"/>
    <col min="7200" max="7201" width="10.375" style="255" customWidth="1"/>
    <col min="7202" max="7202" width="15.625" style="255" customWidth="1"/>
    <col min="7203" max="7203" width="15.875" style="255" customWidth="1"/>
    <col min="7204" max="7204" width="8.125" style="255" customWidth="1"/>
    <col min="7205" max="7208" width="10.375" style="255" customWidth="1"/>
    <col min="7209" max="7209" width="7.25" style="255" customWidth="1"/>
    <col min="7210" max="7210" width="7.125" style="255" customWidth="1"/>
    <col min="7211" max="7211" width="9.5" style="255" customWidth="1"/>
    <col min="7212" max="7213" width="9" style="255" customWidth="1"/>
    <col min="7214" max="7214" width="16.125" style="255" customWidth="1"/>
    <col min="7215" max="7245" width="9" style="255" customWidth="1"/>
    <col min="7246" max="7405" width="25.25" style="255"/>
    <col min="7406" max="7435" width="9" style="255" customWidth="1"/>
    <col min="7436" max="7436" width="0.5" style="255" customWidth="1"/>
    <col min="7437" max="7437" width="25.25" style="255"/>
    <col min="7438" max="7438" width="0.5" style="255" customWidth="1"/>
    <col min="7439" max="7439" width="25.25" style="255"/>
    <col min="7440" max="7440" width="14.75" style="255" customWidth="1"/>
    <col min="7441" max="7441" width="11.5" style="255" customWidth="1"/>
    <col min="7442" max="7442" width="11.25" style="255" customWidth="1"/>
    <col min="7443" max="7443" width="10.75" style="255" customWidth="1"/>
    <col min="7444" max="7444" width="10" style="255" customWidth="1"/>
    <col min="7445" max="7445" width="9.875" style="255" customWidth="1"/>
    <col min="7446" max="7446" width="26.125" style="255" customWidth="1"/>
    <col min="7447" max="7447" width="11.125" style="255" customWidth="1"/>
    <col min="7448" max="7448" width="7.875" style="255" customWidth="1"/>
    <col min="7449" max="7449" width="7.25" style="255" customWidth="1"/>
    <col min="7450" max="7450" width="9.125" style="255" customWidth="1"/>
    <col min="7451" max="7451" width="15.125" style="255" customWidth="1"/>
    <col min="7452" max="7452" width="7.75" style="255" customWidth="1"/>
    <col min="7453" max="7453" width="7.125" style="255" customWidth="1"/>
    <col min="7454" max="7454" width="12.125" style="255" customWidth="1"/>
    <col min="7455" max="7455" width="8.25" style="255" customWidth="1"/>
    <col min="7456" max="7457" width="10.375" style="255" customWidth="1"/>
    <col min="7458" max="7458" width="15.625" style="255" customWidth="1"/>
    <col min="7459" max="7459" width="15.875" style="255" customWidth="1"/>
    <col min="7460" max="7460" width="8.125" style="255" customWidth="1"/>
    <col min="7461" max="7464" width="10.375" style="255" customWidth="1"/>
    <col min="7465" max="7465" width="7.25" style="255" customWidth="1"/>
    <col min="7466" max="7466" width="7.125" style="255" customWidth="1"/>
    <col min="7467" max="7467" width="9.5" style="255" customWidth="1"/>
    <col min="7468" max="7469" width="9" style="255" customWidth="1"/>
    <col min="7470" max="7470" width="16.125" style="255" customWidth="1"/>
    <col min="7471" max="7501" width="9" style="255" customWidth="1"/>
    <col min="7502" max="7661" width="25.25" style="255"/>
    <col min="7662" max="7691" width="9" style="255" customWidth="1"/>
    <col min="7692" max="7692" width="0.5" style="255" customWidth="1"/>
    <col min="7693" max="7693" width="25.25" style="255"/>
    <col min="7694" max="7694" width="0.5" style="255" customWidth="1"/>
    <col min="7695" max="7695" width="25.25" style="255"/>
    <col min="7696" max="7696" width="14.75" style="255" customWidth="1"/>
    <col min="7697" max="7697" width="11.5" style="255" customWidth="1"/>
    <col min="7698" max="7698" width="11.25" style="255" customWidth="1"/>
    <col min="7699" max="7699" width="10.75" style="255" customWidth="1"/>
    <col min="7700" max="7700" width="10" style="255" customWidth="1"/>
    <col min="7701" max="7701" width="9.875" style="255" customWidth="1"/>
    <col min="7702" max="7702" width="26.125" style="255" customWidth="1"/>
    <col min="7703" max="7703" width="11.125" style="255" customWidth="1"/>
    <col min="7704" max="7704" width="7.875" style="255" customWidth="1"/>
    <col min="7705" max="7705" width="7.25" style="255" customWidth="1"/>
    <col min="7706" max="7706" width="9.125" style="255" customWidth="1"/>
    <col min="7707" max="7707" width="15.125" style="255" customWidth="1"/>
    <col min="7708" max="7708" width="7.75" style="255" customWidth="1"/>
    <col min="7709" max="7709" width="7.125" style="255" customWidth="1"/>
    <col min="7710" max="7710" width="12.125" style="255" customWidth="1"/>
    <col min="7711" max="7711" width="8.25" style="255" customWidth="1"/>
    <col min="7712" max="7713" width="10.375" style="255" customWidth="1"/>
    <col min="7714" max="7714" width="15.625" style="255" customWidth="1"/>
    <col min="7715" max="7715" width="15.875" style="255" customWidth="1"/>
    <col min="7716" max="7716" width="8.125" style="255" customWidth="1"/>
    <col min="7717" max="7720" width="10.375" style="255" customWidth="1"/>
    <col min="7721" max="7721" width="7.25" style="255" customWidth="1"/>
    <col min="7722" max="7722" width="7.125" style="255" customWidth="1"/>
    <col min="7723" max="7723" width="9.5" style="255" customWidth="1"/>
    <col min="7724" max="7725" width="9" style="255" customWidth="1"/>
    <col min="7726" max="7726" width="16.125" style="255" customWidth="1"/>
    <col min="7727" max="7757" width="9" style="255" customWidth="1"/>
    <col min="7758" max="7917" width="25.25" style="255"/>
    <col min="7918" max="7947" width="9" style="255" customWidth="1"/>
    <col min="7948" max="7948" width="0.5" style="255" customWidth="1"/>
    <col min="7949" max="7949" width="25.25" style="255"/>
    <col min="7950" max="7950" width="0.5" style="255" customWidth="1"/>
    <col min="7951" max="7951" width="25.25" style="255"/>
    <col min="7952" max="7952" width="14.75" style="255" customWidth="1"/>
    <col min="7953" max="7953" width="11.5" style="255" customWidth="1"/>
    <col min="7954" max="7954" width="11.25" style="255" customWidth="1"/>
    <col min="7955" max="7955" width="10.75" style="255" customWidth="1"/>
    <col min="7956" max="7956" width="10" style="255" customWidth="1"/>
    <col min="7957" max="7957" width="9.875" style="255" customWidth="1"/>
    <col min="7958" max="7958" width="26.125" style="255" customWidth="1"/>
    <col min="7959" max="7959" width="11.125" style="255" customWidth="1"/>
    <col min="7960" max="7960" width="7.875" style="255" customWidth="1"/>
    <col min="7961" max="7961" width="7.25" style="255" customWidth="1"/>
    <col min="7962" max="7962" width="9.125" style="255" customWidth="1"/>
    <col min="7963" max="7963" width="15.125" style="255" customWidth="1"/>
    <col min="7964" max="7964" width="7.75" style="255" customWidth="1"/>
    <col min="7965" max="7965" width="7.125" style="255" customWidth="1"/>
    <col min="7966" max="7966" width="12.125" style="255" customWidth="1"/>
    <col min="7967" max="7967" width="8.25" style="255" customWidth="1"/>
    <col min="7968" max="7969" width="10.375" style="255" customWidth="1"/>
    <col min="7970" max="7970" width="15.625" style="255" customWidth="1"/>
    <col min="7971" max="7971" width="15.875" style="255" customWidth="1"/>
    <col min="7972" max="7972" width="8.125" style="255" customWidth="1"/>
    <col min="7973" max="7976" width="10.375" style="255" customWidth="1"/>
    <col min="7977" max="7977" width="7.25" style="255" customWidth="1"/>
    <col min="7978" max="7978" width="7.125" style="255" customWidth="1"/>
    <col min="7979" max="7979" width="9.5" style="255" customWidth="1"/>
    <col min="7980" max="7981" width="9" style="255" customWidth="1"/>
    <col min="7982" max="7982" width="16.125" style="255" customWidth="1"/>
    <col min="7983" max="8013" width="9" style="255" customWidth="1"/>
    <col min="8014" max="8173" width="25.25" style="255"/>
    <col min="8174" max="8203" width="9" style="255" customWidth="1"/>
    <col min="8204" max="8204" width="0.5" style="255" customWidth="1"/>
    <col min="8205" max="8205" width="25.25" style="255"/>
    <col min="8206" max="8206" width="0.5" style="255" customWidth="1"/>
    <col min="8207" max="8207" width="25.25" style="255"/>
    <col min="8208" max="8208" width="14.75" style="255" customWidth="1"/>
    <col min="8209" max="8209" width="11.5" style="255" customWidth="1"/>
    <col min="8210" max="8210" width="11.25" style="255" customWidth="1"/>
    <col min="8211" max="8211" width="10.75" style="255" customWidth="1"/>
    <col min="8212" max="8212" width="10" style="255" customWidth="1"/>
    <col min="8213" max="8213" width="9.875" style="255" customWidth="1"/>
    <col min="8214" max="8214" width="26.125" style="255" customWidth="1"/>
    <col min="8215" max="8215" width="11.125" style="255" customWidth="1"/>
    <col min="8216" max="8216" width="7.875" style="255" customWidth="1"/>
    <col min="8217" max="8217" width="7.25" style="255" customWidth="1"/>
    <col min="8218" max="8218" width="9.125" style="255" customWidth="1"/>
    <col min="8219" max="8219" width="15.125" style="255" customWidth="1"/>
    <col min="8220" max="8220" width="7.75" style="255" customWidth="1"/>
    <col min="8221" max="8221" width="7.125" style="255" customWidth="1"/>
    <col min="8222" max="8222" width="12.125" style="255" customWidth="1"/>
    <col min="8223" max="8223" width="8.25" style="255" customWidth="1"/>
    <col min="8224" max="8225" width="10.375" style="255" customWidth="1"/>
    <col min="8226" max="8226" width="15.625" style="255" customWidth="1"/>
    <col min="8227" max="8227" width="15.875" style="255" customWidth="1"/>
    <col min="8228" max="8228" width="8.125" style="255" customWidth="1"/>
    <col min="8229" max="8232" width="10.375" style="255" customWidth="1"/>
    <col min="8233" max="8233" width="7.25" style="255" customWidth="1"/>
    <col min="8234" max="8234" width="7.125" style="255" customWidth="1"/>
    <col min="8235" max="8235" width="9.5" style="255" customWidth="1"/>
    <col min="8236" max="8237" width="9" style="255" customWidth="1"/>
    <col min="8238" max="8238" width="16.125" style="255" customWidth="1"/>
    <col min="8239" max="8269" width="9" style="255" customWidth="1"/>
    <col min="8270" max="8429" width="25.25" style="255"/>
    <col min="8430" max="8459" width="9" style="255" customWidth="1"/>
    <col min="8460" max="8460" width="0.5" style="255" customWidth="1"/>
    <col min="8461" max="8461" width="25.25" style="255"/>
    <col min="8462" max="8462" width="0.5" style="255" customWidth="1"/>
    <col min="8463" max="8463" width="25.25" style="255"/>
    <col min="8464" max="8464" width="14.75" style="255" customWidth="1"/>
    <col min="8465" max="8465" width="11.5" style="255" customWidth="1"/>
    <col min="8466" max="8466" width="11.25" style="255" customWidth="1"/>
    <col min="8467" max="8467" width="10.75" style="255" customWidth="1"/>
    <col min="8468" max="8468" width="10" style="255" customWidth="1"/>
    <col min="8469" max="8469" width="9.875" style="255" customWidth="1"/>
    <col min="8470" max="8470" width="26.125" style="255" customWidth="1"/>
    <col min="8471" max="8471" width="11.125" style="255" customWidth="1"/>
    <col min="8472" max="8472" width="7.875" style="255" customWidth="1"/>
    <col min="8473" max="8473" width="7.25" style="255" customWidth="1"/>
    <col min="8474" max="8474" width="9.125" style="255" customWidth="1"/>
    <col min="8475" max="8475" width="15.125" style="255" customWidth="1"/>
    <col min="8476" max="8476" width="7.75" style="255" customWidth="1"/>
    <col min="8477" max="8477" width="7.125" style="255" customWidth="1"/>
    <col min="8478" max="8478" width="12.125" style="255" customWidth="1"/>
    <col min="8479" max="8479" width="8.25" style="255" customWidth="1"/>
    <col min="8480" max="8481" width="10.375" style="255" customWidth="1"/>
    <col min="8482" max="8482" width="15.625" style="255" customWidth="1"/>
    <col min="8483" max="8483" width="15.875" style="255" customWidth="1"/>
    <col min="8484" max="8484" width="8.125" style="255" customWidth="1"/>
    <col min="8485" max="8488" width="10.375" style="255" customWidth="1"/>
    <col min="8489" max="8489" width="7.25" style="255" customWidth="1"/>
    <col min="8490" max="8490" width="7.125" style="255" customWidth="1"/>
    <col min="8491" max="8491" width="9.5" style="255" customWidth="1"/>
    <col min="8492" max="8493" width="9" style="255" customWidth="1"/>
    <col min="8494" max="8494" width="16.125" style="255" customWidth="1"/>
    <col min="8495" max="8525" width="9" style="255" customWidth="1"/>
    <col min="8526" max="8685" width="25.25" style="255"/>
    <col min="8686" max="8715" width="9" style="255" customWidth="1"/>
    <col min="8716" max="8716" width="0.5" style="255" customWidth="1"/>
    <col min="8717" max="8717" width="25.25" style="255"/>
    <col min="8718" max="8718" width="0.5" style="255" customWidth="1"/>
    <col min="8719" max="8719" width="25.25" style="255"/>
    <col min="8720" max="8720" width="14.75" style="255" customWidth="1"/>
    <col min="8721" max="8721" width="11.5" style="255" customWidth="1"/>
    <col min="8722" max="8722" width="11.25" style="255" customWidth="1"/>
    <col min="8723" max="8723" width="10.75" style="255" customWidth="1"/>
    <col min="8724" max="8724" width="10" style="255" customWidth="1"/>
    <col min="8725" max="8725" width="9.875" style="255" customWidth="1"/>
    <col min="8726" max="8726" width="26.125" style="255" customWidth="1"/>
    <col min="8727" max="8727" width="11.125" style="255" customWidth="1"/>
    <col min="8728" max="8728" width="7.875" style="255" customWidth="1"/>
    <col min="8729" max="8729" width="7.25" style="255" customWidth="1"/>
    <col min="8730" max="8730" width="9.125" style="255" customWidth="1"/>
    <col min="8731" max="8731" width="15.125" style="255" customWidth="1"/>
    <col min="8732" max="8732" width="7.75" style="255" customWidth="1"/>
    <col min="8733" max="8733" width="7.125" style="255" customWidth="1"/>
    <col min="8734" max="8734" width="12.125" style="255" customWidth="1"/>
    <col min="8735" max="8735" width="8.25" style="255" customWidth="1"/>
    <col min="8736" max="8737" width="10.375" style="255" customWidth="1"/>
    <col min="8738" max="8738" width="15.625" style="255" customWidth="1"/>
    <col min="8739" max="8739" width="15.875" style="255" customWidth="1"/>
    <col min="8740" max="8740" width="8.125" style="255" customWidth="1"/>
    <col min="8741" max="8744" width="10.375" style="255" customWidth="1"/>
    <col min="8745" max="8745" width="7.25" style="255" customWidth="1"/>
    <col min="8746" max="8746" width="7.125" style="255" customWidth="1"/>
    <col min="8747" max="8747" width="9.5" style="255" customWidth="1"/>
    <col min="8748" max="8749" width="9" style="255" customWidth="1"/>
    <col min="8750" max="8750" width="16.125" style="255" customWidth="1"/>
    <col min="8751" max="8781" width="9" style="255" customWidth="1"/>
    <col min="8782" max="8941" width="25.25" style="255"/>
    <col min="8942" max="8971" width="9" style="255" customWidth="1"/>
    <col min="8972" max="8972" width="0.5" style="255" customWidth="1"/>
    <col min="8973" max="8973" width="25.25" style="255"/>
    <col min="8974" max="8974" width="0.5" style="255" customWidth="1"/>
    <col min="8975" max="8975" width="25.25" style="255"/>
    <col min="8976" max="8976" width="14.75" style="255" customWidth="1"/>
    <col min="8977" max="8977" width="11.5" style="255" customWidth="1"/>
    <col min="8978" max="8978" width="11.25" style="255" customWidth="1"/>
    <col min="8979" max="8979" width="10.75" style="255" customWidth="1"/>
    <col min="8980" max="8980" width="10" style="255" customWidth="1"/>
    <col min="8981" max="8981" width="9.875" style="255" customWidth="1"/>
    <col min="8982" max="8982" width="26.125" style="255" customWidth="1"/>
    <col min="8983" max="8983" width="11.125" style="255" customWidth="1"/>
    <col min="8984" max="8984" width="7.875" style="255" customWidth="1"/>
    <col min="8985" max="8985" width="7.25" style="255" customWidth="1"/>
    <col min="8986" max="8986" width="9.125" style="255" customWidth="1"/>
    <col min="8987" max="8987" width="15.125" style="255" customWidth="1"/>
    <col min="8988" max="8988" width="7.75" style="255" customWidth="1"/>
    <col min="8989" max="8989" width="7.125" style="255" customWidth="1"/>
    <col min="8990" max="8990" width="12.125" style="255" customWidth="1"/>
    <col min="8991" max="8991" width="8.25" style="255" customWidth="1"/>
    <col min="8992" max="8993" width="10.375" style="255" customWidth="1"/>
    <col min="8994" max="8994" width="15.625" style="255" customWidth="1"/>
    <col min="8995" max="8995" width="15.875" style="255" customWidth="1"/>
    <col min="8996" max="8996" width="8.125" style="255" customWidth="1"/>
    <col min="8997" max="9000" width="10.375" style="255" customWidth="1"/>
    <col min="9001" max="9001" width="7.25" style="255" customWidth="1"/>
    <col min="9002" max="9002" width="7.125" style="255" customWidth="1"/>
    <col min="9003" max="9003" width="9.5" style="255" customWidth="1"/>
    <col min="9004" max="9005" width="9" style="255" customWidth="1"/>
    <col min="9006" max="9006" width="16.125" style="255" customWidth="1"/>
    <col min="9007" max="9037" width="9" style="255" customWidth="1"/>
    <col min="9038" max="9197" width="25.25" style="255"/>
    <col min="9198" max="9227" width="9" style="255" customWidth="1"/>
    <col min="9228" max="9228" width="0.5" style="255" customWidth="1"/>
    <col min="9229" max="9229" width="25.25" style="255"/>
    <col min="9230" max="9230" width="0.5" style="255" customWidth="1"/>
    <col min="9231" max="9231" width="25.25" style="255"/>
    <col min="9232" max="9232" width="14.75" style="255" customWidth="1"/>
    <col min="9233" max="9233" width="11.5" style="255" customWidth="1"/>
    <col min="9234" max="9234" width="11.25" style="255" customWidth="1"/>
    <col min="9235" max="9235" width="10.75" style="255" customWidth="1"/>
    <col min="9236" max="9236" width="10" style="255" customWidth="1"/>
    <col min="9237" max="9237" width="9.875" style="255" customWidth="1"/>
    <col min="9238" max="9238" width="26.125" style="255" customWidth="1"/>
    <col min="9239" max="9239" width="11.125" style="255" customWidth="1"/>
    <col min="9240" max="9240" width="7.875" style="255" customWidth="1"/>
    <col min="9241" max="9241" width="7.25" style="255" customWidth="1"/>
    <col min="9242" max="9242" width="9.125" style="255" customWidth="1"/>
    <col min="9243" max="9243" width="15.125" style="255" customWidth="1"/>
    <col min="9244" max="9244" width="7.75" style="255" customWidth="1"/>
    <col min="9245" max="9245" width="7.125" style="255" customWidth="1"/>
    <col min="9246" max="9246" width="12.125" style="255" customWidth="1"/>
    <col min="9247" max="9247" width="8.25" style="255" customWidth="1"/>
    <col min="9248" max="9249" width="10.375" style="255" customWidth="1"/>
    <col min="9250" max="9250" width="15.625" style="255" customWidth="1"/>
    <col min="9251" max="9251" width="15.875" style="255" customWidth="1"/>
    <col min="9252" max="9252" width="8.125" style="255" customWidth="1"/>
    <col min="9253" max="9256" width="10.375" style="255" customWidth="1"/>
    <col min="9257" max="9257" width="7.25" style="255" customWidth="1"/>
    <col min="9258" max="9258" width="7.125" style="255" customWidth="1"/>
    <col min="9259" max="9259" width="9.5" style="255" customWidth="1"/>
    <col min="9260" max="9261" width="9" style="255" customWidth="1"/>
    <col min="9262" max="9262" width="16.125" style="255" customWidth="1"/>
    <col min="9263" max="9293" width="9" style="255" customWidth="1"/>
    <col min="9294" max="9453" width="25.25" style="255"/>
    <col min="9454" max="9483" width="9" style="255" customWidth="1"/>
    <col min="9484" max="9484" width="0.5" style="255" customWidth="1"/>
    <col min="9485" max="9485" width="25.25" style="255"/>
    <col min="9486" max="9486" width="0.5" style="255" customWidth="1"/>
    <col min="9487" max="9487" width="25.25" style="255"/>
    <col min="9488" max="9488" width="14.75" style="255" customWidth="1"/>
    <col min="9489" max="9489" width="11.5" style="255" customWidth="1"/>
    <col min="9490" max="9490" width="11.25" style="255" customWidth="1"/>
    <col min="9491" max="9491" width="10.75" style="255" customWidth="1"/>
    <col min="9492" max="9492" width="10" style="255" customWidth="1"/>
    <col min="9493" max="9493" width="9.875" style="255" customWidth="1"/>
    <col min="9494" max="9494" width="26.125" style="255" customWidth="1"/>
    <col min="9495" max="9495" width="11.125" style="255" customWidth="1"/>
    <col min="9496" max="9496" width="7.875" style="255" customWidth="1"/>
    <col min="9497" max="9497" width="7.25" style="255" customWidth="1"/>
    <col min="9498" max="9498" width="9.125" style="255" customWidth="1"/>
    <col min="9499" max="9499" width="15.125" style="255" customWidth="1"/>
    <col min="9500" max="9500" width="7.75" style="255" customWidth="1"/>
    <col min="9501" max="9501" width="7.125" style="255" customWidth="1"/>
    <col min="9502" max="9502" width="12.125" style="255" customWidth="1"/>
    <col min="9503" max="9503" width="8.25" style="255" customWidth="1"/>
    <col min="9504" max="9505" width="10.375" style="255" customWidth="1"/>
    <col min="9506" max="9506" width="15.625" style="255" customWidth="1"/>
    <col min="9507" max="9507" width="15.875" style="255" customWidth="1"/>
    <col min="9508" max="9508" width="8.125" style="255" customWidth="1"/>
    <col min="9509" max="9512" width="10.375" style="255" customWidth="1"/>
    <col min="9513" max="9513" width="7.25" style="255" customWidth="1"/>
    <col min="9514" max="9514" width="7.125" style="255" customWidth="1"/>
    <col min="9515" max="9515" width="9.5" style="255" customWidth="1"/>
    <col min="9516" max="9517" width="9" style="255" customWidth="1"/>
    <col min="9518" max="9518" width="16.125" style="255" customWidth="1"/>
    <col min="9519" max="9549" width="9" style="255" customWidth="1"/>
    <col min="9550" max="9709" width="25.25" style="255"/>
    <col min="9710" max="9739" width="9" style="255" customWidth="1"/>
    <col min="9740" max="9740" width="0.5" style="255" customWidth="1"/>
    <col min="9741" max="9741" width="25.25" style="255"/>
    <col min="9742" max="9742" width="0.5" style="255" customWidth="1"/>
    <col min="9743" max="9743" width="25.25" style="255"/>
    <col min="9744" max="9744" width="14.75" style="255" customWidth="1"/>
    <col min="9745" max="9745" width="11.5" style="255" customWidth="1"/>
    <col min="9746" max="9746" width="11.25" style="255" customWidth="1"/>
    <col min="9747" max="9747" width="10.75" style="255" customWidth="1"/>
    <col min="9748" max="9748" width="10" style="255" customWidth="1"/>
    <col min="9749" max="9749" width="9.875" style="255" customWidth="1"/>
    <col min="9750" max="9750" width="26.125" style="255" customWidth="1"/>
    <col min="9751" max="9751" width="11.125" style="255" customWidth="1"/>
    <col min="9752" max="9752" width="7.875" style="255" customWidth="1"/>
    <col min="9753" max="9753" width="7.25" style="255" customWidth="1"/>
    <col min="9754" max="9754" width="9.125" style="255" customWidth="1"/>
    <col min="9755" max="9755" width="15.125" style="255" customWidth="1"/>
    <col min="9756" max="9756" width="7.75" style="255" customWidth="1"/>
    <col min="9757" max="9757" width="7.125" style="255" customWidth="1"/>
    <col min="9758" max="9758" width="12.125" style="255" customWidth="1"/>
    <col min="9759" max="9759" width="8.25" style="255" customWidth="1"/>
    <col min="9760" max="9761" width="10.375" style="255" customWidth="1"/>
    <col min="9762" max="9762" width="15.625" style="255" customWidth="1"/>
    <col min="9763" max="9763" width="15.875" style="255" customWidth="1"/>
    <col min="9764" max="9764" width="8.125" style="255" customWidth="1"/>
    <col min="9765" max="9768" width="10.375" style="255" customWidth="1"/>
    <col min="9769" max="9769" width="7.25" style="255" customWidth="1"/>
    <col min="9770" max="9770" width="7.125" style="255" customWidth="1"/>
    <col min="9771" max="9771" width="9.5" style="255" customWidth="1"/>
    <col min="9772" max="9773" width="9" style="255" customWidth="1"/>
    <col min="9774" max="9774" width="16.125" style="255" customWidth="1"/>
    <col min="9775" max="9805" width="9" style="255" customWidth="1"/>
    <col min="9806" max="9965" width="25.25" style="255"/>
    <col min="9966" max="9995" width="9" style="255" customWidth="1"/>
    <col min="9996" max="9996" width="0.5" style="255" customWidth="1"/>
    <col min="9997" max="9997" width="25.25" style="255"/>
    <col min="9998" max="9998" width="0.5" style="255" customWidth="1"/>
    <col min="9999" max="9999" width="25.25" style="255"/>
    <col min="10000" max="10000" width="14.75" style="255" customWidth="1"/>
    <col min="10001" max="10001" width="11.5" style="255" customWidth="1"/>
    <col min="10002" max="10002" width="11.25" style="255" customWidth="1"/>
    <col min="10003" max="10003" width="10.75" style="255" customWidth="1"/>
    <col min="10004" max="10004" width="10" style="255" customWidth="1"/>
    <col min="10005" max="10005" width="9.875" style="255" customWidth="1"/>
    <col min="10006" max="10006" width="26.125" style="255" customWidth="1"/>
    <col min="10007" max="10007" width="11.125" style="255" customWidth="1"/>
    <col min="10008" max="10008" width="7.875" style="255" customWidth="1"/>
    <col min="10009" max="10009" width="7.25" style="255" customWidth="1"/>
    <col min="10010" max="10010" width="9.125" style="255" customWidth="1"/>
    <col min="10011" max="10011" width="15.125" style="255" customWidth="1"/>
    <col min="10012" max="10012" width="7.75" style="255" customWidth="1"/>
    <col min="10013" max="10013" width="7.125" style="255" customWidth="1"/>
    <col min="10014" max="10014" width="12.125" style="255" customWidth="1"/>
    <col min="10015" max="10015" width="8.25" style="255" customWidth="1"/>
    <col min="10016" max="10017" width="10.375" style="255" customWidth="1"/>
    <col min="10018" max="10018" width="15.625" style="255" customWidth="1"/>
    <col min="10019" max="10019" width="15.875" style="255" customWidth="1"/>
    <col min="10020" max="10020" width="8.125" style="255" customWidth="1"/>
    <col min="10021" max="10024" width="10.375" style="255" customWidth="1"/>
    <col min="10025" max="10025" width="7.25" style="255" customWidth="1"/>
    <col min="10026" max="10026" width="7.125" style="255" customWidth="1"/>
    <col min="10027" max="10027" width="9.5" style="255" customWidth="1"/>
    <col min="10028" max="10029" width="9" style="255" customWidth="1"/>
    <col min="10030" max="10030" width="16.125" style="255" customWidth="1"/>
    <col min="10031" max="10061" width="9" style="255" customWidth="1"/>
    <col min="10062" max="10221" width="25.25" style="255"/>
    <col min="10222" max="10251" width="9" style="255" customWidth="1"/>
    <col min="10252" max="10252" width="0.5" style="255" customWidth="1"/>
    <col min="10253" max="10253" width="25.25" style="255"/>
    <col min="10254" max="10254" width="0.5" style="255" customWidth="1"/>
    <col min="10255" max="10255" width="25.25" style="255"/>
    <col min="10256" max="10256" width="14.75" style="255" customWidth="1"/>
    <col min="10257" max="10257" width="11.5" style="255" customWidth="1"/>
    <col min="10258" max="10258" width="11.25" style="255" customWidth="1"/>
    <col min="10259" max="10259" width="10.75" style="255" customWidth="1"/>
    <col min="10260" max="10260" width="10" style="255" customWidth="1"/>
    <col min="10261" max="10261" width="9.875" style="255" customWidth="1"/>
    <col min="10262" max="10262" width="26.125" style="255" customWidth="1"/>
    <col min="10263" max="10263" width="11.125" style="255" customWidth="1"/>
    <col min="10264" max="10264" width="7.875" style="255" customWidth="1"/>
    <col min="10265" max="10265" width="7.25" style="255" customWidth="1"/>
    <col min="10266" max="10266" width="9.125" style="255" customWidth="1"/>
    <col min="10267" max="10267" width="15.125" style="255" customWidth="1"/>
    <col min="10268" max="10268" width="7.75" style="255" customWidth="1"/>
    <col min="10269" max="10269" width="7.125" style="255" customWidth="1"/>
    <col min="10270" max="10270" width="12.125" style="255" customWidth="1"/>
    <col min="10271" max="10271" width="8.25" style="255" customWidth="1"/>
    <col min="10272" max="10273" width="10.375" style="255" customWidth="1"/>
    <col min="10274" max="10274" width="15.625" style="255" customWidth="1"/>
    <col min="10275" max="10275" width="15.875" style="255" customWidth="1"/>
    <col min="10276" max="10276" width="8.125" style="255" customWidth="1"/>
    <col min="10277" max="10280" width="10.375" style="255" customWidth="1"/>
    <col min="10281" max="10281" width="7.25" style="255" customWidth="1"/>
    <col min="10282" max="10282" width="7.125" style="255" customWidth="1"/>
    <col min="10283" max="10283" width="9.5" style="255" customWidth="1"/>
    <col min="10284" max="10285" width="9" style="255" customWidth="1"/>
    <col min="10286" max="10286" width="16.125" style="255" customWidth="1"/>
    <col min="10287" max="10317" width="9" style="255" customWidth="1"/>
    <col min="10318" max="10477" width="25.25" style="255"/>
    <col min="10478" max="10507" width="9" style="255" customWidth="1"/>
    <col min="10508" max="10508" width="0.5" style="255" customWidth="1"/>
    <col min="10509" max="10509" width="25.25" style="255"/>
    <col min="10510" max="10510" width="0.5" style="255" customWidth="1"/>
    <col min="10511" max="10511" width="25.25" style="255"/>
    <col min="10512" max="10512" width="14.75" style="255" customWidth="1"/>
    <col min="10513" max="10513" width="11.5" style="255" customWidth="1"/>
    <col min="10514" max="10514" width="11.25" style="255" customWidth="1"/>
    <col min="10515" max="10515" width="10.75" style="255" customWidth="1"/>
    <col min="10516" max="10516" width="10" style="255" customWidth="1"/>
    <col min="10517" max="10517" width="9.875" style="255" customWidth="1"/>
    <col min="10518" max="10518" width="26.125" style="255" customWidth="1"/>
    <col min="10519" max="10519" width="11.125" style="255" customWidth="1"/>
    <col min="10520" max="10520" width="7.875" style="255" customWidth="1"/>
    <col min="10521" max="10521" width="7.25" style="255" customWidth="1"/>
    <col min="10522" max="10522" width="9.125" style="255" customWidth="1"/>
    <col min="10523" max="10523" width="15.125" style="255" customWidth="1"/>
    <col min="10524" max="10524" width="7.75" style="255" customWidth="1"/>
    <col min="10525" max="10525" width="7.125" style="255" customWidth="1"/>
    <col min="10526" max="10526" width="12.125" style="255" customWidth="1"/>
    <col min="10527" max="10527" width="8.25" style="255" customWidth="1"/>
    <col min="10528" max="10529" width="10.375" style="255" customWidth="1"/>
    <col min="10530" max="10530" width="15.625" style="255" customWidth="1"/>
    <col min="10531" max="10531" width="15.875" style="255" customWidth="1"/>
    <col min="10532" max="10532" width="8.125" style="255" customWidth="1"/>
    <col min="10533" max="10536" width="10.375" style="255" customWidth="1"/>
    <col min="10537" max="10537" width="7.25" style="255" customWidth="1"/>
    <col min="10538" max="10538" width="7.125" style="255" customWidth="1"/>
    <col min="10539" max="10539" width="9.5" style="255" customWidth="1"/>
    <col min="10540" max="10541" width="9" style="255" customWidth="1"/>
    <col min="10542" max="10542" width="16.125" style="255" customWidth="1"/>
    <col min="10543" max="10573" width="9" style="255" customWidth="1"/>
    <col min="10574" max="10733" width="25.25" style="255"/>
    <col min="10734" max="10763" width="9" style="255" customWidth="1"/>
    <col min="10764" max="10764" width="0.5" style="255" customWidth="1"/>
    <col min="10765" max="10765" width="25.25" style="255"/>
    <col min="10766" max="10766" width="0.5" style="255" customWidth="1"/>
    <col min="10767" max="10767" width="25.25" style="255"/>
    <col min="10768" max="10768" width="14.75" style="255" customWidth="1"/>
    <col min="10769" max="10769" width="11.5" style="255" customWidth="1"/>
    <col min="10770" max="10770" width="11.25" style="255" customWidth="1"/>
    <col min="10771" max="10771" width="10.75" style="255" customWidth="1"/>
    <col min="10772" max="10772" width="10" style="255" customWidth="1"/>
    <col min="10773" max="10773" width="9.875" style="255" customWidth="1"/>
    <col min="10774" max="10774" width="26.125" style="255" customWidth="1"/>
    <col min="10775" max="10775" width="11.125" style="255" customWidth="1"/>
    <col min="10776" max="10776" width="7.875" style="255" customWidth="1"/>
    <col min="10777" max="10777" width="7.25" style="255" customWidth="1"/>
    <col min="10778" max="10778" width="9.125" style="255" customWidth="1"/>
    <col min="10779" max="10779" width="15.125" style="255" customWidth="1"/>
    <col min="10780" max="10780" width="7.75" style="255" customWidth="1"/>
    <col min="10781" max="10781" width="7.125" style="255" customWidth="1"/>
    <col min="10782" max="10782" width="12.125" style="255" customWidth="1"/>
    <col min="10783" max="10783" width="8.25" style="255" customWidth="1"/>
    <col min="10784" max="10785" width="10.375" style="255" customWidth="1"/>
    <col min="10786" max="10786" width="15.625" style="255" customWidth="1"/>
    <col min="10787" max="10787" width="15.875" style="255" customWidth="1"/>
    <col min="10788" max="10788" width="8.125" style="255" customWidth="1"/>
    <col min="10789" max="10792" width="10.375" style="255" customWidth="1"/>
    <col min="10793" max="10793" width="7.25" style="255" customWidth="1"/>
    <col min="10794" max="10794" width="7.125" style="255" customWidth="1"/>
    <col min="10795" max="10795" width="9.5" style="255" customWidth="1"/>
    <col min="10796" max="10797" width="9" style="255" customWidth="1"/>
    <col min="10798" max="10798" width="16.125" style="255" customWidth="1"/>
    <col min="10799" max="10829" width="9" style="255" customWidth="1"/>
    <col min="10830" max="10989" width="25.25" style="255"/>
    <col min="10990" max="11019" width="9" style="255" customWidth="1"/>
    <col min="11020" max="11020" width="0.5" style="255" customWidth="1"/>
    <col min="11021" max="11021" width="25.25" style="255"/>
    <col min="11022" max="11022" width="0.5" style="255" customWidth="1"/>
    <col min="11023" max="11023" width="25.25" style="255"/>
    <col min="11024" max="11024" width="14.75" style="255" customWidth="1"/>
    <col min="11025" max="11025" width="11.5" style="255" customWidth="1"/>
    <col min="11026" max="11026" width="11.25" style="255" customWidth="1"/>
    <col min="11027" max="11027" width="10.75" style="255" customWidth="1"/>
    <col min="11028" max="11028" width="10" style="255" customWidth="1"/>
    <col min="11029" max="11029" width="9.875" style="255" customWidth="1"/>
    <col min="11030" max="11030" width="26.125" style="255" customWidth="1"/>
    <col min="11031" max="11031" width="11.125" style="255" customWidth="1"/>
    <col min="11032" max="11032" width="7.875" style="255" customWidth="1"/>
    <col min="11033" max="11033" width="7.25" style="255" customWidth="1"/>
    <col min="11034" max="11034" width="9.125" style="255" customWidth="1"/>
    <col min="11035" max="11035" width="15.125" style="255" customWidth="1"/>
    <col min="11036" max="11036" width="7.75" style="255" customWidth="1"/>
    <col min="11037" max="11037" width="7.125" style="255" customWidth="1"/>
    <col min="11038" max="11038" width="12.125" style="255" customWidth="1"/>
    <col min="11039" max="11039" width="8.25" style="255" customWidth="1"/>
    <col min="11040" max="11041" width="10.375" style="255" customWidth="1"/>
    <col min="11042" max="11042" width="15.625" style="255" customWidth="1"/>
    <col min="11043" max="11043" width="15.875" style="255" customWidth="1"/>
    <col min="11044" max="11044" width="8.125" style="255" customWidth="1"/>
    <col min="11045" max="11048" width="10.375" style="255" customWidth="1"/>
    <col min="11049" max="11049" width="7.25" style="255" customWidth="1"/>
    <col min="11050" max="11050" width="7.125" style="255" customWidth="1"/>
    <col min="11051" max="11051" width="9.5" style="255" customWidth="1"/>
    <col min="11052" max="11053" width="9" style="255" customWidth="1"/>
    <col min="11054" max="11054" width="16.125" style="255" customWidth="1"/>
    <col min="11055" max="11085" width="9" style="255" customWidth="1"/>
    <col min="11086" max="11245" width="25.25" style="255"/>
    <col min="11246" max="11275" width="9" style="255" customWidth="1"/>
    <col min="11276" max="11276" width="0.5" style="255" customWidth="1"/>
    <col min="11277" max="11277" width="25.25" style="255"/>
    <col min="11278" max="11278" width="0.5" style="255" customWidth="1"/>
    <col min="11279" max="11279" width="25.25" style="255"/>
    <col min="11280" max="11280" width="14.75" style="255" customWidth="1"/>
    <col min="11281" max="11281" width="11.5" style="255" customWidth="1"/>
    <col min="11282" max="11282" width="11.25" style="255" customWidth="1"/>
    <col min="11283" max="11283" width="10.75" style="255" customWidth="1"/>
    <col min="11284" max="11284" width="10" style="255" customWidth="1"/>
    <col min="11285" max="11285" width="9.875" style="255" customWidth="1"/>
    <col min="11286" max="11286" width="26.125" style="255" customWidth="1"/>
    <col min="11287" max="11287" width="11.125" style="255" customWidth="1"/>
    <col min="11288" max="11288" width="7.875" style="255" customWidth="1"/>
    <col min="11289" max="11289" width="7.25" style="255" customWidth="1"/>
    <col min="11290" max="11290" width="9.125" style="255" customWidth="1"/>
    <col min="11291" max="11291" width="15.125" style="255" customWidth="1"/>
    <col min="11292" max="11292" width="7.75" style="255" customWidth="1"/>
    <col min="11293" max="11293" width="7.125" style="255" customWidth="1"/>
    <col min="11294" max="11294" width="12.125" style="255" customWidth="1"/>
    <col min="11295" max="11295" width="8.25" style="255" customWidth="1"/>
    <col min="11296" max="11297" width="10.375" style="255" customWidth="1"/>
    <col min="11298" max="11298" width="15.625" style="255" customWidth="1"/>
    <col min="11299" max="11299" width="15.875" style="255" customWidth="1"/>
    <col min="11300" max="11300" width="8.125" style="255" customWidth="1"/>
    <col min="11301" max="11304" width="10.375" style="255" customWidth="1"/>
    <col min="11305" max="11305" width="7.25" style="255" customWidth="1"/>
    <col min="11306" max="11306" width="7.125" style="255" customWidth="1"/>
    <col min="11307" max="11307" width="9.5" style="255" customWidth="1"/>
    <col min="11308" max="11309" width="9" style="255" customWidth="1"/>
    <col min="11310" max="11310" width="16.125" style="255" customWidth="1"/>
    <col min="11311" max="11341" width="9" style="255" customWidth="1"/>
    <col min="11342" max="11501" width="25.25" style="255"/>
    <col min="11502" max="11531" width="9" style="255" customWidth="1"/>
    <col min="11532" max="11532" width="0.5" style="255" customWidth="1"/>
    <col min="11533" max="11533" width="25.25" style="255"/>
    <col min="11534" max="11534" width="0.5" style="255" customWidth="1"/>
    <col min="11535" max="11535" width="25.25" style="255"/>
    <col min="11536" max="11536" width="14.75" style="255" customWidth="1"/>
    <col min="11537" max="11537" width="11.5" style="255" customWidth="1"/>
    <col min="11538" max="11538" width="11.25" style="255" customWidth="1"/>
    <col min="11539" max="11539" width="10.75" style="255" customWidth="1"/>
    <col min="11540" max="11540" width="10" style="255" customWidth="1"/>
    <col min="11541" max="11541" width="9.875" style="255" customWidth="1"/>
    <col min="11542" max="11542" width="26.125" style="255" customWidth="1"/>
    <col min="11543" max="11543" width="11.125" style="255" customWidth="1"/>
    <col min="11544" max="11544" width="7.875" style="255" customWidth="1"/>
    <col min="11545" max="11545" width="7.25" style="255" customWidth="1"/>
    <col min="11546" max="11546" width="9.125" style="255" customWidth="1"/>
    <col min="11547" max="11547" width="15.125" style="255" customWidth="1"/>
    <col min="11548" max="11548" width="7.75" style="255" customWidth="1"/>
    <col min="11549" max="11549" width="7.125" style="255" customWidth="1"/>
    <col min="11550" max="11550" width="12.125" style="255" customWidth="1"/>
    <col min="11551" max="11551" width="8.25" style="255" customWidth="1"/>
    <col min="11552" max="11553" width="10.375" style="255" customWidth="1"/>
    <col min="11554" max="11554" width="15.625" style="255" customWidth="1"/>
    <col min="11555" max="11555" width="15.875" style="255" customWidth="1"/>
    <col min="11556" max="11556" width="8.125" style="255" customWidth="1"/>
    <col min="11557" max="11560" width="10.375" style="255" customWidth="1"/>
    <col min="11561" max="11561" width="7.25" style="255" customWidth="1"/>
    <col min="11562" max="11562" width="7.125" style="255" customWidth="1"/>
    <col min="11563" max="11563" width="9.5" style="255" customWidth="1"/>
    <col min="11564" max="11565" width="9" style="255" customWidth="1"/>
    <col min="11566" max="11566" width="16.125" style="255" customWidth="1"/>
    <col min="11567" max="11597" width="9" style="255" customWidth="1"/>
    <col min="11598" max="11757" width="25.25" style="255"/>
    <col min="11758" max="11787" width="9" style="255" customWidth="1"/>
    <col min="11788" max="11788" width="0.5" style="255" customWidth="1"/>
    <col min="11789" max="11789" width="25.25" style="255"/>
    <col min="11790" max="11790" width="0.5" style="255" customWidth="1"/>
    <col min="11791" max="11791" width="25.25" style="255"/>
    <col min="11792" max="11792" width="14.75" style="255" customWidth="1"/>
    <col min="11793" max="11793" width="11.5" style="255" customWidth="1"/>
    <col min="11794" max="11794" width="11.25" style="255" customWidth="1"/>
    <col min="11795" max="11795" width="10.75" style="255" customWidth="1"/>
    <col min="11796" max="11796" width="10" style="255" customWidth="1"/>
    <col min="11797" max="11797" width="9.875" style="255" customWidth="1"/>
    <col min="11798" max="11798" width="26.125" style="255" customWidth="1"/>
    <col min="11799" max="11799" width="11.125" style="255" customWidth="1"/>
    <col min="11800" max="11800" width="7.875" style="255" customWidth="1"/>
    <col min="11801" max="11801" width="7.25" style="255" customWidth="1"/>
    <col min="11802" max="11802" width="9.125" style="255" customWidth="1"/>
    <col min="11803" max="11803" width="15.125" style="255" customWidth="1"/>
    <col min="11804" max="11804" width="7.75" style="255" customWidth="1"/>
    <col min="11805" max="11805" width="7.125" style="255" customWidth="1"/>
    <col min="11806" max="11806" width="12.125" style="255" customWidth="1"/>
    <col min="11807" max="11807" width="8.25" style="255" customWidth="1"/>
    <col min="11808" max="11809" width="10.375" style="255" customWidth="1"/>
    <col min="11810" max="11810" width="15.625" style="255" customWidth="1"/>
    <col min="11811" max="11811" width="15.875" style="255" customWidth="1"/>
    <col min="11812" max="11812" width="8.125" style="255" customWidth="1"/>
    <col min="11813" max="11816" width="10.375" style="255" customWidth="1"/>
    <col min="11817" max="11817" width="7.25" style="255" customWidth="1"/>
    <col min="11818" max="11818" width="7.125" style="255" customWidth="1"/>
    <col min="11819" max="11819" width="9.5" style="255" customWidth="1"/>
    <col min="11820" max="11821" width="9" style="255" customWidth="1"/>
    <col min="11822" max="11822" width="16.125" style="255" customWidth="1"/>
    <col min="11823" max="11853" width="9" style="255" customWidth="1"/>
    <col min="11854" max="12013" width="25.25" style="255"/>
    <col min="12014" max="12043" width="9" style="255" customWidth="1"/>
    <col min="12044" max="12044" width="0.5" style="255" customWidth="1"/>
    <col min="12045" max="12045" width="25.25" style="255"/>
    <col min="12046" max="12046" width="0.5" style="255" customWidth="1"/>
    <col min="12047" max="12047" width="25.25" style="255"/>
    <col min="12048" max="12048" width="14.75" style="255" customWidth="1"/>
    <col min="12049" max="12049" width="11.5" style="255" customWidth="1"/>
    <col min="12050" max="12050" width="11.25" style="255" customWidth="1"/>
    <col min="12051" max="12051" width="10.75" style="255" customWidth="1"/>
    <col min="12052" max="12052" width="10" style="255" customWidth="1"/>
    <col min="12053" max="12053" width="9.875" style="255" customWidth="1"/>
    <col min="12054" max="12054" width="26.125" style="255" customWidth="1"/>
    <col min="12055" max="12055" width="11.125" style="255" customWidth="1"/>
    <col min="12056" max="12056" width="7.875" style="255" customWidth="1"/>
    <col min="12057" max="12057" width="7.25" style="255" customWidth="1"/>
    <col min="12058" max="12058" width="9.125" style="255" customWidth="1"/>
    <col min="12059" max="12059" width="15.125" style="255" customWidth="1"/>
    <col min="12060" max="12060" width="7.75" style="255" customWidth="1"/>
    <col min="12061" max="12061" width="7.125" style="255" customWidth="1"/>
    <col min="12062" max="12062" width="12.125" style="255" customWidth="1"/>
    <col min="12063" max="12063" width="8.25" style="255" customWidth="1"/>
    <col min="12064" max="12065" width="10.375" style="255" customWidth="1"/>
    <col min="12066" max="12066" width="15.625" style="255" customWidth="1"/>
    <col min="12067" max="12067" width="15.875" style="255" customWidth="1"/>
    <col min="12068" max="12068" width="8.125" style="255" customWidth="1"/>
    <col min="12069" max="12072" width="10.375" style="255" customWidth="1"/>
    <col min="12073" max="12073" width="7.25" style="255" customWidth="1"/>
    <col min="12074" max="12074" width="7.125" style="255" customWidth="1"/>
    <col min="12075" max="12075" width="9.5" style="255" customWidth="1"/>
    <col min="12076" max="12077" width="9" style="255" customWidth="1"/>
    <col min="12078" max="12078" width="16.125" style="255" customWidth="1"/>
    <col min="12079" max="12109" width="9" style="255" customWidth="1"/>
    <col min="12110" max="12269" width="25.25" style="255"/>
    <col min="12270" max="12299" width="9" style="255" customWidth="1"/>
    <col min="12300" max="12300" width="0.5" style="255" customWidth="1"/>
    <col min="12301" max="12301" width="25.25" style="255"/>
    <col min="12302" max="12302" width="0.5" style="255" customWidth="1"/>
    <col min="12303" max="12303" width="25.25" style="255"/>
    <col min="12304" max="12304" width="14.75" style="255" customWidth="1"/>
    <col min="12305" max="12305" width="11.5" style="255" customWidth="1"/>
    <col min="12306" max="12306" width="11.25" style="255" customWidth="1"/>
    <col min="12307" max="12307" width="10.75" style="255" customWidth="1"/>
    <col min="12308" max="12308" width="10" style="255" customWidth="1"/>
    <col min="12309" max="12309" width="9.875" style="255" customWidth="1"/>
    <col min="12310" max="12310" width="26.125" style="255" customWidth="1"/>
    <col min="12311" max="12311" width="11.125" style="255" customWidth="1"/>
    <col min="12312" max="12312" width="7.875" style="255" customWidth="1"/>
    <col min="12313" max="12313" width="7.25" style="255" customWidth="1"/>
    <col min="12314" max="12314" width="9.125" style="255" customWidth="1"/>
    <col min="12315" max="12315" width="15.125" style="255" customWidth="1"/>
    <col min="12316" max="12316" width="7.75" style="255" customWidth="1"/>
    <col min="12317" max="12317" width="7.125" style="255" customWidth="1"/>
    <col min="12318" max="12318" width="12.125" style="255" customWidth="1"/>
    <col min="12319" max="12319" width="8.25" style="255" customWidth="1"/>
    <col min="12320" max="12321" width="10.375" style="255" customWidth="1"/>
    <col min="12322" max="12322" width="15.625" style="255" customWidth="1"/>
    <col min="12323" max="12323" width="15.875" style="255" customWidth="1"/>
    <col min="12324" max="12324" width="8.125" style="255" customWidth="1"/>
    <col min="12325" max="12328" width="10.375" style="255" customWidth="1"/>
    <col min="12329" max="12329" width="7.25" style="255" customWidth="1"/>
    <col min="12330" max="12330" width="7.125" style="255" customWidth="1"/>
    <col min="12331" max="12331" width="9.5" style="255" customWidth="1"/>
    <col min="12332" max="12333" width="9" style="255" customWidth="1"/>
    <col min="12334" max="12334" width="16.125" style="255" customWidth="1"/>
    <col min="12335" max="12365" width="9" style="255" customWidth="1"/>
    <col min="12366" max="12525" width="25.25" style="255"/>
    <col min="12526" max="12555" width="9" style="255" customWidth="1"/>
    <col min="12556" max="12556" width="0.5" style="255" customWidth="1"/>
    <col min="12557" max="12557" width="25.25" style="255"/>
    <col min="12558" max="12558" width="0.5" style="255" customWidth="1"/>
    <col min="12559" max="12559" width="25.25" style="255"/>
    <col min="12560" max="12560" width="14.75" style="255" customWidth="1"/>
    <col min="12561" max="12561" width="11.5" style="255" customWidth="1"/>
    <col min="12562" max="12562" width="11.25" style="255" customWidth="1"/>
    <col min="12563" max="12563" width="10.75" style="255" customWidth="1"/>
    <col min="12564" max="12564" width="10" style="255" customWidth="1"/>
    <col min="12565" max="12565" width="9.875" style="255" customWidth="1"/>
    <col min="12566" max="12566" width="26.125" style="255" customWidth="1"/>
    <col min="12567" max="12567" width="11.125" style="255" customWidth="1"/>
    <col min="12568" max="12568" width="7.875" style="255" customWidth="1"/>
    <col min="12569" max="12569" width="7.25" style="255" customWidth="1"/>
    <col min="12570" max="12570" width="9.125" style="255" customWidth="1"/>
    <col min="12571" max="12571" width="15.125" style="255" customWidth="1"/>
    <col min="12572" max="12572" width="7.75" style="255" customWidth="1"/>
    <col min="12573" max="12573" width="7.125" style="255" customWidth="1"/>
    <col min="12574" max="12574" width="12.125" style="255" customWidth="1"/>
    <col min="12575" max="12575" width="8.25" style="255" customWidth="1"/>
    <col min="12576" max="12577" width="10.375" style="255" customWidth="1"/>
    <col min="12578" max="12578" width="15.625" style="255" customWidth="1"/>
    <col min="12579" max="12579" width="15.875" style="255" customWidth="1"/>
    <col min="12580" max="12580" width="8.125" style="255" customWidth="1"/>
    <col min="12581" max="12584" width="10.375" style="255" customWidth="1"/>
    <col min="12585" max="12585" width="7.25" style="255" customWidth="1"/>
    <col min="12586" max="12586" width="7.125" style="255" customWidth="1"/>
    <col min="12587" max="12587" width="9.5" style="255" customWidth="1"/>
    <col min="12588" max="12589" width="9" style="255" customWidth="1"/>
    <col min="12590" max="12590" width="16.125" style="255" customWidth="1"/>
    <col min="12591" max="12621" width="9" style="255" customWidth="1"/>
    <col min="12622" max="12781" width="25.25" style="255"/>
    <col min="12782" max="12811" width="9" style="255" customWidth="1"/>
    <col min="12812" max="12812" width="0.5" style="255" customWidth="1"/>
    <col min="12813" max="12813" width="25.25" style="255"/>
    <col min="12814" max="12814" width="0.5" style="255" customWidth="1"/>
    <col min="12815" max="12815" width="25.25" style="255"/>
    <col min="12816" max="12816" width="14.75" style="255" customWidth="1"/>
    <col min="12817" max="12817" width="11.5" style="255" customWidth="1"/>
    <col min="12818" max="12818" width="11.25" style="255" customWidth="1"/>
    <col min="12819" max="12819" width="10.75" style="255" customWidth="1"/>
    <col min="12820" max="12820" width="10" style="255" customWidth="1"/>
    <col min="12821" max="12821" width="9.875" style="255" customWidth="1"/>
    <col min="12822" max="12822" width="26.125" style="255" customWidth="1"/>
    <col min="12823" max="12823" width="11.125" style="255" customWidth="1"/>
    <col min="12824" max="12824" width="7.875" style="255" customWidth="1"/>
    <col min="12825" max="12825" width="7.25" style="255" customWidth="1"/>
    <col min="12826" max="12826" width="9.125" style="255" customWidth="1"/>
    <col min="12827" max="12827" width="15.125" style="255" customWidth="1"/>
    <col min="12828" max="12828" width="7.75" style="255" customWidth="1"/>
    <col min="12829" max="12829" width="7.125" style="255" customWidth="1"/>
    <col min="12830" max="12830" width="12.125" style="255" customWidth="1"/>
    <col min="12831" max="12831" width="8.25" style="255" customWidth="1"/>
    <col min="12832" max="12833" width="10.375" style="255" customWidth="1"/>
    <col min="12834" max="12834" width="15.625" style="255" customWidth="1"/>
    <col min="12835" max="12835" width="15.875" style="255" customWidth="1"/>
    <col min="12836" max="12836" width="8.125" style="255" customWidth="1"/>
    <col min="12837" max="12840" width="10.375" style="255" customWidth="1"/>
    <col min="12841" max="12841" width="7.25" style="255" customWidth="1"/>
    <col min="12842" max="12842" width="7.125" style="255" customWidth="1"/>
    <col min="12843" max="12843" width="9.5" style="255" customWidth="1"/>
    <col min="12844" max="12845" width="9" style="255" customWidth="1"/>
    <col min="12846" max="12846" width="16.125" style="255" customWidth="1"/>
    <col min="12847" max="12877" width="9" style="255" customWidth="1"/>
    <col min="12878" max="13037" width="25.25" style="255"/>
    <col min="13038" max="13067" width="9" style="255" customWidth="1"/>
    <col min="13068" max="13068" width="0.5" style="255" customWidth="1"/>
    <col min="13069" max="13069" width="25.25" style="255"/>
    <col min="13070" max="13070" width="0.5" style="255" customWidth="1"/>
    <col min="13071" max="13071" width="25.25" style="255"/>
    <col min="13072" max="13072" width="14.75" style="255" customWidth="1"/>
    <col min="13073" max="13073" width="11.5" style="255" customWidth="1"/>
    <col min="13074" max="13074" width="11.25" style="255" customWidth="1"/>
    <col min="13075" max="13075" width="10.75" style="255" customWidth="1"/>
    <col min="13076" max="13076" width="10" style="255" customWidth="1"/>
    <col min="13077" max="13077" width="9.875" style="255" customWidth="1"/>
    <col min="13078" max="13078" width="26.125" style="255" customWidth="1"/>
    <col min="13079" max="13079" width="11.125" style="255" customWidth="1"/>
    <col min="13080" max="13080" width="7.875" style="255" customWidth="1"/>
    <col min="13081" max="13081" width="7.25" style="255" customWidth="1"/>
    <col min="13082" max="13082" width="9.125" style="255" customWidth="1"/>
    <col min="13083" max="13083" width="15.125" style="255" customWidth="1"/>
    <col min="13084" max="13084" width="7.75" style="255" customWidth="1"/>
    <col min="13085" max="13085" width="7.125" style="255" customWidth="1"/>
    <col min="13086" max="13086" width="12.125" style="255" customWidth="1"/>
    <col min="13087" max="13087" width="8.25" style="255" customWidth="1"/>
    <col min="13088" max="13089" width="10.375" style="255" customWidth="1"/>
    <col min="13090" max="13090" width="15.625" style="255" customWidth="1"/>
    <col min="13091" max="13091" width="15.875" style="255" customWidth="1"/>
    <col min="13092" max="13092" width="8.125" style="255" customWidth="1"/>
    <col min="13093" max="13096" width="10.375" style="255" customWidth="1"/>
    <col min="13097" max="13097" width="7.25" style="255" customWidth="1"/>
    <col min="13098" max="13098" width="7.125" style="255" customWidth="1"/>
    <col min="13099" max="13099" width="9.5" style="255" customWidth="1"/>
    <col min="13100" max="13101" width="9" style="255" customWidth="1"/>
    <col min="13102" max="13102" width="16.125" style="255" customWidth="1"/>
    <col min="13103" max="13133" width="9" style="255" customWidth="1"/>
    <col min="13134" max="13293" width="25.25" style="255"/>
    <col min="13294" max="13323" width="9" style="255" customWidth="1"/>
    <col min="13324" max="13324" width="0.5" style="255" customWidth="1"/>
    <col min="13325" max="13325" width="25.25" style="255"/>
    <col min="13326" max="13326" width="0.5" style="255" customWidth="1"/>
    <col min="13327" max="13327" width="25.25" style="255"/>
    <col min="13328" max="13328" width="14.75" style="255" customWidth="1"/>
    <col min="13329" max="13329" width="11.5" style="255" customWidth="1"/>
    <col min="13330" max="13330" width="11.25" style="255" customWidth="1"/>
    <col min="13331" max="13331" width="10.75" style="255" customWidth="1"/>
    <col min="13332" max="13332" width="10" style="255" customWidth="1"/>
    <col min="13333" max="13333" width="9.875" style="255" customWidth="1"/>
    <col min="13334" max="13334" width="26.125" style="255" customWidth="1"/>
    <col min="13335" max="13335" width="11.125" style="255" customWidth="1"/>
    <col min="13336" max="13336" width="7.875" style="255" customWidth="1"/>
    <col min="13337" max="13337" width="7.25" style="255" customWidth="1"/>
    <col min="13338" max="13338" width="9.125" style="255" customWidth="1"/>
    <col min="13339" max="13339" width="15.125" style="255" customWidth="1"/>
    <col min="13340" max="13340" width="7.75" style="255" customWidth="1"/>
    <col min="13341" max="13341" width="7.125" style="255" customWidth="1"/>
    <col min="13342" max="13342" width="12.125" style="255" customWidth="1"/>
    <col min="13343" max="13343" width="8.25" style="255" customWidth="1"/>
    <col min="13344" max="13345" width="10.375" style="255" customWidth="1"/>
    <col min="13346" max="13346" width="15.625" style="255" customWidth="1"/>
    <col min="13347" max="13347" width="15.875" style="255" customWidth="1"/>
    <col min="13348" max="13348" width="8.125" style="255" customWidth="1"/>
    <col min="13349" max="13352" width="10.375" style="255" customWidth="1"/>
    <col min="13353" max="13353" width="7.25" style="255" customWidth="1"/>
    <col min="13354" max="13354" width="7.125" style="255" customWidth="1"/>
    <col min="13355" max="13355" width="9.5" style="255" customWidth="1"/>
    <col min="13356" max="13357" width="9" style="255" customWidth="1"/>
    <col min="13358" max="13358" width="16.125" style="255" customWidth="1"/>
    <col min="13359" max="13389" width="9" style="255" customWidth="1"/>
    <col min="13390" max="13549" width="25.25" style="255"/>
    <col min="13550" max="13579" width="9" style="255" customWidth="1"/>
    <col min="13580" max="13580" width="0.5" style="255" customWidth="1"/>
    <col min="13581" max="13581" width="25.25" style="255"/>
    <col min="13582" max="13582" width="0.5" style="255" customWidth="1"/>
    <col min="13583" max="13583" width="25.25" style="255"/>
    <col min="13584" max="13584" width="14.75" style="255" customWidth="1"/>
    <col min="13585" max="13585" width="11.5" style="255" customWidth="1"/>
    <col min="13586" max="13586" width="11.25" style="255" customWidth="1"/>
    <col min="13587" max="13587" width="10.75" style="255" customWidth="1"/>
    <col min="13588" max="13588" width="10" style="255" customWidth="1"/>
    <col min="13589" max="13589" width="9.875" style="255" customWidth="1"/>
    <col min="13590" max="13590" width="26.125" style="255" customWidth="1"/>
    <col min="13591" max="13591" width="11.125" style="255" customWidth="1"/>
    <col min="13592" max="13592" width="7.875" style="255" customWidth="1"/>
    <col min="13593" max="13593" width="7.25" style="255" customWidth="1"/>
    <col min="13594" max="13594" width="9.125" style="255" customWidth="1"/>
    <col min="13595" max="13595" width="15.125" style="255" customWidth="1"/>
    <col min="13596" max="13596" width="7.75" style="255" customWidth="1"/>
    <col min="13597" max="13597" width="7.125" style="255" customWidth="1"/>
    <col min="13598" max="13598" width="12.125" style="255" customWidth="1"/>
    <col min="13599" max="13599" width="8.25" style="255" customWidth="1"/>
    <col min="13600" max="13601" width="10.375" style="255" customWidth="1"/>
    <col min="13602" max="13602" width="15.625" style="255" customWidth="1"/>
    <col min="13603" max="13603" width="15.875" style="255" customWidth="1"/>
    <col min="13604" max="13604" width="8.125" style="255" customWidth="1"/>
    <col min="13605" max="13608" width="10.375" style="255" customWidth="1"/>
    <col min="13609" max="13609" width="7.25" style="255" customWidth="1"/>
    <col min="13610" max="13610" width="7.125" style="255" customWidth="1"/>
    <col min="13611" max="13611" width="9.5" style="255" customWidth="1"/>
    <col min="13612" max="13613" width="9" style="255" customWidth="1"/>
    <col min="13614" max="13614" width="16.125" style="255" customWidth="1"/>
    <col min="13615" max="13645" width="9" style="255" customWidth="1"/>
    <col min="13646" max="13805" width="25.25" style="255"/>
    <col min="13806" max="13835" width="9" style="255" customWidth="1"/>
    <col min="13836" max="13836" width="0.5" style="255" customWidth="1"/>
    <col min="13837" max="13837" width="25.25" style="255"/>
    <col min="13838" max="13838" width="0.5" style="255" customWidth="1"/>
    <col min="13839" max="13839" width="25.25" style="255"/>
    <col min="13840" max="13840" width="14.75" style="255" customWidth="1"/>
    <col min="13841" max="13841" width="11.5" style="255" customWidth="1"/>
    <col min="13842" max="13842" width="11.25" style="255" customWidth="1"/>
    <col min="13843" max="13843" width="10.75" style="255" customWidth="1"/>
    <col min="13844" max="13844" width="10" style="255" customWidth="1"/>
    <col min="13845" max="13845" width="9.875" style="255" customWidth="1"/>
    <col min="13846" max="13846" width="26.125" style="255" customWidth="1"/>
    <col min="13847" max="13847" width="11.125" style="255" customWidth="1"/>
    <col min="13848" max="13848" width="7.875" style="255" customWidth="1"/>
    <col min="13849" max="13849" width="7.25" style="255" customWidth="1"/>
    <col min="13850" max="13850" width="9.125" style="255" customWidth="1"/>
    <col min="13851" max="13851" width="15.125" style="255" customWidth="1"/>
    <col min="13852" max="13852" width="7.75" style="255" customWidth="1"/>
    <col min="13853" max="13853" width="7.125" style="255" customWidth="1"/>
    <col min="13854" max="13854" width="12.125" style="255" customWidth="1"/>
    <col min="13855" max="13855" width="8.25" style="255" customWidth="1"/>
    <col min="13856" max="13857" width="10.375" style="255" customWidth="1"/>
    <col min="13858" max="13858" width="15.625" style="255" customWidth="1"/>
    <col min="13859" max="13859" width="15.875" style="255" customWidth="1"/>
    <col min="13860" max="13860" width="8.125" style="255" customWidth="1"/>
    <col min="13861" max="13864" width="10.375" style="255" customWidth="1"/>
    <col min="13865" max="13865" width="7.25" style="255" customWidth="1"/>
    <col min="13866" max="13866" width="7.125" style="255" customWidth="1"/>
    <col min="13867" max="13867" width="9.5" style="255" customWidth="1"/>
    <col min="13868" max="13869" width="9" style="255" customWidth="1"/>
    <col min="13870" max="13870" width="16.125" style="255" customWidth="1"/>
    <col min="13871" max="13901" width="9" style="255" customWidth="1"/>
    <col min="13902" max="14061" width="25.25" style="255"/>
    <col min="14062" max="14091" width="9" style="255" customWidth="1"/>
    <col min="14092" max="14092" width="0.5" style="255" customWidth="1"/>
    <col min="14093" max="14093" width="25.25" style="255"/>
    <col min="14094" max="14094" width="0.5" style="255" customWidth="1"/>
    <col min="14095" max="14095" width="25.25" style="255"/>
    <col min="14096" max="14096" width="14.75" style="255" customWidth="1"/>
    <col min="14097" max="14097" width="11.5" style="255" customWidth="1"/>
    <col min="14098" max="14098" width="11.25" style="255" customWidth="1"/>
    <col min="14099" max="14099" width="10.75" style="255" customWidth="1"/>
    <col min="14100" max="14100" width="10" style="255" customWidth="1"/>
    <col min="14101" max="14101" width="9.875" style="255" customWidth="1"/>
    <col min="14102" max="14102" width="26.125" style="255" customWidth="1"/>
    <col min="14103" max="14103" width="11.125" style="255" customWidth="1"/>
    <col min="14104" max="14104" width="7.875" style="255" customWidth="1"/>
    <col min="14105" max="14105" width="7.25" style="255" customWidth="1"/>
    <col min="14106" max="14106" width="9.125" style="255" customWidth="1"/>
    <col min="14107" max="14107" width="15.125" style="255" customWidth="1"/>
    <col min="14108" max="14108" width="7.75" style="255" customWidth="1"/>
    <col min="14109" max="14109" width="7.125" style="255" customWidth="1"/>
    <col min="14110" max="14110" width="12.125" style="255" customWidth="1"/>
    <col min="14111" max="14111" width="8.25" style="255" customWidth="1"/>
    <col min="14112" max="14113" width="10.375" style="255" customWidth="1"/>
    <col min="14114" max="14114" width="15.625" style="255" customWidth="1"/>
    <col min="14115" max="14115" width="15.875" style="255" customWidth="1"/>
    <col min="14116" max="14116" width="8.125" style="255" customWidth="1"/>
    <col min="14117" max="14120" width="10.375" style="255" customWidth="1"/>
    <col min="14121" max="14121" width="7.25" style="255" customWidth="1"/>
    <col min="14122" max="14122" width="7.125" style="255" customWidth="1"/>
    <col min="14123" max="14123" width="9.5" style="255" customWidth="1"/>
    <col min="14124" max="14125" width="9" style="255" customWidth="1"/>
    <col min="14126" max="14126" width="16.125" style="255" customWidth="1"/>
    <col min="14127" max="14157" width="9" style="255" customWidth="1"/>
    <col min="14158" max="14317" width="25.25" style="255"/>
    <col min="14318" max="14347" width="9" style="255" customWidth="1"/>
    <col min="14348" max="14348" width="0.5" style="255" customWidth="1"/>
    <col min="14349" max="14349" width="25.25" style="255"/>
    <col min="14350" max="14350" width="0.5" style="255" customWidth="1"/>
    <col min="14351" max="14351" width="25.25" style="255"/>
    <col min="14352" max="14352" width="14.75" style="255" customWidth="1"/>
    <col min="14353" max="14353" width="11.5" style="255" customWidth="1"/>
    <col min="14354" max="14354" width="11.25" style="255" customWidth="1"/>
    <col min="14355" max="14355" width="10.75" style="255" customWidth="1"/>
    <col min="14356" max="14356" width="10" style="255" customWidth="1"/>
    <col min="14357" max="14357" width="9.875" style="255" customWidth="1"/>
    <col min="14358" max="14358" width="26.125" style="255" customWidth="1"/>
    <col min="14359" max="14359" width="11.125" style="255" customWidth="1"/>
    <col min="14360" max="14360" width="7.875" style="255" customWidth="1"/>
    <col min="14361" max="14361" width="7.25" style="255" customWidth="1"/>
    <col min="14362" max="14362" width="9.125" style="255" customWidth="1"/>
    <col min="14363" max="14363" width="15.125" style="255" customWidth="1"/>
    <col min="14364" max="14364" width="7.75" style="255" customWidth="1"/>
    <col min="14365" max="14365" width="7.125" style="255" customWidth="1"/>
    <col min="14366" max="14366" width="12.125" style="255" customWidth="1"/>
    <col min="14367" max="14367" width="8.25" style="255" customWidth="1"/>
    <col min="14368" max="14369" width="10.375" style="255" customWidth="1"/>
    <col min="14370" max="14370" width="15.625" style="255" customWidth="1"/>
    <col min="14371" max="14371" width="15.875" style="255" customWidth="1"/>
    <col min="14372" max="14372" width="8.125" style="255" customWidth="1"/>
    <col min="14373" max="14376" width="10.375" style="255" customWidth="1"/>
    <col min="14377" max="14377" width="7.25" style="255" customWidth="1"/>
    <col min="14378" max="14378" width="7.125" style="255" customWidth="1"/>
    <col min="14379" max="14379" width="9.5" style="255" customWidth="1"/>
    <col min="14380" max="14381" width="9" style="255" customWidth="1"/>
    <col min="14382" max="14382" width="16.125" style="255" customWidth="1"/>
    <col min="14383" max="14413" width="9" style="255" customWidth="1"/>
    <col min="14414" max="14573" width="25.25" style="255"/>
    <col min="14574" max="14603" width="9" style="255" customWidth="1"/>
    <col min="14604" max="14604" width="0.5" style="255" customWidth="1"/>
    <col min="14605" max="14605" width="25.25" style="255"/>
    <col min="14606" max="14606" width="0.5" style="255" customWidth="1"/>
    <col min="14607" max="14607" width="25.25" style="255"/>
    <col min="14608" max="14608" width="14.75" style="255" customWidth="1"/>
    <col min="14609" max="14609" width="11.5" style="255" customWidth="1"/>
    <col min="14610" max="14610" width="11.25" style="255" customWidth="1"/>
    <col min="14611" max="14611" width="10.75" style="255" customWidth="1"/>
    <col min="14612" max="14612" width="10" style="255" customWidth="1"/>
    <col min="14613" max="14613" width="9.875" style="255" customWidth="1"/>
    <col min="14614" max="14614" width="26.125" style="255" customWidth="1"/>
    <col min="14615" max="14615" width="11.125" style="255" customWidth="1"/>
    <col min="14616" max="14616" width="7.875" style="255" customWidth="1"/>
    <col min="14617" max="14617" width="7.25" style="255" customWidth="1"/>
    <col min="14618" max="14618" width="9.125" style="255" customWidth="1"/>
    <col min="14619" max="14619" width="15.125" style="255" customWidth="1"/>
    <col min="14620" max="14620" width="7.75" style="255" customWidth="1"/>
    <col min="14621" max="14621" width="7.125" style="255" customWidth="1"/>
    <col min="14622" max="14622" width="12.125" style="255" customWidth="1"/>
    <col min="14623" max="14623" width="8.25" style="255" customWidth="1"/>
    <col min="14624" max="14625" width="10.375" style="255" customWidth="1"/>
    <col min="14626" max="14626" width="15.625" style="255" customWidth="1"/>
    <col min="14627" max="14627" width="15.875" style="255" customWidth="1"/>
    <col min="14628" max="14628" width="8.125" style="255" customWidth="1"/>
    <col min="14629" max="14632" width="10.375" style="255" customWidth="1"/>
    <col min="14633" max="14633" width="7.25" style="255" customWidth="1"/>
    <col min="14634" max="14634" width="7.125" style="255" customWidth="1"/>
    <col min="14635" max="14635" width="9.5" style="255" customWidth="1"/>
    <col min="14636" max="14637" width="9" style="255" customWidth="1"/>
    <col min="14638" max="14638" width="16.125" style="255" customWidth="1"/>
    <col min="14639" max="14669" width="9" style="255" customWidth="1"/>
    <col min="14670" max="14829" width="25.25" style="255"/>
    <col min="14830" max="14859" width="9" style="255" customWidth="1"/>
    <col min="14860" max="14860" width="0.5" style="255" customWidth="1"/>
    <col min="14861" max="14861" width="25.25" style="255"/>
    <col min="14862" max="14862" width="0.5" style="255" customWidth="1"/>
    <col min="14863" max="14863" width="25.25" style="255"/>
    <col min="14864" max="14864" width="14.75" style="255" customWidth="1"/>
    <col min="14865" max="14865" width="11.5" style="255" customWidth="1"/>
    <col min="14866" max="14866" width="11.25" style="255" customWidth="1"/>
    <col min="14867" max="14867" width="10.75" style="255" customWidth="1"/>
    <col min="14868" max="14868" width="10" style="255" customWidth="1"/>
    <col min="14869" max="14869" width="9.875" style="255" customWidth="1"/>
    <col min="14870" max="14870" width="26.125" style="255" customWidth="1"/>
    <col min="14871" max="14871" width="11.125" style="255" customWidth="1"/>
    <col min="14872" max="14872" width="7.875" style="255" customWidth="1"/>
    <col min="14873" max="14873" width="7.25" style="255" customWidth="1"/>
    <col min="14874" max="14874" width="9.125" style="255" customWidth="1"/>
    <col min="14875" max="14875" width="15.125" style="255" customWidth="1"/>
    <col min="14876" max="14876" width="7.75" style="255" customWidth="1"/>
    <col min="14877" max="14877" width="7.125" style="255" customWidth="1"/>
    <col min="14878" max="14878" width="12.125" style="255" customWidth="1"/>
    <col min="14879" max="14879" width="8.25" style="255" customWidth="1"/>
    <col min="14880" max="14881" width="10.375" style="255" customWidth="1"/>
    <col min="14882" max="14882" width="15.625" style="255" customWidth="1"/>
    <col min="14883" max="14883" width="15.875" style="255" customWidth="1"/>
    <col min="14884" max="14884" width="8.125" style="255" customWidth="1"/>
    <col min="14885" max="14888" width="10.375" style="255" customWidth="1"/>
    <col min="14889" max="14889" width="7.25" style="255" customWidth="1"/>
    <col min="14890" max="14890" width="7.125" style="255" customWidth="1"/>
    <col min="14891" max="14891" width="9.5" style="255" customWidth="1"/>
    <col min="14892" max="14893" width="9" style="255" customWidth="1"/>
    <col min="14894" max="14894" width="16.125" style="255" customWidth="1"/>
    <col min="14895" max="14925" width="9" style="255" customWidth="1"/>
    <col min="14926" max="15085" width="25.25" style="255"/>
    <col min="15086" max="15115" width="9" style="255" customWidth="1"/>
    <col min="15116" max="15116" width="0.5" style="255" customWidth="1"/>
    <col min="15117" max="15117" width="25.25" style="255"/>
    <col min="15118" max="15118" width="0.5" style="255" customWidth="1"/>
    <col min="15119" max="15119" width="25.25" style="255"/>
    <col min="15120" max="15120" width="14.75" style="255" customWidth="1"/>
    <col min="15121" max="15121" width="11.5" style="255" customWidth="1"/>
    <col min="15122" max="15122" width="11.25" style="255" customWidth="1"/>
    <col min="15123" max="15123" width="10.75" style="255" customWidth="1"/>
    <col min="15124" max="15124" width="10" style="255" customWidth="1"/>
    <col min="15125" max="15125" width="9.875" style="255" customWidth="1"/>
    <col min="15126" max="15126" width="26.125" style="255" customWidth="1"/>
    <col min="15127" max="15127" width="11.125" style="255" customWidth="1"/>
    <col min="15128" max="15128" width="7.875" style="255" customWidth="1"/>
    <col min="15129" max="15129" width="7.25" style="255" customWidth="1"/>
    <col min="15130" max="15130" width="9.125" style="255" customWidth="1"/>
    <col min="15131" max="15131" width="15.125" style="255" customWidth="1"/>
    <col min="15132" max="15132" width="7.75" style="255" customWidth="1"/>
    <col min="15133" max="15133" width="7.125" style="255" customWidth="1"/>
    <col min="15134" max="15134" width="12.125" style="255" customWidth="1"/>
    <col min="15135" max="15135" width="8.25" style="255" customWidth="1"/>
    <col min="15136" max="15137" width="10.375" style="255" customWidth="1"/>
    <col min="15138" max="15138" width="15.625" style="255" customWidth="1"/>
    <col min="15139" max="15139" width="15.875" style="255" customWidth="1"/>
    <col min="15140" max="15140" width="8.125" style="255" customWidth="1"/>
    <col min="15141" max="15144" width="10.375" style="255" customWidth="1"/>
    <col min="15145" max="15145" width="7.25" style="255" customWidth="1"/>
    <col min="15146" max="15146" width="7.125" style="255" customWidth="1"/>
    <col min="15147" max="15147" width="9.5" style="255" customWidth="1"/>
    <col min="15148" max="15149" width="9" style="255" customWidth="1"/>
    <col min="15150" max="15150" width="16.125" style="255" customWidth="1"/>
    <col min="15151" max="15181" width="9" style="255" customWidth="1"/>
    <col min="15182" max="15341" width="25.25" style="255"/>
    <col min="15342" max="15371" width="9" style="255" customWidth="1"/>
    <col min="15372" max="15372" width="0.5" style="255" customWidth="1"/>
    <col min="15373" max="15373" width="25.25" style="255"/>
    <col min="15374" max="15374" width="0.5" style="255" customWidth="1"/>
    <col min="15375" max="15375" width="25.25" style="255"/>
    <col min="15376" max="15376" width="14.75" style="255" customWidth="1"/>
    <col min="15377" max="15377" width="11.5" style="255" customWidth="1"/>
    <col min="15378" max="15378" width="11.25" style="255" customWidth="1"/>
    <col min="15379" max="15379" width="10.75" style="255" customWidth="1"/>
    <col min="15380" max="15380" width="10" style="255" customWidth="1"/>
    <col min="15381" max="15381" width="9.875" style="255" customWidth="1"/>
    <col min="15382" max="15382" width="26.125" style="255" customWidth="1"/>
    <col min="15383" max="15383" width="11.125" style="255" customWidth="1"/>
    <col min="15384" max="15384" width="7.875" style="255" customWidth="1"/>
    <col min="15385" max="15385" width="7.25" style="255" customWidth="1"/>
    <col min="15386" max="15386" width="9.125" style="255" customWidth="1"/>
    <col min="15387" max="15387" width="15.125" style="255" customWidth="1"/>
    <col min="15388" max="15388" width="7.75" style="255" customWidth="1"/>
    <col min="15389" max="15389" width="7.125" style="255" customWidth="1"/>
    <col min="15390" max="15390" width="12.125" style="255" customWidth="1"/>
    <col min="15391" max="15391" width="8.25" style="255" customWidth="1"/>
    <col min="15392" max="15393" width="10.375" style="255" customWidth="1"/>
    <col min="15394" max="15394" width="15.625" style="255" customWidth="1"/>
    <col min="15395" max="15395" width="15.875" style="255" customWidth="1"/>
    <col min="15396" max="15396" width="8.125" style="255" customWidth="1"/>
    <col min="15397" max="15400" width="10.375" style="255" customWidth="1"/>
    <col min="15401" max="15401" width="7.25" style="255" customWidth="1"/>
    <col min="15402" max="15402" width="7.125" style="255" customWidth="1"/>
    <col min="15403" max="15403" width="9.5" style="255" customWidth="1"/>
    <col min="15404" max="15405" width="9" style="255" customWidth="1"/>
    <col min="15406" max="15406" width="16.125" style="255" customWidth="1"/>
    <col min="15407" max="15437" width="9" style="255" customWidth="1"/>
    <col min="15438" max="15597" width="25.25" style="255"/>
    <col min="15598" max="15627" width="9" style="255" customWidth="1"/>
    <col min="15628" max="15628" width="0.5" style="255" customWidth="1"/>
    <col min="15629" max="15629" width="25.25" style="255"/>
    <col min="15630" max="15630" width="0.5" style="255" customWidth="1"/>
    <col min="15631" max="15631" width="25.25" style="255"/>
    <col min="15632" max="15632" width="14.75" style="255" customWidth="1"/>
    <col min="15633" max="15633" width="11.5" style="255" customWidth="1"/>
    <col min="15634" max="15634" width="11.25" style="255" customWidth="1"/>
    <col min="15635" max="15635" width="10.75" style="255" customWidth="1"/>
    <col min="15636" max="15636" width="10" style="255" customWidth="1"/>
    <col min="15637" max="15637" width="9.875" style="255" customWidth="1"/>
    <col min="15638" max="15638" width="26.125" style="255" customWidth="1"/>
    <col min="15639" max="15639" width="11.125" style="255" customWidth="1"/>
    <col min="15640" max="15640" width="7.875" style="255" customWidth="1"/>
    <col min="15641" max="15641" width="7.25" style="255" customWidth="1"/>
    <col min="15642" max="15642" width="9.125" style="255" customWidth="1"/>
    <col min="15643" max="15643" width="15.125" style="255" customWidth="1"/>
    <col min="15644" max="15644" width="7.75" style="255" customWidth="1"/>
    <col min="15645" max="15645" width="7.125" style="255" customWidth="1"/>
    <col min="15646" max="15646" width="12.125" style="255" customWidth="1"/>
    <col min="15647" max="15647" width="8.25" style="255" customWidth="1"/>
    <col min="15648" max="15649" width="10.375" style="255" customWidth="1"/>
    <col min="15650" max="15650" width="15.625" style="255" customWidth="1"/>
    <col min="15651" max="15651" width="15.875" style="255" customWidth="1"/>
    <col min="15652" max="15652" width="8.125" style="255" customWidth="1"/>
    <col min="15653" max="15656" width="10.375" style="255" customWidth="1"/>
    <col min="15657" max="15657" width="7.25" style="255" customWidth="1"/>
    <col min="15658" max="15658" width="7.125" style="255" customWidth="1"/>
    <col min="15659" max="15659" width="9.5" style="255" customWidth="1"/>
    <col min="15660" max="15661" width="9" style="255" customWidth="1"/>
    <col min="15662" max="15662" width="16.125" style="255" customWidth="1"/>
    <col min="15663" max="15693" width="9" style="255" customWidth="1"/>
    <col min="15694" max="15853" width="25.25" style="255"/>
    <col min="15854" max="15883" width="9" style="255" customWidth="1"/>
    <col min="15884" max="15884" width="0.5" style="255" customWidth="1"/>
    <col min="15885" max="15885" width="25.25" style="255"/>
    <col min="15886" max="15886" width="0.5" style="255" customWidth="1"/>
    <col min="15887" max="15887" width="25.25" style="255"/>
    <col min="15888" max="15888" width="14.75" style="255" customWidth="1"/>
    <col min="15889" max="15889" width="11.5" style="255" customWidth="1"/>
    <col min="15890" max="15890" width="11.25" style="255" customWidth="1"/>
    <col min="15891" max="15891" width="10.75" style="255" customWidth="1"/>
    <col min="15892" max="15892" width="10" style="255" customWidth="1"/>
    <col min="15893" max="15893" width="9.875" style="255" customWidth="1"/>
    <col min="15894" max="15894" width="26.125" style="255" customWidth="1"/>
    <col min="15895" max="15895" width="11.125" style="255" customWidth="1"/>
    <col min="15896" max="15896" width="7.875" style="255" customWidth="1"/>
    <col min="15897" max="15897" width="7.25" style="255" customWidth="1"/>
    <col min="15898" max="15898" width="9.125" style="255" customWidth="1"/>
    <col min="15899" max="15899" width="15.125" style="255" customWidth="1"/>
    <col min="15900" max="15900" width="7.75" style="255" customWidth="1"/>
    <col min="15901" max="15901" width="7.125" style="255" customWidth="1"/>
    <col min="15902" max="15902" width="12.125" style="255" customWidth="1"/>
    <col min="15903" max="15903" width="8.25" style="255" customWidth="1"/>
    <col min="15904" max="15905" width="10.375" style="255" customWidth="1"/>
    <col min="15906" max="15906" width="15.625" style="255" customWidth="1"/>
    <col min="15907" max="15907" width="15.875" style="255" customWidth="1"/>
    <col min="15908" max="15908" width="8.125" style="255" customWidth="1"/>
    <col min="15909" max="15912" width="10.375" style="255" customWidth="1"/>
    <col min="15913" max="15913" width="7.25" style="255" customWidth="1"/>
    <col min="15914" max="15914" width="7.125" style="255" customWidth="1"/>
    <col min="15915" max="15915" width="9.5" style="255" customWidth="1"/>
    <col min="15916" max="15917" width="9" style="255" customWidth="1"/>
    <col min="15918" max="15918" width="16.125" style="255" customWidth="1"/>
    <col min="15919" max="15949" width="9" style="255" customWidth="1"/>
    <col min="15950" max="16109" width="25.25" style="255"/>
    <col min="16110" max="16139" width="9" style="255" customWidth="1"/>
    <col min="16140" max="16140" width="0.5" style="255" customWidth="1"/>
    <col min="16141" max="16384" width="25.25" style="255"/>
  </cols>
  <sheetData>
    <row r="1" spans="1:16" ht="14.25" thickBot="1"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1"/>
      <c r="O1" s="1"/>
      <c r="P1" s="1"/>
    </row>
    <row r="2" spans="1:16" ht="18" customHeight="1">
      <c r="A2" s="5"/>
      <c r="B2" s="6" t="s">
        <v>402</v>
      </c>
      <c r="C2" s="254"/>
      <c r="D2" s="254" t="s">
        <v>9</v>
      </c>
      <c r="E2" s="254" t="s">
        <v>10</v>
      </c>
      <c r="F2" s="661" t="s">
        <v>11</v>
      </c>
      <c r="G2" s="661"/>
      <c r="H2" s="661"/>
      <c r="I2" s="662" t="s">
        <v>12</v>
      </c>
      <c r="J2" s="664" t="s">
        <v>13</v>
      </c>
      <c r="K2" s="665"/>
      <c r="L2" s="665"/>
      <c r="M2" s="666"/>
      <c r="N2" s="8"/>
      <c r="O2" s="8"/>
      <c r="P2" s="8"/>
    </row>
    <row r="3" spans="1:16" ht="18" customHeight="1">
      <c r="B3" s="9" t="s">
        <v>14</v>
      </c>
      <c r="C3" s="10" t="s">
        <v>15</v>
      </c>
      <c r="D3" s="10" t="s">
        <v>16</v>
      </c>
      <c r="E3" s="10" t="s">
        <v>17</v>
      </c>
      <c r="F3" s="10" t="s">
        <v>7</v>
      </c>
      <c r="G3" s="10" t="s">
        <v>5</v>
      </c>
      <c r="H3" s="10" t="s">
        <v>18</v>
      </c>
      <c r="I3" s="663"/>
      <c r="J3" s="11" t="s">
        <v>19</v>
      </c>
      <c r="K3" s="12" t="s">
        <v>20</v>
      </c>
      <c r="L3" s="12" t="s">
        <v>21</v>
      </c>
      <c r="M3" s="13" t="s">
        <v>22</v>
      </c>
      <c r="N3" s="14"/>
      <c r="P3" s="15"/>
    </row>
    <row r="4" spans="1:16" ht="18" customHeight="1">
      <c r="B4" s="667" t="str">
        <f ca="1">MID(CELL("filename",Q13),FIND("]",CELL("filename",Q13))+1,30)</f>
        <v>C2735-G</v>
      </c>
      <c r="C4" s="17" t="s">
        <v>23</v>
      </c>
      <c r="D4" s="17">
        <v>2700</v>
      </c>
      <c r="E4" s="17">
        <v>3500</v>
      </c>
      <c r="F4" s="18">
        <v>8.6679999999999993</v>
      </c>
      <c r="G4" s="17">
        <v>1</v>
      </c>
      <c r="H4" s="17">
        <f>F4*G4</f>
        <v>8.6679999999999993</v>
      </c>
      <c r="I4" s="663"/>
      <c r="J4" s="19">
        <v>40</v>
      </c>
      <c r="K4" s="20">
        <v>20</v>
      </c>
      <c r="L4" s="21">
        <v>1.5</v>
      </c>
      <c r="M4" s="22">
        <f t="shared" ref="M4:M11" si="0">ROUND(((J4*K4)-(J4-2*L4)*(K4-2*L4))*7.8/1000,3)</f>
        <v>1.3340000000000001</v>
      </c>
    </row>
    <row r="5" spans="1:16" ht="18" customHeight="1">
      <c r="B5" s="668"/>
      <c r="C5" s="221" t="s">
        <v>299</v>
      </c>
      <c r="D5" s="221">
        <f>D4-70</f>
        <v>2630</v>
      </c>
      <c r="E5" s="221">
        <f>E4-70</f>
        <v>3430</v>
      </c>
      <c r="F5" s="222">
        <f>D5*E5/10^6</f>
        <v>9.0208999999999993</v>
      </c>
      <c r="G5" s="221">
        <v>1</v>
      </c>
      <c r="H5" s="222">
        <f>F5*G5</f>
        <v>9.0208999999999993</v>
      </c>
      <c r="I5" s="663"/>
      <c r="J5" s="19">
        <v>40</v>
      </c>
      <c r="K5" s="20">
        <v>20</v>
      </c>
      <c r="L5" s="21">
        <v>2</v>
      </c>
      <c r="M5" s="22">
        <f t="shared" si="0"/>
        <v>1.7470000000000001</v>
      </c>
    </row>
    <row r="6" spans="1:16" ht="18" customHeight="1">
      <c r="B6" s="669"/>
      <c r="C6" s="17" t="s">
        <v>24</v>
      </c>
      <c r="D6" s="17">
        <f>D4-80</f>
        <v>2620</v>
      </c>
      <c r="E6" s="17">
        <f>E4-80</f>
        <v>3420</v>
      </c>
      <c r="F6" s="18">
        <f>D6*E6/10^6</f>
        <v>8.9603999999999999</v>
      </c>
      <c r="G6" s="17">
        <v>1</v>
      </c>
      <c r="H6" s="18">
        <f>F6*G6</f>
        <v>8.9603999999999999</v>
      </c>
      <c r="I6" s="663"/>
      <c r="J6" s="19">
        <v>40</v>
      </c>
      <c r="K6" s="20">
        <v>20</v>
      </c>
      <c r="L6" s="21">
        <v>2</v>
      </c>
      <c r="M6" s="22">
        <f t="shared" si="0"/>
        <v>1.7470000000000001</v>
      </c>
    </row>
    <row r="7" spans="1:16" ht="18" customHeight="1">
      <c r="B7" s="23" t="s">
        <v>25</v>
      </c>
      <c r="C7" s="252" t="s">
        <v>16</v>
      </c>
      <c r="D7" s="252" t="s">
        <v>26</v>
      </c>
      <c r="E7" s="252" t="s">
        <v>17</v>
      </c>
      <c r="F7" s="252" t="s">
        <v>27</v>
      </c>
      <c r="G7" s="252" t="s">
        <v>22</v>
      </c>
      <c r="H7" s="252" t="s">
        <v>28</v>
      </c>
      <c r="I7" s="25" t="s">
        <v>29</v>
      </c>
      <c r="J7" s="19">
        <v>80</v>
      </c>
      <c r="K7" s="20">
        <v>40</v>
      </c>
      <c r="L7" s="21">
        <v>2</v>
      </c>
      <c r="M7" s="22">
        <f t="shared" si="0"/>
        <v>3.6190000000000002</v>
      </c>
    </row>
    <row r="8" spans="1:16" ht="18" customHeight="1">
      <c r="B8" s="251" t="s">
        <v>30</v>
      </c>
      <c r="C8" s="27">
        <f>D4-30</f>
        <v>2670</v>
      </c>
      <c r="D8" s="27">
        <v>2</v>
      </c>
      <c r="E8" s="27">
        <f>E4-30</f>
        <v>3470</v>
      </c>
      <c r="F8" s="27">
        <v>2</v>
      </c>
      <c r="G8" s="28">
        <v>1.7470000000000001</v>
      </c>
      <c r="H8" s="29">
        <f>材料价格!B3</f>
        <v>7.5</v>
      </c>
      <c r="I8" s="30">
        <f>ROUND((C8*D8+E8*F8)*G8*H8/1000*1.1,2)</f>
        <v>176.99</v>
      </c>
      <c r="J8" s="19">
        <v>40</v>
      </c>
      <c r="K8" s="20">
        <v>20</v>
      </c>
      <c r="L8" s="21">
        <v>1.4</v>
      </c>
      <c r="M8" s="22">
        <f>ROUND(((J8*K8)-(J8-2*L8)*(K8-2*L8))*2.71/1000,3)</f>
        <v>0.434</v>
      </c>
    </row>
    <row r="9" spans="1:16" ht="18" customHeight="1">
      <c r="B9" s="251" t="s">
        <v>30</v>
      </c>
      <c r="C9" s="250"/>
      <c r="D9" s="250"/>
      <c r="E9" s="250"/>
      <c r="F9" s="250"/>
      <c r="G9" s="28">
        <v>1.7470000000000001</v>
      </c>
      <c r="H9" s="32">
        <f>H8</f>
        <v>7.5</v>
      </c>
      <c r="I9" s="30">
        <f>ROUND((C9*D9+E9*F9)*G9*H9/1000*1.1,2)</f>
        <v>0</v>
      </c>
      <c r="J9" s="19"/>
      <c r="K9" s="20"/>
      <c r="L9" s="21"/>
      <c r="M9" s="22">
        <f t="shared" si="0"/>
        <v>0</v>
      </c>
    </row>
    <row r="10" spans="1:16" ht="18" customHeight="1">
      <c r="B10" s="251" t="s">
        <v>31</v>
      </c>
      <c r="C10" s="250"/>
      <c r="D10" s="250"/>
      <c r="E10" s="250"/>
      <c r="F10" s="250"/>
      <c r="G10" s="28">
        <v>3.6190000000000002</v>
      </c>
      <c r="H10" s="32">
        <f>H9</f>
        <v>7.5</v>
      </c>
      <c r="I10" s="30">
        <f>ROUND((C10*D10+E10*F10)*G10*H10/1000*1.1,2)</f>
        <v>0</v>
      </c>
      <c r="J10" s="19"/>
      <c r="K10" s="20"/>
      <c r="L10" s="12"/>
      <c r="M10" s="22">
        <f t="shared" si="0"/>
        <v>0</v>
      </c>
    </row>
    <row r="11" spans="1:16" ht="18" customHeight="1" thickBot="1">
      <c r="B11" s="251" t="s">
        <v>32</v>
      </c>
      <c r="C11" s="250"/>
      <c r="D11" s="250"/>
      <c r="E11" s="250"/>
      <c r="F11" s="250"/>
      <c r="G11" s="28">
        <v>2.9950000000000001</v>
      </c>
      <c r="H11" s="32">
        <f>H10</f>
        <v>7.5</v>
      </c>
      <c r="I11" s="30">
        <f>ROUND((C11*D11+E11*F11)*G11*H11/1000*1.1,2)</f>
        <v>0</v>
      </c>
      <c r="J11" s="33"/>
      <c r="K11" s="34"/>
      <c r="L11" s="35"/>
      <c r="M11" s="36">
        <f t="shared" si="0"/>
        <v>0</v>
      </c>
    </row>
    <row r="12" spans="1:16" ht="18" customHeight="1">
      <c r="B12" s="37" t="s">
        <v>33</v>
      </c>
      <c r="C12" s="38">
        <f>((I9+I10+I8+I11)/H8)/F4</f>
        <v>2.7225042301184437</v>
      </c>
      <c r="D12" s="39" t="s">
        <v>34</v>
      </c>
      <c r="E12" s="38">
        <f>(I9+I10+I8+I11)/F4</f>
        <v>20.418781725888326</v>
      </c>
      <c r="F12" s="40" t="s">
        <v>35</v>
      </c>
      <c r="G12" s="39"/>
      <c r="H12" s="39">
        <f>ROUND(SUM(I8:I11)/H8,2)</f>
        <v>23.6</v>
      </c>
      <c r="I12" s="41">
        <f>SUM(I8:I11)</f>
        <v>176.99</v>
      </c>
      <c r="J12" s="42"/>
    </row>
    <row r="13" spans="1:16" ht="18" customHeight="1">
      <c r="B13" s="23" t="s">
        <v>36</v>
      </c>
      <c r="C13" s="252" t="s">
        <v>14</v>
      </c>
      <c r="D13" s="252" t="s">
        <v>37</v>
      </c>
      <c r="E13" s="252" t="s">
        <v>38</v>
      </c>
      <c r="F13" s="252" t="s">
        <v>39</v>
      </c>
      <c r="G13" s="252" t="s">
        <v>8</v>
      </c>
      <c r="H13" s="252" t="s">
        <v>22</v>
      </c>
      <c r="I13" s="25" t="s">
        <v>40</v>
      </c>
    </row>
    <row r="14" spans="1:16" ht="18" customHeight="1">
      <c r="B14" s="648" t="s">
        <v>41</v>
      </c>
      <c r="C14" s="649" t="s">
        <v>404</v>
      </c>
      <c r="D14" s="250">
        <f>D6</f>
        <v>2620</v>
      </c>
      <c r="E14" s="250">
        <v>1350</v>
      </c>
      <c r="F14" s="44">
        <f>ROUND((D14+E14)*2/1000,4)</f>
        <v>7.94</v>
      </c>
      <c r="G14" s="250">
        <v>1</v>
      </c>
      <c r="H14" s="250">
        <v>1.47</v>
      </c>
      <c r="I14" s="284">
        <f>ROUND(F14*G14*H14,3)*2</f>
        <v>23.344000000000001</v>
      </c>
      <c r="J14" s="42"/>
      <c r="K14" s="46"/>
      <c r="L14" s="46"/>
      <c r="M14" s="42"/>
    </row>
    <row r="15" spans="1:16" ht="18" customHeight="1">
      <c r="B15" s="648"/>
      <c r="C15" s="650"/>
      <c r="D15" s="250">
        <f>D14</f>
        <v>2620</v>
      </c>
      <c r="E15" s="250">
        <f>E6-E14</f>
        <v>2070</v>
      </c>
      <c r="F15" s="44">
        <f t="shared" ref="F15:F21" si="1">ROUND((D15+E15)*2/1000,4)</f>
        <v>9.3800000000000008</v>
      </c>
      <c r="G15" s="250">
        <v>1</v>
      </c>
      <c r="H15" s="250">
        <f t="shared" ref="H15:H21" si="2">H14</f>
        <v>1.47</v>
      </c>
      <c r="I15" s="247">
        <f>ROUND(F15*G15*H15,3)</f>
        <v>13.789</v>
      </c>
      <c r="K15" s="47"/>
      <c r="M15" s="255"/>
    </row>
    <row r="16" spans="1:16" ht="18" customHeight="1">
      <c r="B16" s="648"/>
      <c r="C16" s="650"/>
      <c r="D16" s="250"/>
      <c r="E16" s="250"/>
      <c r="F16" s="44">
        <f t="shared" si="1"/>
        <v>0</v>
      </c>
      <c r="G16" s="250"/>
      <c r="H16" s="250">
        <f t="shared" si="2"/>
        <v>1.47</v>
      </c>
      <c r="I16" s="247">
        <f t="shared" ref="I16:I21" si="3">ROUND(F16*G16*H16,3)</f>
        <v>0</v>
      </c>
      <c r="K16" s="47"/>
      <c r="L16" s="46"/>
      <c r="M16" s="42"/>
    </row>
    <row r="17" spans="2:15" ht="18" customHeight="1">
      <c r="B17" s="648"/>
      <c r="C17" s="650"/>
      <c r="D17" s="250"/>
      <c r="E17" s="250"/>
      <c r="F17" s="44">
        <f t="shared" si="1"/>
        <v>0</v>
      </c>
      <c r="G17" s="250"/>
      <c r="H17" s="250">
        <f t="shared" si="2"/>
        <v>1.47</v>
      </c>
      <c r="I17" s="247">
        <f t="shared" si="3"/>
        <v>0</v>
      </c>
      <c r="K17" s="47"/>
      <c r="M17" s="42"/>
    </row>
    <row r="18" spans="2:15" ht="18" customHeight="1">
      <c r="B18" s="648"/>
      <c r="C18" s="650"/>
      <c r="D18" s="250"/>
      <c r="E18" s="250"/>
      <c r="F18" s="44">
        <f t="shared" si="1"/>
        <v>0</v>
      </c>
      <c r="G18" s="250"/>
      <c r="H18" s="250">
        <f t="shared" si="2"/>
        <v>1.47</v>
      </c>
      <c r="I18" s="247">
        <f t="shared" si="3"/>
        <v>0</v>
      </c>
      <c r="M18" s="42"/>
    </row>
    <row r="19" spans="2:15" ht="18" customHeight="1">
      <c r="B19" s="648"/>
      <c r="C19" s="650"/>
      <c r="D19" s="250"/>
      <c r="E19" s="250"/>
      <c r="F19" s="44">
        <f t="shared" si="1"/>
        <v>0</v>
      </c>
      <c r="G19" s="250"/>
      <c r="H19" s="250">
        <f t="shared" si="2"/>
        <v>1.47</v>
      </c>
      <c r="I19" s="247">
        <f t="shared" si="3"/>
        <v>0</v>
      </c>
      <c r="M19" s="42"/>
    </row>
    <row r="20" spans="2:15" ht="18" customHeight="1">
      <c r="B20" s="648"/>
      <c r="C20" s="650"/>
      <c r="D20" s="250"/>
      <c r="E20" s="250"/>
      <c r="F20" s="44">
        <f t="shared" si="1"/>
        <v>0</v>
      </c>
      <c r="G20" s="250"/>
      <c r="H20" s="250">
        <f t="shared" si="2"/>
        <v>1.47</v>
      </c>
      <c r="I20" s="247">
        <f t="shared" si="3"/>
        <v>0</v>
      </c>
      <c r="K20" s="47"/>
      <c r="M20" s="42"/>
    </row>
    <row r="21" spans="2:15" ht="18" customHeight="1">
      <c r="B21" s="648"/>
      <c r="C21" s="651"/>
      <c r="D21" s="250"/>
      <c r="E21" s="250"/>
      <c r="F21" s="44">
        <f t="shared" si="1"/>
        <v>0</v>
      </c>
      <c r="G21" s="250"/>
      <c r="H21" s="250">
        <f t="shared" si="2"/>
        <v>1.47</v>
      </c>
      <c r="I21" s="247">
        <f t="shared" si="3"/>
        <v>0</v>
      </c>
    </row>
    <row r="22" spans="2:15" ht="18" customHeight="1">
      <c r="B22" s="48" t="s">
        <v>42</v>
      </c>
      <c r="C22" s="49">
        <f>SUMPRODUCT(F14:F21*G14:G21)</f>
        <v>17.32</v>
      </c>
      <c r="D22" s="50" t="s">
        <v>43</v>
      </c>
      <c r="E22" s="49">
        <f>SUM(I14:I21)*1.1</f>
        <v>40.846300000000006</v>
      </c>
      <c r="F22" s="50" t="s">
        <v>44</v>
      </c>
      <c r="G22" s="51">
        <f>(C$218+C$219)/1000</f>
        <v>46.081499999999998</v>
      </c>
      <c r="H22" s="52" t="s">
        <v>45</v>
      </c>
      <c r="I22" s="53">
        <f>ROUND(E22*G22,2)</f>
        <v>1882.26</v>
      </c>
      <c r="J22" s="243">
        <f>SUM(G14:G21)</f>
        <v>2</v>
      </c>
    </row>
    <row r="23" spans="2:15" ht="18" customHeight="1">
      <c r="B23" s="48" t="s">
        <v>46</v>
      </c>
      <c r="C23" s="50">
        <v>207.36</v>
      </c>
      <c r="D23" s="50" t="s">
        <v>47</v>
      </c>
      <c r="E23" s="49">
        <f>ROUND(C22*(C23/1000),2)</f>
        <v>3.59</v>
      </c>
      <c r="F23" s="50" t="s">
        <v>48</v>
      </c>
      <c r="G23" s="50">
        <v>10</v>
      </c>
      <c r="H23" s="52" t="s">
        <v>49</v>
      </c>
      <c r="I23" s="53">
        <f>E23*G23</f>
        <v>35.9</v>
      </c>
    </row>
    <row r="24" spans="2:15" ht="18" customHeight="1" thickBot="1">
      <c r="B24" s="48" t="s">
        <v>50</v>
      </c>
      <c r="C24" s="50">
        <v>169.96</v>
      </c>
      <c r="D24" s="50" t="s">
        <v>51</v>
      </c>
      <c r="E24" s="49">
        <f>ROUND(C22*(C24/1000),2)</f>
        <v>2.94</v>
      </c>
      <c r="F24" s="50" t="s">
        <v>48</v>
      </c>
      <c r="G24" s="50">
        <v>10</v>
      </c>
      <c r="H24" s="52" t="s">
        <v>49</v>
      </c>
      <c r="I24" s="53">
        <f>E24*G24</f>
        <v>29.4</v>
      </c>
    </row>
    <row r="25" spans="2:15" ht="18" customHeight="1">
      <c r="B25" s="23" t="s">
        <v>36</v>
      </c>
      <c r="C25" s="252" t="s">
        <v>14</v>
      </c>
      <c r="D25" s="252" t="s">
        <v>37</v>
      </c>
      <c r="E25" s="252" t="s">
        <v>38</v>
      </c>
      <c r="F25" s="252" t="s">
        <v>39</v>
      </c>
      <c r="G25" s="252" t="s">
        <v>8</v>
      </c>
      <c r="H25" s="252" t="s">
        <v>22</v>
      </c>
      <c r="I25" s="25" t="s">
        <v>40</v>
      </c>
      <c r="J25" s="54" t="s">
        <v>2</v>
      </c>
      <c r="K25" s="55" t="s">
        <v>3</v>
      </c>
      <c r="L25" s="55" t="s">
        <v>52</v>
      </c>
      <c r="M25" s="55" t="s">
        <v>53</v>
      </c>
      <c r="N25" s="56" t="s">
        <v>14</v>
      </c>
    </row>
    <row r="26" spans="2:15" ht="18" customHeight="1">
      <c r="B26" s="648" t="s">
        <v>54</v>
      </c>
      <c r="C26" s="649" t="s">
        <v>55</v>
      </c>
      <c r="D26" s="253">
        <f>J26-IF(L26=1,44,IF(L26=2,30,IF(L26=3,16,0)))</f>
        <v>0</v>
      </c>
      <c r="E26" s="253">
        <f>K26-IF(M26=1,44,IF(M26=2,30,IF(M26=3,16,0)))</f>
        <v>0</v>
      </c>
      <c r="F26" s="44">
        <f>ROUND((D26+E26)*2/1000,4)</f>
        <v>0</v>
      </c>
      <c r="G26" s="250"/>
      <c r="H26" s="58">
        <v>1.62</v>
      </c>
      <c r="I26" s="59">
        <f>IF(AND(D26&gt;0,E26&gt;0,F26&gt;0),F26*G26*H26,0)</f>
        <v>0</v>
      </c>
      <c r="J26" s="60"/>
      <c r="K26" s="61"/>
      <c r="L26" s="61"/>
      <c r="M26" s="61"/>
      <c r="N26" s="62" t="s">
        <v>56</v>
      </c>
      <c r="O26" s="63" t="s">
        <v>57</v>
      </c>
    </row>
    <row r="27" spans="2:15" ht="18" customHeight="1">
      <c r="B27" s="648"/>
      <c r="C27" s="650"/>
      <c r="D27" s="253">
        <f t="shared" ref="D27:E30" si="4">J27-IF(L27=1,44,IF(L27=2,30,IF(L27=3,16,0)))</f>
        <v>0</v>
      </c>
      <c r="E27" s="253">
        <f t="shared" si="4"/>
        <v>0</v>
      </c>
      <c r="F27" s="44">
        <f>ROUND((D27+E27)*2/1000,4)</f>
        <v>0</v>
      </c>
      <c r="G27" s="250"/>
      <c r="H27" s="58">
        <f>H26</f>
        <v>1.62</v>
      </c>
      <c r="I27" s="59">
        <f>IF(AND(D27&gt;0,E27&gt;0,F27&gt;0),F27*G27*H27,0)</f>
        <v>0</v>
      </c>
      <c r="J27" s="60"/>
      <c r="K27" s="61"/>
      <c r="L27" s="61"/>
      <c r="M27" s="61"/>
      <c r="N27" s="62" t="s">
        <v>58</v>
      </c>
      <c r="O27" s="63" t="s">
        <v>59</v>
      </c>
    </row>
    <row r="28" spans="2:15" ht="18" customHeight="1">
      <c r="B28" s="648"/>
      <c r="C28" s="650"/>
      <c r="D28" s="253">
        <f t="shared" si="4"/>
        <v>0</v>
      </c>
      <c r="E28" s="253">
        <f t="shared" si="4"/>
        <v>0</v>
      </c>
      <c r="F28" s="44">
        <f>ROUND((D28+E28)*2/1000,4)</f>
        <v>0</v>
      </c>
      <c r="G28" s="250"/>
      <c r="H28" s="58">
        <f>H27</f>
        <v>1.62</v>
      </c>
      <c r="I28" s="59">
        <f>IF(AND(D28&gt;0,E28&gt;0,F28&gt;0),F28*G28*H28,0)</f>
        <v>0</v>
      </c>
      <c r="J28" s="60"/>
      <c r="K28" s="61"/>
      <c r="L28" s="61"/>
      <c r="M28" s="61"/>
      <c r="N28" s="62" t="s">
        <v>60</v>
      </c>
      <c r="O28" s="63" t="s">
        <v>59</v>
      </c>
    </row>
    <row r="29" spans="2:15" ht="18" customHeight="1">
      <c r="B29" s="648"/>
      <c r="C29" s="650"/>
      <c r="D29" s="253">
        <f t="shared" si="4"/>
        <v>0</v>
      </c>
      <c r="E29" s="253">
        <f t="shared" si="4"/>
        <v>0</v>
      </c>
      <c r="F29" s="44">
        <f>ROUND((D29+E29)*2/1000,4)</f>
        <v>0</v>
      </c>
      <c r="G29" s="250"/>
      <c r="H29" s="58">
        <f>H28</f>
        <v>1.62</v>
      </c>
      <c r="I29" s="59">
        <f>IF(AND(D29&gt;0,E29&gt;0,F29&gt;0),F29*G29*H29,0)</f>
        <v>0</v>
      </c>
      <c r="J29" s="60"/>
      <c r="K29" s="61"/>
      <c r="L29" s="61"/>
      <c r="M29" s="61"/>
      <c r="N29" s="62"/>
    </row>
    <row r="30" spans="2:15" ht="18" customHeight="1" thickBot="1">
      <c r="B30" s="648"/>
      <c r="C30" s="651"/>
      <c r="D30" s="253">
        <f t="shared" si="4"/>
        <v>0</v>
      </c>
      <c r="E30" s="253">
        <f t="shared" si="4"/>
        <v>0</v>
      </c>
      <c r="F30" s="44">
        <f>ROUND((D30+E30)*2/1000,4)</f>
        <v>0</v>
      </c>
      <c r="G30" s="250"/>
      <c r="H30" s="58">
        <f>H29</f>
        <v>1.62</v>
      </c>
      <c r="I30" s="59">
        <f>IF(AND(D30&gt;0,E30&gt;0,F30&gt;0),F30*G30*H30,0)</f>
        <v>0</v>
      </c>
      <c r="J30" s="64"/>
      <c r="K30" s="65"/>
      <c r="L30" s="65"/>
      <c r="M30" s="65"/>
      <c r="N30" s="66"/>
    </row>
    <row r="31" spans="2:15" ht="18" customHeight="1">
      <c r="B31" s="48" t="s">
        <v>42</v>
      </c>
      <c r="C31" s="49">
        <f>SUMPRODUCT(F26:F30*G26:G30)</f>
        <v>0</v>
      </c>
      <c r="D31" s="50" t="s">
        <v>43</v>
      </c>
      <c r="E31" s="49">
        <f>SUM(I26:I30)*1.1</f>
        <v>0</v>
      </c>
      <c r="F31" s="50" t="s">
        <v>44</v>
      </c>
      <c r="G31" s="51">
        <f>(C$218+C$221)/1000</f>
        <v>46.081499999999998</v>
      </c>
      <c r="H31" s="52" t="s">
        <v>45</v>
      </c>
      <c r="I31" s="53">
        <f>ROUND(E31*G31,2)</f>
        <v>0</v>
      </c>
      <c r="J31" s="243">
        <f>SUM(G26:G30)</f>
        <v>0</v>
      </c>
    </row>
    <row r="32" spans="2:15" ht="18" customHeight="1">
      <c r="B32" s="48" t="s">
        <v>46</v>
      </c>
      <c r="C32" s="50">
        <v>183.32</v>
      </c>
      <c r="D32" s="50" t="s">
        <v>47</v>
      </c>
      <c r="E32" s="49">
        <f>ROUND(C31*(C32/1000),2)</f>
        <v>0</v>
      </c>
      <c r="F32" s="50" t="s">
        <v>48</v>
      </c>
      <c r="G32" s="50">
        <f>G$23</f>
        <v>10</v>
      </c>
      <c r="H32" s="52" t="s">
        <v>49</v>
      </c>
      <c r="I32" s="53">
        <f>E32*G32</f>
        <v>0</v>
      </c>
    </row>
    <row r="33" spans="2:14" ht="18" customHeight="1" thickBot="1">
      <c r="B33" s="48" t="s">
        <v>50</v>
      </c>
      <c r="C33" s="50">
        <v>257.82</v>
      </c>
      <c r="D33" s="50" t="s">
        <v>51</v>
      </c>
      <c r="E33" s="49">
        <f>ROUND(C31*(C33/1000),2)</f>
        <v>0</v>
      </c>
      <c r="F33" s="50" t="s">
        <v>48</v>
      </c>
      <c r="G33" s="50">
        <f>G$24</f>
        <v>10</v>
      </c>
      <c r="H33" s="52" t="s">
        <v>49</v>
      </c>
      <c r="I33" s="53">
        <f>E33*G33</f>
        <v>0</v>
      </c>
    </row>
    <row r="34" spans="2:14" ht="18" customHeight="1" thickBot="1">
      <c r="B34" s="67" t="s">
        <v>36</v>
      </c>
      <c r="C34" s="68" t="s">
        <v>14</v>
      </c>
      <c r="D34" s="68" t="s">
        <v>37</v>
      </c>
      <c r="E34" s="68" t="s">
        <v>38</v>
      </c>
      <c r="F34" s="68" t="s">
        <v>39</v>
      </c>
      <c r="G34" s="68" t="s">
        <v>8</v>
      </c>
      <c r="H34" s="68" t="s">
        <v>22</v>
      </c>
      <c r="I34" s="69" t="s">
        <v>40</v>
      </c>
      <c r="J34" s="54" t="s">
        <v>2</v>
      </c>
      <c r="K34" s="55" t="s">
        <v>3</v>
      </c>
      <c r="L34" s="55" t="s">
        <v>61</v>
      </c>
      <c r="M34" s="55" t="s">
        <v>62</v>
      </c>
      <c r="N34" s="70" t="s">
        <v>14</v>
      </c>
    </row>
    <row r="35" spans="2:14" ht="18" customHeight="1">
      <c r="B35" s="648" t="s">
        <v>63</v>
      </c>
      <c r="C35" s="649" t="s">
        <v>64</v>
      </c>
      <c r="D35" s="253">
        <f t="shared" ref="D35:E37" si="5">J35-IF(L35=1,44,IF(L35=2,30,IF(L35=3,16,IF(L35=11,118,IF(L35=12,100,IF(L35=13,76.8,0))))))</f>
        <v>600</v>
      </c>
      <c r="E35" s="253">
        <f t="shared" si="5"/>
        <v>1300</v>
      </c>
      <c r="F35" s="250">
        <f>ROUND((D35+E35)*2/1000,4)</f>
        <v>3.8</v>
      </c>
      <c r="G35" s="250">
        <v>2</v>
      </c>
      <c r="H35" s="58">
        <v>1.8140000000000001</v>
      </c>
      <c r="I35" s="59">
        <f>ROUND(F35*G35*H35,3)</f>
        <v>13.786</v>
      </c>
      <c r="J35" s="60">
        <v>700</v>
      </c>
      <c r="K35" s="61">
        <v>1400</v>
      </c>
      <c r="L35" s="61">
        <v>12</v>
      </c>
      <c r="M35" s="61">
        <v>12</v>
      </c>
      <c r="N35" s="71" t="s">
        <v>56</v>
      </c>
    </row>
    <row r="36" spans="2:14" ht="18" customHeight="1">
      <c r="B36" s="660"/>
      <c r="C36" s="650"/>
      <c r="D36" s="253">
        <f t="shared" si="5"/>
        <v>0</v>
      </c>
      <c r="E36" s="253">
        <f t="shared" si="5"/>
        <v>0</v>
      </c>
      <c r="F36" s="250">
        <f>ROUND((D36+E36)*2/1000,4)</f>
        <v>0</v>
      </c>
      <c r="G36" s="250"/>
      <c r="H36" s="58">
        <f>H35</f>
        <v>1.8140000000000001</v>
      </c>
      <c r="I36" s="59">
        <f>ROUND(F36*G36*H36,3)</f>
        <v>0</v>
      </c>
      <c r="J36" s="60"/>
      <c r="K36" s="61"/>
      <c r="L36" s="61"/>
      <c r="M36" s="61"/>
      <c r="N36" s="72" t="s">
        <v>58</v>
      </c>
    </row>
    <row r="37" spans="2:14" ht="18" customHeight="1">
      <c r="B37" s="660"/>
      <c r="C37" s="651"/>
      <c r="D37" s="253">
        <f t="shared" si="5"/>
        <v>0</v>
      </c>
      <c r="E37" s="253">
        <f t="shared" si="5"/>
        <v>0</v>
      </c>
      <c r="F37" s="250">
        <f>ROUND((D37+E37)*2/1000,4)</f>
        <v>0</v>
      </c>
      <c r="G37" s="250"/>
      <c r="H37" s="58">
        <f>H36</f>
        <v>1.8140000000000001</v>
      </c>
      <c r="I37" s="59">
        <f>ROUND(F37*G37*H37,3)</f>
        <v>0</v>
      </c>
      <c r="J37" s="60"/>
      <c r="K37" s="61"/>
      <c r="L37" s="61"/>
      <c r="M37" s="61"/>
      <c r="N37" s="72" t="s">
        <v>60</v>
      </c>
    </row>
    <row r="38" spans="2:14" ht="18" customHeight="1">
      <c r="B38" s="48" t="s">
        <v>42</v>
      </c>
      <c r="C38" s="49">
        <f>SUMPRODUCT(F35:F37*G35:G37)</f>
        <v>7.6</v>
      </c>
      <c r="D38" s="50" t="s">
        <v>43</v>
      </c>
      <c r="E38" s="49">
        <f>SUM(I35:I37)*1.1</f>
        <v>15.1646</v>
      </c>
      <c r="F38" s="50" t="s">
        <v>44</v>
      </c>
      <c r="G38" s="51">
        <f>(C$218+C$219)/1000</f>
        <v>46.081499999999998</v>
      </c>
      <c r="H38" s="52" t="s">
        <v>45</v>
      </c>
      <c r="I38" s="53">
        <f>ROUND(E38*G38,2)</f>
        <v>698.81</v>
      </c>
      <c r="J38" s="243">
        <f>SUM(G35:G37)</f>
        <v>2</v>
      </c>
      <c r="K38" s="255"/>
      <c r="L38" s="255"/>
      <c r="M38" s="255"/>
      <c r="N38" s="73" t="s">
        <v>65</v>
      </c>
    </row>
    <row r="39" spans="2:14" ht="18" customHeight="1">
      <c r="B39" s="48" t="s">
        <v>46</v>
      </c>
      <c r="C39" s="50">
        <v>320.14</v>
      </c>
      <c r="D39" s="50" t="s">
        <v>47</v>
      </c>
      <c r="E39" s="49">
        <f>ROUND(C38*(C39/1000),2)</f>
        <v>2.4300000000000002</v>
      </c>
      <c r="F39" s="50" t="s">
        <v>48</v>
      </c>
      <c r="G39" s="50">
        <f>G$23</f>
        <v>10</v>
      </c>
      <c r="H39" s="52" t="s">
        <v>49</v>
      </c>
      <c r="I39" s="53">
        <f>E39*G39</f>
        <v>24.3</v>
      </c>
      <c r="J39" s="255"/>
      <c r="K39" s="255"/>
      <c r="L39" s="255"/>
      <c r="M39" s="255"/>
      <c r="N39" s="73" t="s">
        <v>66</v>
      </c>
    </row>
    <row r="40" spans="2:14" ht="18" customHeight="1" thickBot="1">
      <c r="B40" s="48" t="s">
        <v>50</v>
      </c>
      <c r="C40" s="50">
        <v>156.99</v>
      </c>
      <c r="D40" s="50" t="s">
        <v>51</v>
      </c>
      <c r="E40" s="49">
        <f>ROUND(C38*(C40/1000),2)</f>
        <v>1.19</v>
      </c>
      <c r="F40" s="50" t="s">
        <v>48</v>
      </c>
      <c r="G40" s="50">
        <f>G$24</f>
        <v>10</v>
      </c>
      <c r="H40" s="52" t="s">
        <v>49</v>
      </c>
      <c r="I40" s="53">
        <f>E40*G40</f>
        <v>11.899999999999999</v>
      </c>
      <c r="J40" s="255"/>
      <c r="K40" s="255"/>
      <c r="L40" s="255"/>
      <c r="M40" s="255"/>
      <c r="N40" s="74" t="s">
        <v>67</v>
      </c>
    </row>
    <row r="41" spans="2:14" ht="18" customHeight="1" thickBot="1">
      <c r="B41" s="23" t="s">
        <v>36</v>
      </c>
      <c r="C41" s="252" t="s">
        <v>14</v>
      </c>
      <c r="D41" s="252" t="s">
        <v>37</v>
      </c>
      <c r="E41" s="252" t="s">
        <v>38</v>
      </c>
      <c r="F41" s="252" t="s">
        <v>39</v>
      </c>
      <c r="G41" s="252" t="s">
        <v>8</v>
      </c>
      <c r="H41" s="252" t="s">
        <v>22</v>
      </c>
      <c r="I41" s="25" t="s">
        <v>40</v>
      </c>
      <c r="J41" s="54" t="s">
        <v>2</v>
      </c>
      <c r="K41" s="55" t="s">
        <v>3</v>
      </c>
      <c r="L41" s="55" t="s">
        <v>61</v>
      </c>
      <c r="M41" s="55" t="s">
        <v>62</v>
      </c>
      <c r="N41" s="70" t="s">
        <v>14</v>
      </c>
    </row>
    <row r="42" spans="2:14" ht="18" customHeight="1">
      <c r="B42" s="648" t="s">
        <v>68</v>
      </c>
      <c r="C42" s="649" t="s">
        <v>69</v>
      </c>
      <c r="D42" s="253">
        <f>J42-IF(L42=1,46,IF(L42=2,34.5,IF(L42=3,23)))</f>
        <v>665.5</v>
      </c>
      <c r="E42" s="253">
        <f>K42-IF(M42=1,46,IF(M42=2,34.5,IF(M42=3,23)))</f>
        <v>1365.5</v>
      </c>
      <c r="F42" s="250">
        <f t="shared" ref="F42:F47" si="6">ROUND((D42+E42)*2/1000,4)</f>
        <v>4.0620000000000003</v>
      </c>
      <c r="G42" s="250">
        <f>G35</f>
        <v>2</v>
      </c>
      <c r="H42" s="250">
        <v>1.26</v>
      </c>
      <c r="I42" s="59">
        <f t="shared" ref="I42:I47" si="7">ROUND(F42*G42*H42,3)</f>
        <v>10.236000000000001</v>
      </c>
      <c r="J42" s="60">
        <f>J35</f>
        <v>700</v>
      </c>
      <c r="K42" s="61">
        <f>K35</f>
        <v>1400</v>
      </c>
      <c r="L42" s="61">
        <v>2</v>
      </c>
      <c r="M42" s="61">
        <v>2</v>
      </c>
      <c r="N42" s="71" t="s">
        <v>56</v>
      </c>
    </row>
    <row r="43" spans="2:14" ht="18" customHeight="1">
      <c r="B43" s="648"/>
      <c r="C43" s="650"/>
      <c r="D43" s="253">
        <f t="shared" ref="D43:E47" si="8">J43-IF(L43=1,46,IF(L43=2,34.5,IF(L43=3,23)))</f>
        <v>0</v>
      </c>
      <c r="E43" s="253">
        <f t="shared" si="8"/>
        <v>0</v>
      </c>
      <c r="F43" s="250">
        <f t="shared" si="6"/>
        <v>0</v>
      </c>
      <c r="G43" s="250"/>
      <c r="H43" s="250">
        <f>H42</f>
        <v>1.26</v>
      </c>
      <c r="I43" s="59">
        <f t="shared" si="7"/>
        <v>0</v>
      </c>
      <c r="J43" s="60"/>
      <c r="K43" s="61"/>
      <c r="L43" s="61"/>
      <c r="M43" s="61"/>
      <c r="N43" s="72" t="s">
        <v>58</v>
      </c>
    </row>
    <row r="44" spans="2:14" ht="18" customHeight="1">
      <c r="B44" s="648"/>
      <c r="C44" s="651"/>
      <c r="D44" s="253">
        <f t="shared" si="8"/>
        <v>0</v>
      </c>
      <c r="E44" s="253">
        <f t="shared" si="8"/>
        <v>0</v>
      </c>
      <c r="F44" s="250">
        <f t="shared" si="6"/>
        <v>0</v>
      </c>
      <c r="G44" s="250"/>
      <c r="H44" s="250">
        <f>H43</f>
        <v>1.26</v>
      </c>
      <c r="I44" s="59">
        <f t="shared" si="7"/>
        <v>0</v>
      </c>
      <c r="J44" s="60"/>
      <c r="K44" s="61"/>
      <c r="L44" s="61"/>
      <c r="M44" s="61"/>
      <c r="N44" s="72" t="s">
        <v>60</v>
      </c>
    </row>
    <row r="45" spans="2:14" ht="18" customHeight="1">
      <c r="B45" s="648"/>
      <c r="C45" s="649" t="s">
        <v>70</v>
      </c>
      <c r="D45" s="253">
        <f t="shared" si="8"/>
        <v>0</v>
      </c>
      <c r="E45" s="253">
        <f t="shared" si="8"/>
        <v>0</v>
      </c>
      <c r="F45" s="250">
        <f t="shared" si="6"/>
        <v>0</v>
      </c>
      <c r="G45" s="250"/>
      <c r="H45" s="250">
        <f>H44</f>
        <v>1.26</v>
      </c>
      <c r="I45" s="59">
        <f t="shared" si="7"/>
        <v>0</v>
      </c>
      <c r="J45" s="60"/>
      <c r="K45" s="61"/>
      <c r="L45" s="61"/>
      <c r="M45" s="61"/>
      <c r="N45" s="71" t="s">
        <v>56</v>
      </c>
    </row>
    <row r="46" spans="2:14" ht="18" customHeight="1">
      <c r="B46" s="648"/>
      <c r="C46" s="650"/>
      <c r="D46" s="253">
        <f t="shared" si="8"/>
        <v>0</v>
      </c>
      <c r="E46" s="253">
        <f t="shared" si="8"/>
        <v>0</v>
      </c>
      <c r="F46" s="250">
        <f t="shared" si="6"/>
        <v>0</v>
      </c>
      <c r="G46" s="250"/>
      <c r="H46" s="250">
        <f>H45</f>
        <v>1.26</v>
      </c>
      <c r="I46" s="59">
        <f t="shared" si="7"/>
        <v>0</v>
      </c>
      <c r="J46" s="60"/>
      <c r="K46" s="61"/>
      <c r="L46" s="61"/>
      <c r="M46" s="61"/>
      <c r="N46" s="72" t="s">
        <v>58</v>
      </c>
    </row>
    <row r="47" spans="2:14" ht="18" customHeight="1" thickBot="1">
      <c r="B47" s="648"/>
      <c r="C47" s="651"/>
      <c r="D47" s="253">
        <f t="shared" si="8"/>
        <v>0</v>
      </c>
      <c r="E47" s="253">
        <f t="shared" si="8"/>
        <v>0</v>
      </c>
      <c r="F47" s="250">
        <f t="shared" si="6"/>
        <v>0</v>
      </c>
      <c r="G47" s="250"/>
      <c r="H47" s="250">
        <f>H46</f>
        <v>1.26</v>
      </c>
      <c r="I47" s="59">
        <f t="shared" si="7"/>
        <v>0</v>
      </c>
      <c r="J47" s="64"/>
      <c r="K47" s="65"/>
      <c r="L47" s="65"/>
      <c r="M47" s="65"/>
      <c r="N47" s="75" t="s">
        <v>60</v>
      </c>
    </row>
    <row r="48" spans="2:14" ht="18" customHeight="1">
      <c r="B48" s="48" t="s">
        <v>42</v>
      </c>
      <c r="C48" s="49">
        <f>SUMPRODUCT(F42:F47*G42:G47)</f>
        <v>8.1240000000000006</v>
      </c>
      <c r="D48" s="50" t="s">
        <v>43</v>
      </c>
      <c r="E48" s="49">
        <f>SUM(I42:I47)*1.1</f>
        <v>11.259600000000002</v>
      </c>
      <c r="F48" s="50" t="s">
        <v>44</v>
      </c>
      <c r="G48" s="51">
        <f>(C$218+C$219)/1000</f>
        <v>46.081499999999998</v>
      </c>
      <c r="H48" s="52" t="s">
        <v>45</v>
      </c>
      <c r="I48" s="53">
        <f>ROUND(E48*G48,2)</f>
        <v>518.86</v>
      </c>
      <c r="J48" s="243">
        <f>SUM(G42:G47)</f>
        <v>2</v>
      </c>
      <c r="K48" s="255"/>
      <c r="L48" s="255"/>
      <c r="M48" s="255"/>
    </row>
    <row r="49" spans="2:14" ht="18" customHeight="1">
      <c r="B49" s="48" t="s">
        <v>46</v>
      </c>
      <c r="C49" s="50">
        <v>132.47999999999999</v>
      </c>
      <c r="D49" s="50" t="s">
        <v>47</v>
      </c>
      <c r="E49" s="49">
        <f>ROUND(C48*(C49/1000),2)</f>
        <v>1.08</v>
      </c>
      <c r="F49" s="50" t="s">
        <v>48</v>
      </c>
      <c r="G49" s="50">
        <f>G$23</f>
        <v>10</v>
      </c>
      <c r="H49" s="52" t="s">
        <v>49</v>
      </c>
      <c r="I49" s="53">
        <f>E49*G49</f>
        <v>10.8</v>
      </c>
      <c r="J49" s="255"/>
      <c r="K49" s="255"/>
      <c r="L49" s="255"/>
      <c r="M49" s="255"/>
    </row>
    <row r="50" spans="2:14" ht="18" customHeight="1" thickBot="1">
      <c r="B50" s="48" t="s">
        <v>50</v>
      </c>
      <c r="C50" s="50">
        <v>202.06</v>
      </c>
      <c r="D50" s="50" t="s">
        <v>51</v>
      </c>
      <c r="E50" s="49">
        <f>ROUND(C48*(C50/1000),2)</f>
        <v>1.64</v>
      </c>
      <c r="F50" s="50" t="s">
        <v>48</v>
      </c>
      <c r="G50" s="50">
        <f>G$24</f>
        <v>10</v>
      </c>
      <c r="H50" s="52" t="s">
        <v>49</v>
      </c>
      <c r="I50" s="53">
        <f>E50*G50</f>
        <v>16.399999999999999</v>
      </c>
      <c r="J50" s="255"/>
    </row>
    <row r="51" spans="2:14" ht="18" customHeight="1" thickBot="1">
      <c r="B51" s="23" t="s">
        <v>36</v>
      </c>
      <c r="C51" s="252" t="s">
        <v>14</v>
      </c>
      <c r="D51" s="252" t="s">
        <v>37</v>
      </c>
      <c r="E51" s="252" t="s">
        <v>71</v>
      </c>
      <c r="F51" s="252" t="s">
        <v>38</v>
      </c>
      <c r="G51" s="252" t="s">
        <v>72</v>
      </c>
      <c r="H51" s="252" t="s">
        <v>22</v>
      </c>
      <c r="I51" s="25" t="s">
        <v>40</v>
      </c>
      <c r="J51" s="54" t="s">
        <v>2</v>
      </c>
      <c r="K51" s="55" t="s">
        <v>3</v>
      </c>
      <c r="L51" s="55" t="s">
        <v>61</v>
      </c>
      <c r="M51" s="55" t="s">
        <v>62</v>
      </c>
      <c r="N51" s="70" t="s">
        <v>14</v>
      </c>
    </row>
    <row r="52" spans="2:14" ht="18" customHeight="1">
      <c r="B52" s="648" t="s">
        <v>73</v>
      </c>
      <c r="C52" s="649" t="s">
        <v>405</v>
      </c>
      <c r="D52" s="253">
        <f>J52-IF(L52=1,46,IF(L52=2,32,IF(L52=3,18,0)))</f>
        <v>668</v>
      </c>
      <c r="E52" s="253">
        <v>4</v>
      </c>
      <c r="F52" s="253">
        <f>K52-IF(M52=1,46,IF(M52=2,32,IF(M52=3,118,0)))</f>
        <v>0</v>
      </c>
      <c r="G52" s="250"/>
      <c r="H52" s="250">
        <v>1.6379999999999999</v>
      </c>
      <c r="I52" s="59">
        <f>ROUND((D52*E52+F52*G52)/1000*H52,3)</f>
        <v>4.3769999999999998</v>
      </c>
      <c r="J52" s="60">
        <f>J35</f>
        <v>700</v>
      </c>
      <c r="K52" s="61"/>
      <c r="L52" s="61">
        <v>2</v>
      </c>
      <c r="M52" s="61"/>
      <c r="N52" s="76" t="s">
        <v>56</v>
      </c>
    </row>
    <row r="53" spans="2:14" ht="18" customHeight="1">
      <c r="B53" s="648"/>
      <c r="C53" s="650"/>
      <c r="D53" s="253">
        <f t="shared" ref="D53:D55" si="9">J53-IF(L53=1,46,IF(L53=2,32,IF(L53=3,18,0)))</f>
        <v>0</v>
      </c>
      <c r="E53" s="253"/>
      <c r="F53" s="253">
        <f t="shared" ref="F53:F55" si="10">K53-IF(M53=1,46,IF(M53=2,32,IF(M53=3,118,0)))</f>
        <v>0</v>
      </c>
      <c r="G53" s="250"/>
      <c r="H53" s="250">
        <f>H52</f>
        <v>1.6379999999999999</v>
      </c>
      <c r="I53" s="59">
        <f>ROUND((D53*E53+F53*G53)/1000*H53,3)</f>
        <v>0</v>
      </c>
      <c r="J53" s="60"/>
      <c r="K53" s="61"/>
      <c r="L53" s="61"/>
      <c r="M53" s="61"/>
      <c r="N53" s="76" t="s">
        <v>58</v>
      </c>
    </row>
    <row r="54" spans="2:14" ht="18" customHeight="1">
      <c r="B54" s="648"/>
      <c r="C54" s="650"/>
      <c r="D54" s="253">
        <f t="shared" si="9"/>
        <v>0</v>
      </c>
      <c r="E54" s="253"/>
      <c r="F54" s="253">
        <f t="shared" si="10"/>
        <v>0</v>
      </c>
      <c r="G54" s="250"/>
      <c r="H54" s="250">
        <f>H53</f>
        <v>1.6379999999999999</v>
      </c>
      <c r="I54" s="59">
        <f>ROUND((D54*E54+F54*G54)/1000*H54,3)</f>
        <v>0</v>
      </c>
      <c r="J54" s="60"/>
      <c r="K54" s="61"/>
      <c r="L54" s="61"/>
      <c r="M54" s="61"/>
      <c r="N54" s="76" t="s">
        <v>60</v>
      </c>
    </row>
    <row r="55" spans="2:14" ht="18" customHeight="1" thickBot="1">
      <c r="B55" s="648"/>
      <c r="C55" s="651"/>
      <c r="D55" s="253">
        <f t="shared" si="9"/>
        <v>0</v>
      </c>
      <c r="E55" s="253"/>
      <c r="F55" s="253">
        <f t="shared" si="10"/>
        <v>0</v>
      </c>
      <c r="G55" s="250"/>
      <c r="H55" s="77">
        <f>H54</f>
        <v>1.6379999999999999</v>
      </c>
      <c r="I55" s="59">
        <f>ROUND((D55*E55+F55*G55)/1000*H55,3)</f>
        <v>0</v>
      </c>
      <c r="J55" s="78"/>
      <c r="K55" s="79"/>
      <c r="L55" s="79"/>
      <c r="M55" s="79"/>
      <c r="N55" s="80"/>
    </row>
    <row r="56" spans="2:14" ht="18" customHeight="1">
      <c r="B56" s="48" t="s">
        <v>42</v>
      </c>
      <c r="C56" s="49">
        <f>SUMPRODUCT(D52:D55*E52:E55+F52:F55*G52:G55)/1000</f>
        <v>2.6720000000000002</v>
      </c>
      <c r="D56" s="50" t="s">
        <v>43</v>
      </c>
      <c r="E56" s="49">
        <f>SUM(I52:I55)*1.1</f>
        <v>4.8147000000000002</v>
      </c>
      <c r="F56" s="50" t="s">
        <v>44</v>
      </c>
      <c r="G56" s="51">
        <f>(C$218+C$219)/1000</f>
        <v>46.081499999999998</v>
      </c>
      <c r="H56" s="52" t="s">
        <v>45</v>
      </c>
      <c r="I56" s="53">
        <f>ROUND(E56*G56,2)</f>
        <v>221.87</v>
      </c>
      <c r="J56" s="243">
        <f>SUM(E52:E55)+SUM(G52:G55)</f>
        <v>4</v>
      </c>
    </row>
    <row r="57" spans="2:14" ht="18" customHeight="1">
      <c r="B57" s="48" t="s">
        <v>46</v>
      </c>
      <c r="C57" s="50">
        <v>265.52999999999997</v>
      </c>
      <c r="D57" s="50" t="s">
        <v>47</v>
      </c>
      <c r="E57" s="49">
        <f>ROUND(C56*(C57/1000),2)</f>
        <v>0.71</v>
      </c>
      <c r="F57" s="50" t="s">
        <v>48</v>
      </c>
      <c r="G57" s="50">
        <f>G$23</f>
        <v>10</v>
      </c>
      <c r="H57" s="52" t="s">
        <v>49</v>
      </c>
      <c r="I57" s="53">
        <f>E57*G57</f>
        <v>7.1</v>
      </c>
      <c r="L57" s="47"/>
    </row>
    <row r="58" spans="2:14" ht="18" customHeight="1">
      <c r="B58" s="48" t="s">
        <v>50</v>
      </c>
      <c r="C58" s="50">
        <v>173.62</v>
      </c>
      <c r="D58" s="50" t="s">
        <v>51</v>
      </c>
      <c r="E58" s="49">
        <f>ROUND(C56*(C58/1000),2)</f>
        <v>0.46</v>
      </c>
      <c r="F58" s="50" t="s">
        <v>48</v>
      </c>
      <c r="G58" s="50">
        <f>G$24</f>
        <v>10</v>
      </c>
      <c r="H58" s="52" t="s">
        <v>49</v>
      </c>
      <c r="I58" s="53">
        <f>E58*G58</f>
        <v>4.6000000000000005</v>
      </c>
      <c r="L58" s="47"/>
    </row>
    <row r="59" spans="2:14" ht="18" customHeight="1">
      <c r="B59" s="23" t="s">
        <v>36</v>
      </c>
      <c r="C59" s="252" t="s">
        <v>14</v>
      </c>
      <c r="D59" s="652" t="s">
        <v>74</v>
      </c>
      <c r="E59" s="652"/>
      <c r="F59" s="652"/>
      <c r="G59" s="252" t="s">
        <v>75</v>
      </c>
      <c r="H59" s="252" t="s">
        <v>22</v>
      </c>
      <c r="I59" s="25" t="s">
        <v>40</v>
      </c>
      <c r="L59" s="47"/>
    </row>
    <row r="60" spans="2:14" ht="18" customHeight="1">
      <c r="B60" s="648" t="s">
        <v>76</v>
      </c>
      <c r="C60" s="649" t="s">
        <v>77</v>
      </c>
      <c r="D60" s="646">
        <f>E15</f>
        <v>2070</v>
      </c>
      <c r="E60" s="646"/>
      <c r="F60" s="646"/>
      <c r="G60" s="250">
        <v>3</v>
      </c>
      <c r="H60" s="250">
        <v>1.9339999999999999</v>
      </c>
      <c r="I60" s="59">
        <f>ROUND(D60*G60*H60/1000,3)</f>
        <v>12.01</v>
      </c>
      <c r="L60" s="47"/>
    </row>
    <row r="61" spans="2:14" ht="18" customHeight="1">
      <c r="B61" s="648"/>
      <c r="C61" s="651"/>
      <c r="D61" s="646"/>
      <c r="E61" s="646"/>
      <c r="F61" s="646"/>
      <c r="G61" s="250"/>
      <c r="H61" s="250">
        <v>1.9339999999999999</v>
      </c>
      <c r="I61" s="59">
        <f>ROUND(D61*G61*H61/1000,3)</f>
        <v>0</v>
      </c>
    </row>
    <row r="62" spans="2:14" ht="18" customHeight="1">
      <c r="B62" s="648"/>
      <c r="C62" s="649" t="s">
        <v>78</v>
      </c>
      <c r="D62" s="646"/>
      <c r="E62" s="646"/>
      <c r="F62" s="646"/>
      <c r="G62" s="250"/>
      <c r="H62" s="250">
        <v>2.3130000000000002</v>
      </c>
      <c r="I62" s="59">
        <f>ROUND(D62*G62*H62/1000,3)</f>
        <v>0</v>
      </c>
    </row>
    <row r="63" spans="2:14" ht="18" customHeight="1">
      <c r="B63" s="648"/>
      <c r="C63" s="651"/>
      <c r="D63" s="646"/>
      <c r="E63" s="646"/>
      <c r="F63" s="646"/>
      <c r="G63" s="250"/>
      <c r="H63" s="250">
        <v>2.3130000000000002</v>
      </c>
      <c r="I63" s="59">
        <f>ROUND(D63*G63*H63/1000,3)</f>
        <v>0</v>
      </c>
    </row>
    <row r="64" spans="2:14" ht="18" customHeight="1">
      <c r="B64" s="48" t="s">
        <v>42</v>
      </c>
      <c r="C64" s="49">
        <f>SUMPRODUCT(D60:F63*G60:G63)/1000</f>
        <v>6.21</v>
      </c>
      <c r="D64" s="50" t="s">
        <v>43</v>
      </c>
      <c r="E64" s="49">
        <f>SUM(I60:I63)*1.1</f>
        <v>13.211</v>
      </c>
      <c r="F64" s="50" t="s">
        <v>44</v>
      </c>
      <c r="G64" s="51">
        <f>(C$218+C$219)/1000</f>
        <v>46.081499999999998</v>
      </c>
      <c r="H64" s="52" t="s">
        <v>45</v>
      </c>
      <c r="I64" s="53">
        <f>ROUND(E64*G64,2)</f>
        <v>608.78</v>
      </c>
      <c r="J64" s="43">
        <f>SUM(G60:G63)</f>
        <v>3</v>
      </c>
    </row>
    <row r="65" spans="2:14" ht="18" customHeight="1">
      <c r="B65" s="48" t="s">
        <v>46</v>
      </c>
      <c r="C65" s="50">
        <v>337.92</v>
      </c>
      <c r="D65" s="50" t="s">
        <v>47</v>
      </c>
      <c r="E65" s="49">
        <f>ROUND(C64*(C65/1000),2)</f>
        <v>2.1</v>
      </c>
      <c r="F65" s="50" t="s">
        <v>48</v>
      </c>
      <c r="G65" s="50">
        <f>G$23</f>
        <v>10</v>
      </c>
      <c r="H65" s="52" t="s">
        <v>49</v>
      </c>
      <c r="I65" s="53">
        <f>E65*G65</f>
        <v>21</v>
      </c>
    </row>
    <row r="66" spans="2:14" ht="18" customHeight="1" thickBot="1">
      <c r="B66" s="48" t="s">
        <v>50</v>
      </c>
      <c r="C66" s="50">
        <v>175.93</v>
      </c>
      <c r="D66" s="50" t="s">
        <v>51</v>
      </c>
      <c r="E66" s="49">
        <f>ROUND(C64*(C66/1000),2)</f>
        <v>1.0900000000000001</v>
      </c>
      <c r="F66" s="50" t="s">
        <v>48</v>
      </c>
      <c r="G66" s="50">
        <f>G$24</f>
        <v>10</v>
      </c>
      <c r="H66" s="52" t="s">
        <v>49</v>
      </c>
      <c r="I66" s="53">
        <f>E66*G66</f>
        <v>10.9</v>
      </c>
    </row>
    <row r="67" spans="2:14" ht="18" customHeight="1" thickBot="1">
      <c r="B67" s="23" t="s">
        <v>36</v>
      </c>
      <c r="C67" s="252" t="s">
        <v>14</v>
      </c>
      <c r="D67" s="252" t="s">
        <v>37</v>
      </c>
      <c r="E67" s="252" t="s">
        <v>38</v>
      </c>
      <c r="F67" s="252" t="s">
        <v>39</v>
      </c>
      <c r="G67" s="252" t="s">
        <v>8</v>
      </c>
      <c r="H67" s="252" t="s">
        <v>22</v>
      </c>
      <c r="I67" s="25" t="s">
        <v>40</v>
      </c>
      <c r="J67" s="54" t="s">
        <v>2</v>
      </c>
      <c r="K67" s="55" t="s">
        <v>3</v>
      </c>
      <c r="L67" s="55" t="s">
        <v>52</v>
      </c>
      <c r="M67" s="55" t="s">
        <v>53</v>
      </c>
      <c r="N67" s="70" t="s">
        <v>14</v>
      </c>
    </row>
    <row r="68" spans="2:14" ht="18" customHeight="1">
      <c r="B68" s="648" t="s">
        <v>79</v>
      </c>
      <c r="C68" s="649" t="s">
        <v>323</v>
      </c>
      <c r="D68" s="81">
        <f>J68-IF(L68=1,72,IF(L68=2,54,IF(L68=3,26,IF(L68=11,102.8,IF(L68=12,88.8,IF(L68=13,74.8,0))))))</f>
        <v>2548</v>
      </c>
      <c r="E68" s="81">
        <f>K68-IF(M68=1,72,IF(M68=2,24,IF(M68=3,26,IF(M68=11,102.8,IF(M68=12,88.8,IF(M68=13,74.8,0))))))</f>
        <v>1278</v>
      </c>
      <c r="F68" s="81">
        <f>2*(D68+E68)/1000</f>
        <v>7.6520000000000001</v>
      </c>
      <c r="G68" s="82">
        <v>1</v>
      </c>
      <c r="H68" s="250">
        <v>0.224</v>
      </c>
      <c r="I68" s="283">
        <f>ROUND(F68*G68*H68,3)*2</f>
        <v>3.4279999999999999</v>
      </c>
      <c r="J68" s="83">
        <f>D14</f>
        <v>2620</v>
      </c>
      <c r="K68" s="83">
        <f>E14</f>
        <v>1350</v>
      </c>
      <c r="L68" s="84">
        <v>1</v>
      </c>
      <c r="M68" s="84">
        <v>1</v>
      </c>
      <c r="N68" s="71" t="s">
        <v>56</v>
      </c>
    </row>
    <row r="69" spans="2:14" ht="18" customHeight="1">
      <c r="B69" s="648"/>
      <c r="C69" s="650"/>
      <c r="D69" s="81">
        <f t="shared" ref="D69:D87" si="11">J69-IF(L69=1,72,IF(L69=2,54,IF(L69=3,26,IF(L69=11,102.8,IF(L69=12,88.8,IF(L69=13,74.8,0))))))</f>
        <v>646</v>
      </c>
      <c r="E69" s="81">
        <f t="shared" ref="E69:E87" si="12">K69-IF(M69=1,72,IF(M69=2,24,IF(M69=3,26,IF(M69=11,102.8,IF(M69=12,88.8,IF(M69=13,74.8,0))))))</f>
        <v>646</v>
      </c>
      <c r="F69" s="81">
        <f t="shared" ref="F69:F87" si="13">2*(D69+E69)/1000</f>
        <v>2.5840000000000001</v>
      </c>
      <c r="G69" s="82">
        <v>4</v>
      </c>
      <c r="H69" s="250">
        <f>H68</f>
        <v>0.224</v>
      </c>
      <c r="I69" s="59">
        <f t="shared" ref="I69:I87" si="14">ROUND(F69*G69*H69,3)</f>
        <v>2.3149999999999999</v>
      </c>
      <c r="J69" s="83">
        <f>J35</f>
        <v>700</v>
      </c>
      <c r="K69" s="84">
        <f>E15-K35</f>
        <v>670</v>
      </c>
      <c r="L69" s="84">
        <v>2</v>
      </c>
      <c r="M69" s="84">
        <v>2</v>
      </c>
      <c r="N69" s="72" t="s">
        <v>58</v>
      </c>
    </row>
    <row r="70" spans="2:14" ht="18" customHeight="1">
      <c r="B70" s="648"/>
      <c r="C70" s="650"/>
      <c r="D70" s="81">
        <f t="shared" si="11"/>
        <v>646</v>
      </c>
      <c r="E70" s="81">
        <f t="shared" si="12"/>
        <v>1376</v>
      </c>
      <c r="F70" s="81">
        <f t="shared" si="13"/>
        <v>4.0439999999999996</v>
      </c>
      <c r="G70" s="82">
        <v>2</v>
      </c>
      <c r="H70" s="250">
        <f>H69</f>
        <v>0.224</v>
      </c>
      <c r="I70" s="59">
        <f t="shared" si="14"/>
        <v>1.8120000000000001</v>
      </c>
      <c r="J70" s="83">
        <f>J69</f>
        <v>700</v>
      </c>
      <c r="K70" s="84">
        <f>K35</f>
        <v>1400</v>
      </c>
      <c r="L70" s="84">
        <v>2</v>
      </c>
      <c r="M70" s="84">
        <v>2</v>
      </c>
      <c r="N70" s="72" t="s">
        <v>60</v>
      </c>
    </row>
    <row r="71" spans="2:14" ht="18" customHeight="1">
      <c r="B71" s="648"/>
      <c r="C71" s="650"/>
      <c r="D71" s="81">
        <f t="shared" si="11"/>
        <v>0</v>
      </c>
      <c r="E71" s="81">
        <f t="shared" si="12"/>
        <v>0</v>
      </c>
      <c r="F71" s="81">
        <f t="shared" si="13"/>
        <v>0</v>
      </c>
      <c r="G71" s="82"/>
      <c r="H71" s="77">
        <f>H70</f>
        <v>0.224</v>
      </c>
      <c r="I71" s="59">
        <f t="shared" si="14"/>
        <v>0</v>
      </c>
      <c r="J71" s="85"/>
      <c r="K71" s="86"/>
      <c r="L71" s="86"/>
      <c r="M71" s="86"/>
      <c r="N71" s="72" t="s">
        <v>65</v>
      </c>
    </row>
    <row r="72" spans="2:14" ht="18" customHeight="1">
      <c r="B72" s="648"/>
      <c r="C72" s="650"/>
      <c r="D72" s="81">
        <f t="shared" si="11"/>
        <v>0</v>
      </c>
      <c r="E72" s="81">
        <f t="shared" si="12"/>
        <v>0</v>
      </c>
      <c r="F72" s="81">
        <f t="shared" si="13"/>
        <v>0</v>
      </c>
      <c r="G72" s="82"/>
      <c r="H72" s="77">
        <f>H71</f>
        <v>0.224</v>
      </c>
      <c r="I72" s="87">
        <f t="shared" si="14"/>
        <v>0</v>
      </c>
      <c r="J72" s="85"/>
      <c r="K72" s="86"/>
      <c r="L72" s="86"/>
      <c r="M72" s="86"/>
      <c r="N72" s="72" t="s">
        <v>66</v>
      </c>
    </row>
    <row r="73" spans="2:14" ht="18" customHeight="1">
      <c r="B73" s="648"/>
      <c r="C73" s="650"/>
      <c r="D73" s="81">
        <f t="shared" si="11"/>
        <v>0</v>
      </c>
      <c r="E73" s="81">
        <f t="shared" si="12"/>
        <v>0</v>
      </c>
      <c r="F73" s="81">
        <f t="shared" si="13"/>
        <v>0</v>
      </c>
      <c r="G73" s="82"/>
      <c r="H73" s="250">
        <f>H70</f>
        <v>0.224</v>
      </c>
      <c r="I73" s="87">
        <f t="shared" si="14"/>
        <v>0</v>
      </c>
      <c r="J73" s="83"/>
      <c r="K73" s="84"/>
      <c r="L73" s="84"/>
      <c r="M73" s="84"/>
      <c r="N73" s="72" t="s">
        <v>67</v>
      </c>
    </row>
    <row r="74" spans="2:14" ht="18" customHeight="1">
      <c r="B74" s="648"/>
      <c r="C74" s="651"/>
      <c r="D74" s="81">
        <f t="shared" si="11"/>
        <v>0</v>
      </c>
      <c r="E74" s="81">
        <f t="shared" si="12"/>
        <v>0</v>
      </c>
      <c r="F74" s="81">
        <f t="shared" si="13"/>
        <v>0</v>
      </c>
      <c r="G74" s="82"/>
      <c r="H74" s="250">
        <f>H73</f>
        <v>0.224</v>
      </c>
      <c r="I74" s="87">
        <f t="shared" si="14"/>
        <v>0</v>
      </c>
      <c r="J74" s="83"/>
      <c r="K74" s="84"/>
      <c r="L74" s="84"/>
      <c r="M74" s="84"/>
      <c r="N74" s="88"/>
    </row>
    <row r="75" spans="2:14" ht="18" customHeight="1">
      <c r="B75" s="648"/>
      <c r="C75" s="649" t="s">
        <v>324</v>
      </c>
      <c r="D75" s="89">
        <f t="shared" si="11"/>
        <v>0</v>
      </c>
      <c r="E75" s="89">
        <f t="shared" si="12"/>
        <v>0</v>
      </c>
      <c r="F75" s="89">
        <f t="shared" si="13"/>
        <v>0</v>
      </c>
      <c r="G75" s="90"/>
      <c r="H75" s="91">
        <f>H74</f>
        <v>0.224</v>
      </c>
      <c r="I75" s="92">
        <f t="shared" si="14"/>
        <v>0</v>
      </c>
      <c r="J75" s="83"/>
      <c r="K75" s="84"/>
      <c r="L75" s="84"/>
      <c r="M75" s="84"/>
      <c r="N75" s="93" t="s">
        <v>80</v>
      </c>
    </row>
    <row r="76" spans="2:14" ht="18" customHeight="1">
      <c r="B76" s="648"/>
      <c r="C76" s="650"/>
      <c r="D76" s="89">
        <f t="shared" si="11"/>
        <v>0</v>
      </c>
      <c r="E76" s="89">
        <f t="shared" si="12"/>
        <v>0</v>
      </c>
      <c r="F76" s="89">
        <f t="shared" si="13"/>
        <v>0</v>
      </c>
      <c r="G76" s="90"/>
      <c r="H76" s="91">
        <f>H72</f>
        <v>0.224</v>
      </c>
      <c r="I76" s="92">
        <f t="shared" si="14"/>
        <v>0</v>
      </c>
      <c r="J76" s="83"/>
      <c r="K76" s="84"/>
      <c r="L76" s="84"/>
      <c r="M76" s="84"/>
      <c r="N76" s="93" t="s">
        <v>80</v>
      </c>
    </row>
    <row r="77" spans="2:14" ht="18" customHeight="1">
      <c r="B77" s="648"/>
      <c r="C77" s="650"/>
      <c r="D77" s="89">
        <f t="shared" si="11"/>
        <v>0</v>
      </c>
      <c r="E77" s="89">
        <f t="shared" si="12"/>
        <v>0</v>
      </c>
      <c r="F77" s="89">
        <f t="shared" si="13"/>
        <v>0</v>
      </c>
      <c r="G77" s="90"/>
      <c r="H77" s="91">
        <f t="shared" ref="H77:H87" si="15">H76</f>
        <v>0.224</v>
      </c>
      <c r="I77" s="92">
        <f t="shared" si="14"/>
        <v>0</v>
      </c>
      <c r="J77" s="83"/>
      <c r="K77" s="84"/>
      <c r="L77" s="84"/>
      <c r="M77" s="84"/>
      <c r="N77" s="93" t="s">
        <v>80</v>
      </c>
    </row>
    <row r="78" spans="2:14" ht="18" customHeight="1">
      <c r="B78" s="648"/>
      <c r="C78" s="650"/>
      <c r="D78" s="89">
        <f t="shared" si="11"/>
        <v>0</v>
      </c>
      <c r="E78" s="89">
        <f t="shared" si="12"/>
        <v>0</v>
      </c>
      <c r="F78" s="89">
        <f t="shared" si="13"/>
        <v>0</v>
      </c>
      <c r="G78" s="90"/>
      <c r="H78" s="91">
        <f t="shared" si="15"/>
        <v>0.224</v>
      </c>
      <c r="I78" s="92">
        <f t="shared" si="14"/>
        <v>0</v>
      </c>
      <c r="J78" s="83"/>
      <c r="K78" s="84"/>
      <c r="L78" s="84"/>
      <c r="M78" s="84"/>
      <c r="N78" s="93" t="s">
        <v>80</v>
      </c>
    </row>
    <row r="79" spans="2:14" ht="18" customHeight="1">
      <c r="B79" s="648"/>
      <c r="C79" s="650"/>
      <c r="D79" s="89">
        <f t="shared" si="11"/>
        <v>0</v>
      </c>
      <c r="E79" s="89">
        <f t="shared" si="12"/>
        <v>0</v>
      </c>
      <c r="F79" s="89">
        <f t="shared" si="13"/>
        <v>0</v>
      </c>
      <c r="G79" s="90"/>
      <c r="H79" s="91">
        <f t="shared" si="15"/>
        <v>0.224</v>
      </c>
      <c r="I79" s="94">
        <f t="shared" si="14"/>
        <v>0</v>
      </c>
      <c r="J79" s="83"/>
      <c r="K79" s="84"/>
      <c r="L79" s="84"/>
      <c r="M79" s="84"/>
      <c r="N79" s="93" t="s">
        <v>80</v>
      </c>
    </row>
    <row r="80" spans="2:14" ht="18" customHeight="1">
      <c r="B80" s="648"/>
      <c r="C80" s="650"/>
      <c r="D80" s="89">
        <f t="shared" si="11"/>
        <v>0</v>
      </c>
      <c r="E80" s="89">
        <f t="shared" si="12"/>
        <v>0</v>
      </c>
      <c r="F80" s="89">
        <f t="shared" si="13"/>
        <v>0</v>
      </c>
      <c r="G80" s="90"/>
      <c r="H80" s="91">
        <f t="shared" si="15"/>
        <v>0.224</v>
      </c>
      <c r="I80" s="94">
        <f t="shared" si="14"/>
        <v>0</v>
      </c>
      <c r="J80" s="83"/>
      <c r="K80" s="84"/>
      <c r="L80" s="84"/>
      <c r="M80" s="84"/>
      <c r="N80" s="93" t="s">
        <v>80</v>
      </c>
    </row>
    <row r="81" spans="2:14" ht="18" customHeight="1">
      <c r="B81" s="648"/>
      <c r="C81" s="651"/>
      <c r="D81" s="89">
        <f t="shared" si="11"/>
        <v>0</v>
      </c>
      <c r="E81" s="89">
        <f t="shared" si="12"/>
        <v>0</v>
      </c>
      <c r="F81" s="89">
        <f t="shared" si="13"/>
        <v>0</v>
      </c>
      <c r="G81" s="90"/>
      <c r="H81" s="91">
        <f t="shared" si="15"/>
        <v>0.224</v>
      </c>
      <c r="I81" s="94">
        <f t="shared" si="14"/>
        <v>0</v>
      </c>
      <c r="J81" s="95"/>
      <c r="K81" s="96"/>
      <c r="L81" s="96"/>
      <c r="M81" s="96"/>
      <c r="N81" s="93" t="s">
        <v>81</v>
      </c>
    </row>
    <row r="82" spans="2:14" ht="18" customHeight="1">
      <c r="B82" s="648"/>
      <c r="C82" s="639" t="s">
        <v>325</v>
      </c>
      <c r="D82" s="81">
        <f t="shared" si="11"/>
        <v>0</v>
      </c>
      <c r="E82" s="81">
        <f t="shared" si="12"/>
        <v>0</v>
      </c>
      <c r="F82" s="81">
        <f t="shared" si="13"/>
        <v>0</v>
      </c>
      <c r="G82" s="82"/>
      <c r="H82" s="250">
        <f t="shared" si="15"/>
        <v>0.224</v>
      </c>
      <c r="I82" s="59">
        <f t="shared" si="14"/>
        <v>0</v>
      </c>
      <c r="J82" s="83"/>
      <c r="K82" s="84"/>
      <c r="L82" s="84"/>
      <c r="M82" s="84"/>
      <c r="N82" s="88"/>
    </row>
    <row r="83" spans="2:14" ht="18" customHeight="1">
      <c r="B83" s="648"/>
      <c r="C83" s="645"/>
      <c r="D83" s="81">
        <f t="shared" si="11"/>
        <v>0</v>
      </c>
      <c r="E83" s="81">
        <f t="shared" si="12"/>
        <v>0</v>
      </c>
      <c r="F83" s="81">
        <f t="shared" si="13"/>
        <v>0</v>
      </c>
      <c r="G83" s="82"/>
      <c r="H83" s="250">
        <f t="shared" si="15"/>
        <v>0.224</v>
      </c>
      <c r="I83" s="59">
        <f t="shared" si="14"/>
        <v>0</v>
      </c>
      <c r="J83" s="83"/>
      <c r="K83" s="84"/>
      <c r="L83" s="84"/>
      <c r="M83" s="84"/>
      <c r="N83" s="88"/>
    </row>
    <row r="84" spans="2:14" ht="18" customHeight="1">
      <c r="B84" s="648"/>
      <c r="C84" s="645"/>
      <c r="D84" s="81">
        <f t="shared" si="11"/>
        <v>0</v>
      </c>
      <c r="E84" s="81">
        <f t="shared" si="12"/>
        <v>0</v>
      </c>
      <c r="F84" s="81">
        <f t="shared" si="13"/>
        <v>0</v>
      </c>
      <c r="G84" s="82"/>
      <c r="H84" s="250">
        <f t="shared" si="15"/>
        <v>0.224</v>
      </c>
      <c r="I84" s="59">
        <f t="shared" si="14"/>
        <v>0</v>
      </c>
      <c r="J84" s="83"/>
      <c r="K84" s="84"/>
      <c r="L84" s="84"/>
      <c r="M84" s="84"/>
      <c r="N84" s="76"/>
    </row>
    <row r="85" spans="2:14" ht="18" customHeight="1">
      <c r="B85" s="648"/>
      <c r="C85" s="645"/>
      <c r="D85" s="81">
        <f t="shared" si="11"/>
        <v>0</v>
      </c>
      <c r="E85" s="81">
        <f t="shared" si="12"/>
        <v>0</v>
      </c>
      <c r="F85" s="81">
        <f t="shared" si="13"/>
        <v>0</v>
      </c>
      <c r="G85" s="82"/>
      <c r="H85" s="250">
        <f t="shared" si="15"/>
        <v>0.224</v>
      </c>
      <c r="I85" s="59">
        <f t="shared" si="14"/>
        <v>0</v>
      </c>
      <c r="J85" s="83"/>
      <c r="K85" s="84"/>
      <c r="L85" s="84"/>
      <c r="M85" s="84"/>
      <c r="N85" s="76"/>
    </row>
    <row r="86" spans="2:14" ht="18" customHeight="1">
      <c r="B86" s="648"/>
      <c r="C86" s="645"/>
      <c r="D86" s="81">
        <f t="shared" si="11"/>
        <v>0</v>
      </c>
      <c r="E86" s="81">
        <f t="shared" si="12"/>
        <v>0</v>
      </c>
      <c r="F86" s="81">
        <f t="shared" si="13"/>
        <v>0</v>
      </c>
      <c r="G86" s="82"/>
      <c r="H86" s="250">
        <f t="shared" si="15"/>
        <v>0.224</v>
      </c>
      <c r="I86" s="59">
        <f t="shared" si="14"/>
        <v>0</v>
      </c>
      <c r="J86" s="85"/>
      <c r="K86" s="86"/>
      <c r="L86" s="86"/>
      <c r="M86" s="86"/>
      <c r="N86" s="76"/>
    </row>
    <row r="87" spans="2:14" ht="18" customHeight="1" thickBot="1">
      <c r="B87" s="648"/>
      <c r="C87" s="640"/>
      <c r="D87" s="81">
        <f t="shared" si="11"/>
        <v>0</v>
      </c>
      <c r="E87" s="81">
        <f t="shared" si="12"/>
        <v>0</v>
      </c>
      <c r="F87" s="81">
        <f t="shared" si="13"/>
        <v>0</v>
      </c>
      <c r="G87" s="82"/>
      <c r="H87" s="250">
        <f t="shared" si="15"/>
        <v>0.224</v>
      </c>
      <c r="I87" s="59">
        <f t="shared" si="14"/>
        <v>0</v>
      </c>
      <c r="J87" s="97"/>
      <c r="K87" s="98"/>
      <c r="L87" s="98"/>
      <c r="M87" s="98"/>
      <c r="N87" s="80"/>
    </row>
    <row r="88" spans="2:14" ht="18" customHeight="1">
      <c r="B88" s="48" t="s">
        <v>42</v>
      </c>
      <c r="C88" s="49">
        <f>SUMPRODUCT(F68:F87*G68:G87)</f>
        <v>26.076000000000001</v>
      </c>
      <c r="D88" s="50" t="s">
        <v>43</v>
      </c>
      <c r="E88" s="49">
        <f>SUM(I68:I87)*1.1</f>
        <v>8.3105000000000011</v>
      </c>
      <c r="F88" s="50" t="s">
        <v>44</v>
      </c>
      <c r="G88" s="51">
        <f>(C$218+C$222)/1000</f>
        <v>39.781500000000001</v>
      </c>
      <c r="H88" s="52" t="s">
        <v>45</v>
      </c>
      <c r="I88" s="53">
        <f>ROUND(E88*G88,2)</f>
        <v>330.6</v>
      </c>
      <c r="J88" s="255"/>
      <c r="K88" s="255"/>
      <c r="L88" s="255"/>
      <c r="M88" s="255"/>
    </row>
    <row r="89" spans="2:14" ht="18" customHeight="1">
      <c r="B89" s="48" t="s">
        <v>46</v>
      </c>
      <c r="C89" s="50">
        <v>181.72</v>
      </c>
      <c r="D89" s="50" t="s">
        <v>47</v>
      </c>
      <c r="E89" s="49">
        <f>ROUND(C88*(C89/1000),2)</f>
        <v>4.74</v>
      </c>
      <c r="F89" s="50" t="s">
        <v>48</v>
      </c>
      <c r="G89" s="50">
        <f>G$23</f>
        <v>10</v>
      </c>
      <c r="H89" s="52" t="s">
        <v>49</v>
      </c>
      <c r="I89" s="53">
        <f>E89*G89</f>
        <v>47.400000000000006</v>
      </c>
      <c r="J89" s="255"/>
      <c r="K89" s="255"/>
      <c r="L89" s="255"/>
      <c r="M89" s="255"/>
    </row>
    <row r="90" spans="2:14" ht="18" customHeight="1">
      <c r="B90" s="48" t="s">
        <v>50</v>
      </c>
      <c r="C90" s="50"/>
      <c r="D90" s="50" t="s">
        <v>51</v>
      </c>
      <c r="E90" s="49">
        <f>ROUND(C88*(C90/1000),2)</f>
        <v>0</v>
      </c>
      <c r="F90" s="50" t="s">
        <v>48</v>
      </c>
      <c r="G90" s="50">
        <f>G$24</f>
        <v>10</v>
      </c>
      <c r="H90" s="52" t="s">
        <v>49</v>
      </c>
      <c r="I90" s="53">
        <f>E90*G90</f>
        <v>0</v>
      </c>
      <c r="J90" s="255"/>
      <c r="K90" s="255"/>
      <c r="L90" s="255"/>
      <c r="M90" s="255"/>
    </row>
    <row r="91" spans="2:14" ht="18" customHeight="1">
      <c r="B91" s="23" t="s">
        <v>36</v>
      </c>
      <c r="C91" s="252" t="s">
        <v>14</v>
      </c>
      <c r="D91" s="252" t="s">
        <v>37</v>
      </c>
      <c r="E91" s="252" t="s">
        <v>38</v>
      </c>
      <c r="F91" s="252" t="s">
        <v>39</v>
      </c>
      <c r="G91" s="252" t="s">
        <v>8</v>
      </c>
      <c r="H91" s="252" t="s">
        <v>22</v>
      </c>
      <c r="I91" s="25" t="s">
        <v>40</v>
      </c>
      <c r="J91" s="255"/>
      <c r="K91" s="255"/>
      <c r="L91" s="255"/>
      <c r="M91" s="255"/>
    </row>
    <row r="92" spans="2:14" ht="18" customHeight="1">
      <c r="B92" s="648" t="s">
        <v>82</v>
      </c>
      <c r="C92" s="653" t="s">
        <v>326</v>
      </c>
      <c r="D92" s="253">
        <f>D26-90</f>
        <v>-90</v>
      </c>
      <c r="E92" s="253">
        <f>E26-90</f>
        <v>-90</v>
      </c>
      <c r="F92" s="253">
        <f>2*(D92+E92)/1000</f>
        <v>-0.36</v>
      </c>
      <c r="G92" s="250">
        <f>G26</f>
        <v>0</v>
      </c>
      <c r="H92" s="250">
        <v>0.27100000000000002</v>
      </c>
      <c r="I92" s="59">
        <f>ROUND(F92*G92*H92,3)</f>
        <v>0</v>
      </c>
    </row>
    <row r="93" spans="2:14" ht="18" customHeight="1">
      <c r="B93" s="648"/>
      <c r="C93" s="658"/>
      <c r="D93" s="253">
        <f t="shared" ref="D93:E96" si="16">D27-90</f>
        <v>-90</v>
      </c>
      <c r="E93" s="253">
        <f t="shared" si="16"/>
        <v>-90</v>
      </c>
      <c r="F93" s="253">
        <f>2*(D93+E93)/1000</f>
        <v>-0.36</v>
      </c>
      <c r="G93" s="250">
        <f>G27</f>
        <v>0</v>
      </c>
      <c r="H93" s="250">
        <f>H92</f>
        <v>0.27100000000000002</v>
      </c>
      <c r="I93" s="59">
        <f>ROUND(F93*G93*H93,3)</f>
        <v>0</v>
      </c>
      <c r="M93" s="42"/>
    </row>
    <row r="94" spans="2:14" ht="18" customHeight="1">
      <c r="B94" s="648"/>
      <c r="C94" s="658"/>
      <c r="D94" s="253">
        <f t="shared" si="16"/>
        <v>-90</v>
      </c>
      <c r="E94" s="253">
        <f t="shared" si="16"/>
        <v>-90</v>
      </c>
      <c r="F94" s="253">
        <f>2*(D94+E94)/1000</f>
        <v>-0.36</v>
      </c>
      <c r="G94" s="250">
        <f>G28</f>
        <v>0</v>
      </c>
      <c r="H94" s="250">
        <f>H93</f>
        <v>0.27100000000000002</v>
      </c>
      <c r="I94" s="59">
        <f>ROUND(F94*G94*H94,3)</f>
        <v>0</v>
      </c>
    </row>
    <row r="95" spans="2:14" ht="18" customHeight="1">
      <c r="B95" s="648"/>
      <c r="C95" s="658"/>
      <c r="D95" s="253">
        <f t="shared" si="16"/>
        <v>-90</v>
      </c>
      <c r="E95" s="253">
        <f t="shared" si="16"/>
        <v>-90</v>
      </c>
      <c r="F95" s="253">
        <f>2*(D95+E95)/1000</f>
        <v>-0.36</v>
      </c>
      <c r="G95" s="250">
        <f>G29</f>
        <v>0</v>
      </c>
      <c r="H95" s="250">
        <f>H94</f>
        <v>0.27100000000000002</v>
      </c>
      <c r="I95" s="59">
        <f>ROUND(F95*G95*H95,3)</f>
        <v>0</v>
      </c>
    </row>
    <row r="96" spans="2:14" ht="18" customHeight="1">
      <c r="B96" s="648"/>
      <c r="C96" s="659"/>
      <c r="D96" s="253">
        <f t="shared" si="16"/>
        <v>-90</v>
      </c>
      <c r="E96" s="253">
        <f t="shared" si="16"/>
        <v>-90</v>
      </c>
      <c r="F96" s="253">
        <f>2*(D96+E96)/1000</f>
        <v>-0.36</v>
      </c>
      <c r="G96" s="250">
        <f>G30</f>
        <v>0</v>
      </c>
      <c r="H96" s="250">
        <f>H95</f>
        <v>0.27100000000000002</v>
      </c>
      <c r="I96" s="59">
        <f>ROUND(F96*G96*H96,3)</f>
        <v>0</v>
      </c>
    </row>
    <row r="97" spans="2:13" ht="18" customHeight="1">
      <c r="B97" s="48" t="s">
        <v>42</v>
      </c>
      <c r="C97" s="49">
        <f>SUMPRODUCT(F92:F96*G92:G96)</f>
        <v>0</v>
      </c>
      <c r="D97" s="50" t="s">
        <v>43</v>
      </c>
      <c r="E97" s="49">
        <f>SUM(I92:I96)*1.1</f>
        <v>0</v>
      </c>
      <c r="F97" s="50" t="s">
        <v>44</v>
      </c>
      <c r="G97" s="51">
        <f>(C$218+C$222)/1000</f>
        <v>39.781500000000001</v>
      </c>
      <c r="H97" s="52" t="s">
        <v>45</v>
      </c>
      <c r="I97" s="53">
        <f>ROUND(E97*G97,2)</f>
        <v>0</v>
      </c>
    </row>
    <row r="98" spans="2:13" ht="18" customHeight="1">
      <c r="B98" s="48" t="s">
        <v>46</v>
      </c>
      <c r="C98" s="50">
        <v>186.72</v>
      </c>
      <c r="D98" s="50" t="s">
        <v>47</v>
      </c>
      <c r="E98" s="49">
        <f>ROUND(C97*(C98/1000),2)</f>
        <v>0</v>
      </c>
      <c r="F98" s="50" t="s">
        <v>48</v>
      </c>
      <c r="G98" s="50">
        <f>G$23</f>
        <v>10</v>
      </c>
      <c r="H98" s="52" t="s">
        <v>49</v>
      </c>
      <c r="I98" s="53">
        <f>E98*G98</f>
        <v>0</v>
      </c>
    </row>
    <row r="99" spans="2:13" ht="18" customHeight="1">
      <c r="B99" s="48" t="s">
        <v>50</v>
      </c>
      <c r="C99" s="50">
        <v>0</v>
      </c>
      <c r="D99" s="50" t="s">
        <v>51</v>
      </c>
      <c r="E99" s="49">
        <f>ROUND(C97*(C99/1000),2)</f>
        <v>0</v>
      </c>
      <c r="F99" s="50" t="s">
        <v>48</v>
      </c>
      <c r="G99" s="50">
        <f>G$24</f>
        <v>10</v>
      </c>
      <c r="H99" s="52" t="s">
        <v>49</v>
      </c>
      <c r="I99" s="53">
        <f>E99*G99</f>
        <v>0</v>
      </c>
    </row>
    <row r="100" spans="2:13" ht="18" customHeight="1">
      <c r="B100" s="23" t="s">
        <v>36</v>
      </c>
      <c r="C100" s="252" t="s">
        <v>14</v>
      </c>
      <c r="D100" s="252" t="s">
        <v>37</v>
      </c>
      <c r="E100" s="252" t="s">
        <v>38</v>
      </c>
      <c r="F100" s="252" t="s">
        <v>39</v>
      </c>
      <c r="G100" s="252" t="s">
        <v>8</v>
      </c>
      <c r="H100" s="252" t="s">
        <v>22</v>
      </c>
      <c r="I100" s="25" t="s">
        <v>40</v>
      </c>
    </row>
    <row r="101" spans="2:13" ht="18" customHeight="1">
      <c r="B101" s="648" t="s">
        <v>84</v>
      </c>
      <c r="C101" s="653" t="str">
        <f>C92</f>
        <v>SDL2281</v>
      </c>
      <c r="D101" s="253">
        <f>D35-122</f>
        <v>478</v>
      </c>
      <c r="E101" s="253">
        <f t="shared" ref="D101:E103" si="17">E35-122</f>
        <v>1178</v>
      </c>
      <c r="F101" s="253">
        <f>2*(D101+E101)/1000</f>
        <v>3.3119999999999998</v>
      </c>
      <c r="G101" s="250">
        <f>G35</f>
        <v>2</v>
      </c>
      <c r="H101" s="250">
        <f>H96</f>
        <v>0.27100000000000002</v>
      </c>
      <c r="I101" s="59">
        <f>ROUND(F101*G101*H101,3)</f>
        <v>1.7949999999999999</v>
      </c>
    </row>
    <row r="102" spans="2:13" ht="18" customHeight="1">
      <c r="B102" s="648"/>
      <c r="C102" s="650"/>
      <c r="D102" s="253">
        <f t="shared" si="17"/>
        <v>-122</v>
      </c>
      <c r="E102" s="253">
        <f t="shared" si="17"/>
        <v>-122</v>
      </c>
      <c r="F102" s="253">
        <f>2*(D102+E102)/1000</f>
        <v>-0.48799999999999999</v>
      </c>
      <c r="G102" s="250">
        <f>G36</f>
        <v>0</v>
      </c>
      <c r="H102" s="250">
        <f>H101</f>
        <v>0.27100000000000002</v>
      </c>
      <c r="I102" s="59">
        <f>ROUND(F102*G102*H102,3)</f>
        <v>0</v>
      </c>
      <c r="K102" s="99"/>
      <c r="M102" s="99"/>
    </row>
    <row r="103" spans="2:13" ht="18" customHeight="1">
      <c r="B103" s="648"/>
      <c r="C103" s="651"/>
      <c r="D103" s="253">
        <f t="shared" si="17"/>
        <v>-122</v>
      </c>
      <c r="E103" s="253">
        <f t="shared" si="17"/>
        <v>-122</v>
      </c>
      <c r="F103" s="253">
        <f>2*(D103+E103)/1000</f>
        <v>-0.48799999999999999</v>
      </c>
      <c r="G103" s="250">
        <f>G37</f>
        <v>0</v>
      </c>
      <c r="H103" s="250">
        <f>H102</f>
        <v>0.27100000000000002</v>
      </c>
      <c r="I103" s="59">
        <f>ROUND(F103*G103*H103,3)</f>
        <v>0</v>
      </c>
      <c r="M103" s="99"/>
    </row>
    <row r="104" spans="2:13" ht="18" customHeight="1">
      <c r="B104" s="48" t="s">
        <v>42</v>
      </c>
      <c r="C104" s="49">
        <f>SUMPRODUCT(F101:F103*G101:G103)</f>
        <v>6.6239999999999997</v>
      </c>
      <c r="D104" s="50" t="s">
        <v>43</v>
      </c>
      <c r="E104" s="49">
        <f>SUM(I101:I103)*1.1</f>
        <v>1.9745000000000001</v>
      </c>
      <c r="F104" s="50" t="s">
        <v>44</v>
      </c>
      <c r="G104" s="51">
        <f>(C$218+C$222)/1000</f>
        <v>39.781500000000001</v>
      </c>
      <c r="H104" s="52" t="s">
        <v>45</v>
      </c>
      <c r="I104" s="53">
        <f>ROUND(E104*G104,2)</f>
        <v>78.55</v>
      </c>
    </row>
    <row r="105" spans="2:13" ht="18" customHeight="1">
      <c r="B105" s="48" t="s">
        <v>46</v>
      </c>
      <c r="C105" s="50">
        <v>186.72</v>
      </c>
      <c r="D105" s="50" t="s">
        <v>47</v>
      </c>
      <c r="E105" s="49">
        <f>ROUND(C104*(C105/1000),2)</f>
        <v>1.24</v>
      </c>
      <c r="F105" s="50" t="s">
        <v>48</v>
      </c>
      <c r="G105" s="50">
        <f>G$23</f>
        <v>10</v>
      </c>
      <c r="H105" s="52" t="s">
        <v>49</v>
      </c>
      <c r="I105" s="53">
        <f>ROUND(E105*G105,2)</f>
        <v>12.4</v>
      </c>
    </row>
    <row r="106" spans="2:13" ht="18" customHeight="1">
      <c r="B106" s="48" t="s">
        <v>50</v>
      </c>
      <c r="C106" s="50">
        <v>0</v>
      </c>
      <c r="D106" s="50" t="s">
        <v>51</v>
      </c>
      <c r="E106" s="49">
        <f>ROUND(C104*(C106/1000),2)</f>
        <v>0</v>
      </c>
      <c r="F106" s="50" t="s">
        <v>48</v>
      </c>
      <c r="G106" s="50">
        <f>G$24</f>
        <v>10</v>
      </c>
      <c r="H106" s="52" t="s">
        <v>49</v>
      </c>
      <c r="I106" s="53">
        <f>ROUND(E106*G106,2)</f>
        <v>0</v>
      </c>
    </row>
    <row r="107" spans="2:13" ht="18" customHeight="1">
      <c r="B107" s="23" t="s">
        <v>36</v>
      </c>
      <c r="C107" s="252" t="s">
        <v>14</v>
      </c>
      <c r="D107" s="252" t="s">
        <v>37</v>
      </c>
      <c r="E107" s="252" t="s">
        <v>38</v>
      </c>
      <c r="F107" s="252" t="s">
        <v>39</v>
      </c>
      <c r="G107" s="252" t="s">
        <v>8</v>
      </c>
      <c r="H107" s="252" t="s">
        <v>22</v>
      </c>
      <c r="I107" s="25" t="s">
        <v>40</v>
      </c>
    </row>
    <row r="108" spans="2:13" ht="18" customHeight="1">
      <c r="B108" s="648" t="s">
        <v>85</v>
      </c>
      <c r="C108" s="655" t="s">
        <v>86</v>
      </c>
      <c r="D108" s="250"/>
      <c r="E108" s="250"/>
      <c r="F108" s="250">
        <f>ROUND((D108+E108)*2/1000,4)</f>
        <v>0</v>
      </c>
      <c r="G108" s="250"/>
      <c r="H108" s="250">
        <v>1.857</v>
      </c>
      <c r="I108" s="59">
        <f>ROUND(F108*G108*H108,3)</f>
        <v>0</v>
      </c>
    </row>
    <row r="109" spans="2:13" ht="18" customHeight="1">
      <c r="B109" s="648"/>
      <c r="C109" s="656"/>
      <c r="D109" s="250"/>
      <c r="E109" s="250"/>
      <c r="F109" s="250">
        <f>ROUND((D109+E109)*2/1000,4)</f>
        <v>0</v>
      </c>
      <c r="G109" s="250"/>
      <c r="H109" s="250">
        <f>H108</f>
        <v>1.857</v>
      </c>
      <c r="I109" s="59">
        <f>ROUND(F109*G109*H109,3)</f>
        <v>0</v>
      </c>
      <c r="K109" s="42"/>
      <c r="L109" s="42"/>
      <c r="M109" s="42"/>
    </row>
    <row r="110" spans="2:13" ht="18" customHeight="1">
      <c r="B110" s="648"/>
      <c r="C110" s="656"/>
      <c r="D110" s="250"/>
      <c r="E110" s="250"/>
      <c r="F110" s="250">
        <f>ROUND((D110+E110)*2/1000,4)</f>
        <v>0</v>
      </c>
      <c r="G110" s="250"/>
      <c r="H110" s="250">
        <f>H109</f>
        <v>1.857</v>
      </c>
      <c r="I110" s="59">
        <f>ROUND(F110*G110*H110,3)</f>
        <v>0</v>
      </c>
      <c r="K110" s="42"/>
      <c r="L110" s="42"/>
      <c r="M110" s="42"/>
    </row>
    <row r="111" spans="2:13" ht="18" customHeight="1">
      <c r="B111" s="648"/>
      <c r="C111" s="657"/>
      <c r="D111" s="250"/>
      <c r="E111" s="250"/>
      <c r="F111" s="250">
        <f>ROUND((D111+E111)*2/1000,4)</f>
        <v>0</v>
      </c>
      <c r="G111" s="250"/>
      <c r="H111" s="250">
        <f>H110</f>
        <v>1.857</v>
      </c>
      <c r="I111" s="59">
        <f>ROUND(F111*G111*H111,3)</f>
        <v>0</v>
      </c>
      <c r="K111" s="42"/>
      <c r="L111" s="42"/>
      <c r="M111" s="42"/>
    </row>
    <row r="112" spans="2:13" ht="18" customHeight="1">
      <c r="B112" s="48" t="s">
        <v>42</v>
      </c>
      <c r="C112" s="49">
        <f>SUMPRODUCT(F108:F111*G108:G111)</f>
        <v>0</v>
      </c>
      <c r="D112" s="50" t="s">
        <v>43</v>
      </c>
      <c r="E112" s="49">
        <f>SUM(I108:I111)*1.1</f>
        <v>0</v>
      </c>
      <c r="F112" s="50" t="s">
        <v>44</v>
      </c>
      <c r="G112" s="51">
        <f>(C$218+C$219)/1000</f>
        <v>46.081499999999998</v>
      </c>
      <c r="H112" s="52" t="s">
        <v>45</v>
      </c>
      <c r="I112" s="53">
        <f>ROUND(E112*G112,2)</f>
        <v>0</v>
      </c>
      <c r="J112" s="243">
        <f>SUM(G108:G111)</f>
        <v>0</v>
      </c>
      <c r="K112" s="42"/>
      <c r="L112" s="42"/>
      <c r="M112" s="42"/>
    </row>
    <row r="113" spans="2:14" ht="18" customHeight="1">
      <c r="B113" s="48" t="s">
        <v>46</v>
      </c>
      <c r="C113" s="50">
        <v>241.03</v>
      </c>
      <c r="D113" s="50" t="s">
        <v>47</v>
      </c>
      <c r="E113" s="49">
        <f>ROUND(C112*(C113/1000),2)</f>
        <v>0</v>
      </c>
      <c r="F113" s="50" t="s">
        <v>48</v>
      </c>
      <c r="G113" s="50">
        <f>G$23</f>
        <v>10</v>
      </c>
      <c r="H113" s="52" t="s">
        <v>49</v>
      </c>
      <c r="I113" s="53">
        <f>E113*G113</f>
        <v>0</v>
      </c>
      <c r="K113" s="42"/>
      <c r="L113" s="42"/>
      <c r="M113" s="42"/>
    </row>
    <row r="114" spans="2:14" ht="18" customHeight="1" thickBot="1">
      <c r="B114" s="48" t="s">
        <v>50</v>
      </c>
      <c r="C114" s="50">
        <v>204.38</v>
      </c>
      <c r="D114" s="50" t="s">
        <v>51</v>
      </c>
      <c r="E114" s="49">
        <f>ROUND(C112*(C114/1000),2)</f>
        <v>0</v>
      </c>
      <c r="F114" s="50" t="s">
        <v>48</v>
      </c>
      <c r="G114" s="50">
        <f>G$24</f>
        <v>10</v>
      </c>
      <c r="H114" s="52" t="s">
        <v>49</v>
      </c>
      <c r="I114" s="53">
        <f>E114*G114</f>
        <v>0</v>
      </c>
    </row>
    <row r="115" spans="2:14" ht="18" customHeight="1" thickBot="1">
      <c r="B115" s="23" t="s">
        <v>36</v>
      </c>
      <c r="C115" s="252" t="s">
        <v>14</v>
      </c>
      <c r="D115" s="252" t="s">
        <v>37</v>
      </c>
      <c r="E115" s="252" t="s">
        <v>38</v>
      </c>
      <c r="F115" s="252" t="s">
        <v>39</v>
      </c>
      <c r="G115" s="252" t="s">
        <v>8</v>
      </c>
      <c r="H115" s="252" t="s">
        <v>22</v>
      </c>
      <c r="I115" s="25" t="s">
        <v>40</v>
      </c>
      <c r="J115" s="54" t="s">
        <v>2</v>
      </c>
      <c r="K115" s="55" t="s">
        <v>3</v>
      </c>
      <c r="L115" s="55" t="s">
        <v>61</v>
      </c>
      <c r="M115" s="55" t="s">
        <v>62</v>
      </c>
      <c r="N115" s="70" t="s">
        <v>14</v>
      </c>
    </row>
    <row r="116" spans="2:14" ht="18" customHeight="1">
      <c r="B116" s="648" t="s">
        <v>87</v>
      </c>
      <c r="C116" s="649" t="s">
        <v>88</v>
      </c>
      <c r="D116" s="253">
        <f t="shared" ref="D116:E118" si="18">J116-IF(L116=1,78,IF(L116=2,55.5,IF(L116=3,41,0)))</f>
        <v>0</v>
      </c>
      <c r="E116" s="253">
        <f t="shared" si="18"/>
        <v>0</v>
      </c>
      <c r="F116" s="250">
        <f>ROUND((D116+E116)*2/1000,4)</f>
        <v>0</v>
      </c>
      <c r="G116" s="250"/>
      <c r="H116" s="58">
        <v>2.456</v>
      </c>
      <c r="I116" s="59">
        <f>ROUND(F116*G116*H116,3)</f>
        <v>0</v>
      </c>
      <c r="J116" s="60"/>
      <c r="K116" s="61"/>
      <c r="L116" s="61"/>
      <c r="M116" s="61"/>
      <c r="N116" s="76" t="s">
        <v>56</v>
      </c>
    </row>
    <row r="117" spans="2:14" ht="18" customHeight="1">
      <c r="B117" s="648"/>
      <c r="C117" s="650"/>
      <c r="D117" s="253">
        <f t="shared" si="18"/>
        <v>0</v>
      </c>
      <c r="E117" s="253">
        <f t="shared" si="18"/>
        <v>0</v>
      </c>
      <c r="F117" s="250">
        <f>ROUND((D117+E117)*2/1000,4)</f>
        <v>0</v>
      </c>
      <c r="G117" s="250">
        <v>0</v>
      </c>
      <c r="H117" s="58">
        <f>H116</f>
        <v>2.456</v>
      </c>
      <c r="I117" s="59">
        <f>ROUND(F117*G117*H117,3)</f>
        <v>0</v>
      </c>
      <c r="J117" s="60"/>
      <c r="K117" s="61"/>
      <c r="L117" s="61"/>
      <c r="M117" s="61"/>
      <c r="N117" s="76" t="s">
        <v>58</v>
      </c>
    </row>
    <row r="118" spans="2:14" ht="18" customHeight="1" thickBot="1">
      <c r="B118" s="648"/>
      <c r="C118" s="651"/>
      <c r="D118" s="253">
        <f t="shared" si="18"/>
        <v>0</v>
      </c>
      <c r="E118" s="253">
        <f t="shared" si="18"/>
        <v>0</v>
      </c>
      <c r="F118" s="250">
        <f>ROUND((D118+E118)*2/1000,4)</f>
        <v>0</v>
      </c>
      <c r="G118" s="250">
        <v>0</v>
      </c>
      <c r="H118" s="58">
        <f>H117</f>
        <v>2.456</v>
      </c>
      <c r="I118" s="59">
        <f>ROUND(F118*G118*H118,3)</f>
        <v>0</v>
      </c>
      <c r="J118" s="64"/>
      <c r="K118" s="65"/>
      <c r="L118" s="65"/>
      <c r="M118" s="65"/>
      <c r="N118" s="80" t="s">
        <v>89</v>
      </c>
    </row>
    <row r="119" spans="2:14" ht="18" customHeight="1">
      <c r="B119" s="48" t="s">
        <v>42</v>
      </c>
      <c r="C119" s="49">
        <f>SUMPRODUCT(F116:F118*G116:G118)</f>
        <v>0</v>
      </c>
      <c r="D119" s="100" t="s">
        <v>43</v>
      </c>
      <c r="E119" s="100">
        <f>SUM(I116:I118)*1.1</f>
        <v>0</v>
      </c>
      <c r="F119" s="50" t="s">
        <v>44</v>
      </c>
      <c r="G119" s="51">
        <f>(C$218+C$219)/1000</f>
        <v>46.081499999999998</v>
      </c>
      <c r="H119" s="52" t="s">
        <v>45</v>
      </c>
      <c r="I119" s="53">
        <f>ROUND(E119*G119,2)</f>
        <v>0</v>
      </c>
      <c r="J119" s="243">
        <f>SUM(G116:G118)</f>
        <v>0</v>
      </c>
      <c r="K119" s="255"/>
      <c r="L119" s="255"/>
      <c r="M119" s="255"/>
    </row>
    <row r="120" spans="2:14" ht="18" customHeight="1">
      <c r="B120" s="48" t="s">
        <v>46</v>
      </c>
      <c r="C120" s="50">
        <v>350.56</v>
      </c>
      <c r="D120" s="100" t="s">
        <v>47</v>
      </c>
      <c r="E120" s="100">
        <f>ROUND(C119*(C120/1000),2)</f>
        <v>0</v>
      </c>
      <c r="F120" s="50" t="s">
        <v>48</v>
      </c>
      <c r="G120" s="50">
        <f>G$23</f>
        <v>10</v>
      </c>
      <c r="H120" s="52" t="s">
        <v>49</v>
      </c>
      <c r="I120" s="53">
        <f>E120*G120</f>
        <v>0</v>
      </c>
      <c r="J120" s="255"/>
      <c r="K120" s="255"/>
      <c r="L120" s="255"/>
      <c r="M120" s="255"/>
    </row>
    <row r="121" spans="2:14" ht="18" customHeight="1" thickBot="1">
      <c r="B121" s="48" t="s">
        <v>50</v>
      </c>
      <c r="C121" s="50">
        <v>189.03</v>
      </c>
      <c r="D121" s="100" t="s">
        <v>51</v>
      </c>
      <c r="E121" s="100">
        <f>ROUND(C119*(C121/1000),2)</f>
        <v>0</v>
      </c>
      <c r="F121" s="50" t="s">
        <v>48</v>
      </c>
      <c r="G121" s="50">
        <f>G$24</f>
        <v>10</v>
      </c>
      <c r="H121" s="52" t="s">
        <v>49</v>
      </c>
      <c r="I121" s="53">
        <f>E121*G121</f>
        <v>0</v>
      </c>
      <c r="J121" s="255"/>
    </row>
    <row r="122" spans="2:14" ht="18" customHeight="1" thickBot="1">
      <c r="B122" s="23" t="s">
        <v>36</v>
      </c>
      <c r="C122" s="252" t="s">
        <v>14</v>
      </c>
      <c r="D122" s="101" t="s">
        <v>37</v>
      </c>
      <c r="E122" s="101" t="s">
        <v>38</v>
      </c>
      <c r="F122" s="252" t="s">
        <v>39</v>
      </c>
      <c r="G122" s="252" t="s">
        <v>8</v>
      </c>
      <c r="H122" s="252" t="s">
        <v>22</v>
      </c>
      <c r="I122" s="25" t="s">
        <v>40</v>
      </c>
      <c r="J122" s="54" t="s">
        <v>2</v>
      </c>
      <c r="K122" s="55" t="s">
        <v>3</v>
      </c>
      <c r="L122" s="55" t="s">
        <v>61</v>
      </c>
      <c r="M122" s="55" t="s">
        <v>62</v>
      </c>
      <c r="N122" s="70" t="s">
        <v>14</v>
      </c>
    </row>
    <row r="123" spans="2:14" ht="18" customHeight="1">
      <c r="B123" s="648" t="s">
        <v>90</v>
      </c>
      <c r="C123" s="649" t="s">
        <v>91</v>
      </c>
      <c r="D123" s="253">
        <f t="shared" ref="D123:E125" si="19">J123-IF(L123=1,78,IF(L123=2,55.5,IF(L123=3,41,0)))</f>
        <v>0</v>
      </c>
      <c r="E123" s="253">
        <f t="shared" si="19"/>
        <v>0</v>
      </c>
      <c r="F123" s="250">
        <f>ROUND((D123+E123)*2/1000,4)</f>
        <v>0</v>
      </c>
      <c r="G123" s="250"/>
      <c r="H123" s="58">
        <v>2.4710000000000001</v>
      </c>
      <c r="I123" s="59">
        <f>ROUND(F123*G123*H123,3)</f>
        <v>0</v>
      </c>
      <c r="J123" s="60"/>
      <c r="K123" s="61"/>
      <c r="L123" s="61"/>
      <c r="M123" s="61"/>
      <c r="N123" s="76" t="s">
        <v>56</v>
      </c>
    </row>
    <row r="124" spans="2:14" ht="18" customHeight="1">
      <c r="B124" s="648"/>
      <c r="C124" s="650"/>
      <c r="D124" s="253">
        <f t="shared" si="19"/>
        <v>0</v>
      </c>
      <c r="E124" s="253">
        <f t="shared" si="19"/>
        <v>0</v>
      </c>
      <c r="F124" s="250">
        <f>ROUND((D124+E124)*2/1000,4)</f>
        <v>0</v>
      </c>
      <c r="G124" s="250"/>
      <c r="H124" s="58">
        <f>H123</f>
        <v>2.4710000000000001</v>
      </c>
      <c r="I124" s="59">
        <f>ROUND(F124*G124*H124,3)</f>
        <v>0</v>
      </c>
      <c r="J124" s="60"/>
      <c r="K124" s="61"/>
      <c r="L124" s="61"/>
      <c r="M124" s="61"/>
      <c r="N124" s="76" t="s">
        <v>58</v>
      </c>
    </row>
    <row r="125" spans="2:14" ht="18" customHeight="1" thickBot="1">
      <c r="B125" s="648"/>
      <c r="C125" s="651"/>
      <c r="D125" s="253">
        <f t="shared" si="19"/>
        <v>0</v>
      </c>
      <c r="E125" s="253">
        <f t="shared" si="19"/>
        <v>0</v>
      </c>
      <c r="F125" s="250">
        <f>ROUND((D125+E125)*2/1000,4)</f>
        <v>0</v>
      </c>
      <c r="G125" s="250"/>
      <c r="H125" s="58">
        <f>H124</f>
        <v>2.4710000000000001</v>
      </c>
      <c r="I125" s="59">
        <f>ROUND(F125*G125*H125,3)</f>
        <v>0</v>
      </c>
      <c r="J125" s="64"/>
      <c r="K125" s="65"/>
      <c r="L125" s="65"/>
      <c r="M125" s="65"/>
      <c r="N125" s="80" t="s">
        <v>89</v>
      </c>
    </row>
    <row r="126" spans="2:14" ht="18" customHeight="1">
      <c r="B126" s="48" t="s">
        <v>42</v>
      </c>
      <c r="C126" s="49">
        <f>SUMPRODUCT(F123:F125*G123:G125)</f>
        <v>0</v>
      </c>
      <c r="D126" s="50" t="s">
        <v>43</v>
      </c>
      <c r="E126" s="49">
        <f>SUM(I123:I125)*1.1</f>
        <v>0</v>
      </c>
      <c r="F126" s="50" t="s">
        <v>44</v>
      </c>
      <c r="G126" s="51">
        <f>(C$218+C$221)/1000</f>
        <v>46.081499999999998</v>
      </c>
      <c r="H126" s="52" t="s">
        <v>45</v>
      </c>
      <c r="I126" s="53">
        <f>ROUND(E126*G126,2)</f>
        <v>0</v>
      </c>
      <c r="J126" s="243">
        <f>SUM(G123:G125)</f>
        <v>0</v>
      </c>
      <c r="K126" s="255"/>
      <c r="L126" s="255"/>
      <c r="M126" s="255"/>
    </row>
    <row r="127" spans="2:14" ht="18" customHeight="1">
      <c r="B127" s="48" t="s">
        <v>46</v>
      </c>
      <c r="C127" s="50">
        <v>236.53</v>
      </c>
      <c r="D127" s="50" t="s">
        <v>47</v>
      </c>
      <c r="E127" s="49">
        <f>ROUND(C126*(C127/1000),2)</f>
        <v>0</v>
      </c>
      <c r="F127" s="50" t="s">
        <v>48</v>
      </c>
      <c r="G127" s="50">
        <f>G$23</f>
        <v>10</v>
      </c>
      <c r="H127" s="52" t="s">
        <v>49</v>
      </c>
      <c r="I127" s="53">
        <f>E127*G127</f>
        <v>0</v>
      </c>
      <c r="J127" s="255"/>
      <c r="K127" s="255"/>
      <c r="L127" s="255"/>
      <c r="M127" s="255"/>
    </row>
    <row r="128" spans="2:14" ht="18" customHeight="1" thickBot="1">
      <c r="B128" s="48" t="s">
        <v>50</v>
      </c>
      <c r="C128" s="50">
        <v>311.02999999999997</v>
      </c>
      <c r="D128" s="50" t="s">
        <v>51</v>
      </c>
      <c r="E128" s="49">
        <f>ROUND(C126*(C128/1000),2)</f>
        <v>0</v>
      </c>
      <c r="F128" s="50" t="s">
        <v>48</v>
      </c>
      <c r="G128" s="50">
        <f>G$24</f>
        <v>10</v>
      </c>
      <c r="H128" s="52" t="s">
        <v>49</v>
      </c>
      <c r="I128" s="53">
        <f>E128*G128</f>
        <v>0</v>
      </c>
      <c r="J128" s="255"/>
    </row>
    <row r="129" spans="2:14" ht="18" customHeight="1" thickBot="1">
      <c r="B129" s="23" t="s">
        <v>36</v>
      </c>
      <c r="C129" s="252" t="s">
        <v>14</v>
      </c>
      <c r="D129" s="252" t="s">
        <v>37</v>
      </c>
      <c r="E129" s="252" t="s">
        <v>71</v>
      </c>
      <c r="F129" s="252" t="s">
        <v>38</v>
      </c>
      <c r="G129" s="252" t="s">
        <v>72</v>
      </c>
      <c r="H129" s="252" t="s">
        <v>22</v>
      </c>
      <c r="I129" s="25" t="s">
        <v>40</v>
      </c>
      <c r="J129" s="54" t="s">
        <v>2</v>
      </c>
      <c r="K129" s="55" t="s">
        <v>3</v>
      </c>
      <c r="L129" s="55" t="s">
        <v>61</v>
      </c>
      <c r="M129" s="55" t="s">
        <v>62</v>
      </c>
      <c r="N129" s="70" t="s">
        <v>14</v>
      </c>
    </row>
    <row r="130" spans="2:14" ht="18" customHeight="1">
      <c r="B130" s="648" t="s">
        <v>92</v>
      </c>
      <c r="C130" s="649" t="s">
        <v>93</v>
      </c>
      <c r="D130" s="253">
        <f>J130-IF(L130=1,81,IF(L130=2,58.5,IF(L130=3,36,0)))</f>
        <v>0</v>
      </c>
      <c r="E130" s="253">
        <v>0</v>
      </c>
      <c r="F130" s="253">
        <f>K130-IF(M130=1,81,IF(M130=2,58.5,IF(M130=3,36,0)))</f>
        <v>0</v>
      </c>
      <c r="G130" s="250">
        <v>0</v>
      </c>
      <c r="H130" s="250">
        <v>2.0489999999999999</v>
      </c>
      <c r="I130" s="59">
        <f>ROUND((D130*E130+F130*G130)/1000*H130,3)</f>
        <v>0</v>
      </c>
      <c r="J130" s="60"/>
      <c r="K130" s="61"/>
      <c r="L130" s="61"/>
      <c r="M130" s="61"/>
      <c r="N130" s="76" t="s">
        <v>56</v>
      </c>
    </row>
    <row r="131" spans="2:14" ht="18" customHeight="1">
      <c r="B131" s="648"/>
      <c r="C131" s="650"/>
      <c r="D131" s="253">
        <f>J131-IF(L131=1,81,IF(L131=2,58.5,IF(L131=3,36,0)))</f>
        <v>0</v>
      </c>
      <c r="E131" s="253">
        <v>0</v>
      </c>
      <c r="F131" s="253">
        <f>K131-IF(M131=1,81,IF(M131=2,58.5,IF(M131=3,36,0)))</f>
        <v>0</v>
      </c>
      <c r="G131" s="250"/>
      <c r="H131" s="250">
        <f>H130</f>
        <v>2.0489999999999999</v>
      </c>
      <c r="I131" s="59">
        <f>ROUND((D131*E131+F131*G131)/1000*H131,3)</f>
        <v>0</v>
      </c>
      <c r="J131" s="60"/>
      <c r="K131" s="61"/>
      <c r="L131" s="61"/>
      <c r="M131" s="61"/>
      <c r="N131" s="76" t="s">
        <v>58</v>
      </c>
    </row>
    <row r="132" spans="2:14" ht="18" customHeight="1" thickBot="1">
      <c r="B132" s="648"/>
      <c r="C132" s="651"/>
      <c r="D132" s="253">
        <f>J132-IF(L132=1,81,IF(L132=2,58.5,IF(L132=3,36,0)))</f>
        <v>0</v>
      </c>
      <c r="E132" s="253"/>
      <c r="F132" s="253">
        <f>K132-IF(M132=1,81,IF(M132=2,58.5,IF(M132=3,36,0)))</f>
        <v>0</v>
      </c>
      <c r="G132" s="250"/>
      <c r="H132" s="250">
        <f>H131</f>
        <v>2.0489999999999999</v>
      </c>
      <c r="I132" s="59">
        <f>ROUND((D132*E132+F132*G132)/1000*H132,3)</f>
        <v>0</v>
      </c>
      <c r="J132" s="64"/>
      <c r="K132" s="65"/>
      <c r="L132" s="65"/>
      <c r="M132" s="65"/>
      <c r="N132" s="80" t="s">
        <v>89</v>
      </c>
    </row>
    <row r="133" spans="2:14" ht="18" customHeight="1">
      <c r="B133" s="48" t="s">
        <v>42</v>
      </c>
      <c r="C133" s="49">
        <f>SUMPRODUCT(D130:D132*E130:E132+F130:F132*G130:G132)/1000</f>
        <v>0</v>
      </c>
      <c r="D133" s="50" t="s">
        <v>43</v>
      </c>
      <c r="E133" s="49">
        <f>SUM(I130:I132)*1.1</f>
        <v>0</v>
      </c>
      <c r="F133" s="50" t="s">
        <v>44</v>
      </c>
      <c r="G133" s="51">
        <f>(C$218+C$219)/1000</f>
        <v>46.081499999999998</v>
      </c>
      <c r="H133" s="52" t="s">
        <v>45</v>
      </c>
      <c r="I133" s="53">
        <f>ROUND(E133*G133,2)</f>
        <v>0</v>
      </c>
      <c r="J133" s="243">
        <f>SUM(G130:G132)+SUM(E130:E132)</f>
        <v>0</v>
      </c>
    </row>
    <row r="134" spans="2:14" ht="18" customHeight="1">
      <c r="B134" s="48" t="s">
        <v>46</v>
      </c>
      <c r="C134" s="50">
        <v>298.42</v>
      </c>
      <c r="D134" s="50" t="s">
        <v>47</v>
      </c>
      <c r="E134" s="49">
        <f>ROUND(C133*(C134/1000),2)</f>
        <v>0</v>
      </c>
      <c r="F134" s="50" t="s">
        <v>48</v>
      </c>
      <c r="G134" s="50">
        <f>G$23</f>
        <v>10</v>
      </c>
      <c r="H134" s="52" t="s">
        <v>49</v>
      </c>
      <c r="I134" s="53">
        <f>ROUND(E134*G134,2)</f>
        <v>0</v>
      </c>
    </row>
    <row r="135" spans="2:14" ht="18" customHeight="1">
      <c r="B135" s="48" t="s">
        <v>50</v>
      </c>
      <c r="C135" s="50">
        <v>208.08</v>
      </c>
      <c r="D135" s="50" t="s">
        <v>51</v>
      </c>
      <c r="E135" s="49">
        <f>ROUND(C133*(C135/1000),2)</f>
        <v>0</v>
      </c>
      <c r="F135" s="50" t="s">
        <v>48</v>
      </c>
      <c r="G135" s="50">
        <f>G$24</f>
        <v>10</v>
      </c>
      <c r="H135" s="52" t="s">
        <v>49</v>
      </c>
      <c r="I135" s="53">
        <f>ROUND(E135*G135,2)</f>
        <v>0</v>
      </c>
    </row>
    <row r="136" spans="2:14" ht="18" customHeight="1">
      <c r="B136" s="23" t="s">
        <v>36</v>
      </c>
      <c r="C136" s="252" t="s">
        <v>14</v>
      </c>
      <c r="D136" s="652" t="s">
        <v>38</v>
      </c>
      <c r="E136" s="652"/>
      <c r="F136" s="652"/>
      <c r="G136" s="252" t="s">
        <v>72</v>
      </c>
      <c r="H136" s="252" t="s">
        <v>22</v>
      </c>
      <c r="I136" s="25" t="s">
        <v>40</v>
      </c>
    </row>
    <row r="137" spans="2:14" ht="18" customHeight="1">
      <c r="B137" s="648" t="s">
        <v>94</v>
      </c>
      <c r="C137" s="649" t="s">
        <v>95</v>
      </c>
      <c r="D137" s="654">
        <f>E116</f>
        <v>0</v>
      </c>
      <c r="E137" s="646"/>
      <c r="F137" s="646"/>
      <c r="G137" s="250"/>
      <c r="H137" s="250">
        <v>1.3360000000000001</v>
      </c>
      <c r="I137" s="59">
        <f>ROUND(D137*H137*G137/1000,3)</f>
        <v>0</v>
      </c>
    </row>
    <row r="138" spans="2:14" ht="18" customHeight="1">
      <c r="B138" s="648"/>
      <c r="C138" s="651"/>
      <c r="D138" s="654"/>
      <c r="E138" s="646"/>
      <c r="F138" s="646"/>
      <c r="G138" s="250"/>
      <c r="H138" s="250">
        <f>H137</f>
        <v>1.3360000000000001</v>
      </c>
      <c r="I138" s="59">
        <f>ROUND(D138*H138*G138/1000,3)</f>
        <v>0</v>
      </c>
    </row>
    <row r="139" spans="2:14" ht="18" customHeight="1">
      <c r="B139" s="48" t="s">
        <v>42</v>
      </c>
      <c r="C139" s="49">
        <f>SUMPRODUCT(D137:F138*G137:G138)/1000</f>
        <v>0</v>
      </c>
      <c r="D139" s="50" t="s">
        <v>43</v>
      </c>
      <c r="E139" s="49">
        <f>SUM(I137:I138)*1.1</f>
        <v>0</v>
      </c>
      <c r="F139" s="50" t="s">
        <v>44</v>
      </c>
      <c r="G139" s="51">
        <f>(C$218+C$219)/1000</f>
        <v>46.081499999999998</v>
      </c>
      <c r="H139" s="52" t="s">
        <v>45</v>
      </c>
      <c r="I139" s="53">
        <f>ROUND(E139*G139,2)</f>
        <v>0</v>
      </c>
    </row>
    <row r="140" spans="2:14" ht="18" customHeight="1">
      <c r="B140" s="48" t="s">
        <v>46</v>
      </c>
      <c r="C140" s="50">
        <v>143.24</v>
      </c>
      <c r="D140" s="50" t="s">
        <v>47</v>
      </c>
      <c r="E140" s="49">
        <f>ROUND(C139*(C140/1000),2)</f>
        <v>0</v>
      </c>
      <c r="F140" s="50" t="s">
        <v>48</v>
      </c>
      <c r="G140" s="50">
        <f>G$23</f>
        <v>10</v>
      </c>
      <c r="H140" s="52" t="s">
        <v>49</v>
      </c>
      <c r="I140" s="53">
        <f>E140*G140</f>
        <v>0</v>
      </c>
    </row>
    <row r="141" spans="2:14" ht="18" customHeight="1">
      <c r="B141" s="48" t="s">
        <v>50</v>
      </c>
      <c r="C141" s="50">
        <v>85.04</v>
      </c>
      <c r="D141" s="50" t="s">
        <v>51</v>
      </c>
      <c r="E141" s="49">
        <f>ROUND(C139*(C141/1000),2)</f>
        <v>0</v>
      </c>
      <c r="F141" s="50" t="s">
        <v>48</v>
      </c>
      <c r="G141" s="50">
        <f>G$24</f>
        <v>10</v>
      </c>
      <c r="H141" s="52" t="s">
        <v>49</v>
      </c>
      <c r="I141" s="53">
        <f>E141*G141</f>
        <v>0</v>
      </c>
    </row>
    <row r="142" spans="2:14" ht="18" customHeight="1">
      <c r="B142" s="23" t="s">
        <v>36</v>
      </c>
      <c r="C142" s="252" t="s">
        <v>14</v>
      </c>
      <c r="D142" s="252" t="s">
        <v>37</v>
      </c>
      <c r="E142" s="252" t="s">
        <v>38</v>
      </c>
      <c r="F142" s="252" t="s">
        <v>39</v>
      </c>
      <c r="G142" s="252" t="s">
        <v>8</v>
      </c>
      <c r="H142" s="252" t="s">
        <v>22</v>
      </c>
      <c r="I142" s="25" t="s">
        <v>40</v>
      </c>
    </row>
    <row r="143" spans="2:14" ht="18" customHeight="1">
      <c r="B143" s="648" t="s">
        <v>96</v>
      </c>
      <c r="C143" s="653" t="s">
        <v>83</v>
      </c>
      <c r="D143" s="253">
        <f t="shared" ref="D143:E145" si="20">D116-154</f>
        <v>-154</v>
      </c>
      <c r="E143" s="253">
        <f t="shared" si="20"/>
        <v>-154</v>
      </c>
      <c r="F143" s="253">
        <f>(D143+E143)*2/1000</f>
        <v>-0.61599999999999999</v>
      </c>
      <c r="G143" s="250">
        <f>G116</f>
        <v>0</v>
      </c>
      <c r="H143" s="250">
        <v>0.27100000000000002</v>
      </c>
      <c r="I143" s="59">
        <f>ROUND((F143*G143)*H143,3)</f>
        <v>0</v>
      </c>
    </row>
    <row r="144" spans="2:14" ht="18" customHeight="1">
      <c r="B144" s="648"/>
      <c r="C144" s="650"/>
      <c r="D144" s="253">
        <f t="shared" si="20"/>
        <v>-154</v>
      </c>
      <c r="E144" s="253">
        <f t="shared" si="20"/>
        <v>-154</v>
      </c>
      <c r="F144" s="253">
        <f>(D144+E144)*2/1000</f>
        <v>-0.61599999999999999</v>
      </c>
      <c r="G144" s="250">
        <f>G117</f>
        <v>0</v>
      </c>
      <c r="H144" s="250">
        <f>H143</f>
        <v>0.27100000000000002</v>
      </c>
      <c r="I144" s="59">
        <f>ROUND((F144*G144)*H144,3)</f>
        <v>0</v>
      </c>
    </row>
    <row r="145" spans="2:14" ht="18" customHeight="1">
      <c r="B145" s="648"/>
      <c r="C145" s="651"/>
      <c r="D145" s="253">
        <f t="shared" si="20"/>
        <v>-154</v>
      </c>
      <c r="E145" s="253">
        <f t="shared" si="20"/>
        <v>-154</v>
      </c>
      <c r="F145" s="253">
        <f>(D145+E145)*2/1000</f>
        <v>-0.61599999999999999</v>
      </c>
      <c r="G145" s="250">
        <f>G118</f>
        <v>0</v>
      </c>
      <c r="H145" s="250">
        <f>H144</f>
        <v>0.27100000000000002</v>
      </c>
      <c r="I145" s="59">
        <f>ROUND((F145*G145)*H145,3)</f>
        <v>0</v>
      </c>
    </row>
    <row r="146" spans="2:14" ht="18" customHeight="1">
      <c r="B146" s="48" t="s">
        <v>42</v>
      </c>
      <c r="C146" s="49">
        <f>SUMPRODUCT(F143:F145*G143:G145)</f>
        <v>0</v>
      </c>
      <c r="D146" s="50" t="s">
        <v>43</v>
      </c>
      <c r="E146" s="49">
        <f>SUM(I143:I145)*1.1</f>
        <v>0</v>
      </c>
      <c r="F146" s="50" t="s">
        <v>44</v>
      </c>
      <c r="G146" s="51">
        <f>(C$218+C$222)/1000</f>
        <v>39.781500000000001</v>
      </c>
      <c r="H146" s="52" t="s">
        <v>45</v>
      </c>
      <c r="I146" s="53">
        <f>ROUND(E146*G146,2)</f>
        <v>0</v>
      </c>
    </row>
    <row r="147" spans="2:14" ht="18" customHeight="1">
      <c r="B147" s="48" t="s">
        <v>46</v>
      </c>
      <c r="C147" s="50">
        <v>186.72</v>
      </c>
      <c r="D147" s="50" t="s">
        <v>47</v>
      </c>
      <c r="E147" s="49">
        <f>ROUND(C146*(C147/1000),2)</f>
        <v>0</v>
      </c>
      <c r="F147" s="50" t="s">
        <v>48</v>
      </c>
      <c r="G147" s="50">
        <f>G$23</f>
        <v>10</v>
      </c>
      <c r="H147" s="52" t="s">
        <v>49</v>
      </c>
      <c r="I147" s="53">
        <f>E147*G147</f>
        <v>0</v>
      </c>
      <c r="K147" s="42"/>
      <c r="L147" s="42"/>
      <c r="M147" s="42"/>
    </row>
    <row r="148" spans="2:14" ht="18" customHeight="1">
      <c r="B148" s="48" t="s">
        <v>50</v>
      </c>
      <c r="C148" s="50">
        <v>0</v>
      </c>
      <c r="D148" s="50" t="s">
        <v>51</v>
      </c>
      <c r="E148" s="49">
        <f>ROUND(C146*(C148/1000),2)</f>
        <v>0</v>
      </c>
      <c r="F148" s="50" t="s">
        <v>48</v>
      </c>
      <c r="G148" s="50">
        <f>G$24</f>
        <v>10</v>
      </c>
      <c r="H148" s="52" t="s">
        <v>49</v>
      </c>
      <c r="I148" s="53">
        <f>E148*G148</f>
        <v>0</v>
      </c>
      <c r="K148" s="42"/>
      <c r="L148" s="42"/>
      <c r="M148" s="42"/>
    </row>
    <row r="149" spans="2:14" ht="18" customHeight="1">
      <c r="B149" s="23" t="s">
        <v>36</v>
      </c>
      <c r="C149" s="252" t="s">
        <v>14</v>
      </c>
      <c r="D149" s="252" t="s">
        <v>37</v>
      </c>
      <c r="E149" s="252" t="s">
        <v>38</v>
      </c>
      <c r="F149" s="252" t="s">
        <v>39</v>
      </c>
      <c r="G149" s="252" t="s">
        <v>8</v>
      </c>
      <c r="H149" s="252" t="s">
        <v>22</v>
      </c>
      <c r="I149" s="25" t="s">
        <v>40</v>
      </c>
      <c r="K149" s="42"/>
      <c r="L149" s="42"/>
      <c r="M149" s="42"/>
    </row>
    <row r="150" spans="2:14" ht="18" customHeight="1">
      <c r="B150" s="648" t="s">
        <v>97</v>
      </c>
      <c r="C150" s="653" t="s">
        <v>83</v>
      </c>
      <c r="D150" s="253">
        <f t="shared" ref="D150:E152" si="21">D123-160</f>
        <v>-160</v>
      </c>
      <c r="E150" s="253">
        <f t="shared" si="21"/>
        <v>-160</v>
      </c>
      <c r="F150" s="253">
        <f>(D150+E150)*2/1000</f>
        <v>-0.64</v>
      </c>
      <c r="G150" s="250">
        <f>G123</f>
        <v>0</v>
      </c>
      <c r="H150" s="250">
        <f>H145</f>
        <v>0.27100000000000002</v>
      </c>
      <c r="I150" s="59">
        <f>ROUND((F150*G150)*H150,3)</f>
        <v>0</v>
      </c>
      <c r="K150" s="42"/>
      <c r="L150" s="42"/>
      <c r="M150" s="42"/>
    </row>
    <row r="151" spans="2:14" ht="18" customHeight="1">
      <c r="B151" s="648"/>
      <c r="C151" s="650"/>
      <c r="D151" s="253">
        <f t="shared" si="21"/>
        <v>-160</v>
      </c>
      <c r="E151" s="253">
        <f t="shared" si="21"/>
        <v>-160</v>
      </c>
      <c r="F151" s="253">
        <f>(D151+E151)*2/1000</f>
        <v>-0.64</v>
      </c>
      <c r="G151" s="250">
        <f>G124</f>
        <v>0</v>
      </c>
      <c r="H151" s="250">
        <f>H150</f>
        <v>0.27100000000000002</v>
      </c>
      <c r="I151" s="59">
        <f>ROUND((F151*G151)*H151,3)</f>
        <v>0</v>
      </c>
      <c r="K151" s="42"/>
      <c r="L151" s="42"/>
      <c r="M151" s="42"/>
    </row>
    <row r="152" spans="2:14" ht="18" customHeight="1">
      <c r="B152" s="648"/>
      <c r="C152" s="651"/>
      <c r="D152" s="253">
        <f t="shared" si="21"/>
        <v>-160</v>
      </c>
      <c r="E152" s="253">
        <f t="shared" si="21"/>
        <v>-160</v>
      </c>
      <c r="F152" s="253">
        <f>(D152+E152)*2/1000</f>
        <v>-0.64</v>
      </c>
      <c r="G152" s="250">
        <f>G125</f>
        <v>0</v>
      </c>
      <c r="H152" s="250">
        <f>H151</f>
        <v>0.27100000000000002</v>
      </c>
      <c r="I152" s="59">
        <f>ROUND((F152*G152)*H152,3)</f>
        <v>0</v>
      </c>
      <c r="K152" s="42"/>
      <c r="L152" s="42"/>
      <c r="M152" s="42"/>
    </row>
    <row r="153" spans="2:14" ht="18" customHeight="1">
      <c r="B153" s="48" t="s">
        <v>42</v>
      </c>
      <c r="C153" s="49">
        <f>SUMPRODUCT(F150:F152*G150:G152)</f>
        <v>0</v>
      </c>
      <c r="D153" s="50" t="s">
        <v>43</v>
      </c>
      <c r="E153" s="49">
        <f>SUM(I150:I152)*1.1</f>
        <v>0</v>
      </c>
      <c r="F153" s="50" t="s">
        <v>44</v>
      </c>
      <c r="G153" s="51">
        <f>(C$218+C$222)/1000</f>
        <v>39.781500000000001</v>
      </c>
      <c r="H153" s="52" t="s">
        <v>45</v>
      </c>
      <c r="I153" s="53">
        <f>ROUND(E153*G153,2)</f>
        <v>0</v>
      </c>
      <c r="K153" s="42"/>
      <c r="L153" s="42"/>
      <c r="M153" s="42"/>
    </row>
    <row r="154" spans="2:14" ht="18" customHeight="1">
      <c r="B154" s="48" t="s">
        <v>46</v>
      </c>
      <c r="C154" s="50">
        <v>186.72</v>
      </c>
      <c r="D154" s="50" t="s">
        <v>47</v>
      </c>
      <c r="E154" s="49">
        <f>ROUND(C153*(C154/1000),2)</f>
        <v>0</v>
      </c>
      <c r="F154" s="50" t="s">
        <v>48</v>
      </c>
      <c r="G154" s="50">
        <f>G$23</f>
        <v>10</v>
      </c>
      <c r="H154" s="52" t="s">
        <v>49</v>
      </c>
      <c r="I154" s="53">
        <f>E154*G154</f>
        <v>0</v>
      </c>
    </row>
    <row r="155" spans="2:14" ht="18" customHeight="1" thickBot="1">
      <c r="B155" s="48" t="s">
        <v>50</v>
      </c>
      <c r="C155" s="50">
        <v>0</v>
      </c>
      <c r="D155" s="50" t="s">
        <v>51</v>
      </c>
      <c r="E155" s="49">
        <f>ROUND(C153*(C155/1000),2)</f>
        <v>0</v>
      </c>
      <c r="F155" s="50" t="s">
        <v>48</v>
      </c>
      <c r="G155" s="50">
        <f>G$24</f>
        <v>10</v>
      </c>
      <c r="H155" s="52" t="s">
        <v>49</v>
      </c>
      <c r="I155" s="53">
        <f>E155*G155</f>
        <v>0</v>
      </c>
    </row>
    <row r="156" spans="2:14" ht="18" customHeight="1" thickBot="1">
      <c r="B156" s="23" t="s">
        <v>36</v>
      </c>
      <c r="C156" s="252" t="s">
        <v>14</v>
      </c>
      <c r="D156" s="252" t="s">
        <v>37</v>
      </c>
      <c r="E156" s="252" t="s">
        <v>38</v>
      </c>
      <c r="F156" s="252" t="s">
        <v>39</v>
      </c>
      <c r="G156" s="252" t="s">
        <v>8</v>
      </c>
      <c r="H156" s="252" t="s">
        <v>22</v>
      </c>
      <c r="I156" s="25" t="s">
        <v>40</v>
      </c>
      <c r="J156" s="54" t="s">
        <v>2</v>
      </c>
      <c r="K156" s="55" t="s">
        <v>3</v>
      </c>
      <c r="L156" s="55" t="s">
        <v>61</v>
      </c>
      <c r="M156" s="55" t="s">
        <v>62</v>
      </c>
      <c r="N156" s="70" t="s">
        <v>14</v>
      </c>
    </row>
    <row r="157" spans="2:14" ht="18" customHeight="1">
      <c r="B157" s="648" t="s">
        <v>98</v>
      </c>
      <c r="C157" s="649" t="s">
        <v>99</v>
      </c>
      <c r="D157" s="253">
        <f t="shared" ref="D157:E162" si="22">J157-IF(L157=1,90,IF(L157=2,67.5,IF(L157=3,45,0)))</f>
        <v>0</v>
      </c>
      <c r="E157" s="253">
        <f t="shared" si="22"/>
        <v>0</v>
      </c>
      <c r="F157" s="253">
        <f t="shared" ref="F157:F162" si="23">2*(D157+E157)/1000</f>
        <v>0</v>
      </c>
      <c r="G157" s="250">
        <v>0</v>
      </c>
      <c r="H157" s="250">
        <f>H68</f>
        <v>0.224</v>
      </c>
      <c r="I157" s="59">
        <f t="shared" ref="I157:I162" si="24">ROUND((F157*G157)*H157,3)</f>
        <v>0</v>
      </c>
      <c r="J157" s="60"/>
      <c r="K157" s="61"/>
      <c r="L157" s="61"/>
      <c r="M157" s="61"/>
      <c r="N157" s="76" t="s">
        <v>56</v>
      </c>
    </row>
    <row r="158" spans="2:14" ht="18" customHeight="1">
      <c r="B158" s="648"/>
      <c r="C158" s="650"/>
      <c r="D158" s="253">
        <f t="shared" si="22"/>
        <v>0</v>
      </c>
      <c r="E158" s="253">
        <f t="shared" si="22"/>
        <v>0</v>
      </c>
      <c r="F158" s="253">
        <f t="shared" si="23"/>
        <v>0</v>
      </c>
      <c r="G158" s="250"/>
      <c r="H158" s="250">
        <f>H157</f>
        <v>0.224</v>
      </c>
      <c r="I158" s="59">
        <f t="shared" si="24"/>
        <v>0</v>
      </c>
      <c r="J158" s="60"/>
      <c r="K158" s="61"/>
      <c r="L158" s="61"/>
      <c r="M158" s="61"/>
      <c r="N158" s="76" t="s">
        <v>58</v>
      </c>
    </row>
    <row r="159" spans="2:14" ht="18" customHeight="1">
      <c r="B159" s="648"/>
      <c r="C159" s="650"/>
      <c r="D159" s="253">
        <f t="shared" si="22"/>
        <v>0</v>
      </c>
      <c r="E159" s="253">
        <f t="shared" si="22"/>
        <v>0</v>
      </c>
      <c r="F159" s="253">
        <f t="shared" si="23"/>
        <v>0</v>
      </c>
      <c r="G159" s="250"/>
      <c r="H159" s="250">
        <f>H158</f>
        <v>0.224</v>
      </c>
      <c r="I159" s="59">
        <f t="shared" si="24"/>
        <v>0</v>
      </c>
      <c r="J159" s="60"/>
      <c r="K159" s="61"/>
      <c r="L159" s="61"/>
      <c r="M159" s="61"/>
      <c r="N159" s="76" t="s">
        <v>60</v>
      </c>
    </row>
    <row r="160" spans="2:14" ht="18" customHeight="1">
      <c r="B160" s="648"/>
      <c r="C160" s="650"/>
      <c r="D160" s="253">
        <f t="shared" si="22"/>
        <v>0</v>
      </c>
      <c r="E160" s="253">
        <f t="shared" si="22"/>
        <v>0</v>
      </c>
      <c r="F160" s="253">
        <f t="shared" si="23"/>
        <v>0</v>
      </c>
      <c r="G160" s="250">
        <v>0</v>
      </c>
      <c r="H160" s="77">
        <f>H159</f>
        <v>0.224</v>
      </c>
      <c r="I160" s="59">
        <f t="shared" si="24"/>
        <v>0</v>
      </c>
      <c r="J160" s="60"/>
      <c r="K160" s="61"/>
      <c r="L160" s="61"/>
      <c r="M160" s="61"/>
      <c r="N160" s="76"/>
    </row>
    <row r="161" spans="2:16" ht="18" customHeight="1">
      <c r="B161" s="648"/>
      <c r="C161" s="650"/>
      <c r="D161" s="253">
        <f t="shared" si="22"/>
        <v>0</v>
      </c>
      <c r="E161" s="253">
        <f t="shared" si="22"/>
        <v>0</v>
      </c>
      <c r="F161" s="253">
        <f t="shared" si="23"/>
        <v>0</v>
      </c>
      <c r="G161" s="250"/>
      <c r="H161" s="250">
        <f>H160</f>
        <v>0.224</v>
      </c>
      <c r="I161" s="59">
        <f t="shared" si="24"/>
        <v>0</v>
      </c>
      <c r="J161" s="60"/>
      <c r="K161" s="61"/>
      <c r="L161" s="61"/>
      <c r="M161" s="61"/>
      <c r="N161" s="76"/>
    </row>
    <row r="162" spans="2:16" ht="18" customHeight="1" thickBot="1">
      <c r="B162" s="648"/>
      <c r="C162" s="651"/>
      <c r="D162" s="253">
        <f t="shared" si="22"/>
        <v>0</v>
      </c>
      <c r="E162" s="253">
        <f t="shared" si="22"/>
        <v>0</v>
      </c>
      <c r="F162" s="253">
        <f t="shared" si="23"/>
        <v>0</v>
      </c>
      <c r="G162" s="250"/>
      <c r="H162" s="250">
        <f>H160</f>
        <v>0.224</v>
      </c>
      <c r="I162" s="59">
        <f t="shared" si="24"/>
        <v>0</v>
      </c>
      <c r="J162" s="64"/>
      <c r="K162" s="65"/>
      <c r="L162" s="65"/>
      <c r="M162" s="65"/>
      <c r="N162" s="80"/>
    </row>
    <row r="163" spans="2:16" ht="18" customHeight="1">
      <c r="B163" s="48" t="s">
        <v>42</v>
      </c>
      <c r="C163" s="49">
        <f>SUMPRODUCT(F157:F162*G157:G162)</f>
        <v>0</v>
      </c>
      <c r="D163" s="50" t="s">
        <v>43</v>
      </c>
      <c r="E163" s="49">
        <f>SUM(I157:I162)*1.1</f>
        <v>0</v>
      </c>
      <c r="F163" s="50" t="s">
        <v>44</v>
      </c>
      <c r="G163" s="51">
        <f>(C$218+C$222)/1000</f>
        <v>39.781500000000001</v>
      </c>
      <c r="H163" s="52" t="s">
        <v>45</v>
      </c>
      <c r="I163" s="53">
        <f>ROUND(E163*G163,2)</f>
        <v>0</v>
      </c>
      <c r="J163" s="102"/>
      <c r="K163" s="102"/>
      <c r="L163" s="102"/>
      <c r="M163" s="102"/>
      <c r="O163" s="102"/>
      <c r="P163" s="102"/>
    </row>
    <row r="164" spans="2:16" ht="18" customHeight="1">
      <c r="B164" s="48" t="s">
        <v>46</v>
      </c>
      <c r="C164" s="50">
        <v>181.72</v>
      </c>
      <c r="D164" s="50" t="s">
        <v>47</v>
      </c>
      <c r="E164" s="49">
        <f>ROUND(C163*(C164/1000),2)</f>
        <v>0</v>
      </c>
      <c r="F164" s="50" t="s">
        <v>48</v>
      </c>
      <c r="G164" s="50">
        <f>G$23</f>
        <v>10</v>
      </c>
      <c r="H164" s="52" t="s">
        <v>49</v>
      </c>
      <c r="I164" s="53">
        <f>E164*G164</f>
        <v>0</v>
      </c>
      <c r="J164" s="102"/>
      <c r="K164" s="102"/>
      <c r="L164" s="102"/>
      <c r="M164" s="102"/>
      <c r="O164" s="102"/>
      <c r="P164" s="102"/>
    </row>
    <row r="165" spans="2:16" ht="18" customHeight="1">
      <c r="B165" s="48" t="s">
        <v>50</v>
      </c>
      <c r="C165" s="50"/>
      <c r="D165" s="50" t="s">
        <v>51</v>
      </c>
      <c r="E165" s="49">
        <f>ROUND(C163*(C165/1000),2)</f>
        <v>0</v>
      </c>
      <c r="F165" s="50" t="s">
        <v>48</v>
      </c>
      <c r="G165" s="50">
        <f>G$24</f>
        <v>10</v>
      </c>
      <c r="H165" s="52" t="s">
        <v>49</v>
      </c>
      <c r="I165" s="53">
        <f>E165*G165</f>
        <v>0</v>
      </c>
      <c r="K165" s="43">
        <f>J165*E165</f>
        <v>0</v>
      </c>
    </row>
    <row r="166" spans="2:16" ht="18" customHeight="1">
      <c r="B166" s="23" t="s">
        <v>36</v>
      </c>
      <c r="C166" s="252" t="s">
        <v>14</v>
      </c>
      <c r="D166" s="252" t="s">
        <v>37</v>
      </c>
      <c r="E166" s="252" t="s">
        <v>71</v>
      </c>
      <c r="F166" s="252" t="s">
        <v>38</v>
      </c>
      <c r="G166" s="252" t="s">
        <v>72</v>
      </c>
      <c r="H166" s="252" t="s">
        <v>22</v>
      </c>
      <c r="I166" s="25" t="s">
        <v>40</v>
      </c>
    </row>
    <row r="167" spans="2:16" ht="18" customHeight="1">
      <c r="B167" s="648" t="s">
        <v>100</v>
      </c>
      <c r="C167" s="649" t="s">
        <v>101</v>
      </c>
      <c r="D167" s="250"/>
      <c r="E167" s="250"/>
      <c r="F167" s="250"/>
      <c r="G167" s="250"/>
      <c r="H167" s="28">
        <v>6.3E-2</v>
      </c>
      <c r="I167" s="59">
        <f>ROUND((D167*E167+F167*G167)/1000*H167,3)</f>
        <v>0</v>
      </c>
    </row>
    <row r="168" spans="2:16" ht="18" customHeight="1">
      <c r="B168" s="648"/>
      <c r="C168" s="650"/>
      <c r="D168" s="250"/>
      <c r="E168" s="250"/>
      <c r="F168" s="250"/>
      <c r="G168" s="250"/>
      <c r="H168" s="28">
        <f>H167</f>
        <v>6.3E-2</v>
      </c>
      <c r="I168" s="59">
        <f>ROUND((D168*E168+F168*G168)/1000*H168,3)</f>
        <v>0</v>
      </c>
    </row>
    <row r="169" spans="2:16" ht="18" customHeight="1">
      <c r="B169" s="648"/>
      <c r="C169" s="651"/>
      <c r="D169" s="250"/>
      <c r="E169" s="250"/>
      <c r="F169" s="250"/>
      <c r="G169" s="250"/>
      <c r="H169" s="28">
        <f>H168</f>
        <v>6.3E-2</v>
      </c>
      <c r="I169" s="59">
        <f>ROUND((D169*E169+F169*G169)/1000*H169,3)</f>
        <v>0</v>
      </c>
    </row>
    <row r="170" spans="2:16" ht="18" customHeight="1">
      <c r="B170" s="48" t="s">
        <v>42</v>
      </c>
      <c r="C170" s="49">
        <f>SUMPRODUCT(D167:D169*E167:E169+F167:F169*G167:G169)/1000</f>
        <v>0</v>
      </c>
      <c r="D170" s="50" t="s">
        <v>43</v>
      </c>
      <c r="E170" s="49">
        <f>SUM(I167:I169)*1.1</f>
        <v>0</v>
      </c>
      <c r="F170" s="50" t="s">
        <v>44</v>
      </c>
      <c r="G170" s="51">
        <f>(C$218+$C$222)/1000</f>
        <v>39.781500000000001</v>
      </c>
      <c r="H170" s="52" t="s">
        <v>45</v>
      </c>
      <c r="I170" s="53">
        <f>ROUND(E170*G170,2)</f>
        <v>0</v>
      </c>
    </row>
    <row r="171" spans="2:16" ht="18" customHeight="1">
      <c r="B171" s="48" t="s">
        <v>46</v>
      </c>
      <c r="C171" s="50">
        <v>105.66</v>
      </c>
      <c r="D171" s="50" t="s">
        <v>47</v>
      </c>
      <c r="E171" s="49">
        <f>ROUND(C170*(C171/1000),2)</f>
        <v>0</v>
      </c>
      <c r="F171" s="50" t="s">
        <v>48</v>
      </c>
      <c r="G171" s="50">
        <f>G$23</f>
        <v>10</v>
      </c>
      <c r="H171" s="52" t="s">
        <v>49</v>
      </c>
      <c r="I171" s="53">
        <f>E171*G171</f>
        <v>0</v>
      </c>
    </row>
    <row r="172" spans="2:16" ht="18" customHeight="1">
      <c r="B172" s="48" t="s">
        <v>50</v>
      </c>
      <c r="C172" s="50">
        <v>125.66</v>
      </c>
      <c r="D172" s="50" t="s">
        <v>51</v>
      </c>
      <c r="E172" s="49">
        <f>ROUND(C170*(C172/1000),2)</f>
        <v>0</v>
      </c>
      <c r="F172" s="50" t="s">
        <v>48</v>
      </c>
      <c r="G172" s="50">
        <f>G$24</f>
        <v>10</v>
      </c>
      <c r="H172" s="52" t="s">
        <v>49</v>
      </c>
      <c r="I172" s="53">
        <f>E172*G172</f>
        <v>0</v>
      </c>
    </row>
    <row r="173" spans="2:16" ht="18" customHeight="1">
      <c r="B173" s="23" t="s">
        <v>36</v>
      </c>
      <c r="C173" s="252" t="s">
        <v>14</v>
      </c>
      <c r="D173" s="252" t="s">
        <v>37</v>
      </c>
      <c r="E173" s="252" t="s">
        <v>71</v>
      </c>
      <c r="F173" s="252" t="s">
        <v>38</v>
      </c>
      <c r="G173" s="252" t="s">
        <v>72</v>
      </c>
      <c r="H173" s="252" t="s">
        <v>22</v>
      </c>
      <c r="I173" s="25" t="s">
        <v>40</v>
      </c>
    </row>
    <row r="174" spans="2:16" ht="18" customHeight="1">
      <c r="B174" s="648" t="s">
        <v>102</v>
      </c>
      <c r="C174" s="649" t="s">
        <v>103</v>
      </c>
      <c r="D174" s="250"/>
      <c r="E174" s="250"/>
      <c r="F174" s="250"/>
      <c r="G174" s="250"/>
      <c r="H174" s="28">
        <v>1.0980000000000001</v>
      </c>
      <c r="I174" s="59">
        <f>ROUND((D174*E174+F174*G174)/1000*H174,3)</f>
        <v>0</v>
      </c>
    </row>
    <row r="175" spans="2:16" ht="18" customHeight="1">
      <c r="B175" s="648"/>
      <c r="C175" s="650"/>
      <c r="D175" s="250"/>
      <c r="E175" s="250"/>
      <c r="F175" s="250"/>
      <c r="G175" s="250"/>
      <c r="H175" s="28">
        <f>H174</f>
        <v>1.0980000000000001</v>
      </c>
      <c r="I175" s="59">
        <f>ROUND((D175*E175+F175*G175)/1000*H175,3)</f>
        <v>0</v>
      </c>
    </row>
    <row r="176" spans="2:16" ht="18" customHeight="1">
      <c r="B176" s="648"/>
      <c r="C176" s="651"/>
      <c r="D176" s="250"/>
      <c r="E176" s="250"/>
      <c r="F176" s="250"/>
      <c r="G176" s="250"/>
      <c r="H176" s="28">
        <f>H175</f>
        <v>1.0980000000000001</v>
      </c>
      <c r="I176" s="59">
        <f>ROUND((D176*E176+F176*G176)/1000*H176,3)</f>
        <v>0</v>
      </c>
    </row>
    <row r="177" spans="2:9" ht="18" customHeight="1">
      <c r="B177" s="48" t="s">
        <v>42</v>
      </c>
      <c r="C177" s="49">
        <f>SUMPRODUCT(D174:D176*E174:E176+F174:F176*G174:G176)/1000</f>
        <v>0</v>
      </c>
      <c r="D177" s="50" t="s">
        <v>43</v>
      </c>
      <c r="E177" s="49">
        <f>SUM(I174:I176)*1.1</f>
        <v>0</v>
      </c>
      <c r="F177" s="50" t="s">
        <v>44</v>
      </c>
      <c r="G177" s="51">
        <f>(C$218+C$219)/1000</f>
        <v>46.081499999999998</v>
      </c>
      <c r="H177" s="52" t="s">
        <v>45</v>
      </c>
      <c r="I177" s="53">
        <f>ROUND(E177*G177,2)</f>
        <v>0</v>
      </c>
    </row>
    <row r="178" spans="2:9" ht="18" customHeight="1">
      <c r="B178" s="48" t="s">
        <v>46</v>
      </c>
      <c r="C178" s="50">
        <v>105.66</v>
      </c>
      <c r="D178" s="50" t="s">
        <v>47</v>
      </c>
      <c r="E178" s="49">
        <f>ROUND(C177*(C178/1000),2)</f>
        <v>0</v>
      </c>
      <c r="F178" s="50" t="s">
        <v>48</v>
      </c>
      <c r="G178" s="50">
        <f>G$23</f>
        <v>10</v>
      </c>
      <c r="H178" s="52" t="s">
        <v>49</v>
      </c>
      <c r="I178" s="53">
        <f>E178*G178</f>
        <v>0</v>
      </c>
    </row>
    <row r="179" spans="2:9" ht="18" customHeight="1">
      <c r="B179" s="48" t="s">
        <v>50</v>
      </c>
      <c r="C179" s="50">
        <v>125.66</v>
      </c>
      <c r="D179" s="50" t="s">
        <v>51</v>
      </c>
      <c r="E179" s="49">
        <f>ROUND(C177*(C179/1000),2)</f>
        <v>0</v>
      </c>
      <c r="F179" s="50" t="s">
        <v>48</v>
      </c>
      <c r="G179" s="50">
        <f>G$24</f>
        <v>10</v>
      </c>
      <c r="H179" s="52" t="s">
        <v>49</v>
      </c>
      <c r="I179" s="53">
        <f>E179*G179</f>
        <v>0</v>
      </c>
    </row>
    <row r="180" spans="2:9" ht="18" customHeight="1">
      <c r="B180" s="23" t="s">
        <v>36</v>
      </c>
      <c r="C180" s="252" t="s">
        <v>14</v>
      </c>
      <c r="D180" s="252" t="s">
        <v>37</v>
      </c>
      <c r="E180" s="252" t="s">
        <v>71</v>
      </c>
      <c r="F180" s="252" t="s">
        <v>38</v>
      </c>
      <c r="G180" s="252" t="s">
        <v>72</v>
      </c>
      <c r="H180" s="252" t="s">
        <v>22</v>
      </c>
      <c r="I180" s="25" t="s">
        <v>40</v>
      </c>
    </row>
    <row r="181" spans="2:9" ht="18" customHeight="1">
      <c r="B181" s="648" t="s">
        <v>104</v>
      </c>
      <c r="C181" s="649" t="s">
        <v>105</v>
      </c>
      <c r="D181" s="250">
        <f>D6</f>
        <v>2620</v>
      </c>
      <c r="E181" s="250"/>
      <c r="F181" s="250"/>
      <c r="G181" s="250"/>
      <c r="H181" s="28">
        <v>1.5629999999999999</v>
      </c>
      <c r="I181" s="59">
        <f>ROUND((D181*E181+F181*G181)/1000*H181,3)</f>
        <v>0</v>
      </c>
    </row>
    <row r="182" spans="2:9" ht="18" customHeight="1">
      <c r="B182" s="648"/>
      <c r="C182" s="650"/>
      <c r="D182" s="250"/>
      <c r="E182" s="250"/>
      <c r="F182" s="250"/>
      <c r="G182" s="250"/>
      <c r="H182" s="28">
        <f>H181</f>
        <v>1.5629999999999999</v>
      </c>
      <c r="I182" s="59">
        <f>ROUND((D182*E182+F182*G182)/1000*H182,3)</f>
        <v>0</v>
      </c>
    </row>
    <row r="183" spans="2:9" ht="18" customHeight="1">
      <c r="B183" s="648"/>
      <c r="C183" s="651"/>
      <c r="D183" s="250"/>
      <c r="E183" s="250"/>
      <c r="F183" s="250"/>
      <c r="G183" s="250"/>
      <c r="H183" s="28">
        <f>H182</f>
        <v>1.5629999999999999</v>
      </c>
      <c r="I183" s="59">
        <f>ROUND((D183*E183+F183*G183)/1000*H183,3)</f>
        <v>0</v>
      </c>
    </row>
    <row r="184" spans="2:9" ht="18" customHeight="1">
      <c r="B184" s="48" t="s">
        <v>42</v>
      </c>
      <c r="C184" s="49">
        <f>SUMPRODUCT(D181:D183*E181:E183+F181:F183*G181:G183)/1000</f>
        <v>0</v>
      </c>
      <c r="D184" s="50" t="s">
        <v>43</v>
      </c>
      <c r="E184" s="49">
        <f>SUM(I181:I183)*1.1</f>
        <v>0</v>
      </c>
      <c r="F184" s="50" t="s">
        <v>44</v>
      </c>
      <c r="G184" s="51">
        <f>(C$218+C$219)/1000</f>
        <v>46.081499999999998</v>
      </c>
      <c r="H184" s="52" t="s">
        <v>45</v>
      </c>
      <c r="I184" s="53">
        <f>ROUND(E184*G184,2)</f>
        <v>0</v>
      </c>
    </row>
    <row r="185" spans="2:9" ht="18" customHeight="1">
      <c r="B185" s="48" t="s">
        <v>46</v>
      </c>
      <c r="C185" s="50">
        <v>105.66</v>
      </c>
      <c r="D185" s="50" t="s">
        <v>47</v>
      </c>
      <c r="E185" s="49">
        <f>ROUND(C184*(C185/1000),2)</f>
        <v>0</v>
      </c>
      <c r="F185" s="50" t="s">
        <v>48</v>
      </c>
      <c r="G185" s="50">
        <f>G$23</f>
        <v>10</v>
      </c>
      <c r="H185" s="52" t="s">
        <v>49</v>
      </c>
      <c r="I185" s="53">
        <f>E185*G185</f>
        <v>0</v>
      </c>
    </row>
    <row r="186" spans="2:9" ht="18" customHeight="1">
      <c r="B186" s="48" t="s">
        <v>50</v>
      </c>
      <c r="C186" s="50">
        <v>125.66</v>
      </c>
      <c r="D186" s="50" t="s">
        <v>51</v>
      </c>
      <c r="E186" s="49">
        <f>ROUND(C184*(C186/1000),2)</f>
        <v>0</v>
      </c>
      <c r="F186" s="50" t="s">
        <v>48</v>
      </c>
      <c r="G186" s="50">
        <f>G$24</f>
        <v>10</v>
      </c>
      <c r="H186" s="52" t="s">
        <v>49</v>
      </c>
      <c r="I186" s="53">
        <f>E186*G186</f>
        <v>0</v>
      </c>
    </row>
    <row r="187" spans="2:9" ht="18" customHeight="1">
      <c r="B187" s="23" t="s">
        <v>36</v>
      </c>
      <c r="C187" s="252" t="s">
        <v>14</v>
      </c>
      <c r="D187" s="252" t="s">
        <v>37</v>
      </c>
      <c r="E187" s="252" t="s">
        <v>71</v>
      </c>
      <c r="F187" s="252" t="s">
        <v>38</v>
      </c>
      <c r="G187" s="252" t="s">
        <v>72</v>
      </c>
      <c r="H187" s="252" t="s">
        <v>22</v>
      </c>
      <c r="I187" s="25" t="s">
        <v>40</v>
      </c>
    </row>
    <row r="188" spans="2:9" ht="18" customHeight="1">
      <c r="B188" s="648" t="s">
        <v>106</v>
      </c>
      <c r="C188" s="649" t="s">
        <v>107</v>
      </c>
      <c r="D188" s="250"/>
      <c r="E188" s="250"/>
      <c r="F188" s="250"/>
      <c r="G188" s="250"/>
      <c r="H188" s="28">
        <v>1.732</v>
      </c>
      <c r="I188" s="59">
        <f>ROUND((D188*E188+F188*G188)/1000*H188,3)</f>
        <v>0</v>
      </c>
    </row>
    <row r="189" spans="2:9" ht="18" customHeight="1">
      <c r="B189" s="648"/>
      <c r="C189" s="650"/>
      <c r="D189" s="250"/>
      <c r="E189" s="250"/>
      <c r="F189" s="250"/>
      <c r="G189" s="250"/>
      <c r="H189" s="28">
        <f>H188</f>
        <v>1.732</v>
      </c>
      <c r="I189" s="59">
        <f>ROUND((D189*E189+F189*G189)/1000*H189,3)</f>
        <v>0</v>
      </c>
    </row>
    <row r="190" spans="2:9" ht="18" customHeight="1">
      <c r="B190" s="648"/>
      <c r="C190" s="651"/>
      <c r="D190" s="250"/>
      <c r="E190" s="250"/>
      <c r="F190" s="250">
        <f>E6</f>
        <v>3420</v>
      </c>
      <c r="G190" s="250"/>
      <c r="H190" s="28">
        <f>H189</f>
        <v>1.732</v>
      </c>
      <c r="I190" s="59">
        <f>ROUND((D190*E190+F190*G190)/1000*H190,3)</f>
        <v>0</v>
      </c>
    </row>
    <row r="191" spans="2:9" ht="18" customHeight="1">
      <c r="B191" s="48" t="s">
        <v>42</v>
      </c>
      <c r="C191" s="49">
        <f>SUMPRODUCT(D188:D190*E188:E190+F188:F190*G188:G190)/1000</f>
        <v>0</v>
      </c>
      <c r="D191" s="50" t="s">
        <v>43</v>
      </c>
      <c r="E191" s="49">
        <f>SUM(I188:I190)*1.1</f>
        <v>0</v>
      </c>
      <c r="F191" s="50" t="s">
        <v>44</v>
      </c>
      <c r="G191" s="51">
        <f>(C$218+C$219)/1000</f>
        <v>46.081499999999998</v>
      </c>
      <c r="H191" s="52" t="s">
        <v>45</v>
      </c>
      <c r="I191" s="53">
        <f>ROUND(E191*G191,2)</f>
        <v>0</v>
      </c>
    </row>
    <row r="192" spans="2:9" ht="18" customHeight="1">
      <c r="B192" s="48" t="s">
        <v>46</v>
      </c>
      <c r="C192" s="50">
        <v>105.66</v>
      </c>
      <c r="D192" s="50" t="s">
        <v>47</v>
      </c>
      <c r="E192" s="49">
        <f>ROUND(C191*(C192/1000),2)</f>
        <v>0</v>
      </c>
      <c r="F192" s="50" t="s">
        <v>48</v>
      </c>
      <c r="G192" s="50">
        <f>G$23</f>
        <v>10</v>
      </c>
      <c r="H192" s="52" t="s">
        <v>49</v>
      </c>
      <c r="I192" s="53">
        <f>E192*G192</f>
        <v>0</v>
      </c>
    </row>
    <row r="193" spans="2:15" ht="18" customHeight="1">
      <c r="B193" s="48" t="s">
        <v>50</v>
      </c>
      <c r="C193" s="50">
        <v>125.66</v>
      </c>
      <c r="D193" s="50" t="s">
        <v>51</v>
      </c>
      <c r="E193" s="49">
        <f>ROUND(C191*(C193/1000),2)</f>
        <v>0</v>
      </c>
      <c r="F193" s="50" t="s">
        <v>48</v>
      </c>
      <c r="G193" s="50">
        <f>G$24</f>
        <v>10</v>
      </c>
      <c r="H193" s="52" t="s">
        <v>49</v>
      </c>
      <c r="I193" s="53">
        <f>E193*G193</f>
        <v>0</v>
      </c>
    </row>
    <row r="194" spans="2:15" ht="18" customHeight="1">
      <c r="B194" s="23" t="s">
        <v>36</v>
      </c>
      <c r="C194" s="252" t="s">
        <v>14</v>
      </c>
      <c r="D194" s="652" t="s">
        <v>38</v>
      </c>
      <c r="E194" s="652"/>
      <c r="F194" s="652"/>
      <c r="G194" s="252" t="s">
        <v>72</v>
      </c>
      <c r="H194" s="252" t="s">
        <v>22</v>
      </c>
      <c r="I194" s="25" t="s">
        <v>40</v>
      </c>
    </row>
    <row r="195" spans="2:15" ht="18" customHeight="1">
      <c r="B195" s="643" t="s">
        <v>108</v>
      </c>
      <c r="C195" s="645" t="s">
        <v>109</v>
      </c>
      <c r="D195" s="646"/>
      <c r="E195" s="646"/>
      <c r="F195" s="646"/>
      <c r="G195" s="250"/>
      <c r="H195" s="250">
        <v>1.796</v>
      </c>
      <c r="I195" s="59">
        <f>ROUND((D195*G195*H195)/1000,3)</f>
        <v>0</v>
      </c>
    </row>
    <row r="196" spans="2:15" ht="18" customHeight="1">
      <c r="B196" s="644"/>
      <c r="C196" s="640"/>
      <c r="D196" s="646"/>
      <c r="E196" s="646"/>
      <c r="F196" s="646"/>
      <c r="G196" s="250"/>
      <c r="H196" s="250">
        <f>H195</f>
        <v>1.796</v>
      </c>
      <c r="I196" s="59">
        <f>ROUND((D196*G196*H196)/1000,3)</f>
        <v>0</v>
      </c>
    </row>
    <row r="197" spans="2:15" ht="18" customHeight="1">
      <c r="B197" s="643" t="s">
        <v>110</v>
      </c>
      <c r="C197" s="645" t="s">
        <v>111</v>
      </c>
      <c r="D197" s="646"/>
      <c r="E197" s="646"/>
      <c r="F197" s="646"/>
      <c r="G197" s="250"/>
      <c r="H197" s="250">
        <v>1.355</v>
      </c>
      <c r="I197" s="59"/>
    </row>
    <row r="198" spans="2:15" ht="18" customHeight="1">
      <c r="B198" s="644"/>
      <c r="C198" s="640"/>
      <c r="D198" s="646"/>
      <c r="E198" s="646"/>
      <c r="F198" s="646"/>
      <c r="G198" s="250"/>
      <c r="H198" s="250">
        <f>H197</f>
        <v>1.355</v>
      </c>
      <c r="I198" s="59"/>
    </row>
    <row r="199" spans="2:15" ht="18" customHeight="1">
      <c r="B199" s="48" t="s">
        <v>42</v>
      </c>
      <c r="C199" s="49">
        <f>SUMPRODUCT(D195:F198*G195:G198)/1000</f>
        <v>0</v>
      </c>
      <c r="D199" s="50" t="s">
        <v>43</v>
      </c>
      <c r="E199" s="49">
        <f>SUM(I195:I198)*1.1</f>
        <v>0</v>
      </c>
      <c r="F199" s="50" t="s">
        <v>44</v>
      </c>
      <c r="G199" s="51">
        <f>(C$218+C$219)/1000</f>
        <v>46.081499999999998</v>
      </c>
      <c r="H199" s="52" t="s">
        <v>45</v>
      </c>
      <c r="I199" s="53">
        <f>ROUND(E199*G199,2)</f>
        <v>0</v>
      </c>
    </row>
    <row r="200" spans="2:15" ht="18" customHeight="1">
      <c r="B200" s="48" t="s">
        <v>46</v>
      </c>
      <c r="C200" s="50">
        <v>267.77999999999997</v>
      </c>
      <c r="D200" s="50" t="s">
        <v>47</v>
      </c>
      <c r="E200" s="49">
        <f>ROUND(C199*(C200/1000),2)</f>
        <v>0</v>
      </c>
      <c r="F200" s="50" t="s">
        <v>48</v>
      </c>
      <c r="G200" s="50">
        <f>G$23</f>
        <v>10</v>
      </c>
      <c r="H200" s="52" t="s">
        <v>49</v>
      </c>
      <c r="I200" s="53">
        <f>E200*G200</f>
        <v>0</v>
      </c>
    </row>
    <row r="201" spans="2:15" ht="18" customHeight="1">
      <c r="B201" s="48" t="s">
        <v>50</v>
      </c>
      <c r="C201" s="50">
        <v>104.29</v>
      </c>
      <c r="D201" s="50" t="s">
        <v>51</v>
      </c>
      <c r="E201" s="49">
        <f>ROUND(C199*(C201/1000),2)</f>
        <v>0</v>
      </c>
      <c r="F201" s="50" t="s">
        <v>48</v>
      </c>
      <c r="G201" s="50">
        <f>G$24</f>
        <v>10</v>
      </c>
      <c r="H201" s="52" t="s">
        <v>49</v>
      </c>
      <c r="I201" s="53">
        <f>E201*G201</f>
        <v>0</v>
      </c>
    </row>
    <row r="202" spans="2:15" ht="18" customHeight="1">
      <c r="B202" s="103" t="s">
        <v>112</v>
      </c>
      <c r="C202" s="104" t="s">
        <v>113</v>
      </c>
      <c r="D202" s="104" t="s">
        <v>28</v>
      </c>
      <c r="E202" s="104" t="s">
        <v>8</v>
      </c>
      <c r="F202" s="104" t="s">
        <v>112</v>
      </c>
      <c r="G202" s="104" t="s">
        <v>113</v>
      </c>
      <c r="H202" s="104" t="s">
        <v>28</v>
      </c>
      <c r="I202" s="105" t="s">
        <v>8</v>
      </c>
      <c r="N202" s="106"/>
      <c r="O202" s="102"/>
    </row>
    <row r="203" spans="2:15" ht="18" customHeight="1">
      <c r="B203" s="251" t="s">
        <v>327</v>
      </c>
      <c r="C203" s="107" t="s">
        <v>114</v>
      </c>
      <c r="D203" s="108">
        <v>2.15</v>
      </c>
      <c r="E203" s="253">
        <f>SUM(G14:G21)*4</f>
        <v>8</v>
      </c>
      <c r="F203" s="647" t="s">
        <v>115</v>
      </c>
      <c r="G203" s="107" t="s">
        <v>116</v>
      </c>
      <c r="H203" s="108">
        <v>2.46</v>
      </c>
      <c r="I203" s="247">
        <f>SUM(G108:G111)*4</f>
        <v>0</v>
      </c>
      <c r="J203" s="42"/>
      <c r="N203" s="106"/>
      <c r="O203" s="102"/>
    </row>
    <row r="204" spans="2:15" ht="18" customHeight="1">
      <c r="B204" s="251" t="s">
        <v>328</v>
      </c>
      <c r="C204" s="107" t="s">
        <v>117</v>
      </c>
      <c r="D204" s="108">
        <v>1.72</v>
      </c>
      <c r="E204" s="253">
        <f>E203</f>
        <v>8</v>
      </c>
      <c r="F204" s="646"/>
      <c r="G204" s="107" t="s">
        <v>118</v>
      </c>
      <c r="H204" s="108">
        <v>3.11</v>
      </c>
      <c r="I204" s="247">
        <f>I203</f>
        <v>0</v>
      </c>
      <c r="J204" s="42"/>
      <c r="N204" s="106"/>
      <c r="O204" s="102"/>
    </row>
    <row r="205" spans="2:15" ht="18" customHeight="1">
      <c r="B205" s="109" t="s">
        <v>330</v>
      </c>
      <c r="C205" s="107" t="s">
        <v>119</v>
      </c>
      <c r="D205" s="108">
        <v>2.68</v>
      </c>
      <c r="E205" s="253">
        <f>SUM(G26:G30)*4</f>
        <v>0</v>
      </c>
      <c r="F205" s="110" t="s">
        <v>120</v>
      </c>
      <c r="G205" s="107" t="s">
        <v>121</v>
      </c>
      <c r="H205" s="111">
        <v>4.76</v>
      </c>
      <c r="I205" s="247">
        <f>SUM(G123:G125)*4</f>
        <v>0</v>
      </c>
      <c r="J205" s="42"/>
      <c r="N205" s="106"/>
      <c r="O205" s="102"/>
    </row>
    <row r="206" spans="2:15" ht="18" customHeight="1">
      <c r="B206" s="109" t="s">
        <v>329</v>
      </c>
      <c r="C206" s="107" t="s">
        <v>122</v>
      </c>
      <c r="D206" s="108">
        <v>1.27</v>
      </c>
      <c r="E206" s="253">
        <f>E205</f>
        <v>0</v>
      </c>
      <c r="F206" s="110" t="s">
        <v>123</v>
      </c>
      <c r="G206" s="107" t="s">
        <v>124</v>
      </c>
      <c r="H206" s="111">
        <v>3.85</v>
      </c>
      <c r="I206" s="247">
        <f>I205</f>
        <v>0</v>
      </c>
      <c r="J206" s="42"/>
      <c r="N206" s="106"/>
      <c r="O206" s="102"/>
    </row>
    <row r="207" spans="2:15" ht="18" customHeight="1">
      <c r="B207" s="109" t="s">
        <v>331</v>
      </c>
      <c r="C207" s="107" t="s">
        <v>125</v>
      </c>
      <c r="D207" s="111" t="s">
        <v>126</v>
      </c>
      <c r="E207" s="253">
        <f>SUM(G35:G37)*4</f>
        <v>8</v>
      </c>
      <c r="F207" s="110" t="s">
        <v>127</v>
      </c>
      <c r="G207" s="107" t="s">
        <v>128</v>
      </c>
      <c r="H207" s="111">
        <v>4.29</v>
      </c>
      <c r="I207" s="247">
        <f>SUM(G116:G118)*4</f>
        <v>0</v>
      </c>
      <c r="J207" s="42"/>
      <c r="N207" s="106"/>
      <c r="O207" s="102"/>
    </row>
    <row r="208" spans="2:15" ht="18" customHeight="1">
      <c r="B208" s="109" t="s">
        <v>332</v>
      </c>
      <c r="C208" s="107" t="s">
        <v>129</v>
      </c>
      <c r="D208" s="111" t="s">
        <v>130</v>
      </c>
      <c r="E208" s="253">
        <f>E207</f>
        <v>8</v>
      </c>
      <c r="F208" s="110" t="s">
        <v>131</v>
      </c>
      <c r="G208" s="107" t="s">
        <v>132</v>
      </c>
      <c r="H208" s="111">
        <v>4.5</v>
      </c>
      <c r="I208" s="247">
        <f>I207</f>
        <v>0</v>
      </c>
      <c r="J208" s="42"/>
      <c r="N208" s="106"/>
      <c r="O208" s="102"/>
    </row>
    <row r="209" spans="2:15" ht="18" customHeight="1">
      <c r="B209" s="249" t="s">
        <v>333</v>
      </c>
      <c r="C209" s="250">
        <v>12.6</v>
      </c>
      <c r="D209" s="111">
        <v>1.32</v>
      </c>
      <c r="E209" s="253">
        <f>SUM(G42:G47)*4</f>
        <v>8</v>
      </c>
      <c r="F209" s="639"/>
      <c r="G209" s="107"/>
      <c r="H209" s="28"/>
      <c r="I209" s="247"/>
      <c r="N209" s="106"/>
      <c r="O209" s="102"/>
    </row>
    <row r="210" spans="2:15" ht="18" customHeight="1">
      <c r="B210" s="249" t="s">
        <v>334</v>
      </c>
      <c r="C210" s="250">
        <v>15.8</v>
      </c>
      <c r="D210" s="111">
        <v>1.18</v>
      </c>
      <c r="E210" s="253">
        <f>E209</f>
        <v>8</v>
      </c>
      <c r="F210" s="640"/>
      <c r="G210" s="107"/>
      <c r="H210" s="28"/>
      <c r="I210" s="231"/>
      <c r="N210" s="106"/>
      <c r="O210" s="102"/>
    </row>
    <row r="211" spans="2:15" ht="18" customHeight="1">
      <c r="B211" s="251" t="s">
        <v>335</v>
      </c>
      <c r="C211" s="107" t="s">
        <v>337</v>
      </c>
      <c r="D211" s="111">
        <v>2.81</v>
      </c>
      <c r="E211" s="250">
        <f>SUM(E52+E53+E54+E55+G52+G53+G54+G55+G60+G61+G62+G63)*2</f>
        <v>14</v>
      </c>
      <c r="F211" s="641" t="s">
        <v>133</v>
      </c>
      <c r="G211" s="111">
        <f>SUMPRODUCT(D35:D37,G35:G37)/1000</f>
        <v>1.2</v>
      </c>
      <c r="H211" s="28">
        <v>0.16</v>
      </c>
      <c r="I211" s="232">
        <f>G211*H211</f>
        <v>0.192</v>
      </c>
      <c r="N211" s="106"/>
      <c r="O211" s="102"/>
    </row>
    <row r="212" spans="2:15" ht="18" customHeight="1">
      <c r="B212" s="251" t="s">
        <v>336</v>
      </c>
      <c r="C212" s="107" t="s">
        <v>338</v>
      </c>
      <c r="D212" s="111">
        <v>3.51</v>
      </c>
      <c r="E212" s="250">
        <f>E211</f>
        <v>14</v>
      </c>
      <c r="F212" s="641"/>
      <c r="G212" s="111">
        <f>SUMPRODUCT(D26:D30,G26:G30)/1000</f>
        <v>0</v>
      </c>
      <c r="H212" s="28">
        <v>0.16</v>
      </c>
      <c r="I212" s="232">
        <f>G212*H212</f>
        <v>0</v>
      </c>
      <c r="N212" s="106"/>
      <c r="O212" s="102"/>
    </row>
    <row r="213" spans="2:15" ht="18" customHeight="1">
      <c r="B213" s="251" t="s">
        <v>134</v>
      </c>
      <c r="C213" s="250">
        <v>30.6</v>
      </c>
      <c r="D213" s="111">
        <v>2.81</v>
      </c>
      <c r="E213" s="253">
        <f>SUM(+E130+E131+E132+G130+G131+G132)*2</f>
        <v>0</v>
      </c>
      <c r="F213" s="641" t="s">
        <v>135</v>
      </c>
      <c r="G213" s="111">
        <f>SUMPRODUCT(E26:E30,G26:G30)/1000</f>
        <v>0</v>
      </c>
      <c r="H213" s="28">
        <v>0.16</v>
      </c>
      <c r="I213" s="232">
        <f>G213*H213</f>
        <v>0</v>
      </c>
      <c r="N213" s="106"/>
      <c r="O213" s="102"/>
    </row>
    <row r="214" spans="2:15" ht="18" customHeight="1">
      <c r="B214" s="251" t="s">
        <v>136</v>
      </c>
      <c r="C214" s="250">
        <v>30.6</v>
      </c>
      <c r="D214" s="111">
        <v>3.51</v>
      </c>
      <c r="E214" s="253">
        <f>E213</f>
        <v>0</v>
      </c>
      <c r="F214" s="641"/>
      <c r="G214" s="111">
        <f>SUMPRODUCT(E35:E37,G35:G37)/1000</f>
        <v>2.6</v>
      </c>
      <c r="H214" s="28">
        <v>0.16</v>
      </c>
      <c r="I214" s="232">
        <f>G214*H214</f>
        <v>0.41600000000000004</v>
      </c>
      <c r="N214" s="106"/>
      <c r="O214" s="102"/>
    </row>
    <row r="215" spans="2:15" ht="18" customHeight="1">
      <c r="B215" s="52" t="s">
        <v>137</v>
      </c>
      <c r="C215" s="112" cm="1">
        <f t="array" ref="C215">SUMPRODUCT(D203:D214*E203:E214)+SUMPRODUCT(H203:H210*I203:I210)</f>
        <v>179.76</v>
      </c>
      <c r="D215" s="52"/>
      <c r="E215" s="52"/>
      <c r="F215" s="52"/>
      <c r="G215" s="52" t="s">
        <v>138</v>
      </c>
      <c r="H215" s="52" cm="1">
        <f t="array" ref="H215">SUMPRODUCT(G211:G214*H211:H214)</f>
        <v>0.6080000000000001</v>
      </c>
      <c r="I215" s="233">
        <f>H215*1.08</f>
        <v>0.65664000000000011</v>
      </c>
      <c r="N215" s="106"/>
      <c r="O215" s="102"/>
    </row>
    <row r="216" spans="2:15" ht="18" customHeight="1">
      <c r="B216" s="23" t="s">
        <v>139</v>
      </c>
      <c r="C216" s="252" t="s">
        <v>14</v>
      </c>
      <c r="D216" s="252" t="s">
        <v>22</v>
      </c>
      <c r="E216" s="252" t="s">
        <v>8</v>
      </c>
      <c r="F216" s="252" t="s">
        <v>113</v>
      </c>
      <c r="G216" s="252" t="s">
        <v>40</v>
      </c>
      <c r="H216" s="252" t="s">
        <v>28</v>
      </c>
      <c r="I216" s="25" t="s">
        <v>29</v>
      </c>
      <c r="N216" s="106"/>
      <c r="O216" s="102"/>
    </row>
    <row r="217" spans="2:15" ht="18" customHeight="1">
      <c r="B217" s="48" t="s">
        <v>140</v>
      </c>
      <c r="C217" s="52" t="s">
        <v>141</v>
      </c>
      <c r="D217" s="50">
        <v>0.14199999999999999</v>
      </c>
      <c r="E217" s="50">
        <v>1</v>
      </c>
      <c r="F217" s="50">
        <f>D6</f>
        <v>2620</v>
      </c>
      <c r="G217" s="128">
        <f>D217*F217*E217/1000*1.1</f>
        <v>0.409244</v>
      </c>
      <c r="H217" s="52">
        <f>(C218+C222)/1000</f>
        <v>39.781500000000001</v>
      </c>
      <c r="I217" s="193">
        <f>G217*H217</f>
        <v>16.280340186</v>
      </c>
      <c r="N217" s="106"/>
      <c r="O217" s="102"/>
    </row>
    <row r="218" spans="2:15" ht="18" customHeight="1">
      <c r="B218" s="37" t="s">
        <v>142</v>
      </c>
      <c r="C218" s="113">
        <f>材料价格!B4</f>
        <v>22081.5</v>
      </c>
      <c r="D218" s="39" t="s">
        <v>143</v>
      </c>
      <c r="E218" s="114">
        <f>E139+E133+E126+E119+E112+E199+E177+E64+E56+E48+E38+E31+E22+E184+E191</f>
        <v>85.296199999999999</v>
      </c>
      <c r="F218" s="39" t="s">
        <v>144</v>
      </c>
      <c r="G218" s="115">
        <f>I218/E218-C218/1000</f>
        <v>24.000037043854242</v>
      </c>
      <c r="H218" s="39" t="s">
        <v>145</v>
      </c>
      <c r="I218" s="116">
        <f>I22+I31+I38+I48+I56+I64+I199+I112+I119+I126+I133+I139+I177+I184+I191</f>
        <v>3930.58</v>
      </c>
      <c r="N218" s="106"/>
      <c r="O218" s="102"/>
    </row>
    <row r="219" spans="2:15" ht="18" customHeight="1">
      <c r="B219" s="117" t="s">
        <v>146</v>
      </c>
      <c r="C219" s="118">
        <f>材料价格!B5</f>
        <v>24000</v>
      </c>
      <c r="D219" s="39" t="s">
        <v>147</v>
      </c>
      <c r="E219" s="114">
        <f>E163+E153+E146+E104+E97+E88+G217+E170</f>
        <v>10.694244000000001</v>
      </c>
      <c r="F219" s="39" t="s">
        <v>148</v>
      </c>
      <c r="G219" s="119">
        <f>I219/E219-C218/1000</f>
        <v>17.699744956258712</v>
      </c>
      <c r="H219" s="39" t="s">
        <v>149</v>
      </c>
      <c r="I219" s="116">
        <f>I88+I97+I104+I146+I153+I163+I217+I170</f>
        <v>425.43034018600002</v>
      </c>
      <c r="N219" s="106"/>
      <c r="O219" s="102"/>
    </row>
    <row r="220" spans="2:15" ht="18" customHeight="1">
      <c r="B220" s="117" t="s">
        <v>150</v>
      </c>
      <c r="C220" s="118">
        <f>C219</f>
        <v>24000</v>
      </c>
      <c r="D220" s="39" t="s">
        <v>151</v>
      </c>
      <c r="E220" s="120">
        <f>I215</f>
        <v>0.65664000000000011</v>
      </c>
      <c r="F220" s="39" t="s">
        <v>152</v>
      </c>
      <c r="G220" s="119">
        <f>I220/E220-C218/1000</f>
        <v>2.8941335282651011</v>
      </c>
      <c r="H220" s="39" t="s">
        <v>153</v>
      </c>
      <c r="I220" s="116">
        <f>ROUND(E220*(C218+C223)/1000,2)</f>
        <v>16.399999999999999</v>
      </c>
      <c r="N220" s="106"/>
      <c r="O220" s="102"/>
    </row>
    <row r="221" spans="2:15" ht="18" customHeight="1">
      <c r="B221" s="117" t="s">
        <v>154</v>
      </c>
      <c r="C221" s="121">
        <f>C220</f>
        <v>24000</v>
      </c>
      <c r="D221" s="39" t="s">
        <v>155</v>
      </c>
      <c r="E221" s="39"/>
      <c r="F221" s="39" t="s">
        <v>156</v>
      </c>
      <c r="G221" s="39"/>
      <c r="H221" s="39" t="s">
        <v>49</v>
      </c>
      <c r="I221" s="116">
        <f>E221*G221</f>
        <v>0</v>
      </c>
      <c r="J221" s="42"/>
      <c r="K221" s="255"/>
    </row>
    <row r="222" spans="2:15" ht="18" customHeight="1">
      <c r="B222" s="117" t="s">
        <v>148</v>
      </c>
      <c r="C222" s="122">
        <f>材料价格!B6</f>
        <v>17700</v>
      </c>
      <c r="D222" s="39" t="s">
        <v>157</v>
      </c>
      <c r="E222" s="39"/>
      <c r="F222" s="39" t="s">
        <v>156</v>
      </c>
      <c r="G222" s="39"/>
      <c r="H222" s="39" t="s">
        <v>49</v>
      </c>
      <c r="I222" s="116">
        <f>E222*G222</f>
        <v>0</v>
      </c>
      <c r="J222" s="123"/>
      <c r="K222" s="123"/>
      <c r="L222" s="123"/>
    </row>
    <row r="223" spans="2:15" ht="18" customHeight="1">
      <c r="B223" s="117" t="s">
        <v>152</v>
      </c>
      <c r="C223" s="122">
        <f>材料价格!B9</f>
        <v>2900</v>
      </c>
      <c r="D223" s="39" t="s">
        <v>158</v>
      </c>
      <c r="E223" s="114">
        <f>SUM(E218:E220)</f>
        <v>96.647083999999992</v>
      </c>
      <c r="F223" s="39"/>
      <c r="G223" s="39" t="s">
        <v>339</v>
      </c>
      <c r="H223" s="39"/>
      <c r="I223" s="234">
        <f>SUM(I218:I222)+C215</f>
        <v>4552.1703401859995</v>
      </c>
      <c r="J223" s="123"/>
      <c r="K223" s="123"/>
      <c r="L223" s="123"/>
    </row>
    <row r="224" spans="2:15" ht="18" customHeight="1">
      <c r="B224" s="23" t="s">
        <v>159</v>
      </c>
      <c r="C224" s="252" t="s">
        <v>113</v>
      </c>
      <c r="D224" s="252" t="s">
        <v>16</v>
      </c>
      <c r="E224" s="252" t="s">
        <v>7</v>
      </c>
      <c r="F224" s="252" t="s">
        <v>8</v>
      </c>
      <c r="G224" s="252" t="s">
        <v>28</v>
      </c>
      <c r="H224" s="252" t="s">
        <v>160</v>
      </c>
      <c r="I224" s="25" t="s">
        <v>1</v>
      </c>
      <c r="J224" s="255"/>
      <c r="K224" s="255"/>
      <c r="L224" s="255"/>
      <c r="M224" s="255"/>
    </row>
    <row r="225" spans="2:13" ht="18" customHeight="1">
      <c r="B225" s="124" t="str">
        <f>材料价格!A10</f>
        <v>6单银Low-E+12A+6</v>
      </c>
      <c r="C225" s="253">
        <f t="shared" ref="C225:D229" si="25">D92</f>
        <v>-90</v>
      </c>
      <c r="D225" s="253">
        <f t="shared" si="25"/>
        <v>-90</v>
      </c>
      <c r="E225" s="32">
        <f>C225*D225/10^6</f>
        <v>8.0999999999999996E-3</v>
      </c>
      <c r="F225" s="250">
        <f>G26</f>
        <v>0</v>
      </c>
      <c r="G225" s="125">
        <f>材料价格!B10</f>
        <v>148</v>
      </c>
      <c r="H225" s="250">
        <f>ROUND(E225*G225*F225,2)</f>
        <v>0</v>
      </c>
      <c r="I225" s="247" t="s">
        <v>161</v>
      </c>
      <c r="J225" s="255"/>
      <c r="K225" s="255"/>
      <c r="L225" s="255"/>
      <c r="M225" s="255"/>
    </row>
    <row r="226" spans="2:13" ht="18" customHeight="1">
      <c r="B226" s="124" t="str">
        <f t="shared" ref="B226:B232" si="26">B225</f>
        <v>6单银Low-E+12A+6</v>
      </c>
      <c r="C226" s="253">
        <f t="shared" si="25"/>
        <v>-90</v>
      </c>
      <c r="D226" s="253">
        <f t="shared" si="25"/>
        <v>-90</v>
      </c>
      <c r="E226" s="32">
        <f t="shared" ref="E226:E284" si="27">C226*D226/10^6</f>
        <v>8.0999999999999996E-3</v>
      </c>
      <c r="F226" s="250">
        <f>G27</f>
        <v>0</v>
      </c>
      <c r="G226" s="126">
        <f t="shared" ref="G226:G232" si="28">G225</f>
        <v>148</v>
      </c>
      <c r="H226" s="250">
        <f t="shared" ref="H226:H241" si="29">ROUND(E226*G226*F226,2)</f>
        <v>0</v>
      </c>
      <c r="I226" s="247" t="s">
        <v>162</v>
      </c>
      <c r="J226" s="255"/>
      <c r="K226" s="255"/>
      <c r="L226" s="255"/>
      <c r="M226" s="255"/>
    </row>
    <row r="227" spans="2:13" ht="18" customHeight="1">
      <c r="B227" s="124" t="str">
        <f t="shared" si="26"/>
        <v>6单银Low-E+12A+6</v>
      </c>
      <c r="C227" s="253">
        <f t="shared" si="25"/>
        <v>-90</v>
      </c>
      <c r="D227" s="253">
        <f t="shared" si="25"/>
        <v>-90</v>
      </c>
      <c r="E227" s="32">
        <f t="shared" si="27"/>
        <v>8.0999999999999996E-3</v>
      </c>
      <c r="F227" s="250">
        <f>G28</f>
        <v>0</v>
      </c>
      <c r="G227" s="126">
        <f t="shared" si="28"/>
        <v>148</v>
      </c>
      <c r="H227" s="250">
        <f t="shared" si="29"/>
        <v>0</v>
      </c>
      <c r="I227" s="247" t="s">
        <v>162</v>
      </c>
      <c r="J227" s="255"/>
      <c r="K227" s="255"/>
      <c r="L227" s="255"/>
      <c r="M227" s="255"/>
    </row>
    <row r="228" spans="2:13" ht="18" customHeight="1">
      <c r="B228" s="124" t="str">
        <f t="shared" si="26"/>
        <v>6单银Low-E+12A+6</v>
      </c>
      <c r="C228" s="253">
        <f t="shared" si="25"/>
        <v>-90</v>
      </c>
      <c r="D228" s="253">
        <f t="shared" si="25"/>
        <v>-90</v>
      </c>
      <c r="E228" s="32">
        <f t="shared" si="27"/>
        <v>8.0999999999999996E-3</v>
      </c>
      <c r="F228" s="250">
        <f>G29</f>
        <v>0</v>
      </c>
      <c r="G228" s="126">
        <f t="shared" si="28"/>
        <v>148</v>
      </c>
      <c r="H228" s="250">
        <f t="shared" si="29"/>
        <v>0</v>
      </c>
      <c r="I228" s="247" t="s">
        <v>162</v>
      </c>
      <c r="J228" s="255"/>
      <c r="K228" s="255"/>
      <c r="L228" s="255"/>
      <c r="M228" s="255"/>
    </row>
    <row r="229" spans="2:13" ht="18" customHeight="1">
      <c r="B229" s="124" t="str">
        <f t="shared" si="26"/>
        <v>6单银Low-E+12A+6</v>
      </c>
      <c r="C229" s="253">
        <f t="shared" si="25"/>
        <v>-90</v>
      </c>
      <c r="D229" s="253">
        <f t="shared" si="25"/>
        <v>-90</v>
      </c>
      <c r="E229" s="32">
        <f t="shared" si="27"/>
        <v>8.0999999999999996E-3</v>
      </c>
      <c r="F229" s="250">
        <f>G30</f>
        <v>0</v>
      </c>
      <c r="G229" s="126">
        <f t="shared" si="28"/>
        <v>148</v>
      </c>
      <c r="H229" s="250">
        <f t="shared" si="29"/>
        <v>0</v>
      </c>
      <c r="I229" s="247" t="s">
        <v>162</v>
      </c>
      <c r="J229" s="123"/>
      <c r="K229" s="123"/>
      <c r="L229" s="123"/>
    </row>
    <row r="230" spans="2:13" ht="18" customHeight="1">
      <c r="B230" s="124" t="str">
        <f t="shared" si="26"/>
        <v>6单银Low-E+12A+6</v>
      </c>
      <c r="C230" s="253">
        <f t="shared" ref="C230:D232" si="30">D101</f>
        <v>478</v>
      </c>
      <c r="D230" s="253">
        <f t="shared" si="30"/>
        <v>1178</v>
      </c>
      <c r="E230" s="32">
        <f t="shared" si="27"/>
        <v>0.56308400000000003</v>
      </c>
      <c r="F230" s="250">
        <f>G101</f>
        <v>2</v>
      </c>
      <c r="G230" s="126">
        <f t="shared" si="28"/>
        <v>148</v>
      </c>
      <c r="H230" s="250">
        <f t="shared" si="29"/>
        <v>166.67</v>
      </c>
      <c r="I230" s="127" t="s">
        <v>163</v>
      </c>
      <c r="J230" s="123"/>
      <c r="K230" s="123"/>
      <c r="L230" s="123"/>
    </row>
    <row r="231" spans="2:13" ht="18" customHeight="1">
      <c r="B231" s="124" t="str">
        <f t="shared" si="26"/>
        <v>6单银Low-E+12A+6</v>
      </c>
      <c r="C231" s="253">
        <f t="shared" si="30"/>
        <v>-122</v>
      </c>
      <c r="D231" s="253">
        <f t="shared" si="30"/>
        <v>-122</v>
      </c>
      <c r="E231" s="32">
        <f t="shared" si="27"/>
        <v>1.4884E-2</v>
      </c>
      <c r="F231" s="250">
        <f>G102</f>
        <v>0</v>
      </c>
      <c r="G231" s="126">
        <f t="shared" si="28"/>
        <v>148</v>
      </c>
      <c r="H231" s="250">
        <f t="shared" si="29"/>
        <v>0</v>
      </c>
      <c r="I231" s="127" t="s">
        <v>163</v>
      </c>
    </row>
    <row r="232" spans="2:13" ht="18" customHeight="1">
      <c r="B232" s="124" t="str">
        <f t="shared" si="26"/>
        <v>6单银Low-E+12A+6</v>
      </c>
      <c r="C232" s="253">
        <f t="shared" si="30"/>
        <v>-122</v>
      </c>
      <c r="D232" s="253">
        <f t="shared" si="30"/>
        <v>-122</v>
      </c>
      <c r="E232" s="32">
        <f t="shared" si="27"/>
        <v>1.4884E-2</v>
      </c>
      <c r="F232" s="250">
        <f>G103</f>
        <v>0</v>
      </c>
      <c r="G232" s="126">
        <f t="shared" si="28"/>
        <v>148</v>
      </c>
      <c r="H232" s="250">
        <f t="shared" si="29"/>
        <v>0</v>
      </c>
      <c r="I232" s="127" t="s">
        <v>163</v>
      </c>
    </row>
    <row r="233" spans="2:13" ht="18" customHeight="1">
      <c r="B233" s="48" t="s">
        <v>164</v>
      </c>
      <c r="C233" s="52"/>
      <c r="D233" s="50"/>
      <c r="E233" s="128"/>
      <c r="F233" s="50">
        <f>SUM(F225:F232)</f>
        <v>2</v>
      </c>
      <c r="G233" s="50"/>
      <c r="H233" s="52">
        <f>SUM(H225:H232)</f>
        <v>166.67</v>
      </c>
      <c r="I233" s="53">
        <f>ROUND((E225*F225+E226*F226+E227*F227+E228*F228+E229*F229+E230*F230+E231*F231+E232*F232),2)</f>
        <v>1.1299999999999999</v>
      </c>
    </row>
    <row r="234" spans="2:13" ht="18" customHeight="1">
      <c r="B234" s="124" t="str">
        <f>B232</f>
        <v>6单银Low-E+12A+6</v>
      </c>
      <c r="C234" s="253">
        <f>C225</f>
        <v>-90</v>
      </c>
      <c r="D234" s="253">
        <f>D225</f>
        <v>-90</v>
      </c>
      <c r="E234" s="32">
        <f t="shared" si="27"/>
        <v>8.0999999999999996E-3</v>
      </c>
      <c r="F234" s="250">
        <f>IF(F225=0,G26,0)</f>
        <v>0</v>
      </c>
      <c r="G234" s="126">
        <f>G232</f>
        <v>148</v>
      </c>
      <c r="H234" s="250">
        <f t="shared" si="29"/>
        <v>0</v>
      </c>
      <c r="I234" s="247" t="s">
        <v>165</v>
      </c>
      <c r="J234" s="129"/>
    </row>
    <row r="235" spans="2:13" ht="18" customHeight="1">
      <c r="B235" s="124" t="str">
        <f t="shared" ref="B235:B241" si="31">B234</f>
        <v>6单银Low-E+12A+6</v>
      </c>
      <c r="C235" s="253">
        <f t="shared" ref="C235:D241" si="32">C226</f>
        <v>-90</v>
      </c>
      <c r="D235" s="253">
        <f t="shared" si="32"/>
        <v>-90</v>
      </c>
      <c r="E235" s="32">
        <f t="shared" si="27"/>
        <v>8.0999999999999996E-3</v>
      </c>
      <c r="F235" s="250">
        <f>IF(F226=0,G27,0)</f>
        <v>0</v>
      </c>
      <c r="G235" s="126">
        <f>G234</f>
        <v>148</v>
      </c>
      <c r="H235" s="250">
        <f t="shared" si="29"/>
        <v>0</v>
      </c>
      <c r="I235" s="247" t="s">
        <v>165</v>
      </c>
      <c r="J235" s="129"/>
    </row>
    <row r="236" spans="2:13" ht="18" customHeight="1">
      <c r="B236" s="124" t="str">
        <f t="shared" si="31"/>
        <v>6单银Low-E+12A+6</v>
      </c>
      <c r="C236" s="253">
        <f t="shared" si="32"/>
        <v>-90</v>
      </c>
      <c r="D236" s="253">
        <f t="shared" si="32"/>
        <v>-90</v>
      </c>
      <c r="E236" s="32">
        <f t="shared" si="27"/>
        <v>8.0999999999999996E-3</v>
      </c>
      <c r="F236" s="250">
        <f>IF(F227=0,G28,0)</f>
        <v>0</v>
      </c>
      <c r="G236" s="126">
        <f t="shared" ref="G236:G241" si="33">G234</f>
        <v>148</v>
      </c>
      <c r="H236" s="250">
        <f t="shared" si="29"/>
        <v>0</v>
      </c>
      <c r="I236" s="247" t="s">
        <v>165</v>
      </c>
      <c r="J236" s="129"/>
    </row>
    <row r="237" spans="2:13" ht="18" customHeight="1">
      <c r="B237" s="124" t="str">
        <f t="shared" si="31"/>
        <v>6单银Low-E+12A+6</v>
      </c>
      <c r="C237" s="253">
        <f t="shared" si="32"/>
        <v>-90</v>
      </c>
      <c r="D237" s="253">
        <f t="shared" si="32"/>
        <v>-90</v>
      </c>
      <c r="E237" s="32">
        <f t="shared" si="27"/>
        <v>8.0999999999999996E-3</v>
      </c>
      <c r="F237" s="250">
        <f>IF(F228=0,G29,0)</f>
        <v>0</v>
      </c>
      <c r="G237" s="126">
        <f t="shared" si="33"/>
        <v>148</v>
      </c>
      <c r="H237" s="250">
        <f t="shared" si="29"/>
        <v>0</v>
      </c>
      <c r="I237" s="247" t="s">
        <v>165</v>
      </c>
      <c r="J237" s="129"/>
    </row>
    <row r="238" spans="2:13" ht="18" customHeight="1">
      <c r="B238" s="124" t="str">
        <f t="shared" si="31"/>
        <v>6单银Low-E+12A+6</v>
      </c>
      <c r="C238" s="253">
        <f t="shared" si="32"/>
        <v>-90</v>
      </c>
      <c r="D238" s="253">
        <f t="shared" si="32"/>
        <v>-90</v>
      </c>
      <c r="E238" s="32">
        <f t="shared" si="27"/>
        <v>8.0999999999999996E-3</v>
      </c>
      <c r="F238" s="250">
        <f>IF(F229=0,G30,0)</f>
        <v>0</v>
      </c>
      <c r="G238" s="126">
        <f t="shared" si="33"/>
        <v>148</v>
      </c>
      <c r="H238" s="250">
        <f t="shared" si="29"/>
        <v>0</v>
      </c>
      <c r="I238" s="247" t="s">
        <v>165</v>
      </c>
      <c r="J238" s="129"/>
    </row>
    <row r="239" spans="2:13" ht="18" customHeight="1">
      <c r="B239" s="124" t="str">
        <f t="shared" si="31"/>
        <v>6单银Low-E+12A+6</v>
      </c>
      <c r="C239" s="253">
        <f t="shared" si="32"/>
        <v>478</v>
      </c>
      <c r="D239" s="253">
        <f t="shared" si="32"/>
        <v>1178</v>
      </c>
      <c r="E239" s="32">
        <f t="shared" si="27"/>
        <v>0.56308400000000003</v>
      </c>
      <c r="F239" s="250">
        <f>IF(F230=0,G35,0)</f>
        <v>0</v>
      </c>
      <c r="G239" s="126">
        <f t="shared" si="33"/>
        <v>148</v>
      </c>
      <c r="H239" s="250">
        <f t="shared" si="29"/>
        <v>0</v>
      </c>
      <c r="I239" s="127" t="s">
        <v>166</v>
      </c>
      <c r="J239" s="129"/>
    </row>
    <row r="240" spans="2:13" ht="18" customHeight="1">
      <c r="B240" s="124" t="str">
        <f t="shared" si="31"/>
        <v>6单银Low-E+12A+6</v>
      </c>
      <c r="C240" s="253">
        <f t="shared" si="32"/>
        <v>-122</v>
      </c>
      <c r="D240" s="253">
        <f t="shared" si="32"/>
        <v>-122</v>
      </c>
      <c r="E240" s="32">
        <f t="shared" si="27"/>
        <v>1.4884E-2</v>
      </c>
      <c r="F240" s="250">
        <f>IF(F231=0,G36,0)</f>
        <v>0</v>
      </c>
      <c r="G240" s="126">
        <f t="shared" si="33"/>
        <v>148</v>
      </c>
      <c r="H240" s="250">
        <f t="shared" si="29"/>
        <v>0</v>
      </c>
      <c r="I240" s="127" t="s">
        <v>166</v>
      </c>
      <c r="J240" s="129"/>
    </row>
    <row r="241" spans="1:16" ht="18" customHeight="1">
      <c r="B241" s="124" t="str">
        <f t="shared" si="31"/>
        <v>6单银Low-E+12A+6</v>
      </c>
      <c r="C241" s="253">
        <f t="shared" si="32"/>
        <v>-122</v>
      </c>
      <c r="D241" s="253">
        <f t="shared" si="32"/>
        <v>-122</v>
      </c>
      <c r="E241" s="32">
        <f t="shared" si="27"/>
        <v>1.4884E-2</v>
      </c>
      <c r="F241" s="250">
        <f>IF(F232=0,G37,0)</f>
        <v>0</v>
      </c>
      <c r="G241" s="126">
        <f t="shared" si="33"/>
        <v>148</v>
      </c>
      <c r="H241" s="250">
        <f t="shared" si="29"/>
        <v>0</v>
      </c>
      <c r="I241" s="127" t="s">
        <v>166</v>
      </c>
      <c r="J241" s="129"/>
    </row>
    <row r="242" spans="1:16" s="43" customFormat="1" ht="18" customHeight="1">
      <c r="A242" s="1"/>
      <c r="B242" s="48" t="s">
        <v>167</v>
      </c>
      <c r="C242" s="52"/>
      <c r="D242" s="50"/>
      <c r="E242" s="128"/>
      <c r="F242" s="50">
        <f>SUM(F234:F241)</f>
        <v>0</v>
      </c>
      <c r="G242" s="50"/>
      <c r="H242" s="52">
        <f>SUM(H234:H241)</f>
        <v>0</v>
      </c>
      <c r="I242" s="53">
        <f>ROUND(SUMPRODUCT(E234:E241*F234:F241),2)</f>
        <v>0</v>
      </c>
      <c r="J242" s="129"/>
      <c r="N242" s="255"/>
      <c r="O242" s="255"/>
      <c r="P242" s="255"/>
    </row>
    <row r="243" spans="1:16" s="43" customFormat="1" ht="18" customHeight="1">
      <c r="A243" s="1"/>
      <c r="B243" s="124" t="str">
        <f>B240</f>
        <v>6单银Low-E+12A+6</v>
      </c>
      <c r="C243" s="253">
        <f t="shared" ref="C243:D249" si="34">D68-12</f>
        <v>2536</v>
      </c>
      <c r="D243" s="253">
        <f t="shared" si="34"/>
        <v>1266</v>
      </c>
      <c r="E243" s="32">
        <f t="shared" si="27"/>
        <v>3.2105760000000001</v>
      </c>
      <c r="F243" s="82">
        <f t="shared" ref="F243:F249" si="35">G68</f>
        <v>1</v>
      </c>
      <c r="G243" s="130">
        <f>材料价格!B11</f>
        <v>312</v>
      </c>
      <c r="H243" s="250">
        <f t="shared" ref="H243:H249" si="36">ROUND(E243*G243*F243,2)</f>
        <v>1001.7</v>
      </c>
      <c r="I243" s="247" t="s">
        <v>168</v>
      </c>
      <c r="J243" s="129"/>
      <c r="N243" s="255"/>
      <c r="O243" s="255"/>
      <c r="P243" s="255"/>
    </row>
    <row r="244" spans="1:16" s="43" customFormat="1" ht="18" customHeight="1">
      <c r="A244" s="1"/>
      <c r="B244" s="124" t="str">
        <f t="shared" ref="B244:B249" si="37">B243</f>
        <v>6单银Low-E+12A+6</v>
      </c>
      <c r="C244" s="253">
        <f t="shared" si="34"/>
        <v>634</v>
      </c>
      <c r="D244" s="253">
        <f t="shared" si="34"/>
        <v>634</v>
      </c>
      <c r="E244" s="32">
        <f t="shared" si="27"/>
        <v>0.40195599999999998</v>
      </c>
      <c r="F244" s="82">
        <f t="shared" si="35"/>
        <v>4</v>
      </c>
      <c r="G244" s="130">
        <f>G241</f>
        <v>148</v>
      </c>
      <c r="H244" s="250">
        <f t="shared" si="36"/>
        <v>237.96</v>
      </c>
      <c r="I244" s="247" t="s">
        <v>168</v>
      </c>
      <c r="J244" s="129"/>
      <c r="N244" s="255"/>
      <c r="O244" s="255"/>
      <c r="P244" s="255"/>
    </row>
    <row r="245" spans="1:16" s="43" customFormat="1" ht="18" customHeight="1">
      <c r="A245" s="1"/>
      <c r="B245" s="124" t="str">
        <f t="shared" si="37"/>
        <v>6单银Low-E+12A+6</v>
      </c>
      <c r="C245" s="253">
        <f t="shared" si="34"/>
        <v>634</v>
      </c>
      <c r="D245" s="253">
        <f t="shared" si="34"/>
        <v>1364</v>
      </c>
      <c r="E245" s="32">
        <f t="shared" si="27"/>
        <v>0.86477599999999999</v>
      </c>
      <c r="F245" s="82">
        <f t="shared" si="35"/>
        <v>2</v>
      </c>
      <c r="G245" s="130">
        <f t="shared" ref="G245:G249" si="38">G244</f>
        <v>148</v>
      </c>
      <c r="H245" s="250">
        <f t="shared" si="36"/>
        <v>255.97</v>
      </c>
      <c r="I245" s="247" t="s">
        <v>168</v>
      </c>
      <c r="J245" s="129"/>
      <c r="N245" s="255"/>
      <c r="O245" s="255"/>
      <c r="P245" s="255"/>
    </row>
    <row r="246" spans="1:16" s="43" customFormat="1" ht="18" customHeight="1">
      <c r="A246" s="1"/>
      <c r="B246" s="124" t="str">
        <f t="shared" si="37"/>
        <v>6单银Low-E+12A+6</v>
      </c>
      <c r="C246" s="253">
        <f t="shared" si="34"/>
        <v>-12</v>
      </c>
      <c r="D246" s="253">
        <f t="shared" si="34"/>
        <v>-12</v>
      </c>
      <c r="E246" s="32">
        <f t="shared" si="27"/>
        <v>1.44E-4</v>
      </c>
      <c r="F246" s="82">
        <f t="shared" si="35"/>
        <v>0</v>
      </c>
      <c r="G246" s="130">
        <f t="shared" si="38"/>
        <v>148</v>
      </c>
      <c r="H246" s="250">
        <f t="shared" si="36"/>
        <v>0</v>
      </c>
      <c r="I246" s="247" t="s">
        <v>168</v>
      </c>
      <c r="J246" s="129"/>
      <c r="N246" s="255"/>
      <c r="O246" s="255"/>
      <c r="P246" s="255"/>
    </row>
    <row r="247" spans="1:16" s="43" customFormat="1" ht="18" customHeight="1">
      <c r="A247" s="1"/>
      <c r="B247" s="124" t="str">
        <f t="shared" si="37"/>
        <v>6单银Low-E+12A+6</v>
      </c>
      <c r="C247" s="253">
        <f t="shared" si="34"/>
        <v>-12</v>
      </c>
      <c r="D247" s="253">
        <f t="shared" si="34"/>
        <v>-12</v>
      </c>
      <c r="E247" s="32">
        <f t="shared" si="27"/>
        <v>1.44E-4</v>
      </c>
      <c r="F247" s="82">
        <f t="shared" si="35"/>
        <v>0</v>
      </c>
      <c r="G247" s="130">
        <f t="shared" si="38"/>
        <v>148</v>
      </c>
      <c r="H247" s="250">
        <f t="shared" si="36"/>
        <v>0</v>
      </c>
      <c r="I247" s="247" t="s">
        <v>168</v>
      </c>
      <c r="J247" s="129"/>
      <c r="N247" s="255"/>
      <c r="O247" s="255"/>
      <c r="P247" s="255"/>
    </row>
    <row r="248" spans="1:16" s="43" customFormat="1" ht="18" customHeight="1">
      <c r="A248" s="1"/>
      <c r="B248" s="124" t="str">
        <f t="shared" si="37"/>
        <v>6单银Low-E+12A+6</v>
      </c>
      <c r="C248" s="253">
        <f t="shared" si="34"/>
        <v>-12</v>
      </c>
      <c r="D248" s="253">
        <f t="shared" si="34"/>
        <v>-12</v>
      </c>
      <c r="E248" s="32">
        <f t="shared" si="27"/>
        <v>1.44E-4</v>
      </c>
      <c r="F248" s="82">
        <f t="shared" si="35"/>
        <v>0</v>
      </c>
      <c r="G248" s="130">
        <f t="shared" si="38"/>
        <v>148</v>
      </c>
      <c r="H248" s="250">
        <f t="shared" si="36"/>
        <v>0</v>
      </c>
      <c r="I248" s="247" t="s">
        <v>168</v>
      </c>
      <c r="J248" s="129"/>
      <c r="N248" s="255"/>
      <c r="O248" s="255"/>
      <c r="P248" s="255"/>
    </row>
    <row r="249" spans="1:16" s="43" customFormat="1" ht="18" customHeight="1">
      <c r="A249" s="1"/>
      <c r="B249" s="124" t="str">
        <f t="shared" si="37"/>
        <v>6单银Low-E+12A+6</v>
      </c>
      <c r="C249" s="253">
        <f t="shared" si="34"/>
        <v>-12</v>
      </c>
      <c r="D249" s="253">
        <f t="shared" si="34"/>
        <v>-12</v>
      </c>
      <c r="E249" s="32">
        <f t="shared" si="27"/>
        <v>1.44E-4</v>
      </c>
      <c r="F249" s="82">
        <f t="shared" si="35"/>
        <v>0</v>
      </c>
      <c r="G249" s="130">
        <f t="shared" si="38"/>
        <v>148</v>
      </c>
      <c r="H249" s="250">
        <f t="shared" si="36"/>
        <v>0</v>
      </c>
      <c r="I249" s="247" t="s">
        <v>168</v>
      </c>
      <c r="J249" s="129"/>
      <c r="N249" s="255"/>
      <c r="O249" s="255"/>
      <c r="P249" s="255"/>
    </row>
    <row r="250" spans="1:16" s="43" customFormat="1" ht="18" customHeight="1">
      <c r="A250" s="1"/>
      <c r="B250" s="131" t="str">
        <f>B246</f>
        <v>6单银Low-E+12A+6</v>
      </c>
      <c r="C250" s="52"/>
      <c r="D250" s="50"/>
      <c r="E250" s="128"/>
      <c r="F250" s="50">
        <f>SUM(F243:F249)</f>
        <v>7</v>
      </c>
      <c r="G250" s="50"/>
      <c r="H250" s="52">
        <f>SUM(H243:H249)</f>
        <v>1495.63</v>
      </c>
      <c r="I250" s="53">
        <f>ROUND((E243*F243+E244*F244+E245*F245+E246*F246+E247*F247+E248*F248+E249*F249),2)</f>
        <v>6.55</v>
      </c>
      <c r="J250" s="43">
        <f>(I242+I258+I273+I280)</f>
        <v>0</v>
      </c>
      <c r="N250" s="255"/>
      <c r="O250" s="255"/>
      <c r="P250" s="255"/>
    </row>
    <row r="251" spans="1:16" s="43" customFormat="1" ht="18" customHeight="1">
      <c r="A251" s="1"/>
      <c r="B251" s="124" t="str">
        <f>B249</f>
        <v>6单银Low-E+12A+6</v>
      </c>
      <c r="C251" s="253">
        <f t="shared" ref="C251:D257" si="39">D75-12</f>
        <v>-12</v>
      </c>
      <c r="D251" s="253">
        <f t="shared" si="39"/>
        <v>-12</v>
      </c>
      <c r="E251" s="32">
        <f t="shared" si="27"/>
        <v>1.44E-4</v>
      </c>
      <c r="F251" s="82">
        <f t="shared" ref="F251:F257" si="40">G75</f>
        <v>0</v>
      </c>
      <c r="G251" s="130">
        <f>G249</f>
        <v>148</v>
      </c>
      <c r="H251" s="250">
        <f>ROUND(E251*G251*F251,2)</f>
        <v>0</v>
      </c>
      <c r="I251" s="132" t="s">
        <v>169</v>
      </c>
      <c r="N251" s="255"/>
      <c r="O251" s="255"/>
      <c r="P251" s="255"/>
    </row>
    <row r="252" spans="1:16" s="43" customFormat="1" ht="18" customHeight="1">
      <c r="A252" s="1"/>
      <c r="B252" s="124" t="str">
        <f t="shared" ref="B252:B257" si="41">B251</f>
        <v>6单银Low-E+12A+6</v>
      </c>
      <c r="C252" s="253">
        <f t="shared" si="39"/>
        <v>-12</v>
      </c>
      <c r="D252" s="253">
        <f t="shared" si="39"/>
        <v>-12</v>
      </c>
      <c r="E252" s="32">
        <f t="shared" si="27"/>
        <v>1.44E-4</v>
      </c>
      <c r="F252" s="82">
        <f t="shared" si="40"/>
        <v>0</v>
      </c>
      <c r="G252" s="130">
        <f t="shared" ref="G252:G257" si="42">G251</f>
        <v>148</v>
      </c>
      <c r="H252" s="250">
        <f t="shared" ref="H252:H264" si="43">ROUND(E252*G252*F252,2)</f>
        <v>0</v>
      </c>
      <c r="I252" s="132" t="str">
        <f t="shared" ref="I252:I257" si="44">I251</f>
        <v>固定钢化中空</v>
      </c>
      <c r="N252" s="255"/>
      <c r="O252" s="255"/>
      <c r="P252" s="255"/>
    </row>
    <row r="253" spans="1:16" s="43" customFormat="1" ht="18" customHeight="1">
      <c r="A253" s="1"/>
      <c r="B253" s="124" t="str">
        <f t="shared" si="41"/>
        <v>6单银Low-E+12A+6</v>
      </c>
      <c r="C253" s="253">
        <f t="shared" si="39"/>
        <v>-12</v>
      </c>
      <c r="D253" s="253">
        <f t="shared" si="39"/>
        <v>-12</v>
      </c>
      <c r="E253" s="32">
        <f t="shared" si="27"/>
        <v>1.44E-4</v>
      </c>
      <c r="F253" s="82">
        <f t="shared" si="40"/>
        <v>0</v>
      </c>
      <c r="G253" s="130">
        <f t="shared" si="42"/>
        <v>148</v>
      </c>
      <c r="H253" s="250">
        <f t="shared" si="43"/>
        <v>0</v>
      </c>
      <c r="I253" s="132" t="str">
        <f t="shared" si="44"/>
        <v>固定钢化中空</v>
      </c>
      <c r="N253" s="255"/>
      <c r="O253" s="255"/>
      <c r="P253" s="255"/>
    </row>
    <row r="254" spans="1:16" s="43" customFormat="1" ht="18" customHeight="1">
      <c r="A254" s="1"/>
      <c r="B254" s="124" t="str">
        <f t="shared" si="41"/>
        <v>6单银Low-E+12A+6</v>
      </c>
      <c r="C254" s="253">
        <f t="shared" si="39"/>
        <v>-12</v>
      </c>
      <c r="D254" s="253">
        <f t="shared" si="39"/>
        <v>-12</v>
      </c>
      <c r="E254" s="32">
        <f t="shared" si="27"/>
        <v>1.44E-4</v>
      </c>
      <c r="F254" s="82">
        <f t="shared" si="40"/>
        <v>0</v>
      </c>
      <c r="G254" s="130">
        <f t="shared" si="42"/>
        <v>148</v>
      </c>
      <c r="H254" s="250">
        <f t="shared" si="43"/>
        <v>0</v>
      </c>
      <c r="I254" s="132" t="str">
        <f t="shared" si="44"/>
        <v>固定钢化中空</v>
      </c>
      <c r="J254" s="42"/>
      <c r="N254" s="255"/>
      <c r="O254" s="255"/>
      <c r="P254" s="255"/>
    </row>
    <row r="255" spans="1:16" s="43" customFormat="1" ht="18" customHeight="1">
      <c r="A255" s="1"/>
      <c r="B255" s="124" t="str">
        <f t="shared" si="41"/>
        <v>6单银Low-E+12A+6</v>
      </c>
      <c r="C255" s="253">
        <f t="shared" si="39"/>
        <v>-12</v>
      </c>
      <c r="D255" s="253">
        <f t="shared" si="39"/>
        <v>-12</v>
      </c>
      <c r="E255" s="32">
        <f t="shared" si="27"/>
        <v>1.44E-4</v>
      </c>
      <c r="F255" s="82">
        <f t="shared" si="40"/>
        <v>0</v>
      </c>
      <c r="G255" s="130">
        <f t="shared" si="42"/>
        <v>148</v>
      </c>
      <c r="H255" s="250">
        <f t="shared" si="43"/>
        <v>0</v>
      </c>
      <c r="I255" s="132" t="str">
        <f t="shared" si="44"/>
        <v>固定钢化中空</v>
      </c>
      <c r="N255" s="255"/>
      <c r="O255" s="255"/>
      <c r="P255" s="255"/>
    </row>
    <row r="256" spans="1:16" s="43" customFormat="1" ht="18" customHeight="1">
      <c r="A256" s="1"/>
      <c r="B256" s="124" t="str">
        <f t="shared" si="41"/>
        <v>6单银Low-E+12A+6</v>
      </c>
      <c r="C256" s="253">
        <f t="shared" si="39"/>
        <v>-12</v>
      </c>
      <c r="D256" s="253">
        <f t="shared" si="39"/>
        <v>-12</v>
      </c>
      <c r="E256" s="32">
        <f t="shared" si="27"/>
        <v>1.44E-4</v>
      </c>
      <c r="F256" s="82">
        <f t="shared" si="40"/>
        <v>0</v>
      </c>
      <c r="G256" s="130">
        <f t="shared" si="42"/>
        <v>148</v>
      </c>
      <c r="H256" s="250">
        <f t="shared" si="43"/>
        <v>0</v>
      </c>
      <c r="I256" s="132" t="str">
        <f t="shared" si="44"/>
        <v>固定钢化中空</v>
      </c>
      <c r="N256" s="255"/>
      <c r="O256" s="255"/>
      <c r="P256" s="255"/>
    </row>
    <row r="257" spans="1:16" s="43" customFormat="1" ht="18" customHeight="1">
      <c r="A257" s="1"/>
      <c r="B257" s="124" t="str">
        <f t="shared" si="41"/>
        <v>6单银Low-E+12A+6</v>
      </c>
      <c r="C257" s="253">
        <f t="shared" si="39"/>
        <v>-12</v>
      </c>
      <c r="D257" s="253">
        <f t="shared" si="39"/>
        <v>-12</v>
      </c>
      <c r="E257" s="32">
        <f t="shared" si="27"/>
        <v>1.44E-4</v>
      </c>
      <c r="F257" s="82">
        <f t="shared" si="40"/>
        <v>0</v>
      </c>
      <c r="G257" s="130">
        <f t="shared" si="42"/>
        <v>148</v>
      </c>
      <c r="H257" s="250">
        <f t="shared" si="43"/>
        <v>0</v>
      </c>
      <c r="I257" s="132" t="str">
        <f t="shared" si="44"/>
        <v>固定钢化中空</v>
      </c>
      <c r="N257" s="255"/>
      <c r="O257" s="255"/>
      <c r="P257" s="255"/>
    </row>
    <row r="258" spans="1:16" s="43" customFormat="1" ht="18" customHeight="1">
      <c r="A258" s="1"/>
      <c r="B258" s="48" t="s">
        <v>170</v>
      </c>
      <c r="C258" s="52"/>
      <c r="D258" s="50"/>
      <c r="E258" s="128"/>
      <c r="F258" s="50">
        <f>SUM(F251:F257)</f>
        <v>0</v>
      </c>
      <c r="G258" s="50"/>
      <c r="H258" s="52">
        <f>SUM(H251:H257)</f>
        <v>0</v>
      </c>
      <c r="I258" s="53">
        <f>ROUND((E251*F251+E252*F252+E253*F253+E254*F254+E255*F255+E256*F256+E257*F257),2)</f>
        <v>0</v>
      </c>
      <c r="N258" s="255"/>
      <c r="O258" s="255"/>
      <c r="P258" s="255"/>
    </row>
    <row r="259" spans="1:16" s="43" customFormat="1" ht="18" customHeight="1">
      <c r="A259" s="1"/>
      <c r="B259" s="124" t="str">
        <f>B257</f>
        <v>6单银Low-E+12A+6</v>
      </c>
      <c r="C259" s="253">
        <f t="shared" ref="C259:D264" si="45">D82-12</f>
        <v>-12</v>
      </c>
      <c r="D259" s="253">
        <f t="shared" si="45"/>
        <v>-12</v>
      </c>
      <c r="E259" s="32">
        <f t="shared" si="27"/>
        <v>1.44E-4</v>
      </c>
      <c r="F259" s="82">
        <f t="shared" ref="F259:F264" si="46">G82</f>
        <v>0</v>
      </c>
      <c r="G259" s="130">
        <f>G257</f>
        <v>148</v>
      </c>
      <c r="H259" s="250">
        <f t="shared" si="43"/>
        <v>0</v>
      </c>
      <c r="I259" s="247" t="s">
        <v>171</v>
      </c>
      <c r="N259" s="255"/>
      <c r="O259" s="255"/>
      <c r="P259" s="255"/>
    </row>
    <row r="260" spans="1:16" s="43" customFormat="1" ht="18" customHeight="1">
      <c r="A260" s="1"/>
      <c r="B260" s="124" t="str">
        <f>B259</f>
        <v>6单银Low-E+12A+6</v>
      </c>
      <c r="C260" s="253">
        <f t="shared" si="45"/>
        <v>-12</v>
      </c>
      <c r="D260" s="253">
        <f t="shared" si="45"/>
        <v>-12</v>
      </c>
      <c r="E260" s="32">
        <f t="shared" si="27"/>
        <v>1.44E-4</v>
      </c>
      <c r="F260" s="82">
        <f t="shared" si="46"/>
        <v>0</v>
      </c>
      <c r="G260" s="130">
        <f>G259</f>
        <v>148</v>
      </c>
      <c r="H260" s="250">
        <f t="shared" si="43"/>
        <v>0</v>
      </c>
      <c r="I260" s="247" t="s">
        <v>171</v>
      </c>
      <c r="N260" s="255"/>
      <c r="O260" s="255"/>
      <c r="P260" s="255"/>
    </row>
    <row r="261" spans="1:16" s="43" customFormat="1" ht="18" customHeight="1">
      <c r="A261" s="1"/>
      <c r="B261" s="124" t="str">
        <f>B260</f>
        <v>6单银Low-E+12A+6</v>
      </c>
      <c r="C261" s="253">
        <f t="shared" si="45"/>
        <v>-12</v>
      </c>
      <c r="D261" s="253">
        <f t="shared" si="45"/>
        <v>-12</v>
      </c>
      <c r="E261" s="32">
        <f t="shared" si="27"/>
        <v>1.44E-4</v>
      </c>
      <c r="F261" s="82">
        <f t="shared" si="46"/>
        <v>0</v>
      </c>
      <c r="G261" s="130">
        <f>G260</f>
        <v>148</v>
      </c>
      <c r="H261" s="250">
        <f t="shared" si="43"/>
        <v>0</v>
      </c>
      <c r="I261" s="247" t="s">
        <v>171</v>
      </c>
      <c r="N261" s="255"/>
      <c r="O261" s="255"/>
      <c r="P261" s="255"/>
    </row>
    <row r="262" spans="1:16" s="43" customFormat="1" ht="18" customHeight="1">
      <c r="A262" s="1"/>
      <c r="B262" s="124" t="str">
        <f>B261</f>
        <v>6单银Low-E+12A+6</v>
      </c>
      <c r="C262" s="253">
        <f t="shared" si="45"/>
        <v>-12</v>
      </c>
      <c r="D262" s="253">
        <f t="shared" si="45"/>
        <v>-12</v>
      </c>
      <c r="E262" s="32">
        <f t="shared" si="27"/>
        <v>1.44E-4</v>
      </c>
      <c r="F262" s="82">
        <f t="shared" si="46"/>
        <v>0</v>
      </c>
      <c r="G262" s="130">
        <f>G261</f>
        <v>148</v>
      </c>
      <c r="H262" s="250">
        <f t="shared" si="43"/>
        <v>0</v>
      </c>
      <c r="I262" s="247" t="s">
        <v>171</v>
      </c>
      <c r="N262" s="255"/>
      <c r="O262" s="255"/>
      <c r="P262" s="255"/>
    </row>
    <row r="263" spans="1:16" s="43" customFormat="1" ht="18" customHeight="1">
      <c r="A263" s="1"/>
      <c r="B263" s="124" t="str">
        <f>B262</f>
        <v>6单银Low-E+12A+6</v>
      </c>
      <c r="C263" s="253">
        <f t="shared" si="45"/>
        <v>-12</v>
      </c>
      <c r="D263" s="253">
        <f t="shared" si="45"/>
        <v>-12</v>
      </c>
      <c r="E263" s="32">
        <f t="shared" si="27"/>
        <v>1.44E-4</v>
      </c>
      <c r="F263" s="82">
        <f t="shared" si="46"/>
        <v>0</v>
      </c>
      <c r="G263" s="130">
        <f>G262</f>
        <v>148</v>
      </c>
      <c r="H263" s="250">
        <f t="shared" si="43"/>
        <v>0</v>
      </c>
      <c r="I263" s="247" t="s">
        <v>171</v>
      </c>
      <c r="N263" s="255"/>
      <c r="O263" s="255"/>
      <c r="P263" s="255"/>
    </row>
    <row r="264" spans="1:16" s="43" customFormat="1" ht="18" customHeight="1">
      <c r="A264" s="1"/>
      <c r="B264" s="124" t="str">
        <f>B263</f>
        <v>6单银Low-E+12A+6</v>
      </c>
      <c r="C264" s="253">
        <f t="shared" si="45"/>
        <v>-12</v>
      </c>
      <c r="D264" s="253">
        <f t="shared" si="45"/>
        <v>-12</v>
      </c>
      <c r="E264" s="32">
        <f t="shared" si="27"/>
        <v>1.44E-4</v>
      </c>
      <c r="F264" s="82">
        <f t="shared" si="46"/>
        <v>0</v>
      </c>
      <c r="G264" s="130">
        <f>G263</f>
        <v>148</v>
      </c>
      <c r="H264" s="250">
        <f t="shared" si="43"/>
        <v>0</v>
      </c>
      <c r="I264" s="247" t="s">
        <v>171</v>
      </c>
      <c r="N264" s="255"/>
      <c r="O264" s="255"/>
      <c r="P264" s="255"/>
    </row>
    <row r="265" spans="1:16" s="43" customFormat="1" ht="18" customHeight="1">
      <c r="A265" s="1"/>
      <c r="B265" s="48" t="s">
        <v>172</v>
      </c>
      <c r="C265" s="52"/>
      <c r="D265" s="50"/>
      <c r="E265" s="128"/>
      <c r="F265" s="50">
        <f>SUM(F259:F264)</f>
        <v>0</v>
      </c>
      <c r="G265" s="50"/>
      <c r="H265" s="52">
        <f>SUM(H259:H264)</f>
        <v>0</v>
      </c>
      <c r="I265" s="53">
        <f>ROUND(SUMPRODUCT(E259:E264*F259:F264),2)</f>
        <v>0</v>
      </c>
      <c r="N265" s="255"/>
      <c r="O265" s="255"/>
      <c r="P265" s="255"/>
    </row>
    <row r="266" spans="1:16" s="43" customFormat="1" ht="18" customHeight="1">
      <c r="A266" s="1"/>
      <c r="B266" s="124" t="str">
        <f>B264</f>
        <v>6单银Low-E+12A+6</v>
      </c>
      <c r="C266" s="133">
        <f t="shared" ref="C266:D268" si="47">D143</f>
        <v>-154</v>
      </c>
      <c r="D266" s="133">
        <f t="shared" si="47"/>
        <v>-154</v>
      </c>
      <c r="E266" s="32">
        <f t="shared" si="27"/>
        <v>2.3716000000000001E-2</v>
      </c>
      <c r="F266" s="134">
        <f>G143</f>
        <v>0</v>
      </c>
      <c r="G266" s="135">
        <f>G264</f>
        <v>148</v>
      </c>
      <c r="H266" s="134">
        <f>ROUND(E266*G266*F266,2)</f>
        <v>0</v>
      </c>
      <c r="I266" s="136" t="s">
        <v>173</v>
      </c>
      <c r="N266" s="255"/>
      <c r="O266" s="255"/>
      <c r="P266" s="255"/>
    </row>
    <row r="267" spans="1:16" s="43" customFormat="1" ht="18" customHeight="1">
      <c r="A267" s="1"/>
      <c r="B267" s="124" t="str">
        <f>B264</f>
        <v>6单银Low-E+12A+6</v>
      </c>
      <c r="C267" s="133">
        <f t="shared" si="47"/>
        <v>-154</v>
      </c>
      <c r="D267" s="133">
        <f t="shared" si="47"/>
        <v>-154</v>
      </c>
      <c r="E267" s="32">
        <f t="shared" si="27"/>
        <v>2.3716000000000001E-2</v>
      </c>
      <c r="F267" s="134">
        <f>G144</f>
        <v>0</v>
      </c>
      <c r="G267" s="135">
        <f>G266</f>
        <v>148</v>
      </c>
      <c r="H267" s="134">
        <f>ROUND(E267*G267*F267,2)</f>
        <v>0</v>
      </c>
      <c r="I267" s="136" t="s">
        <v>173</v>
      </c>
      <c r="N267" s="255"/>
      <c r="O267" s="255"/>
      <c r="P267" s="255"/>
    </row>
    <row r="268" spans="1:16" s="43" customFormat="1" ht="18" customHeight="1">
      <c r="A268" s="1"/>
      <c r="B268" s="124" t="str">
        <f>B267</f>
        <v>6单银Low-E+12A+6</v>
      </c>
      <c r="C268" s="133">
        <f t="shared" si="47"/>
        <v>-154</v>
      </c>
      <c r="D268" s="133">
        <f t="shared" si="47"/>
        <v>-154</v>
      </c>
      <c r="E268" s="32">
        <f t="shared" si="27"/>
        <v>2.3716000000000001E-2</v>
      </c>
      <c r="F268" s="134">
        <f>G145</f>
        <v>0</v>
      </c>
      <c r="G268" s="135">
        <f>G267</f>
        <v>148</v>
      </c>
      <c r="H268" s="134">
        <f>ROUND(E268*G268*F268,2)</f>
        <v>0</v>
      </c>
      <c r="I268" s="136" t="s">
        <v>173</v>
      </c>
      <c r="N268" s="255"/>
      <c r="O268" s="255"/>
      <c r="P268" s="255"/>
    </row>
    <row r="269" spans="1:16" s="43" customFormat="1" ht="18" customHeight="1">
      <c r="A269" s="1"/>
      <c r="B269" s="48" t="s">
        <v>174</v>
      </c>
      <c r="C269" s="52"/>
      <c r="D269" s="50"/>
      <c r="E269" s="128"/>
      <c r="F269" s="50">
        <f>SUM(F266:F268)</f>
        <v>0</v>
      </c>
      <c r="G269" s="50"/>
      <c r="H269" s="52">
        <f>SUM(H266:H268)</f>
        <v>0</v>
      </c>
      <c r="I269" s="53">
        <f>ROUND((E266*F266+E267*F267+E268*F268),2)</f>
        <v>0</v>
      </c>
      <c r="N269" s="255"/>
      <c r="O269" s="255"/>
      <c r="P269" s="255"/>
    </row>
    <row r="270" spans="1:16" s="43" customFormat="1" ht="18" customHeight="1">
      <c r="A270" s="1"/>
      <c r="B270" s="124" t="str">
        <f>B268</f>
        <v>6单银Low-E+12A+6</v>
      </c>
      <c r="C270" s="133">
        <f t="shared" ref="C270:D272" si="48">D150</f>
        <v>-160</v>
      </c>
      <c r="D270" s="133">
        <f t="shared" si="48"/>
        <v>-160</v>
      </c>
      <c r="E270" s="32">
        <f t="shared" si="27"/>
        <v>2.5600000000000001E-2</v>
      </c>
      <c r="F270" s="134">
        <f>G150</f>
        <v>0</v>
      </c>
      <c r="G270" s="135">
        <f>G268</f>
        <v>148</v>
      </c>
      <c r="H270" s="134">
        <f>ROUND(E270*G270*F270,2)</f>
        <v>0</v>
      </c>
      <c r="I270" s="136" t="s">
        <v>173</v>
      </c>
      <c r="N270" s="255"/>
      <c r="O270" s="255"/>
      <c r="P270" s="255"/>
    </row>
    <row r="271" spans="1:16" s="43" customFormat="1" ht="18" customHeight="1">
      <c r="A271" s="1"/>
      <c r="B271" s="124" t="str">
        <f>B270</f>
        <v>6单银Low-E+12A+6</v>
      </c>
      <c r="C271" s="133">
        <f t="shared" si="48"/>
        <v>-160</v>
      </c>
      <c r="D271" s="133">
        <f t="shared" si="48"/>
        <v>-160</v>
      </c>
      <c r="E271" s="32">
        <f t="shared" si="27"/>
        <v>2.5600000000000001E-2</v>
      </c>
      <c r="F271" s="134">
        <f>G151</f>
        <v>0</v>
      </c>
      <c r="G271" s="135">
        <f>G270</f>
        <v>148</v>
      </c>
      <c r="H271" s="134">
        <f>ROUND(E271*G271*F271,2)</f>
        <v>0</v>
      </c>
      <c r="I271" s="136" t="s">
        <v>173</v>
      </c>
      <c r="N271" s="255"/>
      <c r="O271" s="255"/>
      <c r="P271" s="255"/>
    </row>
    <row r="272" spans="1:16" s="43" customFormat="1" ht="18" customHeight="1">
      <c r="A272" s="1"/>
      <c r="B272" s="124" t="str">
        <f>B271</f>
        <v>6单银Low-E+12A+6</v>
      </c>
      <c r="C272" s="133">
        <f t="shared" si="48"/>
        <v>-160</v>
      </c>
      <c r="D272" s="133">
        <f t="shared" si="48"/>
        <v>-160</v>
      </c>
      <c r="E272" s="32">
        <f t="shared" si="27"/>
        <v>2.5600000000000001E-2</v>
      </c>
      <c r="F272" s="134">
        <f>G152</f>
        <v>0</v>
      </c>
      <c r="G272" s="135">
        <f>G271</f>
        <v>148</v>
      </c>
      <c r="H272" s="134">
        <f>ROUND(E272*G272*F272,2)</f>
        <v>0</v>
      </c>
      <c r="I272" s="136" t="s">
        <v>173</v>
      </c>
      <c r="N272" s="255"/>
      <c r="O272" s="255"/>
      <c r="P272" s="255"/>
    </row>
    <row r="273" spans="1:16" s="43" customFormat="1" ht="18" customHeight="1">
      <c r="A273" s="1"/>
      <c r="B273" s="48" t="s">
        <v>175</v>
      </c>
      <c r="C273" s="52"/>
      <c r="D273" s="50"/>
      <c r="E273" s="128"/>
      <c r="F273" s="50">
        <f>SUM(F270:F272)</f>
        <v>0</v>
      </c>
      <c r="G273" s="50"/>
      <c r="H273" s="52">
        <f>SUM(H270:H272)</f>
        <v>0</v>
      </c>
      <c r="I273" s="53">
        <f>ROUND((E270*F270+E271*F271+E272*F272),2)</f>
        <v>0</v>
      </c>
      <c r="N273" s="255"/>
      <c r="O273" s="255"/>
      <c r="P273" s="255"/>
    </row>
    <row r="274" spans="1:16" ht="18" customHeight="1">
      <c r="B274" s="124" t="str">
        <f>B272</f>
        <v>6单银Low-E+12A+6</v>
      </c>
      <c r="C274" s="133">
        <f t="shared" ref="C274:D279" si="49">D157-12</f>
        <v>-12</v>
      </c>
      <c r="D274" s="133">
        <f t="shared" si="49"/>
        <v>-12</v>
      </c>
      <c r="E274" s="32">
        <f t="shared" si="27"/>
        <v>1.44E-4</v>
      </c>
      <c r="F274" s="134">
        <f t="shared" ref="F274:F279" si="50">G157</f>
        <v>0</v>
      </c>
      <c r="G274" s="135">
        <f>G272</f>
        <v>148</v>
      </c>
      <c r="H274" s="134">
        <f t="shared" ref="H274:H279" si="51">ROUND(E274*G274*F274,2)</f>
        <v>0</v>
      </c>
      <c r="I274" s="136" t="s">
        <v>176</v>
      </c>
    </row>
    <row r="275" spans="1:16" ht="18" customHeight="1">
      <c r="B275" s="124" t="str">
        <f>B274</f>
        <v>6单银Low-E+12A+6</v>
      </c>
      <c r="C275" s="133">
        <f t="shared" si="49"/>
        <v>-12</v>
      </c>
      <c r="D275" s="133">
        <f t="shared" si="49"/>
        <v>-12</v>
      </c>
      <c r="E275" s="32">
        <f t="shared" si="27"/>
        <v>1.44E-4</v>
      </c>
      <c r="F275" s="134">
        <f t="shared" si="50"/>
        <v>0</v>
      </c>
      <c r="G275" s="135">
        <f>G274</f>
        <v>148</v>
      </c>
      <c r="H275" s="134">
        <f t="shared" si="51"/>
        <v>0</v>
      </c>
      <c r="I275" s="136" t="str">
        <f>I274</f>
        <v>门钢化中空玻璃</v>
      </c>
      <c r="K275" s="43" t="s">
        <v>177</v>
      </c>
    </row>
    <row r="276" spans="1:16" ht="18" customHeight="1">
      <c r="B276" s="124" t="str">
        <f>B275</f>
        <v>6单银Low-E+12A+6</v>
      </c>
      <c r="C276" s="133">
        <f t="shared" si="49"/>
        <v>-12</v>
      </c>
      <c r="D276" s="133">
        <f t="shared" si="49"/>
        <v>-12</v>
      </c>
      <c r="E276" s="32">
        <f t="shared" si="27"/>
        <v>1.44E-4</v>
      </c>
      <c r="F276" s="134">
        <f t="shared" si="50"/>
        <v>0</v>
      </c>
      <c r="G276" s="135">
        <f>G275</f>
        <v>148</v>
      </c>
      <c r="H276" s="134">
        <f t="shared" si="51"/>
        <v>0</v>
      </c>
      <c r="I276" s="136" t="str">
        <f>I275</f>
        <v>门钢化中空玻璃</v>
      </c>
    </row>
    <row r="277" spans="1:16" ht="18" customHeight="1">
      <c r="B277" s="124" t="str">
        <f>B276</f>
        <v>6单银Low-E+12A+6</v>
      </c>
      <c r="C277" s="133">
        <f t="shared" si="49"/>
        <v>-12</v>
      </c>
      <c r="D277" s="133">
        <f t="shared" si="49"/>
        <v>-12</v>
      </c>
      <c r="E277" s="32">
        <f t="shared" si="27"/>
        <v>1.44E-4</v>
      </c>
      <c r="F277" s="134">
        <f t="shared" si="50"/>
        <v>0</v>
      </c>
      <c r="G277" s="135">
        <f>G276</f>
        <v>148</v>
      </c>
      <c r="H277" s="134">
        <f t="shared" si="51"/>
        <v>0</v>
      </c>
      <c r="I277" s="136" t="str">
        <f>I276</f>
        <v>门钢化中空玻璃</v>
      </c>
    </row>
    <row r="278" spans="1:16" ht="18" customHeight="1">
      <c r="B278" s="124" t="str">
        <f>B277</f>
        <v>6单银Low-E+12A+6</v>
      </c>
      <c r="C278" s="133">
        <f t="shared" si="49"/>
        <v>-12</v>
      </c>
      <c r="D278" s="133">
        <f t="shared" si="49"/>
        <v>-12</v>
      </c>
      <c r="E278" s="32">
        <f t="shared" si="27"/>
        <v>1.44E-4</v>
      </c>
      <c r="F278" s="134">
        <f t="shared" si="50"/>
        <v>0</v>
      </c>
      <c r="G278" s="135">
        <f>G277</f>
        <v>148</v>
      </c>
      <c r="H278" s="134">
        <f t="shared" si="51"/>
        <v>0</v>
      </c>
      <c r="I278" s="136" t="str">
        <f>I277</f>
        <v>门钢化中空玻璃</v>
      </c>
    </row>
    <row r="279" spans="1:16" ht="18" customHeight="1">
      <c r="B279" s="124" t="str">
        <f>B278</f>
        <v>6单银Low-E+12A+6</v>
      </c>
      <c r="C279" s="133">
        <f t="shared" si="49"/>
        <v>-12</v>
      </c>
      <c r="D279" s="133">
        <f t="shared" si="49"/>
        <v>-12</v>
      </c>
      <c r="E279" s="32">
        <f t="shared" si="27"/>
        <v>1.44E-4</v>
      </c>
      <c r="F279" s="134">
        <f t="shared" si="50"/>
        <v>0</v>
      </c>
      <c r="G279" s="135">
        <f>G278</f>
        <v>148</v>
      </c>
      <c r="H279" s="134">
        <f t="shared" si="51"/>
        <v>0</v>
      </c>
      <c r="I279" s="136" t="str">
        <f>I278</f>
        <v>门钢化中空玻璃</v>
      </c>
    </row>
    <row r="280" spans="1:16" ht="18" customHeight="1">
      <c r="B280" s="48" t="s">
        <v>178</v>
      </c>
      <c r="C280" s="52"/>
      <c r="D280" s="50"/>
      <c r="E280" s="128"/>
      <c r="F280" s="50">
        <f>SUM(F274:F279)</f>
        <v>0</v>
      </c>
      <c r="G280" s="50"/>
      <c r="H280" s="52">
        <f>SUM(H274:H279)</f>
        <v>0</v>
      </c>
      <c r="I280" s="53">
        <f>ROUND(SUMPRODUCT(E274:E279*F274:F279),2)</f>
        <v>0</v>
      </c>
    </row>
    <row r="281" spans="1:16" ht="18" customHeight="1">
      <c r="B281" s="124" t="str">
        <f>材料价格!A10</f>
        <v>6单银Low-E+12A+6</v>
      </c>
      <c r="C281" s="133">
        <f>C252</f>
        <v>-12</v>
      </c>
      <c r="D281" s="133">
        <f>D252</f>
        <v>-12</v>
      </c>
      <c r="E281" s="32">
        <f t="shared" si="27"/>
        <v>1.44E-4</v>
      </c>
      <c r="F281" s="134"/>
      <c r="G281" s="137">
        <f>材料价格!B10</f>
        <v>148</v>
      </c>
      <c r="H281" s="134">
        <f>ROUND(E281*G281*F281,2)</f>
        <v>0</v>
      </c>
      <c r="I281" s="247" t="s">
        <v>179</v>
      </c>
    </row>
    <row r="282" spans="1:16" ht="18" customHeight="1">
      <c r="B282" s="124" t="str">
        <f>B281</f>
        <v>6单银Low-E+12A+6</v>
      </c>
      <c r="C282" s="133">
        <f>C253</f>
        <v>-12</v>
      </c>
      <c r="D282" s="133">
        <f>D253</f>
        <v>-12</v>
      </c>
      <c r="E282" s="32">
        <f t="shared" si="27"/>
        <v>1.44E-4</v>
      </c>
      <c r="F282" s="134"/>
      <c r="G282" s="135">
        <f>G281</f>
        <v>148</v>
      </c>
      <c r="H282" s="134">
        <f>ROUND(E282*G282*F282,2)</f>
        <v>0</v>
      </c>
      <c r="I282" s="247" t="s">
        <v>179</v>
      </c>
      <c r="J282" s="255"/>
      <c r="K282" s="255"/>
      <c r="L282" s="255"/>
      <c r="M282" s="255"/>
    </row>
    <row r="283" spans="1:16" ht="18" customHeight="1">
      <c r="B283" s="124" t="str">
        <f>B282</f>
        <v>6单银Low-E+12A+6</v>
      </c>
      <c r="C283" s="133">
        <f>D84-12</f>
        <v>-12</v>
      </c>
      <c r="D283" s="133">
        <f>E84-12</f>
        <v>-12</v>
      </c>
      <c r="E283" s="32">
        <f t="shared" si="27"/>
        <v>1.44E-4</v>
      </c>
      <c r="F283" s="134">
        <f>G84</f>
        <v>0</v>
      </c>
      <c r="G283" s="135">
        <f>G282</f>
        <v>148</v>
      </c>
      <c r="H283" s="134">
        <f>ROUND(E283*G283*F283,2)</f>
        <v>0</v>
      </c>
      <c r="I283" s="247" t="s">
        <v>179</v>
      </c>
      <c r="J283" s="255"/>
      <c r="K283" s="255"/>
      <c r="L283" s="255"/>
      <c r="M283" s="255"/>
    </row>
    <row r="284" spans="1:16" ht="18" customHeight="1">
      <c r="B284" s="124" t="str">
        <f>B283</f>
        <v>6单银Low-E+12A+6</v>
      </c>
      <c r="C284" s="133">
        <f>D85-12</f>
        <v>-12</v>
      </c>
      <c r="D284" s="133">
        <f>E85-12</f>
        <v>-12</v>
      </c>
      <c r="E284" s="32">
        <f t="shared" si="27"/>
        <v>1.44E-4</v>
      </c>
      <c r="F284" s="134">
        <f>G85</f>
        <v>0</v>
      </c>
      <c r="G284" s="135">
        <f>G283</f>
        <v>148</v>
      </c>
      <c r="H284" s="134">
        <f>ROUND(E284*G284*F284,2)</f>
        <v>0</v>
      </c>
      <c r="I284" s="247" t="s">
        <v>179</v>
      </c>
      <c r="J284" s="255"/>
      <c r="K284" s="255"/>
      <c r="L284" s="255"/>
      <c r="M284" s="255"/>
    </row>
    <row r="285" spans="1:16" ht="18" customHeight="1">
      <c r="B285" s="48" t="s">
        <v>180</v>
      </c>
      <c r="C285" s="52"/>
      <c r="D285" s="50"/>
      <c r="E285" s="50"/>
      <c r="F285" s="50">
        <f>SUM(F281:F284)</f>
        <v>0</v>
      </c>
      <c r="G285" s="50"/>
      <c r="H285" s="52">
        <f>SUM(H281:H284)</f>
        <v>0</v>
      </c>
      <c r="I285" s="53">
        <f>ROUND((E281*F281+E282*F282+E283*F283+E284*F284),2)</f>
        <v>0</v>
      </c>
      <c r="J285" s="255"/>
      <c r="K285" s="255"/>
      <c r="L285" s="255"/>
      <c r="M285" s="255"/>
    </row>
    <row r="286" spans="1:16" ht="18" customHeight="1">
      <c r="B286" s="124" t="str">
        <f>材料价格!A11</f>
        <v>8单银Low-E+12Ar+8+12A+8mm</v>
      </c>
      <c r="C286" s="133"/>
      <c r="D286" s="133"/>
      <c r="E286" s="32">
        <f>C286*D286/10^6</f>
        <v>0</v>
      </c>
      <c r="F286" s="134"/>
      <c r="G286" s="137">
        <f>材料价格!B11</f>
        <v>312</v>
      </c>
      <c r="H286" s="134">
        <f>ROUND(E286*G286*F286,2)</f>
        <v>0</v>
      </c>
      <c r="I286" s="247" t="s">
        <v>181</v>
      </c>
      <c r="J286" s="255"/>
      <c r="K286" s="255"/>
      <c r="L286" s="255"/>
      <c r="M286" s="255"/>
    </row>
    <row r="287" spans="1:16" ht="18" customHeight="1">
      <c r="B287" s="124" t="str">
        <f>B286</f>
        <v>8单银Low-E+12Ar+8+12A+8mm</v>
      </c>
      <c r="C287" s="133"/>
      <c r="D287" s="133"/>
      <c r="E287" s="32">
        <f>C287*D287/10^6</f>
        <v>0</v>
      </c>
      <c r="F287" s="134"/>
      <c r="G287" s="135">
        <f>G286</f>
        <v>312</v>
      </c>
      <c r="H287" s="134">
        <f>ROUND(E287*G287*F287,2)</f>
        <v>0</v>
      </c>
      <c r="I287" s="247" t="s">
        <v>181</v>
      </c>
      <c r="J287" s="255"/>
      <c r="K287" s="255"/>
      <c r="L287" s="255"/>
      <c r="M287" s="255"/>
    </row>
    <row r="288" spans="1:16" ht="18" customHeight="1">
      <c r="B288" s="138" t="str">
        <f>材料价格!A12</f>
        <v>10单银Low-E+12Ar+10+12A+10mm</v>
      </c>
      <c r="C288" s="139"/>
      <c r="D288" s="139"/>
      <c r="E288" s="140">
        <f>C288*D288/10^6</f>
        <v>0</v>
      </c>
      <c r="F288" s="141"/>
      <c r="G288" s="142">
        <f>材料价格!B12</f>
        <v>395</v>
      </c>
      <c r="H288" s="141">
        <f>ROUND(E288*G288*F288,2)</f>
        <v>0</v>
      </c>
      <c r="I288" s="143" t="s">
        <v>181</v>
      </c>
      <c r="J288" s="255"/>
      <c r="K288" s="255"/>
      <c r="L288" s="255"/>
      <c r="M288" s="255"/>
    </row>
    <row r="289" spans="2:13" ht="18" customHeight="1">
      <c r="B289" s="138" t="str">
        <f>B288</f>
        <v>10单银Low-E+12Ar+10+12A+10mm</v>
      </c>
      <c r="C289" s="139"/>
      <c r="D289" s="139"/>
      <c r="E289" s="140">
        <f>C289*D289/10^6</f>
        <v>0</v>
      </c>
      <c r="F289" s="141"/>
      <c r="G289" s="142">
        <f>G288</f>
        <v>395</v>
      </c>
      <c r="H289" s="141">
        <f>ROUND(E289*G289*F289,2)</f>
        <v>0</v>
      </c>
      <c r="I289" s="143" t="s">
        <v>181</v>
      </c>
      <c r="J289" s="255"/>
      <c r="K289" s="255"/>
      <c r="L289" s="255"/>
      <c r="M289" s="255"/>
    </row>
    <row r="290" spans="2:13" ht="18" customHeight="1">
      <c r="B290" s="48" t="s">
        <v>180</v>
      </c>
      <c r="C290" s="52"/>
      <c r="D290" s="50"/>
      <c r="E290" s="50"/>
      <c r="F290" s="50">
        <f>SUM(F286:F289)</f>
        <v>0</v>
      </c>
      <c r="G290" s="50"/>
      <c r="H290" s="52">
        <f>SUM(H286:H289)</f>
        <v>0</v>
      </c>
      <c r="I290" s="53">
        <f>ROUND((E286*F286+E287*F287+E288*F288+E289*F289),2)</f>
        <v>0</v>
      </c>
      <c r="J290" s="255"/>
      <c r="K290" s="255"/>
      <c r="L290" s="255"/>
      <c r="M290" s="255"/>
    </row>
    <row r="291" spans="2:13" ht="18" customHeight="1">
      <c r="B291" s="642" t="s">
        <v>182</v>
      </c>
      <c r="C291" s="144" t="s">
        <v>183</v>
      </c>
      <c r="D291" s="144" cm="1">
        <f t="array" ref="D291">SUMPRODUCT(E225:E232*F225:F232)+SUMPRODUCT(E243:E249*F243:F249)</f>
        <v>7.6741200000000003</v>
      </c>
      <c r="E291" s="144" t="s">
        <v>184</v>
      </c>
      <c r="F291" s="145">
        <f>F233+F250</f>
        <v>9</v>
      </c>
      <c r="G291" s="145" t="s">
        <v>185</v>
      </c>
      <c r="H291" s="144">
        <f>H233+H250</f>
        <v>1662.3000000000002</v>
      </c>
      <c r="I291" s="146">
        <f>H291/F366</f>
        <v>184.27207928255498</v>
      </c>
      <c r="J291" s="255"/>
      <c r="K291" s="255"/>
      <c r="L291" s="255"/>
      <c r="M291" s="255"/>
    </row>
    <row r="292" spans="2:13" ht="18" customHeight="1">
      <c r="B292" s="642"/>
      <c r="C292" s="144" t="s">
        <v>186</v>
      </c>
      <c r="D292" s="144">
        <f>SUMPRODUCT(E234:E241*F234:F241)+SUMPRODUCT(E251:E257*F251:F257)+SUMPRODUCT(E259:E264*F259:F264)+SUMPRODUCT(E266:E268*F266:F268)+SUMPRODUCT(E270:E272*F270:F272)+SUMPRODUCT(E281:E284*F281:F284)+SUMPRODUCT(E286:E289*F286:F289)+SUMPRODUCT(E274:E279*F274:F279)</f>
        <v>0</v>
      </c>
      <c r="E292" s="144" t="s">
        <v>186</v>
      </c>
      <c r="F292" s="145">
        <f>F242+F258+F265+F269+F273+F285+F290+F280</f>
        <v>0</v>
      </c>
      <c r="G292" s="145" t="s">
        <v>185</v>
      </c>
      <c r="H292" s="144">
        <f>H242+H258+H265+H269+H273+H280+H285+H290</f>
        <v>0</v>
      </c>
      <c r="I292" s="146">
        <f>H292/F366</f>
        <v>0</v>
      </c>
      <c r="J292" s="255"/>
      <c r="K292" s="255"/>
      <c r="L292" s="255"/>
      <c r="M292" s="255"/>
    </row>
    <row r="293" spans="2:13" ht="18" customHeight="1">
      <c r="B293" s="23" t="s">
        <v>187</v>
      </c>
      <c r="C293" s="252" t="s">
        <v>188</v>
      </c>
      <c r="D293" s="68" t="s">
        <v>189</v>
      </c>
      <c r="E293" s="252" t="s">
        <v>8</v>
      </c>
      <c r="F293" s="252" t="s">
        <v>190</v>
      </c>
      <c r="G293" s="252" t="s">
        <v>191</v>
      </c>
      <c r="H293" s="252" t="s">
        <v>160</v>
      </c>
      <c r="I293" s="25" t="s">
        <v>1</v>
      </c>
      <c r="J293" s="255"/>
      <c r="K293" s="255"/>
      <c r="L293" s="255"/>
      <c r="M293" s="255"/>
    </row>
    <row r="294" spans="2:13" ht="18" customHeight="1">
      <c r="B294" s="629" t="s">
        <v>192</v>
      </c>
      <c r="C294" s="253">
        <f>D26</f>
        <v>0</v>
      </c>
      <c r="D294" s="250"/>
      <c r="E294" s="250"/>
      <c r="F294" s="250" t="s">
        <v>193</v>
      </c>
      <c r="G294" s="108">
        <f>材料价格!B14</f>
        <v>153</v>
      </c>
      <c r="H294" s="147">
        <f>E294*G294</f>
        <v>0</v>
      </c>
      <c r="I294" s="632" t="s">
        <v>194</v>
      </c>
      <c r="J294" s="255"/>
      <c r="K294" s="255"/>
      <c r="L294" s="255"/>
      <c r="M294" s="255"/>
    </row>
    <row r="295" spans="2:13" ht="18" customHeight="1">
      <c r="B295" s="629"/>
      <c r="C295" s="253"/>
      <c r="D295" s="250"/>
      <c r="E295" s="250"/>
      <c r="F295" s="250"/>
      <c r="G295" s="108"/>
      <c r="H295" s="147">
        <f t="shared" ref="H295:H303" si="52">E295*G295</f>
        <v>0</v>
      </c>
      <c r="I295" s="633"/>
      <c r="J295" s="255"/>
      <c r="K295" s="255"/>
      <c r="L295" s="255"/>
      <c r="M295" s="255"/>
    </row>
    <row r="296" spans="2:13" ht="18" customHeight="1">
      <c r="B296" s="629" t="s">
        <v>195</v>
      </c>
      <c r="C296" s="253"/>
      <c r="D296" s="148"/>
      <c r="E296" s="250"/>
      <c r="F296" s="250" t="str">
        <f>F294</f>
        <v>坚朗</v>
      </c>
      <c r="G296" s="108">
        <f>材料价格!B15</f>
        <v>80</v>
      </c>
      <c r="H296" s="147">
        <f t="shared" si="52"/>
        <v>0</v>
      </c>
      <c r="I296" s="632" t="s">
        <v>196</v>
      </c>
      <c r="J296" s="255"/>
      <c r="K296" s="255"/>
      <c r="L296" s="255"/>
      <c r="M296" s="255"/>
    </row>
    <row r="297" spans="2:13" ht="18" customHeight="1">
      <c r="B297" s="629"/>
      <c r="C297" s="253"/>
      <c r="D297" s="148"/>
      <c r="E297" s="250"/>
      <c r="F297" s="250"/>
      <c r="G297" s="108"/>
      <c r="H297" s="147">
        <f t="shared" si="52"/>
        <v>0</v>
      </c>
      <c r="I297" s="633"/>
      <c r="J297" s="255"/>
      <c r="K297" s="255"/>
      <c r="L297" s="255"/>
      <c r="M297" s="255"/>
    </row>
    <row r="298" spans="2:13" ht="18" customHeight="1">
      <c r="B298" s="629" t="s">
        <v>197</v>
      </c>
      <c r="C298" s="253"/>
      <c r="D298" s="148"/>
      <c r="E298" s="250">
        <v>2</v>
      </c>
      <c r="F298" s="250" t="str">
        <f>F296</f>
        <v>坚朗</v>
      </c>
      <c r="G298" s="108">
        <f>材料价格!B16</f>
        <v>88</v>
      </c>
      <c r="H298" s="147">
        <f t="shared" si="52"/>
        <v>176</v>
      </c>
      <c r="I298" s="633"/>
      <c r="J298" s="255"/>
      <c r="K298" s="255"/>
      <c r="L298" s="255"/>
      <c r="M298" s="255"/>
    </row>
    <row r="299" spans="2:13" ht="18" customHeight="1">
      <c r="B299" s="629"/>
      <c r="C299" s="253"/>
      <c r="D299" s="148"/>
      <c r="E299" s="250"/>
      <c r="F299" s="250"/>
      <c r="G299" s="108"/>
      <c r="H299" s="147">
        <f t="shared" si="52"/>
        <v>0</v>
      </c>
      <c r="I299" s="633"/>
      <c r="J299" s="255"/>
      <c r="K299" s="255"/>
      <c r="L299" s="255"/>
      <c r="M299" s="255"/>
    </row>
    <row r="300" spans="2:13" ht="18" customHeight="1">
      <c r="B300" s="629" t="s">
        <v>198</v>
      </c>
      <c r="C300" s="253">
        <f>D35</f>
        <v>600</v>
      </c>
      <c r="D300" s="148"/>
      <c r="E300" s="250"/>
      <c r="F300" s="250" t="str">
        <f>F298</f>
        <v>坚朗</v>
      </c>
      <c r="G300" s="108">
        <f>材料价格!B17</f>
        <v>115</v>
      </c>
      <c r="H300" s="147">
        <f t="shared" si="52"/>
        <v>0</v>
      </c>
      <c r="I300" s="149"/>
      <c r="J300" s="255"/>
      <c r="K300" s="255"/>
      <c r="L300" s="255"/>
      <c r="M300" s="255"/>
    </row>
    <row r="301" spans="2:13" ht="18" customHeight="1">
      <c r="B301" s="629"/>
      <c r="C301" s="253"/>
      <c r="D301" s="148"/>
      <c r="E301" s="250"/>
      <c r="F301" s="250"/>
      <c r="G301" s="108"/>
      <c r="H301" s="147">
        <f t="shared" si="52"/>
        <v>0</v>
      </c>
      <c r="I301" s="149"/>
      <c r="J301" s="255"/>
      <c r="K301" s="255"/>
      <c r="L301" s="255"/>
      <c r="M301" s="255"/>
    </row>
    <row r="302" spans="2:13" ht="18" customHeight="1">
      <c r="B302" s="629" t="s">
        <v>199</v>
      </c>
      <c r="C302" s="250" t="s">
        <v>200</v>
      </c>
      <c r="D302" s="148"/>
      <c r="E302" s="250"/>
      <c r="F302" s="250" t="str">
        <f>F300</f>
        <v>坚朗</v>
      </c>
      <c r="G302" s="108">
        <f>材料价格!B19</f>
        <v>230</v>
      </c>
      <c r="H302" s="147">
        <f t="shared" si="52"/>
        <v>0</v>
      </c>
      <c r="I302" s="247"/>
      <c r="J302" s="255"/>
      <c r="K302" s="255"/>
      <c r="L302" s="255"/>
      <c r="M302" s="255"/>
    </row>
    <row r="303" spans="2:13" ht="18" customHeight="1">
      <c r="B303" s="629"/>
      <c r="C303" s="250" t="s">
        <v>201</v>
      </c>
      <c r="D303" s="148"/>
      <c r="E303" s="250"/>
      <c r="F303" s="250" t="str">
        <f>F302</f>
        <v>坚朗</v>
      </c>
      <c r="G303" s="108">
        <f>材料价格!B20</f>
        <v>335</v>
      </c>
      <c r="H303" s="147">
        <f t="shared" si="52"/>
        <v>0</v>
      </c>
      <c r="I303" s="247"/>
      <c r="J303" s="255"/>
      <c r="K303" s="255"/>
      <c r="L303" s="255"/>
      <c r="M303" s="255"/>
    </row>
    <row r="304" spans="2:13" ht="18" customHeight="1">
      <c r="B304" s="150" t="s">
        <v>202</v>
      </c>
      <c r="C304" s="50"/>
      <c r="D304" s="50"/>
      <c r="E304" s="50">
        <f>SUM(E294:E303)</f>
        <v>2</v>
      </c>
      <c r="F304" s="50"/>
      <c r="G304" s="166"/>
      <c r="H304" s="151">
        <f>SUM(H294:H303)</f>
        <v>176</v>
      </c>
      <c r="I304" s="152"/>
      <c r="J304" s="42"/>
    </row>
    <row r="305" spans="1:16" ht="18" customHeight="1">
      <c r="B305" s="246" t="s">
        <v>300</v>
      </c>
      <c r="C305" s="250"/>
      <c r="D305" s="148"/>
      <c r="E305" s="253">
        <f>E294+E296</f>
        <v>0</v>
      </c>
      <c r="F305" s="148"/>
      <c r="G305" s="148">
        <f>材料价格!B27</f>
        <v>0</v>
      </c>
      <c r="H305" s="154">
        <f>E305*G305</f>
        <v>0</v>
      </c>
      <c r="I305" s="247" t="s">
        <v>203</v>
      </c>
    </row>
    <row r="306" spans="1:16" s="16" customFormat="1" ht="18" customHeight="1">
      <c r="A306" s="1"/>
      <c r="B306" s="246" t="s">
        <v>204</v>
      </c>
      <c r="C306" s="250"/>
      <c r="D306" s="148"/>
      <c r="E306" s="253">
        <f>E298+E299+E300+E301</f>
        <v>2</v>
      </c>
      <c r="F306" s="148"/>
      <c r="G306" s="148">
        <f>材料价格!B28</f>
        <v>118</v>
      </c>
      <c r="H306" s="154">
        <f>E306*G306</f>
        <v>236</v>
      </c>
      <c r="I306" s="247" t="s">
        <v>205</v>
      </c>
      <c r="J306" s="43"/>
      <c r="K306" s="43"/>
      <c r="L306" s="43"/>
      <c r="M306" s="43"/>
      <c r="N306" s="255"/>
      <c r="O306" s="255"/>
      <c r="P306" s="255"/>
    </row>
    <row r="307" spans="1:16" s="16" customFormat="1" ht="18" customHeight="1">
      <c r="A307" s="1"/>
      <c r="B307" s="246" t="s">
        <v>206</v>
      </c>
      <c r="C307" s="250"/>
      <c r="D307" s="148"/>
      <c r="E307" s="253"/>
      <c r="F307" s="148"/>
      <c r="G307" s="148"/>
      <c r="H307" s="154">
        <f>E307*G307</f>
        <v>0</v>
      </c>
      <c r="I307" s="247" t="s">
        <v>207</v>
      </c>
      <c r="J307" s="43"/>
      <c r="K307" s="43"/>
      <c r="L307" s="43"/>
      <c r="M307" s="43"/>
      <c r="N307" s="255"/>
      <c r="O307" s="255"/>
      <c r="P307" s="255"/>
    </row>
    <row r="308" spans="1:16" s="16" customFormat="1" ht="18" customHeight="1">
      <c r="A308" s="1"/>
      <c r="B308" s="150" t="s">
        <v>208</v>
      </c>
      <c r="C308" s="50"/>
      <c r="D308" s="50"/>
      <c r="E308" s="100">
        <f>SUM(E305:E307)</f>
        <v>2</v>
      </c>
      <c r="F308" s="50"/>
      <c r="G308" s="166"/>
      <c r="H308" s="155">
        <f>SUM(H305:H307)</f>
        <v>236</v>
      </c>
      <c r="I308" s="152"/>
      <c r="J308" s="43"/>
      <c r="K308" s="43"/>
      <c r="L308" s="43"/>
      <c r="M308" s="43"/>
      <c r="N308" s="255"/>
      <c r="O308" s="255"/>
      <c r="P308" s="255"/>
    </row>
    <row r="309" spans="1:16" s="16" customFormat="1" ht="18" customHeight="1">
      <c r="A309" s="1"/>
      <c r="B309" s="156" t="s">
        <v>209</v>
      </c>
      <c r="C309" s="157">
        <f>ROUND(IF(D4&lt;=200,4,0)+IF(D4&gt;200,(D4/200+1))+IF(E4&lt;=200,4,0)+IF(E4&gt;200,(E4/200+1)),0)</f>
        <v>33</v>
      </c>
      <c r="D309" s="148"/>
      <c r="E309" s="148"/>
      <c r="F309" s="148"/>
      <c r="G309" s="158">
        <v>0.5</v>
      </c>
      <c r="H309" s="159">
        <f>ROUND(C309*G309,2)</f>
        <v>16.5</v>
      </c>
      <c r="I309" s="247" t="s">
        <v>210</v>
      </c>
      <c r="J309" s="43"/>
      <c r="K309" s="43"/>
      <c r="L309" s="43"/>
      <c r="M309" s="43"/>
      <c r="N309" s="255"/>
      <c r="O309" s="255"/>
      <c r="P309" s="255"/>
    </row>
    <row r="310" spans="1:16" s="16" customFormat="1" ht="18" customHeight="1">
      <c r="A310" s="1"/>
      <c r="B310" s="156" t="s">
        <v>211</v>
      </c>
      <c r="C310" s="157">
        <f>C309*2</f>
        <v>66</v>
      </c>
      <c r="D310" s="148">
        <f>D309*2</f>
        <v>0</v>
      </c>
      <c r="E310" s="148"/>
      <c r="F310" s="148"/>
      <c r="G310" s="158">
        <v>0.3</v>
      </c>
      <c r="H310" s="159">
        <f>ROUND(C310*G310,2)</f>
        <v>19.8</v>
      </c>
      <c r="I310" s="247" t="s">
        <v>212</v>
      </c>
      <c r="J310" s="43"/>
      <c r="K310" s="43"/>
      <c r="L310" s="255"/>
      <c r="M310" s="255"/>
      <c r="N310" s="255"/>
      <c r="O310" s="255"/>
      <c r="P310" s="255"/>
    </row>
    <row r="311" spans="1:16" s="16" customFormat="1" ht="18" customHeight="1">
      <c r="A311" s="1"/>
      <c r="B311" s="160" t="s">
        <v>213</v>
      </c>
      <c r="C311" s="161">
        <f>F6</f>
        <v>8.9603999999999999</v>
      </c>
      <c r="D311" s="162"/>
      <c r="E311" s="162"/>
      <c r="F311" s="162"/>
      <c r="G311" s="163">
        <v>5</v>
      </c>
      <c r="H311" s="159">
        <f>ROUND(C311*G311,2)</f>
        <v>44.8</v>
      </c>
      <c r="I311" s="247"/>
      <c r="J311" s="43"/>
      <c r="K311" s="43"/>
      <c r="L311" s="255"/>
      <c r="M311" s="255"/>
      <c r="N311" s="255"/>
      <c r="O311" s="255"/>
      <c r="P311" s="255"/>
    </row>
    <row r="312" spans="1:16" s="16" customFormat="1" ht="18" customHeight="1">
      <c r="A312" s="1"/>
      <c r="B312" s="160" t="s">
        <v>214</v>
      </c>
      <c r="C312" s="161"/>
      <c r="D312" s="162"/>
      <c r="E312" s="162"/>
      <c r="F312" s="162"/>
      <c r="G312" s="163"/>
      <c r="H312" s="159">
        <f>ROUND(C312*G312,2)</f>
        <v>0</v>
      </c>
      <c r="I312" s="247"/>
      <c r="J312" s="43"/>
      <c r="K312" s="43"/>
      <c r="L312" s="255"/>
      <c r="M312" s="255"/>
      <c r="N312" s="255"/>
      <c r="O312" s="255"/>
      <c r="P312" s="255"/>
    </row>
    <row r="313" spans="1:16" s="16" customFormat="1" ht="18" customHeight="1">
      <c r="A313" s="1"/>
      <c r="B313" s="164" t="s">
        <v>397</v>
      </c>
      <c r="C313" s="161">
        <f>D291+D292</f>
        <v>7.6741200000000003</v>
      </c>
      <c r="D313" s="162"/>
      <c r="E313" s="162"/>
      <c r="F313" s="162"/>
      <c r="G313" s="163">
        <f>10+5</f>
        <v>15</v>
      </c>
      <c r="H313" s="159">
        <f>ROUND(C313*G313,2)</f>
        <v>115.11</v>
      </c>
      <c r="I313" s="247"/>
      <c r="J313" s="43"/>
      <c r="K313" s="43"/>
      <c r="L313" s="255"/>
      <c r="M313" s="255"/>
      <c r="N313" s="255"/>
      <c r="O313" s="255"/>
      <c r="P313" s="255"/>
    </row>
    <row r="314" spans="1:16" s="16" customFormat="1" ht="18" customHeight="1">
      <c r="A314" s="1"/>
      <c r="B314" s="150" t="s">
        <v>215</v>
      </c>
      <c r="C314" s="165"/>
      <c r="D314" s="50"/>
      <c r="E314" s="50"/>
      <c r="F314" s="50"/>
      <c r="G314" s="166"/>
      <c r="H314" s="155">
        <f>SUM(H309:H313)</f>
        <v>196.20999999999998</v>
      </c>
      <c r="I314" s="152"/>
      <c r="J314" s="43"/>
      <c r="K314" s="43"/>
      <c r="L314" s="255"/>
      <c r="M314" s="255"/>
      <c r="N314" s="255"/>
      <c r="O314" s="255"/>
      <c r="P314" s="255"/>
    </row>
    <row r="315" spans="1:16" s="16" customFormat="1" ht="18" customHeight="1">
      <c r="A315" s="1"/>
      <c r="B315" s="156" t="s">
        <v>216</v>
      </c>
      <c r="C315" s="167">
        <f>E203+E205+E207+I203+I205+E209+I207</f>
        <v>24</v>
      </c>
      <c r="D315" s="148"/>
      <c r="E315" s="148"/>
      <c r="F315" s="148"/>
      <c r="G315" s="168">
        <v>1.9</v>
      </c>
      <c r="H315" s="154">
        <f t="shared" ref="H315:H318" si="53">ROUND(C315*G315,2)</f>
        <v>45.6</v>
      </c>
      <c r="I315" s="224" t="s">
        <v>340</v>
      </c>
      <c r="J315" s="255"/>
      <c r="K315" s="43"/>
      <c r="L315" s="255"/>
      <c r="M315" s="255"/>
      <c r="N315" s="255"/>
      <c r="O315" s="255"/>
      <c r="P315" s="255"/>
    </row>
    <row r="316" spans="1:16" s="16" customFormat="1" ht="18" customHeight="1">
      <c r="A316" s="1"/>
      <c r="B316" s="156" t="s">
        <v>217</v>
      </c>
      <c r="C316" s="167">
        <f>ROUND((D4+E4)*2/1000,2)</f>
        <v>12.4</v>
      </c>
      <c r="D316" s="148"/>
      <c r="E316" s="238">
        <v>4</v>
      </c>
      <c r="F316" s="235">
        <f>材料价格!B25</f>
        <v>8.52</v>
      </c>
      <c r="G316" s="168">
        <f t="shared" ref="G316:G321" si="54">F316/E316</f>
        <v>2.13</v>
      </c>
      <c r="H316" s="154">
        <f t="shared" si="53"/>
        <v>26.41</v>
      </c>
      <c r="I316" s="169" t="s">
        <v>218</v>
      </c>
      <c r="J316" s="255"/>
      <c r="K316" s="43"/>
      <c r="L316" s="255"/>
      <c r="M316" s="255"/>
      <c r="N316" s="255"/>
      <c r="O316" s="255"/>
      <c r="P316" s="255"/>
    </row>
    <row r="317" spans="1:16" s="16" customFormat="1" ht="18" customHeight="1">
      <c r="A317" s="1"/>
      <c r="B317" s="156" t="s">
        <v>219</v>
      </c>
      <c r="C317" s="167">
        <f>C316</f>
        <v>12.4</v>
      </c>
      <c r="D317" s="148"/>
      <c r="E317" s="238">
        <v>3</v>
      </c>
      <c r="F317" s="235">
        <f>F316</f>
        <v>8.52</v>
      </c>
      <c r="G317" s="168">
        <f t="shared" si="54"/>
        <v>2.84</v>
      </c>
      <c r="H317" s="154">
        <f t="shared" si="53"/>
        <v>35.22</v>
      </c>
      <c r="I317" s="169" t="s">
        <v>220</v>
      </c>
      <c r="J317" s="255"/>
      <c r="K317" s="43"/>
      <c r="L317" s="255"/>
      <c r="M317" s="255"/>
      <c r="N317" s="255"/>
      <c r="O317" s="255"/>
      <c r="P317" s="255"/>
    </row>
    <row r="318" spans="1:16" s="16" customFormat="1" ht="18" customHeight="1">
      <c r="A318" s="1"/>
      <c r="B318" s="156" t="s">
        <v>221</v>
      </c>
      <c r="C318" s="167">
        <f>C316</f>
        <v>12.4</v>
      </c>
      <c r="D318" s="148"/>
      <c r="E318" s="238">
        <v>6.5</v>
      </c>
      <c r="F318" s="235">
        <f>材料价格!B26</f>
        <v>23</v>
      </c>
      <c r="G318" s="168">
        <f t="shared" si="54"/>
        <v>3.5384615384615383</v>
      </c>
      <c r="H318" s="154">
        <f t="shared" si="53"/>
        <v>43.88</v>
      </c>
      <c r="I318" s="224" t="s">
        <v>222</v>
      </c>
      <c r="J318" s="255"/>
      <c r="K318" s="43"/>
      <c r="L318" s="255"/>
      <c r="M318" s="255"/>
      <c r="N318" s="255"/>
      <c r="O318" s="255"/>
      <c r="P318" s="255"/>
    </row>
    <row r="319" spans="1:16" s="16" customFormat="1" ht="18" customHeight="1">
      <c r="A319" s="1"/>
      <c r="B319" s="156" t="s">
        <v>341</v>
      </c>
      <c r="C319" s="167">
        <f>ROUND((C97+C104+C88+C146+C153+C163)*1,2)</f>
        <v>32.700000000000003</v>
      </c>
      <c r="D319" s="77">
        <v>1</v>
      </c>
      <c r="E319" s="238">
        <f>10</f>
        <v>10</v>
      </c>
      <c r="F319" s="235">
        <f>F317</f>
        <v>8.52</v>
      </c>
      <c r="G319" s="168">
        <f>F319/E319</f>
        <v>0.85199999999999998</v>
      </c>
      <c r="H319" s="154">
        <f>ROUND(C319*G319,2)</f>
        <v>27.86</v>
      </c>
      <c r="I319" s="247" t="s">
        <v>223</v>
      </c>
      <c r="J319" s="255"/>
      <c r="K319" s="43"/>
      <c r="L319" s="255"/>
      <c r="M319" s="255"/>
      <c r="N319" s="255"/>
      <c r="O319" s="255"/>
      <c r="P319" s="255"/>
    </row>
    <row r="320" spans="1:16" s="16" customFormat="1" ht="18" customHeight="1">
      <c r="A320" s="1"/>
      <c r="B320" s="156" t="s">
        <v>342</v>
      </c>
      <c r="C320" s="167">
        <f>C319</f>
        <v>32.700000000000003</v>
      </c>
      <c r="D320" s="77">
        <v>1</v>
      </c>
      <c r="E320" s="238">
        <v>6</v>
      </c>
      <c r="F320" s="235">
        <f>F319</f>
        <v>8.52</v>
      </c>
      <c r="G320" s="168">
        <f t="shared" si="54"/>
        <v>1.42</v>
      </c>
      <c r="H320" s="154">
        <f>ROUND(C320*G320,2)</f>
        <v>46.43</v>
      </c>
      <c r="I320" s="247" t="s">
        <v>224</v>
      </c>
      <c r="J320" s="255"/>
      <c r="K320" s="170"/>
      <c r="L320" s="170"/>
      <c r="M320" s="170"/>
      <c r="N320" s="170"/>
      <c r="O320" s="170"/>
      <c r="P320" s="170"/>
    </row>
    <row r="321" spans="1:16" s="16" customFormat="1" ht="18" customHeight="1">
      <c r="A321" s="1"/>
      <c r="B321" s="156" t="s">
        <v>225</v>
      </c>
      <c r="C321" s="167">
        <f>C334*D334+C324*D324+C327*D327</f>
        <v>8.5240000000000009</v>
      </c>
      <c r="D321" s="77">
        <v>1</v>
      </c>
      <c r="E321" s="238">
        <f>10</f>
        <v>10</v>
      </c>
      <c r="F321" s="235">
        <f>F317</f>
        <v>8.52</v>
      </c>
      <c r="G321" s="168">
        <f t="shared" si="54"/>
        <v>0.85199999999999998</v>
      </c>
      <c r="H321" s="154">
        <f>ROUND(C321*G321,2)</f>
        <v>7.26</v>
      </c>
      <c r="I321" s="247" t="s">
        <v>226</v>
      </c>
      <c r="J321" s="255"/>
      <c r="K321" s="170"/>
      <c r="L321" s="170"/>
      <c r="M321" s="170"/>
      <c r="N321" s="170"/>
      <c r="O321" s="170"/>
      <c r="P321" s="170"/>
    </row>
    <row r="322" spans="1:16" s="16" customFormat="1" ht="18" customHeight="1">
      <c r="A322" s="1"/>
      <c r="B322" s="150" t="s">
        <v>227</v>
      </c>
      <c r="C322" s="165"/>
      <c r="D322" s="50"/>
      <c r="E322" s="50"/>
      <c r="F322" s="50"/>
      <c r="G322" s="166" t="s">
        <v>396</v>
      </c>
      <c r="H322" s="155">
        <f>SUM(H315:H321)</f>
        <v>232.66000000000003</v>
      </c>
      <c r="I322" s="152"/>
      <c r="J322" s="244" t="s">
        <v>399</v>
      </c>
      <c r="K322" s="245" t="s">
        <v>379</v>
      </c>
      <c r="L322" s="170"/>
      <c r="M322" s="170"/>
      <c r="N322" s="170"/>
      <c r="O322" s="170"/>
      <c r="P322" s="170"/>
    </row>
    <row r="323" spans="1:16" s="16" customFormat="1" ht="18" customHeight="1">
      <c r="A323" s="1"/>
      <c r="B323" s="156" t="s">
        <v>356</v>
      </c>
      <c r="C323" s="167">
        <f>C31</f>
        <v>0</v>
      </c>
      <c r="D323" s="239">
        <v>1</v>
      </c>
      <c r="E323" s="148"/>
      <c r="F323" s="148"/>
      <c r="G323" s="236">
        <f>0.45+0.85</f>
        <v>1.3</v>
      </c>
      <c r="H323" s="154">
        <f>ROUND(C323*D323*G323,2)</f>
        <v>0</v>
      </c>
      <c r="I323" s="247" t="s">
        <v>345</v>
      </c>
      <c r="J323" s="244">
        <v>1.76</v>
      </c>
      <c r="K323" s="245" t="s">
        <v>400</v>
      </c>
      <c r="L323" s="170"/>
      <c r="M323" s="171"/>
      <c r="N323" s="170"/>
      <c r="O323" s="170"/>
      <c r="P323" s="170"/>
    </row>
    <row r="324" spans="1:16" s="16" customFormat="1" ht="18" customHeight="1">
      <c r="A324" s="1"/>
      <c r="B324" s="156" t="s">
        <v>347</v>
      </c>
      <c r="C324" s="167">
        <f>C323</f>
        <v>0</v>
      </c>
      <c r="D324" s="239">
        <v>1</v>
      </c>
      <c r="E324" s="148"/>
      <c r="F324" s="148"/>
      <c r="G324" s="236">
        <v>6.89</v>
      </c>
      <c r="H324" s="154">
        <f t="shared" ref="H324:H329" si="55">ROUND(C324*D324*G324,2)</f>
        <v>0</v>
      </c>
      <c r="I324" s="247" t="s">
        <v>346</v>
      </c>
      <c r="J324" s="244">
        <v>12.25</v>
      </c>
      <c r="K324" s="245" t="s">
        <v>376</v>
      </c>
      <c r="L324" s="170"/>
      <c r="M324" s="171"/>
      <c r="N324" s="170"/>
      <c r="O324" s="170"/>
      <c r="P324" s="170"/>
    </row>
    <row r="325" spans="1:16" s="16" customFormat="1" ht="18" customHeight="1">
      <c r="A325" s="1"/>
      <c r="B325" s="156" t="s">
        <v>357</v>
      </c>
      <c r="C325" s="167">
        <f>C38</f>
        <v>7.6</v>
      </c>
      <c r="D325" s="239">
        <v>1</v>
      </c>
      <c r="E325" s="148"/>
      <c r="F325" s="148"/>
      <c r="G325" s="236">
        <f>0.85+0.61</f>
        <v>1.46</v>
      </c>
      <c r="H325" s="154">
        <f t="shared" si="55"/>
        <v>11.1</v>
      </c>
      <c r="I325" s="247" t="s">
        <v>354</v>
      </c>
      <c r="J325" s="244">
        <v>1.76</v>
      </c>
      <c r="K325" s="245" t="s">
        <v>378</v>
      </c>
      <c r="L325" s="170"/>
      <c r="M325" s="171"/>
      <c r="N325" s="170"/>
      <c r="O325" s="170"/>
      <c r="P325" s="170"/>
    </row>
    <row r="326" spans="1:16" s="16" customFormat="1" ht="18" customHeight="1">
      <c r="A326" s="1"/>
      <c r="B326" s="156" t="s">
        <v>355</v>
      </c>
      <c r="C326" s="167">
        <f>C325</f>
        <v>7.6</v>
      </c>
      <c r="D326" s="239">
        <v>1</v>
      </c>
      <c r="E326" s="148"/>
      <c r="F326" s="148"/>
      <c r="G326" s="236">
        <v>3.27</v>
      </c>
      <c r="H326" s="154">
        <f>ROUND(C326*D326*G326,2)</f>
        <v>24.85</v>
      </c>
      <c r="I326" s="247" t="s">
        <v>358</v>
      </c>
      <c r="J326" s="244">
        <v>3.27</v>
      </c>
      <c r="K326" s="245" t="s">
        <v>358</v>
      </c>
      <c r="L326" s="170"/>
      <c r="M326" s="171"/>
      <c r="N326" s="170"/>
      <c r="O326" s="170"/>
      <c r="P326" s="170"/>
    </row>
    <row r="327" spans="1:16" s="16" customFormat="1" ht="18" customHeight="1">
      <c r="A327" s="1"/>
      <c r="B327" s="156" t="s">
        <v>228</v>
      </c>
      <c r="C327" s="167">
        <f>C126</f>
        <v>0</v>
      </c>
      <c r="D327" s="239">
        <v>1</v>
      </c>
      <c r="E327" s="110"/>
      <c r="F327" s="148"/>
      <c r="G327" s="236">
        <v>6.89</v>
      </c>
      <c r="H327" s="154">
        <f t="shared" si="55"/>
        <v>0</v>
      </c>
      <c r="I327" s="247" t="s">
        <v>346</v>
      </c>
      <c r="J327" s="244">
        <v>12.25</v>
      </c>
      <c r="K327" s="245" t="s">
        <v>346</v>
      </c>
      <c r="L327" s="170"/>
      <c r="M327" s="171"/>
      <c r="N327" s="170"/>
      <c r="O327" s="170"/>
      <c r="P327" s="170"/>
    </row>
    <row r="328" spans="1:16" s="16" customFormat="1" ht="18" customHeight="1">
      <c r="A328" s="1"/>
      <c r="B328" s="156" t="s">
        <v>229</v>
      </c>
      <c r="C328" s="167">
        <f>C327</f>
        <v>0</v>
      </c>
      <c r="D328" s="239">
        <v>1</v>
      </c>
      <c r="E328" s="110"/>
      <c r="F328" s="148"/>
      <c r="G328" s="236">
        <f>G3233</f>
        <v>0</v>
      </c>
      <c r="H328" s="154">
        <f t="shared" si="55"/>
        <v>0</v>
      </c>
      <c r="I328" s="247" t="s">
        <v>345</v>
      </c>
      <c r="J328" s="244">
        <v>0</v>
      </c>
      <c r="K328" s="245" t="s">
        <v>400</v>
      </c>
      <c r="L328" s="170"/>
      <c r="M328" s="171"/>
      <c r="N328" s="170"/>
      <c r="O328" s="170"/>
      <c r="P328" s="170"/>
    </row>
    <row r="329" spans="1:16" s="16" customFormat="1" ht="18" customHeight="1">
      <c r="A329" s="1"/>
      <c r="B329" s="156" t="s">
        <v>230</v>
      </c>
      <c r="C329" s="167">
        <f>C119</f>
        <v>0</v>
      </c>
      <c r="D329" s="239">
        <v>1</v>
      </c>
      <c r="E329" s="148"/>
      <c r="F329" s="148"/>
      <c r="G329" s="236">
        <f>G3253</f>
        <v>0</v>
      </c>
      <c r="H329" s="154">
        <f t="shared" si="55"/>
        <v>0</v>
      </c>
      <c r="I329" s="247" t="s">
        <v>354</v>
      </c>
      <c r="J329" s="244">
        <v>0</v>
      </c>
      <c r="K329" s="245" t="s">
        <v>378</v>
      </c>
      <c r="L329" s="170"/>
      <c r="M329" s="171"/>
      <c r="N329" s="170"/>
      <c r="O329" s="170"/>
      <c r="P329" s="170"/>
    </row>
    <row r="330" spans="1:16" s="16" customFormat="1" ht="18" customHeight="1">
      <c r="A330" s="1"/>
      <c r="B330" s="156" t="s">
        <v>362</v>
      </c>
      <c r="C330" s="167">
        <f>C329</f>
        <v>0</v>
      </c>
      <c r="D330" s="239">
        <v>1</v>
      </c>
      <c r="E330" s="148"/>
      <c r="F330" s="148"/>
      <c r="G330" s="236">
        <v>3.27</v>
      </c>
      <c r="H330" s="154">
        <f>ROUND(C330*D330*G330,2)</f>
        <v>0</v>
      </c>
      <c r="I330" s="247" t="s">
        <v>358</v>
      </c>
      <c r="J330" s="244">
        <v>3.27</v>
      </c>
      <c r="K330" s="245" t="s">
        <v>358</v>
      </c>
      <c r="L330" s="170"/>
      <c r="M330" s="171"/>
      <c r="N330" s="170"/>
      <c r="O330" s="170"/>
      <c r="P330" s="170"/>
    </row>
    <row r="331" spans="1:16" s="16" customFormat="1" ht="18" customHeight="1">
      <c r="A331" s="1"/>
      <c r="B331" s="156" t="s">
        <v>343</v>
      </c>
      <c r="C331" s="167">
        <f>C319</f>
        <v>32.700000000000003</v>
      </c>
      <c r="D331" s="239">
        <v>1</v>
      </c>
      <c r="E331" s="148"/>
      <c r="F331" s="148"/>
      <c r="G331" s="236">
        <v>1.25</v>
      </c>
      <c r="H331" s="154">
        <f>C331*D331*G331</f>
        <v>40.875</v>
      </c>
      <c r="I331" s="247" t="s">
        <v>344</v>
      </c>
      <c r="J331" s="244">
        <v>1.25</v>
      </c>
      <c r="K331" s="245" t="s">
        <v>344</v>
      </c>
      <c r="L331" s="170"/>
      <c r="M331" s="171"/>
      <c r="N331" s="170"/>
      <c r="O331" s="170"/>
      <c r="P331" s="170"/>
    </row>
    <row r="332" spans="1:16" s="16" customFormat="1" ht="18" customHeight="1">
      <c r="A332" s="1"/>
      <c r="B332" s="156" t="s">
        <v>350</v>
      </c>
      <c r="C332" s="167" cm="1">
        <f t="array" ref="C332">SUMPRODUCT(D26:D30*G26:G30)/1000</f>
        <v>0</v>
      </c>
      <c r="D332" s="239">
        <v>1</v>
      </c>
      <c r="E332" s="148"/>
      <c r="F332" s="148"/>
      <c r="G332" s="236">
        <v>0.41</v>
      </c>
      <c r="H332" s="154">
        <f>C332*D332*G332</f>
        <v>0</v>
      </c>
      <c r="I332" s="247" t="s">
        <v>348</v>
      </c>
      <c r="J332" s="244">
        <v>0.41</v>
      </c>
      <c r="K332" s="245" t="s">
        <v>348</v>
      </c>
      <c r="L332" s="170"/>
      <c r="M332" s="171"/>
      <c r="N332" s="170"/>
      <c r="O332" s="170"/>
      <c r="P332" s="170"/>
    </row>
    <row r="333" spans="1:16" s="16" customFormat="1" ht="18" customHeight="1">
      <c r="A333" s="1"/>
      <c r="B333" s="156" t="s">
        <v>349</v>
      </c>
      <c r="C333" s="167">
        <f>C88+C97+C104+C153+C163+C146</f>
        <v>32.700000000000003</v>
      </c>
      <c r="D333" s="239">
        <v>1</v>
      </c>
      <c r="E333" s="148"/>
      <c r="F333" s="148"/>
      <c r="G333" s="236">
        <v>0.49</v>
      </c>
      <c r="H333" s="154">
        <f>C333*D333*G333</f>
        <v>16.023</v>
      </c>
      <c r="I333" s="247" t="s">
        <v>351</v>
      </c>
      <c r="J333" s="244">
        <v>0.49</v>
      </c>
      <c r="K333" s="245" t="s">
        <v>351</v>
      </c>
      <c r="L333" s="170"/>
      <c r="M333" s="171"/>
      <c r="N333" s="170"/>
      <c r="O333" s="170"/>
      <c r="P333" s="170"/>
    </row>
    <row r="334" spans="1:16" s="16" customFormat="1" ht="18" customHeight="1">
      <c r="A334" s="1"/>
      <c r="B334" s="156" t="s">
        <v>353</v>
      </c>
      <c r="C334" s="167">
        <f t="array" ref="C334">SUMPRODUCT(D157:D162*G157:G162)/1000+SUM(G157:G162)*0.3+SUMPRODUCT(D68:D87*G68:G87)/1000+SUM(G68:G87)*0.3</f>
        <v>8.5240000000000009</v>
      </c>
      <c r="D334" s="239">
        <v>1</v>
      </c>
      <c r="E334" s="148"/>
      <c r="F334" s="148"/>
      <c r="G334" s="237">
        <v>5.36</v>
      </c>
      <c r="H334" s="154">
        <f>C334*G334</f>
        <v>45.688640000000007</v>
      </c>
      <c r="I334" s="247" t="s">
        <v>352</v>
      </c>
      <c r="J334" s="244">
        <v>9.5500000000000007</v>
      </c>
      <c r="K334" s="245" t="s">
        <v>377</v>
      </c>
      <c r="L334" s="170"/>
      <c r="M334" s="171"/>
      <c r="N334" s="170"/>
      <c r="O334" s="170"/>
      <c r="P334" s="170"/>
    </row>
    <row r="335" spans="1:16" s="16" customFormat="1" ht="18" customHeight="1">
      <c r="A335" s="1"/>
      <c r="B335" s="156" t="s">
        <v>364</v>
      </c>
      <c r="C335" s="167">
        <f>C319</f>
        <v>32.700000000000003</v>
      </c>
      <c r="D335" s="239">
        <v>1</v>
      </c>
      <c r="E335" s="148"/>
      <c r="F335" s="148"/>
      <c r="G335" s="237">
        <v>1.25</v>
      </c>
      <c r="H335" s="154"/>
      <c r="I335" s="149" t="s">
        <v>363</v>
      </c>
      <c r="J335" s="244">
        <v>1.25</v>
      </c>
      <c r="K335" s="245" t="s">
        <v>363</v>
      </c>
      <c r="L335" s="170"/>
      <c r="M335" s="171"/>
      <c r="N335" s="170"/>
      <c r="O335" s="170"/>
      <c r="P335" s="170"/>
    </row>
    <row r="336" spans="1:16" s="16" customFormat="1" ht="18" customHeight="1">
      <c r="A336" s="1"/>
      <c r="B336" s="156" t="s">
        <v>365</v>
      </c>
      <c r="C336" s="167">
        <f>C320</f>
        <v>32.700000000000003</v>
      </c>
      <c r="D336" s="239">
        <v>1</v>
      </c>
      <c r="E336" s="148"/>
      <c r="F336" s="148"/>
      <c r="G336" s="237">
        <v>1.63</v>
      </c>
      <c r="H336" s="154"/>
      <c r="I336" s="149" t="s">
        <v>363</v>
      </c>
      <c r="J336" s="244">
        <v>1.63</v>
      </c>
      <c r="K336" s="245" t="s">
        <v>363</v>
      </c>
      <c r="L336" s="170"/>
      <c r="M336" s="171"/>
      <c r="N336" s="170"/>
      <c r="O336" s="170"/>
      <c r="P336" s="170"/>
    </row>
    <row r="337" spans="1:16" s="16" customFormat="1" ht="18" customHeight="1">
      <c r="A337" s="1"/>
      <c r="B337" s="150" t="s">
        <v>231</v>
      </c>
      <c r="C337" s="165"/>
      <c r="D337" s="50"/>
      <c r="E337" s="50"/>
      <c r="F337" s="50"/>
      <c r="G337" s="166"/>
      <c r="H337" s="155">
        <f>SUM(H323:H336)*1.05</f>
        <v>145.46347200000002</v>
      </c>
      <c r="I337" s="152"/>
      <c r="J337" s="172"/>
      <c r="K337" s="170"/>
      <c r="L337" s="170"/>
      <c r="M337" s="170"/>
      <c r="N337" s="170"/>
      <c r="O337" s="170"/>
      <c r="P337" s="170"/>
    </row>
    <row r="338" spans="1:16" s="16" customFormat="1" ht="18" customHeight="1">
      <c r="A338" s="1"/>
      <c r="B338" s="173" t="s">
        <v>366</v>
      </c>
      <c r="C338" s="174">
        <f>F250+F258+F265+F280+F285+F290</f>
        <v>7</v>
      </c>
      <c r="D338" s="175">
        <v>2</v>
      </c>
      <c r="E338" s="176"/>
      <c r="F338" s="176"/>
      <c r="G338" s="240">
        <v>0.5</v>
      </c>
      <c r="H338" s="177">
        <f t="shared" ref="H338:H343" si="56">D338*G338*C338</f>
        <v>7</v>
      </c>
      <c r="I338" s="178" t="s">
        <v>233</v>
      </c>
      <c r="J338" s="172"/>
      <c r="K338" s="170"/>
      <c r="L338" s="170"/>
      <c r="M338" s="170"/>
      <c r="N338" s="170"/>
      <c r="O338" s="170"/>
      <c r="P338" s="170"/>
    </row>
    <row r="339" spans="1:16" s="16" customFormat="1" ht="18" customHeight="1">
      <c r="A339" s="1"/>
      <c r="B339" s="173" t="s">
        <v>367</v>
      </c>
      <c r="C339" s="174">
        <f>F233+F242+F269+F273</f>
        <v>2</v>
      </c>
      <c r="D339" s="175">
        <v>4</v>
      </c>
      <c r="E339" s="176"/>
      <c r="F339" s="176"/>
      <c r="G339" s="240">
        <v>0.63</v>
      </c>
      <c r="H339" s="177">
        <f t="shared" si="56"/>
        <v>5.04</v>
      </c>
      <c r="I339" s="178" t="s">
        <v>234</v>
      </c>
      <c r="J339" s="172"/>
      <c r="K339" s="170"/>
      <c r="L339" s="170"/>
      <c r="M339" s="170"/>
      <c r="N339" s="170"/>
      <c r="O339" s="170"/>
      <c r="P339" s="170"/>
    </row>
    <row r="340" spans="1:16" s="16" customFormat="1" ht="18" customHeight="1">
      <c r="A340" s="1"/>
      <c r="B340" s="173" t="s">
        <v>366</v>
      </c>
      <c r="C340" s="174">
        <f>SUM(G157:G162)</f>
        <v>0</v>
      </c>
      <c r="D340" s="175">
        <f>IF(E113&gt;2200,2,0)</f>
        <v>0</v>
      </c>
      <c r="E340" s="176"/>
      <c r="F340" s="176"/>
      <c r="G340" s="240">
        <v>0.5</v>
      </c>
      <c r="H340" s="177">
        <f t="shared" si="56"/>
        <v>0</v>
      </c>
      <c r="I340" s="178" t="s">
        <v>235</v>
      </c>
      <c r="J340" s="172"/>
      <c r="K340" s="170"/>
      <c r="L340" s="170"/>
      <c r="M340" s="170"/>
      <c r="N340" s="170"/>
      <c r="O340" s="170"/>
      <c r="P340" s="170"/>
    </row>
    <row r="341" spans="1:16" s="16" customFormat="1" ht="18" customHeight="1">
      <c r="A341" s="1"/>
      <c r="B341" s="173" t="s">
        <v>367</v>
      </c>
      <c r="C341" s="174">
        <f>SUM(G116:G118)</f>
        <v>0</v>
      </c>
      <c r="D341" s="175">
        <v>4</v>
      </c>
      <c r="E341" s="176"/>
      <c r="F341" s="176"/>
      <c r="G341" s="240">
        <v>0.63</v>
      </c>
      <c r="H341" s="177">
        <f t="shared" si="56"/>
        <v>0</v>
      </c>
      <c r="I341" s="178" t="s">
        <v>236</v>
      </c>
      <c r="J341" s="172"/>
      <c r="K341" s="170"/>
      <c r="L341" s="170"/>
      <c r="M341" s="170"/>
      <c r="N341" s="170"/>
      <c r="O341" s="170"/>
      <c r="P341" s="170"/>
    </row>
    <row r="342" spans="1:16" ht="18" customHeight="1">
      <c r="B342" s="173" t="s">
        <v>237</v>
      </c>
      <c r="C342" s="174">
        <v>1</v>
      </c>
      <c r="D342" s="175">
        <f>(F291+F292)*10</f>
        <v>90</v>
      </c>
      <c r="E342" s="176"/>
      <c r="F342" s="176"/>
      <c r="G342" s="240">
        <v>0.37</v>
      </c>
      <c r="H342" s="177">
        <f t="shared" si="56"/>
        <v>33.299999999999997</v>
      </c>
      <c r="I342" s="178"/>
      <c r="J342" s="172"/>
      <c r="K342" s="172"/>
      <c r="L342" s="172"/>
      <c r="N342" s="43"/>
    </row>
    <row r="343" spans="1:16" ht="18" customHeight="1">
      <c r="B343" s="173" t="s">
        <v>232</v>
      </c>
      <c r="C343" s="174">
        <f>C338</f>
        <v>7</v>
      </c>
      <c r="D343" s="175">
        <v>0</v>
      </c>
      <c r="E343" s="176"/>
      <c r="F343" s="176"/>
      <c r="G343" s="240">
        <v>0.49</v>
      </c>
      <c r="H343" s="177">
        <f t="shared" si="56"/>
        <v>0</v>
      </c>
      <c r="I343" s="178" t="s">
        <v>238</v>
      </c>
      <c r="J343" s="172"/>
      <c r="K343" s="172"/>
      <c r="L343" s="172"/>
      <c r="N343" s="43"/>
    </row>
    <row r="344" spans="1:16" ht="18" customHeight="1">
      <c r="B344" s="156" t="s">
        <v>239</v>
      </c>
      <c r="C344" s="157"/>
      <c r="D344" s="250">
        <f>E203+E205*2+E207*2+I203+I205*2+I207*2</f>
        <v>24</v>
      </c>
      <c r="E344" s="148"/>
      <c r="F344" s="148"/>
      <c r="G344" s="148">
        <v>0.2</v>
      </c>
      <c r="H344" s="179">
        <f>D344*G344</f>
        <v>4.8000000000000007</v>
      </c>
      <c r="I344" s="247" t="s">
        <v>368</v>
      </c>
      <c r="J344" s="172"/>
      <c r="K344" s="172"/>
      <c r="L344" s="172"/>
    </row>
    <row r="345" spans="1:16" ht="18" customHeight="1">
      <c r="B345" s="156" t="s">
        <v>240</v>
      </c>
      <c r="C345" s="157"/>
      <c r="D345" s="250">
        <f>4*(E52+E53+E54+E55+G52+G53+G54+G55+G60+G61+G62+G63+E130+E131+E132+G130+G131+G132+G137+G138)</f>
        <v>28</v>
      </c>
      <c r="E345" s="148"/>
      <c r="F345" s="148"/>
      <c r="G345" s="148">
        <v>0.22</v>
      </c>
      <c r="H345" s="179">
        <f>D345*G345</f>
        <v>6.16</v>
      </c>
      <c r="I345" s="247" t="s">
        <v>241</v>
      </c>
      <c r="J345" s="172"/>
      <c r="K345" s="172"/>
      <c r="L345" s="172"/>
    </row>
    <row r="346" spans="1:16" ht="18" customHeight="1">
      <c r="B346" s="156" t="s">
        <v>242</v>
      </c>
      <c r="C346" s="157"/>
      <c r="D346" s="250">
        <f>D345/2</f>
        <v>14</v>
      </c>
      <c r="E346" s="148"/>
      <c r="F346" s="148"/>
      <c r="G346" s="148">
        <v>0.22</v>
      </c>
      <c r="H346" s="179">
        <f>ROUND(D346*G346,2)</f>
        <v>3.08</v>
      </c>
      <c r="I346" s="247" t="s">
        <v>243</v>
      </c>
      <c r="J346" s="172"/>
      <c r="K346" s="172"/>
      <c r="L346" s="172"/>
    </row>
    <row r="347" spans="1:16" ht="18" customHeight="1">
      <c r="B347" s="156" t="s">
        <v>369</v>
      </c>
      <c r="C347" s="157"/>
      <c r="D347" s="250">
        <f>D346</f>
        <v>14</v>
      </c>
      <c r="E347" s="148"/>
      <c r="F347" s="148"/>
      <c r="G347" s="148">
        <v>1.37</v>
      </c>
      <c r="H347" s="179">
        <f>ROUND(D347*G347,2)</f>
        <v>19.18</v>
      </c>
      <c r="I347" s="247" t="s">
        <v>370</v>
      </c>
      <c r="J347" s="172"/>
      <c r="K347" s="172"/>
      <c r="L347" s="172"/>
    </row>
    <row r="348" spans="1:16" ht="18" customHeight="1">
      <c r="B348" s="156" t="s">
        <v>244</v>
      </c>
      <c r="C348" s="157"/>
      <c r="D348" s="250">
        <f>(F291+F292)*2</f>
        <v>18</v>
      </c>
      <c r="E348" s="148"/>
      <c r="F348" s="148"/>
      <c r="G348" s="148">
        <v>0.48</v>
      </c>
      <c r="H348" s="179">
        <f>ROUND(D348*G348,2)</f>
        <v>8.64</v>
      </c>
      <c r="I348" s="247" t="s">
        <v>245</v>
      </c>
      <c r="J348" s="255"/>
    </row>
    <row r="349" spans="1:16" ht="18" customHeight="1">
      <c r="B349" s="156" t="s">
        <v>246</v>
      </c>
      <c r="C349" s="157"/>
      <c r="D349" s="250">
        <f>ROUND((D4+E4-240)*2/200+E217*F217/200,0)</f>
        <v>73</v>
      </c>
      <c r="E349" s="148"/>
      <c r="F349" s="148"/>
      <c r="G349" s="148">
        <v>0.05</v>
      </c>
      <c r="H349" s="179">
        <f>ROUND(D349*G349,2)</f>
        <v>3.65</v>
      </c>
      <c r="I349" s="247" t="s">
        <v>247</v>
      </c>
      <c r="J349" s="255"/>
    </row>
    <row r="350" spans="1:16" ht="18" customHeight="1">
      <c r="B350" s="150" t="s">
        <v>248</v>
      </c>
      <c r="C350" s="165"/>
      <c r="D350" s="50"/>
      <c r="E350" s="50"/>
      <c r="F350" s="50"/>
      <c r="G350" s="166"/>
      <c r="H350" s="155">
        <f>SUM(H338:H349)</f>
        <v>90.850000000000009</v>
      </c>
      <c r="I350" s="152"/>
    </row>
    <row r="351" spans="1:16" ht="18" customHeight="1">
      <c r="B351" s="156" t="s">
        <v>359</v>
      </c>
      <c r="C351" s="157"/>
      <c r="D351" s="250">
        <f>SUMPRODUCT(G26:G30)*8+SUMPRODUCT(G35:G37)*8+SUMPRODUCT(G116:G118)*8+SUMPRODUCT(G123:G125)*8</f>
        <v>16</v>
      </c>
      <c r="E351" s="148"/>
      <c r="F351" s="148"/>
      <c r="G351" s="148">
        <v>1.26</v>
      </c>
      <c r="H351" s="154">
        <f>ROUND(D351*G351,2)</f>
        <v>20.16</v>
      </c>
      <c r="I351" s="247" t="s">
        <v>386</v>
      </c>
    </row>
    <row r="352" spans="1:16" ht="18" customHeight="1">
      <c r="B352" s="156" t="s">
        <v>360</v>
      </c>
      <c r="C352" s="157"/>
      <c r="D352" s="250">
        <f>G26*4+G27*4+G28*4+G29*4+G30*4</f>
        <v>0</v>
      </c>
      <c r="E352" s="148"/>
      <c r="F352" s="148"/>
      <c r="G352" s="148">
        <v>2</v>
      </c>
      <c r="H352" s="154">
        <f>ROUND(D352*G352,2)</f>
        <v>0</v>
      </c>
      <c r="I352" s="247" t="s">
        <v>361</v>
      </c>
    </row>
    <row r="353" spans="1:22" ht="18" customHeight="1">
      <c r="B353" s="156" t="s">
        <v>249</v>
      </c>
      <c r="C353" s="157"/>
      <c r="D353" s="250"/>
      <c r="E353" s="148"/>
      <c r="F353" s="148"/>
      <c r="G353" s="148">
        <v>1.6</v>
      </c>
      <c r="H353" s="154"/>
      <c r="I353" s="247"/>
    </row>
    <row r="354" spans="1:22" ht="18" customHeight="1">
      <c r="B354" s="156" t="s">
        <v>250</v>
      </c>
      <c r="C354" s="157"/>
      <c r="D354" s="44">
        <f>C22+C31+C38+C48+C56+C64+C112+C119+C126+C133+C139+C199</f>
        <v>41.926000000000002</v>
      </c>
      <c r="E354" s="148"/>
      <c r="F354" s="148"/>
      <c r="G354" s="179">
        <v>4</v>
      </c>
      <c r="H354" s="154">
        <f t="shared" ref="H354:H356" si="57">ROUND(D354*G354,2)</f>
        <v>167.7</v>
      </c>
      <c r="I354" s="247"/>
    </row>
    <row r="355" spans="1:22" ht="18" customHeight="1">
      <c r="B355" s="156" t="s">
        <v>251</v>
      </c>
      <c r="C355" s="157" t="s">
        <v>252</v>
      </c>
      <c r="D355" s="44">
        <f>C88+C163</f>
        <v>26.076000000000001</v>
      </c>
      <c r="E355" s="148"/>
      <c r="F355" s="148"/>
      <c r="G355" s="179">
        <v>3.15</v>
      </c>
      <c r="H355" s="154">
        <f t="shared" si="57"/>
        <v>82.14</v>
      </c>
      <c r="I355" s="247"/>
    </row>
    <row r="356" spans="1:22" ht="18" customHeight="1">
      <c r="B356" s="156" t="s">
        <v>253</v>
      </c>
      <c r="C356" s="157" t="s">
        <v>254</v>
      </c>
      <c r="D356" s="44">
        <f>C97+C104+C146+C153</f>
        <v>6.6239999999999997</v>
      </c>
      <c r="E356" s="148"/>
      <c r="F356" s="148"/>
      <c r="G356" s="179">
        <v>3.65</v>
      </c>
      <c r="H356" s="154">
        <f t="shared" si="57"/>
        <v>24.18</v>
      </c>
      <c r="I356" s="247"/>
    </row>
    <row r="357" spans="1:22" ht="18" customHeight="1">
      <c r="B357" s="156" t="s">
        <v>387</v>
      </c>
      <c r="C357" s="157"/>
      <c r="D357" s="44">
        <f>F291+F292</f>
        <v>9</v>
      </c>
      <c r="E357" s="148"/>
      <c r="F357" s="148"/>
      <c r="G357" s="179">
        <v>6</v>
      </c>
      <c r="H357" s="154"/>
      <c r="I357" s="247"/>
    </row>
    <row r="358" spans="1:22" ht="18" customHeight="1">
      <c r="B358" s="156" t="s">
        <v>255</v>
      </c>
      <c r="C358" s="157"/>
      <c r="D358" s="180">
        <f>F14*2</f>
        <v>15.88</v>
      </c>
      <c r="E358" s="148"/>
      <c r="F358" s="148"/>
      <c r="G358" s="148">
        <v>70</v>
      </c>
      <c r="H358" s="154">
        <f>D358*G358</f>
        <v>1111.6000000000001</v>
      </c>
      <c r="I358" s="247"/>
    </row>
    <row r="359" spans="1:22" ht="18" customHeight="1">
      <c r="B359" s="156" t="s">
        <v>858</v>
      </c>
      <c r="C359" s="157"/>
      <c r="D359" s="180">
        <f>D4*3/1000</f>
        <v>8.1</v>
      </c>
      <c r="E359" s="148"/>
      <c r="F359" s="148"/>
      <c r="G359" s="148">
        <v>180</v>
      </c>
      <c r="H359" s="154">
        <f>D359*G359</f>
        <v>1458</v>
      </c>
      <c r="I359" s="247"/>
    </row>
    <row r="360" spans="1:22" ht="18" customHeight="1">
      <c r="B360" s="156" t="s">
        <v>388</v>
      </c>
      <c r="C360" s="157"/>
      <c r="D360" s="250">
        <v>1</v>
      </c>
      <c r="E360" s="148"/>
      <c r="F360" s="148"/>
      <c r="G360" s="148">
        <v>9.6</v>
      </c>
      <c r="H360" s="154">
        <f>ROUND(D360*G360,2)</f>
        <v>9.6</v>
      </c>
      <c r="I360" s="247"/>
    </row>
    <row r="361" spans="1:22" ht="18" customHeight="1">
      <c r="B361" s="156" t="s">
        <v>901</v>
      </c>
      <c r="C361" s="157"/>
      <c r="D361" s="463">
        <f>(D4+E4)*2/1000</f>
        <v>12.4</v>
      </c>
      <c r="E361" s="148"/>
      <c r="F361" s="148"/>
      <c r="G361" s="148">
        <v>45</v>
      </c>
      <c r="H361" s="154">
        <f>ROUND(D361*G361,2)</f>
        <v>558</v>
      </c>
      <c r="I361" s="468"/>
    </row>
    <row r="362" spans="1:22" ht="18" customHeight="1">
      <c r="B362" s="181" t="s">
        <v>398</v>
      </c>
      <c r="C362" s="157"/>
      <c r="D362" s="182">
        <f>F366</f>
        <v>9.0208999999999993</v>
      </c>
      <c r="E362" s="148"/>
      <c r="F362" s="148"/>
      <c r="G362" s="148">
        <v>3</v>
      </c>
      <c r="H362" s="154">
        <f>D362*G362</f>
        <v>27.0627</v>
      </c>
      <c r="I362" s="247"/>
    </row>
    <row r="363" spans="1:22" ht="18" customHeight="1">
      <c r="B363" s="150" t="s">
        <v>256</v>
      </c>
      <c r="C363" s="50"/>
      <c r="D363" s="50"/>
      <c r="E363" s="50"/>
      <c r="F363" s="50"/>
      <c r="G363" s="166"/>
      <c r="H363" s="155">
        <f>SUM(H351:H362)</f>
        <v>3458.4427000000001</v>
      </c>
      <c r="I363" s="183"/>
    </row>
    <row r="364" spans="1:22" ht="18" customHeight="1">
      <c r="B364" s="248" t="s">
        <v>257</v>
      </c>
      <c r="C364" s="185"/>
      <c r="D364" s="186"/>
      <c r="E364" s="185"/>
      <c r="F364" s="186"/>
      <c r="G364" s="186"/>
      <c r="H364" s="187">
        <f>SUM(H363,H350,H337,H322,H314,H308,H304)</f>
        <v>4535.6261719999993</v>
      </c>
      <c r="I364" s="188"/>
    </row>
    <row r="365" spans="1:22" ht="18" customHeight="1">
      <c r="A365" s="189"/>
      <c r="B365" s="190" t="s">
        <v>258</v>
      </c>
      <c r="C365" s="10" t="s">
        <v>14</v>
      </c>
      <c r="D365" s="10" t="s">
        <v>16</v>
      </c>
      <c r="E365" s="10" t="s">
        <v>17</v>
      </c>
      <c r="F365" s="10" t="s">
        <v>7</v>
      </c>
      <c r="G365" s="10" t="s">
        <v>5</v>
      </c>
      <c r="H365" s="10" t="s">
        <v>18</v>
      </c>
      <c r="I365" s="191" t="s">
        <v>259</v>
      </c>
      <c r="L365" s="192"/>
      <c r="M365" s="192"/>
    </row>
    <row r="366" spans="1:22" ht="18" customHeight="1">
      <c r="B366" s="48">
        <f>ROUND(I366/F366,2)</f>
        <v>1211.31</v>
      </c>
      <c r="C366" s="50" t="s">
        <v>299</v>
      </c>
      <c r="D366" s="50">
        <f>D5</f>
        <v>2630</v>
      </c>
      <c r="E366" s="50">
        <f>E5</f>
        <v>3430</v>
      </c>
      <c r="F366" s="49">
        <f>E366*D366/1000000</f>
        <v>9.0208999999999993</v>
      </c>
      <c r="G366" s="50">
        <f>G4</f>
        <v>1</v>
      </c>
      <c r="H366" s="49">
        <f>F366</f>
        <v>9.0208999999999993</v>
      </c>
      <c r="I366" s="193">
        <f>H364+H291+H292+I223+I12</f>
        <v>10927.086512185999</v>
      </c>
      <c r="K366" s="192"/>
    </row>
    <row r="367" spans="1:22" ht="18" customHeight="1">
      <c r="B367" s="194" t="s">
        <v>258</v>
      </c>
      <c r="C367" s="195" t="s">
        <v>260</v>
      </c>
      <c r="D367" s="195" t="s">
        <v>261</v>
      </c>
      <c r="E367" s="195" t="s">
        <v>262</v>
      </c>
      <c r="F367" s="195" t="s">
        <v>263</v>
      </c>
      <c r="G367" s="195" t="s">
        <v>264</v>
      </c>
      <c r="H367" s="195" t="s">
        <v>265</v>
      </c>
      <c r="I367" s="196" t="s">
        <v>266</v>
      </c>
    </row>
    <row r="368" spans="1:22" ht="30" customHeight="1" thickBot="1">
      <c r="B368" s="197">
        <f>ROUND(I366/H366,2)</f>
        <v>1211.31</v>
      </c>
      <c r="C368" s="198">
        <f>E294+E296+E298+E300+E302+E303+E297+E299</f>
        <v>2</v>
      </c>
      <c r="D368" s="199"/>
      <c r="E368" s="199"/>
      <c r="F368" s="200"/>
      <c r="G368" s="200"/>
      <c r="H368" s="200"/>
      <c r="I368" s="201"/>
      <c r="O368" s="631" t="s">
        <v>603</v>
      </c>
      <c r="P368" s="631"/>
      <c r="Q368" s="631"/>
      <c r="R368" s="631"/>
      <c r="S368" s="631"/>
      <c r="T368" s="631"/>
      <c r="U368" s="631"/>
      <c r="V368" s="631"/>
    </row>
    <row r="369" spans="2:22" ht="20.100000000000001" customHeight="1">
      <c r="B369" s="42"/>
      <c r="L369" s="202"/>
      <c r="M369" s="202"/>
      <c r="N369" s="202"/>
      <c r="O369" s="634" t="s">
        <v>604</v>
      </c>
      <c r="P369" s="634"/>
      <c r="Q369" s="634"/>
      <c r="R369" s="634"/>
      <c r="S369" s="634"/>
      <c r="T369" s="634"/>
      <c r="U369" s="634"/>
      <c r="V369" s="634"/>
    </row>
    <row r="370" spans="2:22" ht="20.100000000000001" customHeight="1">
      <c r="B370" s="102" t="s">
        <v>862</v>
      </c>
      <c r="C370" s="203"/>
      <c r="D370" s="203" t="s">
        <v>267</v>
      </c>
      <c r="E370" s="203"/>
      <c r="J370" s="102"/>
      <c r="O370" s="285" t="s">
        <v>279</v>
      </c>
      <c r="P370" s="624" t="s">
        <v>633</v>
      </c>
      <c r="Q370" s="625"/>
      <c r="R370" s="312" t="str">
        <f ca="1">B4</f>
        <v>C2735-G</v>
      </c>
      <c r="S370" s="312"/>
      <c r="T370" s="313"/>
      <c r="U370" s="287" t="s">
        <v>605</v>
      </c>
      <c r="V370" s="288"/>
    </row>
    <row r="371" spans="2:22" ht="24.95" customHeight="1">
      <c r="B371" s="102">
        <f>ROUND(I366/F6,2)</f>
        <v>1219.49</v>
      </c>
      <c r="C371" s="203">
        <f>U392</f>
        <v>1598.6810713686205</v>
      </c>
      <c r="D371" s="203">
        <f>E304</f>
        <v>2</v>
      </c>
      <c r="E371" s="203"/>
      <c r="J371" s="102"/>
      <c r="O371" s="635" t="s">
        <v>606</v>
      </c>
      <c r="P371" s="623" t="s">
        <v>626</v>
      </c>
      <c r="Q371" s="623"/>
      <c r="R371" s="623"/>
      <c r="S371" s="623"/>
      <c r="T371" s="637"/>
      <c r="U371" s="291" t="s">
        <v>607</v>
      </c>
      <c r="V371" s="292" t="s">
        <v>313</v>
      </c>
    </row>
    <row r="372" spans="2:22" ht="24.95" customHeight="1">
      <c r="L372" s="102"/>
      <c r="M372" s="102"/>
      <c r="N372" s="102"/>
      <c r="O372" s="636"/>
      <c r="P372" s="638"/>
      <c r="Q372" s="638"/>
      <c r="R372" s="638"/>
      <c r="S372" s="638"/>
      <c r="T372" s="638"/>
      <c r="U372" s="291" t="s">
        <v>268</v>
      </c>
      <c r="V372" s="293">
        <f>F4</f>
        <v>8.6679999999999993</v>
      </c>
    </row>
    <row r="373" spans="2:22" ht="24.95" customHeight="1">
      <c r="J373" s="102"/>
      <c r="K373" s="102"/>
      <c r="L373" s="102"/>
      <c r="M373" s="102"/>
      <c r="N373" s="102"/>
      <c r="O373" s="311" t="s">
        <v>0</v>
      </c>
      <c r="P373" s="289" t="s">
        <v>608</v>
      </c>
      <c r="Q373" s="289" t="s">
        <v>627</v>
      </c>
      <c r="R373" s="289" t="s">
        <v>269</v>
      </c>
      <c r="S373" s="294" t="s">
        <v>8</v>
      </c>
      <c r="T373" s="295" t="s">
        <v>609</v>
      </c>
      <c r="U373" s="296" t="s">
        <v>270</v>
      </c>
      <c r="V373" s="295" t="s">
        <v>610</v>
      </c>
    </row>
    <row r="374" spans="2:22" ht="20.100000000000001" customHeight="1">
      <c r="J374" s="102"/>
      <c r="K374" s="102"/>
      <c r="L374" s="102"/>
      <c r="M374" s="102"/>
      <c r="N374" s="102"/>
      <c r="O374" s="297" t="s">
        <v>305</v>
      </c>
      <c r="P374" s="298" t="s">
        <v>611</v>
      </c>
      <c r="Q374" s="298"/>
      <c r="R374" s="286"/>
      <c r="S374" s="299"/>
      <c r="T374" s="300"/>
      <c r="U374" s="301">
        <f>SUM(U375:U383)</f>
        <v>9987.5662721860008</v>
      </c>
      <c r="V374" s="286"/>
    </row>
    <row r="375" spans="2:22" ht="20.100000000000001" customHeight="1">
      <c r="J375" s="102"/>
      <c r="K375" s="102"/>
      <c r="L375" s="102"/>
      <c r="M375" s="102"/>
      <c r="N375" s="102"/>
      <c r="O375" s="286">
        <v>1</v>
      </c>
      <c r="P375" s="302" t="s">
        <v>612</v>
      </c>
      <c r="Q375" s="307"/>
      <c r="R375" s="286" t="s">
        <v>271</v>
      </c>
      <c r="S375" s="303">
        <f>E223</f>
        <v>96.647083999999992</v>
      </c>
      <c r="T375" s="304">
        <f>I223/E223</f>
        <v>47.100958992058153</v>
      </c>
      <c r="U375" s="305">
        <f t="shared" ref="U375:U383" si="58">T375*S375</f>
        <v>4552.1703401859995</v>
      </c>
      <c r="V375" s="306"/>
    </row>
    <row r="376" spans="2:22" ht="20.100000000000001" customHeight="1">
      <c r="J376" s="102"/>
      <c r="K376" s="102"/>
      <c r="L376" s="102"/>
      <c r="M376" s="102"/>
      <c r="N376" s="102"/>
      <c r="O376" s="286">
        <v>2</v>
      </c>
      <c r="P376" s="290" t="s">
        <v>613</v>
      </c>
      <c r="Q376" s="307"/>
      <c r="R376" s="286" t="s">
        <v>276</v>
      </c>
      <c r="S376" s="303">
        <f>D358</f>
        <v>15.88</v>
      </c>
      <c r="T376" s="304">
        <f>G358</f>
        <v>70</v>
      </c>
      <c r="U376" s="305">
        <f t="shared" si="58"/>
        <v>1111.6000000000001</v>
      </c>
      <c r="V376" s="306"/>
    </row>
    <row r="377" spans="2:22" ht="20.100000000000001" customHeight="1">
      <c r="J377" s="102"/>
      <c r="K377" s="102"/>
      <c r="L377" s="102"/>
      <c r="M377" s="102"/>
      <c r="N377" s="102"/>
      <c r="O377" s="286">
        <v>3</v>
      </c>
      <c r="P377" s="302" t="s">
        <v>614</v>
      </c>
      <c r="Q377" s="302"/>
      <c r="R377" s="286" t="s">
        <v>312</v>
      </c>
      <c r="S377" s="303">
        <f>D291+D292</f>
        <v>7.6741200000000003</v>
      </c>
      <c r="T377" s="304">
        <f>材料价格!B10</f>
        <v>148</v>
      </c>
      <c r="U377" s="305">
        <f t="shared" si="58"/>
        <v>1135.7697600000001</v>
      </c>
      <c r="V377" s="306"/>
    </row>
    <row r="378" spans="2:22" ht="20.100000000000001" customHeight="1">
      <c r="B378" s="630" t="s">
        <v>277</v>
      </c>
      <c r="C378" s="630"/>
      <c r="D378" s="630"/>
      <c r="E378" s="630"/>
      <c r="F378" s="630"/>
      <c r="G378" s="630"/>
      <c r="H378" s="630"/>
      <c r="I378" s="630"/>
      <c r="J378" s="102"/>
      <c r="K378" s="102"/>
      <c r="L378" s="102"/>
      <c r="M378" s="102"/>
      <c r="N378" s="102"/>
      <c r="O378" s="286">
        <v>4</v>
      </c>
      <c r="P378" s="302" t="s">
        <v>615</v>
      </c>
      <c r="Q378" s="306"/>
      <c r="R378" s="286" t="s">
        <v>278</v>
      </c>
      <c r="S378" s="303">
        <f>(H316+H317+H319+H320+H321)/F316</f>
        <v>16.805164319248824</v>
      </c>
      <c r="T378" s="304">
        <f>材料价格!B25</f>
        <v>8.52</v>
      </c>
      <c r="U378" s="305">
        <f t="shared" si="58"/>
        <v>143.17999999999998</v>
      </c>
      <c r="V378" s="306"/>
    </row>
    <row r="379" spans="2:22" ht="20.100000000000001" customHeight="1">
      <c r="B379" s="204" t="s">
        <v>279</v>
      </c>
      <c r="C379" s="205" t="s">
        <v>280</v>
      </c>
      <c r="D379" s="205" t="s">
        <v>281</v>
      </c>
      <c r="E379" s="205" t="s">
        <v>282</v>
      </c>
      <c r="F379" s="205" t="s">
        <v>379</v>
      </c>
      <c r="G379" s="205"/>
      <c r="H379" s="205" t="s">
        <v>28</v>
      </c>
      <c r="I379" s="205" t="s">
        <v>259</v>
      </c>
      <c r="J379" s="102"/>
      <c r="K379" s="102"/>
      <c r="L379" s="102"/>
      <c r="M379" s="102"/>
      <c r="N379" s="102"/>
      <c r="O379" s="286">
        <v>5</v>
      </c>
      <c r="P379" s="306" t="s">
        <v>616</v>
      </c>
      <c r="Q379" s="302"/>
      <c r="R379" s="286" t="s">
        <v>628</v>
      </c>
      <c r="S379" s="303">
        <f>H337/21</f>
        <v>6.926832000000001</v>
      </c>
      <c r="T379" s="304">
        <v>21</v>
      </c>
      <c r="U379" s="305">
        <f t="shared" si="58"/>
        <v>145.46347200000002</v>
      </c>
      <c r="V379" s="306"/>
    </row>
    <row r="380" spans="2:22" ht="20.100000000000001" customHeight="1">
      <c r="B380" s="206" t="s">
        <v>284</v>
      </c>
      <c r="C380" s="208" t="s">
        <v>384</v>
      </c>
      <c r="D380" s="207">
        <f>C22+C31+C38+C48+C56+C112+C119+C126+C133+C139+C177+C184+C191+C199</f>
        <v>35.716000000000001</v>
      </c>
      <c r="E380" s="207" t="s">
        <v>383</v>
      </c>
      <c r="F380" s="206"/>
      <c r="G380" s="206"/>
      <c r="H380" s="241">
        <v>2.4</v>
      </c>
      <c r="I380" s="207"/>
      <c r="J380" s="102"/>
      <c r="K380" s="102"/>
      <c r="L380" s="102"/>
      <c r="M380" s="102"/>
      <c r="N380" s="102"/>
      <c r="O380" s="286">
        <v>6</v>
      </c>
      <c r="P380" s="302" t="s">
        <v>319</v>
      </c>
      <c r="Q380" s="302"/>
      <c r="R380" s="286" t="s">
        <v>273</v>
      </c>
      <c r="S380" s="303">
        <f>E298</f>
        <v>2</v>
      </c>
      <c r="T380" s="304">
        <f>材料价格!B16</f>
        <v>88</v>
      </c>
      <c r="U380" s="305">
        <f t="shared" si="58"/>
        <v>176</v>
      </c>
      <c r="V380" s="306"/>
    </row>
    <row r="381" spans="2:22" ht="20.100000000000001" customHeight="1">
      <c r="B381" s="206" t="s">
        <v>286</v>
      </c>
      <c r="C381" s="206" t="s">
        <v>287</v>
      </c>
      <c r="D381" s="209">
        <f>(J22+J31+J38+J48+J112+J119+J126)*4+(J56+J133)*2</f>
        <v>32</v>
      </c>
      <c r="E381" s="207" t="s">
        <v>285</v>
      </c>
      <c r="F381" s="206"/>
      <c r="G381" s="206"/>
      <c r="H381" s="241">
        <v>0.5</v>
      </c>
      <c r="I381" s="207">
        <f>H381*D381</f>
        <v>16</v>
      </c>
      <c r="J381" s="102"/>
      <c r="K381" s="102"/>
      <c r="L381" s="102"/>
      <c r="M381" s="102"/>
      <c r="N381" s="102"/>
      <c r="O381" s="286">
        <v>7</v>
      </c>
      <c r="P381" s="302" t="s">
        <v>295</v>
      </c>
      <c r="Q381" s="302"/>
      <c r="R381" s="286" t="s">
        <v>273</v>
      </c>
      <c r="S381" s="303"/>
      <c r="T381" s="304">
        <f>材料价格!B19</f>
        <v>230</v>
      </c>
      <c r="U381" s="305">
        <f t="shared" si="58"/>
        <v>0</v>
      </c>
      <c r="V381" s="306"/>
    </row>
    <row r="382" spans="2:22" ht="20.100000000000001" customHeight="1">
      <c r="B382" s="206" t="s">
        <v>289</v>
      </c>
      <c r="C382" s="206"/>
      <c r="D382" s="210">
        <f>ROUND((C22+C56*2+C64*2+C112+C133*2+C139*2)/0.3,0)+2</f>
        <v>119</v>
      </c>
      <c r="E382" s="207" t="s">
        <v>285</v>
      </c>
      <c r="F382" s="206"/>
      <c r="G382" s="206"/>
      <c r="H382" s="241">
        <v>0.3</v>
      </c>
      <c r="I382" s="207">
        <f t="shared" ref="I382:I387" si="59">H382*D382</f>
        <v>35.699999999999996</v>
      </c>
      <c r="J382" s="102"/>
      <c r="K382" s="102"/>
      <c r="L382" s="102"/>
      <c r="M382" s="102"/>
      <c r="N382" s="102"/>
      <c r="O382" s="286">
        <v>8</v>
      </c>
      <c r="P382" s="302" t="s">
        <v>296</v>
      </c>
      <c r="Q382" s="302"/>
      <c r="R382" s="286" t="s">
        <v>273</v>
      </c>
      <c r="S382" s="303">
        <f>E303</f>
        <v>0</v>
      </c>
      <c r="T382" s="304">
        <f>材料价格!B20</f>
        <v>335</v>
      </c>
      <c r="U382" s="305">
        <f t="shared" si="58"/>
        <v>0</v>
      </c>
      <c r="V382" s="306"/>
    </row>
    <row r="383" spans="2:22" ht="20.100000000000001" customHeight="1">
      <c r="B383" s="206" t="s">
        <v>381</v>
      </c>
      <c r="C383" s="206" t="s">
        <v>389</v>
      </c>
      <c r="D383" s="211">
        <f>C22+C31+C38+C56*2+C64*2+C112+C119+C126+C133*2</f>
        <v>42.684000000000005</v>
      </c>
      <c r="E383" s="207" t="s">
        <v>285</v>
      </c>
      <c r="F383" s="206" t="s">
        <v>380</v>
      </c>
      <c r="G383" s="206"/>
      <c r="H383" s="241">
        <v>2.81</v>
      </c>
      <c r="I383" s="207">
        <f>H383*D383</f>
        <v>119.94204000000002</v>
      </c>
      <c r="J383" s="102"/>
      <c r="K383" s="102"/>
      <c r="L383" s="102"/>
      <c r="M383" s="102"/>
      <c r="N383" s="102"/>
      <c r="O383" s="286">
        <v>9</v>
      </c>
      <c r="P383" s="302" t="s">
        <v>617</v>
      </c>
      <c r="Q383" s="302"/>
      <c r="R383" s="286" t="s">
        <v>618</v>
      </c>
      <c r="S383" s="296">
        <v>1</v>
      </c>
      <c r="T383" s="304">
        <f>H363-H358+H350+H318+H315+H314</f>
        <v>2723.3827000000001</v>
      </c>
      <c r="U383" s="305">
        <f t="shared" si="58"/>
        <v>2723.3827000000001</v>
      </c>
      <c r="V383" s="306"/>
    </row>
    <row r="384" spans="2:22" ht="20.100000000000001" customHeight="1">
      <c r="B384" s="206" t="s">
        <v>390</v>
      </c>
      <c r="C384" s="206" t="s">
        <v>392</v>
      </c>
      <c r="D384" s="211">
        <f>C22+C88+C112+C163</f>
        <v>43.396000000000001</v>
      </c>
      <c r="E384" s="207" t="s">
        <v>285</v>
      </c>
      <c r="F384" s="206" t="s">
        <v>394</v>
      </c>
      <c r="G384" s="206"/>
      <c r="H384" s="241">
        <v>3.27</v>
      </c>
      <c r="I384" s="207">
        <f t="shared" ref="I384" si="60">H384*D384</f>
        <v>141.90492</v>
      </c>
      <c r="J384" s="102"/>
      <c r="K384" s="102"/>
      <c r="L384" s="102"/>
      <c r="M384" s="102"/>
      <c r="N384" s="102"/>
      <c r="O384" s="297" t="s">
        <v>306</v>
      </c>
      <c r="P384" s="308" t="s">
        <v>314</v>
      </c>
      <c r="Q384" s="298"/>
      <c r="R384" s="286"/>
      <c r="S384" s="296"/>
      <c r="T384" s="309"/>
      <c r="U384" s="301">
        <f>SUM(U385:U386)</f>
        <v>1386.8799999999999</v>
      </c>
      <c r="V384" s="286"/>
    </row>
    <row r="385" spans="2:22" ht="20.100000000000001" customHeight="1">
      <c r="B385" s="206" t="s">
        <v>391</v>
      </c>
      <c r="C385" s="206" t="s">
        <v>393</v>
      </c>
      <c r="D385" s="211">
        <f>(C97+C104+C119+C126)*2</f>
        <v>13.247999999999999</v>
      </c>
      <c r="E385" s="207" t="s">
        <v>285</v>
      </c>
      <c r="F385" s="206" t="s">
        <v>395</v>
      </c>
      <c r="G385" s="206"/>
      <c r="H385" s="241">
        <v>1.74</v>
      </c>
      <c r="I385" s="207">
        <f t="shared" si="59"/>
        <v>23.05152</v>
      </c>
      <c r="J385" s="102"/>
      <c r="K385" s="102"/>
      <c r="L385" s="102"/>
      <c r="M385" s="102"/>
      <c r="N385" s="102"/>
      <c r="O385" s="286">
        <v>1</v>
      </c>
      <c r="P385" s="307" t="s">
        <v>619</v>
      </c>
      <c r="Q385" s="307"/>
      <c r="R385" s="300" t="s">
        <v>312</v>
      </c>
      <c r="S385" s="296">
        <f>V372</f>
        <v>8.6679999999999993</v>
      </c>
      <c r="T385" s="310">
        <v>60</v>
      </c>
      <c r="U385" s="305">
        <f>T385*S385</f>
        <v>520.07999999999993</v>
      </c>
      <c r="V385" s="286"/>
    </row>
    <row r="386" spans="2:22" ht="20.100000000000001" customHeight="1">
      <c r="B386" s="208" t="s">
        <v>382</v>
      </c>
      <c r="C386" s="206" t="s">
        <v>291</v>
      </c>
      <c r="D386" s="211">
        <f>D338+D339+D341</f>
        <v>10</v>
      </c>
      <c r="E386" s="207" t="s">
        <v>285</v>
      </c>
      <c r="F386" s="206"/>
      <c r="G386" s="206"/>
      <c r="H386" s="241">
        <v>0.56999999999999995</v>
      </c>
      <c r="I386" s="207">
        <f>H386*D386</f>
        <v>5.6999999999999993</v>
      </c>
      <c r="J386" s="102"/>
      <c r="K386" s="102"/>
      <c r="L386" s="102"/>
      <c r="M386" s="102"/>
      <c r="N386" s="102"/>
      <c r="O386" s="286">
        <v>2</v>
      </c>
      <c r="P386" s="307" t="s">
        <v>288</v>
      </c>
      <c r="Q386" s="307"/>
      <c r="R386" s="300" t="s">
        <v>312</v>
      </c>
      <c r="S386" s="296">
        <f>V372</f>
        <v>8.6679999999999993</v>
      </c>
      <c r="T386" s="310">
        <v>100</v>
      </c>
      <c r="U386" s="305">
        <f>T386*S386</f>
        <v>866.8</v>
      </c>
      <c r="V386" s="286"/>
    </row>
    <row r="387" spans="2:22" ht="20.100000000000001" customHeight="1">
      <c r="B387" s="206" t="s">
        <v>292</v>
      </c>
      <c r="C387" s="206"/>
      <c r="D387" s="211">
        <f>H366</f>
        <v>9.0208999999999993</v>
      </c>
      <c r="E387" s="207" t="s">
        <v>285</v>
      </c>
      <c r="F387" s="206"/>
      <c r="G387" s="206"/>
      <c r="H387" s="241">
        <v>20</v>
      </c>
      <c r="I387" s="207">
        <f t="shared" si="59"/>
        <v>180.41799999999998</v>
      </c>
      <c r="J387" s="102"/>
      <c r="K387" s="102"/>
      <c r="L387" s="102"/>
      <c r="M387" s="102"/>
      <c r="N387" s="102"/>
      <c r="O387" s="297" t="s">
        <v>307</v>
      </c>
      <c r="P387" s="308" t="s">
        <v>290</v>
      </c>
      <c r="Q387" s="298"/>
      <c r="R387" s="286"/>
      <c r="S387" s="296"/>
      <c r="T387" s="309"/>
      <c r="U387" s="301">
        <f>SUM(U388)</f>
        <v>173.35999999999999</v>
      </c>
      <c r="V387" s="286"/>
    </row>
    <row r="388" spans="2:22" ht="20.100000000000001" customHeight="1">
      <c r="B388" s="212" t="s">
        <v>4</v>
      </c>
      <c r="C388" s="213"/>
      <c r="D388" s="212"/>
      <c r="E388" s="212"/>
      <c r="F388" s="212"/>
      <c r="G388" s="212"/>
      <c r="H388" s="212"/>
      <c r="I388" s="213">
        <f>SUM(I380:I387)</f>
        <v>522.71647999999993</v>
      </c>
      <c r="J388" s="242"/>
      <c r="K388" s="102"/>
      <c r="L388" s="102"/>
      <c r="M388" s="102"/>
      <c r="N388" s="102"/>
      <c r="O388" s="286">
        <v>1</v>
      </c>
      <c r="P388" s="307" t="s">
        <v>290</v>
      </c>
      <c r="Q388" s="307"/>
      <c r="R388" s="300" t="s">
        <v>312</v>
      </c>
      <c r="S388" s="296">
        <f>V372</f>
        <v>8.6679999999999993</v>
      </c>
      <c r="T388" s="310">
        <v>20</v>
      </c>
      <c r="U388" s="305">
        <f>T388*S388</f>
        <v>173.35999999999999</v>
      </c>
      <c r="V388" s="286"/>
    </row>
    <row r="389" spans="2:22" ht="20.100000000000001" customHeight="1">
      <c r="J389" s="102"/>
      <c r="K389" s="102"/>
      <c r="L389" s="102"/>
      <c r="M389" s="102"/>
      <c r="N389" s="102"/>
      <c r="O389" s="286" t="s">
        <v>308</v>
      </c>
      <c r="P389" s="618" t="s">
        <v>620</v>
      </c>
      <c r="Q389" s="619"/>
      <c r="R389" s="620"/>
      <c r="S389" s="621"/>
      <c r="T389" s="622"/>
      <c r="U389" s="301">
        <f>U374+U384+U387</f>
        <v>11547.806272186001</v>
      </c>
      <c r="V389" s="286"/>
    </row>
    <row r="390" spans="2:22" ht="20.100000000000001" customHeight="1">
      <c r="J390" s="102"/>
      <c r="K390" s="102"/>
      <c r="L390" s="102"/>
      <c r="M390" s="102"/>
      <c r="N390" s="102"/>
      <c r="O390" s="286" t="s">
        <v>309</v>
      </c>
      <c r="P390" s="618" t="s">
        <v>621</v>
      </c>
      <c r="Q390" s="619"/>
      <c r="R390" s="626">
        <v>0.2</v>
      </c>
      <c r="S390" s="627"/>
      <c r="T390" s="628"/>
      <c r="U390" s="301">
        <f>U389*R390</f>
        <v>2309.5612544372002</v>
      </c>
      <c r="V390" s="286"/>
    </row>
    <row r="391" spans="2:22" ht="20.100000000000001" customHeight="1">
      <c r="J391" s="102"/>
      <c r="K391" s="102"/>
      <c r="L391" s="102"/>
      <c r="M391" s="102"/>
      <c r="N391" s="102"/>
      <c r="O391" s="286" t="s">
        <v>310</v>
      </c>
      <c r="P391" s="618" t="s">
        <v>622</v>
      </c>
      <c r="Q391" s="619"/>
      <c r="R391" s="620"/>
      <c r="S391" s="621"/>
      <c r="T391" s="622"/>
      <c r="U391" s="301">
        <f>U389+U390</f>
        <v>13857.3675266232</v>
      </c>
      <c r="V391" s="286"/>
    </row>
    <row r="392" spans="2:22" ht="30" customHeight="1">
      <c r="L392" s="102"/>
      <c r="M392" s="102"/>
      <c r="N392" s="102"/>
      <c r="O392" s="297" t="s">
        <v>311</v>
      </c>
      <c r="P392" s="618" t="s">
        <v>623</v>
      </c>
      <c r="Q392" s="619"/>
      <c r="R392" s="620"/>
      <c r="S392" s="621"/>
      <c r="T392" s="622"/>
      <c r="U392" s="301">
        <f>U391/V372</f>
        <v>1598.6810713686205</v>
      </c>
      <c r="V392" s="286" t="s">
        <v>624</v>
      </c>
    </row>
    <row r="393" spans="2:22" ht="45" customHeight="1">
      <c r="L393" s="102"/>
      <c r="M393" s="102"/>
      <c r="N393" s="102"/>
      <c r="O393" s="623" t="s">
        <v>625</v>
      </c>
      <c r="P393" s="623"/>
      <c r="Q393" s="623"/>
      <c r="R393" s="623"/>
      <c r="S393" s="623"/>
      <c r="T393" s="623"/>
      <c r="U393" s="623"/>
      <c r="V393" s="623"/>
    </row>
    <row r="394" spans="2:22" ht="18" customHeight="1">
      <c r="L394" s="102"/>
      <c r="M394" s="102"/>
      <c r="N394" s="102"/>
      <c r="O394" s="102"/>
      <c r="P394" s="102"/>
    </row>
    <row r="395" spans="2:22">
      <c r="L395" s="102"/>
      <c r="M395" s="102"/>
      <c r="N395" s="102"/>
      <c r="O395" s="102"/>
      <c r="P395" s="102"/>
    </row>
    <row r="396" spans="2:22">
      <c r="L396" s="102"/>
      <c r="M396" s="102"/>
      <c r="N396" s="102"/>
      <c r="O396" s="102"/>
      <c r="P396" s="102"/>
    </row>
    <row r="397" spans="2:22">
      <c r="L397" s="102"/>
      <c r="M397" s="102"/>
      <c r="N397" s="102"/>
      <c r="O397" s="102"/>
      <c r="P397" s="102"/>
    </row>
    <row r="398" spans="2:22">
      <c r="L398" s="102"/>
      <c r="M398" s="102"/>
      <c r="N398" s="102"/>
      <c r="O398" s="102"/>
      <c r="P398" s="102"/>
    </row>
    <row r="399" spans="2:22">
      <c r="L399" s="102"/>
      <c r="M399" s="102"/>
      <c r="N399" s="102"/>
      <c r="O399" s="102"/>
      <c r="P399" s="102"/>
    </row>
    <row r="400" spans="2:22">
      <c r="L400" s="102"/>
      <c r="M400" s="102"/>
      <c r="N400" s="102"/>
      <c r="O400" s="102"/>
      <c r="P400" s="102"/>
    </row>
    <row r="401" spans="12:16">
      <c r="L401" s="102"/>
      <c r="M401" s="102"/>
      <c r="N401" s="102"/>
      <c r="O401" s="102"/>
      <c r="P401" s="102"/>
    </row>
    <row r="402" spans="12:16">
      <c r="L402" s="102"/>
      <c r="M402" s="102"/>
      <c r="N402" s="102"/>
      <c r="O402" s="102"/>
      <c r="P402" s="102"/>
    </row>
    <row r="403" spans="12:16">
      <c r="L403" s="102"/>
      <c r="M403" s="102"/>
      <c r="N403" s="102"/>
      <c r="O403" s="102"/>
      <c r="P403" s="102"/>
    </row>
    <row r="404" spans="12:16">
      <c r="L404" s="102"/>
      <c r="M404" s="102"/>
      <c r="N404" s="102"/>
      <c r="O404" s="102"/>
      <c r="P404" s="102"/>
    </row>
    <row r="405" spans="12:16">
      <c r="L405" s="102"/>
      <c r="M405" s="102"/>
      <c r="N405" s="102"/>
      <c r="O405" s="102"/>
      <c r="P405" s="102"/>
    </row>
    <row r="406" spans="12:16">
      <c r="L406" s="102"/>
      <c r="M406" s="102"/>
      <c r="N406" s="102"/>
      <c r="O406" s="102"/>
      <c r="P406" s="102"/>
    </row>
    <row r="407" spans="12:16">
      <c r="L407" s="102"/>
      <c r="M407" s="102"/>
      <c r="N407" s="102"/>
      <c r="O407" s="102"/>
      <c r="P407" s="102"/>
    </row>
    <row r="408" spans="12:16">
      <c r="L408" s="102"/>
      <c r="M408" s="102"/>
      <c r="N408" s="102"/>
      <c r="O408" s="102"/>
      <c r="P408" s="102"/>
    </row>
    <row r="409" spans="12:16">
      <c r="L409" s="102"/>
      <c r="M409" s="102"/>
      <c r="N409" s="102"/>
      <c r="O409" s="102"/>
      <c r="P409" s="102"/>
    </row>
    <row r="410" spans="12:16">
      <c r="L410" s="102"/>
      <c r="M410" s="102"/>
      <c r="N410" s="102"/>
      <c r="O410" s="102"/>
      <c r="P410" s="102"/>
    </row>
    <row r="411" spans="12:16">
      <c r="L411" s="102"/>
      <c r="M411" s="102"/>
      <c r="N411" s="102"/>
      <c r="O411" s="102"/>
      <c r="P411" s="102"/>
    </row>
    <row r="412" spans="12:16">
      <c r="L412" s="102"/>
      <c r="M412" s="102"/>
      <c r="N412" s="102"/>
      <c r="O412" s="102"/>
      <c r="P412" s="102"/>
    </row>
    <row r="413" spans="12:16">
      <c r="L413" s="102"/>
      <c r="M413" s="102"/>
      <c r="N413" s="102"/>
      <c r="O413" s="102"/>
      <c r="P413" s="102"/>
    </row>
    <row r="414" spans="12:16">
      <c r="L414" s="102"/>
      <c r="M414" s="102"/>
      <c r="N414" s="102"/>
      <c r="O414" s="102"/>
      <c r="P414" s="102"/>
    </row>
    <row r="415" spans="12:16">
      <c r="L415" s="102"/>
      <c r="M415" s="102"/>
      <c r="N415" s="102"/>
      <c r="O415" s="102"/>
      <c r="P415" s="102"/>
    </row>
    <row r="416" spans="12:16">
      <c r="L416" s="102"/>
      <c r="M416" s="102"/>
      <c r="N416" s="102"/>
      <c r="O416" s="102"/>
      <c r="P416" s="102"/>
    </row>
    <row r="417" spans="10:16">
      <c r="L417" s="102"/>
      <c r="M417" s="102"/>
      <c r="N417" s="102"/>
      <c r="O417" s="102"/>
      <c r="P417" s="102"/>
    </row>
    <row r="418" spans="10:16">
      <c r="L418" s="102"/>
      <c r="M418" s="102"/>
      <c r="N418" s="102"/>
      <c r="O418" s="102"/>
      <c r="P418" s="102"/>
    </row>
    <row r="419" spans="10:16">
      <c r="L419" s="102"/>
      <c r="M419" s="102"/>
      <c r="N419" s="102"/>
      <c r="O419" s="102"/>
      <c r="P419" s="102"/>
    </row>
    <row r="420" spans="10:16">
      <c r="L420" s="102"/>
      <c r="M420" s="102"/>
      <c r="N420" s="102"/>
      <c r="O420" s="102"/>
      <c r="P420" s="102"/>
    </row>
    <row r="421" spans="10:16">
      <c r="L421" s="102"/>
      <c r="M421" s="102"/>
      <c r="N421" s="102"/>
      <c r="O421" s="102"/>
      <c r="P421" s="102"/>
    </row>
    <row r="422" spans="10:16">
      <c r="L422" s="102"/>
      <c r="M422" s="102"/>
      <c r="N422" s="102"/>
      <c r="O422" s="102"/>
      <c r="P422" s="102"/>
    </row>
    <row r="423" spans="10:16">
      <c r="L423" s="102"/>
      <c r="M423" s="102"/>
      <c r="N423" s="102"/>
      <c r="O423" s="102"/>
      <c r="P423" s="102"/>
    </row>
    <row r="424" spans="10:16">
      <c r="L424" s="102"/>
      <c r="M424" s="102"/>
      <c r="N424" s="102"/>
      <c r="O424" s="102"/>
      <c r="P424" s="102"/>
    </row>
    <row r="425" spans="10:16">
      <c r="L425" s="102"/>
      <c r="M425" s="102"/>
      <c r="N425" s="102"/>
      <c r="O425" s="102"/>
      <c r="P425" s="102"/>
    </row>
    <row r="426" spans="10:16">
      <c r="L426" s="102"/>
      <c r="M426" s="102"/>
      <c r="N426" s="102"/>
      <c r="O426" s="102"/>
      <c r="P426" s="102"/>
    </row>
    <row r="427" spans="10:16">
      <c r="J427" s="102"/>
      <c r="K427" s="102"/>
      <c r="L427" s="102"/>
      <c r="M427" s="102"/>
      <c r="N427" s="102"/>
      <c r="O427" s="102"/>
      <c r="P427" s="102"/>
    </row>
    <row r="428" spans="10:16">
      <c r="J428" s="102"/>
      <c r="K428" s="102"/>
      <c r="L428" s="102"/>
      <c r="M428" s="102"/>
      <c r="N428" s="102"/>
      <c r="O428" s="102"/>
      <c r="P428" s="102"/>
    </row>
    <row r="429" spans="10:16">
      <c r="J429" s="102"/>
      <c r="K429" s="102"/>
      <c r="L429" s="102"/>
      <c r="M429" s="102"/>
      <c r="N429" s="102"/>
      <c r="O429" s="102"/>
      <c r="P429" s="102"/>
    </row>
    <row r="430" spans="10:16">
      <c r="J430" s="102"/>
      <c r="K430" s="102"/>
      <c r="L430" s="102"/>
      <c r="M430" s="102"/>
      <c r="N430" s="102"/>
      <c r="O430" s="102"/>
      <c r="P430" s="102"/>
    </row>
    <row r="431" spans="10:16">
      <c r="J431" s="102"/>
      <c r="K431" s="102"/>
      <c r="L431" s="102"/>
      <c r="M431" s="102"/>
      <c r="N431" s="102"/>
      <c r="O431" s="102"/>
      <c r="P431" s="102"/>
    </row>
    <row r="432" spans="10:16">
      <c r="J432" s="102"/>
      <c r="K432" s="102"/>
      <c r="L432" s="102"/>
      <c r="M432" s="102"/>
      <c r="N432" s="102"/>
      <c r="O432" s="102"/>
      <c r="P432" s="102"/>
    </row>
    <row r="433" spans="10:16">
      <c r="J433" s="102"/>
      <c r="K433" s="102"/>
      <c r="L433" s="102"/>
      <c r="M433" s="102"/>
      <c r="N433" s="102"/>
      <c r="O433" s="102"/>
      <c r="P433" s="102"/>
    </row>
    <row r="434" spans="10:16">
      <c r="J434" s="102"/>
      <c r="K434" s="102"/>
      <c r="L434" s="102"/>
      <c r="M434" s="102"/>
      <c r="N434" s="102"/>
      <c r="O434" s="102"/>
      <c r="P434" s="102"/>
    </row>
    <row r="435" spans="10:16">
      <c r="J435" s="102"/>
      <c r="K435" s="102"/>
      <c r="L435" s="102"/>
      <c r="M435" s="102"/>
      <c r="N435" s="102"/>
      <c r="O435" s="102"/>
      <c r="P435" s="102"/>
    </row>
    <row r="436" spans="10:16">
      <c r="J436" s="102"/>
      <c r="K436" s="102"/>
      <c r="L436" s="102"/>
      <c r="M436" s="102"/>
      <c r="N436" s="102"/>
      <c r="O436" s="102"/>
      <c r="P436" s="102"/>
    </row>
    <row r="437" spans="10:16">
      <c r="J437" s="102"/>
      <c r="K437" s="102"/>
      <c r="L437" s="102"/>
      <c r="M437" s="102"/>
      <c r="N437" s="102"/>
      <c r="O437" s="102"/>
      <c r="P437" s="102"/>
    </row>
    <row r="438" spans="10:16">
      <c r="J438" s="102"/>
      <c r="K438" s="102"/>
      <c r="L438" s="102"/>
      <c r="M438" s="102"/>
      <c r="N438" s="102"/>
      <c r="O438" s="102"/>
      <c r="P438" s="102"/>
    </row>
    <row r="439" spans="10:16">
      <c r="J439" s="102"/>
      <c r="K439" s="102"/>
      <c r="L439" s="102"/>
      <c r="M439" s="102"/>
      <c r="N439" s="102"/>
      <c r="O439" s="102"/>
      <c r="P439" s="102"/>
    </row>
    <row r="440" spans="10:16">
      <c r="J440" s="102"/>
      <c r="K440" s="102"/>
      <c r="L440" s="102"/>
      <c r="M440" s="102"/>
      <c r="N440" s="102"/>
      <c r="O440" s="102"/>
      <c r="P440" s="102"/>
    </row>
    <row r="441" spans="10:16">
      <c r="J441" s="102"/>
      <c r="K441" s="102"/>
      <c r="L441" s="102"/>
      <c r="M441" s="102"/>
      <c r="N441" s="102"/>
      <c r="O441" s="102"/>
      <c r="P441" s="102"/>
    </row>
    <row r="442" spans="10:16">
      <c r="J442" s="102"/>
      <c r="K442" s="102"/>
      <c r="L442" s="102"/>
      <c r="M442" s="102"/>
      <c r="N442" s="102"/>
      <c r="O442" s="102"/>
      <c r="P442" s="102"/>
    </row>
    <row r="443" spans="10:16">
      <c r="J443" s="102"/>
      <c r="K443" s="102"/>
      <c r="L443" s="102"/>
      <c r="M443" s="102"/>
      <c r="N443" s="102"/>
      <c r="O443" s="102"/>
      <c r="P443" s="102"/>
    </row>
    <row r="444" spans="10:16">
      <c r="J444" s="102"/>
      <c r="K444" s="102"/>
      <c r="L444" s="102"/>
      <c r="M444" s="102"/>
      <c r="N444" s="102"/>
      <c r="O444" s="102"/>
      <c r="P444" s="102"/>
    </row>
    <row r="445" spans="10:16">
      <c r="J445" s="102"/>
      <c r="K445" s="102"/>
      <c r="L445" s="102"/>
      <c r="M445" s="102"/>
      <c r="N445" s="102"/>
      <c r="O445" s="102"/>
      <c r="P445" s="102"/>
    </row>
    <row r="446" spans="10:16">
      <c r="J446" s="102"/>
      <c r="K446" s="102"/>
      <c r="L446" s="102"/>
      <c r="M446" s="102"/>
      <c r="N446" s="102"/>
      <c r="O446" s="102"/>
      <c r="P446" s="102"/>
    </row>
    <row r="447" spans="10:16">
      <c r="J447" s="102"/>
      <c r="K447" s="102"/>
      <c r="L447" s="102"/>
      <c r="M447" s="102"/>
      <c r="N447" s="102"/>
      <c r="O447" s="102"/>
      <c r="P447" s="102"/>
    </row>
    <row r="448" spans="10:16">
      <c r="J448" s="102"/>
      <c r="K448" s="102"/>
      <c r="L448" s="102"/>
      <c r="M448" s="102"/>
      <c r="N448" s="102"/>
      <c r="O448" s="102"/>
      <c r="P448" s="102"/>
    </row>
    <row r="449" spans="10:16">
      <c r="J449" s="102"/>
      <c r="K449" s="102"/>
      <c r="L449" s="102"/>
      <c r="M449" s="102"/>
      <c r="N449" s="102"/>
      <c r="O449" s="102"/>
      <c r="P449" s="102"/>
    </row>
    <row r="450" spans="10:16">
      <c r="J450" s="102"/>
      <c r="K450" s="102"/>
      <c r="L450" s="102"/>
      <c r="M450" s="102"/>
      <c r="N450" s="102"/>
      <c r="O450" s="102"/>
      <c r="P450" s="102"/>
    </row>
    <row r="451" spans="10:16">
      <c r="J451" s="102"/>
      <c r="K451" s="102"/>
      <c r="L451" s="102"/>
      <c r="M451" s="102"/>
      <c r="N451" s="102"/>
      <c r="O451" s="102"/>
      <c r="P451" s="102"/>
    </row>
    <row r="452" spans="10:16">
      <c r="J452" s="102"/>
      <c r="K452" s="102"/>
      <c r="L452" s="102"/>
      <c r="M452" s="102"/>
      <c r="N452" s="102"/>
      <c r="O452" s="102"/>
      <c r="P452" s="102"/>
    </row>
    <row r="453" spans="10:16">
      <c r="J453" s="102"/>
      <c r="K453" s="102"/>
      <c r="L453" s="102"/>
      <c r="M453" s="102"/>
      <c r="N453" s="102"/>
      <c r="O453" s="102"/>
      <c r="P453" s="102"/>
    </row>
    <row r="454" spans="10:16">
      <c r="J454" s="102"/>
      <c r="K454" s="102"/>
      <c r="L454" s="102"/>
      <c r="M454" s="102"/>
      <c r="N454" s="102"/>
      <c r="O454" s="102"/>
      <c r="P454" s="102"/>
    </row>
    <row r="455" spans="10:16">
      <c r="J455" s="102"/>
      <c r="K455" s="102"/>
      <c r="L455" s="102"/>
      <c r="M455" s="102"/>
      <c r="N455" s="102"/>
      <c r="O455" s="102"/>
      <c r="P455" s="102"/>
    </row>
    <row r="456" spans="10:16">
      <c r="J456" s="102"/>
      <c r="K456" s="102"/>
      <c r="L456" s="102"/>
      <c r="M456" s="102"/>
      <c r="N456" s="102"/>
      <c r="O456" s="102"/>
      <c r="P456" s="102"/>
    </row>
    <row r="457" spans="10:16">
      <c r="J457" s="102"/>
      <c r="K457" s="102"/>
      <c r="L457" s="102"/>
      <c r="M457" s="102"/>
      <c r="N457" s="102"/>
      <c r="O457" s="102"/>
      <c r="P457" s="102"/>
    </row>
    <row r="458" spans="10:16">
      <c r="J458" s="102"/>
      <c r="K458" s="102"/>
      <c r="L458" s="102"/>
      <c r="M458" s="102"/>
      <c r="N458" s="102"/>
      <c r="O458" s="102"/>
      <c r="P458" s="102"/>
    </row>
    <row r="459" spans="10:16">
      <c r="J459" s="102"/>
      <c r="K459" s="102"/>
      <c r="L459" s="102"/>
      <c r="M459" s="102"/>
      <c r="N459" s="102"/>
      <c r="O459" s="102"/>
      <c r="P459" s="102"/>
    </row>
    <row r="460" spans="10:16">
      <c r="J460" s="102"/>
      <c r="K460" s="102"/>
      <c r="L460" s="102"/>
      <c r="M460" s="102"/>
      <c r="N460" s="102"/>
      <c r="O460" s="102"/>
      <c r="P460" s="102"/>
    </row>
    <row r="461" spans="10:16">
      <c r="J461" s="102"/>
      <c r="K461" s="102"/>
      <c r="L461" s="102"/>
      <c r="M461" s="102"/>
      <c r="N461" s="102"/>
      <c r="O461" s="102"/>
      <c r="P461" s="102"/>
    </row>
    <row r="462" spans="10:16">
      <c r="J462" s="102"/>
      <c r="K462" s="102"/>
      <c r="L462" s="102"/>
      <c r="M462" s="102"/>
      <c r="N462" s="102"/>
      <c r="O462" s="102"/>
      <c r="P462" s="102"/>
    </row>
    <row r="463" spans="10:16">
      <c r="J463" s="102"/>
      <c r="K463" s="102"/>
      <c r="L463" s="102"/>
      <c r="M463" s="102"/>
      <c r="N463" s="102"/>
      <c r="O463" s="102"/>
      <c r="P463" s="102"/>
    </row>
    <row r="464" spans="10:16">
      <c r="J464" s="102"/>
      <c r="K464" s="102"/>
      <c r="L464" s="102"/>
      <c r="M464" s="102"/>
      <c r="N464" s="102"/>
      <c r="O464" s="102"/>
      <c r="P464" s="102"/>
    </row>
  </sheetData>
  <mergeCells count="95">
    <mergeCell ref="F2:H2"/>
    <mergeCell ref="I2:I6"/>
    <mergeCell ref="J2:M2"/>
    <mergeCell ref="B4:B6"/>
    <mergeCell ref="B14:B21"/>
    <mergeCell ref="C14:C21"/>
    <mergeCell ref="B26:B30"/>
    <mergeCell ref="C26:C30"/>
    <mergeCell ref="B35:B37"/>
    <mergeCell ref="C35:C37"/>
    <mergeCell ref="B42:B47"/>
    <mergeCell ref="C42:C44"/>
    <mergeCell ref="C45:C47"/>
    <mergeCell ref="B52:B55"/>
    <mergeCell ref="C52:C55"/>
    <mergeCell ref="D59:F59"/>
    <mergeCell ref="B60:B63"/>
    <mergeCell ref="C60:C61"/>
    <mergeCell ref="D60:F60"/>
    <mergeCell ref="D61:F61"/>
    <mergeCell ref="C62:C63"/>
    <mergeCell ref="D62:F62"/>
    <mergeCell ref="D63:F63"/>
    <mergeCell ref="B68:B87"/>
    <mergeCell ref="C68:C74"/>
    <mergeCell ref="C75:C81"/>
    <mergeCell ref="C82:C87"/>
    <mergeCell ref="B92:B96"/>
    <mergeCell ref="C92:C96"/>
    <mergeCell ref="B137:B138"/>
    <mergeCell ref="C137:C138"/>
    <mergeCell ref="D137:F137"/>
    <mergeCell ref="D138:F138"/>
    <mergeCell ref="B101:B103"/>
    <mergeCell ref="C101:C103"/>
    <mergeCell ref="B108:B111"/>
    <mergeCell ref="C108:C111"/>
    <mergeCell ref="B116:B118"/>
    <mergeCell ref="C116:C118"/>
    <mergeCell ref="B123:B125"/>
    <mergeCell ref="C123:C125"/>
    <mergeCell ref="B130:B132"/>
    <mergeCell ref="C130:C132"/>
    <mergeCell ref="D136:F136"/>
    <mergeCell ref="B143:B145"/>
    <mergeCell ref="C143:C145"/>
    <mergeCell ref="B150:B152"/>
    <mergeCell ref="C150:C152"/>
    <mergeCell ref="B157:B162"/>
    <mergeCell ref="C157:C162"/>
    <mergeCell ref="B167:B169"/>
    <mergeCell ref="C167:C169"/>
    <mergeCell ref="B174:B176"/>
    <mergeCell ref="C174:C176"/>
    <mergeCell ref="B181:B183"/>
    <mergeCell ref="C181:C183"/>
    <mergeCell ref="F209:F210"/>
    <mergeCell ref="B188:B190"/>
    <mergeCell ref="C188:C190"/>
    <mergeCell ref="D194:F194"/>
    <mergeCell ref="B195:B196"/>
    <mergeCell ref="C195:C196"/>
    <mergeCell ref="D195:F195"/>
    <mergeCell ref="D196:F196"/>
    <mergeCell ref="B197:B198"/>
    <mergeCell ref="C197:C198"/>
    <mergeCell ref="D197:F197"/>
    <mergeCell ref="D198:F198"/>
    <mergeCell ref="F203:F204"/>
    <mergeCell ref="O369:V369"/>
    <mergeCell ref="F211:F212"/>
    <mergeCell ref="F213:F214"/>
    <mergeCell ref="B291:B292"/>
    <mergeCell ref="B294:B295"/>
    <mergeCell ref="I294:I295"/>
    <mergeCell ref="B296:B297"/>
    <mergeCell ref="I296:I297"/>
    <mergeCell ref="B298:B299"/>
    <mergeCell ref="I298:I299"/>
    <mergeCell ref="B300:B301"/>
    <mergeCell ref="B302:B303"/>
    <mergeCell ref="O368:V368"/>
    <mergeCell ref="P370:Q370"/>
    <mergeCell ref="O371:O372"/>
    <mergeCell ref="P371:T372"/>
    <mergeCell ref="B378:I378"/>
    <mergeCell ref="P389:Q389"/>
    <mergeCell ref="R389:T389"/>
    <mergeCell ref="O393:V393"/>
    <mergeCell ref="P390:Q390"/>
    <mergeCell ref="R390:T390"/>
    <mergeCell ref="P391:Q391"/>
    <mergeCell ref="R391:T391"/>
    <mergeCell ref="P392:Q392"/>
    <mergeCell ref="R392:T392"/>
  </mergeCells>
  <phoneticPr fontId="5" type="noConversion"/>
  <pageMargins left="0.19685039370078741" right="0.19685039370078741" top="0.74803149606299213" bottom="0.74803149606299213" header="0.31496062992125984" footer="0.31496062992125984"/>
  <pageSetup paperSize="9" scale="78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4255B-817C-42EE-9240-CD363DC901A3}">
  <sheetPr>
    <tabColor rgb="FF7030A0"/>
    <pageSetUpPr fitToPage="1"/>
  </sheetPr>
  <dimension ref="A1:V464"/>
  <sheetViews>
    <sheetView showZeros="0" topLeftCell="A373" zoomScaleNormal="100" workbookViewId="0">
      <selection activeCell="C372" sqref="C372"/>
    </sheetView>
  </sheetViews>
  <sheetFormatPr defaultColWidth="25.25" defaultRowHeight="13.5"/>
  <cols>
    <col min="1" max="1" width="0.5" style="1" customWidth="1"/>
    <col min="2" max="2" width="25.25" style="102" customWidth="1"/>
    <col min="3" max="3" width="14.75" style="102" customWidth="1"/>
    <col min="4" max="4" width="11.5" style="102" customWidth="1"/>
    <col min="5" max="5" width="11.25" style="102" customWidth="1"/>
    <col min="6" max="6" width="12.25" style="102" customWidth="1"/>
    <col min="7" max="7" width="10" style="102" customWidth="1"/>
    <col min="8" max="8" width="9.875" style="102" customWidth="1"/>
    <col min="9" max="9" width="26.875" style="102" customWidth="1"/>
    <col min="10" max="10" width="11.125" style="43" customWidth="1"/>
    <col min="11" max="11" width="7.875" style="43" customWidth="1"/>
    <col min="12" max="12" width="7.25" style="43" customWidth="1"/>
    <col min="13" max="13" width="9.125" style="43" customWidth="1"/>
    <col min="14" max="14" width="15.125" style="255" customWidth="1"/>
    <col min="15" max="15" width="13.125" style="255" customWidth="1"/>
    <col min="16" max="16" width="24.375" style="255" customWidth="1"/>
    <col min="17" max="17" width="13.75" style="255" customWidth="1"/>
    <col min="18" max="18" width="11.25" style="255" customWidth="1"/>
    <col min="19" max="19" width="10.75" style="255" customWidth="1"/>
    <col min="20" max="20" width="10" style="255" customWidth="1"/>
    <col min="21" max="21" width="9.875" style="255" customWidth="1"/>
    <col min="22" max="22" width="26.125" style="255" customWidth="1"/>
    <col min="23" max="23" width="11.125" style="255" customWidth="1"/>
    <col min="24" max="24" width="7.875" style="255" customWidth="1"/>
    <col min="25" max="25" width="7.25" style="255" customWidth="1"/>
    <col min="26" max="26" width="9.125" style="255" customWidth="1"/>
    <col min="27" max="27" width="15.125" style="255" customWidth="1"/>
    <col min="28" max="28" width="7.75" style="255" customWidth="1"/>
    <col min="29" max="29" width="7.125" style="255" customWidth="1"/>
    <col min="30" max="30" width="12.125" style="255" customWidth="1"/>
    <col min="31" max="31" width="8.25" style="255" customWidth="1"/>
    <col min="32" max="33" width="10.375" style="255" customWidth="1"/>
    <col min="34" max="34" width="15.625" style="255" customWidth="1"/>
    <col min="35" max="35" width="15.875" style="255" customWidth="1"/>
    <col min="36" max="36" width="8.125" style="255" customWidth="1"/>
    <col min="37" max="40" width="10.375" style="255" customWidth="1"/>
    <col min="41" max="41" width="7.25" style="255" customWidth="1"/>
    <col min="42" max="42" width="7.125" style="255" customWidth="1"/>
    <col min="43" max="43" width="9.5" style="255" customWidth="1"/>
    <col min="44" max="45" width="9" style="255" customWidth="1"/>
    <col min="46" max="46" width="16.125" style="255" customWidth="1"/>
    <col min="47" max="77" width="9" style="255" customWidth="1"/>
    <col min="78" max="237" width="25.25" style="255"/>
    <col min="238" max="267" width="9" style="255" customWidth="1"/>
    <col min="268" max="268" width="0.5" style="255" customWidth="1"/>
    <col min="269" max="269" width="25.25" style="255"/>
    <col min="270" max="270" width="0.5" style="255" customWidth="1"/>
    <col min="271" max="271" width="25.25" style="255"/>
    <col min="272" max="272" width="14.75" style="255" customWidth="1"/>
    <col min="273" max="273" width="11.5" style="255" customWidth="1"/>
    <col min="274" max="274" width="11.25" style="255" customWidth="1"/>
    <col min="275" max="275" width="10.75" style="255" customWidth="1"/>
    <col min="276" max="276" width="10" style="255" customWidth="1"/>
    <col min="277" max="277" width="9.875" style="255" customWidth="1"/>
    <col min="278" max="278" width="26.125" style="255" customWidth="1"/>
    <col min="279" max="279" width="11.125" style="255" customWidth="1"/>
    <col min="280" max="280" width="7.875" style="255" customWidth="1"/>
    <col min="281" max="281" width="7.25" style="255" customWidth="1"/>
    <col min="282" max="282" width="9.125" style="255" customWidth="1"/>
    <col min="283" max="283" width="15.125" style="255" customWidth="1"/>
    <col min="284" max="284" width="7.75" style="255" customWidth="1"/>
    <col min="285" max="285" width="7.125" style="255" customWidth="1"/>
    <col min="286" max="286" width="12.125" style="255" customWidth="1"/>
    <col min="287" max="287" width="8.25" style="255" customWidth="1"/>
    <col min="288" max="289" width="10.375" style="255" customWidth="1"/>
    <col min="290" max="290" width="15.625" style="255" customWidth="1"/>
    <col min="291" max="291" width="15.875" style="255" customWidth="1"/>
    <col min="292" max="292" width="8.125" style="255" customWidth="1"/>
    <col min="293" max="296" width="10.375" style="255" customWidth="1"/>
    <col min="297" max="297" width="7.25" style="255" customWidth="1"/>
    <col min="298" max="298" width="7.125" style="255" customWidth="1"/>
    <col min="299" max="299" width="9.5" style="255" customWidth="1"/>
    <col min="300" max="301" width="9" style="255" customWidth="1"/>
    <col min="302" max="302" width="16.125" style="255" customWidth="1"/>
    <col min="303" max="333" width="9" style="255" customWidth="1"/>
    <col min="334" max="493" width="25.25" style="255"/>
    <col min="494" max="523" width="9" style="255" customWidth="1"/>
    <col min="524" max="524" width="0.5" style="255" customWidth="1"/>
    <col min="525" max="525" width="25.25" style="255"/>
    <col min="526" max="526" width="0.5" style="255" customWidth="1"/>
    <col min="527" max="527" width="25.25" style="255"/>
    <col min="528" max="528" width="14.75" style="255" customWidth="1"/>
    <col min="529" max="529" width="11.5" style="255" customWidth="1"/>
    <col min="530" max="530" width="11.25" style="255" customWidth="1"/>
    <col min="531" max="531" width="10.75" style="255" customWidth="1"/>
    <col min="532" max="532" width="10" style="255" customWidth="1"/>
    <col min="533" max="533" width="9.875" style="255" customWidth="1"/>
    <col min="534" max="534" width="26.125" style="255" customWidth="1"/>
    <col min="535" max="535" width="11.125" style="255" customWidth="1"/>
    <col min="536" max="536" width="7.875" style="255" customWidth="1"/>
    <col min="537" max="537" width="7.25" style="255" customWidth="1"/>
    <col min="538" max="538" width="9.125" style="255" customWidth="1"/>
    <col min="539" max="539" width="15.125" style="255" customWidth="1"/>
    <col min="540" max="540" width="7.75" style="255" customWidth="1"/>
    <col min="541" max="541" width="7.125" style="255" customWidth="1"/>
    <col min="542" max="542" width="12.125" style="255" customWidth="1"/>
    <col min="543" max="543" width="8.25" style="255" customWidth="1"/>
    <col min="544" max="545" width="10.375" style="255" customWidth="1"/>
    <col min="546" max="546" width="15.625" style="255" customWidth="1"/>
    <col min="547" max="547" width="15.875" style="255" customWidth="1"/>
    <col min="548" max="548" width="8.125" style="255" customWidth="1"/>
    <col min="549" max="552" width="10.375" style="255" customWidth="1"/>
    <col min="553" max="553" width="7.25" style="255" customWidth="1"/>
    <col min="554" max="554" width="7.125" style="255" customWidth="1"/>
    <col min="555" max="555" width="9.5" style="255" customWidth="1"/>
    <col min="556" max="557" width="9" style="255" customWidth="1"/>
    <col min="558" max="558" width="16.125" style="255" customWidth="1"/>
    <col min="559" max="589" width="9" style="255" customWidth="1"/>
    <col min="590" max="749" width="25.25" style="255"/>
    <col min="750" max="779" width="9" style="255" customWidth="1"/>
    <col min="780" max="780" width="0.5" style="255" customWidth="1"/>
    <col min="781" max="781" width="25.25" style="255"/>
    <col min="782" max="782" width="0.5" style="255" customWidth="1"/>
    <col min="783" max="783" width="25.25" style="255"/>
    <col min="784" max="784" width="14.75" style="255" customWidth="1"/>
    <col min="785" max="785" width="11.5" style="255" customWidth="1"/>
    <col min="786" max="786" width="11.25" style="255" customWidth="1"/>
    <col min="787" max="787" width="10.75" style="255" customWidth="1"/>
    <col min="788" max="788" width="10" style="255" customWidth="1"/>
    <col min="789" max="789" width="9.875" style="255" customWidth="1"/>
    <col min="790" max="790" width="26.125" style="255" customWidth="1"/>
    <col min="791" max="791" width="11.125" style="255" customWidth="1"/>
    <col min="792" max="792" width="7.875" style="255" customWidth="1"/>
    <col min="793" max="793" width="7.25" style="255" customWidth="1"/>
    <col min="794" max="794" width="9.125" style="255" customWidth="1"/>
    <col min="795" max="795" width="15.125" style="255" customWidth="1"/>
    <col min="796" max="796" width="7.75" style="255" customWidth="1"/>
    <col min="797" max="797" width="7.125" style="255" customWidth="1"/>
    <col min="798" max="798" width="12.125" style="255" customWidth="1"/>
    <col min="799" max="799" width="8.25" style="255" customWidth="1"/>
    <col min="800" max="801" width="10.375" style="255" customWidth="1"/>
    <col min="802" max="802" width="15.625" style="255" customWidth="1"/>
    <col min="803" max="803" width="15.875" style="255" customWidth="1"/>
    <col min="804" max="804" width="8.125" style="255" customWidth="1"/>
    <col min="805" max="808" width="10.375" style="255" customWidth="1"/>
    <col min="809" max="809" width="7.25" style="255" customWidth="1"/>
    <col min="810" max="810" width="7.125" style="255" customWidth="1"/>
    <col min="811" max="811" width="9.5" style="255" customWidth="1"/>
    <col min="812" max="813" width="9" style="255" customWidth="1"/>
    <col min="814" max="814" width="16.125" style="255" customWidth="1"/>
    <col min="815" max="845" width="9" style="255" customWidth="1"/>
    <col min="846" max="1005" width="25.25" style="255"/>
    <col min="1006" max="1035" width="9" style="255" customWidth="1"/>
    <col min="1036" max="1036" width="0.5" style="255" customWidth="1"/>
    <col min="1037" max="1037" width="25.25" style="255"/>
    <col min="1038" max="1038" width="0.5" style="255" customWidth="1"/>
    <col min="1039" max="1039" width="25.25" style="255"/>
    <col min="1040" max="1040" width="14.75" style="255" customWidth="1"/>
    <col min="1041" max="1041" width="11.5" style="255" customWidth="1"/>
    <col min="1042" max="1042" width="11.25" style="255" customWidth="1"/>
    <col min="1043" max="1043" width="10.75" style="255" customWidth="1"/>
    <col min="1044" max="1044" width="10" style="255" customWidth="1"/>
    <col min="1045" max="1045" width="9.875" style="255" customWidth="1"/>
    <col min="1046" max="1046" width="26.125" style="255" customWidth="1"/>
    <col min="1047" max="1047" width="11.125" style="255" customWidth="1"/>
    <col min="1048" max="1048" width="7.875" style="255" customWidth="1"/>
    <col min="1049" max="1049" width="7.25" style="255" customWidth="1"/>
    <col min="1050" max="1050" width="9.125" style="255" customWidth="1"/>
    <col min="1051" max="1051" width="15.125" style="255" customWidth="1"/>
    <col min="1052" max="1052" width="7.75" style="255" customWidth="1"/>
    <col min="1053" max="1053" width="7.125" style="255" customWidth="1"/>
    <col min="1054" max="1054" width="12.125" style="255" customWidth="1"/>
    <col min="1055" max="1055" width="8.25" style="255" customWidth="1"/>
    <col min="1056" max="1057" width="10.375" style="255" customWidth="1"/>
    <col min="1058" max="1058" width="15.625" style="255" customWidth="1"/>
    <col min="1059" max="1059" width="15.875" style="255" customWidth="1"/>
    <col min="1060" max="1060" width="8.125" style="255" customWidth="1"/>
    <col min="1061" max="1064" width="10.375" style="255" customWidth="1"/>
    <col min="1065" max="1065" width="7.25" style="255" customWidth="1"/>
    <col min="1066" max="1066" width="7.125" style="255" customWidth="1"/>
    <col min="1067" max="1067" width="9.5" style="255" customWidth="1"/>
    <col min="1068" max="1069" width="9" style="255" customWidth="1"/>
    <col min="1070" max="1070" width="16.125" style="255" customWidth="1"/>
    <col min="1071" max="1101" width="9" style="255" customWidth="1"/>
    <col min="1102" max="1261" width="25.25" style="255"/>
    <col min="1262" max="1291" width="9" style="255" customWidth="1"/>
    <col min="1292" max="1292" width="0.5" style="255" customWidth="1"/>
    <col min="1293" max="1293" width="25.25" style="255"/>
    <col min="1294" max="1294" width="0.5" style="255" customWidth="1"/>
    <col min="1295" max="1295" width="25.25" style="255"/>
    <col min="1296" max="1296" width="14.75" style="255" customWidth="1"/>
    <col min="1297" max="1297" width="11.5" style="255" customWidth="1"/>
    <col min="1298" max="1298" width="11.25" style="255" customWidth="1"/>
    <col min="1299" max="1299" width="10.75" style="255" customWidth="1"/>
    <col min="1300" max="1300" width="10" style="255" customWidth="1"/>
    <col min="1301" max="1301" width="9.875" style="255" customWidth="1"/>
    <col min="1302" max="1302" width="26.125" style="255" customWidth="1"/>
    <col min="1303" max="1303" width="11.125" style="255" customWidth="1"/>
    <col min="1304" max="1304" width="7.875" style="255" customWidth="1"/>
    <col min="1305" max="1305" width="7.25" style="255" customWidth="1"/>
    <col min="1306" max="1306" width="9.125" style="255" customWidth="1"/>
    <col min="1307" max="1307" width="15.125" style="255" customWidth="1"/>
    <col min="1308" max="1308" width="7.75" style="255" customWidth="1"/>
    <col min="1309" max="1309" width="7.125" style="255" customWidth="1"/>
    <col min="1310" max="1310" width="12.125" style="255" customWidth="1"/>
    <col min="1311" max="1311" width="8.25" style="255" customWidth="1"/>
    <col min="1312" max="1313" width="10.375" style="255" customWidth="1"/>
    <col min="1314" max="1314" width="15.625" style="255" customWidth="1"/>
    <col min="1315" max="1315" width="15.875" style="255" customWidth="1"/>
    <col min="1316" max="1316" width="8.125" style="255" customWidth="1"/>
    <col min="1317" max="1320" width="10.375" style="255" customWidth="1"/>
    <col min="1321" max="1321" width="7.25" style="255" customWidth="1"/>
    <col min="1322" max="1322" width="7.125" style="255" customWidth="1"/>
    <col min="1323" max="1323" width="9.5" style="255" customWidth="1"/>
    <col min="1324" max="1325" width="9" style="255" customWidth="1"/>
    <col min="1326" max="1326" width="16.125" style="255" customWidth="1"/>
    <col min="1327" max="1357" width="9" style="255" customWidth="1"/>
    <col min="1358" max="1517" width="25.25" style="255"/>
    <col min="1518" max="1547" width="9" style="255" customWidth="1"/>
    <col min="1548" max="1548" width="0.5" style="255" customWidth="1"/>
    <col min="1549" max="1549" width="25.25" style="255"/>
    <col min="1550" max="1550" width="0.5" style="255" customWidth="1"/>
    <col min="1551" max="1551" width="25.25" style="255"/>
    <col min="1552" max="1552" width="14.75" style="255" customWidth="1"/>
    <col min="1553" max="1553" width="11.5" style="255" customWidth="1"/>
    <col min="1554" max="1554" width="11.25" style="255" customWidth="1"/>
    <col min="1555" max="1555" width="10.75" style="255" customWidth="1"/>
    <col min="1556" max="1556" width="10" style="255" customWidth="1"/>
    <col min="1557" max="1557" width="9.875" style="255" customWidth="1"/>
    <col min="1558" max="1558" width="26.125" style="255" customWidth="1"/>
    <col min="1559" max="1559" width="11.125" style="255" customWidth="1"/>
    <col min="1560" max="1560" width="7.875" style="255" customWidth="1"/>
    <col min="1561" max="1561" width="7.25" style="255" customWidth="1"/>
    <col min="1562" max="1562" width="9.125" style="255" customWidth="1"/>
    <col min="1563" max="1563" width="15.125" style="255" customWidth="1"/>
    <col min="1564" max="1564" width="7.75" style="255" customWidth="1"/>
    <col min="1565" max="1565" width="7.125" style="255" customWidth="1"/>
    <col min="1566" max="1566" width="12.125" style="255" customWidth="1"/>
    <col min="1567" max="1567" width="8.25" style="255" customWidth="1"/>
    <col min="1568" max="1569" width="10.375" style="255" customWidth="1"/>
    <col min="1570" max="1570" width="15.625" style="255" customWidth="1"/>
    <col min="1571" max="1571" width="15.875" style="255" customWidth="1"/>
    <col min="1572" max="1572" width="8.125" style="255" customWidth="1"/>
    <col min="1573" max="1576" width="10.375" style="255" customWidth="1"/>
    <col min="1577" max="1577" width="7.25" style="255" customWidth="1"/>
    <col min="1578" max="1578" width="7.125" style="255" customWidth="1"/>
    <col min="1579" max="1579" width="9.5" style="255" customWidth="1"/>
    <col min="1580" max="1581" width="9" style="255" customWidth="1"/>
    <col min="1582" max="1582" width="16.125" style="255" customWidth="1"/>
    <col min="1583" max="1613" width="9" style="255" customWidth="1"/>
    <col min="1614" max="1773" width="25.25" style="255"/>
    <col min="1774" max="1803" width="9" style="255" customWidth="1"/>
    <col min="1804" max="1804" width="0.5" style="255" customWidth="1"/>
    <col min="1805" max="1805" width="25.25" style="255"/>
    <col min="1806" max="1806" width="0.5" style="255" customWidth="1"/>
    <col min="1807" max="1807" width="25.25" style="255"/>
    <col min="1808" max="1808" width="14.75" style="255" customWidth="1"/>
    <col min="1809" max="1809" width="11.5" style="255" customWidth="1"/>
    <col min="1810" max="1810" width="11.25" style="255" customWidth="1"/>
    <col min="1811" max="1811" width="10.75" style="255" customWidth="1"/>
    <col min="1812" max="1812" width="10" style="255" customWidth="1"/>
    <col min="1813" max="1813" width="9.875" style="255" customWidth="1"/>
    <col min="1814" max="1814" width="26.125" style="255" customWidth="1"/>
    <col min="1815" max="1815" width="11.125" style="255" customWidth="1"/>
    <col min="1816" max="1816" width="7.875" style="255" customWidth="1"/>
    <col min="1817" max="1817" width="7.25" style="255" customWidth="1"/>
    <col min="1818" max="1818" width="9.125" style="255" customWidth="1"/>
    <col min="1819" max="1819" width="15.125" style="255" customWidth="1"/>
    <col min="1820" max="1820" width="7.75" style="255" customWidth="1"/>
    <col min="1821" max="1821" width="7.125" style="255" customWidth="1"/>
    <col min="1822" max="1822" width="12.125" style="255" customWidth="1"/>
    <col min="1823" max="1823" width="8.25" style="255" customWidth="1"/>
    <col min="1824" max="1825" width="10.375" style="255" customWidth="1"/>
    <col min="1826" max="1826" width="15.625" style="255" customWidth="1"/>
    <col min="1827" max="1827" width="15.875" style="255" customWidth="1"/>
    <col min="1828" max="1828" width="8.125" style="255" customWidth="1"/>
    <col min="1829" max="1832" width="10.375" style="255" customWidth="1"/>
    <col min="1833" max="1833" width="7.25" style="255" customWidth="1"/>
    <col min="1834" max="1834" width="7.125" style="255" customWidth="1"/>
    <col min="1835" max="1835" width="9.5" style="255" customWidth="1"/>
    <col min="1836" max="1837" width="9" style="255" customWidth="1"/>
    <col min="1838" max="1838" width="16.125" style="255" customWidth="1"/>
    <col min="1839" max="1869" width="9" style="255" customWidth="1"/>
    <col min="1870" max="2029" width="25.25" style="255"/>
    <col min="2030" max="2059" width="9" style="255" customWidth="1"/>
    <col min="2060" max="2060" width="0.5" style="255" customWidth="1"/>
    <col min="2061" max="2061" width="25.25" style="255"/>
    <col min="2062" max="2062" width="0.5" style="255" customWidth="1"/>
    <col min="2063" max="2063" width="25.25" style="255"/>
    <col min="2064" max="2064" width="14.75" style="255" customWidth="1"/>
    <col min="2065" max="2065" width="11.5" style="255" customWidth="1"/>
    <col min="2066" max="2066" width="11.25" style="255" customWidth="1"/>
    <col min="2067" max="2067" width="10.75" style="255" customWidth="1"/>
    <col min="2068" max="2068" width="10" style="255" customWidth="1"/>
    <col min="2069" max="2069" width="9.875" style="255" customWidth="1"/>
    <col min="2070" max="2070" width="26.125" style="255" customWidth="1"/>
    <col min="2071" max="2071" width="11.125" style="255" customWidth="1"/>
    <col min="2072" max="2072" width="7.875" style="255" customWidth="1"/>
    <col min="2073" max="2073" width="7.25" style="255" customWidth="1"/>
    <col min="2074" max="2074" width="9.125" style="255" customWidth="1"/>
    <col min="2075" max="2075" width="15.125" style="255" customWidth="1"/>
    <col min="2076" max="2076" width="7.75" style="255" customWidth="1"/>
    <col min="2077" max="2077" width="7.125" style="255" customWidth="1"/>
    <col min="2078" max="2078" width="12.125" style="255" customWidth="1"/>
    <col min="2079" max="2079" width="8.25" style="255" customWidth="1"/>
    <col min="2080" max="2081" width="10.375" style="255" customWidth="1"/>
    <col min="2082" max="2082" width="15.625" style="255" customWidth="1"/>
    <col min="2083" max="2083" width="15.875" style="255" customWidth="1"/>
    <col min="2084" max="2084" width="8.125" style="255" customWidth="1"/>
    <col min="2085" max="2088" width="10.375" style="255" customWidth="1"/>
    <col min="2089" max="2089" width="7.25" style="255" customWidth="1"/>
    <col min="2090" max="2090" width="7.125" style="255" customWidth="1"/>
    <col min="2091" max="2091" width="9.5" style="255" customWidth="1"/>
    <col min="2092" max="2093" width="9" style="255" customWidth="1"/>
    <col min="2094" max="2094" width="16.125" style="255" customWidth="1"/>
    <col min="2095" max="2125" width="9" style="255" customWidth="1"/>
    <col min="2126" max="2285" width="25.25" style="255"/>
    <col min="2286" max="2315" width="9" style="255" customWidth="1"/>
    <col min="2316" max="2316" width="0.5" style="255" customWidth="1"/>
    <col min="2317" max="2317" width="25.25" style="255"/>
    <col min="2318" max="2318" width="0.5" style="255" customWidth="1"/>
    <col min="2319" max="2319" width="25.25" style="255"/>
    <col min="2320" max="2320" width="14.75" style="255" customWidth="1"/>
    <col min="2321" max="2321" width="11.5" style="255" customWidth="1"/>
    <col min="2322" max="2322" width="11.25" style="255" customWidth="1"/>
    <col min="2323" max="2323" width="10.75" style="255" customWidth="1"/>
    <col min="2324" max="2324" width="10" style="255" customWidth="1"/>
    <col min="2325" max="2325" width="9.875" style="255" customWidth="1"/>
    <col min="2326" max="2326" width="26.125" style="255" customWidth="1"/>
    <col min="2327" max="2327" width="11.125" style="255" customWidth="1"/>
    <col min="2328" max="2328" width="7.875" style="255" customWidth="1"/>
    <col min="2329" max="2329" width="7.25" style="255" customWidth="1"/>
    <col min="2330" max="2330" width="9.125" style="255" customWidth="1"/>
    <col min="2331" max="2331" width="15.125" style="255" customWidth="1"/>
    <col min="2332" max="2332" width="7.75" style="255" customWidth="1"/>
    <col min="2333" max="2333" width="7.125" style="255" customWidth="1"/>
    <col min="2334" max="2334" width="12.125" style="255" customWidth="1"/>
    <col min="2335" max="2335" width="8.25" style="255" customWidth="1"/>
    <col min="2336" max="2337" width="10.375" style="255" customWidth="1"/>
    <col min="2338" max="2338" width="15.625" style="255" customWidth="1"/>
    <col min="2339" max="2339" width="15.875" style="255" customWidth="1"/>
    <col min="2340" max="2340" width="8.125" style="255" customWidth="1"/>
    <col min="2341" max="2344" width="10.375" style="255" customWidth="1"/>
    <col min="2345" max="2345" width="7.25" style="255" customWidth="1"/>
    <col min="2346" max="2346" width="7.125" style="255" customWidth="1"/>
    <col min="2347" max="2347" width="9.5" style="255" customWidth="1"/>
    <col min="2348" max="2349" width="9" style="255" customWidth="1"/>
    <col min="2350" max="2350" width="16.125" style="255" customWidth="1"/>
    <col min="2351" max="2381" width="9" style="255" customWidth="1"/>
    <col min="2382" max="2541" width="25.25" style="255"/>
    <col min="2542" max="2571" width="9" style="255" customWidth="1"/>
    <col min="2572" max="2572" width="0.5" style="255" customWidth="1"/>
    <col min="2573" max="2573" width="25.25" style="255"/>
    <col min="2574" max="2574" width="0.5" style="255" customWidth="1"/>
    <col min="2575" max="2575" width="25.25" style="255"/>
    <col min="2576" max="2576" width="14.75" style="255" customWidth="1"/>
    <col min="2577" max="2577" width="11.5" style="255" customWidth="1"/>
    <col min="2578" max="2578" width="11.25" style="255" customWidth="1"/>
    <col min="2579" max="2579" width="10.75" style="255" customWidth="1"/>
    <col min="2580" max="2580" width="10" style="255" customWidth="1"/>
    <col min="2581" max="2581" width="9.875" style="255" customWidth="1"/>
    <col min="2582" max="2582" width="26.125" style="255" customWidth="1"/>
    <col min="2583" max="2583" width="11.125" style="255" customWidth="1"/>
    <col min="2584" max="2584" width="7.875" style="255" customWidth="1"/>
    <col min="2585" max="2585" width="7.25" style="255" customWidth="1"/>
    <col min="2586" max="2586" width="9.125" style="255" customWidth="1"/>
    <col min="2587" max="2587" width="15.125" style="255" customWidth="1"/>
    <col min="2588" max="2588" width="7.75" style="255" customWidth="1"/>
    <col min="2589" max="2589" width="7.125" style="255" customWidth="1"/>
    <col min="2590" max="2590" width="12.125" style="255" customWidth="1"/>
    <col min="2591" max="2591" width="8.25" style="255" customWidth="1"/>
    <col min="2592" max="2593" width="10.375" style="255" customWidth="1"/>
    <col min="2594" max="2594" width="15.625" style="255" customWidth="1"/>
    <col min="2595" max="2595" width="15.875" style="255" customWidth="1"/>
    <col min="2596" max="2596" width="8.125" style="255" customWidth="1"/>
    <col min="2597" max="2600" width="10.375" style="255" customWidth="1"/>
    <col min="2601" max="2601" width="7.25" style="255" customWidth="1"/>
    <col min="2602" max="2602" width="7.125" style="255" customWidth="1"/>
    <col min="2603" max="2603" width="9.5" style="255" customWidth="1"/>
    <col min="2604" max="2605" width="9" style="255" customWidth="1"/>
    <col min="2606" max="2606" width="16.125" style="255" customWidth="1"/>
    <col min="2607" max="2637" width="9" style="255" customWidth="1"/>
    <col min="2638" max="2797" width="25.25" style="255"/>
    <col min="2798" max="2827" width="9" style="255" customWidth="1"/>
    <col min="2828" max="2828" width="0.5" style="255" customWidth="1"/>
    <col min="2829" max="2829" width="25.25" style="255"/>
    <col min="2830" max="2830" width="0.5" style="255" customWidth="1"/>
    <col min="2831" max="2831" width="25.25" style="255"/>
    <col min="2832" max="2832" width="14.75" style="255" customWidth="1"/>
    <col min="2833" max="2833" width="11.5" style="255" customWidth="1"/>
    <col min="2834" max="2834" width="11.25" style="255" customWidth="1"/>
    <col min="2835" max="2835" width="10.75" style="255" customWidth="1"/>
    <col min="2836" max="2836" width="10" style="255" customWidth="1"/>
    <col min="2837" max="2837" width="9.875" style="255" customWidth="1"/>
    <col min="2838" max="2838" width="26.125" style="255" customWidth="1"/>
    <col min="2839" max="2839" width="11.125" style="255" customWidth="1"/>
    <col min="2840" max="2840" width="7.875" style="255" customWidth="1"/>
    <col min="2841" max="2841" width="7.25" style="255" customWidth="1"/>
    <col min="2842" max="2842" width="9.125" style="255" customWidth="1"/>
    <col min="2843" max="2843" width="15.125" style="255" customWidth="1"/>
    <col min="2844" max="2844" width="7.75" style="255" customWidth="1"/>
    <col min="2845" max="2845" width="7.125" style="255" customWidth="1"/>
    <col min="2846" max="2846" width="12.125" style="255" customWidth="1"/>
    <col min="2847" max="2847" width="8.25" style="255" customWidth="1"/>
    <col min="2848" max="2849" width="10.375" style="255" customWidth="1"/>
    <col min="2850" max="2850" width="15.625" style="255" customWidth="1"/>
    <col min="2851" max="2851" width="15.875" style="255" customWidth="1"/>
    <col min="2852" max="2852" width="8.125" style="255" customWidth="1"/>
    <col min="2853" max="2856" width="10.375" style="255" customWidth="1"/>
    <col min="2857" max="2857" width="7.25" style="255" customWidth="1"/>
    <col min="2858" max="2858" width="7.125" style="255" customWidth="1"/>
    <col min="2859" max="2859" width="9.5" style="255" customWidth="1"/>
    <col min="2860" max="2861" width="9" style="255" customWidth="1"/>
    <col min="2862" max="2862" width="16.125" style="255" customWidth="1"/>
    <col min="2863" max="2893" width="9" style="255" customWidth="1"/>
    <col min="2894" max="3053" width="25.25" style="255"/>
    <col min="3054" max="3083" width="9" style="255" customWidth="1"/>
    <col min="3084" max="3084" width="0.5" style="255" customWidth="1"/>
    <col min="3085" max="3085" width="25.25" style="255"/>
    <col min="3086" max="3086" width="0.5" style="255" customWidth="1"/>
    <col min="3087" max="3087" width="25.25" style="255"/>
    <col min="3088" max="3088" width="14.75" style="255" customWidth="1"/>
    <col min="3089" max="3089" width="11.5" style="255" customWidth="1"/>
    <col min="3090" max="3090" width="11.25" style="255" customWidth="1"/>
    <col min="3091" max="3091" width="10.75" style="255" customWidth="1"/>
    <col min="3092" max="3092" width="10" style="255" customWidth="1"/>
    <col min="3093" max="3093" width="9.875" style="255" customWidth="1"/>
    <col min="3094" max="3094" width="26.125" style="255" customWidth="1"/>
    <col min="3095" max="3095" width="11.125" style="255" customWidth="1"/>
    <col min="3096" max="3096" width="7.875" style="255" customWidth="1"/>
    <col min="3097" max="3097" width="7.25" style="255" customWidth="1"/>
    <col min="3098" max="3098" width="9.125" style="255" customWidth="1"/>
    <col min="3099" max="3099" width="15.125" style="255" customWidth="1"/>
    <col min="3100" max="3100" width="7.75" style="255" customWidth="1"/>
    <col min="3101" max="3101" width="7.125" style="255" customWidth="1"/>
    <col min="3102" max="3102" width="12.125" style="255" customWidth="1"/>
    <col min="3103" max="3103" width="8.25" style="255" customWidth="1"/>
    <col min="3104" max="3105" width="10.375" style="255" customWidth="1"/>
    <col min="3106" max="3106" width="15.625" style="255" customWidth="1"/>
    <col min="3107" max="3107" width="15.875" style="255" customWidth="1"/>
    <col min="3108" max="3108" width="8.125" style="255" customWidth="1"/>
    <col min="3109" max="3112" width="10.375" style="255" customWidth="1"/>
    <col min="3113" max="3113" width="7.25" style="255" customWidth="1"/>
    <col min="3114" max="3114" width="7.125" style="255" customWidth="1"/>
    <col min="3115" max="3115" width="9.5" style="255" customWidth="1"/>
    <col min="3116" max="3117" width="9" style="255" customWidth="1"/>
    <col min="3118" max="3118" width="16.125" style="255" customWidth="1"/>
    <col min="3119" max="3149" width="9" style="255" customWidth="1"/>
    <col min="3150" max="3309" width="25.25" style="255"/>
    <col min="3310" max="3339" width="9" style="255" customWidth="1"/>
    <col min="3340" max="3340" width="0.5" style="255" customWidth="1"/>
    <col min="3341" max="3341" width="25.25" style="255"/>
    <col min="3342" max="3342" width="0.5" style="255" customWidth="1"/>
    <col min="3343" max="3343" width="25.25" style="255"/>
    <col min="3344" max="3344" width="14.75" style="255" customWidth="1"/>
    <col min="3345" max="3345" width="11.5" style="255" customWidth="1"/>
    <col min="3346" max="3346" width="11.25" style="255" customWidth="1"/>
    <col min="3347" max="3347" width="10.75" style="255" customWidth="1"/>
    <col min="3348" max="3348" width="10" style="255" customWidth="1"/>
    <col min="3349" max="3349" width="9.875" style="255" customWidth="1"/>
    <col min="3350" max="3350" width="26.125" style="255" customWidth="1"/>
    <col min="3351" max="3351" width="11.125" style="255" customWidth="1"/>
    <col min="3352" max="3352" width="7.875" style="255" customWidth="1"/>
    <col min="3353" max="3353" width="7.25" style="255" customWidth="1"/>
    <col min="3354" max="3354" width="9.125" style="255" customWidth="1"/>
    <col min="3355" max="3355" width="15.125" style="255" customWidth="1"/>
    <col min="3356" max="3356" width="7.75" style="255" customWidth="1"/>
    <col min="3357" max="3357" width="7.125" style="255" customWidth="1"/>
    <col min="3358" max="3358" width="12.125" style="255" customWidth="1"/>
    <col min="3359" max="3359" width="8.25" style="255" customWidth="1"/>
    <col min="3360" max="3361" width="10.375" style="255" customWidth="1"/>
    <col min="3362" max="3362" width="15.625" style="255" customWidth="1"/>
    <col min="3363" max="3363" width="15.875" style="255" customWidth="1"/>
    <col min="3364" max="3364" width="8.125" style="255" customWidth="1"/>
    <col min="3365" max="3368" width="10.375" style="255" customWidth="1"/>
    <col min="3369" max="3369" width="7.25" style="255" customWidth="1"/>
    <col min="3370" max="3370" width="7.125" style="255" customWidth="1"/>
    <col min="3371" max="3371" width="9.5" style="255" customWidth="1"/>
    <col min="3372" max="3373" width="9" style="255" customWidth="1"/>
    <col min="3374" max="3374" width="16.125" style="255" customWidth="1"/>
    <col min="3375" max="3405" width="9" style="255" customWidth="1"/>
    <col min="3406" max="3565" width="25.25" style="255"/>
    <col min="3566" max="3595" width="9" style="255" customWidth="1"/>
    <col min="3596" max="3596" width="0.5" style="255" customWidth="1"/>
    <col min="3597" max="3597" width="25.25" style="255"/>
    <col min="3598" max="3598" width="0.5" style="255" customWidth="1"/>
    <col min="3599" max="3599" width="25.25" style="255"/>
    <col min="3600" max="3600" width="14.75" style="255" customWidth="1"/>
    <col min="3601" max="3601" width="11.5" style="255" customWidth="1"/>
    <col min="3602" max="3602" width="11.25" style="255" customWidth="1"/>
    <col min="3603" max="3603" width="10.75" style="255" customWidth="1"/>
    <col min="3604" max="3604" width="10" style="255" customWidth="1"/>
    <col min="3605" max="3605" width="9.875" style="255" customWidth="1"/>
    <col min="3606" max="3606" width="26.125" style="255" customWidth="1"/>
    <col min="3607" max="3607" width="11.125" style="255" customWidth="1"/>
    <col min="3608" max="3608" width="7.875" style="255" customWidth="1"/>
    <col min="3609" max="3609" width="7.25" style="255" customWidth="1"/>
    <col min="3610" max="3610" width="9.125" style="255" customWidth="1"/>
    <col min="3611" max="3611" width="15.125" style="255" customWidth="1"/>
    <col min="3612" max="3612" width="7.75" style="255" customWidth="1"/>
    <col min="3613" max="3613" width="7.125" style="255" customWidth="1"/>
    <col min="3614" max="3614" width="12.125" style="255" customWidth="1"/>
    <col min="3615" max="3615" width="8.25" style="255" customWidth="1"/>
    <col min="3616" max="3617" width="10.375" style="255" customWidth="1"/>
    <col min="3618" max="3618" width="15.625" style="255" customWidth="1"/>
    <col min="3619" max="3619" width="15.875" style="255" customWidth="1"/>
    <col min="3620" max="3620" width="8.125" style="255" customWidth="1"/>
    <col min="3621" max="3624" width="10.375" style="255" customWidth="1"/>
    <col min="3625" max="3625" width="7.25" style="255" customWidth="1"/>
    <col min="3626" max="3626" width="7.125" style="255" customWidth="1"/>
    <col min="3627" max="3627" width="9.5" style="255" customWidth="1"/>
    <col min="3628" max="3629" width="9" style="255" customWidth="1"/>
    <col min="3630" max="3630" width="16.125" style="255" customWidth="1"/>
    <col min="3631" max="3661" width="9" style="255" customWidth="1"/>
    <col min="3662" max="3821" width="25.25" style="255"/>
    <col min="3822" max="3851" width="9" style="255" customWidth="1"/>
    <col min="3852" max="3852" width="0.5" style="255" customWidth="1"/>
    <col min="3853" max="3853" width="25.25" style="255"/>
    <col min="3854" max="3854" width="0.5" style="255" customWidth="1"/>
    <col min="3855" max="3855" width="25.25" style="255"/>
    <col min="3856" max="3856" width="14.75" style="255" customWidth="1"/>
    <col min="3857" max="3857" width="11.5" style="255" customWidth="1"/>
    <col min="3858" max="3858" width="11.25" style="255" customWidth="1"/>
    <col min="3859" max="3859" width="10.75" style="255" customWidth="1"/>
    <col min="3860" max="3860" width="10" style="255" customWidth="1"/>
    <col min="3861" max="3861" width="9.875" style="255" customWidth="1"/>
    <col min="3862" max="3862" width="26.125" style="255" customWidth="1"/>
    <col min="3863" max="3863" width="11.125" style="255" customWidth="1"/>
    <col min="3864" max="3864" width="7.875" style="255" customWidth="1"/>
    <col min="3865" max="3865" width="7.25" style="255" customWidth="1"/>
    <col min="3866" max="3866" width="9.125" style="255" customWidth="1"/>
    <col min="3867" max="3867" width="15.125" style="255" customWidth="1"/>
    <col min="3868" max="3868" width="7.75" style="255" customWidth="1"/>
    <col min="3869" max="3869" width="7.125" style="255" customWidth="1"/>
    <col min="3870" max="3870" width="12.125" style="255" customWidth="1"/>
    <col min="3871" max="3871" width="8.25" style="255" customWidth="1"/>
    <col min="3872" max="3873" width="10.375" style="255" customWidth="1"/>
    <col min="3874" max="3874" width="15.625" style="255" customWidth="1"/>
    <col min="3875" max="3875" width="15.875" style="255" customWidth="1"/>
    <col min="3876" max="3876" width="8.125" style="255" customWidth="1"/>
    <col min="3877" max="3880" width="10.375" style="255" customWidth="1"/>
    <col min="3881" max="3881" width="7.25" style="255" customWidth="1"/>
    <col min="3882" max="3882" width="7.125" style="255" customWidth="1"/>
    <col min="3883" max="3883" width="9.5" style="255" customWidth="1"/>
    <col min="3884" max="3885" width="9" style="255" customWidth="1"/>
    <col min="3886" max="3886" width="16.125" style="255" customWidth="1"/>
    <col min="3887" max="3917" width="9" style="255" customWidth="1"/>
    <col min="3918" max="4077" width="25.25" style="255"/>
    <col min="4078" max="4107" width="9" style="255" customWidth="1"/>
    <col min="4108" max="4108" width="0.5" style="255" customWidth="1"/>
    <col min="4109" max="4109" width="25.25" style="255"/>
    <col min="4110" max="4110" width="0.5" style="255" customWidth="1"/>
    <col min="4111" max="4111" width="25.25" style="255"/>
    <col min="4112" max="4112" width="14.75" style="255" customWidth="1"/>
    <col min="4113" max="4113" width="11.5" style="255" customWidth="1"/>
    <col min="4114" max="4114" width="11.25" style="255" customWidth="1"/>
    <col min="4115" max="4115" width="10.75" style="255" customWidth="1"/>
    <col min="4116" max="4116" width="10" style="255" customWidth="1"/>
    <col min="4117" max="4117" width="9.875" style="255" customWidth="1"/>
    <col min="4118" max="4118" width="26.125" style="255" customWidth="1"/>
    <col min="4119" max="4119" width="11.125" style="255" customWidth="1"/>
    <col min="4120" max="4120" width="7.875" style="255" customWidth="1"/>
    <col min="4121" max="4121" width="7.25" style="255" customWidth="1"/>
    <col min="4122" max="4122" width="9.125" style="255" customWidth="1"/>
    <col min="4123" max="4123" width="15.125" style="255" customWidth="1"/>
    <col min="4124" max="4124" width="7.75" style="255" customWidth="1"/>
    <col min="4125" max="4125" width="7.125" style="255" customWidth="1"/>
    <col min="4126" max="4126" width="12.125" style="255" customWidth="1"/>
    <col min="4127" max="4127" width="8.25" style="255" customWidth="1"/>
    <col min="4128" max="4129" width="10.375" style="255" customWidth="1"/>
    <col min="4130" max="4130" width="15.625" style="255" customWidth="1"/>
    <col min="4131" max="4131" width="15.875" style="255" customWidth="1"/>
    <col min="4132" max="4132" width="8.125" style="255" customWidth="1"/>
    <col min="4133" max="4136" width="10.375" style="255" customWidth="1"/>
    <col min="4137" max="4137" width="7.25" style="255" customWidth="1"/>
    <col min="4138" max="4138" width="7.125" style="255" customWidth="1"/>
    <col min="4139" max="4139" width="9.5" style="255" customWidth="1"/>
    <col min="4140" max="4141" width="9" style="255" customWidth="1"/>
    <col min="4142" max="4142" width="16.125" style="255" customWidth="1"/>
    <col min="4143" max="4173" width="9" style="255" customWidth="1"/>
    <col min="4174" max="4333" width="25.25" style="255"/>
    <col min="4334" max="4363" width="9" style="255" customWidth="1"/>
    <col min="4364" max="4364" width="0.5" style="255" customWidth="1"/>
    <col min="4365" max="4365" width="25.25" style="255"/>
    <col min="4366" max="4366" width="0.5" style="255" customWidth="1"/>
    <col min="4367" max="4367" width="25.25" style="255"/>
    <col min="4368" max="4368" width="14.75" style="255" customWidth="1"/>
    <col min="4369" max="4369" width="11.5" style="255" customWidth="1"/>
    <col min="4370" max="4370" width="11.25" style="255" customWidth="1"/>
    <col min="4371" max="4371" width="10.75" style="255" customWidth="1"/>
    <col min="4372" max="4372" width="10" style="255" customWidth="1"/>
    <col min="4373" max="4373" width="9.875" style="255" customWidth="1"/>
    <col min="4374" max="4374" width="26.125" style="255" customWidth="1"/>
    <col min="4375" max="4375" width="11.125" style="255" customWidth="1"/>
    <col min="4376" max="4376" width="7.875" style="255" customWidth="1"/>
    <col min="4377" max="4377" width="7.25" style="255" customWidth="1"/>
    <col min="4378" max="4378" width="9.125" style="255" customWidth="1"/>
    <col min="4379" max="4379" width="15.125" style="255" customWidth="1"/>
    <col min="4380" max="4380" width="7.75" style="255" customWidth="1"/>
    <col min="4381" max="4381" width="7.125" style="255" customWidth="1"/>
    <col min="4382" max="4382" width="12.125" style="255" customWidth="1"/>
    <col min="4383" max="4383" width="8.25" style="255" customWidth="1"/>
    <col min="4384" max="4385" width="10.375" style="255" customWidth="1"/>
    <col min="4386" max="4386" width="15.625" style="255" customWidth="1"/>
    <col min="4387" max="4387" width="15.875" style="255" customWidth="1"/>
    <col min="4388" max="4388" width="8.125" style="255" customWidth="1"/>
    <col min="4389" max="4392" width="10.375" style="255" customWidth="1"/>
    <col min="4393" max="4393" width="7.25" style="255" customWidth="1"/>
    <col min="4394" max="4394" width="7.125" style="255" customWidth="1"/>
    <col min="4395" max="4395" width="9.5" style="255" customWidth="1"/>
    <col min="4396" max="4397" width="9" style="255" customWidth="1"/>
    <col min="4398" max="4398" width="16.125" style="255" customWidth="1"/>
    <col min="4399" max="4429" width="9" style="255" customWidth="1"/>
    <col min="4430" max="4589" width="25.25" style="255"/>
    <col min="4590" max="4619" width="9" style="255" customWidth="1"/>
    <col min="4620" max="4620" width="0.5" style="255" customWidth="1"/>
    <col min="4621" max="4621" width="25.25" style="255"/>
    <col min="4622" max="4622" width="0.5" style="255" customWidth="1"/>
    <col min="4623" max="4623" width="25.25" style="255"/>
    <col min="4624" max="4624" width="14.75" style="255" customWidth="1"/>
    <col min="4625" max="4625" width="11.5" style="255" customWidth="1"/>
    <col min="4626" max="4626" width="11.25" style="255" customWidth="1"/>
    <col min="4627" max="4627" width="10.75" style="255" customWidth="1"/>
    <col min="4628" max="4628" width="10" style="255" customWidth="1"/>
    <col min="4629" max="4629" width="9.875" style="255" customWidth="1"/>
    <col min="4630" max="4630" width="26.125" style="255" customWidth="1"/>
    <col min="4631" max="4631" width="11.125" style="255" customWidth="1"/>
    <col min="4632" max="4632" width="7.875" style="255" customWidth="1"/>
    <col min="4633" max="4633" width="7.25" style="255" customWidth="1"/>
    <col min="4634" max="4634" width="9.125" style="255" customWidth="1"/>
    <col min="4635" max="4635" width="15.125" style="255" customWidth="1"/>
    <col min="4636" max="4636" width="7.75" style="255" customWidth="1"/>
    <col min="4637" max="4637" width="7.125" style="255" customWidth="1"/>
    <col min="4638" max="4638" width="12.125" style="255" customWidth="1"/>
    <col min="4639" max="4639" width="8.25" style="255" customWidth="1"/>
    <col min="4640" max="4641" width="10.375" style="255" customWidth="1"/>
    <col min="4642" max="4642" width="15.625" style="255" customWidth="1"/>
    <col min="4643" max="4643" width="15.875" style="255" customWidth="1"/>
    <col min="4644" max="4644" width="8.125" style="255" customWidth="1"/>
    <col min="4645" max="4648" width="10.375" style="255" customWidth="1"/>
    <col min="4649" max="4649" width="7.25" style="255" customWidth="1"/>
    <col min="4650" max="4650" width="7.125" style="255" customWidth="1"/>
    <col min="4651" max="4651" width="9.5" style="255" customWidth="1"/>
    <col min="4652" max="4653" width="9" style="255" customWidth="1"/>
    <col min="4654" max="4654" width="16.125" style="255" customWidth="1"/>
    <col min="4655" max="4685" width="9" style="255" customWidth="1"/>
    <col min="4686" max="4845" width="25.25" style="255"/>
    <col min="4846" max="4875" width="9" style="255" customWidth="1"/>
    <col min="4876" max="4876" width="0.5" style="255" customWidth="1"/>
    <col min="4877" max="4877" width="25.25" style="255"/>
    <col min="4878" max="4878" width="0.5" style="255" customWidth="1"/>
    <col min="4879" max="4879" width="25.25" style="255"/>
    <col min="4880" max="4880" width="14.75" style="255" customWidth="1"/>
    <col min="4881" max="4881" width="11.5" style="255" customWidth="1"/>
    <col min="4882" max="4882" width="11.25" style="255" customWidth="1"/>
    <col min="4883" max="4883" width="10.75" style="255" customWidth="1"/>
    <col min="4884" max="4884" width="10" style="255" customWidth="1"/>
    <col min="4885" max="4885" width="9.875" style="255" customWidth="1"/>
    <col min="4886" max="4886" width="26.125" style="255" customWidth="1"/>
    <col min="4887" max="4887" width="11.125" style="255" customWidth="1"/>
    <col min="4888" max="4888" width="7.875" style="255" customWidth="1"/>
    <col min="4889" max="4889" width="7.25" style="255" customWidth="1"/>
    <col min="4890" max="4890" width="9.125" style="255" customWidth="1"/>
    <col min="4891" max="4891" width="15.125" style="255" customWidth="1"/>
    <col min="4892" max="4892" width="7.75" style="255" customWidth="1"/>
    <col min="4893" max="4893" width="7.125" style="255" customWidth="1"/>
    <col min="4894" max="4894" width="12.125" style="255" customWidth="1"/>
    <col min="4895" max="4895" width="8.25" style="255" customWidth="1"/>
    <col min="4896" max="4897" width="10.375" style="255" customWidth="1"/>
    <col min="4898" max="4898" width="15.625" style="255" customWidth="1"/>
    <col min="4899" max="4899" width="15.875" style="255" customWidth="1"/>
    <col min="4900" max="4900" width="8.125" style="255" customWidth="1"/>
    <col min="4901" max="4904" width="10.375" style="255" customWidth="1"/>
    <col min="4905" max="4905" width="7.25" style="255" customWidth="1"/>
    <col min="4906" max="4906" width="7.125" style="255" customWidth="1"/>
    <col min="4907" max="4907" width="9.5" style="255" customWidth="1"/>
    <col min="4908" max="4909" width="9" style="255" customWidth="1"/>
    <col min="4910" max="4910" width="16.125" style="255" customWidth="1"/>
    <col min="4911" max="4941" width="9" style="255" customWidth="1"/>
    <col min="4942" max="5101" width="25.25" style="255"/>
    <col min="5102" max="5131" width="9" style="255" customWidth="1"/>
    <col min="5132" max="5132" width="0.5" style="255" customWidth="1"/>
    <col min="5133" max="5133" width="25.25" style="255"/>
    <col min="5134" max="5134" width="0.5" style="255" customWidth="1"/>
    <col min="5135" max="5135" width="25.25" style="255"/>
    <col min="5136" max="5136" width="14.75" style="255" customWidth="1"/>
    <col min="5137" max="5137" width="11.5" style="255" customWidth="1"/>
    <col min="5138" max="5138" width="11.25" style="255" customWidth="1"/>
    <col min="5139" max="5139" width="10.75" style="255" customWidth="1"/>
    <col min="5140" max="5140" width="10" style="255" customWidth="1"/>
    <col min="5141" max="5141" width="9.875" style="255" customWidth="1"/>
    <col min="5142" max="5142" width="26.125" style="255" customWidth="1"/>
    <col min="5143" max="5143" width="11.125" style="255" customWidth="1"/>
    <col min="5144" max="5144" width="7.875" style="255" customWidth="1"/>
    <col min="5145" max="5145" width="7.25" style="255" customWidth="1"/>
    <col min="5146" max="5146" width="9.125" style="255" customWidth="1"/>
    <col min="5147" max="5147" width="15.125" style="255" customWidth="1"/>
    <col min="5148" max="5148" width="7.75" style="255" customWidth="1"/>
    <col min="5149" max="5149" width="7.125" style="255" customWidth="1"/>
    <col min="5150" max="5150" width="12.125" style="255" customWidth="1"/>
    <col min="5151" max="5151" width="8.25" style="255" customWidth="1"/>
    <col min="5152" max="5153" width="10.375" style="255" customWidth="1"/>
    <col min="5154" max="5154" width="15.625" style="255" customWidth="1"/>
    <col min="5155" max="5155" width="15.875" style="255" customWidth="1"/>
    <col min="5156" max="5156" width="8.125" style="255" customWidth="1"/>
    <col min="5157" max="5160" width="10.375" style="255" customWidth="1"/>
    <col min="5161" max="5161" width="7.25" style="255" customWidth="1"/>
    <col min="5162" max="5162" width="7.125" style="255" customWidth="1"/>
    <col min="5163" max="5163" width="9.5" style="255" customWidth="1"/>
    <col min="5164" max="5165" width="9" style="255" customWidth="1"/>
    <col min="5166" max="5166" width="16.125" style="255" customWidth="1"/>
    <col min="5167" max="5197" width="9" style="255" customWidth="1"/>
    <col min="5198" max="5357" width="25.25" style="255"/>
    <col min="5358" max="5387" width="9" style="255" customWidth="1"/>
    <col min="5388" max="5388" width="0.5" style="255" customWidth="1"/>
    <col min="5389" max="5389" width="25.25" style="255"/>
    <col min="5390" max="5390" width="0.5" style="255" customWidth="1"/>
    <col min="5391" max="5391" width="25.25" style="255"/>
    <col min="5392" max="5392" width="14.75" style="255" customWidth="1"/>
    <col min="5393" max="5393" width="11.5" style="255" customWidth="1"/>
    <col min="5394" max="5394" width="11.25" style="255" customWidth="1"/>
    <col min="5395" max="5395" width="10.75" style="255" customWidth="1"/>
    <col min="5396" max="5396" width="10" style="255" customWidth="1"/>
    <col min="5397" max="5397" width="9.875" style="255" customWidth="1"/>
    <col min="5398" max="5398" width="26.125" style="255" customWidth="1"/>
    <col min="5399" max="5399" width="11.125" style="255" customWidth="1"/>
    <col min="5400" max="5400" width="7.875" style="255" customWidth="1"/>
    <col min="5401" max="5401" width="7.25" style="255" customWidth="1"/>
    <col min="5402" max="5402" width="9.125" style="255" customWidth="1"/>
    <col min="5403" max="5403" width="15.125" style="255" customWidth="1"/>
    <col min="5404" max="5404" width="7.75" style="255" customWidth="1"/>
    <col min="5405" max="5405" width="7.125" style="255" customWidth="1"/>
    <col min="5406" max="5406" width="12.125" style="255" customWidth="1"/>
    <col min="5407" max="5407" width="8.25" style="255" customWidth="1"/>
    <col min="5408" max="5409" width="10.375" style="255" customWidth="1"/>
    <col min="5410" max="5410" width="15.625" style="255" customWidth="1"/>
    <col min="5411" max="5411" width="15.875" style="255" customWidth="1"/>
    <col min="5412" max="5412" width="8.125" style="255" customWidth="1"/>
    <col min="5413" max="5416" width="10.375" style="255" customWidth="1"/>
    <col min="5417" max="5417" width="7.25" style="255" customWidth="1"/>
    <col min="5418" max="5418" width="7.125" style="255" customWidth="1"/>
    <col min="5419" max="5419" width="9.5" style="255" customWidth="1"/>
    <col min="5420" max="5421" width="9" style="255" customWidth="1"/>
    <col min="5422" max="5422" width="16.125" style="255" customWidth="1"/>
    <col min="5423" max="5453" width="9" style="255" customWidth="1"/>
    <col min="5454" max="5613" width="25.25" style="255"/>
    <col min="5614" max="5643" width="9" style="255" customWidth="1"/>
    <col min="5644" max="5644" width="0.5" style="255" customWidth="1"/>
    <col min="5645" max="5645" width="25.25" style="255"/>
    <col min="5646" max="5646" width="0.5" style="255" customWidth="1"/>
    <col min="5647" max="5647" width="25.25" style="255"/>
    <col min="5648" max="5648" width="14.75" style="255" customWidth="1"/>
    <col min="5649" max="5649" width="11.5" style="255" customWidth="1"/>
    <col min="5650" max="5650" width="11.25" style="255" customWidth="1"/>
    <col min="5651" max="5651" width="10.75" style="255" customWidth="1"/>
    <col min="5652" max="5652" width="10" style="255" customWidth="1"/>
    <col min="5653" max="5653" width="9.875" style="255" customWidth="1"/>
    <col min="5654" max="5654" width="26.125" style="255" customWidth="1"/>
    <col min="5655" max="5655" width="11.125" style="255" customWidth="1"/>
    <col min="5656" max="5656" width="7.875" style="255" customWidth="1"/>
    <col min="5657" max="5657" width="7.25" style="255" customWidth="1"/>
    <col min="5658" max="5658" width="9.125" style="255" customWidth="1"/>
    <col min="5659" max="5659" width="15.125" style="255" customWidth="1"/>
    <col min="5660" max="5660" width="7.75" style="255" customWidth="1"/>
    <col min="5661" max="5661" width="7.125" style="255" customWidth="1"/>
    <col min="5662" max="5662" width="12.125" style="255" customWidth="1"/>
    <col min="5663" max="5663" width="8.25" style="255" customWidth="1"/>
    <col min="5664" max="5665" width="10.375" style="255" customWidth="1"/>
    <col min="5666" max="5666" width="15.625" style="255" customWidth="1"/>
    <col min="5667" max="5667" width="15.875" style="255" customWidth="1"/>
    <col min="5668" max="5668" width="8.125" style="255" customWidth="1"/>
    <col min="5669" max="5672" width="10.375" style="255" customWidth="1"/>
    <col min="5673" max="5673" width="7.25" style="255" customWidth="1"/>
    <col min="5674" max="5674" width="7.125" style="255" customWidth="1"/>
    <col min="5675" max="5675" width="9.5" style="255" customWidth="1"/>
    <col min="5676" max="5677" width="9" style="255" customWidth="1"/>
    <col min="5678" max="5678" width="16.125" style="255" customWidth="1"/>
    <col min="5679" max="5709" width="9" style="255" customWidth="1"/>
    <col min="5710" max="5869" width="25.25" style="255"/>
    <col min="5870" max="5899" width="9" style="255" customWidth="1"/>
    <col min="5900" max="5900" width="0.5" style="255" customWidth="1"/>
    <col min="5901" max="5901" width="25.25" style="255"/>
    <col min="5902" max="5902" width="0.5" style="255" customWidth="1"/>
    <col min="5903" max="5903" width="25.25" style="255"/>
    <col min="5904" max="5904" width="14.75" style="255" customWidth="1"/>
    <col min="5905" max="5905" width="11.5" style="255" customWidth="1"/>
    <col min="5906" max="5906" width="11.25" style="255" customWidth="1"/>
    <col min="5907" max="5907" width="10.75" style="255" customWidth="1"/>
    <col min="5908" max="5908" width="10" style="255" customWidth="1"/>
    <col min="5909" max="5909" width="9.875" style="255" customWidth="1"/>
    <col min="5910" max="5910" width="26.125" style="255" customWidth="1"/>
    <col min="5911" max="5911" width="11.125" style="255" customWidth="1"/>
    <col min="5912" max="5912" width="7.875" style="255" customWidth="1"/>
    <col min="5913" max="5913" width="7.25" style="255" customWidth="1"/>
    <col min="5914" max="5914" width="9.125" style="255" customWidth="1"/>
    <col min="5915" max="5915" width="15.125" style="255" customWidth="1"/>
    <col min="5916" max="5916" width="7.75" style="255" customWidth="1"/>
    <col min="5917" max="5917" width="7.125" style="255" customWidth="1"/>
    <col min="5918" max="5918" width="12.125" style="255" customWidth="1"/>
    <col min="5919" max="5919" width="8.25" style="255" customWidth="1"/>
    <col min="5920" max="5921" width="10.375" style="255" customWidth="1"/>
    <col min="5922" max="5922" width="15.625" style="255" customWidth="1"/>
    <col min="5923" max="5923" width="15.875" style="255" customWidth="1"/>
    <col min="5924" max="5924" width="8.125" style="255" customWidth="1"/>
    <col min="5925" max="5928" width="10.375" style="255" customWidth="1"/>
    <col min="5929" max="5929" width="7.25" style="255" customWidth="1"/>
    <col min="5930" max="5930" width="7.125" style="255" customWidth="1"/>
    <col min="5931" max="5931" width="9.5" style="255" customWidth="1"/>
    <col min="5932" max="5933" width="9" style="255" customWidth="1"/>
    <col min="5934" max="5934" width="16.125" style="255" customWidth="1"/>
    <col min="5935" max="5965" width="9" style="255" customWidth="1"/>
    <col min="5966" max="6125" width="25.25" style="255"/>
    <col min="6126" max="6155" width="9" style="255" customWidth="1"/>
    <col min="6156" max="6156" width="0.5" style="255" customWidth="1"/>
    <col min="6157" max="6157" width="25.25" style="255"/>
    <col min="6158" max="6158" width="0.5" style="255" customWidth="1"/>
    <col min="6159" max="6159" width="25.25" style="255"/>
    <col min="6160" max="6160" width="14.75" style="255" customWidth="1"/>
    <col min="6161" max="6161" width="11.5" style="255" customWidth="1"/>
    <col min="6162" max="6162" width="11.25" style="255" customWidth="1"/>
    <col min="6163" max="6163" width="10.75" style="255" customWidth="1"/>
    <col min="6164" max="6164" width="10" style="255" customWidth="1"/>
    <col min="6165" max="6165" width="9.875" style="255" customWidth="1"/>
    <col min="6166" max="6166" width="26.125" style="255" customWidth="1"/>
    <col min="6167" max="6167" width="11.125" style="255" customWidth="1"/>
    <col min="6168" max="6168" width="7.875" style="255" customWidth="1"/>
    <col min="6169" max="6169" width="7.25" style="255" customWidth="1"/>
    <col min="6170" max="6170" width="9.125" style="255" customWidth="1"/>
    <col min="6171" max="6171" width="15.125" style="255" customWidth="1"/>
    <col min="6172" max="6172" width="7.75" style="255" customWidth="1"/>
    <col min="6173" max="6173" width="7.125" style="255" customWidth="1"/>
    <col min="6174" max="6174" width="12.125" style="255" customWidth="1"/>
    <col min="6175" max="6175" width="8.25" style="255" customWidth="1"/>
    <col min="6176" max="6177" width="10.375" style="255" customWidth="1"/>
    <col min="6178" max="6178" width="15.625" style="255" customWidth="1"/>
    <col min="6179" max="6179" width="15.875" style="255" customWidth="1"/>
    <col min="6180" max="6180" width="8.125" style="255" customWidth="1"/>
    <col min="6181" max="6184" width="10.375" style="255" customWidth="1"/>
    <col min="6185" max="6185" width="7.25" style="255" customWidth="1"/>
    <col min="6186" max="6186" width="7.125" style="255" customWidth="1"/>
    <col min="6187" max="6187" width="9.5" style="255" customWidth="1"/>
    <col min="6188" max="6189" width="9" style="255" customWidth="1"/>
    <col min="6190" max="6190" width="16.125" style="255" customWidth="1"/>
    <col min="6191" max="6221" width="9" style="255" customWidth="1"/>
    <col min="6222" max="6381" width="25.25" style="255"/>
    <col min="6382" max="6411" width="9" style="255" customWidth="1"/>
    <col min="6412" max="6412" width="0.5" style="255" customWidth="1"/>
    <col min="6413" max="6413" width="25.25" style="255"/>
    <col min="6414" max="6414" width="0.5" style="255" customWidth="1"/>
    <col min="6415" max="6415" width="25.25" style="255"/>
    <col min="6416" max="6416" width="14.75" style="255" customWidth="1"/>
    <col min="6417" max="6417" width="11.5" style="255" customWidth="1"/>
    <col min="6418" max="6418" width="11.25" style="255" customWidth="1"/>
    <col min="6419" max="6419" width="10.75" style="255" customWidth="1"/>
    <col min="6420" max="6420" width="10" style="255" customWidth="1"/>
    <col min="6421" max="6421" width="9.875" style="255" customWidth="1"/>
    <col min="6422" max="6422" width="26.125" style="255" customWidth="1"/>
    <col min="6423" max="6423" width="11.125" style="255" customWidth="1"/>
    <col min="6424" max="6424" width="7.875" style="255" customWidth="1"/>
    <col min="6425" max="6425" width="7.25" style="255" customWidth="1"/>
    <col min="6426" max="6426" width="9.125" style="255" customWidth="1"/>
    <col min="6427" max="6427" width="15.125" style="255" customWidth="1"/>
    <col min="6428" max="6428" width="7.75" style="255" customWidth="1"/>
    <col min="6429" max="6429" width="7.125" style="255" customWidth="1"/>
    <col min="6430" max="6430" width="12.125" style="255" customWidth="1"/>
    <col min="6431" max="6431" width="8.25" style="255" customWidth="1"/>
    <col min="6432" max="6433" width="10.375" style="255" customWidth="1"/>
    <col min="6434" max="6434" width="15.625" style="255" customWidth="1"/>
    <col min="6435" max="6435" width="15.875" style="255" customWidth="1"/>
    <col min="6436" max="6436" width="8.125" style="255" customWidth="1"/>
    <col min="6437" max="6440" width="10.375" style="255" customWidth="1"/>
    <col min="6441" max="6441" width="7.25" style="255" customWidth="1"/>
    <col min="6442" max="6442" width="7.125" style="255" customWidth="1"/>
    <col min="6443" max="6443" width="9.5" style="255" customWidth="1"/>
    <col min="6444" max="6445" width="9" style="255" customWidth="1"/>
    <col min="6446" max="6446" width="16.125" style="255" customWidth="1"/>
    <col min="6447" max="6477" width="9" style="255" customWidth="1"/>
    <col min="6478" max="6637" width="25.25" style="255"/>
    <col min="6638" max="6667" width="9" style="255" customWidth="1"/>
    <col min="6668" max="6668" width="0.5" style="255" customWidth="1"/>
    <col min="6669" max="6669" width="25.25" style="255"/>
    <col min="6670" max="6670" width="0.5" style="255" customWidth="1"/>
    <col min="6671" max="6671" width="25.25" style="255"/>
    <col min="6672" max="6672" width="14.75" style="255" customWidth="1"/>
    <col min="6673" max="6673" width="11.5" style="255" customWidth="1"/>
    <col min="6674" max="6674" width="11.25" style="255" customWidth="1"/>
    <col min="6675" max="6675" width="10.75" style="255" customWidth="1"/>
    <col min="6676" max="6676" width="10" style="255" customWidth="1"/>
    <col min="6677" max="6677" width="9.875" style="255" customWidth="1"/>
    <col min="6678" max="6678" width="26.125" style="255" customWidth="1"/>
    <col min="6679" max="6679" width="11.125" style="255" customWidth="1"/>
    <col min="6680" max="6680" width="7.875" style="255" customWidth="1"/>
    <col min="6681" max="6681" width="7.25" style="255" customWidth="1"/>
    <col min="6682" max="6682" width="9.125" style="255" customWidth="1"/>
    <col min="6683" max="6683" width="15.125" style="255" customWidth="1"/>
    <col min="6684" max="6684" width="7.75" style="255" customWidth="1"/>
    <col min="6685" max="6685" width="7.125" style="255" customWidth="1"/>
    <col min="6686" max="6686" width="12.125" style="255" customWidth="1"/>
    <col min="6687" max="6687" width="8.25" style="255" customWidth="1"/>
    <col min="6688" max="6689" width="10.375" style="255" customWidth="1"/>
    <col min="6690" max="6690" width="15.625" style="255" customWidth="1"/>
    <col min="6691" max="6691" width="15.875" style="255" customWidth="1"/>
    <col min="6692" max="6692" width="8.125" style="255" customWidth="1"/>
    <col min="6693" max="6696" width="10.375" style="255" customWidth="1"/>
    <col min="6697" max="6697" width="7.25" style="255" customWidth="1"/>
    <col min="6698" max="6698" width="7.125" style="255" customWidth="1"/>
    <col min="6699" max="6699" width="9.5" style="255" customWidth="1"/>
    <col min="6700" max="6701" width="9" style="255" customWidth="1"/>
    <col min="6702" max="6702" width="16.125" style="255" customWidth="1"/>
    <col min="6703" max="6733" width="9" style="255" customWidth="1"/>
    <col min="6734" max="6893" width="25.25" style="255"/>
    <col min="6894" max="6923" width="9" style="255" customWidth="1"/>
    <col min="6924" max="6924" width="0.5" style="255" customWidth="1"/>
    <col min="6925" max="6925" width="25.25" style="255"/>
    <col min="6926" max="6926" width="0.5" style="255" customWidth="1"/>
    <col min="6927" max="6927" width="25.25" style="255"/>
    <col min="6928" max="6928" width="14.75" style="255" customWidth="1"/>
    <col min="6929" max="6929" width="11.5" style="255" customWidth="1"/>
    <col min="6930" max="6930" width="11.25" style="255" customWidth="1"/>
    <col min="6931" max="6931" width="10.75" style="255" customWidth="1"/>
    <col min="6932" max="6932" width="10" style="255" customWidth="1"/>
    <col min="6933" max="6933" width="9.875" style="255" customWidth="1"/>
    <col min="6934" max="6934" width="26.125" style="255" customWidth="1"/>
    <col min="6935" max="6935" width="11.125" style="255" customWidth="1"/>
    <col min="6936" max="6936" width="7.875" style="255" customWidth="1"/>
    <col min="6937" max="6937" width="7.25" style="255" customWidth="1"/>
    <col min="6938" max="6938" width="9.125" style="255" customWidth="1"/>
    <col min="6939" max="6939" width="15.125" style="255" customWidth="1"/>
    <col min="6940" max="6940" width="7.75" style="255" customWidth="1"/>
    <col min="6941" max="6941" width="7.125" style="255" customWidth="1"/>
    <col min="6942" max="6942" width="12.125" style="255" customWidth="1"/>
    <col min="6943" max="6943" width="8.25" style="255" customWidth="1"/>
    <col min="6944" max="6945" width="10.375" style="255" customWidth="1"/>
    <col min="6946" max="6946" width="15.625" style="255" customWidth="1"/>
    <col min="6947" max="6947" width="15.875" style="255" customWidth="1"/>
    <col min="6948" max="6948" width="8.125" style="255" customWidth="1"/>
    <col min="6949" max="6952" width="10.375" style="255" customWidth="1"/>
    <col min="6953" max="6953" width="7.25" style="255" customWidth="1"/>
    <col min="6954" max="6954" width="7.125" style="255" customWidth="1"/>
    <col min="6955" max="6955" width="9.5" style="255" customWidth="1"/>
    <col min="6956" max="6957" width="9" style="255" customWidth="1"/>
    <col min="6958" max="6958" width="16.125" style="255" customWidth="1"/>
    <col min="6959" max="6989" width="9" style="255" customWidth="1"/>
    <col min="6990" max="7149" width="25.25" style="255"/>
    <col min="7150" max="7179" width="9" style="255" customWidth="1"/>
    <col min="7180" max="7180" width="0.5" style="255" customWidth="1"/>
    <col min="7181" max="7181" width="25.25" style="255"/>
    <col min="7182" max="7182" width="0.5" style="255" customWidth="1"/>
    <col min="7183" max="7183" width="25.25" style="255"/>
    <col min="7184" max="7184" width="14.75" style="255" customWidth="1"/>
    <col min="7185" max="7185" width="11.5" style="255" customWidth="1"/>
    <col min="7186" max="7186" width="11.25" style="255" customWidth="1"/>
    <col min="7187" max="7187" width="10.75" style="255" customWidth="1"/>
    <col min="7188" max="7188" width="10" style="255" customWidth="1"/>
    <col min="7189" max="7189" width="9.875" style="255" customWidth="1"/>
    <col min="7190" max="7190" width="26.125" style="255" customWidth="1"/>
    <col min="7191" max="7191" width="11.125" style="255" customWidth="1"/>
    <col min="7192" max="7192" width="7.875" style="255" customWidth="1"/>
    <col min="7193" max="7193" width="7.25" style="255" customWidth="1"/>
    <col min="7194" max="7194" width="9.125" style="255" customWidth="1"/>
    <col min="7195" max="7195" width="15.125" style="255" customWidth="1"/>
    <col min="7196" max="7196" width="7.75" style="255" customWidth="1"/>
    <col min="7197" max="7197" width="7.125" style="255" customWidth="1"/>
    <col min="7198" max="7198" width="12.125" style="255" customWidth="1"/>
    <col min="7199" max="7199" width="8.25" style="255" customWidth="1"/>
    <col min="7200" max="7201" width="10.375" style="255" customWidth="1"/>
    <col min="7202" max="7202" width="15.625" style="255" customWidth="1"/>
    <col min="7203" max="7203" width="15.875" style="255" customWidth="1"/>
    <col min="7204" max="7204" width="8.125" style="255" customWidth="1"/>
    <col min="7205" max="7208" width="10.375" style="255" customWidth="1"/>
    <col min="7209" max="7209" width="7.25" style="255" customWidth="1"/>
    <col min="7210" max="7210" width="7.125" style="255" customWidth="1"/>
    <col min="7211" max="7211" width="9.5" style="255" customWidth="1"/>
    <col min="7212" max="7213" width="9" style="255" customWidth="1"/>
    <col min="7214" max="7214" width="16.125" style="255" customWidth="1"/>
    <col min="7215" max="7245" width="9" style="255" customWidth="1"/>
    <col min="7246" max="7405" width="25.25" style="255"/>
    <col min="7406" max="7435" width="9" style="255" customWidth="1"/>
    <col min="7436" max="7436" width="0.5" style="255" customWidth="1"/>
    <col min="7437" max="7437" width="25.25" style="255"/>
    <col min="7438" max="7438" width="0.5" style="255" customWidth="1"/>
    <col min="7439" max="7439" width="25.25" style="255"/>
    <col min="7440" max="7440" width="14.75" style="255" customWidth="1"/>
    <col min="7441" max="7441" width="11.5" style="255" customWidth="1"/>
    <col min="7442" max="7442" width="11.25" style="255" customWidth="1"/>
    <col min="7443" max="7443" width="10.75" style="255" customWidth="1"/>
    <col min="7444" max="7444" width="10" style="255" customWidth="1"/>
    <col min="7445" max="7445" width="9.875" style="255" customWidth="1"/>
    <col min="7446" max="7446" width="26.125" style="255" customWidth="1"/>
    <col min="7447" max="7447" width="11.125" style="255" customWidth="1"/>
    <col min="7448" max="7448" width="7.875" style="255" customWidth="1"/>
    <col min="7449" max="7449" width="7.25" style="255" customWidth="1"/>
    <col min="7450" max="7450" width="9.125" style="255" customWidth="1"/>
    <col min="7451" max="7451" width="15.125" style="255" customWidth="1"/>
    <col min="7452" max="7452" width="7.75" style="255" customWidth="1"/>
    <col min="7453" max="7453" width="7.125" style="255" customWidth="1"/>
    <col min="7454" max="7454" width="12.125" style="255" customWidth="1"/>
    <col min="7455" max="7455" width="8.25" style="255" customWidth="1"/>
    <col min="7456" max="7457" width="10.375" style="255" customWidth="1"/>
    <col min="7458" max="7458" width="15.625" style="255" customWidth="1"/>
    <col min="7459" max="7459" width="15.875" style="255" customWidth="1"/>
    <col min="7460" max="7460" width="8.125" style="255" customWidth="1"/>
    <col min="7461" max="7464" width="10.375" style="255" customWidth="1"/>
    <col min="7465" max="7465" width="7.25" style="255" customWidth="1"/>
    <col min="7466" max="7466" width="7.125" style="255" customWidth="1"/>
    <col min="7467" max="7467" width="9.5" style="255" customWidth="1"/>
    <col min="7468" max="7469" width="9" style="255" customWidth="1"/>
    <col min="7470" max="7470" width="16.125" style="255" customWidth="1"/>
    <col min="7471" max="7501" width="9" style="255" customWidth="1"/>
    <col min="7502" max="7661" width="25.25" style="255"/>
    <col min="7662" max="7691" width="9" style="255" customWidth="1"/>
    <col min="7692" max="7692" width="0.5" style="255" customWidth="1"/>
    <col min="7693" max="7693" width="25.25" style="255"/>
    <col min="7694" max="7694" width="0.5" style="255" customWidth="1"/>
    <col min="7695" max="7695" width="25.25" style="255"/>
    <col min="7696" max="7696" width="14.75" style="255" customWidth="1"/>
    <col min="7697" max="7697" width="11.5" style="255" customWidth="1"/>
    <col min="7698" max="7698" width="11.25" style="255" customWidth="1"/>
    <col min="7699" max="7699" width="10.75" style="255" customWidth="1"/>
    <col min="7700" max="7700" width="10" style="255" customWidth="1"/>
    <col min="7701" max="7701" width="9.875" style="255" customWidth="1"/>
    <col min="7702" max="7702" width="26.125" style="255" customWidth="1"/>
    <col min="7703" max="7703" width="11.125" style="255" customWidth="1"/>
    <col min="7704" max="7704" width="7.875" style="255" customWidth="1"/>
    <col min="7705" max="7705" width="7.25" style="255" customWidth="1"/>
    <col min="7706" max="7706" width="9.125" style="255" customWidth="1"/>
    <col min="7707" max="7707" width="15.125" style="255" customWidth="1"/>
    <col min="7708" max="7708" width="7.75" style="255" customWidth="1"/>
    <col min="7709" max="7709" width="7.125" style="255" customWidth="1"/>
    <col min="7710" max="7710" width="12.125" style="255" customWidth="1"/>
    <col min="7711" max="7711" width="8.25" style="255" customWidth="1"/>
    <col min="7712" max="7713" width="10.375" style="255" customWidth="1"/>
    <col min="7714" max="7714" width="15.625" style="255" customWidth="1"/>
    <col min="7715" max="7715" width="15.875" style="255" customWidth="1"/>
    <col min="7716" max="7716" width="8.125" style="255" customWidth="1"/>
    <col min="7717" max="7720" width="10.375" style="255" customWidth="1"/>
    <col min="7721" max="7721" width="7.25" style="255" customWidth="1"/>
    <col min="7722" max="7722" width="7.125" style="255" customWidth="1"/>
    <col min="7723" max="7723" width="9.5" style="255" customWidth="1"/>
    <col min="7724" max="7725" width="9" style="255" customWidth="1"/>
    <col min="7726" max="7726" width="16.125" style="255" customWidth="1"/>
    <col min="7727" max="7757" width="9" style="255" customWidth="1"/>
    <col min="7758" max="7917" width="25.25" style="255"/>
    <col min="7918" max="7947" width="9" style="255" customWidth="1"/>
    <col min="7948" max="7948" width="0.5" style="255" customWidth="1"/>
    <col min="7949" max="7949" width="25.25" style="255"/>
    <col min="7950" max="7950" width="0.5" style="255" customWidth="1"/>
    <col min="7951" max="7951" width="25.25" style="255"/>
    <col min="7952" max="7952" width="14.75" style="255" customWidth="1"/>
    <col min="7953" max="7953" width="11.5" style="255" customWidth="1"/>
    <col min="7954" max="7954" width="11.25" style="255" customWidth="1"/>
    <col min="7955" max="7955" width="10.75" style="255" customWidth="1"/>
    <col min="7956" max="7956" width="10" style="255" customWidth="1"/>
    <col min="7957" max="7957" width="9.875" style="255" customWidth="1"/>
    <col min="7958" max="7958" width="26.125" style="255" customWidth="1"/>
    <col min="7959" max="7959" width="11.125" style="255" customWidth="1"/>
    <col min="7960" max="7960" width="7.875" style="255" customWidth="1"/>
    <col min="7961" max="7961" width="7.25" style="255" customWidth="1"/>
    <col min="7962" max="7962" width="9.125" style="255" customWidth="1"/>
    <col min="7963" max="7963" width="15.125" style="255" customWidth="1"/>
    <col min="7964" max="7964" width="7.75" style="255" customWidth="1"/>
    <col min="7965" max="7965" width="7.125" style="255" customWidth="1"/>
    <col min="7966" max="7966" width="12.125" style="255" customWidth="1"/>
    <col min="7967" max="7967" width="8.25" style="255" customWidth="1"/>
    <col min="7968" max="7969" width="10.375" style="255" customWidth="1"/>
    <col min="7970" max="7970" width="15.625" style="255" customWidth="1"/>
    <col min="7971" max="7971" width="15.875" style="255" customWidth="1"/>
    <col min="7972" max="7972" width="8.125" style="255" customWidth="1"/>
    <col min="7973" max="7976" width="10.375" style="255" customWidth="1"/>
    <col min="7977" max="7977" width="7.25" style="255" customWidth="1"/>
    <col min="7978" max="7978" width="7.125" style="255" customWidth="1"/>
    <col min="7979" max="7979" width="9.5" style="255" customWidth="1"/>
    <col min="7980" max="7981" width="9" style="255" customWidth="1"/>
    <col min="7982" max="7982" width="16.125" style="255" customWidth="1"/>
    <col min="7983" max="8013" width="9" style="255" customWidth="1"/>
    <col min="8014" max="8173" width="25.25" style="255"/>
    <col min="8174" max="8203" width="9" style="255" customWidth="1"/>
    <col min="8204" max="8204" width="0.5" style="255" customWidth="1"/>
    <col min="8205" max="8205" width="25.25" style="255"/>
    <col min="8206" max="8206" width="0.5" style="255" customWidth="1"/>
    <col min="8207" max="8207" width="25.25" style="255"/>
    <col min="8208" max="8208" width="14.75" style="255" customWidth="1"/>
    <col min="8209" max="8209" width="11.5" style="255" customWidth="1"/>
    <col min="8210" max="8210" width="11.25" style="255" customWidth="1"/>
    <col min="8211" max="8211" width="10.75" style="255" customWidth="1"/>
    <col min="8212" max="8212" width="10" style="255" customWidth="1"/>
    <col min="8213" max="8213" width="9.875" style="255" customWidth="1"/>
    <col min="8214" max="8214" width="26.125" style="255" customWidth="1"/>
    <col min="8215" max="8215" width="11.125" style="255" customWidth="1"/>
    <col min="8216" max="8216" width="7.875" style="255" customWidth="1"/>
    <col min="8217" max="8217" width="7.25" style="255" customWidth="1"/>
    <col min="8218" max="8218" width="9.125" style="255" customWidth="1"/>
    <col min="8219" max="8219" width="15.125" style="255" customWidth="1"/>
    <col min="8220" max="8220" width="7.75" style="255" customWidth="1"/>
    <col min="8221" max="8221" width="7.125" style="255" customWidth="1"/>
    <col min="8222" max="8222" width="12.125" style="255" customWidth="1"/>
    <col min="8223" max="8223" width="8.25" style="255" customWidth="1"/>
    <col min="8224" max="8225" width="10.375" style="255" customWidth="1"/>
    <col min="8226" max="8226" width="15.625" style="255" customWidth="1"/>
    <col min="8227" max="8227" width="15.875" style="255" customWidth="1"/>
    <col min="8228" max="8228" width="8.125" style="255" customWidth="1"/>
    <col min="8229" max="8232" width="10.375" style="255" customWidth="1"/>
    <col min="8233" max="8233" width="7.25" style="255" customWidth="1"/>
    <col min="8234" max="8234" width="7.125" style="255" customWidth="1"/>
    <col min="8235" max="8235" width="9.5" style="255" customWidth="1"/>
    <col min="8236" max="8237" width="9" style="255" customWidth="1"/>
    <col min="8238" max="8238" width="16.125" style="255" customWidth="1"/>
    <col min="8239" max="8269" width="9" style="255" customWidth="1"/>
    <col min="8270" max="8429" width="25.25" style="255"/>
    <col min="8430" max="8459" width="9" style="255" customWidth="1"/>
    <col min="8460" max="8460" width="0.5" style="255" customWidth="1"/>
    <col min="8461" max="8461" width="25.25" style="255"/>
    <col min="8462" max="8462" width="0.5" style="255" customWidth="1"/>
    <col min="8463" max="8463" width="25.25" style="255"/>
    <col min="8464" max="8464" width="14.75" style="255" customWidth="1"/>
    <col min="8465" max="8465" width="11.5" style="255" customWidth="1"/>
    <col min="8466" max="8466" width="11.25" style="255" customWidth="1"/>
    <col min="8467" max="8467" width="10.75" style="255" customWidth="1"/>
    <col min="8468" max="8468" width="10" style="255" customWidth="1"/>
    <col min="8469" max="8469" width="9.875" style="255" customWidth="1"/>
    <col min="8470" max="8470" width="26.125" style="255" customWidth="1"/>
    <col min="8471" max="8471" width="11.125" style="255" customWidth="1"/>
    <col min="8472" max="8472" width="7.875" style="255" customWidth="1"/>
    <col min="8473" max="8473" width="7.25" style="255" customWidth="1"/>
    <col min="8474" max="8474" width="9.125" style="255" customWidth="1"/>
    <col min="8475" max="8475" width="15.125" style="255" customWidth="1"/>
    <col min="8476" max="8476" width="7.75" style="255" customWidth="1"/>
    <col min="8477" max="8477" width="7.125" style="255" customWidth="1"/>
    <col min="8478" max="8478" width="12.125" style="255" customWidth="1"/>
    <col min="8479" max="8479" width="8.25" style="255" customWidth="1"/>
    <col min="8480" max="8481" width="10.375" style="255" customWidth="1"/>
    <col min="8482" max="8482" width="15.625" style="255" customWidth="1"/>
    <col min="8483" max="8483" width="15.875" style="255" customWidth="1"/>
    <col min="8484" max="8484" width="8.125" style="255" customWidth="1"/>
    <col min="8485" max="8488" width="10.375" style="255" customWidth="1"/>
    <col min="8489" max="8489" width="7.25" style="255" customWidth="1"/>
    <col min="8490" max="8490" width="7.125" style="255" customWidth="1"/>
    <col min="8491" max="8491" width="9.5" style="255" customWidth="1"/>
    <col min="8492" max="8493" width="9" style="255" customWidth="1"/>
    <col min="8494" max="8494" width="16.125" style="255" customWidth="1"/>
    <col min="8495" max="8525" width="9" style="255" customWidth="1"/>
    <col min="8526" max="8685" width="25.25" style="255"/>
    <col min="8686" max="8715" width="9" style="255" customWidth="1"/>
    <col min="8716" max="8716" width="0.5" style="255" customWidth="1"/>
    <col min="8717" max="8717" width="25.25" style="255"/>
    <col min="8718" max="8718" width="0.5" style="255" customWidth="1"/>
    <col min="8719" max="8719" width="25.25" style="255"/>
    <col min="8720" max="8720" width="14.75" style="255" customWidth="1"/>
    <col min="8721" max="8721" width="11.5" style="255" customWidth="1"/>
    <col min="8722" max="8722" width="11.25" style="255" customWidth="1"/>
    <col min="8723" max="8723" width="10.75" style="255" customWidth="1"/>
    <col min="8724" max="8724" width="10" style="255" customWidth="1"/>
    <col min="8725" max="8725" width="9.875" style="255" customWidth="1"/>
    <col min="8726" max="8726" width="26.125" style="255" customWidth="1"/>
    <col min="8727" max="8727" width="11.125" style="255" customWidth="1"/>
    <col min="8728" max="8728" width="7.875" style="255" customWidth="1"/>
    <col min="8729" max="8729" width="7.25" style="255" customWidth="1"/>
    <col min="8730" max="8730" width="9.125" style="255" customWidth="1"/>
    <col min="8731" max="8731" width="15.125" style="255" customWidth="1"/>
    <col min="8732" max="8732" width="7.75" style="255" customWidth="1"/>
    <col min="8733" max="8733" width="7.125" style="255" customWidth="1"/>
    <col min="8734" max="8734" width="12.125" style="255" customWidth="1"/>
    <col min="8735" max="8735" width="8.25" style="255" customWidth="1"/>
    <col min="8736" max="8737" width="10.375" style="255" customWidth="1"/>
    <col min="8738" max="8738" width="15.625" style="255" customWidth="1"/>
    <col min="8739" max="8739" width="15.875" style="255" customWidth="1"/>
    <col min="8740" max="8740" width="8.125" style="255" customWidth="1"/>
    <col min="8741" max="8744" width="10.375" style="255" customWidth="1"/>
    <col min="8745" max="8745" width="7.25" style="255" customWidth="1"/>
    <col min="8746" max="8746" width="7.125" style="255" customWidth="1"/>
    <col min="8747" max="8747" width="9.5" style="255" customWidth="1"/>
    <col min="8748" max="8749" width="9" style="255" customWidth="1"/>
    <col min="8750" max="8750" width="16.125" style="255" customWidth="1"/>
    <col min="8751" max="8781" width="9" style="255" customWidth="1"/>
    <col min="8782" max="8941" width="25.25" style="255"/>
    <col min="8942" max="8971" width="9" style="255" customWidth="1"/>
    <col min="8972" max="8972" width="0.5" style="255" customWidth="1"/>
    <col min="8973" max="8973" width="25.25" style="255"/>
    <col min="8974" max="8974" width="0.5" style="255" customWidth="1"/>
    <col min="8975" max="8975" width="25.25" style="255"/>
    <col min="8976" max="8976" width="14.75" style="255" customWidth="1"/>
    <col min="8977" max="8977" width="11.5" style="255" customWidth="1"/>
    <col min="8978" max="8978" width="11.25" style="255" customWidth="1"/>
    <col min="8979" max="8979" width="10.75" style="255" customWidth="1"/>
    <col min="8980" max="8980" width="10" style="255" customWidth="1"/>
    <col min="8981" max="8981" width="9.875" style="255" customWidth="1"/>
    <col min="8982" max="8982" width="26.125" style="255" customWidth="1"/>
    <col min="8983" max="8983" width="11.125" style="255" customWidth="1"/>
    <col min="8984" max="8984" width="7.875" style="255" customWidth="1"/>
    <col min="8985" max="8985" width="7.25" style="255" customWidth="1"/>
    <col min="8986" max="8986" width="9.125" style="255" customWidth="1"/>
    <col min="8987" max="8987" width="15.125" style="255" customWidth="1"/>
    <col min="8988" max="8988" width="7.75" style="255" customWidth="1"/>
    <col min="8989" max="8989" width="7.125" style="255" customWidth="1"/>
    <col min="8990" max="8990" width="12.125" style="255" customWidth="1"/>
    <col min="8991" max="8991" width="8.25" style="255" customWidth="1"/>
    <col min="8992" max="8993" width="10.375" style="255" customWidth="1"/>
    <col min="8994" max="8994" width="15.625" style="255" customWidth="1"/>
    <col min="8995" max="8995" width="15.875" style="255" customWidth="1"/>
    <col min="8996" max="8996" width="8.125" style="255" customWidth="1"/>
    <col min="8997" max="9000" width="10.375" style="255" customWidth="1"/>
    <col min="9001" max="9001" width="7.25" style="255" customWidth="1"/>
    <col min="9002" max="9002" width="7.125" style="255" customWidth="1"/>
    <col min="9003" max="9003" width="9.5" style="255" customWidth="1"/>
    <col min="9004" max="9005" width="9" style="255" customWidth="1"/>
    <col min="9006" max="9006" width="16.125" style="255" customWidth="1"/>
    <col min="9007" max="9037" width="9" style="255" customWidth="1"/>
    <col min="9038" max="9197" width="25.25" style="255"/>
    <col min="9198" max="9227" width="9" style="255" customWidth="1"/>
    <col min="9228" max="9228" width="0.5" style="255" customWidth="1"/>
    <col min="9229" max="9229" width="25.25" style="255"/>
    <col min="9230" max="9230" width="0.5" style="255" customWidth="1"/>
    <col min="9231" max="9231" width="25.25" style="255"/>
    <col min="9232" max="9232" width="14.75" style="255" customWidth="1"/>
    <col min="9233" max="9233" width="11.5" style="255" customWidth="1"/>
    <col min="9234" max="9234" width="11.25" style="255" customWidth="1"/>
    <col min="9235" max="9235" width="10.75" style="255" customWidth="1"/>
    <col min="9236" max="9236" width="10" style="255" customWidth="1"/>
    <col min="9237" max="9237" width="9.875" style="255" customWidth="1"/>
    <col min="9238" max="9238" width="26.125" style="255" customWidth="1"/>
    <col min="9239" max="9239" width="11.125" style="255" customWidth="1"/>
    <col min="9240" max="9240" width="7.875" style="255" customWidth="1"/>
    <col min="9241" max="9241" width="7.25" style="255" customWidth="1"/>
    <col min="9242" max="9242" width="9.125" style="255" customWidth="1"/>
    <col min="9243" max="9243" width="15.125" style="255" customWidth="1"/>
    <col min="9244" max="9244" width="7.75" style="255" customWidth="1"/>
    <col min="9245" max="9245" width="7.125" style="255" customWidth="1"/>
    <col min="9246" max="9246" width="12.125" style="255" customWidth="1"/>
    <col min="9247" max="9247" width="8.25" style="255" customWidth="1"/>
    <col min="9248" max="9249" width="10.375" style="255" customWidth="1"/>
    <col min="9250" max="9250" width="15.625" style="255" customWidth="1"/>
    <col min="9251" max="9251" width="15.875" style="255" customWidth="1"/>
    <col min="9252" max="9252" width="8.125" style="255" customWidth="1"/>
    <col min="9253" max="9256" width="10.375" style="255" customWidth="1"/>
    <col min="9257" max="9257" width="7.25" style="255" customWidth="1"/>
    <col min="9258" max="9258" width="7.125" style="255" customWidth="1"/>
    <col min="9259" max="9259" width="9.5" style="255" customWidth="1"/>
    <col min="9260" max="9261" width="9" style="255" customWidth="1"/>
    <col min="9262" max="9262" width="16.125" style="255" customWidth="1"/>
    <col min="9263" max="9293" width="9" style="255" customWidth="1"/>
    <col min="9294" max="9453" width="25.25" style="255"/>
    <col min="9454" max="9483" width="9" style="255" customWidth="1"/>
    <col min="9484" max="9484" width="0.5" style="255" customWidth="1"/>
    <col min="9485" max="9485" width="25.25" style="255"/>
    <col min="9486" max="9486" width="0.5" style="255" customWidth="1"/>
    <col min="9487" max="9487" width="25.25" style="255"/>
    <col min="9488" max="9488" width="14.75" style="255" customWidth="1"/>
    <col min="9489" max="9489" width="11.5" style="255" customWidth="1"/>
    <col min="9490" max="9490" width="11.25" style="255" customWidth="1"/>
    <col min="9491" max="9491" width="10.75" style="255" customWidth="1"/>
    <col min="9492" max="9492" width="10" style="255" customWidth="1"/>
    <col min="9493" max="9493" width="9.875" style="255" customWidth="1"/>
    <col min="9494" max="9494" width="26.125" style="255" customWidth="1"/>
    <col min="9495" max="9495" width="11.125" style="255" customWidth="1"/>
    <col min="9496" max="9496" width="7.875" style="255" customWidth="1"/>
    <col min="9497" max="9497" width="7.25" style="255" customWidth="1"/>
    <col min="9498" max="9498" width="9.125" style="255" customWidth="1"/>
    <col min="9499" max="9499" width="15.125" style="255" customWidth="1"/>
    <col min="9500" max="9500" width="7.75" style="255" customWidth="1"/>
    <col min="9501" max="9501" width="7.125" style="255" customWidth="1"/>
    <col min="9502" max="9502" width="12.125" style="255" customWidth="1"/>
    <col min="9503" max="9503" width="8.25" style="255" customWidth="1"/>
    <col min="9504" max="9505" width="10.375" style="255" customWidth="1"/>
    <col min="9506" max="9506" width="15.625" style="255" customWidth="1"/>
    <col min="9507" max="9507" width="15.875" style="255" customWidth="1"/>
    <col min="9508" max="9508" width="8.125" style="255" customWidth="1"/>
    <col min="9509" max="9512" width="10.375" style="255" customWidth="1"/>
    <col min="9513" max="9513" width="7.25" style="255" customWidth="1"/>
    <col min="9514" max="9514" width="7.125" style="255" customWidth="1"/>
    <col min="9515" max="9515" width="9.5" style="255" customWidth="1"/>
    <col min="9516" max="9517" width="9" style="255" customWidth="1"/>
    <col min="9518" max="9518" width="16.125" style="255" customWidth="1"/>
    <col min="9519" max="9549" width="9" style="255" customWidth="1"/>
    <col min="9550" max="9709" width="25.25" style="255"/>
    <col min="9710" max="9739" width="9" style="255" customWidth="1"/>
    <col min="9740" max="9740" width="0.5" style="255" customWidth="1"/>
    <col min="9741" max="9741" width="25.25" style="255"/>
    <col min="9742" max="9742" width="0.5" style="255" customWidth="1"/>
    <col min="9743" max="9743" width="25.25" style="255"/>
    <col min="9744" max="9744" width="14.75" style="255" customWidth="1"/>
    <col min="9745" max="9745" width="11.5" style="255" customWidth="1"/>
    <col min="9746" max="9746" width="11.25" style="255" customWidth="1"/>
    <col min="9747" max="9747" width="10.75" style="255" customWidth="1"/>
    <col min="9748" max="9748" width="10" style="255" customWidth="1"/>
    <col min="9749" max="9749" width="9.875" style="255" customWidth="1"/>
    <col min="9750" max="9750" width="26.125" style="255" customWidth="1"/>
    <col min="9751" max="9751" width="11.125" style="255" customWidth="1"/>
    <col min="9752" max="9752" width="7.875" style="255" customWidth="1"/>
    <col min="9753" max="9753" width="7.25" style="255" customWidth="1"/>
    <col min="9754" max="9754" width="9.125" style="255" customWidth="1"/>
    <col min="9755" max="9755" width="15.125" style="255" customWidth="1"/>
    <col min="9756" max="9756" width="7.75" style="255" customWidth="1"/>
    <col min="9757" max="9757" width="7.125" style="255" customWidth="1"/>
    <col min="9758" max="9758" width="12.125" style="255" customWidth="1"/>
    <col min="9759" max="9759" width="8.25" style="255" customWidth="1"/>
    <col min="9760" max="9761" width="10.375" style="255" customWidth="1"/>
    <col min="9762" max="9762" width="15.625" style="255" customWidth="1"/>
    <col min="9763" max="9763" width="15.875" style="255" customWidth="1"/>
    <col min="9764" max="9764" width="8.125" style="255" customWidth="1"/>
    <col min="9765" max="9768" width="10.375" style="255" customWidth="1"/>
    <col min="9769" max="9769" width="7.25" style="255" customWidth="1"/>
    <col min="9770" max="9770" width="7.125" style="255" customWidth="1"/>
    <col min="9771" max="9771" width="9.5" style="255" customWidth="1"/>
    <col min="9772" max="9773" width="9" style="255" customWidth="1"/>
    <col min="9774" max="9774" width="16.125" style="255" customWidth="1"/>
    <col min="9775" max="9805" width="9" style="255" customWidth="1"/>
    <col min="9806" max="9965" width="25.25" style="255"/>
    <col min="9966" max="9995" width="9" style="255" customWidth="1"/>
    <col min="9996" max="9996" width="0.5" style="255" customWidth="1"/>
    <col min="9997" max="9997" width="25.25" style="255"/>
    <col min="9998" max="9998" width="0.5" style="255" customWidth="1"/>
    <col min="9999" max="9999" width="25.25" style="255"/>
    <col min="10000" max="10000" width="14.75" style="255" customWidth="1"/>
    <col min="10001" max="10001" width="11.5" style="255" customWidth="1"/>
    <col min="10002" max="10002" width="11.25" style="255" customWidth="1"/>
    <col min="10003" max="10003" width="10.75" style="255" customWidth="1"/>
    <col min="10004" max="10004" width="10" style="255" customWidth="1"/>
    <col min="10005" max="10005" width="9.875" style="255" customWidth="1"/>
    <col min="10006" max="10006" width="26.125" style="255" customWidth="1"/>
    <col min="10007" max="10007" width="11.125" style="255" customWidth="1"/>
    <col min="10008" max="10008" width="7.875" style="255" customWidth="1"/>
    <col min="10009" max="10009" width="7.25" style="255" customWidth="1"/>
    <col min="10010" max="10010" width="9.125" style="255" customWidth="1"/>
    <col min="10011" max="10011" width="15.125" style="255" customWidth="1"/>
    <col min="10012" max="10012" width="7.75" style="255" customWidth="1"/>
    <col min="10013" max="10013" width="7.125" style="255" customWidth="1"/>
    <col min="10014" max="10014" width="12.125" style="255" customWidth="1"/>
    <col min="10015" max="10015" width="8.25" style="255" customWidth="1"/>
    <col min="10016" max="10017" width="10.375" style="255" customWidth="1"/>
    <col min="10018" max="10018" width="15.625" style="255" customWidth="1"/>
    <col min="10019" max="10019" width="15.875" style="255" customWidth="1"/>
    <col min="10020" max="10020" width="8.125" style="255" customWidth="1"/>
    <col min="10021" max="10024" width="10.375" style="255" customWidth="1"/>
    <col min="10025" max="10025" width="7.25" style="255" customWidth="1"/>
    <col min="10026" max="10026" width="7.125" style="255" customWidth="1"/>
    <col min="10027" max="10027" width="9.5" style="255" customWidth="1"/>
    <col min="10028" max="10029" width="9" style="255" customWidth="1"/>
    <col min="10030" max="10030" width="16.125" style="255" customWidth="1"/>
    <col min="10031" max="10061" width="9" style="255" customWidth="1"/>
    <col min="10062" max="10221" width="25.25" style="255"/>
    <col min="10222" max="10251" width="9" style="255" customWidth="1"/>
    <col min="10252" max="10252" width="0.5" style="255" customWidth="1"/>
    <col min="10253" max="10253" width="25.25" style="255"/>
    <col min="10254" max="10254" width="0.5" style="255" customWidth="1"/>
    <col min="10255" max="10255" width="25.25" style="255"/>
    <col min="10256" max="10256" width="14.75" style="255" customWidth="1"/>
    <col min="10257" max="10257" width="11.5" style="255" customWidth="1"/>
    <col min="10258" max="10258" width="11.25" style="255" customWidth="1"/>
    <col min="10259" max="10259" width="10.75" style="255" customWidth="1"/>
    <col min="10260" max="10260" width="10" style="255" customWidth="1"/>
    <col min="10261" max="10261" width="9.875" style="255" customWidth="1"/>
    <col min="10262" max="10262" width="26.125" style="255" customWidth="1"/>
    <col min="10263" max="10263" width="11.125" style="255" customWidth="1"/>
    <col min="10264" max="10264" width="7.875" style="255" customWidth="1"/>
    <col min="10265" max="10265" width="7.25" style="255" customWidth="1"/>
    <col min="10266" max="10266" width="9.125" style="255" customWidth="1"/>
    <col min="10267" max="10267" width="15.125" style="255" customWidth="1"/>
    <col min="10268" max="10268" width="7.75" style="255" customWidth="1"/>
    <col min="10269" max="10269" width="7.125" style="255" customWidth="1"/>
    <col min="10270" max="10270" width="12.125" style="255" customWidth="1"/>
    <col min="10271" max="10271" width="8.25" style="255" customWidth="1"/>
    <col min="10272" max="10273" width="10.375" style="255" customWidth="1"/>
    <col min="10274" max="10274" width="15.625" style="255" customWidth="1"/>
    <col min="10275" max="10275" width="15.875" style="255" customWidth="1"/>
    <col min="10276" max="10276" width="8.125" style="255" customWidth="1"/>
    <col min="10277" max="10280" width="10.375" style="255" customWidth="1"/>
    <col min="10281" max="10281" width="7.25" style="255" customWidth="1"/>
    <col min="10282" max="10282" width="7.125" style="255" customWidth="1"/>
    <col min="10283" max="10283" width="9.5" style="255" customWidth="1"/>
    <col min="10284" max="10285" width="9" style="255" customWidth="1"/>
    <col min="10286" max="10286" width="16.125" style="255" customWidth="1"/>
    <col min="10287" max="10317" width="9" style="255" customWidth="1"/>
    <col min="10318" max="10477" width="25.25" style="255"/>
    <col min="10478" max="10507" width="9" style="255" customWidth="1"/>
    <col min="10508" max="10508" width="0.5" style="255" customWidth="1"/>
    <col min="10509" max="10509" width="25.25" style="255"/>
    <col min="10510" max="10510" width="0.5" style="255" customWidth="1"/>
    <col min="10511" max="10511" width="25.25" style="255"/>
    <col min="10512" max="10512" width="14.75" style="255" customWidth="1"/>
    <col min="10513" max="10513" width="11.5" style="255" customWidth="1"/>
    <col min="10514" max="10514" width="11.25" style="255" customWidth="1"/>
    <col min="10515" max="10515" width="10.75" style="255" customWidth="1"/>
    <col min="10516" max="10516" width="10" style="255" customWidth="1"/>
    <col min="10517" max="10517" width="9.875" style="255" customWidth="1"/>
    <col min="10518" max="10518" width="26.125" style="255" customWidth="1"/>
    <col min="10519" max="10519" width="11.125" style="255" customWidth="1"/>
    <col min="10520" max="10520" width="7.875" style="255" customWidth="1"/>
    <col min="10521" max="10521" width="7.25" style="255" customWidth="1"/>
    <col min="10522" max="10522" width="9.125" style="255" customWidth="1"/>
    <col min="10523" max="10523" width="15.125" style="255" customWidth="1"/>
    <col min="10524" max="10524" width="7.75" style="255" customWidth="1"/>
    <col min="10525" max="10525" width="7.125" style="255" customWidth="1"/>
    <col min="10526" max="10526" width="12.125" style="255" customWidth="1"/>
    <col min="10527" max="10527" width="8.25" style="255" customWidth="1"/>
    <col min="10528" max="10529" width="10.375" style="255" customWidth="1"/>
    <col min="10530" max="10530" width="15.625" style="255" customWidth="1"/>
    <col min="10531" max="10531" width="15.875" style="255" customWidth="1"/>
    <col min="10532" max="10532" width="8.125" style="255" customWidth="1"/>
    <col min="10533" max="10536" width="10.375" style="255" customWidth="1"/>
    <col min="10537" max="10537" width="7.25" style="255" customWidth="1"/>
    <col min="10538" max="10538" width="7.125" style="255" customWidth="1"/>
    <col min="10539" max="10539" width="9.5" style="255" customWidth="1"/>
    <col min="10540" max="10541" width="9" style="255" customWidth="1"/>
    <col min="10542" max="10542" width="16.125" style="255" customWidth="1"/>
    <col min="10543" max="10573" width="9" style="255" customWidth="1"/>
    <col min="10574" max="10733" width="25.25" style="255"/>
    <col min="10734" max="10763" width="9" style="255" customWidth="1"/>
    <col min="10764" max="10764" width="0.5" style="255" customWidth="1"/>
    <col min="10765" max="10765" width="25.25" style="255"/>
    <col min="10766" max="10766" width="0.5" style="255" customWidth="1"/>
    <col min="10767" max="10767" width="25.25" style="255"/>
    <col min="10768" max="10768" width="14.75" style="255" customWidth="1"/>
    <col min="10769" max="10769" width="11.5" style="255" customWidth="1"/>
    <col min="10770" max="10770" width="11.25" style="255" customWidth="1"/>
    <col min="10771" max="10771" width="10.75" style="255" customWidth="1"/>
    <col min="10772" max="10772" width="10" style="255" customWidth="1"/>
    <col min="10773" max="10773" width="9.875" style="255" customWidth="1"/>
    <col min="10774" max="10774" width="26.125" style="255" customWidth="1"/>
    <col min="10775" max="10775" width="11.125" style="255" customWidth="1"/>
    <col min="10776" max="10776" width="7.875" style="255" customWidth="1"/>
    <col min="10777" max="10777" width="7.25" style="255" customWidth="1"/>
    <col min="10778" max="10778" width="9.125" style="255" customWidth="1"/>
    <col min="10779" max="10779" width="15.125" style="255" customWidth="1"/>
    <col min="10780" max="10780" width="7.75" style="255" customWidth="1"/>
    <col min="10781" max="10781" width="7.125" style="255" customWidth="1"/>
    <col min="10782" max="10782" width="12.125" style="255" customWidth="1"/>
    <col min="10783" max="10783" width="8.25" style="255" customWidth="1"/>
    <col min="10784" max="10785" width="10.375" style="255" customWidth="1"/>
    <col min="10786" max="10786" width="15.625" style="255" customWidth="1"/>
    <col min="10787" max="10787" width="15.875" style="255" customWidth="1"/>
    <col min="10788" max="10788" width="8.125" style="255" customWidth="1"/>
    <col min="10789" max="10792" width="10.375" style="255" customWidth="1"/>
    <col min="10793" max="10793" width="7.25" style="255" customWidth="1"/>
    <col min="10794" max="10794" width="7.125" style="255" customWidth="1"/>
    <col min="10795" max="10795" width="9.5" style="255" customWidth="1"/>
    <col min="10796" max="10797" width="9" style="255" customWidth="1"/>
    <col min="10798" max="10798" width="16.125" style="255" customWidth="1"/>
    <col min="10799" max="10829" width="9" style="255" customWidth="1"/>
    <col min="10830" max="10989" width="25.25" style="255"/>
    <col min="10990" max="11019" width="9" style="255" customWidth="1"/>
    <col min="11020" max="11020" width="0.5" style="255" customWidth="1"/>
    <col min="11021" max="11021" width="25.25" style="255"/>
    <col min="11022" max="11022" width="0.5" style="255" customWidth="1"/>
    <col min="11023" max="11023" width="25.25" style="255"/>
    <col min="11024" max="11024" width="14.75" style="255" customWidth="1"/>
    <col min="11025" max="11025" width="11.5" style="255" customWidth="1"/>
    <col min="11026" max="11026" width="11.25" style="255" customWidth="1"/>
    <col min="11027" max="11027" width="10.75" style="255" customWidth="1"/>
    <col min="11028" max="11028" width="10" style="255" customWidth="1"/>
    <col min="11029" max="11029" width="9.875" style="255" customWidth="1"/>
    <col min="11030" max="11030" width="26.125" style="255" customWidth="1"/>
    <col min="11031" max="11031" width="11.125" style="255" customWidth="1"/>
    <col min="11032" max="11032" width="7.875" style="255" customWidth="1"/>
    <col min="11033" max="11033" width="7.25" style="255" customWidth="1"/>
    <col min="11034" max="11034" width="9.125" style="255" customWidth="1"/>
    <col min="11035" max="11035" width="15.125" style="255" customWidth="1"/>
    <col min="11036" max="11036" width="7.75" style="255" customWidth="1"/>
    <col min="11037" max="11037" width="7.125" style="255" customWidth="1"/>
    <col min="11038" max="11038" width="12.125" style="255" customWidth="1"/>
    <col min="11039" max="11039" width="8.25" style="255" customWidth="1"/>
    <col min="11040" max="11041" width="10.375" style="255" customWidth="1"/>
    <col min="11042" max="11042" width="15.625" style="255" customWidth="1"/>
    <col min="11043" max="11043" width="15.875" style="255" customWidth="1"/>
    <col min="11044" max="11044" width="8.125" style="255" customWidth="1"/>
    <col min="11045" max="11048" width="10.375" style="255" customWidth="1"/>
    <col min="11049" max="11049" width="7.25" style="255" customWidth="1"/>
    <col min="11050" max="11050" width="7.125" style="255" customWidth="1"/>
    <col min="11051" max="11051" width="9.5" style="255" customWidth="1"/>
    <col min="11052" max="11053" width="9" style="255" customWidth="1"/>
    <col min="11054" max="11054" width="16.125" style="255" customWidth="1"/>
    <col min="11055" max="11085" width="9" style="255" customWidth="1"/>
    <col min="11086" max="11245" width="25.25" style="255"/>
    <col min="11246" max="11275" width="9" style="255" customWidth="1"/>
    <col min="11276" max="11276" width="0.5" style="255" customWidth="1"/>
    <col min="11277" max="11277" width="25.25" style="255"/>
    <col min="11278" max="11278" width="0.5" style="255" customWidth="1"/>
    <col min="11279" max="11279" width="25.25" style="255"/>
    <col min="11280" max="11280" width="14.75" style="255" customWidth="1"/>
    <col min="11281" max="11281" width="11.5" style="255" customWidth="1"/>
    <col min="11282" max="11282" width="11.25" style="255" customWidth="1"/>
    <col min="11283" max="11283" width="10.75" style="255" customWidth="1"/>
    <col min="11284" max="11284" width="10" style="255" customWidth="1"/>
    <col min="11285" max="11285" width="9.875" style="255" customWidth="1"/>
    <col min="11286" max="11286" width="26.125" style="255" customWidth="1"/>
    <col min="11287" max="11287" width="11.125" style="255" customWidth="1"/>
    <col min="11288" max="11288" width="7.875" style="255" customWidth="1"/>
    <col min="11289" max="11289" width="7.25" style="255" customWidth="1"/>
    <col min="11290" max="11290" width="9.125" style="255" customWidth="1"/>
    <col min="11291" max="11291" width="15.125" style="255" customWidth="1"/>
    <col min="11292" max="11292" width="7.75" style="255" customWidth="1"/>
    <col min="11293" max="11293" width="7.125" style="255" customWidth="1"/>
    <col min="11294" max="11294" width="12.125" style="255" customWidth="1"/>
    <col min="11295" max="11295" width="8.25" style="255" customWidth="1"/>
    <col min="11296" max="11297" width="10.375" style="255" customWidth="1"/>
    <col min="11298" max="11298" width="15.625" style="255" customWidth="1"/>
    <col min="11299" max="11299" width="15.875" style="255" customWidth="1"/>
    <col min="11300" max="11300" width="8.125" style="255" customWidth="1"/>
    <col min="11301" max="11304" width="10.375" style="255" customWidth="1"/>
    <col min="11305" max="11305" width="7.25" style="255" customWidth="1"/>
    <col min="11306" max="11306" width="7.125" style="255" customWidth="1"/>
    <col min="11307" max="11307" width="9.5" style="255" customWidth="1"/>
    <col min="11308" max="11309" width="9" style="255" customWidth="1"/>
    <col min="11310" max="11310" width="16.125" style="255" customWidth="1"/>
    <col min="11311" max="11341" width="9" style="255" customWidth="1"/>
    <col min="11342" max="11501" width="25.25" style="255"/>
    <col min="11502" max="11531" width="9" style="255" customWidth="1"/>
    <col min="11532" max="11532" width="0.5" style="255" customWidth="1"/>
    <col min="11533" max="11533" width="25.25" style="255"/>
    <col min="11534" max="11534" width="0.5" style="255" customWidth="1"/>
    <col min="11535" max="11535" width="25.25" style="255"/>
    <col min="11536" max="11536" width="14.75" style="255" customWidth="1"/>
    <col min="11537" max="11537" width="11.5" style="255" customWidth="1"/>
    <col min="11538" max="11538" width="11.25" style="255" customWidth="1"/>
    <col min="11539" max="11539" width="10.75" style="255" customWidth="1"/>
    <col min="11540" max="11540" width="10" style="255" customWidth="1"/>
    <col min="11541" max="11541" width="9.875" style="255" customWidth="1"/>
    <col min="11542" max="11542" width="26.125" style="255" customWidth="1"/>
    <col min="11543" max="11543" width="11.125" style="255" customWidth="1"/>
    <col min="11544" max="11544" width="7.875" style="255" customWidth="1"/>
    <col min="11545" max="11545" width="7.25" style="255" customWidth="1"/>
    <col min="11546" max="11546" width="9.125" style="255" customWidth="1"/>
    <col min="11547" max="11547" width="15.125" style="255" customWidth="1"/>
    <col min="11548" max="11548" width="7.75" style="255" customWidth="1"/>
    <col min="11549" max="11549" width="7.125" style="255" customWidth="1"/>
    <col min="11550" max="11550" width="12.125" style="255" customWidth="1"/>
    <col min="11551" max="11551" width="8.25" style="255" customWidth="1"/>
    <col min="11552" max="11553" width="10.375" style="255" customWidth="1"/>
    <col min="11554" max="11554" width="15.625" style="255" customWidth="1"/>
    <col min="11555" max="11555" width="15.875" style="255" customWidth="1"/>
    <col min="11556" max="11556" width="8.125" style="255" customWidth="1"/>
    <col min="11557" max="11560" width="10.375" style="255" customWidth="1"/>
    <col min="11561" max="11561" width="7.25" style="255" customWidth="1"/>
    <col min="11562" max="11562" width="7.125" style="255" customWidth="1"/>
    <col min="11563" max="11563" width="9.5" style="255" customWidth="1"/>
    <col min="11564" max="11565" width="9" style="255" customWidth="1"/>
    <col min="11566" max="11566" width="16.125" style="255" customWidth="1"/>
    <col min="11567" max="11597" width="9" style="255" customWidth="1"/>
    <col min="11598" max="11757" width="25.25" style="255"/>
    <col min="11758" max="11787" width="9" style="255" customWidth="1"/>
    <col min="11788" max="11788" width="0.5" style="255" customWidth="1"/>
    <col min="11789" max="11789" width="25.25" style="255"/>
    <col min="11790" max="11790" width="0.5" style="255" customWidth="1"/>
    <col min="11791" max="11791" width="25.25" style="255"/>
    <col min="11792" max="11792" width="14.75" style="255" customWidth="1"/>
    <col min="11793" max="11793" width="11.5" style="255" customWidth="1"/>
    <col min="11794" max="11794" width="11.25" style="255" customWidth="1"/>
    <col min="11795" max="11795" width="10.75" style="255" customWidth="1"/>
    <col min="11796" max="11796" width="10" style="255" customWidth="1"/>
    <col min="11797" max="11797" width="9.875" style="255" customWidth="1"/>
    <col min="11798" max="11798" width="26.125" style="255" customWidth="1"/>
    <col min="11799" max="11799" width="11.125" style="255" customWidth="1"/>
    <col min="11800" max="11800" width="7.875" style="255" customWidth="1"/>
    <col min="11801" max="11801" width="7.25" style="255" customWidth="1"/>
    <col min="11802" max="11802" width="9.125" style="255" customWidth="1"/>
    <col min="11803" max="11803" width="15.125" style="255" customWidth="1"/>
    <col min="11804" max="11804" width="7.75" style="255" customWidth="1"/>
    <col min="11805" max="11805" width="7.125" style="255" customWidth="1"/>
    <col min="11806" max="11806" width="12.125" style="255" customWidth="1"/>
    <col min="11807" max="11807" width="8.25" style="255" customWidth="1"/>
    <col min="11808" max="11809" width="10.375" style="255" customWidth="1"/>
    <col min="11810" max="11810" width="15.625" style="255" customWidth="1"/>
    <col min="11811" max="11811" width="15.875" style="255" customWidth="1"/>
    <col min="11812" max="11812" width="8.125" style="255" customWidth="1"/>
    <col min="11813" max="11816" width="10.375" style="255" customWidth="1"/>
    <col min="11817" max="11817" width="7.25" style="255" customWidth="1"/>
    <col min="11818" max="11818" width="7.125" style="255" customWidth="1"/>
    <col min="11819" max="11819" width="9.5" style="255" customWidth="1"/>
    <col min="11820" max="11821" width="9" style="255" customWidth="1"/>
    <col min="11822" max="11822" width="16.125" style="255" customWidth="1"/>
    <col min="11823" max="11853" width="9" style="255" customWidth="1"/>
    <col min="11854" max="12013" width="25.25" style="255"/>
    <col min="12014" max="12043" width="9" style="255" customWidth="1"/>
    <col min="12044" max="12044" width="0.5" style="255" customWidth="1"/>
    <col min="12045" max="12045" width="25.25" style="255"/>
    <col min="12046" max="12046" width="0.5" style="255" customWidth="1"/>
    <col min="12047" max="12047" width="25.25" style="255"/>
    <col min="12048" max="12048" width="14.75" style="255" customWidth="1"/>
    <col min="12049" max="12049" width="11.5" style="255" customWidth="1"/>
    <col min="12050" max="12050" width="11.25" style="255" customWidth="1"/>
    <col min="12051" max="12051" width="10.75" style="255" customWidth="1"/>
    <col min="12052" max="12052" width="10" style="255" customWidth="1"/>
    <col min="12053" max="12053" width="9.875" style="255" customWidth="1"/>
    <col min="12054" max="12054" width="26.125" style="255" customWidth="1"/>
    <col min="12055" max="12055" width="11.125" style="255" customWidth="1"/>
    <col min="12056" max="12056" width="7.875" style="255" customWidth="1"/>
    <col min="12057" max="12057" width="7.25" style="255" customWidth="1"/>
    <col min="12058" max="12058" width="9.125" style="255" customWidth="1"/>
    <col min="12059" max="12059" width="15.125" style="255" customWidth="1"/>
    <col min="12060" max="12060" width="7.75" style="255" customWidth="1"/>
    <col min="12061" max="12061" width="7.125" style="255" customWidth="1"/>
    <col min="12062" max="12062" width="12.125" style="255" customWidth="1"/>
    <col min="12063" max="12063" width="8.25" style="255" customWidth="1"/>
    <col min="12064" max="12065" width="10.375" style="255" customWidth="1"/>
    <col min="12066" max="12066" width="15.625" style="255" customWidth="1"/>
    <col min="12067" max="12067" width="15.875" style="255" customWidth="1"/>
    <col min="12068" max="12068" width="8.125" style="255" customWidth="1"/>
    <col min="12069" max="12072" width="10.375" style="255" customWidth="1"/>
    <col min="12073" max="12073" width="7.25" style="255" customWidth="1"/>
    <col min="12074" max="12074" width="7.125" style="255" customWidth="1"/>
    <col min="12075" max="12075" width="9.5" style="255" customWidth="1"/>
    <col min="12076" max="12077" width="9" style="255" customWidth="1"/>
    <col min="12078" max="12078" width="16.125" style="255" customWidth="1"/>
    <col min="12079" max="12109" width="9" style="255" customWidth="1"/>
    <col min="12110" max="12269" width="25.25" style="255"/>
    <col min="12270" max="12299" width="9" style="255" customWidth="1"/>
    <col min="12300" max="12300" width="0.5" style="255" customWidth="1"/>
    <col min="12301" max="12301" width="25.25" style="255"/>
    <col min="12302" max="12302" width="0.5" style="255" customWidth="1"/>
    <col min="12303" max="12303" width="25.25" style="255"/>
    <col min="12304" max="12304" width="14.75" style="255" customWidth="1"/>
    <col min="12305" max="12305" width="11.5" style="255" customWidth="1"/>
    <col min="12306" max="12306" width="11.25" style="255" customWidth="1"/>
    <col min="12307" max="12307" width="10.75" style="255" customWidth="1"/>
    <col min="12308" max="12308" width="10" style="255" customWidth="1"/>
    <col min="12309" max="12309" width="9.875" style="255" customWidth="1"/>
    <col min="12310" max="12310" width="26.125" style="255" customWidth="1"/>
    <col min="12311" max="12311" width="11.125" style="255" customWidth="1"/>
    <col min="12312" max="12312" width="7.875" style="255" customWidth="1"/>
    <col min="12313" max="12313" width="7.25" style="255" customWidth="1"/>
    <col min="12314" max="12314" width="9.125" style="255" customWidth="1"/>
    <col min="12315" max="12315" width="15.125" style="255" customWidth="1"/>
    <col min="12316" max="12316" width="7.75" style="255" customWidth="1"/>
    <col min="12317" max="12317" width="7.125" style="255" customWidth="1"/>
    <col min="12318" max="12318" width="12.125" style="255" customWidth="1"/>
    <col min="12319" max="12319" width="8.25" style="255" customWidth="1"/>
    <col min="12320" max="12321" width="10.375" style="255" customWidth="1"/>
    <col min="12322" max="12322" width="15.625" style="255" customWidth="1"/>
    <col min="12323" max="12323" width="15.875" style="255" customWidth="1"/>
    <col min="12324" max="12324" width="8.125" style="255" customWidth="1"/>
    <col min="12325" max="12328" width="10.375" style="255" customWidth="1"/>
    <col min="12329" max="12329" width="7.25" style="255" customWidth="1"/>
    <col min="12330" max="12330" width="7.125" style="255" customWidth="1"/>
    <col min="12331" max="12331" width="9.5" style="255" customWidth="1"/>
    <col min="12332" max="12333" width="9" style="255" customWidth="1"/>
    <col min="12334" max="12334" width="16.125" style="255" customWidth="1"/>
    <col min="12335" max="12365" width="9" style="255" customWidth="1"/>
    <col min="12366" max="12525" width="25.25" style="255"/>
    <col min="12526" max="12555" width="9" style="255" customWidth="1"/>
    <col min="12556" max="12556" width="0.5" style="255" customWidth="1"/>
    <col min="12557" max="12557" width="25.25" style="255"/>
    <col min="12558" max="12558" width="0.5" style="255" customWidth="1"/>
    <col min="12559" max="12559" width="25.25" style="255"/>
    <col min="12560" max="12560" width="14.75" style="255" customWidth="1"/>
    <col min="12561" max="12561" width="11.5" style="255" customWidth="1"/>
    <col min="12562" max="12562" width="11.25" style="255" customWidth="1"/>
    <col min="12563" max="12563" width="10.75" style="255" customWidth="1"/>
    <col min="12564" max="12564" width="10" style="255" customWidth="1"/>
    <col min="12565" max="12565" width="9.875" style="255" customWidth="1"/>
    <col min="12566" max="12566" width="26.125" style="255" customWidth="1"/>
    <col min="12567" max="12567" width="11.125" style="255" customWidth="1"/>
    <col min="12568" max="12568" width="7.875" style="255" customWidth="1"/>
    <col min="12569" max="12569" width="7.25" style="255" customWidth="1"/>
    <col min="12570" max="12570" width="9.125" style="255" customWidth="1"/>
    <col min="12571" max="12571" width="15.125" style="255" customWidth="1"/>
    <col min="12572" max="12572" width="7.75" style="255" customWidth="1"/>
    <col min="12573" max="12573" width="7.125" style="255" customWidth="1"/>
    <col min="12574" max="12574" width="12.125" style="255" customWidth="1"/>
    <col min="12575" max="12575" width="8.25" style="255" customWidth="1"/>
    <col min="12576" max="12577" width="10.375" style="255" customWidth="1"/>
    <col min="12578" max="12578" width="15.625" style="255" customWidth="1"/>
    <col min="12579" max="12579" width="15.875" style="255" customWidth="1"/>
    <col min="12580" max="12580" width="8.125" style="255" customWidth="1"/>
    <col min="12581" max="12584" width="10.375" style="255" customWidth="1"/>
    <col min="12585" max="12585" width="7.25" style="255" customWidth="1"/>
    <col min="12586" max="12586" width="7.125" style="255" customWidth="1"/>
    <col min="12587" max="12587" width="9.5" style="255" customWidth="1"/>
    <col min="12588" max="12589" width="9" style="255" customWidth="1"/>
    <col min="12590" max="12590" width="16.125" style="255" customWidth="1"/>
    <col min="12591" max="12621" width="9" style="255" customWidth="1"/>
    <col min="12622" max="12781" width="25.25" style="255"/>
    <col min="12782" max="12811" width="9" style="255" customWidth="1"/>
    <col min="12812" max="12812" width="0.5" style="255" customWidth="1"/>
    <col min="12813" max="12813" width="25.25" style="255"/>
    <col min="12814" max="12814" width="0.5" style="255" customWidth="1"/>
    <col min="12815" max="12815" width="25.25" style="255"/>
    <col min="12816" max="12816" width="14.75" style="255" customWidth="1"/>
    <col min="12817" max="12817" width="11.5" style="255" customWidth="1"/>
    <col min="12818" max="12818" width="11.25" style="255" customWidth="1"/>
    <col min="12819" max="12819" width="10.75" style="255" customWidth="1"/>
    <col min="12820" max="12820" width="10" style="255" customWidth="1"/>
    <col min="12821" max="12821" width="9.875" style="255" customWidth="1"/>
    <col min="12822" max="12822" width="26.125" style="255" customWidth="1"/>
    <col min="12823" max="12823" width="11.125" style="255" customWidth="1"/>
    <col min="12824" max="12824" width="7.875" style="255" customWidth="1"/>
    <col min="12825" max="12825" width="7.25" style="255" customWidth="1"/>
    <col min="12826" max="12826" width="9.125" style="255" customWidth="1"/>
    <col min="12827" max="12827" width="15.125" style="255" customWidth="1"/>
    <col min="12828" max="12828" width="7.75" style="255" customWidth="1"/>
    <col min="12829" max="12829" width="7.125" style="255" customWidth="1"/>
    <col min="12830" max="12830" width="12.125" style="255" customWidth="1"/>
    <col min="12831" max="12831" width="8.25" style="255" customWidth="1"/>
    <col min="12832" max="12833" width="10.375" style="255" customWidth="1"/>
    <col min="12834" max="12834" width="15.625" style="255" customWidth="1"/>
    <col min="12835" max="12835" width="15.875" style="255" customWidth="1"/>
    <col min="12836" max="12836" width="8.125" style="255" customWidth="1"/>
    <col min="12837" max="12840" width="10.375" style="255" customWidth="1"/>
    <col min="12841" max="12841" width="7.25" style="255" customWidth="1"/>
    <col min="12842" max="12842" width="7.125" style="255" customWidth="1"/>
    <col min="12843" max="12843" width="9.5" style="255" customWidth="1"/>
    <col min="12844" max="12845" width="9" style="255" customWidth="1"/>
    <col min="12846" max="12846" width="16.125" style="255" customWidth="1"/>
    <col min="12847" max="12877" width="9" style="255" customWidth="1"/>
    <col min="12878" max="13037" width="25.25" style="255"/>
    <col min="13038" max="13067" width="9" style="255" customWidth="1"/>
    <col min="13068" max="13068" width="0.5" style="255" customWidth="1"/>
    <col min="13069" max="13069" width="25.25" style="255"/>
    <col min="13070" max="13070" width="0.5" style="255" customWidth="1"/>
    <col min="13071" max="13071" width="25.25" style="255"/>
    <col min="13072" max="13072" width="14.75" style="255" customWidth="1"/>
    <col min="13073" max="13073" width="11.5" style="255" customWidth="1"/>
    <col min="13074" max="13074" width="11.25" style="255" customWidth="1"/>
    <col min="13075" max="13075" width="10.75" style="255" customWidth="1"/>
    <col min="13076" max="13076" width="10" style="255" customWidth="1"/>
    <col min="13077" max="13077" width="9.875" style="255" customWidth="1"/>
    <col min="13078" max="13078" width="26.125" style="255" customWidth="1"/>
    <col min="13079" max="13079" width="11.125" style="255" customWidth="1"/>
    <col min="13080" max="13080" width="7.875" style="255" customWidth="1"/>
    <col min="13081" max="13081" width="7.25" style="255" customWidth="1"/>
    <col min="13082" max="13082" width="9.125" style="255" customWidth="1"/>
    <col min="13083" max="13083" width="15.125" style="255" customWidth="1"/>
    <col min="13084" max="13084" width="7.75" style="255" customWidth="1"/>
    <col min="13085" max="13085" width="7.125" style="255" customWidth="1"/>
    <col min="13086" max="13086" width="12.125" style="255" customWidth="1"/>
    <col min="13087" max="13087" width="8.25" style="255" customWidth="1"/>
    <col min="13088" max="13089" width="10.375" style="255" customWidth="1"/>
    <col min="13090" max="13090" width="15.625" style="255" customWidth="1"/>
    <col min="13091" max="13091" width="15.875" style="255" customWidth="1"/>
    <col min="13092" max="13092" width="8.125" style="255" customWidth="1"/>
    <col min="13093" max="13096" width="10.375" style="255" customWidth="1"/>
    <col min="13097" max="13097" width="7.25" style="255" customWidth="1"/>
    <col min="13098" max="13098" width="7.125" style="255" customWidth="1"/>
    <col min="13099" max="13099" width="9.5" style="255" customWidth="1"/>
    <col min="13100" max="13101" width="9" style="255" customWidth="1"/>
    <col min="13102" max="13102" width="16.125" style="255" customWidth="1"/>
    <col min="13103" max="13133" width="9" style="255" customWidth="1"/>
    <col min="13134" max="13293" width="25.25" style="255"/>
    <col min="13294" max="13323" width="9" style="255" customWidth="1"/>
    <col min="13324" max="13324" width="0.5" style="255" customWidth="1"/>
    <col min="13325" max="13325" width="25.25" style="255"/>
    <col min="13326" max="13326" width="0.5" style="255" customWidth="1"/>
    <col min="13327" max="13327" width="25.25" style="255"/>
    <col min="13328" max="13328" width="14.75" style="255" customWidth="1"/>
    <col min="13329" max="13329" width="11.5" style="255" customWidth="1"/>
    <col min="13330" max="13330" width="11.25" style="255" customWidth="1"/>
    <col min="13331" max="13331" width="10.75" style="255" customWidth="1"/>
    <col min="13332" max="13332" width="10" style="255" customWidth="1"/>
    <col min="13333" max="13333" width="9.875" style="255" customWidth="1"/>
    <col min="13334" max="13334" width="26.125" style="255" customWidth="1"/>
    <col min="13335" max="13335" width="11.125" style="255" customWidth="1"/>
    <col min="13336" max="13336" width="7.875" style="255" customWidth="1"/>
    <col min="13337" max="13337" width="7.25" style="255" customWidth="1"/>
    <col min="13338" max="13338" width="9.125" style="255" customWidth="1"/>
    <col min="13339" max="13339" width="15.125" style="255" customWidth="1"/>
    <col min="13340" max="13340" width="7.75" style="255" customWidth="1"/>
    <col min="13341" max="13341" width="7.125" style="255" customWidth="1"/>
    <col min="13342" max="13342" width="12.125" style="255" customWidth="1"/>
    <col min="13343" max="13343" width="8.25" style="255" customWidth="1"/>
    <col min="13344" max="13345" width="10.375" style="255" customWidth="1"/>
    <col min="13346" max="13346" width="15.625" style="255" customWidth="1"/>
    <col min="13347" max="13347" width="15.875" style="255" customWidth="1"/>
    <col min="13348" max="13348" width="8.125" style="255" customWidth="1"/>
    <col min="13349" max="13352" width="10.375" style="255" customWidth="1"/>
    <col min="13353" max="13353" width="7.25" style="255" customWidth="1"/>
    <col min="13354" max="13354" width="7.125" style="255" customWidth="1"/>
    <col min="13355" max="13355" width="9.5" style="255" customWidth="1"/>
    <col min="13356" max="13357" width="9" style="255" customWidth="1"/>
    <col min="13358" max="13358" width="16.125" style="255" customWidth="1"/>
    <col min="13359" max="13389" width="9" style="255" customWidth="1"/>
    <col min="13390" max="13549" width="25.25" style="255"/>
    <col min="13550" max="13579" width="9" style="255" customWidth="1"/>
    <col min="13580" max="13580" width="0.5" style="255" customWidth="1"/>
    <col min="13581" max="13581" width="25.25" style="255"/>
    <col min="13582" max="13582" width="0.5" style="255" customWidth="1"/>
    <col min="13583" max="13583" width="25.25" style="255"/>
    <col min="13584" max="13584" width="14.75" style="255" customWidth="1"/>
    <col min="13585" max="13585" width="11.5" style="255" customWidth="1"/>
    <col min="13586" max="13586" width="11.25" style="255" customWidth="1"/>
    <col min="13587" max="13587" width="10.75" style="255" customWidth="1"/>
    <col min="13588" max="13588" width="10" style="255" customWidth="1"/>
    <col min="13589" max="13589" width="9.875" style="255" customWidth="1"/>
    <col min="13590" max="13590" width="26.125" style="255" customWidth="1"/>
    <col min="13591" max="13591" width="11.125" style="255" customWidth="1"/>
    <col min="13592" max="13592" width="7.875" style="255" customWidth="1"/>
    <col min="13593" max="13593" width="7.25" style="255" customWidth="1"/>
    <col min="13594" max="13594" width="9.125" style="255" customWidth="1"/>
    <col min="13595" max="13595" width="15.125" style="255" customWidth="1"/>
    <col min="13596" max="13596" width="7.75" style="255" customWidth="1"/>
    <col min="13597" max="13597" width="7.125" style="255" customWidth="1"/>
    <col min="13598" max="13598" width="12.125" style="255" customWidth="1"/>
    <col min="13599" max="13599" width="8.25" style="255" customWidth="1"/>
    <col min="13600" max="13601" width="10.375" style="255" customWidth="1"/>
    <col min="13602" max="13602" width="15.625" style="255" customWidth="1"/>
    <col min="13603" max="13603" width="15.875" style="255" customWidth="1"/>
    <col min="13604" max="13604" width="8.125" style="255" customWidth="1"/>
    <col min="13605" max="13608" width="10.375" style="255" customWidth="1"/>
    <col min="13609" max="13609" width="7.25" style="255" customWidth="1"/>
    <col min="13610" max="13610" width="7.125" style="255" customWidth="1"/>
    <col min="13611" max="13611" width="9.5" style="255" customWidth="1"/>
    <col min="13612" max="13613" width="9" style="255" customWidth="1"/>
    <col min="13614" max="13614" width="16.125" style="255" customWidth="1"/>
    <col min="13615" max="13645" width="9" style="255" customWidth="1"/>
    <col min="13646" max="13805" width="25.25" style="255"/>
    <col min="13806" max="13835" width="9" style="255" customWidth="1"/>
    <col min="13836" max="13836" width="0.5" style="255" customWidth="1"/>
    <col min="13837" max="13837" width="25.25" style="255"/>
    <col min="13838" max="13838" width="0.5" style="255" customWidth="1"/>
    <col min="13839" max="13839" width="25.25" style="255"/>
    <col min="13840" max="13840" width="14.75" style="255" customWidth="1"/>
    <col min="13841" max="13841" width="11.5" style="255" customWidth="1"/>
    <col min="13842" max="13842" width="11.25" style="255" customWidth="1"/>
    <col min="13843" max="13843" width="10.75" style="255" customWidth="1"/>
    <col min="13844" max="13844" width="10" style="255" customWidth="1"/>
    <col min="13845" max="13845" width="9.875" style="255" customWidth="1"/>
    <col min="13846" max="13846" width="26.125" style="255" customWidth="1"/>
    <col min="13847" max="13847" width="11.125" style="255" customWidth="1"/>
    <col min="13848" max="13848" width="7.875" style="255" customWidth="1"/>
    <col min="13849" max="13849" width="7.25" style="255" customWidth="1"/>
    <col min="13850" max="13850" width="9.125" style="255" customWidth="1"/>
    <col min="13851" max="13851" width="15.125" style="255" customWidth="1"/>
    <col min="13852" max="13852" width="7.75" style="255" customWidth="1"/>
    <col min="13853" max="13853" width="7.125" style="255" customWidth="1"/>
    <col min="13854" max="13854" width="12.125" style="255" customWidth="1"/>
    <col min="13855" max="13855" width="8.25" style="255" customWidth="1"/>
    <col min="13856" max="13857" width="10.375" style="255" customWidth="1"/>
    <col min="13858" max="13858" width="15.625" style="255" customWidth="1"/>
    <col min="13859" max="13859" width="15.875" style="255" customWidth="1"/>
    <col min="13860" max="13860" width="8.125" style="255" customWidth="1"/>
    <col min="13861" max="13864" width="10.375" style="255" customWidth="1"/>
    <col min="13865" max="13865" width="7.25" style="255" customWidth="1"/>
    <col min="13866" max="13866" width="7.125" style="255" customWidth="1"/>
    <col min="13867" max="13867" width="9.5" style="255" customWidth="1"/>
    <col min="13868" max="13869" width="9" style="255" customWidth="1"/>
    <col min="13870" max="13870" width="16.125" style="255" customWidth="1"/>
    <col min="13871" max="13901" width="9" style="255" customWidth="1"/>
    <col min="13902" max="14061" width="25.25" style="255"/>
    <col min="14062" max="14091" width="9" style="255" customWidth="1"/>
    <col min="14092" max="14092" width="0.5" style="255" customWidth="1"/>
    <col min="14093" max="14093" width="25.25" style="255"/>
    <col min="14094" max="14094" width="0.5" style="255" customWidth="1"/>
    <col min="14095" max="14095" width="25.25" style="255"/>
    <col min="14096" max="14096" width="14.75" style="255" customWidth="1"/>
    <col min="14097" max="14097" width="11.5" style="255" customWidth="1"/>
    <col min="14098" max="14098" width="11.25" style="255" customWidth="1"/>
    <col min="14099" max="14099" width="10.75" style="255" customWidth="1"/>
    <col min="14100" max="14100" width="10" style="255" customWidth="1"/>
    <col min="14101" max="14101" width="9.875" style="255" customWidth="1"/>
    <col min="14102" max="14102" width="26.125" style="255" customWidth="1"/>
    <col min="14103" max="14103" width="11.125" style="255" customWidth="1"/>
    <col min="14104" max="14104" width="7.875" style="255" customWidth="1"/>
    <col min="14105" max="14105" width="7.25" style="255" customWidth="1"/>
    <col min="14106" max="14106" width="9.125" style="255" customWidth="1"/>
    <col min="14107" max="14107" width="15.125" style="255" customWidth="1"/>
    <col min="14108" max="14108" width="7.75" style="255" customWidth="1"/>
    <col min="14109" max="14109" width="7.125" style="255" customWidth="1"/>
    <col min="14110" max="14110" width="12.125" style="255" customWidth="1"/>
    <col min="14111" max="14111" width="8.25" style="255" customWidth="1"/>
    <col min="14112" max="14113" width="10.375" style="255" customWidth="1"/>
    <col min="14114" max="14114" width="15.625" style="255" customWidth="1"/>
    <col min="14115" max="14115" width="15.875" style="255" customWidth="1"/>
    <col min="14116" max="14116" width="8.125" style="255" customWidth="1"/>
    <col min="14117" max="14120" width="10.375" style="255" customWidth="1"/>
    <col min="14121" max="14121" width="7.25" style="255" customWidth="1"/>
    <col min="14122" max="14122" width="7.125" style="255" customWidth="1"/>
    <col min="14123" max="14123" width="9.5" style="255" customWidth="1"/>
    <col min="14124" max="14125" width="9" style="255" customWidth="1"/>
    <col min="14126" max="14126" width="16.125" style="255" customWidth="1"/>
    <col min="14127" max="14157" width="9" style="255" customWidth="1"/>
    <col min="14158" max="14317" width="25.25" style="255"/>
    <col min="14318" max="14347" width="9" style="255" customWidth="1"/>
    <col min="14348" max="14348" width="0.5" style="255" customWidth="1"/>
    <col min="14349" max="14349" width="25.25" style="255"/>
    <col min="14350" max="14350" width="0.5" style="255" customWidth="1"/>
    <col min="14351" max="14351" width="25.25" style="255"/>
    <col min="14352" max="14352" width="14.75" style="255" customWidth="1"/>
    <col min="14353" max="14353" width="11.5" style="255" customWidth="1"/>
    <col min="14354" max="14354" width="11.25" style="255" customWidth="1"/>
    <col min="14355" max="14355" width="10.75" style="255" customWidth="1"/>
    <col min="14356" max="14356" width="10" style="255" customWidth="1"/>
    <col min="14357" max="14357" width="9.875" style="255" customWidth="1"/>
    <col min="14358" max="14358" width="26.125" style="255" customWidth="1"/>
    <col min="14359" max="14359" width="11.125" style="255" customWidth="1"/>
    <col min="14360" max="14360" width="7.875" style="255" customWidth="1"/>
    <col min="14361" max="14361" width="7.25" style="255" customWidth="1"/>
    <col min="14362" max="14362" width="9.125" style="255" customWidth="1"/>
    <col min="14363" max="14363" width="15.125" style="255" customWidth="1"/>
    <col min="14364" max="14364" width="7.75" style="255" customWidth="1"/>
    <col min="14365" max="14365" width="7.125" style="255" customWidth="1"/>
    <col min="14366" max="14366" width="12.125" style="255" customWidth="1"/>
    <col min="14367" max="14367" width="8.25" style="255" customWidth="1"/>
    <col min="14368" max="14369" width="10.375" style="255" customWidth="1"/>
    <col min="14370" max="14370" width="15.625" style="255" customWidth="1"/>
    <col min="14371" max="14371" width="15.875" style="255" customWidth="1"/>
    <col min="14372" max="14372" width="8.125" style="255" customWidth="1"/>
    <col min="14373" max="14376" width="10.375" style="255" customWidth="1"/>
    <col min="14377" max="14377" width="7.25" style="255" customWidth="1"/>
    <col min="14378" max="14378" width="7.125" style="255" customWidth="1"/>
    <col min="14379" max="14379" width="9.5" style="255" customWidth="1"/>
    <col min="14380" max="14381" width="9" style="255" customWidth="1"/>
    <col min="14382" max="14382" width="16.125" style="255" customWidth="1"/>
    <col min="14383" max="14413" width="9" style="255" customWidth="1"/>
    <col min="14414" max="14573" width="25.25" style="255"/>
    <col min="14574" max="14603" width="9" style="255" customWidth="1"/>
    <col min="14604" max="14604" width="0.5" style="255" customWidth="1"/>
    <col min="14605" max="14605" width="25.25" style="255"/>
    <col min="14606" max="14606" width="0.5" style="255" customWidth="1"/>
    <col min="14607" max="14607" width="25.25" style="255"/>
    <col min="14608" max="14608" width="14.75" style="255" customWidth="1"/>
    <col min="14609" max="14609" width="11.5" style="255" customWidth="1"/>
    <col min="14610" max="14610" width="11.25" style="255" customWidth="1"/>
    <col min="14611" max="14611" width="10.75" style="255" customWidth="1"/>
    <col min="14612" max="14612" width="10" style="255" customWidth="1"/>
    <col min="14613" max="14613" width="9.875" style="255" customWidth="1"/>
    <col min="14614" max="14614" width="26.125" style="255" customWidth="1"/>
    <col min="14615" max="14615" width="11.125" style="255" customWidth="1"/>
    <col min="14616" max="14616" width="7.875" style="255" customWidth="1"/>
    <col min="14617" max="14617" width="7.25" style="255" customWidth="1"/>
    <col min="14618" max="14618" width="9.125" style="255" customWidth="1"/>
    <col min="14619" max="14619" width="15.125" style="255" customWidth="1"/>
    <col min="14620" max="14620" width="7.75" style="255" customWidth="1"/>
    <col min="14621" max="14621" width="7.125" style="255" customWidth="1"/>
    <col min="14622" max="14622" width="12.125" style="255" customWidth="1"/>
    <col min="14623" max="14623" width="8.25" style="255" customWidth="1"/>
    <col min="14624" max="14625" width="10.375" style="255" customWidth="1"/>
    <col min="14626" max="14626" width="15.625" style="255" customWidth="1"/>
    <col min="14627" max="14627" width="15.875" style="255" customWidth="1"/>
    <col min="14628" max="14628" width="8.125" style="255" customWidth="1"/>
    <col min="14629" max="14632" width="10.375" style="255" customWidth="1"/>
    <col min="14633" max="14633" width="7.25" style="255" customWidth="1"/>
    <col min="14634" max="14634" width="7.125" style="255" customWidth="1"/>
    <col min="14635" max="14635" width="9.5" style="255" customWidth="1"/>
    <col min="14636" max="14637" width="9" style="255" customWidth="1"/>
    <col min="14638" max="14638" width="16.125" style="255" customWidth="1"/>
    <col min="14639" max="14669" width="9" style="255" customWidth="1"/>
    <col min="14670" max="14829" width="25.25" style="255"/>
    <col min="14830" max="14859" width="9" style="255" customWidth="1"/>
    <col min="14860" max="14860" width="0.5" style="255" customWidth="1"/>
    <col min="14861" max="14861" width="25.25" style="255"/>
    <col min="14862" max="14862" width="0.5" style="255" customWidth="1"/>
    <col min="14863" max="14863" width="25.25" style="255"/>
    <col min="14864" max="14864" width="14.75" style="255" customWidth="1"/>
    <col min="14865" max="14865" width="11.5" style="255" customWidth="1"/>
    <col min="14866" max="14866" width="11.25" style="255" customWidth="1"/>
    <col min="14867" max="14867" width="10.75" style="255" customWidth="1"/>
    <col min="14868" max="14868" width="10" style="255" customWidth="1"/>
    <col min="14869" max="14869" width="9.875" style="255" customWidth="1"/>
    <col min="14870" max="14870" width="26.125" style="255" customWidth="1"/>
    <col min="14871" max="14871" width="11.125" style="255" customWidth="1"/>
    <col min="14872" max="14872" width="7.875" style="255" customWidth="1"/>
    <col min="14873" max="14873" width="7.25" style="255" customWidth="1"/>
    <col min="14874" max="14874" width="9.125" style="255" customWidth="1"/>
    <col min="14875" max="14875" width="15.125" style="255" customWidth="1"/>
    <col min="14876" max="14876" width="7.75" style="255" customWidth="1"/>
    <col min="14877" max="14877" width="7.125" style="255" customWidth="1"/>
    <col min="14878" max="14878" width="12.125" style="255" customWidth="1"/>
    <col min="14879" max="14879" width="8.25" style="255" customWidth="1"/>
    <col min="14880" max="14881" width="10.375" style="255" customWidth="1"/>
    <col min="14882" max="14882" width="15.625" style="255" customWidth="1"/>
    <col min="14883" max="14883" width="15.875" style="255" customWidth="1"/>
    <col min="14884" max="14884" width="8.125" style="255" customWidth="1"/>
    <col min="14885" max="14888" width="10.375" style="255" customWidth="1"/>
    <col min="14889" max="14889" width="7.25" style="255" customWidth="1"/>
    <col min="14890" max="14890" width="7.125" style="255" customWidth="1"/>
    <col min="14891" max="14891" width="9.5" style="255" customWidth="1"/>
    <col min="14892" max="14893" width="9" style="255" customWidth="1"/>
    <col min="14894" max="14894" width="16.125" style="255" customWidth="1"/>
    <col min="14895" max="14925" width="9" style="255" customWidth="1"/>
    <col min="14926" max="15085" width="25.25" style="255"/>
    <col min="15086" max="15115" width="9" style="255" customWidth="1"/>
    <col min="15116" max="15116" width="0.5" style="255" customWidth="1"/>
    <col min="15117" max="15117" width="25.25" style="255"/>
    <col min="15118" max="15118" width="0.5" style="255" customWidth="1"/>
    <col min="15119" max="15119" width="25.25" style="255"/>
    <col min="15120" max="15120" width="14.75" style="255" customWidth="1"/>
    <col min="15121" max="15121" width="11.5" style="255" customWidth="1"/>
    <col min="15122" max="15122" width="11.25" style="255" customWidth="1"/>
    <col min="15123" max="15123" width="10.75" style="255" customWidth="1"/>
    <col min="15124" max="15124" width="10" style="255" customWidth="1"/>
    <col min="15125" max="15125" width="9.875" style="255" customWidth="1"/>
    <col min="15126" max="15126" width="26.125" style="255" customWidth="1"/>
    <col min="15127" max="15127" width="11.125" style="255" customWidth="1"/>
    <col min="15128" max="15128" width="7.875" style="255" customWidth="1"/>
    <col min="15129" max="15129" width="7.25" style="255" customWidth="1"/>
    <col min="15130" max="15130" width="9.125" style="255" customWidth="1"/>
    <col min="15131" max="15131" width="15.125" style="255" customWidth="1"/>
    <col min="15132" max="15132" width="7.75" style="255" customWidth="1"/>
    <col min="15133" max="15133" width="7.125" style="255" customWidth="1"/>
    <col min="15134" max="15134" width="12.125" style="255" customWidth="1"/>
    <col min="15135" max="15135" width="8.25" style="255" customWidth="1"/>
    <col min="15136" max="15137" width="10.375" style="255" customWidth="1"/>
    <col min="15138" max="15138" width="15.625" style="255" customWidth="1"/>
    <col min="15139" max="15139" width="15.875" style="255" customWidth="1"/>
    <col min="15140" max="15140" width="8.125" style="255" customWidth="1"/>
    <col min="15141" max="15144" width="10.375" style="255" customWidth="1"/>
    <col min="15145" max="15145" width="7.25" style="255" customWidth="1"/>
    <col min="15146" max="15146" width="7.125" style="255" customWidth="1"/>
    <col min="15147" max="15147" width="9.5" style="255" customWidth="1"/>
    <col min="15148" max="15149" width="9" style="255" customWidth="1"/>
    <col min="15150" max="15150" width="16.125" style="255" customWidth="1"/>
    <col min="15151" max="15181" width="9" style="255" customWidth="1"/>
    <col min="15182" max="15341" width="25.25" style="255"/>
    <col min="15342" max="15371" width="9" style="255" customWidth="1"/>
    <col min="15372" max="15372" width="0.5" style="255" customWidth="1"/>
    <col min="15373" max="15373" width="25.25" style="255"/>
    <col min="15374" max="15374" width="0.5" style="255" customWidth="1"/>
    <col min="15375" max="15375" width="25.25" style="255"/>
    <col min="15376" max="15376" width="14.75" style="255" customWidth="1"/>
    <col min="15377" max="15377" width="11.5" style="255" customWidth="1"/>
    <col min="15378" max="15378" width="11.25" style="255" customWidth="1"/>
    <col min="15379" max="15379" width="10.75" style="255" customWidth="1"/>
    <col min="15380" max="15380" width="10" style="255" customWidth="1"/>
    <col min="15381" max="15381" width="9.875" style="255" customWidth="1"/>
    <col min="15382" max="15382" width="26.125" style="255" customWidth="1"/>
    <col min="15383" max="15383" width="11.125" style="255" customWidth="1"/>
    <col min="15384" max="15384" width="7.875" style="255" customWidth="1"/>
    <col min="15385" max="15385" width="7.25" style="255" customWidth="1"/>
    <col min="15386" max="15386" width="9.125" style="255" customWidth="1"/>
    <col min="15387" max="15387" width="15.125" style="255" customWidth="1"/>
    <col min="15388" max="15388" width="7.75" style="255" customWidth="1"/>
    <col min="15389" max="15389" width="7.125" style="255" customWidth="1"/>
    <col min="15390" max="15390" width="12.125" style="255" customWidth="1"/>
    <col min="15391" max="15391" width="8.25" style="255" customWidth="1"/>
    <col min="15392" max="15393" width="10.375" style="255" customWidth="1"/>
    <col min="15394" max="15394" width="15.625" style="255" customWidth="1"/>
    <col min="15395" max="15395" width="15.875" style="255" customWidth="1"/>
    <col min="15396" max="15396" width="8.125" style="255" customWidth="1"/>
    <col min="15397" max="15400" width="10.375" style="255" customWidth="1"/>
    <col min="15401" max="15401" width="7.25" style="255" customWidth="1"/>
    <col min="15402" max="15402" width="7.125" style="255" customWidth="1"/>
    <col min="15403" max="15403" width="9.5" style="255" customWidth="1"/>
    <col min="15404" max="15405" width="9" style="255" customWidth="1"/>
    <col min="15406" max="15406" width="16.125" style="255" customWidth="1"/>
    <col min="15407" max="15437" width="9" style="255" customWidth="1"/>
    <col min="15438" max="15597" width="25.25" style="255"/>
    <col min="15598" max="15627" width="9" style="255" customWidth="1"/>
    <col min="15628" max="15628" width="0.5" style="255" customWidth="1"/>
    <col min="15629" max="15629" width="25.25" style="255"/>
    <col min="15630" max="15630" width="0.5" style="255" customWidth="1"/>
    <col min="15631" max="15631" width="25.25" style="255"/>
    <col min="15632" max="15632" width="14.75" style="255" customWidth="1"/>
    <col min="15633" max="15633" width="11.5" style="255" customWidth="1"/>
    <col min="15634" max="15634" width="11.25" style="255" customWidth="1"/>
    <col min="15635" max="15635" width="10.75" style="255" customWidth="1"/>
    <col min="15636" max="15636" width="10" style="255" customWidth="1"/>
    <col min="15637" max="15637" width="9.875" style="255" customWidth="1"/>
    <col min="15638" max="15638" width="26.125" style="255" customWidth="1"/>
    <col min="15639" max="15639" width="11.125" style="255" customWidth="1"/>
    <col min="15640" max="15640" width="7.875" style="255" customWidth="1"/>
    <col min="15641" max="15641" width="7.25" style="255" customWidth="1"/>
    <col min="15642" max="15642" width="9.125" style="255" customWidth="1"/>
    <col min="15643" max="15643" width="15.125" style="255" customWidth="1"/>
    <col min="15644" max="15644" width="7.75" style="255" customWidth="1"/>
    <col min="15645" max="15645" width="7.125" style="255" customWidth="1"/>
    <col min="15646" max="15646" width="12.125" style="255" customWidth="1"/>
    <col min="15647" max="15647" width="8.25" style="255" customWidth="1"/>
    <col min="15648" max="15649" width="10.375" style="255" customWidth="1"/>
    <col min="15650" max="15650" width="15.625" style="255" customWidth="1"/>
    <col min="15651" max="15651" width="15.875" style="255" customWidth="1"/>
    <col min="15652" max="15652" width="8.125" style="255" customWidth="1"/>
    <col min="15653" max="15656" width="10.375" style="255" customWidth="1"/>
    <col min="15657" max="15657" width="7.25" style="255" customWidth="1"/>
    <col min="15658" max="15658" width="7.125" style="255" customWidth="1"/>
    <col min="15659" max="15659" width="9.5" style="255" customWidth="1"/>
    <col min="15660" max="15661" width="9" style="255" customWidth="1"/>
    <col min="15662" max="15662" width="16.125" style="255" customWidth="1"/>
    <col min="15663" max="15693" width="9" style="255" customWidth="1"/>
    <col min="15694" max="15853" width="25.25" style="255"/>
    <col min="15854" max="15883" width="9" style="255" customWidth="1"/>
    <col min="15884" max="15884" width="0.5" style="255" customWidth="1"/>
    <col min="15885" max="15885" width="25.25" style="255"/>
    <col min="15886" max="15886" width="0.5" style="255" customWidth="1"/>
    <col min="15887" max="15887" width="25.25" style="255"/>
    <col min="15888" max="15888" width="14.75" style="255" customWidth="1"/>
    <col min="15889" max="15889" width="11.5" style="255" customWidth="1"/>
    <col min="15890" max="15890" width="11.25" style="255" customWidth="1"/>
    <col min="15891" max="15891" width="10.75" style="255" customWidth="1"/>
    <col min="15892" max="15892" width="10" style="255" customWidth="1"/>
    <col min="15893" max="15893" width="9.875" style="255" customWidth="1"/>
    <col min="15894" max="15894" width="26.125" style="255" customWidth="1"/>
    <col min="15895" max="15895" width="11.125" style="255" customWidth="1"/>
    <col min="15896" max="15896" width="7.875" style="255" customWidth="1"/>
    <col min="15897" max="15897" width="7.25" style="255" customWidth="1"/>
    <col min="15898" max="15898" width="9.125" style="255" customWidth="1"/>
    <col min="15899" max="15899" width="15.125" style="255" customWidth="1"/>
    <col min="15900" max="15900" width="7.75" style="255" customWidth="1"/>
    <col min="15901" max="15901" width="7.125" style="255" customWidth="1"/>
    <col min="15902" max="15902" width="12.125" style="255" customWidth="1"/>
    <col min="15903" max="15903" width="8.25" style="255" customWidth="1"/>
    <col min="15904" max="15905" width="10.375" style="255" customWidth="1"/>
    <col min="15906" max="15906" width="15.625" style="255" customWidth="1"/>
    <col min="15907" max="15907" width="15.875" style="255" customWidth="1"/>
    <col min="15908" max="15908" width="8.125" style="255" customWidth="1"/>
    <col min="15909" max="15912" width="10.375" style="255" customWidth="1"/>
    <col min="15913" max="15913" width="7.25" style="255" customWidth="1"/>
    <col min="15914" max="15914" width="7.125" style="255" customWidth="1"/>
    <col min="15915" max="15915" width="9.5" style="255" customWidth="1"/>
    <col min="15916" max="15917" width="9" style="255" customWidth="1"/>
    <col min="15918" max="15918" width="16.125" style="255" customWidth="1"/>
    <col min="15919" max="15949" width="9" style="255" customWidth="1"/>
    <col min="15950" max="16109" width="25.25" style="255"/>
    <col min="16110" max="16139" width="9" style="255" customWidth="1"/>
    <col min="16140" max="16140" width="0.5" style="255" customWidth="1"/>
    <col min="16141" max="16384" width="25.25" style="255"/>
  </cols>
  <sheetData>
    <row r="1" spans="1:16" ht="14.25" thickBot="1"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1"/>
      <c r="O1" s="1"/>
      <c r="P1" s="1"/>
    </row>
    <row r="2" spans="1:16" ht="18" customHeight="1">
      <c r="A2" s="5"/>
      <c r="B2" s="6" t="s">
        <v>402</v>
      </c>
      <c r="C2" s="254"/>
      <c r="D2" s="254" t="s">
        <v>9</v>
      </c>
      <c r="E2" s="254" t="s">
        <v>10</v>
      </c>
      <c r="F2" s="661" t="s">
        <v>11</v>
      </c>
      <c r="G2" s="661"/>
      <c r="H2" s="661"/>
      <c r="I2" s="662" t="s">
        <v>12</v>
      </c>
      <c r="J2" s="664" t="s">
        <v>13</v>
      </c>
      <c r="K2" s="665"/>
      <c r="L2" s="665"/>
      <c r="M2" s="666"/>
      <c r="N2" s="8"/>
      <c r="O2" s="8"/>
      <c r="P2" s="8"/>
    </row>
    <row r="3" spans="1:16" ht="18" customHeight="1">
      <c r="B3" s="9" t="s">
        <v>14</v>
      </c>
      <c r="C3" s="10" t="s">
        <v>15</v>
      </c>
      <c r="D3" s="10" t="s">
        <v>16</v>
      </c>
      <c r="E3" s="10" t="s">
        <v>17</v>
      </c>
      <c r="F3" s="10" t="s">
        <v>7</v>
      </c>
      <c r="G3" s="10" t="s">
        <v>5</v>
      </c>
      <c r="H3" s="10" t="s">
        <v>18</v>
      </c>
      <c r="I3" s="663"/>
      <c r="J3" s="11" t="s">
        <v>19</v>
      </c>
      <c r="K3" s="12" t="s">
        <v>20</v>
      </c>
      <c r="L3" s="12" t="s">
        <v>21</v>
      </c>
      <c r="M3" s="13" t="s">
        <v>22</v>
      </c>
      <c r="N3" s="14"/>
      <c r="P3" s="15"/>
    </row>
    <row r="4" spans="1:16" ht="18" customHeight="1">
      <c r="B4" s="667" t="str">
        <f ca="1">MID(CELL("filename",Q13),FIND("]",CELL("filename",Q13))+1,30)</f>
        <v>WMLC2730</v>
      </c>
      <c r="C4" s="17" t="s">
        <v>23</v>
      </c>
      <c r="D4" s="17">
        <v>2700</v>
      </c>
      <c r="E4" s="17">
        <v>3000</v>
      </c>
      <c r="F4" s="18">
        <v>7.3179999999999996</v>
      </c>
      <c r="G4" s="17">
        <v>1</v>
      </c>
      <c r="H4" s="17">
        <f>F4*G4</f>
        <v>7.3179999999999996</v>
      </c>
      <c r="I4" s="663"/>
      <c r="J4" s="19">
        <v>40</v>
      </c>
      <c r="K4" s="20">
        <v>20</v>
      </c>
      <c r="L4" s="21">
        <v>1.5</v>
      </c>
      <c r="M4" s="22">
        <f t="shared" ref="M4:M11" si="0">ROUND(((J4*K4)-(J4-2*L4)*(K4-2*L4))*7.8/1000,3)</f>
        <v>1.3340000000000001</v>
      </c>
    </row>
    <row r="5" spans="1:16" ht="18" customHeight="1">
      <c r="B5" s="668"/>
      <c r="C5" s="221" t="s">
        <v>299</v>
      </c>
      <c r="D5" s="221">
        <f>D4-70</f>
        <v>2630</v>
      </c>
      <c r="E5" s="221">
        <f>E4-70</f>
        <v>2930</v>
      </c>
      <c r="F5" s="222">
        <f>D5*E5/10^6</f>
        <v>7.7058999999999997</v>
      </c>
      <c r="G5" s="221">
        <v>1</v>
      </c>
      <c r="H5" s="222">
        <f>F5*G5</f>
        <v>7.7058999999999997</v>
      </c>
      <c r="I5" s="663"/>
      <c r="J5" s="19">
        <v>40</v>
      </c>
      <c r="K5" s="20">
        <v>20</v>
      </c>
      <c r="L5" s="21">
        <v>2</v>
      </c>
      <c r="M5" s="22">
        <f t="shared" si="0"/>
        <v>1.7470000000000001</v>
      </c>
    </row>
    <row r="6" spans="1:16" ht="18" customHeight="1">
      <c r="B6" s="669"/>
      <c r="C6" s="17" t="s">
        <v>24</v>
      </c>
      <c r="D6" s="17">
        <f>D4-80</f>
        <v>2620</v>
      </c>
      <c r="E6" s="17">
        <f>E4-80</f>
        <v>2920</v>
      </c>
      <c r="F6" s="18">
        <f>D6*E6/10^6</f>
        <v>7.6504000000000003</v>
      </c>
      <c r="G6" s="17">
        <v>1</v>
      </c>
      <c r="H6" s="18">
        <f>F6*G6</f>
        <v>7.6504000000000003</v>
      </c>
      <c r="I6" s="663"/>
      <c r="J6" s="19">
        <v>40</v>
      </c>
      <c r="K6" s="20">
        <v>20</v>
      </c>
      <c r="L6" s="21">
        <v>2</v>
      </c>
      <c r="M6" s="22">
        <f t="shared" si="0"/>
        <v>1.7470000000000001</v>
      </c>
    </row>
    <row r="7" spans="1:16" ht="18" customHeight="1">
      <c r="B7" s="23" t="s">
        <v>25</v>
      </c>
      <c r="C7" s="252" t="s">
        <v>16</v>
      </c>
      <c r="D7" s="252" t="s">
        <v>26</v>
      </c>
      <c r="E7" s="252" t="s">
        <v>17</v>
      </c>
      <c r="F7" s="252" t="s">
        <v>27</v>
      </c>
      <c r="G7" s="252" t="s">
        <v>22</v>
      </c>
      <c r="H7" s="252" t="s">
        <v>28</v>
      </c>
      <c r="I7" s="25" t="s">
        <v>29</v>
      </c>
      <c r="J7" s="19">
        <v>80</v>
      </c>
      <c r="K7" s="20">
        <v>40</v>
      </c>
      <c r="L7" s="21">
        <v>2</v>
      </c>
      <c r="M7" s="22">
        <f t="shared" si="0"/>
        <v>3.6190000000000002</v>
      </c>
    </row>
    <row r="8" spans="1:16" ht="18" customHeight="1">
      <c r="B8" s="251" t="s">
        <v>30</v>
      </c>
      <c r="C8" s="27">
        <f>D4-30</f>
        <v>2670</v>
      </c>
      <c r="D8" s="27">
        <v>2</v>
      </c>
      <c r="E8" s="27">
        <f>E4-30</f>
        <v>2970</v>
      </c>
      <c r="F8" s="27">
        <v>2</v>
      </c>
      <c r="G8" s="28">
        <v>1.7470000000000001</v>
      </c>
      <c r="H8" s="29">
        <f>材料价格!B3</f>
        <v>7.5</v>
      </c>
      <c r="I8" s="30">
        <f>ROUND((C8*D8+E8*F8)*G8*H8/1000*1.1,2)</f>
        <v>162.58000000000001</v>
      </c>
      <c r="J8" s="19">
        <v>40</v>
      </c>
      <c r="K8" s="20">
        <v>20</v>
      </c>
      <c r="L8" s="21">
        <v>1.4</v>
      </c>
      <c r="M8" s="22">
        <f>ROUND(((J8*K8)-(J8-2*L8)*(K8-2*L8))*2.71/1000,3)</f>
        <v>0.434</v>
      </c>
    </row>
    <row r="9" spans="1:16" ht="18" customHeight="1">
      <c r="B9" s="251" t="s">
        <v>30</v>
      </c>
      <c r="C9" s="250"/>
      <c r="D9" s="250"/>
      <c r="E9" s="250"/>
      <c r="F9" s="250"/>
      <c r="G9" s="28">
        <v>1.7470000000000001</v>
      </c>
      <c r="H9" s="32">
        <f>H8</f>
        <v>7.5</v>
      </c>
      <c r="I9" s="30">
        <f>ROUND((C9*D9+E9*F9)*G9*H9/1000*1.1,2)</f>
        <v>0</v>
      </c>
      <c r="J9" s="19"/>
      <c r="K9" s="20"/>
      <c r="L9" s="21"/>
      <c r="M9" s="22">
        <f t="shared" si="0"/>
        <v>0</v>
      </c>
    </row>
    <row r="10" spans="1:16" ht="18" customHeight="1">
      <c r="B10" s="251" t="s">
        <v>31</v>
      </c>
      <c r="C10" s="250"/>
      <c r="D10" s="250"/>
      <c r="E10" s="250"/>
      <c r="F10" s="250"/>
      <c r="G10" s="28">
        <v>3.6190000000000002</v>
      </c>
      <c r="H10" s="32">
        <f>H9</f>
        <v>7.5</v>
      </c>
      <c r="I10" s="30">
        <f>ROUND((C10*D10+E10*F10)*G10*H10/1000*1.1,2)</f>
        <v>0</v>
      </c>
      <c r="J10" s="19"/>
      <c r="K10" s="20"/>
      <c r="L10" s="12"/>
      <c r="M10" s="22">
        <f t="shared" si="0"/>
        <v>0</v>
      </c>
    </row>
    <row r="11" spans="1:16" ht="18" customHeight="1" thickBot="1">
      <c r="B11" s="251" t="s">
        <v>32</v>
      </c>
      <c r="C11" s="250"/>
      <c r="D11" s="250"/>
      <c r="E11" s="250"/>
      <c r="F11" s="250"/>
      <c r="G11" s="28">
        <v>2.9950000000000001</v>
      </c>
      <c r="H11" s="32">
        <f>H10</f>
        <v>7.5</v>
      </c>
      <c r="I11" s="30">
        <f>ROUND((C11*D11+E11*F11)*G11*H11/1000*1.1,2)</f>
        <v>0</v>
      </c>
      <c r="J11" s="33"/>
      <c r="K11" s="34"/>
      <c r="L11" s="35"/>
      <c r="M11" s="36">
        <f t="shared" si="0"/>
        <v>0</v>
      </c>
    </row>
    <row r="12" spans="1:16" ht="18" customHeight="1">
      <c r="B12" s="37" t="s">
        <v>33</v>
      </c>
      <c r="C12" s="38">
        <f>((I9+I10+I8+I11)/H8)/F4</f>
        <v>2.9621936776897151</v>
      </c>
      <c r="D12" s="39" t="s">
        <v>34</v>
      </c>
      <c r="E12" s="38">
        <f>(I9+I10+I8+I11)/F4</f>
        <v>22.216452582672865</v>
      </c>
      <c r="F12" s="40" t="s">
        <v>35</v>
      </c>
      <c r="G12" s="39"/>
      <c r="H12" s="39">
        <f>ROUND(SUM(I8:I11)/H8,2)</f>
        <v>21.68</v>
      </c>
      <c r="I12" s="41">
        <f>SUM(I8:I11)</f>
        <v>162.58000000000001</v>
      </c>
      <c r="J12" s="42"/>
    </row>
    <row r="13" spans="1:16" ht="18" customHeight="1">
      <c r="B13" s="23" t="s">
        <v>36</v>
      </c>
      <c r="C13" s="252" t="s">
        <v>14</v>
      </c>
      <c r="D13" s="252" t="s">
        <v>37</v>
      </c>
      <c r="E13" s="252" t="s">
        <v>38</v>
      </c>
      <c r="F13" s="252" t="s">
        <v>39</v>
      </c>
      <c r="G13" s="252" t="s">
        <v>8</v>
      </c>
      <c r="H13" s="252" t="s">
        <v>22</v>
      </c>
      <c r="I13" s="25" t="s">
        <v>40</v>
      </c>
    </row>
    <row r="14" spans="1:16" ht="18" customHeight="1">
      <c r="B14" s="648" t="s">
        <v>41</v>
      </c>
      <c r="C14" s="649" t="s">
        <v>404</v>
      </c>
      <c r="D14" s="250">
        <f>D6</f>
        <v>2620</v>
      </c>
      <c r="E14" s="250">
        <v>1350</v>
      </c>
      <c r="F14" s="44">
        <f>ROUND((D14+E14)*2/1000,4)</f>
        <v>7.94</v>
      </c>
      <c r="G14" s="250">
        <v>1</v>
      </c>
      <c r="H14" s="250">
        <v>1.47</v>
      </c>
      <c r="I14" s="284">
        <f>ROUND(F14*G14*H14,3)*1.5</f>
        <v>17.508000000000003</v>
      </c>
      <c r="J14" s="42"/>
      <c r="K14" s="46"/>
      <c r="L14" s="46"/>
      <c r="M14" s="42"/>
    </row>
    <row r="15" spans="1:16" ht="18" customHeight="1">
      <c r="B15" s="648"/>
      <c r="C15" s="650"/>
      <c r="D15" s="250">
        <v>625</v>
      </c>
      <c r="E15" s="250">
        <f>E6-E14</f>
        <v>1570</v>
      </c>
      <c r="F15" s="44">
        <f t="shared" ref="F15:F21" si="1">ROUND((D15+E15)*2/1000,4)</f>
        <v>4.3899999999999997</v>
      </c>
      <c r="G15" s="250">
        <v>2</v>
      </c>
      <c r="H15" s="250">
        <f t="shared" ref="H15:H21" si="2">H14</f>
        <v>1.47</v>
      </c>
      <c r="I15" s="247">
        <f t="shared" ref="I15:I21" si="3">ROUND(F15*G15*H15,3)</f>
        <v>12.907</v>
      </c>
      <c r="K15" s="47"/>
      <c r="M15" s="255"/>
    </row>
    <row r="16" spans="1:16" ht="18" customHeight="1">
      <c r="B16" s="648"/>
      <c r="C16" s="650"/>
      <c r="D16" s="250"/>
      <c r="E16" s="250"/>
      <c r="F16" s="44">
        <f t="shared" si="1"/>
        <v>0</v>
      </c>
      <c r="G16" s="250"/>
      <c r="H16" s="250">
        <f t="shared" si="2"/>
        <v>1.47</v>
      </c>
      <c r="I16" s="247">
        <f t="shared" si="3"/>
        <v>0</v>
      </c>
      <c r="K16" s="47"/>
      <c r="L16" s="46"/>
      <c r="M16" s="42"/>
    </row>
    <row r="17" spans="2:15" ht="18" customHeight="1">
      <c r="B17" s="648"/>
      <c r="C17" s="650"/>
      <c r="D17" s="250"/>
      <c r="E17" s="250"/>
      <c r="F17" s="44">
        <f t="shared" si="1"/>
        <v>0</v>
      </c>
      <c r="G17" s="250"/>
      <c r="H17" s="250">
        <f t="shared" si="2"/>
        <v>1.47</v>
      </c>
      <c r="I17" s="247">
        <f t="shared" si="3"/>
        <v>0</v>
      </c>
      <c r="K17" s="47"/>
      <c r="M17" s="42"/>
    </row>
    <row r="18" spans="2:15" ht="18" customHeight="1">
      <c r="B18" s="648"/>
      <c r="C18" s="650"/>
      <c r="D18" s="250"/>
      <c r="E18" s="250"/>
      <c r="F18" s="44">
        <f t="shared" si="1"/>
        <v>0</v>
      </c>
      <c r="G18" s="250"/>
      <c r="H18" s="250">
        <f t="shared" si="2"/>
        <v>1.47</v>
      </c>
      <c r="I18" s="247">
        <f t="shared" si="3"/>
        <v>0</v>
      </c>
      <c r="M18" s="42"/>
    </row>
    <row r="19" spans="2:15" ht="18" customHeight="1">
      <c r="B19" s="648"/>
      <c r="C19" s="650"/>
      <c r="D19" s="250"/>
      <c r="E19" s="250"/>
      <c r="F19" s="44">
        <f t="shared" si="1"/>
        <v>0</v>
      </c>
      <c r="G19" s="250"/>
      <c r="H19" s="250">
        <f t="shared" si="2"/>
        <v>1.47</v>
      </c>
      <c r="I19" s="247">
        <f t="shared" si="3"/>
        <v>0</v>
      </c>
      <c r="M19" s="42"/>
    </row>
    <row r="20" spans="2:15" ht="18" customHeight="1">
      <c r="B20" s="648"/>
      <c r="C20" s="650"/>
      <c r="D20" s="250"/>
      <c r="E20" s="250"/>
      <c r="F20" s="44">
        <f t="shared" si="1"/>
        <v>0</v>
      </c>
      <c r="G20" s="250"/>
      <c r="H20" s="250">
        <f t="shared" si="2"/>
        <v>1.47</v>
      </c>
      <c r="I20" s="247">
        <f t="shared" si="3"/>
        <v>0</v>
      </c>
      <c r="K20" s="47"/>
      <c r="M20" s="42"/>
    </row>
    <row r="21" spans="2:15" ht="18" customHeight="1">
      <c r="B21" s="648"/>
      <c r="C21" s="651"/>
      <c r="D21" s="250"/>
      <c r="E21" s="250"/>
      <c r="F21" s="44">
        <f t="shared" si="1"/>
        <v>0</v>
      </c>
      <c r="G21" s="250"/>
      <c r="H21" s="250">
        <f t="shared" si="2"/>
        <v>1.47</v>
      </c>
      <c r="I21" s="247">
        <f t="shared" si="3"/>
        <v>0</v>
      </c>
    </row>
    <row r="22" spans="2:15" ht="18" customHeight="1">
      <c r="B22" s="48" t="s">
        <v>42</v>
      </c>
      <c r="C22" s="49">
        <f>SUMPRODUCT(F14:F21*G14:G21)</f>
        <v>16.72</v>
      </c>
      <c r="D22" s="50" t="s">
        <v>43</v>
      </c>
      <c r="E22" s="49">
        <f>SUM(I14:I21)*1.1</f>
        <v>33.456500000000005</v>
      </c>
      <c r="F22" s="50" t="s">
        <v>44</v>
      </c>
      <c r="G22" s="51">
        <f>(C$218+C$219)/1000</f>
        <v>46.081499999999998</v>
      </c>
      <c r="H22" s="52" t="s">
        <v>45</v>
      </c>
      <c r="I22" s="53">
        <f>ROUND(E22*G22,2)</f>
        <v>1541.73</v>
      </c>
      <c r="J22" s="243">
        <f>SUM(G14:G21)</f>
        <v>3</v>
      </c>
    </row>
    <row r="23" spans="2:15" ht="18" customHeight="1">
      <c r="B23" s="48" t="s">
        <v>46</v>
      </c>
      <c r="C23" s="50">
        <v>207.36</v>
      </c>
      <c r="D23" s="50" t="s">
        <v>47</v>
      </c>
      <c r="E23" s="49">
        <f>ROUND(C22*(C23/1000),2)</f>
        <v>3.47</v>
      </c>
      <c r="F23" s="50" t="s">
        <v>48</v>
      </c>
      <c r="G23" s="50">
        <v>10</v>
      </c>
      <c r="H23" s="52" t="s">
        <v>49</v>
      </c>
      <c r="I23" s="53">
        <f>E23*G23</f>
        <v>34.700000000000003</v>
      </c>
    </row>
    <row r="24" spans="2:15" ht="18" customHeight="1" thickBot="1">
      <c r="B24" s="48" t="s">
        <v>50</v>
      </c>
      <c r="C24" s="50">
        <v>169.96</v>
      </c>
      <c r="D24" s="50" t="s">
        <v>51</v>
      </c>
      <c r="E24" s="49">
        <f>ROUND(C22*(C24/1000),2)</f>
        <v>2.84</v>
      </c>
      <c r="F24" s="50" t="s">
        <v>48</v>
      </c>
      <c r="G24" s="50">
        <v>10</v>
      </c>
      <c r="H24" s="52" t="s">
        <v>49</v>
      </c>
      <c r="I24" s="53">
        <f>E24*G24</f>
        <v>28.4</v>
      </c>
    </row>
    <row r="25" spans="2:15" ht="18" customHeight="1">
      <c r="B25" s="23" t="s">
        <v>36</v>
      </c>
      <c r="C25" s="252" t="s">
        <v>14</v>
      </c>
      <c r="D25" s="252" t="s">
        <v>37</v>
      </c>
      <c r="E25" s="252" t="s">
        <v>38</v>
      </c>
      <c r="F25" s="252" t="s">
        <v>39</v>
      </c>
      <c r="G25" s="252" t="s">
        <v>8</v>
      </c>
      <c r="H25" s="252" t="s">
        <v>22</v>
      </c>
      <c r="I25" s="25" t="s">
        <v>40</v>
      </c>
      <c r="J25" s="54" t="s">
        <v>2</v>
      </c>
      <c r="K25" s="55" t="s">
        <v>3</v>
      </c>
      <c r="L25" s="55" t="s">
        <v>52</v>
      </c>
      <c r="M25" s="55" t="s">
        <v>53</v>
      </c>
      <c r="N25" s="56" t="s">
        <v>14</v>
      </c>
    </row>
    <row r="26" spans="2:15" ht="18" customHeight="1">
      <c r="B26" s="648" t="s">
        <v>54</v>
      </c>
      <c r="C26" s="649" t="s">
        <v>55</v>
      </c>
      <c r="D26" s="253">
        <f>J26-IF(L26=1,44,IF(L26=2,30,IF(L26=3,16,0)))</f>
        <v>0</v>
      </c>
      <c r="E26" s="253">
        <f>K26-IF(M26=1,44,IF(M26=2,30,IF(M26=3,16,0)))</f>
        <v>0</v>
      </c>
      <c r="F26" s="44">
        <f>ROUND((D26+E26)*2/1000,4)</f>
        <v>0</v>
      </c>
      <c r="G26" s="250"/>
      <c r="H26" s="58">
        <v>1.62</v>
      </c>
      <c r="I26" s="59">
        <f>IF(AND(D26&gt;0,E26&gt;0,F26&gt;0),F26*G26*H26,0)</f>
        <v>0</v>
      </c>
      <c r="J26" s="60"/>
      <c r="K26" s="61"/>
      <c r="L26" s="61"/>
      <c r="M26" s="61"/>
      <c r="N26" s="62" t="s">
        <v>56</v>
      </c>
      <c r="O26" s="63" t="s">
        <v>57</v>
      </c>
    </row>
    <row r="27" spans="2:15" ht="18" customHeight="1">
      <c r="B27" s="648"/>
      <c r="C27" s="650"/>
      <c r="D27" s="253">
        <f t="shared" ref="D27:E30" si="4">J27-IF(L27=1,44,IF(L27=2,30,IF(L27=3,16,0)))</f>
        <v>0</v>
      </c>
      <c r="E27" s="253">
        <f t="shared" si="4"/>
        <v>0</v>
      </c>
      <c r="F27" s="44">
        <f>ROUND((D27+E27)*2/1000,4)</f>
        <v>0</v>
      </c>
      <c r="G27" s="250"/>
      <c r="H27" s="58">
        <f>H26</f>
        <v>1.62</v>
      </c>
      <c r="I27" s="59">
        <f>IF(AND(D27&gt;0,E27&gt;0,F27&gt;0),F27*G27*H27,0)</f>
        <v>0</v>
      </c>
      <c r="J27" s="60"/>
      <c r="K27" s="61"/>
      <c r="L27" s="61"/>
      <c r="M27" s="61"/>
      <c r="N27" s="62" t="s">
        <v>58</v>
      </c>
      <c r="O27" s="63" t="s">
        <v>59</v>
      </c>
    </row>
    <row r="28" spans="2:15" ht="18" customHeight="1">
      <c r="B28" s="648"/>
      <c r="C28" s="650"/>
      <c r="D28" s="253">
        <f t="shared" si="4"/>
        <v>0</v>
      </c>
      <c r="E28" s="253">
        <f t="shared" si="4"/>
        <v>0</v>
      </c>
      <c r="F28" s="44">
        <f>ROUND((D28+E28)*2/1000,4)</f>
        <v>0</v>
      </c>
      <c r="G28" s="250"/>
      <c r="H28" s="58">
        <f>H27</f>
        <v>1.62</v>
      </c>
      <c r="I28" s="59">
        <f>IF(AND(D28&gt;0,E28&gt;0,F28&gt;0),F28*G28*H28,0)</f>
        <v>0</v>
      </c>
      <c r="J28" s="60"/>
      <c r="K28" s="61"/>
      <c r="L28" s="61"/>
      <c r="M28" s="61"/>
      <c r="N28" s="62" t="s">
        <v>60</v>
      </c>
      <c r="O28" s="63" t="s">
        <v>59</v>
      </c>
    </row>
    <row r="29" spans="2:15" ht="18" customHeight="1">
      <c r="B29" s="648"/>
      <c r="C29" s="650"/>
      <c r="D29" s="253">
        <f t="shared" si="4"/>
        <v>0</v>
      </c>
      <c r="E29" s="253">
        <f t="shared" si="4"/>
        <v>0</v>
      </c>
      <c r="F29" s="44">
        <f>ROUND((D29+E29)*2/1000,4)</f>
        <v>0</v>
      </c>
      <c r="G29" s="250"/>
      <c r="H29" s="58">
        <f>H28</f>
        <v>1.62</v>
      </c>
      <c r="I29" s="59">
        <f>IF(AND(D29&gt;0,E29&gt;0,F29&gt;0),F29*G29*H29,0)</f>
        <v>0</v>
      </c>
      <c r="J29" s="60"/>
      <c r="K29" s="61"/>
      <c r="L29" s="61"/>
      <c r="M29" s="61"/>
      <c r="N29" s="62"/>
    </row>
    <row r="30" spans="2:15" ht="18" customHeight="1" thickBot="1">
      <c r="B30" s="648"/>
      <c r="C30" s="651"/>
      <c r="D30" s="253">
        <f t="shared" si="4"/>
        <v>0</v>
      </c>
      <c r="E30" s="253">
        <f t="shared" si="4"/>
        <v>0</v>
      </c>
      <c r="F30" s="44">
        <f>ROUND((D30+E30)*2/1000,4)</f>
        <v>0</v>
      </c>
      <c r="G30" s="250"/>
      <c r="H30" s="58">
        <f>H29</f>
        <v>1.62</v>
      </c>
      <c r="I30" s="59">
        <f>IF(AND(D30&gt;0,E30&gt;0,F30&gt;0),F30*G30*H30,0)</f>
        <v>0</v>
      </c>
      <c r="J30" s="64"/>
      <c r="K30" s="65"/>
      <c r="L30" s="65"/>
      <c r="M30" s="65"/>
      <c r="N30" s="66"/>
    </row>
    <row r="31" spans="2:15" ht="18" customHeight="1">
      <c r="B31" s="48" t="s">
        <v>42</v>
      </c>
      <c r="C31" s="49">
        <f>SUMPRODUCT(F26:F30*G26:G30)</f>
        <v>0</v>
      </c>
      <c r="D31" s="50" t="s">
        <v>43</v>
      </c>
      <c r="E31" s="49">
        <f>SUM(I26:I30)*1.1</f>
        <v>0</v>
      </c>
      <c r="F31" s="50" t="s">
        <v>44</v>
      </c>
      <c r="G31" s="51">
        <f>(C$218+C$221)/1000</f>
        <v>46.081499999999998</v>
      </c>
      <c r="H31" s="52" t="s">
        <v>45</v>
      </c>
      <c r="I31" s="53">
        <f>ROUND(E31*G31,2)</f>
        <v>0</v>
      </c>
      <c r="J31" s="243">
        <f>SUM(G26:G30)</f>
        <v>0</v>
      </c>
    </row>
    <row r="32" spans="2:15" ht="18" customHeight="1">
      <c r="B32" s="48" t="s">
        <v>46</v>
      </c>
      <c r="C32" s="50">
        <v>183.32</v>
      </c>
      <c r="D32" s="50" t="s">
        <v>47</v>
      </c>
      <c r="E32" s="49">
        <f>ROUND(C31*(C32/1000),2)</f>
        <v>0</v>
      </c>
      <c r="F32" s="50" t="s">
        <v>48</v>
      </c>
      <c r="G32" s="50">
        <f>G$23</f>
        <v>10</v>
      </c>
      <c r="H32" s="52" t="s">
        <v>49</v>
      </c>
      <c r="I32" s="53">
        <f>E32*G32</f>
        <v>0</v>
      </c>
    </row>
    <row r="33" spans="2:14" ht="18" customHeight="1" thickBot="1">
      <c r="B33" s="48" t="s">
        <v>50</v>
      </c>
      <c r="C33" s="50">
        <v>257.82</v>
      </c>
      <c r="D33" s="50" t="s">
        <v>51</v>
      </c>
      <c r="E33" s="49">
        <f>ROUND(C31*(C33/1000),2)</f>
        <v>0</v>
      </c>
      <c r="F33" s="50" t="s">
        <v>48</v>
      </c>
      <c r="G33" s="50">
        <f>G$24</f>
        <v>10</v>
      </c>
      <c r="H33" s="52" t="s">
        <v>49</v>
      </c>
      <c r="I33" s="53">
        <f>E33*G33</f>
        <v>0</v>
      </c>
    </row>
    <row r="34" spans="2:14" ht="18" customHeight="1" thickBot="1">
      <c r="B34" s="67" t="s">
        <v>36</v>
      </c>
      <c r="C34" s="68" t="s">
        <v>14</v>
      </c>
      <c r="D34" s="68" t="s">
        <v>37</v>
      </c>
      <c r="E34" s="68" t="s">
        <v>38</v>
      </c>
      <c r="F34" s="68" t="s">
        <v>39</v>
      </c>
      <c r="G34" s="68" t="s">
        <v>8</v>
      </c>
      <c r="H34" s="68" t="s">
        <v>22</v>
      </c>
      <c r="I34" s="69" t="s">
        <v>40</v>
      </c>
      <c r="J34" s="54" t="s">
        <v>2</v>
      </c>
      <c r="K34" s="55" t="s">
        <v>3</v>
      </c>
      <c r="L34" s="55" t="s">
        <v>61</v>
      </c>
      <c r="M34" s="55" t="s">
        <v>62</v>
      </c>
      <c r="N34" s="70" t="s">
        <v>14</v>
      </c>
    </row>
    <row r="35" spans="2:14" ht="18" customHeight="1">
      <c r="B35" s="648" t="s">
        <v>63</v>
      </c>
      <c r="C35" s="649" t="s">
        <v>64</v>
      </c>
      <c r="D35" s="253">
        <f t="shared" ref="D35:E37" si="5">J35-IF(L35=1,44,IF(L35=2,30,IF(L35=3,16,IF(L35=11,118,IF(L35=12,100,IF(L35=13,76.8,0))))))</f>
        <v>507</v>
      </c>
      <c r="E35" s="253">
        <f t="shared" si="5"/>
        <v>700</v>
      </c>
      <c r="F35" s="250">
        <f>ROUND((D35+E35)*2/1000,4)</f>
        <v>2.4140000000000001</v>
      </c>
      <c r="G35" s="250">
        <v>2</v>
      </c>
      <c r="H35" s="58">
        <v>1.8140000000000001</v>
      </c>
      <c r="I35" s="59">
        <f>ROUND(F35*G35*H35,3)</f>
        <v>8.7579999999999991</v>
      </c>
      <c r="J35" s="60">
        <f>D15</f>
        <v>625</v>
      </c>
      <c r="K35" s="61">
        <v>800</v>
      </c>
      <c r="L35" s="61">
        <v>11</v>
      </c>
      <c r="M35" s="61">
        <v>12</v>
      </c>
      <c r="N35" s="71" t="s">
        <v>56</v>
      </c>
    </row>
    <row r="36" spans="2:14" ht="18" customHeight="1">
      <c r="B36" s="660"/>
      <c r="C36" s="650"/>
      <c r="D36" s="253">
        <f t="shared" si="5"/>
        <v>0</v>
      </c>
      <c r="E36" s="253">
        <f t="shared" si="5"/>
        <v>0</v>
      </c>
      <c r="F36" s="250">
        <f>ROUND((D36+E36)*2/1000,4)</f>
        <v>0</v>
      </c>
      <c r="G36" s="250"/>
      <c r="H36" s="58">
        <f>H35</f>
        <v>1.8140000000000001</v>
      </c>
      <c r="I36" s="59">
        <f>ROUND(F36*G36*H36,3)</f>
        <v>0</v>
      </c>
      <c r="J36" s="60"/>
      <c r="K36" s="61"/>
      <c r="L36" s="61"/>
      <c r="M36" s="61"/>
      <c r="N36" s="72" t="s">
        <v>58</v>
      </c>
    </row>
    <row r="37" spans="2:14" ht="18" customHeight="1">
      <c r="B37" s="660"/>
      <c r="C37" s="651"/>
      <c r="D37" s="253">
        <f t="shared" si="5"/>
        <v>0</v>
      </c>
      <c r="E37" s="253">
        <f t="shared" si="5"/>
        <v>0</v>
      </c>
      <c r="F37" s="250">
        <f>ROUND((D37+E37)*2/1000,4)</f>
        <v>0</v>
      </c>
      <c r="G37" s="250"/>
      <c r="H37" s="58">
        <f>H36</f>
        <v>1.8140000000000001</v>
      </c>
      <c r="I37" s="59">
        <f>ROUND(F37*G37*H37,3)</f>
        <v>0</v>
      </c>
      <c r="J37" s="60"/>
      <c r="K37" s="61"/>
      <c r="L37" s="61"/>
      <c r="M37" s="61"/>
      <c r="N37" s="72" t="s">
        <v>60</v>
      </c>
    </row>
    <row r="38" spans="2:14" ht="18" customHeight="1">
      <c r="B38" s="48" t="s">
        <v>42</v>
      </c>
      <c r="C38" s="49">
        <f>SUMPRODUCT(F35:F37*G35:G37)</f>
        <v>4.8280000000000003</v>
      </c>
      <c r="D38" s="50" t="s">
        <v>43</v>
      </c>
      <c r="E38" s="49">
        <f>SUM(I35:I37)*1.1</f>
        <v>9.633799999999999</v>
      </c>
      <c r="F38" s="50" t="s">
        <v>44</v>
      </c>
      <c r="G38" s="51">
        <f>(C$218+C$219)/1000</f>
        <v>46.081499999999998</v>
      </c>
      <c r="H38" s="52" t="s">
        <v>45</v>
      </c>
      <c r="I38" s="53">
        <f>ROUND(E38*G38,2)</f>
        <v>443.94</v>
      </c>
      <c r="J38" s="243">
        <f>SUM(G35:G37)</f>
        <v>2</v>
      </c>
      <c r="K38" s="255"/>
      <c r="L38" s="255"/>
      <c r="M38" s="255"/>
      <c r="N38" s="73" t="s">
        <v>65</v>
      </c>
    </row>
    <row r="39" spans="2:14" ht="18" customHeight="1">
      <c r="B39" s="48" t="s">
        <v>46</v>
      </c>
      <c r="C39" s="50">
        <v>320.14</v>
      </c>
      <c r="D39" s="50" t="s">
        <v>47</v>
      </c>
      <c r="E39" s="49">
        <f>ROUND(C38*(C39/1000),2)</f>
        <v>1.55</v>
      </c>
      <c r="F39" s="50" t="s">
        <v>48</v>
      </c>
      <c r="G39" s="50">
        <f>G$23</f>
        <v>10</v>
      </c>
      <c r="H39" s="52" t="s">
        <v>49</v>
      </c>
      <c r="I39" s="53">
        <f>E39*G39</f>
        <v>15.5</v>
      </c>
      <c r="J39" s="255"/>
      <c r="K39" s="255"/>
      <c r="L39" s="255"/>
      <c r="M39" s="255"/>
      <c r="N39" s="73" t="s">
        <v>66</v>
      </c>
    </row>
    <row r="40" spans="2:14" ht="18" customHeight="1" thickBot="1">
      <c r="B40" s="48" t="s">
        <v>50</v>
      </c>
      <c r="C40" s="50">
        <v>156.99</v>
      </c>
      <c r="D40" s="50" t="s">
        <v>51</v>
      </c>
      <c r="E40" s="49">
        <f>ROUND(C38*(C40/1000),2)</f>
        <v>0.76</v>
      </c>
      <c r="F40" s="50" t="s">
        <v>48</v>
      </c>
      <c r="G40" s="50">
        <f>G$24</f>
        <v>10</v>
      </c>
      <c r="H40" s="52" t="s">
        <v>49</v>
      </c>
      <c r="I40" s="53">
        <f>E40*G40</f>
        <v>7.6</v>
      </c>
      <c r="J40" s="255"/>
      <c r="K40" s="255"/>
      <c r="L40" s="255"/>
      <c r="M40" s="255"/>
      <c r="N40" s="74" t="s">
        <v>67</v>
      </c>
    </row>
    <row r="41" spans="2:14" ht="18" customHeight="1" thickBot="1">
      <c r="B41" s="23" t="s">
        <v>36</v>
      </c>
      <c r="C41" s="252" t="s">
        <v>14</v>
      </c>
      <c r="D41" s="252" t="s">
        <v>37</v>
      </c>
      <c r="E41" s="252" t="s">
        <v>38</v>
      </c>
      <c r="F41" s="252" t="s">
        <v>39</v>
      </c>
      <c r="G41" s="252" t="s">
        <v>8</v>
      </c>
      <c r="H41" s="252" t="s">
        <v>22</v>
      </c>
      <c r="I41" s="25" t="s">
        <v>40</v>
      </c>
      <c r="J41" s="54" t="s">
        <v>2</v>
      </c>
      <c r="K41" s="55" t="s">
        <v>3</v>
      </c>
      <c r="L41" s="55" t="s">
        <v>61</v>
      </c>
      <c r="M41" s="55" t="s">
        <v>62</v>
      </c>
      <c r="N41" s="70" t="s">
        <v>14</v>
      </c>
    </row>
    <row r="42" spans="2:14" ht="18" customHeight="1">
      <c r="B42" s="648" t="s">
        <v>68</v>
      </c>
      <c r="C42" s="649" t="s">
        <v>69</v>
      </c>
      <c r="D42" s="253">
        <f>J42-IF(L42=1,46,IF(L42=2,34.5,IF(L42=3,23)))</f>
        <v>579</v>
      </c>
      <c r="E42" s="253">
        <f>K42-IF(M42=1,46,IF(M42=2,34.5,IF(M42=3,23)))</f>
        <v>765.5</v>
      </c>
      <c r="F42" s="250">
        <f t="shared" ref="F42:F47" si="6">ROUND((D42+E42)*2/1000,4)</f>
        <v>2.6890000000000001</v>
      </c>
      <c r="G42" s="250">
        <f>G35</f>
        <v>2</v>
      </c>
      <c r="H42" s="250">
        <v>1.26</v>
      </c>
      <c r="I42" s="59">
        <f t="shared" ref="I42:I47" si="7">ROUND(F42*G42*H42,3)</f>
        <v>6.7759999999999998</v>
      </c>
      <c r="J42" s="60">
        <f>J35</f>
        <v>625</v>
      </c>
      <c r="K42" s="61">
        <f>K35</f>
        <v>800</v>
      </c>
      <c r="L42" s="61">
        <v>1</v>
      </c>
      <c r="M42" s="61">
        <v>2</v>
      </c>
      <c r="N42" s="71" t="s">
        <v>56</v>
      </c>
    </row>
    <row r="43" spans="2:14" ht="18" customHeight="1">
      <c r="B43" s="648"/>
      <c r="C43" s="650"/>
      <c r="D43" s="253">
        <f t="shared" ref="D43:E47" si="8">J43-IF(L43=1,46,IF(L43=2,34.5,IF(L43=3,23)))</f>
        <v>0</v>
      </c>
      <c r="E43" s="253">
        <f t="shared" si="8"/>
        <v>0</v>
      </c>
      <c r="F43" s="250">
        <f t="shared" si="6"/>
        <v>0</v>
      </c>
      <c r="G43" s="250"/>
      <c r="H43" s="250">
        <f>H42</f>
        <v>1.26</v>
      </c>
      <c r="I43" s="59">
        <f t="shared" si="7"/>
        <v>0</v>
      </c>
      <c r="J43" s="60"/>
      <c r="K43" s="61"/>
      <c r="L43" s="61"/>
      <c r="M43" s="61"/>
      <c r="N43" s="72" t="s">
        <v>58</v>
      </c>
    </row>
    <row r="44" spans="2:14" ht="18" customHeight="1">
      <c r="B44" s="648"/>
      <c r="C44" s="651"/>
      <c r="D44" s="253">
        <f t="shared" si="8"/>
        <v>0</v>
      </c>
      <c r="E44" s="253">
        <f t="shared" si="8"/>
        <v>0</v>
      </c>
      <c r="F44" s="250">
        <f t="shared" si="6"/>
        <v>0</v>
      </c>
      <c r="G44" s="250"/>
      <c r="H44" s="250">
        <f>H43</f>
        <v>1.26</v>
      </c>
      <c r="I44" s="59">
        <f t="shared" si="7"/>
        <v>0</v>
      </c>
      <c r="J44" s="60"/>
      <c r="K44" s="61"/>
      <c r="L44" s="61"/>
      <c r="M44" s="61"/>
      <c r="N44" s="72" t="s">
        <v>60</v>
      </c>
    </row>
    <row r="45" spans="2:14" ht="18" customHeight="1">
      <c r="B45" s="648"/>
      <c r="C45" s="649" t="s">
        <v>70</v>
      </c>
      <c r="D45" s="253">
        <f t="shared" si="8"/>
        <v>0</v>
      </c>
      <c r="E45" s="253">
        <f t="shared" si="8"/>
        <v>0</v>
      </c>
      <c r="F45" s="250">
        <f t="shared" si="6"/>
        <v>0</v>
      </c>
      <c r="G45" s="250"/>
      <c r="H45" s="250">
        <f>H44</f>
        <v>1.26</v>
      </c>
      <c r="I45" s="59">
        <f t="shared" si="7"/>
        <v>0</v>
      </c>
      <c r="J45" s="60"/>
      <c r="K45" s="61"/>
      <c r="L45" s="61"/>
      <c r="M45" s="61"/>
      <c r="N45" s="71" t="s">
        <v>56</v>
      </c>
    </row>
    <row r="46" spans="2:14" ht="18" customHeight="1">
      <c r="B46" s="648"/>
      <c r="C46" s="650"/>
      <c r="D46" s="253">
        <f t="shared" si="8"/>
        <v>0</v>
      </c>
      <c r="E46" s="253">
        <f t="shared" si="8"/>
        <v>0</v>
      </c>
      <c r="F46" s="250">
        <f t="shared" si="6"/>
        <v>0</v>
      </c>
      <c r="G46" s="250"/>
      <c r="H46" s="250">
        <f>H45</f>
        <v>1.26</v>
      </c>
      <c r="I46" s="59">
        <f t="shared" si="7"/>
        <v>0</v>
      </c>
      <c r="J46" s="60"/>
      <c r="K46" s="61"/>
      <c r="L46" s="61"/>
      <c r="M46" s="61"/>
      <c r="N46" s="72" t="s">
        <v>58</v>
      </c>
    </row>
    <row r="47" spans="2:14" ht="18" customHeight="1" thickBot="1">
      <c r="B47" s="648"/>
      <c r="C47" s="651"/>
      <c r="D47" s="253">
        <f t="shared" si="8"/>
        <v>0</v>
      </c>
      <c r="E47" s="253">
        <f t="shared" si="8"/>
        <v>0</v>
      </c>
      <c r="F47" s="250">
        <f t="shared" si="6"/>
        <v>0</v>
      </c>
      <c r="G47" s="250"/>
      <c r="H47" s="250">
        <f>H46</f>
        <v>1.26</v>
      </c>
      <c r="I47" s="59">
        <f t="shared" si="7"/>
        <v>0</v>
      </c>
      <c r="J47" s="64"/>
      <c r="K47" s="65"/>
      <c r="L47" s="65"/>
      <c r="M47" s="65"/>
      <c r="N47" s="75" t="s">
        <v>60</v>
      </c>
    </row>
    <row r="48" spans="2:14" ht="18" customHeight="1">
      <c r="B48" s="48" t="s">
        <v>42</v>
      </c>
      <c r="C48" s="49">
        <f>SUMPRODUCT(F42:F47*G42:G47)</f>
        <v>5.3780000000000001</v>
      </c>
      <c r="D48" s="50" t="s">
        <v>43</v>
      </c>
      <c r="E48" s="49">
        <f>SUM(I42:I47)*1.1</f>
        <v>7.4536000000000007</v>
      </c>
      <c r="F48" s="50" t="s">
        <v>44</v>
      </c>
      <c r="G48" s="51">
        <f>(C$218+C$219)/1000</f>
        <v>46.081499999999998</v>
      </c>
      <c r="H48" s="52" t="s">
        <v>45</v>
      </c>
      <c r="I48" s="53">
        <f>ROUND(E48*G48,2)</f>
        <v>343.47</v>
      </c>
      <c r="J48" s="243">
        <f>SUM(G42:G47)</f>
        <v>2</v>
      </c>
      <c r="K48" s="255"/>
      <c r="L48" s="255"/>
      <c r="M48" s="255"/>
    </row>
    <row r="49" spans="2:14" ht="18" customHeight="1">
      <c r="B49" s="48" t="s">
        <v>46</v>
      </c>
      <c r="C49" s="50">
        <v>132.47999999999999</v>
      </c>
      <c r="D49" s="50" t="s">
        <v>47</v>
      </c>
      <c r="E49" s="49">
        <f>ROUND(C48*(C49/1000),2)</f>
        <v>0.71</v>
      </c>
      <c r="F49" s="50" t="s">
        <v>48</v>
      </c>
      <c r="G49" s="50">
        <f>G$23</f>
        <v>10</v>
      </c>
      <c r="H49" s="52" t="s">
        <v>49</v>
      </c>
      <c r="I49" s="53">
        <f>E49*G49</f>
        <v>7.1</v>
      </c>
      <c r="J49" s="255"/>
      <c r="K49" s="255"/>
      <c r="L49" s="255"/>
      <c r="M49" s="255"/>
    </row>
    <row r="50" spans="2:14" ht="18" customHeight="1" thickBot="1">
      <c r="B50" s="48" t="s">
        <v>50</v>
      </c>
      <c r="C50" s="50">
        <v>202.06</v>
      </c>
      <c r="D50" s="50" t="s">
        <v>51</v>
      </c>
      <c r="E50" s="49">
        <f>ROUND(C48*(C50/1000),2)</f>
        <v>1.0900000000000001</v>
      </c>
      <c r="F50" s="50" t="s">
        <v>48</v>
      </c>
      <c r="G50" s="50">
        <f>G$24</f>
        <v>10</v>
      </c>
      <c r="H50" s="52" t="s">
        <v>49</v>
      </c>
      <c r="I50" s="53">
        <f>E50*G50</f>
        <v>10.9</v>
      </c>
      <c r="J50" s="255"/>
    </row>
    <row r="51" spans="2:14" ht="18" customHeight="1" thickBot="1">
      <c r="B51" s="23" t="s">
        <v>36</v>
      </c>
      <c r="C51" s="252" t="s">
        <v>14</v>
      </c>
      <c r="D51" s="252" t="s">
        <v>37</v>
      </c>
      <c r="E51" s="252" t="s">
        <v>71</v>
      </c>
      <c r="F51" s="252" t="s">
        <v>38</v>
      </c>
      <c r="G51" s="252" t="s">
        <v>72</v>
      </c>
      <c r="H51" s="252" t="s">
        <v>22</v>
      </c>
      <c r="I51" s="25" t="s">
        <v>40</v>
      </c>
      <c r="J51" s="54" t="s">
        <v>2</v>
      </c>
      <c r="K51" s="55" t="s">
        <v>3</v>
      </c>
      <c r="L51" s="55" t="s">
        <v>61</v>
      </c>
      <c r="M51" s="55" t="s">
        <v>62</v>
      </c>
      <c r="N51" s="70" t="s">
        <v>14</v>
      </c>
    </row>
    <row r="52" spans="2:14" ht="18" customHeight="1">
      <c r="B52" s="648" t="s">
        <v>73</v>
      </c>
      <c r="C52" s="649" t="s">
        <v>405</v>
      </c>
      <c r="D52" s="253">
        <f>J52-IF(L52=1,46,IF(L52=2,32,IF(L52=3,18,0)))</f>
        <v>579</v>
      </c>
      <c r="E52" s="253">
        <v>2</v>
      </c>
      <c r="F52" s="253">
        <f>K52-IF(M52=1,46,IF(M52=2,32,IF(M52=3,118,0)))</f>
        <v>0</v>
      </c>
      <c r="G52" s="250"/>
      <c r="H52" s="250">
        <v>1.6379999999999999</v>
      </c>
      <c r="I52" s="59">
        <f>ROUND((D52*E52+F52*G52)/1000*H52,3)</f>
        <v>1.897</v>
      </c>
      <c r="J52" s="60">
        <f>D15</f>
        <v>625</v>
      </c>
      <c r="K52" s="61"/>
      <c r="L52" s="61">
        <v>1</v>
      </c>
      <c r="M52" s="61"/>
      <c r="N52" s="76" t="s">
        <v>56</v>
      </c>
    </row>
    <row r="53" spans="2:14" ht="18" customHeight="1">
      <c r="B53" s="648"/>
      <c r="C53" s="650"/>
      <c r="D53" s="253">
        <f t="shared" ref="D53:D55" si="9">J53-IF(L53=1,46,IF(L53=2,32,IF(L53=3,18,0)))</f>
        <v>0</v>
      </c>
      <c r="E53" s="253"/>
      <c r="F53" s="253">
        <f t="shared" ref="F53:F55" si="10">K53-IF(M53=1,46,IF(M53=2,32,IF(M53=3,118,0)))</f>
        <v>0</v>
      </c>
      <c r="G53" s="250"/>
      <c r="H53" s="250">
        <f>H52</f>
        <v>1.6379999999999999</v>
      </c>
      <c r="I53" s="59">
        <f>ROUND((D53*E53+F53*G53)/1000*H53,3)</f>
        <v>0</v>
      </c>
      <c r="J53" s="60"/>
      <c r="K53" s="61"/>
      <c r="L53" s="61"/>
      <c r="M53" s="61"/>
      <c r="N53" s="76" t="s">
        <v>58</v>
      </c>
    </row>
    <row r="54" spans="2:14" ht="18" customHeight="1">
      <c r="B54" s="648"/>
      <c r="C54" s="650"/>
      <c r="D54" s="253">
        <f t="shared" si="9"/>
        <v>0</v>
      </c>
      <c r="E54" s="253"/>
      <c r="F54" s="253">
        <f t="shared" si="10"/>
        <v>0</v>
      </c>
      <c r="G54" s="250"/>
      <c r="H54" s="250">
        <f>H53</f>
        <v>1.6379999999999999</v>
      </c>
      <c r="I54" s="59">
        <f>ROUND((D54*E54+F54*G54)/1000*H54,3)</f>
        <v>0</v>
      </c>
      <c r="J54" s="60"/>
      <c r="K54" s="61"/>
      <c r="L54" s="61"/>
      <c r="M54" s="61"/>
      <c r="N54" s="76" t="s">
        <v>60</v>
      </c>
    </row>
    <row r="55" spans="2:14" ht="18" customHeight="1" thickBot="1">
      <c r="B55" s="648"/>
      <c r="C55" s="651"/>
      <c r="D55" s="253">
        <f t="shared" si="9"/>
        <v>0</v>
      </c>
      <c r="E55" s="253"/>
      <c r="F55" s="253">
        <f t="shared" si="10"/>
        <v>0</v>
      </c>
      <c r="G55" s="250"/>
      <c r="H55" s="77">
        <f>H54</f>
        <v>1.6379999999999999</v>
      </c>
      <c r="I55" s="59">
        <f>ROUND((D55*E55+F55*G55)/1000*H55,3)</f>
        <v>0</v>
      </c>
      <c r="J55" s="78"/>
      <c r="K55" s="79"/>
      <c r="L55" s="79"/>
      <c r="M55" s="79"/>
      <c r="N55" s="80"/>
    </row>
    <row r="56" spans="2:14" ht="18" customHeight="1">
      <c r="B56" s="48" t="s">
        <v>42</v>
      </c>
      <c r="C56" s="49">
        <f>SUMPRODUCT(D52:D55*E52:E55+F52:F55*G52:G55)/1000</f>
        <v>1.1579999999999999</v>
      </c>
      <c r="D56" s="50" t="s">
        <v>43</v>
      </c>
      <c r="E56" s="49">
        <f>SUM(I52:I55)*1.1</f>
        <v>2.0867</v>
      </c>
      <c r="F56" s="50" t="s">
        <v>44</v>
      </c>
      <c r="G56" s="51">
        <f>(C$218+C$219)/1000</f>
        <v>46.081499999999998</v>
      </c>
      <c r="H56" s="52" t="s">
        <v>45</v>
      </c>
      <c r="I56" s="53">
        <f>ROUND(E56*G56,2)</f>
        <v>96.16</v>
      </c>
      <c r="J56" s="243">
        <f>SUM(E52:E55)+SUM(G52:G55)</f>
        <v>2</v>
      </c>
    </row>
    <row r="57" spans="2:14" ht="18" customHeight="1">
      <c r="B57" s="48" t="s">
        <v>46</v>
      </c>
      <c r="C57" s="50">
        <v>265.52999999999997</v>
      </c>
      <c r="D57" s="50" t="s">
        <v>47</v>
      </c>
      <c r="E57" s="49">
        <f>ROUND(C56*(C57/1000),2)</f>
        <v>0.31</v>
      </c>
      <c r="F57" s="50" t="s">
        <v>48</v>
      </c>
      <c r="G57" s="50">
        <f>G$23</f>
        <v>10</v>
      </c>
      <c r="H57" s="52" t="s">
        <v>49</v>
      </c>
      <c r="I57" s="53">
        <f>E57*G57</f>
        <v>3.1</v>
      </c>
      <c r="L57" s="47"/>
    </row>
    <row r="58" spans="2:14" ht="18" customHeight="1">
      <c r="B58" s="48" t="s">
        <v>50</v>
      </c>
      <c r="C58" s="50">
        <v>173.62</v>
      </c>
      <c r="D58" s="50" t="s">
        <v>51</v>
      </c>
      <c r="E58" s="49">
        <f>ROUND(C56*(C58/1000),2)</f>
        <v>0.2</v>
      </c>
      <c r="F58" s="50" t="s">
        <v>48</v>
      </c>
      <c r="G58" s="50">
        <f>G$24</f>
        <v>10</v>
      </c>
      <c r="H58" s="52" t="s">
        <v>49</v>
      </c>
      <c r="I58" s="53">
        <f>E58*G58</f>
        <v>2</v>
      </c>
      <c r="L58" s="47"/>
    </row>
    <row r="59" spans="2:14" ht="18" customHeight="1">
      <c r="B59" s="23" t="s">
        <v>36</v>
      </c>
      <c r="C59" s="252" t="s">
        <v>14</v>
      </c>
      <c r="D59" s="652" t="s">
        <v>74</v>
      </c>
      <c r="E59" s="652"/>
      <c r="F59" s="652"/>
      <c r="G59" s="252" t="s">
        <v>75</v>
      </c>
      <c r="H59" s="252" t="s">
        <v>22</v>
      </c>
      <c r="I59" s="25" t="s">
        <v>40</v>
      </c>
      <c r="L59" s="47"/>
    </row>
    <row r="60" spans="2:14" ht="18" customHeight="1">
      <c r="B60" s="648" t="s">
        <v>76</v>
      </c>
      <c r="C60" s="649" t="s">
        <v>77</v>
      </c>
      <c r="D60" s="646"/>
      <c r="E60" s="646"/>
      <c r="F60" s="646"/>
      <c r="G60" s="250"/>
      <c r="H60" s="250">
        <v>1.9339999999999999</v>
      </c>
      <c r="I60" s="59">
        <f>ROUND(D60*G60*H60/1000,3)</f>
        <v>0</v>
      </c>
      <c r="L60" s="47"/>
    </row>
    <row r="61" spans="2:14" ht="18" customHeight="1">
      <c r="B61" s="648"/>
      <c r="C61" s="651"/>
      <c r="D61" s="646"/>
      <c r="E61" s="646"/>
      <c r="F61" s="646"/>
      <c r="G61" s="250"/>
      <c r="H61" s="250">
        <v>1.9339999999999999</v>
      </c>
      <c r="I61" s="59">
        <f>ROUND(D61*G61*H61/1000,3)</f>
        <v>0</v>
      </c>
    </row>
    <row r="62" spans="2:14" ht="18" customHeight="1">
      <c r="B62" s="648"/>
      <c r="C62" s="649" t="s">
        <v>78</v>
      </c>
      <c r="D62" s="646"/>
      <c r="E62" s="646"/>
      <c r="F62" s="646"/>
      <c r="G62" s="250"/>
      <c r="H62" s="250">
        <v>2.3130000000000002</v>
      </c>
      <c r="I62" s="59">
        <f>ROUND(D62*G62*H62/1000,3)</f>
        <v>0</v>
      </c>
    </row>
    <row r="63" spans="2:14" ht="18" customHeight="1">
      <c r="B63" s="648"/>
      <c r="C63" s="651"/>
      <c r="D63" s="646"/>
      <c r="E63" s="646"/>
      <c r="F63" s="646"/>
      <c r="G63" s="250"/>
      <c r="H63" s="250">
        <v>2.3130000000000002</v>
      </c>
      <c r="I63" s="59">
        <f>ROUND(D63*G63*H63/1000,3)</f>
        <v>0</v>
      </c>
    </row>
    <row r="64" spans="2:14" ht="18" customHeight="1">
      <c r="B64" s="48" t="s">
        <v>42</v>
      </c>
      <c r="C64" s="49">
        <f>SUMPRODUCT(D60:F63*G60:G63)/1000</f>
        <v>0</v>
      </c>
      <c r="D64" s="50" t="s">
        <v>43</v>
      </c>
      <c r="E64" s="49">
        <f>SUM(I60:I63)*1.1</f>
        <v>0</v>
      </c>
      <c r="F64" s="50" t="s">
        <v>44</v>
      </c>
      <c r="G64" s="51">
        <f>(C$218+C$219)/1000</f>
        <v>46.081499999999998</v>
      </c>
      <c r="H64" s="52" t="s">
        <v>45</v>
      </c>
      <c r="I64" s="53">
        <f>ROUND(E64*G64,2)</f>
        <v>0</v>
      </c>
      <c r="J64" s="43">
        <f>SUM(G60:G63)</f>
        <v>0</v>
      </c>
    </row>
    <row r="65" spans="2:14" ht="18" customHeight="1">
      <c r="B65" s="48" t="s">
        <v>46</v>
      </c>
      <c r="C65" s="50">
        <v>337.92</v>
      </c>
      <c r="D65" s="50" t="s">
        <v>47</v>
      </c>
      <c r="E65" s="49">
        <f>ROUND(C64*(C65/1000),2)</f>
        <v>0</v>
      </c>
      <c r="F65" s="50" t="s">
        <v>48</v>
      </c>
      <c r="G65" s="50">
        <f>G$23</f>
        <v>10</v>
      </c>
      <c r="H65" s="52" t="s">
        <v>49</v>
      </c>
      <c r="I65" s="53">
        <f>E65*G65</f>
        <v>0</v>
      </c>
    </row>
    <row r="66" spans="2:14" ht="18" customHeight="1" thickBot="1">
      <c r="B66" s="48" t="s">
        <v>50</v>
      </c>
      <c r="C66" s="50">
        <v>175.93</v>
      </c>
      <c r="D66" s="50" t="s">
        <v>51</v>
      </c>
      <c r="E66" s="49">
        <f>ROUND(C64*(C66/1000),2)</f>
        <v>0</v>
      </c>
      <c r="F66" s="50" t="s">
        <v>48</v>
      </c>
      <c r="G66" s="50">
        <f>G$24</f>
        <v>10</v>
      </c>
      <c r="H66" s="52" t="s">
        <v>49</v>
      </c>
      <c r="I66" s="53">
        <f>E66*G66</f>
        <v>0</v>
      </c>
    </row>
    <row r="67" spans="2:14" ht="18" customHeight="1" thickBot="1">
      <c r="B67" s="23" t="s">
        <v>36</v>
      </c>
      <c r="C67" s="252" t="s">
        <v>14</v>
      </c>
      <c r="D67" s="252" t="s">
        <v>37</v>
      </c>
      <c r="E67" s="252" t="s">
        <v>38</v>
      </c>
      <c r="F67" s="252" t="s">
        <v>39</v>
      </c>
      <c r="G67" s="252" t="s">
        <v>8</v>
      </c>
      <c r="H67" s="252" t="s">
        <v>22</v>
      </c>
      <c r="I67" s="25" t="s">
        <v>40</v>
      </c>
      <c r="J67" s="54" t="s">
        <v>2</v>
      </c>
      <c r="K67" s="55" t="s">
        <v>3</v>
      </c>
      <c r="L67" s="55" t="s">
        <v>52</v>
      </c>
      <c r="M67" s="55" t="s">
        <v>53</v>
      </c>
      <c r="N67" s="70" t="s">
        <v>14</v>
      </c>
    </row>
    <row r="68" spans="2:14" ht="18" customHeight="1">
      <c r="B68" s="648" t="s">
        <v>79</v>
      </c>
      <c r="C68" s="649" t="s">
        <v>323</v>
      </c>
      <c r="D68" s="81">
        <f>J68-IF(L68=1,72,IF(L68=2,54,IF(L68=3,26,IF(L68=11,102.8,IF(L68=12,88.8,IF(L68=13,74.8,0))))))</f>
        <v>2548</v>
      </c>
      <c r="E68" s="81">
        <f>K68-IF(M68=1,72,IF(M68=2,24,IF(M68=3,26,IF(M68=11,102.8,IF(M68=12,88.8,IF(M68=13,74.8,0))))))</f>
        <v>1278</v>
      </c>
      <c r="F68" s="81">
        <f>2*(D68+E68)/1000</f>
        <v>7.6520000000000001</v>
      </c>
      <c r="G68" s="82">
        <v>1</v>
      </c>
      <c r="H68" s="250">
        <v>0.224</v>
      </c>
      <c r="I68" s="283">
        <f>ROUND(F68*G68*H68,3)*2</f>
        <v>3.4279999999999999</v>
      </c>
      <c r="J68" s="83">
        <f>D14</f>
        <v>2620</v>
      </c>
      <c r="K68" s="83">
        <f>E14</f>
        <v>1350</v>
      </c>
      <c r="L68" s="84">
        <v>1</v>
      </c>
      <c r="M68" s="84">
        <v>1</v>
      </c>
      <c r="N68" s="71" t="s">
        <v>56</v>
      </c>
    </row>
    <row r="69" spans="2:14" ht="18" customHeight="1">
      <c r="B69" s="648"/>
      <c r="C69" s="650"/>
      <c r="D69" s="81">
        <f t="shared" ref="D69:D87" si="11">J69-IF(L69=1,72,IF(L69=2,54,IF(L69=3,26,IF(L69=11,102.8,IF(L69=12,88.8,IF(L69=13,74.8,0))))))</f>
        <v>553</v>
      </c>
      <c r="E69" s="81">
        <f t="shared" ref="E69:E87" si="12">K69-IF(M69=1,72,IF(M69=2,24,IF(M69=3,26,IF(M69=11,102.8,IF(M69=12,88.8,IF(M69=13,74.8,0))))))</f>
        <v>746</v>
      </c>
      <c r="F69" s="81">
        <f t="shared" ref="F69:F87" si="13">2*(D69+E69)/1000</f>
        <v>2.5979999999999999</v>
      </c>
      <c r="G69" s="82">
        <v>2</v>
      </c>
      <c r="H69" s="250">
        <f>H68</f>
        <v>0.224</v>
      </c>
      <c r="I69" s="59">
        <f t="shared" ref="I69:I87" si="14">ROUND(F69*G69*H69,3)</f>
        <v>1.1639999999999999</v>
      </c>
      <c r="J69" s="83">
        <f>D15</f>
        <v>625</v>
      </c>
      <c r="K69" s="84">
        <f>E15-K35</f>
        <v>770</v>
      </c>
      <c r="L69" s="84">
        <v>1</v>
      </c>
      <c r="M69" s="84">
        <v>2</v>
      </c>
      <c r="N69" s="72" t="s">
        <v>58</v>
      </c>
    </row>
    <row r="70" spans="2:14" ht="18" customHeight="1">
      <c r="B70" s="648"/>
      <c r="C70" s="650"/>
      <c r="D70" s="81">
        <f t="shared" si="11"/>
        <v>0</v>
      </c>
      <c r="E70" s="81">
        <f t="shared" si="12"/>
        <v>0</v>
      </c>
      <c r="F70" s="81">
        <f t="shared" si="13"/>
        <v>0</v>
      </c>
      <c r="G70" s="82"/>
      <c r="H70" s="250">
        <f>H69</f>
        <v>0.224</v>
      </c>
      <c r="I70" s="59">
        <f t="shared" si="14"/>
        <v>0</v>
      </c>
      <c r="J70" s="83"/>
      <c r="K70" s="84"/>
      <c r="L70" s="84"/>
      <c r="M70" s="84"/>
      <c r="N70" s="72" t="s">
        <v>60</v>
      </c>
    </row>
    <row r="71" spans="2:14" ht="18" customHeight="1">
      <c r="B71" s="648"/>
      <c r="C71" s="650"/>
      <c r="D71" s="81">
        <f t="shared" si="11"/>
        <v>0</v>
      </c>
      <c r="E71" s="81">
        <f t="shared" si="12"/>
        <v>0</v>
      </c>
      <c r="F71" s="81">
        <f t="shared" si="13"/>
        <v>0</v>
      </c>
      <c r="G71" s="82"/>
      <c r="H71" s="77">
        <f>H70</f>
        <v>0.224</v>
      </c>
      <c r="I71" s="59">
        <f t="shared" si="14"/>
        <v>0</v>
      </c>
      <c r="J71" s="85"/>
      <c r="K71" s="86"/>
      <c r="L71" s="86"/>
      <c r="M71" s="86"/>
      <c r="N71" s="72" t="s">
        <v>65</v>
      </c>
    </row>
    <row r="72" spans="2:14" ht="18" customHeight="1">
      <c r="B72" s="648"/>
      <c r="C72" s="650"/>
      <c r="D72" s="81">
        <f t="shared" si="11"/>
        <v>0</v>
      </c>
      <c r="E72" s="81">
        <f t="shared" si="12"/>
        <v>0</v>
      </c>
      <c r="F72" s="81">
        <f t="shared" si="13"/>
        <v>0</v>
      </c>
      <c r="G72" s="82"/>
      <c r="H72" s="77">
        <f>H71</f>
        <v>0.224</v>
      </c>
      <c r="I72" s="87">
        <f t="shared" si="14"/>
        <v>0</v>
      </c>
      <c r="J72" s="85"/>
      <c r="K72" s="86"/>
      <c r="L72" s="86"/>
      <c r="M72" s="86"/>
      <c r="N72" s="72" t="s">
        <v>66</v>
      </c>
    </row>
    <row r="73" spans="2:14" ht="18" customHeight="1">
      <c r="B73" s="648"/>
      <c r="C73" s="650"/>
      <c r="D73" s="81">
        <f t="shared" si="11"/>
        <v>0</v>
      </c>
      <c r="E73" s="81">
        <f t="shared" si="12"/>
        <v>0</v>
      </c>
      <c r="F73" s="81">
        <f t="shared" si="13"/>
        <v>0</v>
      </c>
      <c r="G73" s="82"/>
      <c r="H73" s="250">
        <f>H70</f>
        <v>0.224</v>
      </c>
      <c r="I73" s="87">
        <f t="shared" si="14"/>
        <v>0</v>
      </c>
      <c r="J73" s="83"/>
      <c r="K73" s="84"/>
      <c r="L73" s="84"/>
      <c r="M73" s="84"/>
      <c r="N73" s="72" t="s">
        <v>67</v>
      </c>
    </row>
    <row r="74" spans="2:14" ht="18" customHeight="1">
      <c r="B74" s="648"/>
      <c r="C74" s="651"/>
      <c r="D74" s="81">
        <f t="shared" si="11"/>
        <v>0</v>
      </c>
      <c r="E74" s="81">
        <f t="shared" si="12"/>
        <v>0</v>
      </c>
      <c r="F74" s="81">
        <f t="shared" si="13"/>
        <v>0</v>
      </c>
      <c r="G74" s="82"/>
      <c r="H74" s="250">
        <f>H73</f>
        <v>0.224</v>
      </c>
      <c r="I74" s="87">
        <f t="shared" si="14"/>
        <v>0</v>
      </c>
      <c r="J74" s="83"/>
      <c r="K74" s="84"/>
      <c r="L74" s="84"/>
      <c r="M74" s="84"/>
      <c r="N74" s="88"/>
    </row>
    <row r="75" spans="2:14" ht="18" customHeight="1">
      <c r="B75" s="648"/>
      <c r="C75" s="649" t="s">
        <v>324</v>
      </c>
      <c r="D75" s="89">
        <f t="shared" si="11"/>
        <v>0</v>
      </c>
      <c r="E75" s="89">
        <f t="shared" si="12"/>
        <v>0</v>
      </c>
      <c r="F75" s="89">
        <f t="shared" si="13"/>
        <v>0</v>
      </c>
      <c r="G75" s="90"/>
      <c r="H75" s="91">
        <f>H74</f>
        <v>0.224</v>
      </c>
      <c r="I75" s="92">
        <f t="shared" si="14"/>
        <v>0</v>
      </c>
      <c r="J75" s="83"/>
      <c r="K75" s="84"/>
      <c r="L75" s="84"/>
      <c r="M75" s="84"/>
      <c r="N75" s="93" t="s">
        <v>80</v>
      </c>
    </row>
    <row r="76" spans="2:14" ht="18" customHeight="1">
      <c r="B76" s="648"/>
      <c r="C76" s="650"/>
      <c r="D76" s="89">
        <f t="shared" si="11"/>
        <v>0</v>
      </c>
      <c r="E76" s="89">
        <f t="shared" si="12"/>
        <v>0</v>
      </c>
      <c r="F76" s="89">
        <f t="shared" si="13"/>
        <v>0</v>
      </c>
      <c r="G76" s="90"/>
      <c r="H76" s="91">
        <f>H72</f>
        <v>0.224</v>
      </c>
      <c r="I76" s="92">
        <f t="shared" si="14"/>
        <v>0</v>
      </c>
      <c r="J76" s="83"/>
      <c r="K76" s="84"/>
      <c r="L76" s="84"/>
      <c r="M76" s="84"/>
      <c r="N76" s="93" t="s">
        <v>80</v>
      </c>
    </row>
    <row r="77" spans="2:14" ht="18" customHeight="1">
      <c r="B77" s="648"/>
      <c r="C77" s="650"/>
      <c r="D77" s="89">
        <f t="shared" si="11"/>
        <v>0</v>
      </c>
      <c r="E77" s="89">
        <f t="shared" si="12"/>
        <v>0</v>
      </c>
      <c r="F77" s="89">
        <f t="shared" si="13"/>
        <v>0</v>
      </c>
      <c r="G77" s="90"/>
      <c r="H77" s="91">
        <f t="shared" ref="H77:H87" si="15">H76</f>
        <v>0.224</v>
      </c>
      <c r="I77" s="92">
        <f t="shared" si="14"/>
        <v>0</v>
      </c>
      <c r="J77" s="83"/>
      <c r="K77" s="84"/>
      <c r="L77" s="84"/>
      <c r="M77" s="84"/>
      <c r="N77" s="93" t="s">
        <v>80</v>
      </c>
    </row>
    <row r="78" spans="2:14" ht="18" customHeight="1">
      <c r="B78" s="648"/>
      <c r="C78" s="650"/>
      <c r="D78" s="89">
        <f t="shared" si="11"/>
        <v>0</v>
      </c>
      <c r="E78" s="89">
        <f t="shared" si="12"/>
        <v>0</v>
      </c>
      <c r="F78" s="89">
        <f t="shared" si="13"/>
        <v>0</v>
      </c>
      <c r="G78" s="90"/>
      <c r="H78" s="91">
        <f t="shared" si="15"/>
        <v>0.224</v>
      </c>
      <c r="I78" s="92">
        <f t="shared" si="14"/>
        <v>0</v>
      </c>
      <c r="J78" s="83"/>
      <c r="K78" s="84"/>
      <c r="L78" s="84"/>
      <c r="M78" s="84"/>
      <c r="N78" s="93" t="s">
        <v>80</v>
      </c>
    </row>
    <row r="79" spans="2:14" ht="18" customHeight="1">
      <c r="B79" s="648"/>
      <c r="C79" s="650"/>
      <c r="D79" s="89">
        <f t="shared" si="11"/>
        <v>0</v>
      </c>
      <c r="E79" s="89">
        <f t="shared" si="12"/>
        <v>0</v>
      </c>
      <c r="F79" s="89">
        <f t="shared" si="13"/>
        <v>0</v>
      </c>
      <c r="G79" s="90"/>
      <c r="H79" s="91">
        <f t="shared" si="15"/>
        <v>0.224</v>
      </c>
      <c r="I79" s="94">
        <f t="shared" si="14"/>
        <v>0</v>
      </c>
      <c r="J79" s="83"/>
      <c r="K79" s="84"/>
      <c r="L79" s="84"/>
      <c r="M79" s="84"/>
      <c r="N79" s="93" t="s">
        <v>80</v>
      </c>
    </row>
    <row r="80" spans="2:14" ht="18" customHeight="1">
      <c r="B80" s="648"/>
      <c r="C80" s="650"/>
      <c r="D80" s="89">
        <f t="shared" si="11"/>
        <v>0</v>
      </c>
      <c r="E80" s="89">
        <f t="shared" si="12"/>
        <v>0</v>
      </c>
      <c r="F80" s="89">
        <f t="shared" si="13"/>
        <v>0</v>
      </c>
      <c r="G80" s="90"/>
      <c r="H80" s="91">
        <f t="shared" si="15"/>
        <v>0.224</v>
      </c>
      <c r="I80" s="94">
        <f t="shared" si="14"/>
        <v>0</v>
      </c>
      <c r="J80" s="83"/>
      <c r="K80" s="84"/>
      <c r="L80" s="84"/>
      <c r="M80" s="84"/>
      <c r="N80" s="93" t="s">
        <v>80</v>
      </c>
    </row>
    <row r="81" spans="2:14" ht="18" customHeight="1">
      <c r="B81" s="648"/>
      <c r="C81" s="651"/>
      <c r="D81" s="89">
        <f t="shared" si="11"/>
        <v>0</v>
      </c>
      <c r="E81" s="89">
        <f t="shared" si="12"/>
        <v>0</v>
      </c>
      <c r="F81" s="89">
        <f t="shared" si="13"/>
        <v>0</v>
      </c>
      <c r="G81" s="90"/>
      <c r="H81" s="91">
        <f t="shared" si="15"/>
        <v>0.224</v>
      </c>
      <c r="I81" s="94">
        <f t="shared" si="14"/>
        <v>0</v>
      </c>
      <c r="J81" s="95"/>
      <c r="K81" s="96"/>
      <c r="L81" s="96"/>
      <c r="M81" s="96"/>
      <c r="N81" s="93" t="s">
        <v>81</v>
      </c>
    </row>
    <row r="82" spans="2:14" ht="18" customHeight="1">
      <c r="B82" s="648"/>
      <c r="C82" s="639" t="s">
        <v>325</v>
      </c>
      <c r="D82" s="81">
        <f t="shared" si="11"/>
        <v>0</v>
      </c>
      <c r="E82" s="81">
        <f t="shared" si="12"/>
        <v>0</v>
      </c>
      <c r="F82" s="81">
        <f t="shared" si="13"/>
        <v>0</v>
      </c>
      <c r="G82" s="82"/>
      <c r="H82" s="250">
        <f t="shared" si="15"/>
        <v>0.224</v>
      </c>
      <c r="I82" s="59">
        <f t="shared" si="14"/>
        <v>0</v>
      </c>
      <c r="J82" s="83"/>
      <c r="K82" s="84"/>
      <c r="L82" s="84"/>
      <c r="M82" s="84"/>
      <c r="N82" s="88"/>
    </row>
    <row r="83" spans="2:14" ht="18" customHeight="1">
      <c r="B83" s="648"/>
      <c r="C83" s="645"/>
      <c r="D83" s="81">
        <f t="shared" si="11"/>
        <v>0</v>
      </c>
      <c r="E83" s="81">
        <f t="shared" si="12"/>
        <v>0</v>
      </c>
      <c r="F83" s="81">
        <f t="shared" si="13"/>
        <v>0</v>
      </c>
      <c r="G83" s="82"/>
      <c r="H83" s="250">
        <f t="shared" si="15"/>
        <v>0.224</v>
      </c>
      <c r="I83" s="59">
        <f t="shared" si="14"/>
        <v>0</v>
      </c>
      <c r="J83" s="83"/>
      <c r="K83" s="84"/>
      <c r="L83" s="84"/>
      <c r="M83" s="84"/>
      <c r="N83" s="88"/>
    </row>
    <row r="84" spans="2:14" ht="18" customHeight="1">
      <c r="B84" s="648"/>
      <c r="C84" s="645"/>
      <c r="D84" s="81">
        <f t="shared" si="11"/>
        <v>0</v>
      </c>
      <c r="E84" s="81">
        <f t="shared" si="12"/>
        <v>0</v>
      </c>
      <c r="F84" s="81">
        <f t="shared" si="13"/>
        <v>0</v>
      </c>
      <c r="G84" s="82"/>
      <c r="H84" s="250">
        <f t="shared" si="15"/>
        <v>0.224</v>
      </c>
      <c r="I84" s="59">
        <f t="shared" si="14"/>
        <v>0</v>
      </c>
      <c r="J84" s="83"/>
      <c r="K84" s="84"/>
      <c r="L84" s="84"/>
      <c r="M84" s="84"/>
      <c r="N84" s="76"/>
    </row>
    <row r="85" spans="2:14" ht="18" customHeight="1">
      <c r="B85" s="648"/>
      <c r="C85" s="645"/>
      <c r="D85" s="81">
        <f t="shared" si="11"/>
        <v>0</v>
      </c>
      <c r="E85" s="81">
        <f t="shared" si="12"/>
        <v>0</v>
      </c>
      <c r="F85" s="81">
        <f t="shared" si="13"/>
        <v>0</v>
      </c>
      <c r="G85" s="82"/>
      <c r="H85" s="250">
        <f t="shared" si="15"/>
        <v>0.224</v>
      </c>
      <c r="I85" s="59">
        <f t="shared" si="14"/>
        <v>0</v>
      </c>
      <c r="J85" s="83"/>
      <c r="K85" s="84"/>
      <c r="L85" s="84"/>
      <c r="M85" s="84"/>
      <c r="N85" s="76"/>
    </row>
    <row r="86" spans="2:14" ht="18" customHeight="1">
      <c r="B86" s="648"/>
      <c r="C86" s="645"/>
      <c r="D86" s="81">
        <f t="shared" si="11"/>
        <v>0</v>
      </c>
      <c r="E86" s="81">
        <f t="shared" si="12"/>
        <v>0</v>
      </c>
      <c r="F86" s="81">
        <f t="shared" si="13"/>
        <v>0</v>
      </c>
      <c r="G86" s="82"/>
      <c r="H86" s="250">
        <f t="shared" si="15"/>
        <v>0.224</v>
      </c>
      <c r="I86" s="59">
        <f t="shared" si="14"/>
        <v>0</v>
      </c>
      <c r="J86" s="85"/>
      <c r="K86" s="86"/>
      <c r="L86" s="86"/>
      <c r="M86" s="86"/>
      <c r="N86" s="76"/>
    </row>
    <row r="87" spans="2:14" ht="18" customHeight="1" thickBot="1">
      <c r="B87" s="648"/>
      <c r="C87" s="640"/>
      <c r="D87" s="81">
        <f t="shared" si="11"/>
        <v>0</v>
      </c>
      <c r="E87" s="81">
        <f t="shared" si="12"/>
        <v>0</v>
      </c>
      <c r="F87" s="81">
        <f t="shared" si="13"/>
        <v>0</v>
      </c>
      <c r="G87" s="82"/>
      <c r="H87" s="250">
        <f t="shared" si="15"/>
        <v>0.224</v>
      </c>
      <c r="I87" s="59">
        <f t="shared" si="14"/>
        <v>0</v>
      </c>
      <c r="J87" s="97"/>
      <c r="K87" s="98"/>
      <c r="L87" s="98"/>
      <c r="M87" s="98"/>
      <c r="N87" s="80"/>
    </row>
    <row r="88" spans="2:14" ht="18" customHeight="1">
      <c r="B88" s="48" t="s">
        <v>42</v>
      </c>
      <c r="C88" s="49">
        <f>SUMPRODUCT(F68:F87*G68:G87)</f>
        <v>12.847999999999999</v>
      </c>
      <c r="D88" s="50" t="s">
        <v>43</v>
      </c>
      <c r="E88" s="49">
        <f>SUM(I68:I87)*1.1</f>
        <v>5.0511999999999997</v>
      </c>
      <c r="F88" s="50" t="s">
        <v>44</v>
      </c>
      <c r="G88" s="51">
        <f>(C$218+C$222)/1000</f>
        <v>39.781500000000001</v>
      </c>
      <c r="H88" s="52" t="s">
        <v>45</v>
      </c>
      <c r="I88" s="53">
        <f>ROUND(E88*G88,2)</f>
        <v>200.94</v>
      </c>
      <c r="J88" s="255"/>
      <c r="K88" s="255"/>
      <c r="L88" s="255"/>
      <c r="M88" s="255"/>
    </row>
    <row r="89" spans="2:14" ht="18" customHeight="1">
      <c r="B89" s="48" t="s">
        <v>46</v>
      </c>
      <c r="C89" s="50">
        <v>181.72</v>
      </c>
      <c r="D89" s="50" t="s">
        <v>47</v>
      </c>
      <c r="E89" s="49">
        <f>ROUND(C88*(C89/1000),2)</f>
        <v>2.33</v>
      </c>
      <c r="F89" s="50" t="s">
        <v>48</v>
      </c>
      <c r="G89" s="50">
        <f>G$23</f>
        <v>10</v>
      </c>
      <c r="H89" s="52" t="s">
        <v>49</v>
      </c>
      <c r="I89" s="53">
        <f>E89*G89</f>
        <v>23.3</v>
      </c>
      <c r="J89" s="255"/>
      <c r="K89" s="255"/>
      <c r="L89" s="255"/>
      <c r="M89" s="255"/>
    </row>
    <row r="90" spans="2:14" ht="18" customHeight="1">
      <c r="B90" s="48" t="s">
        <v>50</v>
      </c>
      <c r="C90" s="50"/>
      <c r="D90" s="50" t="s">
        <v>51</v>
      </c>
      <c r="E90" s="49">
        <f>ROUND(C88*(C90/1000),2)</f>
        <v>0</v>
      </c>
      <c r="F90" s="50" t="s">
        <v>48</v>
      </c>
      <c r="G90" s="50">
        <f>G$24</f>
        <v>10</v>
      </c>
      <c r="H90" s="52" t="s">
        <v>49</v>
      </c>
      <c r="I90" s="53">
        <f>E90*G90</f>
        <v>0</v>
      </c>
      <c r="J90" s="255"/>
      <c r="K90" s="255"/>
      <c r="L90" s="255"/>
      <c r="M90" s="255"/>
    </row>
    <row r="91" spans="2:14" ht="18" customHeight="1">
      <c r="B91" s="23" t="s">
        <v>36</v>
      </c>
      <c r="C91" s="252" t="s">
        <v>14</v>
      </c>
      <c r="D91" s="252" t="s">
        <v>37</v>
      </c>
      <c r="E91" s="252" t="s">
        <v>38</v>
      </c>
      <c r="F91" s="252" t="s">
        <v>39</v>
      </c>
      <c r="G91" s="252" t="s">
        <v>8</v>
      </c>
      <c r="H91" s="252" t="s">
        <v>22</v>
      </c>
      <c r="I91" s="25" t="s">
        <v>40</v>
      </c>
      <c r="J91" s="255"/>
      <c r="K91" s="255"/>
      <c r="L91" s="255"/>
      <c r="M91" s="255"/>
    </row>
    <row r="92" spans="2:14" ht="18" customHeight="1">
      <c r="B92" s="648" t="s">
        <v>82</v>
      </c>
      <c r="C92" s="653" t="s">
        <v>326</v>
      </c>
      <c r="D92" s="253">
        <f>D26-90</f>
        <v>-90</v>
      </c>
      <c r="E92" s="253">
        <f>E26-90</f>
        <v>-90</v>
      </c>
      <c r="F92" s="253">
        <f>2*(D92+E92)/1000</f>
        <v>-0.36</v>
      </c>
      <c r="G92" s="250">
        <f>G26</f>
        <v>0</v>
      </c>
      <c r="H92" s="250">
        <v>0.27100000000000002</v>
      </c>
      <c r="I92" s="59">
        <f>ROUND(F92*G92*H92,3)</f>
        <v>0</v>
      </c>
    </row>
    <row r="93" spans="2:14" ht="18" customHeight="1">
      <c r="B93" s="648"/>
      <c r="C93" s="658"/>
      <c r="D93" s="253">
        <f t="shared" ref="D93:E96" si="16">D27-90</f>
        <v>-90</v>
      </c>
      <c r="E93" s="253">
        <f t="shared" si="16"/>
        <v>-90</v>
      </c>
      <c r="F93" s="253">
        <f>2*(D93+E93)/1000</f>
        <v>-0.36</v>
      </c>
      <c r="G93" s="250">
        <f>G27</f>
        <v>0</v>
      </c>
      <c r="H93" s="250">
        <f>H92</f>
        <v>0.27100000000000002</v>
      </c>
      <c r="I93" s="59">
        <f>ROUND(F93*G93*H93,3)</f>
        <v>0</v>
      </c>
      <c r="M93" s="42"/>
    </row>
    <row r="94" spans="2:14" ht="18" customHeight="1">
      <c r="B94" s="648"/>
      <c r="C94" s="658"/>
      <c r="D94" s="253">
        <f t="shared" si="16"/>
        <v>-90</v>
      </c>
      <c r="E94" s="253">
        <f t="shared" si="16"/>
        <v>-90</v>
      </c>
      <c r="F94" s="253">
        <f>2*(D94+E94)/1000</f>
        <v>-0.36</v>
      </c>
      <c r="G94" s="250">
        <f>G28</f>
        <v>0</v>
      </c>
      <c r="H94" s="250">
        <f>H93</f>
        <v>0.27100000000000002</v>
      </c>
      <c r="I94" s="59">
        <f>ROUND(F94*G94*H94,3)</f>
        <v>0</v>
      </c>
    </row>
    <row r="95" spans="2:14" ht="18" customHeight="1">
      <c r="B95" s="648"/>
      <c r="C95" s="658"/>
      <c r="D95" s="253">
        <f t="shared" si="16"/>
        <v>-90</v>
      </c>
      <c r="E95" s="253">
        <f t="shared" si="16"/>
        <v>-90</v>
      </c>
      <c r="F95" s="253">
        <f>2*(D95+E95)/1000</f>
        <v>-0.36</v>
      </c>
      <c r="G95" s="250">
        <f>G29</f>
        <v>0</v>
      </c>
      <c r="H95" s="250">
        <f>H94</f>
        <v>0.27100000000000002</v>
      </c>
      <c r="I95" s="59">
        <f>ROUND(F95*G95*H95,3)</f>
        <v>0</v>
      </c>
    </row>
    <row r="96" spans="2:14" ht="18" customHeight="1">
      <c r="B96" s="648"/>
      <c r="C96" s="659"/>
      <c r="D96" s="253">
        <f t="shared" si="16"/>
        <v>-90</v>
      </c>
      <c r="E96" s="253">
        <f t="shared" si="16"/>
        <v>-90</v>
      </c>
      <c r="F96" s="253">
        <f>2*(D96+E96)/1000</f>
        <v>-0.36</v>
      </c>
      <c r="G96" s="250">
        <f>G30</f>
        <v>0</v>
      </c>
      <c r="H96" s="250">
        <f>H95</f>
        <v>0.27100000000000002</v>
      </c>
      <c r="I96" s="59">
        <f>ROUND(F96*G96*H96,3)</f>
        <v>0</v>
      </c>
    </row>
    <row r="97" spans="2:13" ht="18" customHeight="1">
      <c r="B97" s="48" t="s">
        <v>42</v>
      </c>
      <c r="C97" s="49">
        <f>SUMPRODUCT(F92:F96*G92:G96)</f>
        <v>0</v>
      </c>
      <c r="D97" s="50" t="s">
        <v>43</v>
      </c>
      <c r="E97" s="49">
        <f>SUM(I92:I96)*1.1</f>
        <v>0</v>
      </c>
      <c r="F97" s="50" t="s">
        <v>44</v>
      </c>
      <c r="G97" s="51">
        <f>(C$218+C$222)/1000</f>
        <v>39.781500000000001</v>
      </c>
      <c r="H97" s="52" t="s">
        <v>45</v>
      </c>
      <c r="I97" s="53">
        <f>ROUND(E97*G97,2)</f>
        <v>0</v>
      </c>
    </row>
    <row r="98" spans="2:13" ht="18" customHeight="1">
      <c r="B98" s="48" t="s">
        <v>46</v>
      </c>
      <c r="C98" s="50">
        <v>186.72</v>
      </c>
      <c r="D98" s="50" t="s">
        <v>47</v>
      </c>
      <c r="E98" s="49">
        <f>ROUND(C97*(C98/1000),2)</f>
        <v>0</v>
      </c>
      <c r="F98" s="50" t="s">
        <v>48</v>
      </c>
      <c r="G98" s="50">
        <f>G$23</f>
        <v>10</v>
      </c>
      <c r="H98" s="52" t="s">
        <v>49</v>
      </c>
      <c r="I98" s="53">
        <f>E98*G98</f>
        <v>0</v>
      </c>
    </row>
    <row r="99" spans="2:13" ht="18" customHeight="1">
      <c r="B99" s="48" t="s">
        <v>50</v>
      </c>
      <c r="C99" s="50">
        <v>0</v>
      </c>
      <c r="D99" s="50" t="s">
        <v>51</v>
      </c>
      <c r="E99" s="49">
        <f>ROUND(C97*(C99/1000),2)</f>
        <v>0</v>
      </c>
      <c r="F99" s="50" t="s">
        <v>48</v>
      </c>
      <c r="G99" s="50">
        <f>G$24</f>
        <v>10</v>
      </c>
      <c r="H99" s="52" t="s">
        <v>49</v>
      </c>
      <c r="I99" s="53">
        <f>E99*G99</f>
        <v>0</v>
      </c>
    </row>
    <row r="100" spans="2:13" ht="18" customHeight="1">
      <c r="B100" s="23" t="s">
        <v>36</v>
      </c>
      <c r="C100" s="252" t="s">
        <v>14</v>
      </c>
      <c r="D100" s="252" t="s">
        <v>37</v>
      </c>
      <c r="E100" s="252" t="s">
        <v>38</v>
      </c>
      <c r="F100" s="252" t="s">
        <v>39</v>
      </c>
      <c r="G100" s="252" t="s">
        <v>8</v>
      </c>
      <c r="H100" s="252" t="s">
        <v>22</v>
      </c>
      <c r="I100" s="25" t="s">
        <v>40</v>
      </c>
    </row>
    <row r="101" spans="2:13" ht="18" customHeight="1">
      <c r="B101" s="648" t="s">
        <v>84</v>
      </c>
      <c r="C101" s="653" t="str">
        <f>C92</f>
        <v>SDL2281</v>
      </c>
      <c r="D101" s="253">
        <f>D35-122</f>
        <v>385</v>
      </c>
      <c r="E101" s="253">
        <f t="shared" ref="D101:E103" si="17">E35-122</f>
        <v>578</v>
      </c>
      <c r="F101" s="253">
        <f>2*(D101+E101)/1000</f>
        <v>1.9259999999999999</v>
      </c>
      <c r="G101" s="250">
        <f>G35</f>
        <v>2</v>
      </c>
      <c r="H101" s="250">
        <f>H96</f>
        <v>0.27100000000000002</v>
      </c>
      <c r="I101" s="59">
        <f>ROUND(F101*G101*H101,3)</f>
        <v>1.044</v>
      </c>
    </row>
    <row r="102" spans="2:13" ht="18" customHeight="1">
      <c r="B102" s="648"/>
      <c r="C102" s="650"/>
      <c r="D102" s="253">
        <f t="shared" si="17"/>
        <v>-122</v>
      </c>
      <c r="E102" s="253">
        <f t="shared" si="17"/>
        <v>-122</v>
      </c>
      <c r="F102" s="253">
        <f>2*(D102+E102)/1000</f>
        <v>-0.48799999999999999</v>
      </c>
      <c r="G102" s="250">
        <f>G36</f>
        <v>0</v>
      </c>
      <c r="H102" s="250">
        <f>H101</f>
        <v>0.27100000000000002</v>
      </c>
      <c r="I102" s="59">
        <f>ROUND(F102*G102*H102,3)</f>
        <v>0</v>
      </c>
      <c r="K102" s="99"/>
      <c r="M102" s="99"/>
    </row>
    <row r="103" spans="2:13" ht="18" customHeight="1">
      <c r="B103" s="648"/>
      <c r="C103" s="651"/>
      <c r="D103" s="253">
        <f t="shared" si="17"/>
        <v>-122</v>
      </c>
      <c r="E103" s="253">
        <f t="shared" si="17"/>
        <v>-122</v>
      </c>
      <c r="F103" s="253">
        <f>2*(D103+E103)/1000</f>
        <v>-0.48799999999999999</v>
      </c>
      <c r="G103" s="250">
        <f>G37</f>
        <v>0</v>
      </c>
      <c r="H103" s="250">
        <f>H102</f>
        <v>0.27100000000000002</v>
      </c>
      <c r="I103" s="59">
        <f>ROUND(F103*G103*H103,3)</f>
        <v>0</v>
      </c>
      <c r="M103" s="99"/>
    </row>
    <row r="104" spans="2:13" ht="18" customHeight="1">
      <c r="B104" s="48" t="s">
        <v>42</v>
      </c>
      <c r="C104" s="49">
        <f>SUMPRODUCT(F101:F103*G101:G103)</f>
        <v>3.8519999999999999</v>
      </c>
      <c r="D104" s="50" t="s">
        <v>43</v>
      </c>
      <c r="E104" s="49">
        <f>SUM(I101:I103)*1.1</f>
        <v>1.1484000000000001</v>
      </c>
      <c r="F104" s="50" t="s">
        <v>44</v>
      </c>
      <c r="G104" s="51">
        <f>(C$218+C$222)/1000</f>
        <v>39.781500000000001</v>
      </c>
      <c r="H104" s="52" t="s">
        <v>45</v>
      </c>
      <c r="I104" s="53">
        <f>ROUND(E104*G104,2)</f>
        <v>45.69</v>
      </c>
    </row>
    <row r="105" spans="2:13" ht="18" customHeight="1">
      <c r="B105" s="48" t="s">
        <v>46</v>
      </c>
      <c r="C105" s="50">
        <v>186.72</v>
      </c>
      <c r="D105" s="50" t="s">
        <v>47</v>
      </c>
      <c r="E105" s="49">
        <f>ROUND(C104*(C105/1000),2)</f>
        <v>0.72</v>
      </c>
      <c r="F105" s="50" t="s">
        <v>48</v>
      </c>
      <c r="G105" s="50">
        <f>G$23</f>
        <v>10</v>
      </c>
      <c r="H105" s="52" t="s">
        <v>49</v>
      </c>
      <c r="I105" s="53">
        <f>ROUND(E105*G105,2)</f>
        <v>7.2</v>
      </c>
    </row>
    <row r="106" spans="2:13" ht="18" customHeight="1">
      <c r="B106" s="48" t="s">
        <v>50</v>
      </c>
      <c r="C106" s="50">
        <v>0</v>
      </c>
      <c r="D106" s="50" t="s">
        <v>51</v>
      </c>
      <c r="E106" s="49">
        <f>ROUND(C104*(C106/1000),2)</f>
        <v>0</v>
      </c>
      <c r="F106" s="50" t="s">
        <v>48</v>
      </c>
      <c r="G106" s="50">
        <f>G$24</f>
        <v>10</v>
      </c>
      <c r="H106" s="52" t="s">
        <v>49</v>
      </c>
      <c r="I106" s="53">
        <f>ROUND(E106*G106,2)</f>
        <v>0</v>
      </c>
    </row>
    <row r="107" spans="2:13" ht="18" customHeight="1">
      <c r="B107" s="23" t="s">
        <v>36</v>
      </c>
      <c r="C107" s="252" t="s">
        <v>14</v>
      </c>
      <c r="D107" s="252" t="s">
        <v>37</v>
      </c>
      <c r="E107" s="252" t="s">
        <v>38</v>
      </c>
      <c r="F107" s="252" t="s">
        <v>39</v>
      </c>
      <c r="G107" s="252" t="s">
        <v>8</v>
      </c>
      <c r="H107" s="252" t="s">
        <v>22</v>
      </c>
      <c r="I107" s="25" t="s">
        <v>40</v>
      </c>
    </row>
    <row r="108" spans="2:13" ht="18" customHeight="1">
      <c r="B108" s="648" t="s">
        <v>85</v>
      </c>
      <c r="C108" s="655" t="s">
        <v>86</v>
      </c>
      <c r="D108" s="250">
        <f>725*2</f>
        <v>1450</v>
      </c>
      <c r="E108" s="250">
        <v>2400</v>
      </c>
      <c r="F108" s="250">
        <f>ROUND((D108+E108)*2/1000,4)</f>
        <v>7.7</v>
      </c>
      <c r="G108" s="250">
        <v>1</v>
      </c>
      <c r="H108" s="250">
        <v>1.857</v>
      </c>
      <c r="I108" s="59">
        <f>ROUND(F108*G108*H108,3)</f>
        <v>14.298999999999999</v>
      </c>
    </row>
    <row r="109" spans="2:13" ht="18" customHeight="1">
      <c r="B109" s="648"/>
      <c r="C109" s="656"/>
      <c r="D109" s="250"/>
      <c r="E109" s="250"/>
      <c r="F109" s="250">
        <f>ROUND((D109+E109)*2/1000,4)</f>
        <v>0</v>
      </c>
      <c r="G109" s="250"/>
      <c r="H109" s="250">
        <f>H108</f>
        <v>1.857</v>
      </c>
      <c r="I109" s="59">
        <f>ROUND(F109*G109*H109,3)</f>
        <v>0</v>
      </c>
      <c r="K109" s="42"/>
      <c r="L109" s="42"/>
      <c r="M109" s="42"/>
    </row>
    <row r="110" spans="2:13" ht="18" customHeight="1">
      <c r="B110" s="648"/>
      <c r="C110" s="656"/>
      <c r="D110" s="250"/>
      <c r="E110" s="250"/>
      <c r="F110" s="250">
        <f>ROUND((D110+E110)*2/1000,4)</f>
        <v>0</v>
      </c>
      <c r="G110" s="250"/>
      <c r="H110" s="250">
        <f>H109</f>
        <v>1.857</v>
      </c>
      <c r="I110" s="59">
        <f>ROUND(F110*G110*H110,3)</f>
        <v>0</v>
      </c>
      <c r="K110" s="42"/>
      <c r="L110" s="42"/>
      <c r="M110" s="42"/>
    </row>
    <row r="111" spans="2:13" ht="18" customHeight="1">
      <c r="B111" s="648"/>
      <c r="C111" s="657"/>
      <c r="D111" s="250"/>
      <c r="E111" s="250"/>
      <c r="F111" s="250">
        <f>ROUND((D111+E111)*2/1000,4)</f>
        <v>0</v>
      </c>
      <c r="G111" s="250"/>
      <c r="H111" s="250">
        <f>H110</f>
        <v>1.857</v>
      </c>
      <c r="I111" s="59">
        <f>ROUND(F111*G111*H111,3)</f>
        <v>0</v>
      </c>
      <c r="K111" s="42"/>
      <c r="L111" s="42"/>
      <c r="M111" s="42"/>
    </row>
    <row r="112" spans="2:13" ht="18" customHeight="1">
      <c r="B112" s="48" t="s">
        <v>42</v>
      </c>
      <c r="C112" s="49">
        <f>SUMPRODUCT(F108:F111*G108:G111)</f>
        <v>7.7</v>
      </c>
      <c r="D112" s="50" t="s">
        <v>43</v>
      </c>
      <c r="E112" s="49">
        <f>SUM(I108:I111)*1.1</f>
        <v>15.728900000000001</v>
      </c>
      <c r="F112" s="50" t="s">
        <v>44</v>
      </c>
      <c r="G112" s="51">
        <f>(C$218+C$219)/1000</f>
        <v>46.081499999999998</v>
      </c>
      <c r="H112" s="52" t="s">
        <v>45</v>
      </c>
      <c r="I112" s="53">
        <f>ROUND(E112*G112,2)</f>
        <v>724.81</v>
      </c>
      <c r="J112" s="243">
        <f>SUM(G108:G111)</f>
        <v>1</v>
      </c>
      <c r="K112" s="42"/>
      <c r="L112" s="42"/>
      <c r="M112" s="42"/>
    </row>
    <row r="113" spans="2:14" ht="18" customHeight="1">
      <c r="B113" s="48" t="s">
        <v>46</v>
      </c>
      <c r="C113" s="50">
        <v>241.03</v>
      </c>
      <c r="D113" s="50" t="s">
        <v>47</v>
      </c>
      <c r="E113" s="49">
        <f>ROUND(C112*(C113/1000),2)</f>
        <v>1.86</v>
      </c>
      <c r="F113" s="50" t="s">
        <v>48</v>
      </c>
      <c r="G113" s="50">
        <f>G$23</f>
        <v>10</v>
      </c>
      <c r="H113" s="52" t="s">
        <v>49</v>
      </c>
      <c r="I113" s="53">
        <f>E113*G113</f>
        <v>18.600000000000001</v>
      </c>
      <c r="K113" s="42"/>
      <c r="L113" s="42"/>
      <c r="M113" s="42"/>
    </row>
    <row r="114" spans="2:14" ht="18" customHeight="1" thickBot="1">
      <c r="B114" s="48" t="s">
        <v>50</v>
      </c>
      <c r="C114" s="50">
        <v>204.38</v>
      </c>
      <c r="D114" s="50" t="s">
        <v>51</v>
      </c>
      <c r="E114" s="49">
        <f>ROUND(C112*(C114/1000),2)</f>
        <v>1.57</v>
      </c>
      <c r="F114" s="50" t="s">
        <v>48</v>
      </c>
      <c r="G114" s="50">
        <f>G$24</f>
        <v>10</v>
      </c>
      <c r="H114" s="52" t="s">
        <v>49</v>
      </c>
      <c r="I114" s="53">
        <f>E114*G114</f>
        <v>15.700000000000001</v>
      </c>
    </row>
    <row r="115" spans="2:14" ht="18" customHeight="1" thickBot="1">
      <c r="B115" s="23" t="s">
        <v>36</v>
      </c>
      <c r="C115" s="252" t="s">
        <v>14</v>
      </c>
      <c r="D115" s="252" t="s">
        <v>37</v>
      </c>
      <c r="E115" s="252" t="s">
        <v>38</v>
      </c>
      <c r="F115" s="252" t="s">
        <v>39</v>
      </c>
      <c r="G115" s="252" t="s">
        <v>8</v>
      </c>
      <c r="H115" s="252" t="s">
        <v>22</v>
      </c>
      <c r="I115" s="25" t="s">
        <v>40</v>
      </c>
      <c r="J115" s="54" t="s">
        <v>2</v>
      </c>
      <c r="K115" s="55" t="s">
        <v>3</v>
      </c>
      <c r="L115" s="55" t="s">
        <v>61</v>
      </c>
      <c r="M115" s="55" t="s">
        <v>62</v>
      </c>
      <c r="N115" s="70" t="s">
        <v>14</v>
      </c>
    </row>
    <row r="116" spans="2:14" ht="18" customHeight="1">
      <c r="B116" s="648" t="s">
        <v>87</v>
      </c>
      <c r="C116" s="649" t="s">
        <v>88</v>
      </c>
      <c r="D116" s="253">
        <f t="shared" ref="D116:E118" si="18">J116-IF(L116=1,78,IF(L116=2,55.5,IF(L116=3,41,0)))</f>
        <v>684</v>
      </c>
      <c r="E116" s="253">
        <f t="shared" si="18"/>
        <v>2322</v>
      </c>
      <c r="F116" s="250">
        <f>ROUND((D116+E116)*2/1000,4)</f>
        <v>6.0119999999999996</v>
      </c>
      <c r="G116" s="250">
        <v>2</v>
      </c>
      <c r="H116" s="58">
        <v>2.456</v>
      </c>
      <c r="I116" s="59">
        <f>ROUND(F116*G116*H116,3)</f>
        <v>29.530999999999999</v>
      </c>
      <c r="J116" s="60">
        <f>D108/2</f>
        <v>725</v>
      </c>
      <c r="K116" s="61">
        <f>E108</f>
        <v>2400</v>
      </c>
      <c r="L116" s="61">
        <v>3</v>
      </c>
      <c r="M116" s="61">
        <v>1</v>
      </c>
      <c r="N116" s="76" t="s">
        <v>56</v>
      </c>
    </row>
    <row r="117" spans="2:14" ht="18" customHeight="1">
      <c r="B117" s="648"/>
      <c r="C117" s="650"/>
      <c r="D117" s="253">
        <f t="shared" si="18"/>
        <v>0</v>
      </c>
      <c r="E117" s="253">
        <f t="shared" si="18"/>
        <v>0</v>
      </c>
      <c r="F117" s="250">
        <f>ROUND((D117+E117)*2/1000,4)</f>
        <v>0</v>
      </c>
      <c r="G117" s="250">
        <v>0</v>
      </c>
      <c r="H117" s="58">
        <f>H116</f>
        <v>2.456</v>
      </c>
      <c r="I117" s="59">
        <f>ROUND(F117*G117*H117,3)</f>
        <v>0</v>
      </c>
      <c r="J117" s="60"/>
      <c r="K117" s="61"/>
      <c r="L117" s="61"/>
      <c r="M117" s="61"/>
      <c r="N117" s="76" t="s">
        <v>58</v>
      </c>
    </row>
    <row r="118" spans="2:14" ht="18" customHeight="1" thickBot="1">
      <c r="B118" s="648"/>
      <c r="C118" s="651"/>
      <c r="D118" s="253">
        <f t="shared" si="18"/>
        <v>0</v>
      </c>
      <c r="E118" s="253">
        <f t="shared" si="18"/>
        <v>0</v>
      </c>
      <c r="F118" s="250">
        <f>ROUND((D118+E118)*2/1000,4)</f>
        <v>0</v>
      </c>
      <c r="G118" s="250">
        <v>0</v>
      </c>
      <c r="H118" s="58">
        <f>H117</f>
        <v>2.456</v>
      </c>
      <c r="I118" s="59">
        <f>ROUND(F118*G118*H118,3)</f>
        <v>0</v>
      </c>
      <c r="J118" s="64"/>
      <c r="K118" s="65"/>
      <c r="L118" s="65"/>
      <c r="M118" s="65"/>
      <c r="N118" s="80" t="s">
        <v>89</v>
      </c>
    </row>
    <row r="119" spans="2:14" ht="18" customHeight="1">
      <c r="B119" s="48" t="s">
        <v>42</v>
      </c>
      <c r="C119" s="49">
        <f>SUMPRODUCT(F116:F118*G116:G118)</f>
        <v>12.023999999999999</v>
      </c>
      <c r="D119" s="100" t="s">
        <v>43</v>
      </c>
      <c r="E119" s="100">
        <f>SUM(I116:I118)*1.1</f>
        <v>32.484099999999998</v>
      </c>
      <c r="F119" s="50" t="s">
        <v>44</v>
      </c>
      <c r="G119" s="51">
        <f>(C$218+C$219)/1000</f>
        <v>46.081499999999998</v>
      </c>
      <c r="H119" s="52" t="s">
        <v>45</v>
      </c>
      <c r="I119" s="53">
        <f>ROUND(E119*G119,2)</f>
        <v>1496.92</v>
      </c>
      <c r="J119" s="243">
        <f>SUM(G116:G118)</f>
        <v>2</v>
      </c>
      <c r="K119" s="255"/>
      <c r="L119" s="255"/>
      <c r="M119" s="255"/>
    </row>
    <row r="120" spans="2:14" ht="18" customHeight="1">
      <c r="B120" s="48" t="s">
        <v>46</v>
      </c>
      <c r="C120" s="50">
        <v>350.56</v>
      </c>
      <c r="D120" s="100" t="s">
        <v>47</v>
      </c>
      <c r="E120" s="100">
        <f>ROUND(C119*(C120/1000),2)</f>
        <v>4.22</v>
      </c>
      <c r="F120" s="50" t="s">
        <v>48</v>
      </c>
      <c r="G120" s="50">
        <f>G$23</f>
        <v>10</v>
      </c>
      <c r="H120" s="52" t="s">
        <v>49</v>
      </c>
      <c r="I120" s="53">
        <f>E120*G120</f>
        <v>42.199999999999996</v>
      </c>
      <c r="J120" s="255"/>
      <c r="K120" s="255"/>
      <c r="L120" s="255"/>
      <c r="M120" s="255"/>
    </row>
    <row r="121" spans="2:14" ht="18" customHeight="1" thickBot="1">
      <c r="B121" s="48" t="s">
        <v>50</v>
      </c>
      <c r="C121" s="50">
        <v>189.03</v>
      </c>
      <c r="D121" s="100" t="s">
        <v>51</v>
      </c>
      <c r="E121" s="100">
        <f>ROUND(C119*(C121/1000),2)</f>
        <v>2.27</v>
      </c>
      <c r="F121" s="50" t="s">
        <v>48</v>
      </c>
      <c r="G121" s="50">
        <f>G$24</f>
        <v>10</v>
      </c>
      <c r="H121" s="52" t="s">
        <v>49</v>
      </c>
      <c r="I121" s="53">
        <f>E121*G121</f>
        <v>22.7</v>
      </c>
      <c r="J121" s="255"/>
    </row>
    <row r="122" spans="2:14" ht="18" customHeight="1" thickBot="1">
      <c r="B122" s="23" t="s">
        <v>36</v>
      </c>
      <c r="C122" s="252" t="s">
        <v>14</v>
      </c>
      <c r="D122" s="101" t="s">
        <v>37</v>
      </c>
      <c r="E122" s="101" t="s">
        <v>38</v>
      </c>
      <c r="F122" s="252" t="s">
        <v>39</v>
      </c>
      <c r="G122" s="252" t="s">
        <v>8</v>
      </c>
      <c r="H122" s="252" t="s">
        <v>22</v>
      </c>
      <c r="I122" s="25" t="s">
        <v>40</v>
      </c>
      <c r="J122" s="54" t="s">
        <v>2</v>
      </c>
      <c r="K122" s="55" t="s">
        <v>3</v>
      </c>
      <c r="L122" s="55" t="s">
        <v>61</v>
      </c>
      <c r="M122" s="55" t="s">
        <v>62</v>
      </c>
      <c r="N122" s="70" t="s">
        <v>14</v>
      </c>
    </row>
    <row r="123" spans="2:14" ht="18" customHeight="1">
      <c r="B123" s="648" t="s">
        <v>90</v>
      </c>
      <c r="C123" s="649" t="s">
        <v>91</v>
      </c>
      <c r="D123" s="253">
        <f t="shared" ref="D123:E125" si="19">J123-IF(L123=1,78,IF(L123=2,55.5,IF(L123=3,41,0)))</f>
        <v>0</v>
      </c>
      <c r="E123" s="253">
        <f t="shared" si="19"/>
        <v>0</v>
      </c>
      <c r="F123" s="250">
        <f>ROUND((D123+E123)*2/1000,4)</f>
        <v>0</v>
      </c>
      <c r="G123" s="250"/>
      <c r="H123" s="58">
        <v>2.4710000000000001</v>
      </c>
      <c r="I123" s="59">
        <f>ROUND(F123*G123*H123,3)</f>
        <v>0</v>
      </c>
      <c r="J123" s="60"/>
      <c r="K123" s="61"/>
      <c r="L123" s="61"/>
      <c r="M123" s="61"/>
      <c r="N123" s="76" t="s">
        <v>56</v>
      </c>
    </row>
    <row r="124" spans="2:14" ht="18" customHeight="1">
      <c r="B124" s="648"/>
      <c r="C124" s="650"/>
      <c r="D124" s="253">
        <f t="shared" si="19"/>
        <v>0</v>
      </c>
      <c r="E124" s="253">
        <f t="shared" si="19"/>
        <v>0</v>
      </c>
      <c r="F124" s="250">
        <f>ROUND((D124+E124)*2/1000,4)</f>
        <v>0</v>
      </c>
      <c r="G124" s="250"/>
      <c r="H124" s="58">
        <f>H123</f>
        <v>2.4710000000000001</v>
      </c>
      <c r="I124" s="59">
        <f>ROUND(F124*G124*H124,3)</f>
        <v>0</v>
      </c>
      <c r="J124" s="60"/>
      <c r="K124" s="61"/>
      <c r="L124" s="61"/>
      <c r="M124" s="61"/>
      <c r="N124" s="76" t="s">
        <v>58</v>
      </c>
    </row>
    <row r="125" spans="2:14" ht="18" customHeight="1" thickBot="1">
      <c r="B125" s="648"/>
      <c r="C125" s="651"/>
      <c r="D125" s="253">
        <f t="shared" si="19"/>
        <v>0</v>
      </c>
      <c r="E125" s="253">
        <f t="shared" si="19"/>
        <v>0</v>
      </c>
      <c r="F125" s="250">
        <f>ROUND((D125+E125)*2/1000,4)</f>
        <v>0</v>
      </c>
      <c r="G125" s="250"/>
      <c r="H125" s="58">
        <f>H124</f>
        <v>2.4710000000000001</v>
      </c>
      <c r="I125" s="59">
        <f>ROUND(F125*G125*H125,3)</f>
        <v>0</v>
      </c>
      <c r="J125" s="64"/>
      <c r="K125" s="65"/>
      <c r="L125" s="65"/>
      <c r="M125" s="65"/>
      <c r="N125" s="80" t="s">
        <v>89</v>
      </c>
    </row>
    <row r="126" spans="2:14" ht="18" customHeight="1">
      <c r="B126" s="48" t="s">
        <v>42</v>
      </c>
      <c r="C126" s="49">
        <f>SUMPRODUCT(F123:F125*G123:G125)</f>
        <v>0</v>
      </c>
      <c r="D126" s="50" t="s">
        <v>43</v>
      </c>
      <c r="E126" s="49">
        <f>SUM(I123:I125)*1.1</f>
        <v>0</v>
      </c>
      <c r="F126" s="50" t="s">
        <v>44</v>
      </c>
      <c r="G126" s="51">
        <f>(C$218+C$221)/1000</f>
        <v>46.081499999999998</v>
      </c>
      <c r="H126" s="52" t="s">
        <v>45</v>
      </c>
      <c r="I126" s="53">
        <f>ROUND(E126*G126,2)</f>
        <v>0</v>
      </c>
      <c r="J126" s="243">
        <f>SUM(G123:G125)</f>
        <v>0</v>
      </c>
      <c r="K126" s="255"/>
      <c r="L126" s="255"/>
      <c r="M126" s="255"/>
    </row>
    <row r="127" spans="2:14" ht="18" customHeight="1">
      <c r="B127" s="48" t="s">
        <v>46</v>
      </c>
      <c r="C127" s="50">
        <v>236.53</v>
      </c>
      <c r="D127" s="50" t="s">
        <v>47</v>
      </c>
      <c r="E127" s="49">
        <f>ROUND(C126*(C127/1000),2)</f>
        <v>0</v>
      </c>
      <c r="F127" s="50" t="s">
        <v>48</v>
      </c>
      <c r="G127" s="50">
        <f>G$23</f>
        <v>10</v>
      </c>
      <c r="H127" s="52" t="s">
        <v>49</v>
      </c>
      <c r="I127" s="53">
        <f>E127*G127</f>
        <v>0</v>
      </c>
      <c r="J127" s="255"/>
      <c r="K127" s="255"/>
      <c r="L127" s="255"/>
      <c r="M127" s="255"/>
    </row>
    <row r="128" spans="2:14" ht="18" customHeight="1" thickBot="1">
      <c r="B128" s="48" t="s">
        <v>50</v>
      </c>
      <c r="C128" s="50">
        <v>311.02999999999997</v>
      </c>
      <c r="D128" s="50" t="s">
        <v>51</v>
      </c>
      <c r="E128" s="49">
        <f>ROUND(C126*(C128/1000),2)</f>
        <v>0</v>
      </c>
      <c r="F128" s="50" t="s">
        <v>48</v>
      </c>
      <c r="G128" s="50">
        <f>G$24</f>
        <v>10</v>
      </c>
      <c r="H128" s="52" t="s">
        <v>49</v>
      </c>
      <c r="I128" s="53">
        <f>E128*G128</f>
        <v>0</v>
      </c>
      <c r="J128" s="255"/>
    </row>
    <row r="129" spans="2:14" ht="18" customHeight="1" thickBot="1">
      <c r="B129" s="23" t="s">
        <v>36</v>
      </c>
      <c r="C129" s="252" t="s">
        <v>14</v>
      </c>
      <c r="D129" s="252" t="s">
        <v>37</v>
      </c>
      <c r="E129" s="252" t="s">
        <v>71</v>
      </c>
      <c r="F129" s="252" t="s">
        <v>38</v>
      </c>
      <c r="G129" s="252" t="s">
        <v>72</v>
      </c>
      <c r="H129" s="252" t="s">
        <v>22</v>
      </c>
      <c r="I129" s="25" t="s">
        <v>40</v>
      </c>
      <c r="J129" s="54" t="s">
        <v>2</v>
      </c>
      <c r="K129" s="55" t="s">
        <v>3</v>
      </c>
      <c r="L129" s="55" t="s">
        <v>61</v>
      </c>
      <c r="M129" s="55" t="s">
        <v>62</v>
      </c>
      <c r="N129" s="70" t="s">
        <v>14</v>
      </c>
    </row>
    <row r="130" spans="2:14" ht="18" customHeight="1">
      <c r="B130" s="648" t="s">
        <v>92</v>
      </c>
      <c r="C130" s="649" t="s">
        <v>93</v>
      </c>
      <c r="D130" s="253">
        <f>J130-IF(L130=1,81,IF(L130=2,58.5,IF(L130=3,36,0)))</f>
        <v>0</v>
      </c>
      <c r="E130" s="253">
        <v>0</v>
      </c>
      <c r="F130" s="253">
        <f>K130-IF(M130=1,81,IF(M130=2,58.5,IF(M130=3,36,0)))</f>
        <v>0</v>
      </c>
      <c r="G130" s="250">
        <v>0</v>
      </c>
      <c r="H130" s="250">
        <v>2.0489999999999999</v>
      </c>
      <c r="I130" s="59">
        <f>ROUND((D130*E130+F130*G130)/1000*H130,3)</f>
        <v>0</v>
      </c>
      <c r="J130" s="60"/>
      <c r="K130" s="61"/>
      <c r="L130" s="61"/>
      <c r="M130" s="61"/>
      <c r="N130" s="76" t="s">
        <v>56</v>
      </c>
    </row>
    <row r="131" spans="2:14" ht="18" customHeight="1">
      <c r="B131" s="648"/>
      <c r="C131" s="650"/>
      <c r="D131" s="253">
        <f>J131-IF(L131=1,81,IF(L131=2,58.5,IF(L131=3,36,0)))</f>
        <v>0</v>
      </c>
      <c r="E131" s="253">
        <v>0</v>
      </c>
      <c r="F131" s="253">
        <f>K131-IF(M131=1,81,IF(M131=2,58.5,IF(M131=3,36,0)))</f>
        <v>0</v>
      </c>
      <c r="G131" s="250"/>
      <c r="H131" s="250">
        <f>H130</f>
        <v>2.0489999999999999</v>
      </c>
      <c r="I131" s="59">
        <f>ROUND((D131*E131+F131*G131)/1000*H131,3)</f>
        <v>0</v>
      </c>
      <c r="J131" s="60"/>
      <c r="K131" s="61"/>
      <c r="L131" s="61"/>
      <c r="M131" s="61"/>
      <c r="N131" s="76" t="s">
        <v>58</v>
      </c>
    </row>
    <row r="132" spans="2:14" ht="18" customHeight="1" thickBot="1">
      <c r="B132" s="648"/>
      <c r="C132" s="651"/>
      <c r="D132" s="253">
        <f>J132-IF(L132=1,81,IF(L132=2,58.5,IF(L132=3,36,0)))</f>
        <v>0</v>
      </c>
      <c r="E132" s="253"/>
      <c r="F132" s="253">
        <f>K132-IF(M132=1,81,IF(M132=2,58.5,IF(M132=3,36,0)))</f>
        <v>0</v>
      </c>
      <c r="G132" s="250"/>
      <c r="H132" s="250">
        <f>H131</f>
        <v>2.0489999999999999</v>
      </c>
      <c r="I132" s="59">
        <f>ROUND((D132*E132+F132*G132)/1000*H132,3)</f>
        <v>0</v>
      </c>
      <c r="J132" s="64"/>
      <c r="K132" s="65"/>
      <c r="L132" s="65"/>
      <c r="M132" s="65"/>
      <c r="N132" s="80" t="s">
        <v>89</v>
      </c>
    </row>
    <row r="133" spans="2:14" ht="18" customHeight="1">
      <c r="B133" s="48" t="s">
        <v>42</v>
      </c>
      <c r="C133" s="49">
        <f>SUMPRODUCT(D130:D132*E130:E132+F130:F132*G130:G132)/1000</f>
        <v>0</v>
      </c>
      <c r="D133" s="50" t="s">
        <v>43</v>
      </c>
      <c r="E133" s="49">
        <f>SUM(I130:I132)*1.1</f>
        <v>0</v>
      </c>
      <c r="F133" s="50" t="s">
        <v>44</v>
      </c>
      <c r="G133" s="51">
        <f>(C$218+C$219)/1000</f>
        <v>46.081499999999998</v>
      </c>
      <c r="H133" s="52" t="s">
        <v>45</v>
      </c>
      <c r="I133" s="53">
        <f>ROUND(E133*G133,2)</f>
        <v>0</v>
      </c>
      <c r="J133" s="243">
        <f>SUM(G130:G132)+SUM(E130:E132)</f>
        <v>0</v>
      </c>
    </row>
    <row r="134" spans="2:14" ht="18" customHeight="1">
      <c r="B134" s="48" t="s">
        <v>46</v>
      </c>
      <c r="C134" s="50">
        <v>298.42</v>
      </c>
      <c r="D134" s="50" t="s">
        <v>47</v>
      </c>
      <c r="E134" s="49">
        <f>ROUND(C133*(C134/1000),2)</f>
        <v>0</v>
      </c>
      <c r="F134" s="50" t="s">
        <v>48</v>
      </c>
      <c r="G134" s="50">
        <f>G$23</f>
        <v>10</v>
      </c>
      <c r="H134" s="52" t="s">
        <v>49</v>
      </c>
      <c r="I134" s="53">
        <f>ROUND(E134*G134,2)</f>
        <v>0</v>
      </c>
    </row>
    <row r="135" spans="2:14" ht="18" customHeight="1">
      <c r="B135" s="48" t="s">
        <v>50</v>
      </c>
      <c r="C135" s="50">
        <v>208.08</v>
      </c>
      <c r="D135" s="50" t="s">
        <v>51</v>
      </c>
      <c r="E135" s="49">
        <f>ROUND(C133*(C135/1000),2)</f>
        <v>0</v>
      </c>
      <c r="F135" s="50" t="s">
        <v>48</v>
      </c>
      <c r="G135" s="50">
        <f>G$24</f>
        <v>10</v>
      </c>
      <c r="H135" s="52" t="s">
        <v>49</v>
      </c>
      <c r="I135" s="53">
        <f>ROUND(E135*G135,2)</f>
        <v>0</v>
      </c>
    </row>
    <row r="136" spans="2:14" ht="18" customHeight="1">
      <c r="B136" s="23" t="s">
        <v>36</v>
      </c>
      <c r="C136" s="252" t="s">
        <v>14</v>
      </c>
      <c r="D136" s="652" t="s">
        <v>38</v>
      </c>
      <c r="E136" s="652"/>
      <c r="F136" s="652"/>
      <c r="G136" s="252" t="s">
        <v>72</v>
      </c>
      <c r="H136" s="252" t="s">
        <v>22</v>
      </c>
      <c r="I136" s="25" t="s">
        <v>40</v>
      </c>
    </row>
    <row r="137" spans="2:14" ht="18" customHeight="1">
      <c r="B137" s="648" t="s">
        <v>94</v>
      </c>
      <c r="C137" s="649" t="s">
        <v>95</v>
      </c>
      <c r="D137" s="654">
        <f>E116</f>
        <v>2322</v>
      </c>
      <c r="E137" s="646"/>
      <c r="F137" s="646"/>
      <c r="G137" s="250">
        <v>1</v>
      </c>
      <c r="H137" s="250">
        <v>1.3360000000000001</v>
      </c>
      <c r="I137" s="59">
        <f>ROUND(D137*H137*G137/1000,3)</f>
        <v>3.1019999999999999</v>
      </c>
    </row>
    <row r="138" spans="2:14" ht="18" customHeight="1">
      <c r="B138" s="648"/>
      <c r="C138" s="651"/>
      <c r="D138" s="654"/>
      <c r="E138" s="646"/>
      <c r="F138" s="646"/>
      <c r="G138" s="250"/>
      <c r="H138" s="250">
        <f>H137</f>
        <v>1.3360000000000001</v>
      </c>
      <c r="I138" s="59">
        <f>ROUND(D138*H138*G138/1000,3)</f>
        <v>0</v>
      </c>
    </row>
    <row r="139" spans="2:14" ht="18" customHeight="1">
      <c r="B139" s="48" t="s">
        <v>42</v>
      </c>
      <c r="C139" s="49">
        <f>SUMPRODUCT(D137:F138*G137:G138)/1000</f>
        <v>2.3220000000000001</v>
      </c>
      <c r="D139" s="50" t="s">
        <v>43</v>
      </c>
      <c r="E139" s="49">
        <f>SUM(I137:I138)*1.1</f>
        <v>3.4122000000000003</v>
      </c>
      <c r="F139" s="50" t="s">
        <v>44</v>
      </c>
      <c r="G139" s="51">
        <f>(C$218+C$219)/1000</f>
        <v>46.081499999999998</v>
      </c>
      <c r="H139" s="52" t="s">
        <v>45</v>
      </c>
      <c r="I139" s="53">
        <f>ROUND(E139*G139,2)</f>
        <v>157.24</v>
      </c>
    </row>
    <row r="140" spans="2:14" ht="18" customHeight="1">
      <c r="B140" s="48" t="s">
        <v>46</v>
      </c>
      <c r="C140" s="50">
        <v>143.24</v>
      </c>
      <c r="D140" s="50" t="s">
        <v>47</v>
      </c>
      <c r="E140" s="49">
        <f>ROUND(C139*(C140/1000),2)</f>
        <v>0.33</v>
      </c>
      <c r="F140" s="50" t="s">
        <v>48</v>
      </c>
      <c r="G140" s="50">
        <f>G$23</f>
        <v>10</v>
      </c>
      <c r="H140" s="52" t="s">
        <v>49</v>
      </c>
      <c r="I140" s="53">
        <f>E140*G140</f>
        <v>3.3000000000000003</v>
      </c>
    </row>
    <row r="141" spans="2:14" ht="18" customHeight="1">
      <c r="B141" s="48" t="s">
        <v>50</v>
      </c>
      <c r="C141" s="50">
        <v>85.04</v>
      </c>
      <c r="D141" s="50" t="s">
        <v>51</v>
      </c>
      <c r="E141" s="49">
        <f>ROUND(C139*(C141/1000),2)</f>
        <v>0.2</v>
      </c>
      <c r="F141" s="50" t="s">
        <v>48</v>
      </c>
      <c r="G141" s="50">
        <f>G$24</f>
        <v>10</v>
      </c>
      <c r="H141" s="52" t="s">
        <v>49</v>
      </c>
      <c r="I141" s="53">
        <f>E141*G141</f>
        <v>2</v>
      </c>
    </row>
    <row r="142" spans="2:14" ht="18" customHeight="1">
      <c r="B142" s="23" t="s">
        <v>36</v>
      </c>
      <c r="C142" s="252" t="s">
        <v>14</v>
      </c>
      <c r="D142" s="252" t="s">
        <v>37</v>
      </c>
      <c r="E142" s="252" t="s">
        <v>38</v>
      </c>
      <c r="F142" s="252" t="s">
        <v>39</v>
      </c>
      <c r="G142" s="252" t="s">
        <v>8</v>
      </c>
      <c r="H142" s="252" t="s">
        <v>22</v>
      </c>
      <c r="I142" s="25" t="s">
        <v>40</v>
      </c>
    </row>
    <row r="143" spans="2:14" ht="18" customHeight="1">
      <c r="B143" s="648" t="s">
        <v>96</v>
      </c>
      <c r="C143" s="653" t="s">
        <v>83</v>
      </c>
      <c r="D143" s="253">
        <f t="shared" ref="D143:E145" si="20">D116-154</f>
        <v>530</v>
      </c>
      <c r="E143" s="253">
        <f t="shared" si="20"/>
        <v>2168</v>
      </c>
      <c r="F143" s="253">
        <f>(D143+E143)*2/1000</f>
        <v>5.3959999999999999</v>
      </c>
      <c r="G143" s="250">
        <f>G116</f>
        <v>2</v>
      </c>
      <c r="H143" s="250">
        <v>0.27100000000000002</v>
      </c>
      <c r="I143" s="59">
        <f>ROUND((F143*G143)*H143,3)</f>
        <v>2.9249999999999998</v>
      </c>
    </row>
    <row r="144" spans="2:14" ht="18" customHeight="1">
      <c r="B144" s="648"/>
      <c r="C144" s="650"/>
      <c r="D144" s="253">
        <f t="shared" si="20"/>
        <v>-154</v>
      </c>
      <c r="E144" s="253">
        <f t="shared" si="20"/>
        <v>-154</v>
      </c>
      <c r="F144" s="253">
        <f>(D144+E144)*2/1000</f>
        <v>-0.61599999999999999</v>
      </c>
      <c r="G144" s="250">
        <f>G117</f>
        <v>0</v>
      </c>
      <c r="H144" s="250">
        <f>H143</f>
        <v>0.27100000000000002</v>
      </c>
      <c r="I144" s="59">
        <f>ROUND((F144*G144)*H144,3)</f>
        <v>0</v>
      </c>
    </row>
    <row r="145" spans="2:14" ht="18" customHeight="1">
      <c r="B145" s="648"/>
      <c r="C145" s="651"/>
      <c r="D145" s="253">
        <f t="shared" si="20"/>
        <v>-154</v>
      </c>
      <c r="E145" s="253">
        <f t="shared" si="20"/>
        <v>-154</v>
      </c>
      <c r="F145" s="253">
        <f>(D145+E145)*2/1000</f>
        <v>-0.61599999999999999</v>
      </c>
      <c r="G145" s="250">
        <f>G118</f>
        <v>0</v>
      </c>
      <c r="H145" s="250">
        <f>H144</f>
        <v>0.27100000000000002</v>
      </c>
      <c r="I145" s="59">
        <f>ROUND((F145*G145)*H145,3)</f>
        <v>0</v>
      </c>
    </row>
    <row r="146" spans="2:14" ht="18" customHeight="1">
      <c r="B146" s="48" t="s">
        <v>42</v>
      </c>
      <c r="C146" s="49">
        <f>SUMPRODUCT(F143:F145*G143:G145)</f>
        <v>10.792</v>
      </c>
      <c r="D146" s="50" t="s">
        <v>43</v>
      </c>
      <c r="E146" s="49">
        <f>SUM(I143:I145)*1.1</f>
        <v>3.2175000000000002</v>
      </c>
      <c r="F146" s="50" t="s">
        <v>44</v>
      </c>
      <c r="G146" s="51">
        <f>(C$218+C$222)/1000</f>
        <v>39.781500000000001</v>
      </c>
      <c r="H146" s="52" t="s">
        <v>45</v>
      </c>
      <c r="I146" s="53">
        <f>ROUND(E146*G146,2)</f>
        <v>128</v>
      </c>
    </row>
    <row r="147" spans="2:14" ht="18" customHeight="1">
      <c r="B147" s="48" t="s">
        <v>46</v>
      </c>
      <c r="C147" s="50">
        <v>186.72</v>
      </c>
      <c r="D147" s="50" t="s">
        <v>47</v>
      </c>
      <c r="E147" s="49">
        <f>ROUND(C146*(C147/1000),2)</f>
        <v>2.02</v>
      </c>
      <c r="F147" s="50" t="s">
        <v>48</v>
      </c>
      <c r="G147" s="50">
        <f>G$23</f>
        <v>10</v>
      </c>
      <c r="H147" s="52" t="s">
        <v>49</v>
      </c>
      <c r="I147" s="53">
        <f>E147*G147</f>
        <v>20.2</v>
      </c>
      <c r="K147" s="42"/>
      <c r="L147" s="42"/>
      <c r="M147" s="42"/>
    </row>
    <row r="148" spans="2:14" ht="18" customHeight="1">
      <c r="B148" s="48" t="s">
        <v>50</v>
      </c>
      <c r="C148" s="50">
        <v>0</v>
      </c>
      <c r="D148" s="50" t="s">
        <v>51</v>
      </c>
      <c r="E148" s="49">
        <f>ROUND(C146*(C148/1000),2)</f>
        <v>0</v>
      </c>
      <c r="F148" s="50" t="s">
        <v>48</v>
      </c>
      <c r="G148" s="50">
        <f>G$24</f>
        <v>10</v>
      </c>
      <c r="H148" s="52" t="s">
        <v>49</v>
      </c>
      <c r="I148" s="53">
        <f>E148*G148</f>
        <v>0</v>
      </c>
      <c r="K148" s="42"/>
      <c r="L148" s="42"/>
      <c r="M148" s="42"/>
    </row>
    <row r="149" spans="2:14" ht="18" customHeight="1">
      <c r="B149" s="23" t="s">
        <v>36</v>
      </c>
      <c r="C149" s="252" t="s">
        <v>14</v>
      </c>
      <c r="D149" s="252" t="s">
        <v>37</v>
      </c>
      <c r="E149" s="252" t="s">
        <v>38</v>
      </c>
      <c r="F149" s="252" t="s">
        <v>39</v>
      </c>
      <c r="G149" s="252" t="s">
        <v>8</v>
      </c>
      <c r="H149" s="252" t="s">
        <v>22</v>
      </c>
      <c r="I149" s="25" t="s">
        <v>40</v>
      </c>
      <c r="K149" s="42"/>
      <c r="L149" s="42"/>
      <c r="M149" s="42"/>
    </row>
    <row r="150" spans="2:14" ht="18" customHeight="1">
      <c r="B150" s="648" t="s">
        <v>97</v>
      </c>
      <c r="C150" s="653" t="s">
        <v>83</v>
      </c>
      <c r="D150" s="253">
        <f t="shared" ref="D150:E152" si="21">D123-160</f>
        <v>-160</v>
      </c>
      <c r="E150" s="253">
        <f t="shared" si="21"/>
        <v>-160</v>
      </c>
      <c r="F150" s="253">
        <f>(D150+E150)*2/1000</f>
        <v>-0.64</v>
      </c>
      <c r="G150" s="250">
        <f>G123</f>
        <v>0</v>
      </c>
      <c r="H150" s="250">
        <f>H145</f>
        <v>0.27100000000000002</v>
      </c>
      <c r="I150" s="59">
        <f>ROUND((F150*G150)*H150,3)</f>
        <v>0</v>
      </c>
      <c r="K150" s="42"/>
      <c r="L150" s="42"/>
      <c r="M150" s="42"/>
    </row>
    <row r="151" spans="2:14" ht="18" customHeight="1">
      <c r="B151" s="648"/>
      <c r="C151" s="650"/>
      <c r="D151" s="253">
        <f t="shared" si="21"/>
        <v>-160</v>
      </c>
      <c r="E151" s="253">
        <f t="shared" si="21"/>
        <v>-160</v>
      </c>
      <c r="F151" s="253">
        <f>(D151+E151)*2/1000</f>
        <v>-0.64</v>
      </c>
      <c r="G151" s="250">
        <f>G124</f>
        <v>0</v>
      </c>
      <c r="H151" s="250">
        <f>H150</f>
        <v>0.27100000000000002</v>
      </c>
      <c r="I151" s="59">
        <f>ROUND((F151*G151)*H151,3)</f>
        <v>0</v>
      </c>
      <c r="K151" s="42"/>
      <c r="L151" s="42"/>
      <c r="M151" s="42"/>
    </row>
    <row r="152" spans="2:14" ht="18" customHeight="1">
      <c r="B152" s="648"/>
      <c r="C152" s="651"/>
      <c r="D152" s="253">
        <f t="shared" si="21"/>
        <v>-160</v>
      </c>
      <c r="E152" s="253">
        <f t="shared" si="21"/>
        <v>-160</v>
      </c>
      <c r="F152" s="253">
        <f>(D152+E152)*2/1000</f>
        <v>-0.64</v>
      </c>
      <c r="G152" s="250">
        <f>G125</f>
        <v>0</v>
      </c>
      <c r="H152" s="250">
        <f>H151</f>
        <v>0.27100000000000002</v>
      </c>
      <c r="I152" s="59">
        <f>ROUND((F152*G152)*H152,3)</f>
        <v>0</v>
      </c>
      <c r="K152" s="42"/>
      <c r="L152" s="42"/>
      <c r="M152" s="42"/>
    </row>
    <row r="153" spans="2:14" ht="18" customHeight="1">
      <c r="B153" s="48" t="s">
        <v>42</v>
      </c>
      <c r="C153" s="49">
        <f>SUMPRODUCT(F150:F152*G150:G152)</f>
        <v>0</v>
      </c>
      <c r="D153" s="50" t="s">
        <v>43</v>
      </c>
      <c r="E153" s="49">
        <f>SUM(I150:I152)*1.1</f>
        <v>0</v>
      </c>
      <c r="F153" s="50" t="s">
        <v>44</v>
      </c>
      <c r="G153" s="51">
        <f>(C$218+C$222)/1000</f>
        <v>39.781500000000001</v>
      </c>
      <c r="H153" s="52" t="s">
        <v>45</v>
      </c>
      <c r="I153" s="53">
        <f>ROUND(E153*G153,2)</f>
        <v>0</v>
      </c>
      <c r="K153" s="42"/>
      <c r="L153" s="42"/>
      <c r="M153" s="42"/>
    </row>
    <row r="154" spans="2:14" ht="18" customHeight="1">
      <c r="B154" s="48" t="s">
        <v>46</v>
      </c>
      <c r="C154" s="50">
        <v>186.72</v>
      </c>
      <c r="D154" s="50" t="s">
        <v>47</v>
      </c>
      <c r="E154" s="49">
        <f>ROUND(C153*(C154/1000),2)</f>
        <v>0</v>
      </c>
      <c r="F154" s="50" t="s">
        <v>48</v>
      </c>
      <c r="G154" s="50">
        <f>G$23</f>
        <v>10</v>
      </c>
      <c r="H154" s="52" t="s">
        <v>49</v>
      </c>
      <c r="I154" s="53">
        <f>E154*G154</f>
        <v>0</v>
      </c>
    </row>
    <row r="155" spans="2:14" ht="18" customHeight="1" thickBot="1">
      <c r="B155" s="48" t="s">
        <v>50</v>
      </c>
      <c r="C155" s="50">
        <v>0</v>
      </c>
      <c r="D155" s="50" t="s">
        <v>51</v>
      </c>
      <c r="E155" s="49">
        <f>ROUND(C153*(C155/1000),2)</f>
        <v>0</v>
      </c>
      <c r="F155" s="50" t="s">
        <v>48</v>
      </c>
      <c r="G155" s="50">
        <f>G$24</f>
        <v>10</v>
      </c>
      <c r="H155" s="52" t="s">
        <v>49</v>
      </c>
      <c r="I155" s="53">
        <f>E155*G155</f>
        <v>0</v>
      </c>
    </row>
    <row r="156" spans="2:14" ht="18" customHeight="1" thickBot="1">
      <c r="B156" s="23" t="s">
        <v>36</v>
      </c>
      <c r="C156" s="252" t="s">
        <v>14</v>
      </c>
      <c r="D156" s="252" t="s">
        <v>37</v>
      </c>
      <c r="E156" s="252" t="s">
        <v>38</v>
      </c>
      <c r="F156" s="252" t="s">
        <v>39</v>
      </c>
      <c r="G156" s="252" t="s">
        <v>8</v>
      </c>
      <c r="H156" s="252" t="s">
        <v>22</v>
      </c>
      <c r="I156" s="25" t="s">
        <v>40</v>
      </c>
      <c r="J156" s="54" t="s">
        <v>2</v>
      </c>
      <c r="K156" s="55" t="s">
        <v>3</v>
      </c>
      <c r="L156" s="55" t="s">
        <v>61</v>
      </c>
      <c r="M156" s="55" t="s">
        <v>62</v>
      </c>
      <c r="N156" s="70" t="s">
        <v>14</v>
      </c>
    </row>
    <row r="157" spans="2:14" ht="18" customHeight="1">
      <c r="B157" s="648" t="s">
        <v>98</v>
      </c>
      <c r="C157" s="649" t="s">
        <v>99</v>
      </c>
      <c r="D157" s="253">
        <f t="shared" ref="D157:E162" si="22">J157-IF(L157=1,90,IF(L157=2,67.5,IF(L157=3,45,0)))</f>
        <v>0</v>
      </c>
      <c r="E157" s="253">
        <f t="shared" si="22"/>
        <v>0</v>
      </c>
      <c r="F157" s="253">
        <f t="shared" ref="F157:F162" si="23">2*(D157+E157)/1000</f>
        <v>0</v>
      </c>
      <c r="G157" s="250">
        <v>0</v>
      </c>
      <c r="H157" s="250">
        <f>H68</f>
        <v>0.224</v>
      </c>
      <c r="I157" s="59">
        <f t="shared" ref="I157:I162" si="24">ROUND((F157*G157)*H157,3)</f>
        <v>0</v>
      </c>
      <c r="J157" s="60"/>
      <c r="K157" s="61"/>
      <c r="L157" s="61"/>
      <c r="M157" s="61"/>
      <c r="N157" s="76" t="s">
        <v>56</v>
      </c>
    </row>
    <row r="158" spans="2:14" ht="18" customHeight="1">
      <c r="B158" s="648"/>
      <c r="C158" s="650"/>
      <c r="D158" s="253">
        <f t="shared" si="22"/>
        <v>0</v>
      </c>
      <c r="E158" s="253">
        <f t="shared" si="22"/>
        <v>0</v>
      </c>
      <c r="F158" s="253">
        <f t="shared" si="23"/>
        <v>0</v>
      </c>
      <c r="G158" s="250"/>
      <c r="H158" s="250">
        <f>H157</f>
        <v>0.224</v>
      </c>
      <c r="I158" s="59">
        <f t="shared" si="24"/>
        <v>0</v>
      </c>
      <c r="J158" s="60"/>
      <c r="K158" s="61"/>
      <c r="L158" s="61"/>
      <c r="M158" s="61"/>
      <c r="N158" s="76" t="s">
        <v>58</v>
      </c>
    </row>
    <row r="159" spans="2:14" ht="18" customHeight="1">
      <c r="B159" s="648"/>
      <c r="C159" s="650"/>
      <c r="D159" s="253">
        <f t="shared" si="22"/>
        <v>0</v>
      </c>
      <c r="E159" s="253">
        <f t="shared" si="22"/>
        <v>0</v>
      </c>
      <c r="F159" s="253">
        <f t="shared" si="23"/>
        <v>0</v>
      </c>
      <c r="G159" s="250"/>
      <c r="H159" s="250">
        <f>H158</f>
        <v>0.224</v>
      </c>
      <c r="I159" s="59">
        <f t="shared" si="24"/>
        <v>0</v>
      </c>
      <c r="J159" s="60"/>
      <c r="K159" s="61"/>
      <c r="L159" s="61"/>
      <c r="M159" s="61"/>
      <c r="N159" s="76" t="s">
        <v>60</v>
      </c>
    </row>
    <row r="160" spans="2:14" ht="18" customHeight="1">
      <c r="B160" s="648"/>
      <c r="C160" s="650"/>
      <c r="D160" s="253">
        <f t="shared" si="22"/>
        <v>0</v>
      </c>
      <c r="E160" s="253">
        <f t="shared" si="22"/>
        <v>0</v>
      </c>
      <c r="F160" s="253">
        <f t="shared" si="23"/>
        <v>0</v>
      </c>
      <c r="G160" s="250">
        <v>0</v>
      </c>
      <c r="H160" s="77">
        <f>H159</f>
        <v>0.224</v>
      </c>
      <c r="I160" s="59">
        <f t="shared" si="24"/>
        <v>0</v>
      </c>
      <c r="J160" s="60"/>
      <c r="K160" s="61"/>
      <c r="L160" s="61"/>
      <c r="M160" s="61"/>
      <c r="N160" s="76"/>
    </row>
    <row r="161" spans="2:16" ht="18" customHeight="1">
      <c r="B161" s="648"/>
      <c r="C161" s="650"/>
      <c r="D161" s="253">
        <f t="shared" si="22"/>
        <v>0</v>
      </c>
      <c r="E161" s="253">
        <f t="shared" si="22"/>
        <v>0</v>
      </c>
      <c r="F161" s="253">
        <f t="shared" si="23"/>
        <v>0</v>
      </c>
      <c r="G161" s="250"/>
      <c r="H161" s="250">
        <f>H160</f>
        <v>0.224</v>
      </c>
      <c r="I161" s="59">
        <f t="shared" si="24"/>
        <v>0</v>
      </c>
      <c r="J161" s="60"/>
      <c r="K161" s="61"/>
      <c r="L161" s="61"/>
      <c r="M161" s="61"/>
      <c r="N161" s="76"/>
    </row>
    <row r="162" spans="2:16" ht="18" customHeight="1" thickBot="1">
      <c r="B162" s="648"/>
      <c r="C162" s="651"/>
      <c r="D162" s="253">
        <f t="shared" si="22"/>
        <v>0</v>
      </c>
      <c r="E162" s="253">
        <f t="shared" si="22"/>
        <v>0</v>
      </c>
      <c r="F162" s="253">
        <f t="shared" si="23"/>
        <v>0</v>
      </c>
      <c r="G162" s="250"/>
      <c r="H162" s="250">
        <f>H160</f>
        <v>0.224</v>
      </c>
      <c r="I162" s="59">
        <f t="shared" si="24"/>
        <v>0</v>
      </c>
      <c r="J162" s="64"/>
      <c r="K162" s="65"/>
      <c r="L162" s="65"/>
      <c r="M162" s="65"/>
      <c r="N162" s="80"/>
    </row>
    <row r="163" spans="2:16" ht="18" customHeight="1">
      <c r="B163" s="48" t="s">
        <v>42</v>
      </c>
      <c r="C163" s="49">
        <f>SUMPRODUCT(F157:F162*G157:G162)</f>
        <v>0</v>
      </c>
      <c r="D163" s="50" t="s">
        <v>43</v>
      </c>
      <c r="E163" s="49">
        <f>SUM(I157:I162)*1.1</f>
        <v>0</v>
      </c>
      <c r="F163" s="50" t="s">
        <v>44</v>
      </c>
      <c r="G163" s="51">
        <f>(C$218+C$222)/1000</f>
        <v>39.781500000000001</v>
      </c>
      <c r="H163" s="52" t="s">
        <v>45</v>
      </c>
      <c r="I163" s="53">
        <f>ROUND(E163*G163,2)</f>
        <v>0</v>
      </c>
      <c r="J163" s="102"/>
      <c r="K163" s="102"/>
      <c r="L163" s="102"/>
      <c r="M163" s="102"/>
      <c r="O163" s="102"/>
      <c r="P163" s="102"/>
    </row>
    <row r="164" spans="2:16" ht="18" customHeight="1">
      <c r="B164" s="48" t="s">
        <v>46</v>
      </c>
      <c r="C164" s="50">
        <v>181.72</v>
      </c>
      <c r="D164" s="50" t="s">
        <v>47</v>
      </c>
      <c r="E164" s="49">
        <f>ROUND(C163*(C164/1000),2)</f>
        <v>0</v>
      </c>
      <c r="F164" s="50" t="s">
        <v>48</v>
      </c>
      <c r="G164" s="50">
        <f>G$23</f>
        <v>10</v>
      </c>
      <c r="H164" s="52" t="s">
        <v>49</v>
      </c>
      <c r="I164" s="53">
        <f>E164*G164</f>
        <v>0</v>
      </c>
      <c r="J164" s="102"/>
      <c r="K164" s="102"/>
      <c r="L164" s="102"/>
      <c r="M164" s="102"/>
      <c r="O164" s="102"/>
      <c r="P164" s="102"/>
    </row>
    <row r="165" spans="2:16" ht="18" customHeight="1">
      <c r="B165" s="48" t="s">
        <v>50</v>
      </c>
      <c r="C165" s="50"/>
      <c r="D165" s="50" t="s">
        <v>51</v>
      </c>
      <c r="E165" s="49">
        <f>ROUND(C163*(C165/1000),2)</f>
        <v>0</v>
      </c>
      <c r="F165" s="50" t="s">
        <v>48</v>
      </c>
      <c r="G165" s="50">
        <f>G$24</f>
        <v>10</v>
      </c>
      <c r="H165" s="52" t="s">
        <v>49</v>
      </c>
      <c r="I165" s="53">
        <f>E165*G165</f>
        <v>0</v>
      </c>
      <c r="K165" s="43">
        <f>J165*E165</f>
        <v>0</v>
      </c>
    </row>
    <row r="166" spans="2:16" ht="18" customHeight="1">
      <c r="B166" s="23" t="s">
        <v>36</v>
      </c>
      <c r="C166" s="252" t="s">
        <v>14</v>
      </c>
      <c r="D166" s="252" t="s">
        <v>37</v>
      </c>
      <c r="E166" s="252" t="s">
        <v>71</v>
      </c>
      <c r="F166" s="252" t="s">
        <v>38</v>
      </c>
      <c r="G166" s="252" t="s">
        <v>72</v>
      </c>
      <c r="H166" s="252" t="s">
        <v>22</v>
      </c>
      <c r="I166" s="25" t="s">
        <v>40</v>
      </c>
    </row>
    <row r="167" spans="2:16" ht="18" customHeight="1">
      <c r="B167" s="648" t="s">
        <v>100</v>
      </c>
      <c r="C167" s="649" t="s">
        <v>101</v>
      </c>
      <c r="D167" s="250"/>
      <c r="E167" s="250"/>
      <c r="F167" s="250"/>
      <c r="G167" s="250"/>
      <c r="H167" s="28">
        <v>6.3E-2</v>
      </c>
      <c r="I167" s="59">
        <f>ROUND((D167*E167+F167*G167)/1000*H167,3)</f>
        <v>0</v>
      </c>
    </row>
    <row r="168" spans="2:16" ht="18" customHeight="1">
      <c r="B168" s="648"/>
      <c r="C168" s="650"/>
      <c r="D168" s="250"/>
      <c r="E168" s="250"/>
      <c r="F168" s="250"/>
      <c r="G168" s="250"/>
      <c r="H168" s="28">
        <f>H167</f>
        <v>6.3E-2</v>
      </c>
      <c r="I168" s="59">
        <f>ROUND((D168*E168+F168*G168)/1000*H168,3)</f>
        <v>0</v>
      </c>
    </row>
    <row r="169" spans="2:16" ht="18" customHeight="1">
      <c r="B169" s="648"/>
      <c r="C169" s="651"/>
      <c r="D169" s="250"/>
      <c r="E169" s="250"/>
      <c r="F169" s="250"/>
      <c r="G169" s="250"/>
      <c r="H169" s="28">
        <f>H168</f>
        <v>6.3E-2</v>
      </c>
      <c r="I169" s="59">
        <f>ROUND((D169*E169+F169*G169)/1000*H169,3)</f>
        <v>0</v>
      </c>
    </row>
    <row r="170" spans="2:16" ht="18" customHeight="1">
      <c r="B170" s="48" t="s">
        <v>42</v>
      </c>
      <c r="C170" s="49">
        <f>SUMPRODUCT(D167:D169*E167:E169+F167:F169*G167:G169)/1000</f>
        <v>0</v>
      </c>
      <c r="D170" s="50" t="s">
        <v>43</v>
      </c>
      <c r="E170" s="49">
        <f>SUM(I167:I169)*1.1</f>
        <v>0</v>
      </c>
      <c r="F170" s="50" t="s">
        <v>44</v>
      </c>
      <c r="G170" s="51">
        <f>(C$218+$C$222)/1000</f>
        <v>39.781500000000001</v>
      </c>
      <c r="H170" s="52" t="s">
        <v>45</v>
      </c>
      <c r="I170" s="53">
        <f>ROUND(E170*G170,2)</f>
        <v>0</v>
      </c>
    </row>
    <row r="171" spans="2:16" ht="18" customHeight="1">
      <c r="B171" s="48" t="s">
        <v>46</v>
      </c>
      <c r="C171" s="50">
        <v>105.66</v>
      </c>
      <c r="D171" s="50" t="s">
        <v>47</v>
      </c>
      <c r="E171" s="49">
        <f>ROUND(C170*(C171/1000),2)</f>
        <v>0</v>
      </c>
      <c r="F171" s="50" t="s">
        <v>48</v>
      </c>
      <c r="G171" s="50">
        <f>G$23</f>
        <v>10</v>
      </c>
      <c r="H171" s="52" t="s">
        <v>49</v>
      </c>
      <c r="I171" s="53">
        <f>E171*G171</f>
        <v>0</v>
      </c>
    </row>
    <row r="172" spans="2:16" ht="18" customHeight="1">
      <c r="B172" s="48" t="s">
        <v>50</v>
      </c>
      <c r="C172" s="50">
        <v>125.66</v>
      </c>
      <c r="D172" s="50" t="s">
        <v>51</v>
      </c>
      <c r="E172" s="49">
        <f>ROUND(C170*(C172/1000),2)</f>
        <v>0</v>
      </c>
      <c r="F172" s="50" t="s">
        <v>48</v>
      </c>
      <c r="G172" s="50">
        <f>G$24</f>
        <v>10</v>
      </c>
      <c r="H172" s="52" t="s">
        <v>49</v>
      </c>
      <c r="I172" s="53">
        <f>E172*G172</f>
        <v>0</v>
      </c>
    </row>
    <row r="173" spans="2:16" ht="18" customHeight="1">
      <c r="B173" s="23" t="s">
        <v>36</v>
      </c>
      <c r="C173" s="252" t="s">
        <v>14</v>
      </c>
      <c r="D173" s="252" t="s">
        <v>37</v>
      </c>
      <c r="E173" s="252" t="s">
        <v>71</v>
      </c>
      <c r="F173" s="252" t="s">
        <v>38</v>
      </c>
      <c r="G173" s="252" t="s">
        <v>72</v>
      </c>
      <c r="H173" s="252" t="s">
        <v>22</v>
      </c>
      <c r="I173" s="25" t="s">
        <v>40</v>
      </c>
    </row>
    <row r="174" spans="2:16" ht="18" customHeight="1">
      <c r="B174" s="648" t="s">
        <v>102</v>
      </c>
      <c r="C174" s="649" t="s">
        <v>103</v>
      </c>
      <c r="D174" s="250"/>
      <c r="E174" s="250"/>
      <c r="F174" s="250"/>
      <c r="G174" s="250"/>
      <c r="H174" s="28">
        <v>1.0980000000000001</v>
      </c>
      <c r="I174" s="59">
        <f>ROUND((D174*E174+F174*G174)/1000*H174,3)</f>
        <v>0</v>
      </c>
    </row>
    <row r="175" spans="2:16" ht="18" customHeight="1">
      <c r="B175" s="648"/>
      <c r="C175" s="650"/>
      <c r="D175" s="250"/>
      <c r="E175" s="250"/>
      <c r="F175" s="250"/>
      <c r="G175" s="250"/>
      <c r="H175" s="28">
        <f>H174</f>
        <v>1.0980000000000001</v>
      </c>
      <c r="I175" s="59">
        <f>ROUND((D175*E175+F175*G175)/1000*H175,3)</f>
        <v>0</v>
      </c>
    </row>
    <row r="176" spans="2:16" ht="18" customHeight="1">
      <c r="B176" s="648"/>
      <c r="C176" s="651"/>
      <c r="D176" s="250"/>
      <c r="E176" s="250"/>
      <c r="F176" s="250"/>
      <c r="G176" s="250"/>
      <c r="H176" s="28">
        <f>H175</f>
        <v>1.0980000000000001</v>
      </c>
      <c r="I176" s="59">
        <f>ROUND((D176*E176+F176*G176)/1000*H176,3)</f>
        <v>0</v>
      </c>
    </row>
    <row r="177" spans="2:9" ht="18" customHeight="1">
      <c r="B177" s="48" t="s">
        <v>42</v>
      </c>
      <c r="C177" s="49">
        <f>SUMPRODUCT(D174:D176*E174:E176+F174:F176*G174:G176)/1000</f>
        <v>0</v>
      </c>
      <c r="D177" s="50" t="s">
        <v>43</v>
      </c>
      <c r="E177" s="49">
        <f>SUM(I174:I176)*1.1</f>
        <v>0</v>
      </c>
      <c r="F177" s="50" t="s">
        <v>44</v>
      </c>
      <c r="G177" s="51">
        <f>(C$218+C$219)/1000</f>
        <v>46.081499999999998</v>
      </c>
      <c r="H177" s="52" t="s">
        <v>45</v>
      </c>
      <c r="I177" s="53">
        <f>ROUND(E177*G177,2)</f>
        <v>0</v>
      </c>
    </row>
    <row r="178" spans="2:9" ht="18" customHeight="1">
      <c r="B178" s="48" t="s">
        <v>46</v>
      </c>
      <c r="C178" s="50">
        <v>105.66</v>
      </c>
      <c r="D178" s="50" t="s">
        <v>47</v>
      </c>
      <c r="E178" s="49">
        <f>ROUND(C177*(C178/1000),2)</f>
        <v>0</v>
      </c>
      <c r="F178" s="50" t="s">
        <v>48</v>
      </c>
      <c r="G178" s="50">
        <f>G$23</f>
        <v>10</v>
      </c>
      <c r="H178" s="52" t="s">
        <v>49</v>
      </c>
      <c r="I178" s="53">
        <f>E178*G178</f>
        <v>0</v>
      </c>
    </row>
    <row r="179" spans="2:9" ht="18" customHeight="1">
      <c r="B179" s="48" t="s">
        <v>50</v>
      </c>
      <c r="C179" s="50">
        <v>125.66</v>
      </c>
      <c r="D179" s="50" t="s">
        <v>51</v>
      </c>
      <c r="E179" s="49">
        <f>ROUND(C177*(C179/1000),2)</f>
        <v>0</v>
      </c>
      <c r="F179" s="50" t="s">
        <v>48</v>
      </c>
      <c r="G179" s="50">
        <f>G$24</f>
        <v>10</v>
      </c>
      <c r="H179" s="52" t="s">
        <v>49</v>
      </c>
      <c r="I179" s="53">
        <f>E179*G179</f>
        <v>0</v>
      </c>
    </row>
    <row r="180" spans="2:9" ht="18" customHeight="1">
      <c r="B180" s="23" t="s">
        <v>36</v>
      </c>
      <c r="C180" s="252" t="s">
        <v>14</v>
      </c>
      <c r="D180" s="252" t="s">
        <v>37</v>
      </c>
      <c r="E180" s="252" t="s">
        <v>71</v>
      </c>
      <c r="F180" s="252" t="s">
        <v>38</v>
      </c>
      <c r="G180" s="252" t="s">
        <v>72</v>
      </c>
      <c r="H180" s="252" t="s">
        <v>22</v>
      </c>
      <c r="I180" s="25" t="s">
        <v>40</v>
      </c>
    </row>
    <row r="181" spans="2:9" ht="18" customHeight="1">
      <c r="B181" s="648" t="s">
        <v>104</v>
      </c>
      <c r="C181" s="649" t="s">
        <v>105</v>
      </c>
      <c r="D181" s="250">
        <f>D6</f>
        <v>2620</v>
      </c>
      <c r="E181" s="250">
        <v>1</v>
      </c>
      <c r="F181" s="250"/>
      <c r="G181" s="250"/>
      <c r="H181" s="28">
        <v>1.5629999999999999</v>
      </c>
      <c r="I181" s="59">
        <f>ROUND((D181*E181+F181*G181)/1000*H181,3)</f>
        <v>4.0949999999999998</v>
      </c>
    </row>
    <row r="182" spans="2:9" ht="18" customHeight="1">
      <c r="B182" s="648"/>
      <c r="C182" s="650"/>
      <c r="D182" s="250"/>
      <c r="E182" s="250"/>
      <c r="F182" s="250"/>
      <c r="G182" s="250"/>
      <c r="H182" s="28">
        <f>H181</f>
        <v>1.5629999999999999</v>
      </c>
      <c r="I182" s="59">
        <f>ROUND((D182*E182+F182*G182)/1000*H182,3)</f>
        <v>0</v>
      </c>
    </row>
    <row r="183" spans="2:9" ht="18" customHeight="1">
      <c r="B183" s="648"/>
      <c r="C183" s="651"/>
      <c r="D183" s="250"/>
      <c r="E183" s="250"/>
      <c r="F183" s="250"/>
      <c r="G183" s="250"/>
      <c r="H183" s="28">
        <f>H182</f>
        <v>1.5629999999999999</v>
      </c>
      <c r="I183" s="59">
        <f>ROUND((D183*E183+F183*G183)/1000*H183,3)</f>
        <v>0</v>
      </c>
    </row>
    <row r="184" spans="2:9" ht="18" customHeight="1">
      <c r="B184" s="48" t="s">
        <v>42</v>
      </c>
      <c r="C184" s="49">
        <f>SUMPRODUCT(D181:D183*E181:E183+F181:F183*G181:G183)/1000</f>
        <v>2.62</v>
      </c>
      <c r="D184" s="50" t="s">
        <v>43</v>
      </c>
      <c r="E184" s="49">
        <f>SUM(I181:I183)*1.1</f>
        <v>4.5045000000000002</v>
      </c>
      <c r="F184" s="50" t="s">
        <v>44</v>
      </c>
      <c r="G184" s="51">
        <f>(C$218+C$219)/1000</f>
        <v>46.081499999999998</v>
      </c>
      <c r="H184" s="52" t="s">
        <v>45</v>
      </c>
      <c r="I184" s="53">
        <f>ROUND(E184*G184,2)</f>
        <v>207.57</v>
      </c>
    </row>
    <row r="185" spans="2:9" ht="18" customHeight="1">
      <c r="B185" s="48" t="s">
        <v>46</v>
      </c>
      <c r="C185" s="50">
        <v>105.66</v>
      </c>
      <c r="D185" s="50" t="s">
        <v>47</v>
      </c>
      <c r="E185" s="49">
        <f>ROUND(C184*(C185/1000),2)</f>
        <v>0.28000000000000003</v>
      </c>
      <c r="F185" s="50" t="s">
        <v>48</v>
      </c>
      <c r="G185" s="50">
        <f>G$23</f>
        <v>10</v>
      </c>
      <c r="H185" s="52" t="s">
        <v>49</v>
      </c>
      <c r="I185" s="53">
        <f>E185*G185</f>
        <v>2.8000000000000003</v>
      </c>
    </row>
    <row r="186" spans="2:9" ht="18" customHeight="1">
      <c r="B186" s="48" t="s">
        <v>50</v>
      </c>
      <c r="C186" s="50">
        <v>125.66</v>
      </c>
      <c r="D186" s="50" t="s">
        <v>51</v>
      </c>
      <c r="E186" s="49">
        <f>ROUND(C184*(C186/1000),2)</f>
        <v>0.33</v>
      </c>
      <c r="F186" s="50" t="s">
        <v>48</v>
      </c>
      <c r="G186" s="50">
        <f>G$24</f>
        <v>10</v>
      </c>
      <c r="H186" s="52" t="s">
        <v>49</v>
      </c>
      <c r="I186" s="53">
        <f>E186*G186</f>
        <v>3.3000000000000003</v>
      </c>
    </row>
    <row r="187" spans="2:9" ht="18" customHeight="1">
      <c r="B187" s="23" t="s">
        <v>36</v>
      </c>
      <c r="C187" s="252" t="s">
        <v>14</v>
      </c>
      <c r="D187" s="252" t="s">
        <v>37</v>
      </c>
      <c r="E187" s="252" t="s">
        <v>71</v>
      </c>
      <c r="F187" s="252" t="s">
        <v>38</v>
      </c>
      <c r="G187" s="252" t="s">
        <v>72</v>
      </c>
      <c r="H187" s="252" t="s">
        <v>22</v>
      </c>
      <c r="I187" s="25" t="s">
        <v>40</v>
      </c>
    </row>
    <row r="188" spans="2:9" ht="18" customHeight="1">
      <c r="B188" s="648" t="s">
        <v>106</v>
      </c>
      <c r="C188" s="649" t="s">
        <v>107</v>
      </c>
      <c r="D188" s="250"/>
      <c r="E188" s="250"/>
      <c r="F188" s="250"/>
      <c r="G188" s="250"/>
      <c r="H188" s="28">
        <v>1.732</v>
      </c>
      <c r="I188" s="59">
        <f>ROUND((D188*E188+F188*G188)/1000*H188,3)</f>
        <v>0</v>
      </c>
    </row>
    <row r="189" spans="2:9" ht="18" customHeight="1">
      <c r="B189" s="648"/>
      <c r="C189" s="650"/>
      <c r="D189" s="250"/>
      <c r="E189" s="250"/>
      <c r="F189" s="250"/>
      <c r="G189" s="250"/>
      <c r="H189" s="28">
        <f>H188</f>
        <v>1.732</v>
      </c>
      <c r="I189" s="59">
        <f>ROUND((D189*E189+F189*G189)/1000*H189,3)</f>
        <v>0</v>
      </c>
    </row>
    <row r="190" spans="2:9" ht="18" customHeight="1">
      <c r="B190" s="648"/>
      <c r="C190" s="651"/>
      <c r="D190" s="250"/>
      <c r="E190" s="250"/>
      <c r="F190" s="250">
        <f>E6</f>
        <v>2920</v>
      </c>
      <c r="G190" s="250"/>
      <c r="H190" s="28">
        <f>H189</f>
        <v>1.732</v>
      </c>
      <c r="I190" s="59">
        <f>ROUND((D190*E190+F190*G190)/1000*H190,3)</f>
        <v>0</v>
      </c>
    </row>
    <row r="191" spans="2:9" ht="18" customHeight="1">
      <c r="B191" s="48" t="s">
        <v>42</v>
      </c>
      <c r="C191" s="49">
        <f>SUMPRODUCT(D188:D190*E188:E190+F188:F190*G188:G190)/1000</f>
        <v>0</v>
      </c>
      <c r="D191" s="50" t="s">
        <v>43</v>
      </c>
      <c r="E191" s="49">
        <f>SUM(I188:I190)*1.1</f>
        <v>0</v>
      </c>
      <c r="F191" s="50" t="s">
        <v>44</v>
      </c>
      <c r="G191" s="51">
        <f>(C$218+C$219)/1000</f>
        <v>46.081499999999998</v>
      </c>
      <c r="H191" s="52" t="s">
        <v>45</v>
      </c>
      <c r="I191" s="53">
        <f>ROUND(E191*G191,2)</f>
        <v>0</v>
      </c>
    </row>
    <row r="192" spans="2:9" ht="18" customHeight="1">
      <c r="B192" s="48" t="s">
        <v>46</v>
      </c>
      <c r="C192" s="50">
        <v>105.66</v>
      </c>
      <c r="D192" s="50" t="s">
        <v>47</v>
      </c>
      <c r="E192" s="49">
        <f>ROUND(C191*(C192/1000),2)</f>
        <v>0</v>
      </c>
      <c r="F192" s="50" t="s">
        <v>48</v>
      </c>
      <c r="G192" s="50">
        <f>G$23</f>
        <v>10</v>
      </c>
      <c r="H192" s="52" t="s">
        <v>49</v>
      </c>
      <c r="I192" s="53">
        <f>E192*G192</f>
        <v>0</v>
      </c>
    </row>
    <row r="193" spans="2:15" ht="18" customHeight="1">
      <c r="B193" s="48" t="s">
        <v>50</v>
      </c>
      <c r="C193" s="50">
        <v>125.66</v>
      </c>
      <c r="D193" s="50" t="s">
        <v>51</v>
      </c>
      <c r="E193" s="49">
        <f>ROUND(C191*(C193/1000),2)</f>
        <v>0</v>
      </c>
      <c r="F193" s="50" t="s">
        <v>48</v>
      </c>
      <c r="G193" s="50">
        <f>G$24</f>
        <v>10</v>
      </c>
      <c r="H193" s="52" t="s">
        <v>49</v>
      </c>
      <c r="I193" s="53">
        <f>E193*G193</f>
        <v>0</v>
      </c>
    </row>
    <row r="194" spans="2:15" ht="18" customHeight="1">
      <c r="B194" s="23" t="s">
        <v>36</v>
      </c>
      <c r="C194" s="252" t="s">
        <v>14</v>
      </c>
      <c r="D194" s="652" t="s">
        <v>38</v>
      </c>
      <c r="E194" s="652"/>
      <c r="F194" s="652"/>
      <c r="G194" s="252" t="s">
        <v>72</v>
      </c>
      <c r="H194" s="252" t="s">
        <v>22</v>
      </c>
      <c r="I194" s="25" t="s">
        <v>40</v>
      </c>
    </row>
    <row r="195" spans="2:15" ht="18" customHeight="1">
      <c r="B195" s="643" t="s">
        <v>108</v>
      </c>
      <c r="C195" s="645" t="s">
        <v>109</v>
      </c>
      <c r="D195" s="646"/>
      <c r="E195" s="646"/>
      <c r="F195" s="646"/>
      <c r="G195" s="250"/>
      <c r="H195" s="250">
        <v>1.796</v>
      </c>
      <c r="I195" s="59">
        <f>ROUND((D195*G195*H195)/1000,3)</f>
        <v>0</v>
      </c>
    </row>
    <row r="196" spans="2:15" ht="18" customHeight="1">
      <c r="B196" s="644"/>
      <c r="C196" s="640"/>
      <c r="D196" s="646"/>
      <c r="E196" s="646"/>
      <c r="F196" s="646"/>
      <c r="G196" s="250"/>
      <c r="H196" s="250">
        <f>H195</f>
        <v>1.796</v>
      </c>
      <c r="I196" s="59">
        <f>ROUND((D196*G196*H196)/1000,3)</f>
        <v>0</v>
      </c>
    </row>
    <row r="197" spans="2:15" ht="18" customHeight="1">
      <c r="B197" s="643" t="s">
        <v>110</v>
      </c>
      <c r="C197" s="645" t="s">
        <v>111</v>
      </c>
      <c r="D197" s="646"/>
      <c r="E197" s="646"/>
      <c r="F197" s="646"/>
      <c r="G197" s="250"/>
      <c r="H197" s="250">
        <v>1.355</v>
      </c>
      <c r="I197" s="59"/>
    </row>
    <row r="198" spans="2:15" ht="18" customHeight="1">
      <c r="B198" s="644"/>
      <c r="C198" s="640"/>
      <c r="D198" s="646"/>
      <c r="E198" s="646"/>
      <c r="F198" s="646"/>
      <c r="G198" s="250"/>
      <c r="H198" s="250">
        <f>H197</f>
        <v>1.355</v>
      </c>
      <c r="I198" s="59"/>
    </row>
    <row r="199" spans="2:15" ht="18" customHeight="1">
      <c r="B199" s="48" t="s">
        <v>42</v>
      </c>
      <c r="C199" s="49">
        <f>SUMPRODUCT(D195:F198*G195:G198)/1000</f>
        <v>0</v>
      </c>
      <c r="D199" s="50" t="s">
        <v>43</v>
      </c>
      <c r="E199" s="49">
        <f>SUM(I195:I198)*1.1</f>
        <v>0</v>
      </c>
      <c r="F199" s="50" t="s">
        <v>44</v>
      </c>
      <c r="G199" s="51">
        <f>(C$218+C$219)/1000</f>
        <v>46.081499999999998</v>
      </c>
      <c r="H199" s="52" t="s">
        <v>45</v>
      </c>
      <c r="I199" s="53">
        <f>ROUND(E199*G199,2)</f>
        <v>0</v>
      </c>
    </row>
    <row r="200" spans="2:15" ht="18" customHeight="1">
      <c r="B200" s="48" t="s">
        <v>46</v>
      </c>
      <c r="C200" s="50">
        <v>267.77999999999997</v>
      </c>
      <c r="D200" s="50" t="s">
        <v>47</v>
      </c>
      <c r="E200" s="49">
        <f>ROUND(C199*(C200/1000),2)</f>
        <v>0</v>
      </c>
      <c r="F200" s="50" t="s">
        <v>48</v>
      </c>
      <c r="G200" s="50">
        <f>G$23</f>
        <v>10</v>
      </c>
      <c r="H200" s="52" t="s">
        <v>49</v>
      </c>
      <c r="I200" s="53">
        <f>E200*G200</f>
        <v>0</v>
      </c>
    </row>
    <row r="201" spans="2:15" ht="18" customHeight="1">
      <c r="B201" s="48" t="s">
        <v>50</v>
      </c>
      <c r="C201" s="50">
        <v>104.29</v>
      </c>
      <c r="D201" s="50" t="s">
        <v>51</v>
      </c>
      <c r="E201" s="49">
        <f>ROUND(C199*(C201/1000),2)</f>
        <v>0</v>
      </c>
      <c r="F201" s="50" t="s">
        <v>48</v>
      </c>
      <c r="G201" s="50">
        <f>G$24</f>
        <v>10</v>
      </c>
      <c r="H201" s="52" t="s">
        <v>49</v>
      </c>
      <c r="I201" s="53">
        <f>E201*G201</f>
        <v>0</v>
      </c>
    </row>
    <row r="202" spans="2:15" ht="18" customHeight="1">
      <c r="B202" s="103" t="s">
        <v>112</v>
      </c>
      <c r="C202" s="104" t="s">
        <v>113</v>
      </c>
      <c r="D202" s="104" t="s">
        <v>28</v>
      </c>
      <c r="E202" s="104" t="s">
        <v>8</v>
      </c>
      <c r="F202" s="104" t="s">
        <v>112</v>
      </c>
      <c r="G202" s="104" t="s">
        <v>113</v>
      </c>
      <c r="H202" s="104" t="s">
        <v>28</v>
      </c>
      <c r="I202" s="105" t="s">
        <v>8</v>
      </c>
      <c r="N202" s="106"/>
      <c r="O202" s="102"/>
    </row>
    <row r="203" spans="2:15" ht="18" customHeight="1">
      <c r="B203" s="251" t="s">
        <v>327</v>
      </c>
      <c r="C203" s="107" t="s">
        <v>114</v>
      </c>
      <c r="D203" s="108">
        <v>2.15</v>
      </c>
      <c r="E203" s="253">
        <f>SUM(G14:G21)*4</f>
        <v>12</v>
      </c>
      <c r="F203" s="647" t="s">
        <v>115</v>
      </c>
      <c r="G203" s="107" t="s">
        <v>116</v>
      </c>
      <c r="H203" s="108">
        <v>2.46</v>
      </c>
      <c r="I203" s="247">
        <f>SUM(G108:G111)*4</f>
        <v>4</v>
      </c>
      <c r="J203" s="42"/>
      <c r="N203" s="106"/>
      <c r="O203" s="102"/>
    </row>
    <row r="204" spans="2:15" ht="18" customHeight="1">
      <c r="B204" s="251" t="s">
        <v>328</v>
      </c>
      <c r="C204" s="107" t="s">
        <v>117</v>
      </c>
      <c r="D204" s="108">
        <v>1.72</v>
      </c>
      <c r="E204" s="253">
        <f>E203</f>
        <v>12</v>
      </c>
      <c r="F204" s="646"/>
      <c r="G204" s="107" t="s">
        <v>118</v>
      </c>
      <c r="H204" s="108">
        <v>3.11</v>
      </c>
      <c r="I204" s="247">
        <f>I203</f>
        <v>4</v>
      </c>
      <c r="J204" s="42"/>
      <c r="N204" s="106"/>
      <c r="O204" s="102"/>
    </row>
    <row r="205" spans="2:15" ht="18" customHeight="1">
      <c r="B205" s="109" t="s">
        <v>330</v>
      </c>
      <c r="C205" s="107" t="s">
        <v>119</v>
      </c>
      <c r="D205" s="108">
        <v>2.68</v>
      </c>
      <c r="E205" s="253">
        <f>SUM(G26:G30)*4</f>
        <v>0</v>
      </c>
      <c r="F205" s="110" t="s">
        <v>120</v>
      </c>
      <c r="G205" s="107" t="s">
        <v>121</v>
      </c>
      <c r="H205" s="111">
        <v>4.76</v>
      </c>
      <c r="I205" s="247">
        <f>SUM(G123:G125)*4</f>
        <v>0</v>
      </c>
      <c r="J205" s="42"/>
      <c r="N205" s="106"/>
      <c r="O205" s="102"/>
    </row>
    <row r="206" spans="2:15" ht="18" customHeight="1">
      <c r="B206" s="109" t="s">
        <v>329</v>
      </c>
      <c r="C206" s="107" t="s">
        <v>122</v>
      </c>
      <c r="D206" s="108">
        <v>1.27</v>
      </c>
      <c r="E206" s="253">
        <f>E205</f>
        <v>0</v>
      </c>
      <c r="F206" s="110" t="s">
        <v>123</v>
      </c>
      <c r="G206" s="107" t="s">
        <v>124</v>
      </c>
      <c r="H206" s="111">
        <v>3.85</v>
      </c>
      <c r="I206" s="247">
        <f>I205</f>
        <v>0</v>
      </c>
      <c r="J206" s="42"/>
      <c r="N206" s="106"/>
      <c r="O206" s="102"/>
    </row>
    <row r="207" spans="2:15" ht="18" customHeight="1">
      <c r="B207" s="109" t="s">
        <v>331</v>
      </c>
      <c r="C207" s="107" t="s">
        <v>125</v>
      </c>
      <c r="D207" s="111" t="s">
        <v>126</v>
      </c>
      <c r="E207" s="253">
        <f>SUM(G35:G37)*4</f>
        <v>8</v>
      </c>
      <c r="F207" s="110" t="s">
        <v>127</v>
      </c>
      <c r="G207" s="107" t="s">
        <v>128</v>
      </c>
      <c r="H207" s="111">
        <v>4.29</v>
      </c>
      <c r="I207" s="247">
        <f>SUM(G116:G118)*4</f>
        <v>8</v>
      </c>
      <c r="J207" s="42"/>
      <c r="N207" s="106"/>
      <c r="O207" s="102"/>
    </row>
    <row r="208" spans="2:15" ht="18" customHeight="1">
      <c r="B208" s="109" t="s">
        <v>332</v>
      </c>
      <c r="C208" s="107" t="s">
        <v>129</v>
      </c>
      <c r="D208" s="111" t="s">
        <v>130</v>
      </c>
      <c r="E208" s="253">
        <f>E207</f>
        <v>8</v>
      </c>
      <c r="F208" s="110" t="s">
        <v>131</v>
      </c>
      <c r="G208" s="107" t="s">
        <v>132</v>
      </c>
      <c r="H208" s="111">
        <v>4.5</v>
      </c>
      <c r="I208" s="247">
        <f>I207</f>
        <v>8</v>
      </c>
      <c r="J208" s="42"/>
      <c r="N208" s="106"/>
      <c r="O208" s="102"/>
    </row>
    <row r="209" spans="2:15" ht="18" customHeight="1">
      <c r="B209" s="249" t="s">
        <v>333</v>
      </c>
      <c r="C209" s="250">
        <v>12.6</v>
      </c>
      <c r="D209" s="111">
        <v>1.32</v>
      </c>
      <c r="E209" s="253">
        <f>SUM(G42:G47)*4</f>
        <v>8</v>
      </c>
      <c r="F209" s="639"/>
      <c r="G209" s="107"/>
      <c r="H209" s="28"/>
      <c r="I209" s="247"/>
      <c r="N209" s="106"/>
      <c r="O209" s="102"/>
    </row>
    <row r="210" spans="2:15" ht="18" customHeight="1">
      <c r="B210" s="249" t="s">
        <v>334</v>
      </c>
      <c r="C210" s="250">
        <v>15.8</v>
      </c>
      <c r="D210" s="111">
        <v>1.18</v>
      </c>
      <c r="E210" s="253">
        <f>E209</f>
        <v>8</v>
      </c>
      <c r="F210" s="640"/>
      <c r="G210" s="107"/>
      <c r="H210" s="28"/>
      <c r="I210" s="231"/>
      <c r="N210" s="106"/>
      <c r="O210" s="102"/>
    </row>
    <row r="211" spans="2:15" ht="18" customHeight="1">
      <c r="B211" s="251" t="s">
        <v>335</v>
      </c>
      <c r="C211" s="107" t="s">
        <v>337</v>
      </c>
      <c r="D211" s="111">
        <v>2.81</v>
      </c>
      <c r="E211" s="250">
        <f>SUM(E52+E53+E54+E55+G52+G53+G54+G55+G60+G61+G62+G63)*2</f>
        <v>4</v>
      </c>
      <c r="F211" s="641" t="s">
        <v>133</v>
      </c>
      <c r="G211" s="111">
        <f>SUMPRODUCT(D35:D37,G35:G37)/1000</f>
        <v>1.014</v>
      </c>
      <c r="H211" s="28">
        <v>0.16</v>
      </c>
      <c r="I211" s="232">
        <f>G211*H211</f>
        <v>0.16224</v>
      </c>
      <c r="N211" s="106"/>
      <c r="O211" s="102"/>
    </row>
    <row r="212" spans="2:15" ht="18" customHeight="1">
      <c r="B212" s="251" t="s">
        <v>336</v>
      </c>
      <c r="C212" s="107" t="s">
        <v>338</v>
      </c>
      <c r="D212" s="111">
        <v>3.51</v>
      </c>
      <c r="E212" s="250">
        <f>E211</f>
        <v>4</v>
      </c>
      <c r="F212" s="641"/>
      <c r="G212" s="111">
        <f>SUMPRODUCT(D26:D30,G26:G30)/1000</f>
        <v>0</v>
      </c>
      <c r="H212" s="28">
        <v>0.16</v>
      </c>
      <c r="I212" s="232">
        <f>G212*H212</f>
        <v>0</v>
      </c>
      <c r="N212" s="106"/>
      <c r="O212" s="102"/>
    </row>
    <row r="213" spans="2:15" ht="18" customHeight="1">
      <c r="B213" s="251" t="s">
        <v>134</v>
      </c>
      <c r="C213" s="250">
        <v>30.6</v>
      </c>
      <c r="D213" s="111">
        <v>2.81</v>
      </c>
      <c r="E213" s="253">
        <f>SUM(+E130+E131+E132+G130+G131+G132)*2</f>
        <v>0</v>
      </c>
      <c r="F213" s="641" t="s">
        <v>135</v>
      </c>
      <c r="G213" s="111">
        <f>SUMPRODUCT(E26:E30,G26:G30)/1000</f>
        <v>0</v>
      </c>
      <c r="H213" s="28">
        <v>0.16</v>
      </c>
      <c r="I213" s="232">
        <f>G213*H213</f>
        <v>0</v>
      </c>
      <c r="N213" s="106"/>
      <c r="O213" s="102"/>
    </row>
    <row r="214" spans="2:15" ht="18" customHeight="1">
      <c r="B214" s="251" t="s">
        <v>136</v>
      </c>
      <c r="C214" s="250">
        <v>30.6</v>
      </c>
      <c r="D214" s="111">
        <v>3.51</v>
      </c>
      <c r="E214" s="253">
        <f>E213</f>
        <v>0</v>
      </c>
      <c r="F214" s="641"/>
      <c r="G214" s="111">
        <f>SUMPRODUCT(E35:E37,G35:G37)/1000</f>
        <v>1.4</v>
      </c>
      <c r="H214" s="28">
        <v>0.16</v>
      </c>
      <c r="I214" s="232">
        <f>G214*H214</f>
        <v>0.22399999999999998</v>
      </c>
      <c r="N214" s="106"/>
      <c r="O214" s="102"/>
    </row>
    <row r="215" spans="2:15" ht="18" customHeight="1">
      <c r="B215" s="52" t="s">
        <v>137</v>
      </c>
      <c r="C215" s="112" cm="1">
        <f t="array" ref="C215">SUMPRODUCT(D203:D214*E203:E214)+SUMPRODUCT(H203:H210*I203:I210)</f>
        <v>224.64</v>
      </c>
      <c r="D215" s="52"/>
      <c r="E215" s="52"/>
      <c r="F215" s="52"/>
      <c r="G215" s="52" t="s">
        <v>138</v>
      </c>
      <c r="H215" s="52" cm="1">
        <f t="array" ref="H215">SUMPRODUCT(G211:G214*H211:H214)</f>
        <v>0.38623999999999997</v>
      </c>
      <c r="I215" s="233">
        <f>H215*1.08</f>
        <v>0.41713919999999999</v>
      </c>
      <c r="N215" s="106"/>
      <c r="O215" s="102"/>
    </row>
    <row r="216" spans="2:15" ht="18" customHeight="1">
      <c r="B216" s="23" t="s">
        <v>139</v>
      </c>
      <c r="C216" s="252" t="s">
        <v>14</v>
      </c>
      <c r="D216" s="252" t="s">
        <v>22</v>
      </c>
      <c r="E216" s="252" t="s">
        <v>8</v>
      </c>
      <c r="F216" s="252" t="s">
        <v>113</v>
      </c>
      <c r="G216" s="252" t="s">
        <v>40</v>
      </c>
      <c r="H216" s="252" t="s">
        <v>28</v>
      </c>
      <c r="I216" s="25" t="s">
        <v>29</v>
      </c>
      <c r="N216" s="106"/>
      <c r="O216" s="102"/>
    </row>
    <row r="217" spans="2:15" ht="18" customHeight="1">
      <c r="B217" s="48" t="s">
        <v>140</v>
      </c>
      <c r="C217" s="52" t="s">
        <v>141</v>
      </c>
      <c r="D217" s="50">
        <v>0.14199999999999999</v>
      </c>
      <c r="E217" s="50">
        <v>1</v>
      </c>
      <c r="F217" s="50">
        <f>D6</f>
        <v>2620</v>
      </c>
      <c r="G217" s="128">
        <f>D217*F217*E217/1000*1.1</f>
        <v>0.409244</v>
      </c>
      <c r="H217" s="52">
        <f>(C218+C222)/1000</f>
        <v>39.781500000000001</v>
      </c>
      <c r="I217" s="193">
        <f>G217*H217</f>
        <v>16.280340186</v>
      </c>
      <c r="N217" s="106"/>
      <c r="O217" s="102"/>
    </row>
    <row r="218" spans="2:15" ht="18" customHeight="1">
      <c r="B218" s="37" t="s">
        <v>142</v>
      </c>
      <c r="C218" s="113">
        <f>材料价格!B4</f>
        <v>22081.5</v>
      </c>
      <c r="D218" s="39" t="s">
        <v>143</v>
      </c>
      <c r="E218" s="114">
        <f>E139+E133+E126+E119+E112+E199+E177+E64+E56+E48+E38+E31+E22+E184+E191</f>
        <v>108.7603</v>
      </c>
      <c r="F218" s="39" t="s">
        <v>144</v>
      </c>
      <c r="G218" s="115">
        <f>I218/E218-C218/1000</f>
        <v>24.000020554834812</v>
      </c>
      <c r="H218" s="39" t="s">
        <v>145</v>
      </c>
      <c r="I218" s="116">
        <f>I22+I31+I38+I48+I56+I64+I199+I112+I119+I126+I133+I139+I177+I184+I191</f>
        <v>5011.84</v>
      </c>
      <c r="N218" s="106"/>
      <c r="O218" s="102"/>
    </row>
    <row r="219" spans="2:15" ht="18" customHeight="1">
      <c r="B219" s="117" t="s">
        <v>146</v>
      </c>
      <c r="C219" s="118">
        <f>材料价格!B5</f>
        <v>24000</v>
      </c>
      <c r="D219" s="39" t="s">
        <v>147</v>
      </c>
      <c r="E219" s="114">
        <f>E163+E153+E146+E104+E97+E88+G217+E170</f>
        <v>9.8263439999999989</v>
      </c>
      <c r="F219" s="39" t="s">
        <v>148</v>
      </c>
      <c r="G219" s="119">
        <f>I219/E219-C218/1000</f>
        <v>17.700370061337161</v>
      </c>
      <c r="H219" s="39" t="s">
        <v>149</v>
      </c>
      <c r="I219" s="116">
        <f>I88+I97+I104+I146+I153+I163+I217+I170</f>
        <v>390.91034018599998</v>
      </c>
      <c r="N219" s="106"/>
      <c r="O219" s="102"/>
    </row>
    <row r="220" spans="2:15" ht="18" customHeight="1">
      <c r="B220" s="117" t="s">
        <v>150</v>
      </c>
      <c r="C220" s="118">
        <f>C219</f>
        <v>24000</v>
      </c>
      <c r="D220" s="39" t="s">
        <v>151</v>
      </c>
      <c r="E220" s="120">
        <f>I215</f>
        <v>0.41713919999999999</v>
      </c>
      <c r="F220" s="39" t="s">
        <v>152</v>
      </c>
      <c r="G220" s="119">
        <f>I220/E220-C218/1000</f>
        <v>2.8981710546503443</v>
      </c>
      <c r="H220" s="39" t="s">
        <v>153</v>
      </c>
      <c r="I220" s="116">
        <f>ROUND(E220*(C218+C223)/1000,2)</f>
        <v>10.42</v>
      </c>
      <c r="N220" s="106"/>
      <c r="O220" s="102"/>
    </row>
    <row r="221" spans="2:15" ht="18" customHeight="1">
      <c r="B221" s="117" t="s">
        <v>154</v>
      </c>
      <c r="C221" s="121">
        <f>C220</f>
        <v>24000</v>
      </c>
      <c r="D221" s="39" t="s">
        <v>155</v>
      </c>
      <c r="E221" s="39"/>
      <c r="F221" s="39" t="s">
        <v>156</v>
      </c>
      <c r="G221" s="39"/>
      <c r="H221" s="39" t="s">
        <v>49</v>
      </c>
      <c r="I221" s="116">
        <f>E221*G221</f>
        <v>0</v>
      </c>
      <c r="J221" s="42"/>
      <c r="K221" s="255"/>
    </row>
    <row r="222" spans="2:15" ht="18" customHeight="1">
      <c r="B222" s="117" t="s">
        <v>148</v>
      </c>
      <c r="C222" s="122">
        <f>材料价格!B6</f>
        <v>17700</v>
      </c>
      <c r="D222" s="39" t="s">
        <v>157</v>
      </c>
      <c r="E222" s="39"/>
      <c r="F222" s="39" t="s">
        <v>156</v>
      </c>
      <c r="G222" s="39"/>
      <c r="H222" s="39" t="s">
        <v>49</v>
      </c>
      <c r="I222" s="116">
        <f>E222*G222</f>
        <v>0</v>
      </c>
      <c r="J222" s="123"/>
      <c r="K222" s="123"/>
      <c r="L222" s="123"/>
    </row>
    <row r="223" spans="2:15" ht="18" customHeight="1">
      <c r="B223" s="117" t="s">
        <v>152</v>
      </c>
      <c r="C223" s="122">
        <f>材料价格!B9</f>
        <v>2900</v>
      </c>
      <c r="D223" s="39" t="s">
        <v>158</v>
      </c>
      <c r="E223" s="114">
        <f>SUM(E218:E220)</f>
        <v>119.0037832</v>
      </c>
      <c r="F223" s="39"/>
      <c r="G223" s="39" t="s">
        <v>339</v>
      </c>
      <c r="H223" s="39"/>
      <c r="I223" s="234">
        <f>SUM(I218:I222)+C215</f>
        <v>5637.8103401860008</v>
      </c>
      <c r="J223" s="123"/>
      <c r="K223" s="123"/>
      <c r="L223" s="123"/>
    </row>
    <row r="224" spans="2:15" ht="18" customHeight="1">
      <c r="B224" s="23" t="s">
        <v>159</v>
      </c>
      <c r="C224" s="252" t="s">
        <v>113</v>
      </c>
      <c r="D224" s="252" t="s">
        <v>16</v>
      </c>
      <c r="E224" s="252" t="s">
        <v>7</v>
      </c>
      <c r="F224" s="252" t="s">
        <v>8</v>
      </c>
      <c r="G224" s="252" t="s">
        <v>28</v>
      </c>
      <c r="H224" s="252" t="s">
        <v>160</v>
      </c>
      <c r="I224" s="25" t="s">
        <v>1</v>
      </c>
      <c r="J224" s="255"/>
      <c r="K224" s="255"/>
      <c r="L224" s="255"/>
      <c r="M224" s="255"/>
    </row>
    <row r="225" spans="2:13" ht="18" customHeight="1">
      <c r="B225" s="124" t="str">
        <f>材料价格!A10</f>
        <v>6单银Low-E+12A+6</v>
      </c>
      <c r="C225" s="253">
        <f t="shared" ref="C225:D229" si="25">D92</f>
        <v>-90</v>
      </c>
      <c r="D225" s="253">
        <f t="shared" si="25"/>
        <v>-90</v>
      </c>
      <c r="E225" s="32">
        <f>C225*D225/10^6</f>
        <v>8.0999999999999996E-3</v>
      </c>
      <c r="F225" s="250">
        <f>G26</f>
        <v>0</v>
      </c>
      <c r="G225" s="125">
        <f>材料价格!B10</f>
        <v>148</v>
      </c>
      <c r="H225" s="250">
        <f>ROUND(E225*G225*F225,2)</f>
        <v>0</v>
      </c>
      <c r="I225" s="247" t="s">
        <v>161</v>
      </c>
      <c r="J225" s="255"/>
      <c r="K225" s="255"/>
      <c r="L225" s="255"/>
      <c r="M225" s="255"/>
    </row>
    <row r="226" spans="2:13" ht="18" customHeight="1">
      <c r="B226" s="124" t="str">
        <f t="shared" ref="B226:B232" si="26">B225</f>
        <v>6单银Low-E+12A+6</v>
      </c>
      <c r="C226" s="253">
        <f t="shared" si="25"/>
        <v>-90</v>
      </c>
      <c r="D226" s="253">
        <f t="shared" si="25"/>
        <v>-90</v>
      </c>
      <c r="E226" s="32">
        <f t="shared" ref="E226:E284" si="27">C226*D226/10^6</f>
        <v>8.0999999999999996E-3</v>
      </c>
      <c r="F226" s="250">
        <f>G27</f>
        <v>0</v>
      </c>
      <c r="G226" s="126">
        <f t="shared" ref="G226:G232" si="28">G225</f>
        <v>148</v>
      </c>
      <c r="H226" s="250">
        <f t="shared" ref="H226:H241" si="29">ROUND(E226*G226*F226,2)</f>
        <v>0</v>
      </c>
      <c r="I226" s="247" t="s">
        <v>162</v>
      </c>
      <c r="J226" s="255"/>
      <c r="K226" s="255"/>
      <c r="L226" s="255"/>
      <c r="M226" s="255"/>
    </row>
    <row r="227" spans="2:13" ht="18" customHeight="1">
      <c r="B227" s="124" t="str">
        <f t="shared" si="26"/>
        <v>6单银Low-E+12A+6</v>
      </c>
      <c r="C227" s="253">
        <f t="shared" si="25"/>
        <v>-90</v>
      </c>
      <c r="D227" s="253">
        <f t="shared" si="25"/>
        <v>-90</v>
      </c>
      <c r="E227" s="32">
        <f t="shared" si="27"/>
        <v>8.0999999999999996E-3</v>
      </c>
      <c r="F227" s="250">
        <f>G28</f>
        <v>0</v>
      </c>
      <c r="G227" s="126">
        <f t="shared" si="28"/>
        <v>148</v>
      </c>
      <c r="H227" s="250">
        <f t="shared" si="29"/>
        <v>0</v>
      </c>
      <c r="I227" s="247" t="s">
        <v>162</v>
      </c>
      <c r="J227" s="255"/>
      <c r="K227" s="255"/>
      <c r="L227" s="255"/>
      <c r="M227" s="255"/>
    </row>
    <row r="228" spans="2:13" ht="18" customHeight="1">
      <c r="B228" s="124" t="str">
        <f t="shared" si="26"/>
        <v>6单银Low-E+12A+6</v>
      </c>
      <c r="C228" s="253">
        <f t="shared" si="25"/>
        <v>-90</v>
      </c>
      <c r="D228" s="253">
        <f t="shared" si="25"/>
        <v>-90</v>
      </c>
      <c r="E228" s="32">
        <f t="shared" si="27"/>
        <v>8.0999999999999996E-3</v>
      </c>
      <c r="F228" s="250">
        <f>G29</f>
        <v>0</v>
      </c>
      <c r="G228" s="126">
        <f t="shared" si="28"/>
        <v>148</v>
      </c>
      <c r="H228" s="250">
        <f t="shared" si="29"/>
        <v>0</v>
      </c>
      <c r="I228" s="247" t="s">
        <v>162</v>
      </c>
      <c r="J228" s="255"/>
      <c r="K228" s="255"/>
      <c r="L228" s="255"/>
      <c r="M228" s="255"/>
    </row>
    <row r="229" spans="2:13" ht="18" customHeight="1">
      <c r="B229" s="124" t="str">
        <f t="shared" si="26"/>
        <v>6单银Low-E+12A+6</v>
      </c>
      <c r="C229" s="253">
        <f t="shared" si="25"/>
        <v>-90</v>
      </c>
      <c r="D229" s="253">
        <f t="shared" si="25"/>
        <v>-90</v>
      </c>
      <c r="E229" s="32">
        <f t="shared" si="27"/>
        <v>8.0999999999999996E-3</v>
      </c>
      <c r="F229" s="250">
        <f>G30</f>
        <v>0</v>
      </c>
      <c r="G229" s="126">
        <f t="shared" si="28"/>
        <v>148</v>
      </c>
      <c r="H229" s="250">
        <f t="shared" si="29"/>
        <v>0</v>
      </c>
      <c r="I229" s="247" t="s">
        <v>162</v>
      </c>
      <c r="J229" s="123"/>
      <c r="K229" s="123"/>
      <c r="L229" s="123"/>
    </row>
    <row r="230" spans="2:13" ht="18" customHeight="1">
      <c r="B230" s="124" t="str">
        <f t="shared" si="26"/>
        <v>6单银Low-E+12A+6</v>
      </c>
      <c r="C230" s="253">
        <f t="shared" ref="C230:D232" si="30">D101</f>
        <v>385</v>
      </c>
      <c r="D230" s="253">
        <f t="shared" si="30"/>
        <v>578</v>
      </c>
      <c r="E230" s="32">
        <f t="shared" si="27"/>
        <v>0.22253000000000001</v>
      </c>
      <c r="F230" s="250">
        <f>G101</f>
        <v>2</v>
      </c>
      <c r="G230" s="126">
        <f t="shared" si="28"/>
        <v>148</v>
      </c>
      <c r="H230" s="250">
        <f t="shared" si="29"/>
        <v>65.87</v>
      </c>
      <c r="I230" s="127" t="s">
        <v>163</v>
      </c>
      <c r="J230" s="123"/>
      <c r="K230" s="123"/>
      <c r="L230" s="123"/>
    </row>
    <row r="231" spans="2:13" ht="18" customHeight="1">
      <c r="B231" s="124" t="str">
        <f t="shared" si="26"/>
        <v>6单银Low-E+12A+6</v>
      </c>
      <c r="C231" s="253">
        <f t="shared" si="30"/>
        <v>-122</v>
      </c>
      <c r="D231" s="253">
        <f t="shared" si="30"/>
        <v>-122</v>
      </c>
      <c r="E231" s="32">
        <f t="shared" si="27"/>
        <v>1.4884E-2</v>
      </c>
      <c r="F231" s="250">
        <f>G102</f>
        <v>0</v>
      </c>
      <c r="G231" s="126">
        <f t="shared" si="28"/>
        <v>148</v>
      </c>
      <c r="H231" s="250">
        <f t="shared" si="29"/>
        <v>0</v>
      </c>
      <c r="I231" s="127" t="s">
        <v>163</v>
      </c>
    </row>
    <row r="232" spans="2:13" ht="18" customHeight="1">
      <c r="B232" s="124" t="str">
        <f t="shared" si="26"/>
        <v>6单银Low-E+12A+6</v>
      </c>
      <c r="C232" s="253">
        <f t="shared" si="30"/>
        <v>-122</v>
      </c>
      <c r="D232" s="253">
        <f t="shared" si="30"/>
        <v>-122</v>
      </c>
      <c r="E232" s="32">
        <f t="shared" si="27"/>
        <v>1.4884E-2</v>
      </c>
      <c r="F232" s="250">
        <f>G103</f>
        <v>0</v>
      </c>
      <c r="G232" s="126">
        <f t="shared" si="28"/>
        <v>148</v>
      </c>
      <c r="H232" s="250">
        <f t="shared" si="29"/>
        <v>0</v>
      </c>
      <c r="I232" s="127" t="s">
        <v>163</v>
      </c>
    </row>
    <row r="233" spans="2:13" ht="18" customHeight="1">
      <c r="B233" s="48" t="s">
        <v>164</v>
      </c>
      <c r="C233" s="52"/>
      <c r="D233" s="50"/>
      <c r="E233" s="128"/>
      <c r="F233" s="50">
        <f>SUM(F225:F232)</f>
        <v>2</v>
      </c>
      <c r="G233" s="50"/>
      <c r="H233" s="52">
        <f>SUM(H225:H232)</f>
        <v>65.87</v>
      </c>
      <c r="I233" s="53">
        <f>ROUND((E225*F225+E226*F226+E227*F227+E228*F228+E229*F229+E230*F230+E231*F231+E232*F232),2)</f>
        <v>0.45</v>
      </c>
    </row>
    <row r="234" spans="2:13" ht="18" customHeight="1">
      <c r="B234" s="124" t="str">
        <f>B232</f>
        <v>6单银Low-E+12A+6</v>
      </c>
      <c r="C234" s="253">
        <f>C225</f>
        <v>-90</v>
      </c>
      <c r="D234" s="253">
        <f>D225</f>
        <v>-90</v>
      </c>
      <c r="E234" s="32">
        <f t="shared" si="27"/>
        <v>8.0999999999999996E-3</v>
      </c>
      <c r="F234" s="250">
        <f>IF(F225=0,G26,0)</f>
        <v>0</v>
      </c>
      <c r="G234" s="126">
        <f>G232</f>
        <v>148</v>
      </c>
      <c r="H234" s="250">
        <f t="shared" si="29"/>
        <v>0</v>
      </c>
      <c r="I234" s="247" t="s">
        <v>165</v>
      </c>
      <c r="J234" s="129"/>
    </row>
    <row r="235" spans="2:13" ht="18" customHeight="1">
      <c r="B235" s="124" t="str">
        <f t="shared" ref="B235:B241" si="31">B234</f>
        <v>6单银Low-E+12A+6</v>
      </c>
      <c r="C235" s="253">
        <f t="shared" ref="C235:D241" si="32">C226</f>
        <v>-90</v>
      </c>
      <c r="D235" s="253">
        <f t="shared" si="32"/>
        <v>-90</v>
      </c>
      <c r="E235" s="32">
        <f t="shared" si="27"/>
        <v>8.0999999999999996E-3</v>
      </c>
      <c r="F235" s="250">
        <f>IF(F226=0,G27,0)</f>
        <v>0</v>
      </c>
      <c r="G235" s="126">
        <f>G234</f>
        <v>148</v>
      </c>
      <c r="H235" s="250">
        <f t="shared" si="29"/>
        <v>0</v>
      </c>
      <c r="I235" s="247" t="s">
        <v>165</v>
      </c>
      <c r="J235" s="129"/>
    </row>
    <row r="236" spans="2:13" ht="18" customHeight="1">
      <c r="B236" s="124" t="str">
        <f t="shared" si="31"/>
        <v>6单银Low-E+12A+6</v>
      </c>
      <c r="C236" s="253">
        <f t="shared" si="32"/>
        <v>-90</v>
      </c>
      <c r="D236" s="253">
        <f t="shared" si="32"/>
        <v>-90</v>
      </c>
      <c r="E236" s="32">
        <f t="shared" si="27"/>
        <v>8.0999999999999996E-3</v>
      </c>
      <c r="F236" s="250">
        <f>IF(F227=0,G28,0)</f>
        <v>0</v>
      </c>
      <c r="G236" s="126">
        <f t="shared" ref="G236:G241" si="33">G234</f>
        <v>148</v>
      </c>
      <c r="H236" s="250">
        <f t="shared" si="29"/>
        <v>0</v>
      </c>
      <c r="I236" s="247" t="s">
        <v>165</v>
      </c>
      <c r="J236" s="129"/>
    </row>
    <row r="237" spans="2:13" ht="18" customHeight="1">
      <c r="B237" s="124" t="str">
        <f t="shared" si="31"/>
        <v>6单银Low-E+12A+6</v>
      </c>
      <c r="C237" s="253">
        <f t="shared" si="32"/>
        <v>-90</v>
      </c>
      <c r="D237" s="253">
        <f t="shared" si="32"/>
        <v>-90</v>
      </c>
      <c r="E237" s="32">
        <f t="shared" si="27"/>
        <v>8.0999999999999996E-3</v>
      </c>
      <c r="F237" s="250">
        <f>IF(F228=0,G29,0)</f>
        <v>0</v>
      </c>
      <c r="G237" s="126">
        <f t="shared" si="33"/>
        <v>148</v>
      </c>
      <c r="H237" s="250">
        <f t="shared" si="29"/>
        <v>0</v>
      </c>
      <c r="I237" s="247" t="s">
        <v>165</v>
      </c>
      <c r="J237" s="129"/>
    </row>
    <row r="238" spans="2:13" ht="18" customHeight="1">
      <c r="B238" s="124" t="str">
        <f t="shared" si="31"/>
        <v>6单银Low-E+12A+6</v>
      </c>
      <c r="C238" s="253">
        <f t="shared" si="32"/>
        <v>-90</v>
      </c>
      <c r="D238" s="253">
        <f t="shared" si="32"/>
        <v>-90</v>
      </c>
      <c r="E238" s="32">
        <f t="shared" si="27"/>
        <v>8.0999999999999996E-3</v>
      </c>
      <c r="F238" s="250">
        <f>IF(F229=0,G30,0)</f>
        <v>0</v>
      </c>
      <c r="G238" s="126">
        <f t="shared" si="33"/>
        <v>148</v>
      </c>
      <c r="H238" s="250">
        <f t="shared" si="29"/>
        <v>0</v>
      </c>
      <c r="I238" s="247" t="s">
        <v>165</v>
      </c>
      <c r="J238" s="129"/>
    </row>
    <row r="239" spans="2:13" ht="18" customHeight="1">
      <c r="B239" s="124" t="str">
        <f t="shared" si="31"/>
        <v>6单银Low-E+12A+6</v>
      </c>
      <c r="C239" s="253">
        <f t="shared" si="32"/>
        <v>385</v>
      </c>
      <c r="D239" s="253">
        <f t="shared" si="32"/>
        <v>578</v>
      </c>
      <c r="E239" s="32">
        <f t="shared" si="27"/>
        <v>0.22253000000000001</v>
      </c>
      <c r="F239" s="250">
        <f>IF(F230=0,G35,0)</f>
        <v>0</v>
      </c>
      <c r="G239" s="126">
        <f t="shared" si="33"/>
        <v>148</v>
      </c>
      <c r="H239" s="250">
        <f t="shared" si="29"/>
        <v>0</v>
      </c>
      <c r="I239" s="127" t="s">
        <v>166</v>
      </c>
      <c r="J239" s="129"/>
    </row>
    <row r="240" spans="2:13" ht="18" customHeight="1">
      <c r="B240" s="124" t="str">
        <f t="shared" si="31"/>
        <v>6单银Low-E+12A+6</v>
      </c>
      <c r="C240" s="253">
        <f t="shared" si="32"/>
        <v>-122</v>
      </c>
      <c r="D240" s="253">
        <f t="shared" si="32"/>
        <v>-122</v>
      </c>
      <c r="E240" s="32">
        <f t="shared" si="27"/>
        <v>1.4884E-2</v>
      </c>
      <c r="F240" s="250">
        <f>IF(F231=0,G36,0)</f>
        <v>0</v>
      </c>
      <c r="G240" s="126">
        <f t="shared" si="33"/>
        <v>148</v>
      </c>
      <c r="H240" s="250">
        <f t="shared" si="29"/>
        <v>0</v>
      </c>
      <c r="I240" s="127" t="s">
        <v>166</v>
      </c>
      <c r="J240" s="129"/>
    </row>
    <row r="241" spans="1:16" ht="18" customHeight="1">
      <c r="B241" s="124" t="str">
        <f t="shared" si="31"/>
        <v>6单银Low-E+12A+6</v>
      </c>
      <c r="C241" s="253">
        <f t="shared" si="32"/>
        <v>-122</v>
      </c>
      <c r="D241" s="253">
        <f t="shared" si="32"/>
        <v>-122</v>
      </c>
      <c r="E241" s="32">
        <f t="shared" si="27"/>
        <v>1.4884E-2</v>
      </c>
      <c r="F241" s="250">
        <f>IF(F232=0,G37,0)</f>
        <v>0</v>
      </c>
      <c r="G241" s="126">
        <f t="shared" si="33"/>
        <v>148</v>
      </c>
      <c r="H241" s="250">
        <f t="shared" si="29"/>
        <v>0</v>
      </c>
      <c r="I241" s="127" t="s">
        <v>166</v>
      </c>
      <c r="J241" s="129"/>
    </row>
    <row r="242" spans="1:16" s="43" customFormat="1" ht="18" customHeight="1">
      <c r="A242" s="1"/>
      <c r="B242" s="48" t="s">
        <v>167</v>
      </c>
      <c r="C242" s="52"/>
      <c r="D242" s="50"/>
      <c r="E242" s="128"/>
      <c r="F242" s="50">
        <f>SUM(F234:F241)</f>
        <v>0</v>
      </c>
      <c r="G242" s="50"/>
      <c r="H242" s="52">
        <f>SUM(H234:H241)</f>
        <v>0</v>
      </c>
      <c r="I242" s="53">
        <f>ROUND(SUMPRODUCT(E234:E241*F234:F241),2)</f>
        <v>0</v>
      </c>
      <c r="J242" s="129"/>
      <c r="N242" s="255"/>
      <c r="O242" s="255"/>
      <c r="P242" s="255"/>
    </row>
    <row r="243" spans="1:16" s="43" customFormat="1" ht="18" customHeight="1">
      <c r="A243" s="1"/>
      <c r="B243" s="124" t="str">
        <f>B240</f>
        <v>6单银Low-E+12A+6</v>
      </c>
      <c r="C243" s="253">
        <f t="shared" ref="C243:D249" si="34">D68-12</f>
        <v>2536</v>
      </c>
      <c r="D243" s="253">
        <f t="shared" si="34"/>
        <v>1266</v>
      </c>
      <c r="E243" s="32">
        <f t="shared" si="27"/>
        <v>3.2105760000000001</v>
      </c>
      <c r="F243" s="82">
        <f t="shared" ref="F243:F249" si="35">G68</f>
        <v>1</v>
      </c>
      <c r="G243" s="130">
        <f>材料价格!B11</f>
        <v>312</v>
      </c>
      <c r="H243" s="250">
        <f t="shared" ref="H243:H249" si="36">ROUND(E243*G243*F243,2)</f>
        <v>1001.7</v>
      </c>
      <c r="I243" s="247" t="s">
        <v>168</v>
      </c>
      <c r="J243" s="129"/>
      <c r="N243" s="255"/>
      <c r="O243" s="255"/>
      <c r="P243" s="255"/>
    </row>
    <row r="244" spans="1:16" s="43" customFormat="1" ht="18" customHeight="1">
      <c r="A244" s="1"/>
      <c r="B244" s="124" t="str">
        <f t="shared" ref="B244:B249" si="37">B243</f>
        <v>6单银Low-E+12A+6</v>
      </c>
      <c r="C244" s="253">
        <f t="shared" si="34"/>
        <v>541</v>
      </c>
      <c r="D244" s="253">
        <f t="shared" si="34"/>
        <v>734</v>
      </c>
      <c r="E244" s="32">
        <f t="shared" si="27"/>
        <v>0.397094</v>
      </c>
      <c r="F244" s="82">
        <f t="shared" si="35"/>
        <v>2</v>
      </c>
      <c r="G244" s="130">
        <f>G241</f>
        <v>148</v>
      </c>
      <c r="H244" s="250">
        <f t="shared" si="36"/>
        <v>117.54</v>
      </c>
      <c r="I244" s="247" t="s">
        <v>168</v>
      </c>
      <c r="J244" s="129"/>
      <c r="N244" s="255"/>
      <c r="O244" s="255"/>
      <c r="P244" s="255"/>
    </row>
    <row r="245" spans="1:16" s="43" customFormat="1" ht="18" customHeight="1">
      <c r="A245" s="1"/>
      <c r="B245" s="124" t="str">
        <f t="shared" si="37"/>
        <v>6单银Low-E+12A+6</v>
      </c>
      <c r="C245" s="253">
        <f t="shared" si="34"/>
        <v>-12</v>
      </c>
      <c r="D245" s="253">
        <f t="shared" si="34"/>
        <v>-12</v>
      </c>
      <c r="E245" s="32">
        <f t="shared" si="27"/>
        <v>1.44E-4</v>
      </c>
      <c r="F245" s="82">
        <f t="shared" si="35"/>
        <v>0</v>
      </c>
      <c r="G245" s="130">
        <f t="shared" ref="G245:G249" si="38">G244</f>
        <v>148</v>
      </c>
      <c r="H245" s="250">
        <f t="shared" si="36"/>
        <v>0</v>
      </c>
      <c r="I245" s="247" t="s">
        <v>168</v>
      </c>
      <c r="J245" s="129"/>
      <c r="N245" s="255"/>
      <c r="O245" s="255"/>
      <c r="P245" s="255"/>
    </row>
    <row r="246" spans="1:16" s="43" customFormat="1" ht="18" customHeight="1">
      <c r="A246" s="1"/>
      <c r="B246" s="124" t="str">
        <f t="shared" si="37"/>
        <v>6单银Low-E+12A+6</v>
      </c>
      <c r="C246" s="253">
        <f t="shared" si="34"/>
        <v>-12</v>
      </c>
      <c r="D246" s="253">
        <f t="shared" si="34"/>
        <v>-12</v>
      </c>
      <c r="E246" s="32">
        <f t="shared" si="27"/>
        <v>1.44E-4</v>
      </c>
      <c r="F246" s="82">
        <f t="shared" si="35"/>
        <v>0</v>
      </c>
      <c r="G246" s="130">
        <f t="shared" si="38"/>
        <v>148</v>
      </c>
      <c r="H246" s="250">
        <f t="shared" si="36"/>
        <v>0</v>
      </c>
      <c r="I246" s="247" t="s">
        <v>168</v>
      </c>
      <c r="J246" s="129"/>
      <c r="N246" s="255"/>
      <c r="O246" s="255"/>
      <c r="P246" s="255"/>
    </row>
    <row r="247" spans="1:16" s="43" customFormat="1" ht="18" customHeight="1">
      <c r="A247" s="1"/>
      <c r="B247" s="124" t="str">
        <f t="shared" si="37"/>
        <v>6单银Low-E+12A+6</v>
      </c>
      <c r="C247" s="253">
        <f t="shared" si="34"/>
        <v>-12</v>
      </c>
      <c r="D247" s="253">
        <f t="shared" si="34"/>
        <v>-12</v>
      </c>
      <c r="E247" s="32">
        <f t="shared" si="27"/>
        <v>1.44E-4</v>
      </c>
      <c r="F247" s="82">
        <f t="shared" si="35"/>
        <v>0</v>
      </c>
      <c r="G247" s="130">
        <f t="shared" si="38"/>
        <v>148</v>
      </c>
      <c r="H247" s="250">
        <f t="shared" si="36"/>
        <v>0</v>
      </c>
      <c r="I247" s="247" t="s">
        <v>168</v>
      </c>
      <c r="J247" s="129"/>
      <c r="N247" s="255"/>
      <c r="O247" s="255"/>
      <c r="P247" s="255"/>
    </row>
    <row r="248" spans="1:16" s="43" customFormat="1" ht="18" customHeight="1">
      <c r="A248" s="1"/>
      <c r="B248" s="124" t="str">
        <f t="shared" si="37"/>
        <v>6单银Low-E+12A+6</v>
      </c>
      <c r="C248" s="253">
        <f t="shared" si="34"/>
        <v>-12</v>
      </c>
      <c r="D248" s="253">
        <f t="shared" si="34"/>
        <v>-12</v>
      </c>
      <c r="E248" s="32">
        <f t="shared" si="27"/>
        <v>1.44E-4</v>
      </c>
      <c r="F248" s="82">
        <f t="shared" si="35"/>
        <v>0</v>
      </c>
      <c r="G248" s="130">
        <f t="shared" si="38"/>
        <v>148</v>
      </c>
      <c r="H248" s="250">
        <f t="shared" si="36"/>
        <v>0</v>
      </c>
      <c r="I248" s="247" t="s">
        <v>168</v>
      </c>
      <c r="J248" s="129"/>
      <c r="N248" s="255"/>
      <c r="O248" s="255"/>
      <c r="P248" s="255"/>
    </row>
    <row r="249" spans="1:16" s="43" customFormat="1" ht="18" customHeight="1">
      <c r="A249" s="1"/>
      <c r="B249" s="124" t="str">
        <f t="shared" si="37"/>
        <v>6单银Low-E+12A+6</v>
      </c>
      <c r="C249" s="253">
        <f t="shared" si="34"/>
        <v>-12</v>
      </c>
      <c r="D249" s="253">
        <f t="shared" si="34"/>
        <v>-12</v>
      </c>
      <c r="E249" s="32">
        <f t="shared" si="27"/>
        <v>1.44E-4</v>
      </c>
      <c r="F249" s="82">
        <f t="shared" si="35"/>
        <v>0</v>
      </c>
      <c r="G249" s="130">
        <f t="shared" si="38"/>
        <v>148</v>
      </c>
      <c r="H249" s="250">
        <f t="shared" si="36"/>
        <v>0</v>
      </c>
      <c r="I249" s="247" t="s">
        <v>168</v>
      </c>
      <c r="J249" s="129"/>
      <c r="N249" s="255"/>
      <c r="O249" s="255"/>
      <c r="P249" s="255"/>
    </row>
    <row r="250" spans="1:16" s="43" customFormat="1" ht="18" customHeight="1">
      <c r="A250" s="1"/>
      <c r="B250" s="131" t="str">
        <f>B246</f>
        <v>6单银Low-E+12A+6</v>
      </c>
      <c r="C250" s="52"/>
      <c r="D250" s="50"/>
      <c r="E250" s="128"/>
      <c r="F250" s="50">
        <f>SUM(F243:F249)</f>
        <v>3</v>
      </c>
      <c r="G250" s="50"/>
      <c r="H250" s="52">
        <f>SUM(H243:H249)</f>
        <v>1119.24</v>
      </c>
      <c r="I250" s="53">
        <f>ROUND((E243*F243+E244*F244+E245*F245+E246*F246+E247*F247+E248*F248+E249*F249),2)</f>
        <v>4</v>
      </c>
      <c r="J250" s="43">
        <f>(I242+I258+I273+I280)</f>
        <v>0</v>
      </c>
      <c r="N250" s="255"/>
      <c r="O250" s="255"/>
      <c r="P250" s="255"/>
    </row>
    <row r="251" spans="1:16" s="43" customFormat="1" ht="18" customHeight="1">
      <c r="A251" s="1"/>
      <c r="B251" s="124" t="str">
        <f>B249</f>
        <v>6单银Low-E+12A+6</v>
      </c>
      <c r="C251" s="253">
        <f t="shared" ref="C251:D257" si="39">D75-12</f>
        <v>-12</v>
      </c>
      <c r="D251" s="253">
        <f t="shared" si="39"/>
        <v>-12</v>
      </c>
      <c r="E251" s="32">
        <f t="shared" si="27"/>
        <v>1.44E-4</v>
      </c>
      <c r="F251" s="82">
        <f t="shared" ref="F251:F257" si="40">G75</f>
        <v>0</v>
      </c>
      <c r="G251" s="130">
        <f>G249</f>
        <v>148</v>
      </c>
      <c r="H251" s="250">
        <f>ROUND(E251*G251*F251,2)</f>
        <v>0</v>
      </c>
      <c r="I251" s="132" t="s">
        <v>169</v>
      </c>
      <c r="N251" s="255"/>
      <c r="O251" s="255"/>
      <c r="P251" s="255"/>
    </row>
    <row r="252" spans="1:16" s="43" customFormat="1" ht="18" customHeight="1">
      <c r="A252" s="1"/>
      <c r="B252" s="124" t="str">
        <f t="shared" ref="B252:B257" si="41">B251</f>
        <v>6单银Low-E+12A+6</v>
      </c>
      <c r="C252" s="253">
        <f t="shared" si="39"/>
        <v>-12</v>
      </c>
      <c r="D252" s="253">
        <f t="shared" si="39"/>
        <v>-12</v>
      </c>
      <c r="E252" s="32">
        <f t="shared" si="27"/>
        <v>1.44E-4</v>
      </c>
      <c r="F252" s="82">
        <f t="shared" si="40"/>
        <v>0</v>
      </c>
      <c r="G252" s="130">
        <f t="shared" ref="G252:G257" si="42">G251</f>
        <v>148</v>
      </c>
      <c r="H252" s="250">
        <f t="shared" ref="H252:H264" si="43">ROUND(E252*G252*F252,2)</f>
        <v>0</v>
      </c>
      <c r="I252" s="132" t="str">
        <f t="shared" ref="I252:I257" si="44">I251</f>
        <v>固定钢化中空</v>
      </c>
      <c r="N252" s="255"/>
      <c r="O252" s="255"/>
      <c r="P252" s="255"/>
    </row>
    <row r="253" spans="1:16" s="43" customFormat="1" ht="18" customHeight="1">
      <c r="A253" s="1"/>
      <c r="B253" s="124" t="str">
        <f t="shared" si="41"/>
        <v>6单银Low-E+12A+6</v>
      </c>
      <c r="C253" s="253">
        <f t="shared" si="39"/>
        <v>-12</v>
      </c>
      <c r="D253" s="253">
        <f t="shared" si="39"/>
        <v>-12</v>
      </c>
      <c r="E253" s="32">
        <f t="shared" si="27"/>
        <v>1.44E-4</v>
      </c>
      <c r="F253" s="82">
        <f t="shared" si="40"/>
        <v>0</v>
      </c>
      <c r="G253" s="130">
        <f t="shared" si="42"/>
        <v>148</v>
      </c>
      <c r="H253" s="250">
        <f t="shared" si="43"/>
        <v>0</v>
      </c>
      <c r="I253" s="132" t="str">
        <f t="shared" si="44"/>
        <v>固定钢化中空</v>
      </c>
      <c r="N253" s="255"/>
      <c r="O253" s="255"/>
      <c r="P253" s="255"/>
    </row>
    <row r="254" spans="1:16" s="43" customFormat="1" ht="18" customHeight="1">
      <c r="A254" s="1"/>
      <c r="B254" s="124" t="str">
        <f t="shared" si="41"/>
        <v>6单银Low-E+12A+6</v>
      </c>
      <c r="C254" s="253">
        <f t="shared" si="39"/>
        <v>-12</v>
      </c>
      <c r="D254" s="253">
        <f t="shared" si="39"/>
        <v>-12</v>
      </c>
      <c r="E254" s="32">
        <f t="shared" si="27"/>
        <v>1.44E-4</v>
      </c>
      <c r="F254" s="82">
        <f t="shared" si="40"/>
        <v>0</v>
      </c>
      <c r="G254" s="130">
        <f t="shared" si="42"/>
        <v>148</v>
      </c>
      <c r="H254" s="250">
        <f t="shared" si="43"/>
        <v>0</v>
      </c>
      <c r="I254" s="132" t="str">
        <f t="shared" si="44"/>
        <v>固定钢化中空</v>
      </c>
      <c r="J254" s="42"/>
      <c r="N254" s="255"/>
      <c r="O254" s="255"/>
      <c r="P254" s="255"/>
    </row>
    <row r="255" spans="1:16" s="43" customFormat="1" ht="18" customHeight="1">
      <c r="A255" s="1"/>
      <c r="B255" s="124" t="str">
        <f t="shared" si="41"/>
        <v>6单银Low-E+12A+6</v>
      </c>
      <c r="C255" s="253">
        <f t="shared" si="39"/>
        <v>-12</v>
      </c>
      <c r="D255" s="253">
        <f t="shared" si="39"/>
        <v>-12</v>
      </c>
      <c r="E255" s="32">
        <f t="shared" si="27"/>
        <v>1.44E-4</v>
      </c>
      <c r="F255" s="82">
        <f t="shared" si="40"/>
        <v>0</v>
      </c>
      <c r="G255" s="130">
        <f t="shared" si="42"/>
        <v>148</v>
      </c>
      <c r="H255" s="250">
        <f t="shared" si="43"/>
        <v>0</v>
      </c>
      <c r="I255" s="132" t="str">
        <f t="shared" si="44"/>
        <v>固定钢化中空</v>
      </c>
      <c r="N255" s="255"/>
      <c r="O255" s="255"/>
      <c r="P255" s="255"/>
    </row>
    <row r="256" spans="1:16" s="43" customFormat="1" ht="18" customHeight="1">
      <c r="A256" s="1"/>
      <c r="B256" s="124" t="str">
        <f t="shared" si="41"/>
        <v>6单银Low-E+12A+6</v>
      </c>
      <c r="C256" s="253">
        <f t="shared" si="39"/>
        <v>-12</v>
      </c>
      <c r="D256" s="253">
        <f t="shared" si="39"/>
        <v>-12</v>
      </c>
      <c r="E256" s="32">
        <f t="shared" si="27"/>
        <v>1.44E-4</v>
      </c>
      <c r="F256" s="82">
        <f t="shared" si="40"/>
        <v>0</v>
      </c>
      <c r="G256" s="130">
        <f t="shared" si="42"/>
        <v>148</v>
      </c>
      <c r="H256" s="250">
        <f t="shared" si="43"/>
        <v>0</v>
      </c>
      <c r="I256" s="132" t="str">
        <f t="shared" si="44"/>
        <v>固定钢化中空</v>
      </c>
      <c r="N256" s="255"/>
      <c r="O256" s="255"/>
      <c r="P256" s="255"/>
    </row>
    <row r="257" spans="1:16" s="43" customFormat="1" ht="18" customHeight="1">
      <c r="A257" s="1"/>
      <c r="B257" s="124" t="str">
        <f t="shared" si="41"/>
        <v>6单银Low-E+12A+6</v>
      </c>
      <c r="C257" s="253">
        <f t="shared" si="39"/>
        <v>-12</v>
      </c>
      <c r="D257" s="253">
        <f t="shared" si="39"/>
        <v>-12</v>
      </c>
      <c r="E257" s="32">
        <f t="shared" si="27"/>
        <v>1.44E-4</v>
      </c>
      <c r="F257" s="82">
        <f t="shared" si="40"/>
        <v>0</v>
      </c>
      <c r="G257" s="130">
        <f t="shared" si="42"/>
        <v>148</v>
      </c>
      <c r="H257" s="250">
        <f t="shared" si="43"/>
        <v>0</v>
      </c>
      <c r="I257" s="132" t="str">
        <f t="shared" si="44"/>
        <v>固定钢化中空</v>
      </c>
      <c r="N257" s="255"/>
      <c r="O257" s="255"/>
      <c r="P257" s="255"/>
    </row>
    <row r="258" spans="1:16" s="43" customFormat="1" ht="18" customHeight="1">
      <c r="A258" s="1"/>
      <c r="B258" s="48" t="s">
        <v>170</v>
      </c>
      <c r="C258" s="52"/>
      <c r="D258" s="50"/>
      <c r="E258" s="128"/>
      <c r="F258" s="50">
        <f>SUM(F251:F257)</f>
        <v>0</v>
      </c>
      <c r="G258" s="50"/>
      <c r="H258" s="52">
        <f>SUM(H251:H257)</f>
        <v>0</v>
      </c>
      <c r="I258" s="53">
        <f>ROUND((E251*F251+E252*F252+E253*F253+E254*F254+E255*F255+E256*F256+E257*F257),2)</f>
        <v>0</v>
      </c>
      <c r="N258" s="255"/>
      <c r="O258" s="255"/>
      <c r="P258" s="255"/>
    </row>
    <row r="259" spans="1:16" s="43" customFormat="1" ht="18" customHeight="1">
      <c r="A259" s="1"/>
      <c r="B259" s="124" t="str">
        <f>B257</f>
        <v>6单银Low-E+12A+6</v>
      </c>
      <c r="C259" s="253">
        <f t="shared" ref="C259:D264" si="45">D82-12</f>
        <v>-12</v>
      </c>
      <c r="D259" s="253">
        <f t="shared" si="45"/>
        <v>-12</v>
      </c>
      <c r="E259" s="32">
        <f t="shared" si="27"/>
        <v>1.44E-4</v>
      </c>
      <c r="F259" s="82">
        <f t="shared" ref="F259:F264" si="46">G82</f>
        <v>0</v>
      </c>
      <c r="G259" s="130">
        <f>G257</f>
        <v>148</v>
      </c>
      <c r="H259" s="250">
        <f t="shared" si="43"/>
        <v>0</v>
      </c>
      <c r="I259" s="247" t="s">
        <v>171</v>
      </c>
      <c r="N259" s="255"/>
      <c r="O259" s="255"/>
      <c r="P259" s="255"/>
    </row>
    <row r="260" spans="1:16" s="43" customFormat="1" ht="18" customHeight="1">
      <c r="A260" s="1"/>
      <c r="B260" s="124" t="str">
        <f>B259</f>
        <v>6单银Low-E+12A+6</v>
      </c>
      <c r="C260" s="253">
        <f t="shared" si="45"/>
        <v>-12</v>
      </c>
      <c r="D260" s="253">
        <f t="shared" si="45"/>
        <v>-12</v>
      </c>
      <c r="E260" s="32">
        <f t="shared" si="27"/>
        <v>1.44E-4</v>
      </c>
      <c r="F260" s="82">
        <f t="shared" si="46"/>
        <v>0</v>
      </c>
      <c r="G260" s="130">
        <f>G259</f>
        <v>148</v>
      </c>
      <c r="H260" s="250">
        <f t="shared" si="43"/>
        <v>0</v>
      </c>
      <c r="I260" s="247" t="s">
        <v>171</v>
      </c>
      <c r="N260" s="255"/>
      <c r="O260" s="255"/>
      <c r="P260" s="255"/>
    </row>
    <row r="261" spans="1:16" s="43" customFormat="1" ht="18" customHeight="1">
      <c r="A261" s="1"/>
      <c r="B261" s="124" t="str">
        <f>B260</f>
        <v>6单银Low-E+12A+6</v>
      </c>
      <c r="C261" s="253">
        <f t="shared" si="45"/>
        <v>-12</v>
      </c>
      <c r="D261" s="253">
        <f t="shared" si="45"/>
        <v>-12</v>
      </c>
      <c r="E261" s="32">
        <f t="shared" si="27"/>
        <v>1.44E-4</v>
      </c>
      <c r="F261" s="82">
        <f t="shared" si="46"/>
        <v>0</v>
      </c>
      <c r="G261" s="130">
        <f>G260</f>
        <v>148</v>
      </c>
      <c r="H261" s="250">
        <f t="shared" si="43"/>
        <v>0</v>
      </c>
      <c r="I261" s="247" t="s">
        <v>171</v>
      </c>
      <c r="N261" s="255"/>
      <c r="O261" s="255"/>
      <c r="P261" s="255"/>
    </row>
    <row r="262" spans="1:16" s="43" customFormat="1" ht="18" customHeight="1">
      <c r="A262" s="1"/>
      <c r="B262" s="124" t="str">
        <f>B261</f>
        <v>6单银Low-E+12A+6</v>
      </c>
      <c r="C262" s="253">
        <f t="shared" si="45"/>
        <v>-12</v>
      </c>
      <c r="D262" s="253">
        <f t="shared" si="45"/>
        <v>-12</v>
      </c>
      <c r="E262" s="32">
        <f t="shared" si="27"/>
        <v>1.44E-4</v>
      </c>
      <c r="F262" s="82">
        <f t="shared" si="46"/>
        <v>0</v>
      </c>
      <c r="G262" s="130">
        <f>G261</f>
        <v>148</v>
      </c>
      <c r="H262" s="250">
        <f t="shared" si="43"/>
        <v>0</v>
      </c>
      <c r="I262" s="247" t="s">
        <v>171</v>
      </c>
      <c r="N262" s="255"/>
      <c r="O262" s="255"/>
      <c r="P262" s="255"/>
    </row>
    <row r="263" spans="1:16" s="43" customFormat="1" ht="18" customHeight="1">
      <c r="A263" s="1"/>
      <c r="B263" s="124" t="str">
        <f>B262</f>
        <v>6单银Low-E+12A+6</v>
      </c>
      <c r="C263" s="253">
        <f t="shared" si="45"/>
        <v>-12</v>
      </c>
      <c r="D263" s="253">
        <f t="shared" si="45"/>
        <v>-12</v>
      </c>
      <c r="E263" s="32">
        <f t="shared" si="27"/>
        <v>1.44E-4</v>
      </c>
      <c r="F263" s="82">
        <f t="shared" si="46"/>
        <v>0</v>
      </c>
      <c r="G263" s="130">
        <f>G262</f>
        <v>148</v>
      </c>
      <c r="H263" s="250">
        <f t="shared" si="43"/>
        <v>0</v>
      </c>
      <c r="I263" s="247" t="s">
        <v>171</v>
      </c>
      <c r="N263" s="255"/>
      <c r="O263" s="255"/>
      <c r="P263" s="255"/>
    </row>
    <row r="264" spans="1:16" s="43" customFormat="1" ht="18" customHeight="1">
      <c r="A264" s="1"/>
      <c r="B264" s="124" t="str">
        <f>B263</f>
        <v>6单银Low-E+12A+6</v>
      </c>
      <c r="C264" s="253">
        <f t="shared" si="45"/>
        <v>-12</v>
      </c>
      <c r="D264" s="253">
        <f t="shared" si="45"/>
        <v>-12</v>
      </c>
      <c r="E264" s="32">
        <f t="shared" si="27"/>
        <v>1.44E-4</v>
      </c>
      <c r="F264" s="82">
        <f t="shared" si="46"/>
        <v>0</v>
      </c>
      <c r="G264" s="130">
        <f>G263</f>
        <v>148</v>
      </c>
      <c r="H264" s="250">
        <f t="shared" si="43"/>
        <v>0</v>
      </c>
      <c r="I264" s="247" t="s">
        <v>171</v>
      </c>
      <c r="N264" s="255"/>
      <c r="O264" s="255"/>
      <c r="P264" s="255"/>
    </row>
    <row r="265" spans="1:16" s="43" customFormat="1" ht="18" customHeight="1">
      <c r="A265" s="1"/>
      <c r="B265" s="48" t="s">
        <v>172</v>
      </c>
      <c r="C265" s="52"/>
      <c r="D265" s="50"/>
      <c r="E265" s="128"/>
      <c r="F265" s="50">
        <f>SUM(F259:F264)</f>
        <v>0</v>
      </c>
      <c r="G265" s="50"/>
      <c r="H265" s="52">
        <f>SUM(H259:H264)</f>
        <v>0</v>
      </c>
      <c r="I265" s="53">
        <f>ROUND(SUMPRODUCT(E259:E264*F259:F264),2)</f>
        <v>0</v>
      </c>
      <c r="N265" s="255"/>
      <c r="O265" s="255"/>
      <c r="P265" s="255"/>
    </row>
    <row r="266" spans="1:16" s="43" customFormat="1" ht="18" customHeight="1">
      <c r="A266" s="1"/>
      <c r="B266" s="124" t="str">
        <f>B264</f>
        <v>6单银Low-E+12A+6</v>
      </c>
      <c r="C266" s="133">
        <f t="shared" ref="C266:D268" si="47">D143</f>
        <v>530</v>
      </c>
      <c r="D266" s="133">
        <f t="shared" si="47"/>
        <v>2168</v>
      </c>
      <c r="E266" s="32">
        <f t="shared" si="27"/>
        <v>1.1490400000000001</v>
      </c>
      <c r="F266" s="134">
        <f>G143</f>
        <v>2</v>
      </c>
      <c r="G266" s="135">
        <f>G264</f>
        <v>148</v>
      </c>
      <c r="H266" s="134">
        <f>ROUND(E266*G266*F266,2)</f>
        <v>340.12</v>
      </c>
      <c r="I266" s="136" t="s">
        <v>173</v>
      </c>
      <c r="N266" s="255"/>
      <c r="O266" s="255"/>
      <c r="P266" s="255"/>
    </row>
    <row r="267" spans="1:16" s="43" customFormat="1" ht="18" customHeight="1">
      <c r="A267" s="1"/>
      <c r="B267" s="124" t="str">
        <f>B264</f>
        <v>6单银Low-E+12A+6</v>
      </c>
      <c r="C267" s="133">
        <f t="shared" si="47"/>
        <v>-154</v>
      </c>
      <c r="D267" s="133">
        <f t="shared" si="47"/>
        <v>-154</v>
      </c>
      <c r="E267" s="32">
        <f t="shared" si="27"/>
        <v>2.3716000000000001E-2</v>
      </c>
      <c r="F267" s="134">
        <f>G144</f>
        <v>0</v>
      </c>
      <c r="G267" s="135">
        <f>G266</f>
        <v>148</v>
      </c>
      <c r="H267" s="134">
        <f>ROUND(E267*G267*F267,2)</f>
        <v>0</v>
      </c>
      <c r="I267" s="136" t="s">
        <v>173</v>
      </c>
      <c r="N267" s="255"/>
      <c r="O267" s="255"/>
      <c r="P267" s="255"/>
    </row>
    <row r="268" spans="1:16" s="43" customFormat="1" ht="18" customHeight="1">
      <c r="A268" s="1"/>
      <c r="B268" s="124" t="str">
        <f>B267</f>
        <v>6单银Low-E+12A+6</v>
      </c>
      <c r="C268" s="133">
        <f t="shared" si="47"/>
        <v>-154</v>
      </c>
      <c r="D268" s="133">
        <f t="shared" si="47"/>
        <v>-154</v>
      </c>
      <c r="E268" s="32">
        <f t="shared" si="27"/>
        <v>2.3716000000000001E-2</v>
      </c>
      <c r="F268" s="134">
        <f>G145</f>
        <v>0</v>
      </c>
      <c r="G268" s="135">
        <f>G267</f>
        <v>148</v>
      </c>
      <c r="H268" s="134">
        <f>ROUND(E268*G268*F268,2)</f>
        <v>0</v>
      </c>
      <c r="I268" s="136" t="s">
        <v>173</v>
      </c>
      <c r="N268" s="255"/>
      <c r="O268" s="255"/>
      <c r="P268" s="255"/>
    </row>
    <row r="269" spans="1:16" s="43" customFormat="1" ht="18" customHeight="1">
      <c r="A269" s="1"/>
      <c r="B269" s="48" t="s">
        <v>174</v>
      </c>
      <c r="C269" s="52"/>
      <c r="D269" s="50"/>
      <c r="E269" s="128"/>
      <c r="F269" s="50">
        <f>SUM(F266:F268)</f>
        <v>2</v>
      </c>
      <c r="G269" s="50"/>
      <c r="H269" s="52">
        <f>SUM(H266:H268)</f>
        <v>340.12</v>
      </c>
      <c r="I269" s="53">
        <f>ROUND((E266*F266+E267*F267+E268*F268),2)</f>
        <v>2.2999999999999998</v>
      </c>
      <c r="N269" s="255"/>
      <c r="O269" s="255"/>
      <c r="P269" s="255"/>
    </row>
    <row r="270" spans="1:16" s="43" customFormat="1" ht="18" customHeight="1">
      <c r="A270" s="1"/>
      <c r="B270" s="124" t="str">
        <f>B268</f>
        <v>6单银Low-E+12A+6</v>
      </c>
      <c r="C270" s="133">
        <f t="shared" ref="C270:D272" si="48">D150</f>
        <v>-160</v>
      </c>
      <c r="D270" s="133">
        <f t="shared" si="48"/>
        <v>-160</v>
      </c>
      <c r="E270" s="32">
        <f t="shared" si="27"/>
        <v>2.5600000000000001E-2</v>
      </c>
      <c r="F270" s="134">
        <f>G150</f>
        <v>0</v>
      </c>
      <c r="G270" s="135">
        <f>G268</f>
        <v>148</v>
      </c>
      <c r="H270" s="134">
        <f>ROUND(E270*G270*F270,2)</f>
        <v>0</v>
      </c>
      <c r="I270" s="136" t="s">
        <v>173</v>
      </c>
      <c r="N270" s="255"/>
      <c r="O270" s="255"/>
      <c r="P270" s="255"/>
    </row>
    <row r="271" spans="1:16" s="43" customFormat="1" ht="18" customHeight="1">
      <c r="A271" s="1"/>
      <c r="B271" s="124" t="str">
        <f>B270</f>
        <v>6单银Low-E+12A+6</v>
      </c>
      <c r="C271" s="133">
        <f t="shared" si="48"/>
        <v>-160</v>
      </c>
      <c r="D271" s="133">
        <f t="shared" si="48"/>
        <v>-160</v>
      </c>
      <c r="E271" s="32">
        <f t="shared" si="27"/>
        <v>2.5600000000000001E-2</v>
      </c>
      <c r="F271" s="134">
        <f>G151</f>
        <v>0</v>
      </c>
      <c r="G271" s="135">
        <f>G270</f>
        <v>148</v>
      </c>
      <c r="H271" s="134">
        <f>ROUND(E271*G271*F271,2)</f>
        <v>0</v>
      </c>
      <c r="I271" s="136" t="s">
        <v>173</v>
      </c>
      <c r="N271" s="255"/>
      <c r="O271" s="255"/>
      <c r="P271" s="255"/>
    </row>
    <row r="272" spans="1:16" s="43" customFormat="1" ht="18" customHeight="1">
      <c r="A272" s="1"/>
      <c r="B272" s="124" t="str">
        <f>B271</f>
        <v>6单银Low-E+12A+6</v>
      </c>
      <c r="C272" s="133">
        <f t="shared" si="48"/>
        <v>-160</v>
      </c>
      <c r="D272" s="133">
        <f t="shared" si="48"/>
        <v>-160</v>
      </c>
      <c r="E272" s="32">
        <f t="shared" si="27"/>
        <v>2.5600000000000001E-2</v>
      </c>
      <c r="F272" s="134">
        <f>G152</f>
        <v>0</v>
      </c>
      <c r="G272" s="135">
        <f>G271</f>
        <v>148</v>
      </c>
      <c r="H272" s="134">
        <f>ROUND(E272*G272*F272,2)</f>
        <v>0</v>
      </c>
      <c r="I272" s="136" t="s">
        <v>173</v>
      </c>
      <c r="N272" s="255"/>
      <c r="O272" s="255"/>
      <c r="P272" s="255"/>
    </row>
    <row r="273" spans="1:16" s="43" customFormat="1" ht="18" customHeight="1">
      <c r="A273" s="1"/>
      <c r="B273" s="48" t="s">
        <v>175</v>
      </c>
      <c r="C273" s="52"/>
      <c r="D273" s="50"/>
      <c r="E273" s="128"/>
      <c r="F273" s="50">
        <f>SUM(F270:F272)</f>
        <v>0</v>
      </c>
      <c r="G273" s="50"/>
      <c r="H273" s="52">
        <f>SUM(H270:H272)</f>
        <v>0</v>
      </c>
      <c r="I273" s="53">
        <f>ROUND((E270*F270+E271*F271+E272*F272),2)</f>
        <v>0</v>
      </c>
      <c r="N273" s="255"/>
      <c r="O273" s="255"/>
      <c r="P273" s="255"/>
    </row>
    <row r="274" spans="1:16" ht="18" customHeight="1">
      <c r="B274" s="124" t="str">
        <f>B272</f>
        <v>6单银Low-E+12A+6</v>
      </c>
      <c r="C274" s="133">
        <f t="shared" ref="C274:D279" si="49">D157-12</f>
        <v>-12</v>
      </c>
      <c r="D274" s="133">
        <f t="shared" si="49"/>
        <v>-12</v>
      </c>
      <c r="E274" s="32">
        <f t="shared" si="27"/>
        <v>1.44E-4</v>
      </c>
      <c r="F274" s="134">
        <f t="shared" ref="F274:F279" si="50">G157</f>
        <v>0</v>
      </c>
      <c r="G274" s="135">
        <f>G272</f>
        <v>148</v>
      </c>
      <c r="H274" s="134">
        <f t="shared" ref="H274:H279" si="51">ROUND(E274*G274*F274,2)</f>
        <v>0</v>
      </c>
      <c r="I274" s="136" t="s">
        <v>176</v>
      </c>
    </row>
    <row r="275" spans="1:16" ht="18" customHeight="1">
      <c r="B275" s="124" t="str">
        <f>B274</f>
        <v>6单银Low-E+12A+6</v>
      </c>
      <c r="C275" s="133">
        <f t="shared" si="49"/>
        <v>-12</v>
      </c>
      <c r="D275" s="133">
        <f t="shared" si="49"/>
        <v>-12</v>
      </c>
      <c r="E275" s="32">
        <f t="shared" si="27"/>
        <v>1.44E-4</v>
      </c>
      <c r="F275" s="134">
        <f t="shared" si="50"/>
        <v>0</v>
      </c>
      <c r="G275" s="135">
        <f>G274</f>
        <v>148</v>
      </c>
      <c r="H275" s="134">
        <f t="shared" si="51"/>
        <v>0</v>
      </c>
      <c r="I275" s="136" t="str">
        <f>I274</f>
        <v>门钢化中空玻璃</v>
      </c>
      <c r="K275" s="43" t="s">
        <v>177</v>
      </c>
    </row>
    <row r="276" spans="1:16" ht="18" customHeight="1">
      <c r="B276" s="124" t="str">
        <f>B275</f>
        <v>6单银Low-E+12A+6</v>
      </c>
      <c r="C276" s="133">
        <f t="shared" si="49"/>
        <v>-12</v>
      </c>
      <c r="D276" s="133">
        <f t="shared" si="49"/>
        <v>-12</v>
      </c>
      <c r="E276" s="32">
        <f t="shared" si="27"/>
        <v>1.44E-4</v>
      </c>
      <c r="F276" s="134">
        <f t="shared" si="50"/>
        <v>0</v>
      </c>
      <c r="G276" s="135">
        <f>G275</f>
        <v>148</v>
      </c>
      <c r="H276" s="134">
        <f t="shared" si="51"/>
        <v>0</v>
      </c>
      <c r="I276" s="136" t="str">
        <f>I275</f>
        <v>门钢化中空玻璃</v>
      </c>
    </row>
    <row r="277" spans="1:16" ht="18" customHeight="1">
      <c r="B277" s="124" t="str">
        <f>B276</f>
        <v>6单银Low-E+12A+6</v>
      </c>
      <c r="C277" s="133">
        <f t="shared" si="49"/>
        <v>-12</v>
      </c>
      <c r="D277" s="133">
        <f t="shared" si="49"/>
        <v>-12</v>
      </c>
      <c r="E277" s="32">
        <f t="shared" si="27"/>
        <v>1.44E-4</v>
      </c>
      <c r="F277" s="134">
        <f t="shared" si="50"/>
        <v>0</v>
      </c>
      <c r="G277" s="135">
        <f>G276</f>
        <v>148</v>
      </c>
      <c r="H277" s="134">
        <f t="shared" si="51"/>
        <v>0</v>
      </c>
      <c r="I277" s="136" t="str">
        <f>I276</f>
        <v>门钢化中空玻璃</v>
      </c>
    </row>
    <row r="278" spans="1:16" ht="18" customHeight="1">
      <c r="B278" s="124" t="str">
        <f>B277</f>
        <v>6单银Low-E+12A+6</v>
      </c>
      <c r="C278" s="133">
        <f t="shared" si="49"/>
        <v>-12</v>
      </c>
      <c r="D278" s="133">
        <f t="shared" si="49"/>
        <v>-12</v>
      </c>
      <c r="E278" s="32">
        <f t="shared" si="27"/>
        <v>1.44E-4</v>
      </c>
      <c r="F278" s="134">
        <f t="shared" si="50"/>
        <v>0</v>
      </c>
      <c r="G278" s="135">
        <f>G277</f>
        <v>148</v>
      </c>
      <c r="H278" s="134">
        <f t="shared" si="51"/>
        <v>0</v>
      </c>
      <c r="I278" s="136" t="str">
        <f>I277</f>
        <v>门钢化中空玻璃</v>
      </c>
    </row>
    <row r="279" spans="1:16" ht="18" customHeight="1">
      <c r="B279" s="124" t="str">
        <f>B278</f>
        <v>6单银Low-E+12A+6</v>
      </c>
      <c r="C279" s="133">
        <f t="shared" si="49"/>
        <v>-12</v>
      </c>
      <c r="D279" s="133">
        <f t="shared" si="49"/>
        <v>-12</v>
      </c>
      <c r="E279" s="32">
        <f t="shared" si="27"/>
        <v>1.44E-4</v>
      </c>
      <c r="F279" s="134">
        <f t="shared" si="50"/>
        <v>0</v>
      </c>
      <c r="G279" s="135">
        <f>G278</f>
        <v>148</v>
      </c>
      <c r="H279" s="134">
        <f t="shared" si="51"/>
        <v>0</v>
      </c>
      <c r="I279" s="136" t="str">
        <f>I278</f>
        <v>门钢化中空玻璃</v>
      </c>
    </row>
    <row r="280" spans="1:16" ht="18" customHeight="1">
      <c r="B280" s="48" t="s">
        <v>178</v>
      </c>
      <c r="C280" s="52"/>
      <c r="D280" s="50"/>
      <c r="E280" s="128"/>
      <c r="F280" s="50">
        <f>SUM(F274:F279)</f>
        <v>0</v>
      </c>
      <c r="G280" s="50"/>
      <c r="H280" s="52">
        <f>SUM(H274:H279)</f>
        <v>0</v>
      </c>
      <c r="I280" s="53">
        <f>ROUND(SUMPRODUCT(E274:E279*F274:F279),2)</f>
        <v>0</v>
      </c>
    </row>
    <row r="281" spans="1:16" ht="18" customHeight="1">
      <c r="B281" s="124" t="str">
        <f>材料价格!A10</f>
        <v>6单银Low-E+12A+6</v>
      </c>
      <c r="C281" s="133">
        <f>C252</f>
        <v>-12</v>
      </c>
      <c r="D281" s="133">
        <f>D252</f>
        <v>-12</v>
      </c>
      <c r="E281" s="32">
        <f t="shared" si="27"/>
        <v>1.44E-4</v>
      </c>
      <c r="F281" s="134"/>
      <c r="G281" s="137">
        <f>材料价格!B10</f>
        <v>148</v>
      </c>
      <c r="H281" s="134">
        <f>ROUND(E281*G281*F281,2)</f>
        <v>0</v>
      </c>
      <c r="I281" s="247" t="s">
        <v>179</v>
      </c>
    </row>
    <row r="282" spans="1:16" ht="18" customHeight="1">
      <c r="B282" s="124" t="str">
        <f>B281</f>
        <v>6单银Low-E+12A+6</v>
      </c>
      <c r="C282" s="133">
        <f>C253</f>
        <v>-12</v>
      </c>
      <c r="D282" s="133">
        <f>D253</f>
        <v>-12</v>
      </c>
      <c r="E282" s="32">
        <f t="shared" si="27"/>
        <v>1.44E-4</v>
      </c>
      <c r="F282" s="134"/>
      <c r="G282" s="135">
        <f>G281</f>
        <v>148</v>
      </c>
      <c r="H282" s="134">
        <f>ROUND(E282*G282*F282,2)</f>
        <v>0</v>
      </c>
      <c r="I282" s="247" t="s">
        <v>179</v>
      </c>
      <c r="J282" s="255"/>
      <c r="K282" s="255"/>
      <c r="L282" s="255"/>
      <c r="M282" s="255"/>
    </row>
    <row r="283" spans="1:16" ht="18" customHeight="1">
      <c r="B283" s="124" t="str">
        <f>B282</f>
        <v>6单银Low-E+12A+6</v>
      </c>
      <c r="C283" s="133">
        <f>D84-12</f>
        <v>-12</v>
      </c>
      <c r="D283" s="133">
        <f>E84-12</f>
        <v>-12</v>
      </c>
      <c r="E283" s="32">
        <f t="shared" si="27"/>
        <v>1.44E-4</v>
      </c>
      <c r="F283" s="134">
        <f>G84</f>
        <v>0</v>
      </c>
      <c r="G283" s="135">
        <f>G282</f>
        <v>148</v>
      </c>
      <c r="H283" s="134">
        <f>ROUND(E283*G283*F283,2)</f>
        <v>0</v>
      </c>
      <c r="I283" s="247" t="s">
        <v>179</v>
      </c>
      <c r="J283" s="255"/>
      <c r="K283" s="255"/>
      <c r="L283" s="255"/>
      <c r="M283" s="255"/>
    </row>
    <row r="284" spans="1:16" ht="18" customHeight="1">
      <c r="B284" s="124" t="str">
        <f>B283</f>
        <v>6单银Low-E+12A+6</v>
      </c>
      <c r="C284" s="133">
        <f>D85-12</f>
        <v>-12</v>
      </c>
      <c r="D284" s="133">
        <f>E85-12</f>
        <v>-12</v>
      </c>
      <c r="E284" s="32">
        <f t="shared" si="27"/>
        <v>1.44E-4</v>
      </c>
      <c r="F284" s="134">
        <f>G85</f>
        <v>0</v>
      </c>
      <c r="G284" s="135">
        <f>G283</f>
        <v>148</v>
      </c>
      <c r="H284" s="134">
        <f>ROUND(E284*G284*F284,2)</f>
        <v>0</v>
      </c>
      <c r="I284" s="247" t="s">
        <v>179</v>
      </c>
      <c r="J284" s="255"/>
      <c r="K284" s="255"/>
      <c r="L284" s="255"/>
      <c r="M284" s="255"/>
    </row>
    <row r="285" spans="1:16" ht="18" customHeight="1">
      <c r="B285" s="48" t="s">
        <v>180</v>
      </c>
      <c r="C285" s="52"/>
      <c r="D285" s="50"/>
      <c r="E285" s="50"/>
      <c r="F285" s="50">
        <f>SUM(F281:F284)</f>
        <v>0</v>
      </c>
      <c r="G285" s="50"/>
      <c r="H285" s="52">
        <f>SUM(H281:H284)</f>
        <v>0</v>
      </c>
      <c r="I285" s="53">
        <f>ROUND((E281*F281+E282*F282+E283*F283+E284*F284),2)</f>
        <v>0</v>
      </c>
      <c r="J285" s="255"/>
      <c r="K285" s="255"/>
      <c r="L285" s="255"/>
      <c r="M285" s="255"/>
    </row>
    <row r="286" spans="1:16" ht="18" customHeight="1">
      <c r="B286" s="124" t="str">
        <f>材料价格!A11</f>
        <v>8单银Low-E+12Ar+8+12A+8mm</v>
      </c>
      <c r="C286" s="133"/>
      <c r="D286" s="133"/>
      <c r="E286" s="32">
        <f>C286*D286/10^6</f>
        <v>0</v>
      </c>
      <c r="F286" s="134"/>
      <c r="G286" s="137">
        <f>材料价格!B11</f>
        <v>312</v>
      </c>
      <c r="H286" s="134">
        <f>ROUND(E286*G286*F286,2)</f>
        <v>0</v>
      </c>
      <c r="I286" s="247" t="s">
        <v>181</v>
      </c>
      <c r="J286" s="255"/>
      <c r="K286" s="255"/>
      <c r="L286" s="255"/>
      <c r="M286" s="255"/>
    </row>
    <row r="287" spans="1:16" ht="18" customHeight="1">
      <c r="B287" s="124" t="str">
        <f>B286</f>
        <v>8单银Low-E+12Ar+8+12A+8mm</v>
      </c>
      <c r="C287" s="133"/>
      <c r="D287" s="133"/>
      <c r="E287" s="32">
        <f>C287*D287/10^6</f>
        <v>0</v>
      </c>
      <c r="F287" s="134"/>
      <c r="G287" s="135">
        <f>G286</f>
        <v>312</v>
      </c>
      <c r="H287" s="134">
        <f>ROUND(E287*G287*F287,2)</f>
        <v>0</v>
      </c>
      <c r="I287" s="247" t="s">
        <v>181</v>
      </c>
      <c r="J287" s="255"/>
      <c r="K287" s="255"/>
      <c r="L287" s="255"/>
      <c r="M287" s="255"/>
    </row>
    <row r="288" spans="1:16" ht="18" customHeight="1">
      <c r="B288" s="138" t="str">
        <f>材料价格!A12</f>
        <v>10单银Low-E+12Ar+10+12A+10mm</v>
      </c>
      <c r="C288" s="139"/>
      <c r="D288" s="139"/>
      <c r="E288" s="140">
        <f>C288*D288/10^6</f>
        <v>0</v>
      </c>
      <c r="F288" s="141"/>
      <c r="G288" s="142">
        <f>材料价格!B12</f>
        <v>395</v>
      </c>
      <c r="H288" s="141">
        <f>ROUND(E288*G288*F288,2)</f>
        <v>0</v>
      </c>
      <c r="I288" s="143" t="s">
        <v>181</v>
      </c>
      <c r="J288" s="255"/>
      <c r="K288" s="255"/>
      <c r="L288" s="255"/>
      <c r="M288" s="255"/>
    </row>
    <row r="289" spans="2:13" ht="18" customHeight="1">
      <c r="B289" s="138" t="str">
        <f>B288</f>
        <v>10单银Low-E+12Ar+10+12A+10mm</v>
      </c>
      <c r="C289" s="139"/>
      <c r="D289" s="139"/>
      <c r="E289" s="140">
        <f>C289*D289/10^6</f>
        <v>0</v>
      </c>
      <c r="F289" s="141"/>
      <c r="G289" s="142">
        <f>G288</f>
        <v>395</v>
      </c>
      <c r="H289" s="141">
        <f>ROUND(E289*G289*F289,2)</f>
        <v>0</v>
      </c>
      <c r="I289" s="143" t="s">
        <v>181</v>
      </c>
      <c r="J289" s="255"/>
      <c r="K289" s="255"/>
      <c r="L289" s="255"/>
      <c r="M289" s="255"/>
    </row>
    <row r="290" spans="2:13" ht="18" customHeight="1">
      <c r="B290" s="48" t="s">
        <v>180</v>
      </c>
      <c r="C290" s="52"/>
      <c r="D290" s="50"/>
      <c r="E290" s="50"/>
      <c r="F290" s="50">
        <f>SUM(F286:F289)</f>
        <v>0</v>
      </c>
      <c r="G290" s="50"/>
      <c r="H290" s="52">
        <f>SUM(H286:H289)</f>
        <v>0</v>
      </c>
      <c r="I290" s="53">
        <f>ROUND((E286*F286+E287*F287+E288*F288+E289*F289),2)</f>
        <v>0</v>
      </c>
      <c r="J290" s="255"/>
      <c r="K290" s="255"/>
      <c r="L290" s="255"/>
      <c r="M290" s="255"/>
    </row>
    <row r="291" spans="2:13" ht="18" customHeight="1">
      <c r="B291" s="642" t="s">
        <v>182</v>
      </c>
      <c r="C291" s="144" t="s">
        <v>183</v>
      </c>
      <c r="D291" s="144" cm="1">
        <f t="array" ref="D291">SUMPRODUCT(E225:E232*F225:F232)+SUMPRODUCT(E243:E249*F243:F249)</f>
        <v>4.4498239999999996</v>
      </c>
      <c r="E291" s="144" t="s">
        <v>184</v>
      </c>
      <c r="F291" s="145">
        <f>F233+F250</f>
        <v>5</v>
      </c>
      <c r="G291" s="145" t="s">
        <v>185</v>
      </c>
      <c r="H291" s="144">
        <f>H233+H250</f>
        <v>1185.1100000000001</v>
      </c>
      <c r="I291" s="146">
        <f>H291/F366</f>
        <v>153.79254856668268</v>
      </c>
      <c r="J291" s="255"/>
      <c r="K291" s="255"/>
      <c r="L291" s="255"/>
      <c r="M291" s="255"/>
    </row>
    <row r="292" spans="2:13" ht="18" customHeight="1">
      <c r="B292" s="642"/>
      <c r="C292" s="144" t="s">
        <v>186</v>
      </c>
      <c r="D292" s="144">
        <f>SUMPRODUCT(E234:E241*F234:F241)+SUMPRODUCT(E251:E257*F251:F257)+SUMPRODUCT(E259:E264*F259:F264)+SUMPRODUCT(E266:E268*F266:F268)+SUMPRODUCT(E270:E272*F270:F272)+SUMPRODUCT(E281:E284*F281:F284)+SUMPRODUCT(E286:E289*F286:F289)+SUMPRODUCT(E274:E279*F274:F279)</f>
        <v>2.2980800000000001</v>
      </c>
      <c r="E292" s="144" t="s">
        <v>186</v>
      </c>
      <c r="F292" s="145">
        <f>F242+F258+F265+F269+F273+F285+F290+F280</f>
        <v>2</v>
      </c>
      <c r="G292" s="145" t="s">
        <v>185</v>
      </c>
      <c r="H292" s="144">
        <f>H242+H258+H265+H269+H273+H280+H285+H290</f>
        <v>340.12</v>
      </c>
      <c r="I292" s="146">
        <f>H292/F366</f>
        <v>44.137608845170583</v>
      </c>
      <c r="J292" s="255"/>
      <c r="K292" s="255"/>
      <c r="L292" s="255"/>
      <c r="M292" s="255"/>
    </row>
    <row r="293" spans="2:13" ht="18" customHeight="1">
      <c r="B293" s="23" t="s">
        <v>187</v>
      </c>
      <c r="C293" s="252" t="s">
        <v>188</v>
      </c>
      <c r="D293" s="68" t="s">
        <v>189</v>
      </c>
      <c r="E293" s="252" t="s">
        <v>8</v>
      </c>
      <c r="F293" s="252" t="s">
        <v>190</v>
      </c>
      <c r="G293" s="252" t="s">
        <v>191</v>
      </c>
      <c r="H293" s="252" t="s">
        <v>160</v>
      </c>
      <c r="I293" s="25" t="s">
        <v>1</v>
      </c>
      <c r="J293" s="255"/>
      <c r="K293" s="255"/>
      <c r="L293" s="255"/>
      <c r="M293" s="255"/>
    </row>
    <row r="294" spans="2:13" ht="18" customHeight="1">
      <c r="B294" s="629" t="s">
        <v>192</v>
      </c>
      <c r="C294" s="253">
        <f>D26</f>
        <v>0</v>
      </c>
      <c r="D294" s="250"/>
      <c r="E294" s="250"/>
      <c r="F294" s="250" t="s">
        <v>193</v>
      </c>
      <c r="G294" s="108">
        <f>材料价格!B14</f>
        <v>153</v>
      </c>
      <c r="H294" s="147">
        <f>E294*G294</f>
        <v>0</v>
      </c>
      <c r="I294" s="632" t="s">
        <v>194</v>
      </c>
      <c r="J294" s="255"/>
      <c r="K294" s="255"/>
      <c r="L294" s="255"/>
      <c r="M294" s="255"/>
    </row>
    <row r="295" spans="2:13" ht="18" customHeight="1">
      <c r="B295" s="629"/>
      <c r="C295" s="253"/>
      <c r="D295" s="250"/>
      <c r="E295" s="250"/>
      <c r="F295" s="250"/>
      <c r="G295" s="108"/>
      <c r="H295" s="147">
        <f t="shared" ref="H295:H303" si="52">E295*G295</f>
        <v>0</v>
      </c>
      <c r="I295" s="633"/>
      <c r="J295" s="255"/>
      <c r="K295" s="255"/>
      <c r="L295" s="255"/>
      <c r="M295" s="255"/>
    </row>
    <row r="296" spans="2:13" ht="18" customHeight="1">
      <c r="B296" s="629" t="s">
        <v>195</v>
      </c>
      <c r="C296" s="253"/>
      <c r="D296" s="148"/>
      <c r="E296" s="250"/>
      <c r="F296" s="250" t="str">
        <f>F294</f>
        <v>坚朗</v>
      </c>
      <c r="G296" s="108">
        <f>材料价格!B15</f>
        <v>80</v>
      </c>
      <c r="H296" s="147">
        <f t="shared" si="52"/>
        <v>0</v>
      </c>
      <c r="I296" s="632" t="s">
        <v>196</v>
      </c>
      <c r="J296" s="255"/>
      <c r="K296" s="255"/>
      <c r="L296" s="255"/>
      <c r="M296" s="255"/>
    </row>
    <row r="297" spans="2:13" ht="18" customHeight="1">
      <c r="B297" s="629"/>
      <c r="C297" s="253"/>
      <c r="D297" s="148"/>
      <c r="E297" s="250"/>
      <c r="F297" s="250"/>
      <c r="G297" s="108"/>
      <c r="H297" s="147">
        <f t="shared" si="52"/>
        <v>0</v>
      </c>
      <c r="I297" s="633"/>
      <c r="J297" s="255"/>
      <c r="K297" s="255"/>
      <c r="L297" s="255"/>
      <c r="M297" s="255"/>
    </row>
    <row r="298" spans="2:13" ht="18" customHeight="1">
      <c r="B298" s="629" t="s">
        <v>197</v>
      </c>
      <c r="C298" s="253"/>
      <c r="D298" s="148"/>
      <c r="E298" s="250">
        <v>2</v>
      </c>
      <c r="F298" s="250" t="str">
        <f>F296</f>
        <v>坚朗</v>
      </c>
      <c r="G298" s="108">
        <f>材料价格!B16</f>
        <v>88</v>
      </c>
      <c r="H298" s="147">
        <f t="shared" si="52"/>
        <v>176</v>
      </c>
      <c r="I298" s="633"/>
      <c r="J298" s="255"/>
      <c r="K298" s="255"/>
      <c r="L298" s="255"/>
      <c r="M298" s="255"/>
    </row>
    <row r="299" spans="2:13" ht="18" customHeight="1">
      <c r="B299" s="629"/>
      <c r="C299" s="253"/>
      <c r="D299" s="148"/>
      <c r="E299" s="250"/>
      <c r="F299" s="250"/>
      <c r="G299" s="108"/>
      <c r="H299" s="147">
        <f t="shared" si="52"/>
        <v>0</v>
      </c>
      <c r="I299" s="633"/>
      <c r="J299" s="255"/>
      <c r="K299" s="255"/>
      <c r="L299" s="255"/>
      <c r="M299" s="255"/>
    </row>
    <row r="300" spans="2:13" ht="18" customHeight="1">
      <c r="B300" s="629" t="s">
        <v>198</v>
      </c>
      <c r="C300" s="253">
        <f>D35</f>
        <v>507</v>
      </c>
      <c r="D300" s="148"/>
      <c r="E300" s="250"/>
      <c r="F300" s="250" t="str">
        <f>F298</f>
        <v>坚朗</v>
      </c>
      <c r="G300" s="108">
        <f>材料价格!B17</f>
        <v>115</v>
      </c>
      <c r="H300" s="147">
        <f t="shared" si="52"/>
        <v>0</v>
      </c>
      <c r="I300" s="149"/>
      <c r="J300" s="255"/>
      <c r="K300" s="255"/>
      <c r="L300" s="255"/>
      <c r="M300" s="255"/>
    </row>
    <row r="301" spans="2:13" ht="18" customHeight="1">
      <c r="B301" s="629"/>
      <c r="C301" s="253"/>
      <c r="D301" s="148"/>
      <c r="E301" s="250"/>
      <c r="F301" s="250"/>
      <c r="G301" s="108"/>
      <c r="H301" s="147">
        <f t="shared" si="52"/>
        <v>0</v>
      </c>
      <c r="I301" s="149"/>
      <c r="J301" s="255"/>
      <c r="K301" s="255"/>
      <c r="L301" s="255"/>
      <c r="M301" s="255"/>
    </row>
    <row r="302" spans="2:13" ht="18" customHeight="1">
      <c r="B302" s="629" t="s">
        <v>199</v>
      </c>
      <c r="C302" s="250" t="s">
        <v>200</v>
      </c>
      <c r="D302" s="148"/>
      <c r="E302" s="250"/>
      <c r="F302" s="250" t="str">
        <f>F300</f>
        <v>坚朗</v>
      </c>
      <c r="G302" s="108">
        <f>材料价格!B19</f>
        <v>230</v>
      </c>
      <c r="H302" s="147">
        <f t="shared" si="52"/>
        <v>0</v>
      </c>
      <c r="I302" s="247"/>
      <c r="J302" s="255"/>
      <c r="K302" s="255"/>
      <c r="L302" s="255"/>
      <c r="M302" s="255"/>
    </row>
    <row r="303" spans="2:13" ht="18" customHeight="1">
      <c r="B303" s="629"/>
      <c r="C303" s="250" t="s">
        <v>201</v>
      </c>
      <c r="D303" s="148"/>
      <c r="E303" s="250">
        <v>1</v>
      </c>
      <c r="F303" s="250" t="str">
        <f>F302</f>
        <v>坚朗</v>
      </c>
      <c r="G303" s="108">
        <f>材料价格!B20</f>
        <v>335</v>
      </c>
      <c r="H303" s="147">
        <f t="shared" si="52"/>
        <v>335</v>
      </c>
      <c r="I303" s="247"/>
      <c r="J303" s="255"/>
      <c r="K303" s="255"/>
      <c r="L303" s="255"/>
      <c r="M303" s="255"/>
    </row>
    <row r="304" spans="2:13" ht="18" customHeight="1">
      <c r="B304" s="150" t="s">
        <v>202</v>
      </c>
      <c r="C304" s="50"/>
      <c r="D304" s="50"/>
      <c r="E304" s="50">
        <f>SUM(E294:E303)</f>
        <v>3</v>
      </c>
      <c r="F304" s="50"/>
      <c r="G304" s="166"/>
      <c r="H304" s="151">
        <f>SUM(H294:H303)</f>
        <v>511</v>
      </c>
      <c r="I304" s="152"/>
      <c r="J304" s="42"/>
    </row>
    <row r="305" spans="1:16" ht="18" customHeight="1">
      <c r="B305" s="246" t="s">
        <v>300</v>
      </c>
      <c r="C305" s="250"/>
      <c r="D305" s="148"/>
      <c r="E305" s="253">
        <f>E294+E296</f>
        <v>0</v>
      </c>
      <c r="F305" s="148"/>
      <c r="G305" s="148">
        <f>材料价格!B27</f>
        <v>0</v>
      </c>
      <c r="H305" s="154">
        <f>E305*G305</f>
        <v>0</v>
      </c>
      <c r="I305" s="247" t="s">
        <v>203</v>
      </c>
    </row>
    <row r="306" spans="1:16" s="16" customFormat="1" ht="18" customHeight="1">
      <c r="A306" s="1"/>
      <c r="B306" s="246" t="s">
        <v>204</v>
      </c>
      <c r="C306" s="250"/>
      <c r="D306" s="148"/>
      <c r="E306" s="253">
        <f>E298+E299+E300+E301</f>
        <v>2</v>
      </c>
      <c r="F306" s="148"/>
      <c r="G306" s="148">
        <f>材料价格!B28</f>
        <v>118</v>
      </c>
      <c r="H306" s="154">
        <f>E306*G306</f>
        <v>236</v>
      </c>
      <c r="I306" s="247" t="s">
        <v>205</v>
      </c>
      <c r="J306" s="43"/>
      <c r="K306" s="43"/>
      <c r="L306" s="43"/>
      <c r="M306" s="43"/>
      <c r="N306" s="255"/>
      <c r="O306" s="255"/>
      <c r="P306" s="255"/>
    </row>
    <row r="307" spans="1:16" s="16" customFormat="1" ht="18" customHeight="1">
      <c r="A307" s="1"/>
      <c r="B307" s="246" t="s">
        <v>206</v>
      </c>
      <c r="C307" s="250"/>
      <c r="D307" s="148"/>
      <c r="E307" s="253"/>
      <c r="F307" s="148"/>
      <c r="G307" s="148"/>
      <c r="H307" s="154">
        <f>E307*G307</f>
        <v>0</v>
      </c>
      <c r="I307" s="247" t="s">
        <v>207</v>
      </c>
      <c r="J307" s="43"/>
      <c r="K307" s="43"/>
      <c r="L307" s="43"/>
      <c r="M307" s="43"/>
      <c r="N307" s="255"/>
      <c r="O307" s="255"/>
      <c r="P307" s="255"/>
    </row>
    <row r="308" spans="1:16" s="16" customFormat="1" ht="18" customHeight="1">
      <c r="A308" s="1"/>
      <c r="B308" s="150" t="s">
        <v>208</v>
      </c>
      <c r="C308" s="50"/>
      <c r="D308" s="50"/>
      <c r="E308" s="100">
        <f>SUM(E305:E307)</f>
        <v>2</v>
      </c>
      <c r="F308" s="50"/>
      <c r="G308" s="166"/>
      <c r="H308" s="155">
        <f>SUM(H305:H307)</f>
        <v>236</v>
      </c>
      <c r="I308" s="152"/>
      <c r="J308" s="43"/>
      <c r="K308" s="43"/>
      <c r="L308" s="43"/>
      <c r="M308" s="43"/>
      <c r="N308" s="255"/>
      <c r="O308" s="255"/>
      <c r="P308" s="255"/>
    </row>
    <row r="309" spans="1:16" s="16" customFormat="1" ht="18" customHeight="1">
      <c r="A309" s="1"/>
      <c r="B309" s="156" t="s">
        <v>209</v>
      </c>
      <c r="C309" s="157">
        <f>ROUND(IF(D4&lt;=200,4,0)+IF(D4&gt;200,(D4/200+1))+IF(E4&lt;=200,4,0)+IF(E4&gt;200,(E4/200+1)),0)</f>
        <v>31</v>
      </c>
      <c r="D309" s="148"/>
      <c r="E309" s="148"/>
      <c r="F309" s="148"/>
      <c r="G309" s="158">
        <v>0.5</v>
      </c>
      <c r="H309" s="159">
        <f>ROUND(C309*G309,2)</f>
        <v>15.5</v>
      </c>
      <c r="I309" s="247" t="s">
        <v>210</v>
      </c>
      <c r="J309" s="43"/>
      <c r="K309" s="43"/>
      <c r="L309" s="43"/>
      <c r="M309" s="43"/>
      <c r="N309" s="255"/>
      <c r="O309" s="255"/>
      <c r="P309" s="255"/>
    </row>
    <row r="310" spans="1:16" s="16" customFormat="1" ht="18" customHeight="1">
      <c r="A310" s="1"/>
      <c r="B310" s="156" t="s">
        <v>211</v>
      </c>
      <c r="C310" s="157">
        <f>C309*2</f>
        <v>62</v>
      </c>
      <c r="D310" s="148">
        <f>D309*2</f>
        <v>0</v>
      </c>
      <c r="E310" s="148"/>
      <c r="F310" s="148"/>
      <c r="G310" s="158">
        <v>0.3</v>
      </c>
      <c r="H310" s="159">
        <f>ROUND(C310*G310,2)</f>
        <v>18.600000000000001</v>
      </c>
      <c r="I310" s="247" t="s">
        <v>212</v>
      </c>
      <c r="J310" s="43"/>
      <c r="K310" s="43"/>
      <c r="L310" s="255"/>
      <c r="M310" s="255"/>
      <c r="N310" s="255"/>
      <c r="O310" s="255"/>
      <c r="P310" s="255"/>
    </row>
    <row r="311" spans="1:16" s="16" customFormat="1" ht="18" customHeight="1">
      <c r="A311" s="1"/>
      <c r="B311" s="160" t="s">
        <v>213</v>
      </c>
      <c r="C311" s="161">
        <f>F6</f>
        <v>7.6504000000000003</v>
      </c>
      <c r="D311" s="162"/>
      <c r="E311" s="162"/>
      <c r="F311" s="162"/>
      <c r="G311" s="163">
        <v>5</v>
      </c>
      <c r="H311" s="159">
        <f>ROUND(C311*G311,2)</f>
        <v>38.25</v>
      </c>
      <c r="I311" s="247"/>
      <c r="J311" s="43"/>
      <c r="K311" s="43"/>
      <c r="L311" s="255"/>
      <c r="M311" s="255"/>
      <c r="N311" s="255"/>
      <c r="O311" s="255"/>
      <c r="P311" s="255"/>
    </row>
    <row r="312" spans="1:16" s="16" customFormat="1" ht="18" customHeight="1">
      <c r="A312" s="1"/>
      <c r="B312" s="160" t="s">
        <v>214</v>
      </c>
      <c r="C312" s="161"/>
      <c r="D312" s="162"/>
      <c r="E312" s="162"/>
      <c r="F312" s="162"/>
      <c r="G312" s="163"/>
      <c r="H312" s="159">
        <f>ROUND(C312*G312,2)</f>
        <v>0</v>
      </c>
      <c r="I312" s="247"/>
      <c r="J312" s="43"/>
      <c r="K312" s="43"/>
      <c r="L312" s="255"/>
      <c r="M312" s="255"/>
      <c r="N312" s="255"/>
      <c r="O312" s="255"/>
      <c r="P312" s="255"/>
    </row>
    <row r="313" spans="1:16" s="16" customFormat="1" ht="18" customHeight="1">
      <c r="A313" s="1"/>
      <c r="B313" s="164" t="s">
        <v>397</v>
      </c>
      <c r="C313" s="161">
        <f>D291+D292</f>
        <v>6.7479040000000001</v>
      </c>
      <c r="D313" s="162"/>
      <c r="E313" s="162"/>
      <c r="F313" s="162"/>
      <c r="G313" s="163">
        <f>10+5</f>
        <v>15</v>
      </c>
      <c r="H313" s="159">
        <f>ROUND(C313*G313,2)</f>
        <v>101.22</v>
      </c>
      <c r="I313" s="247"/>
      <c r="J313" s="43"/>
      <c r="K313" s="43"/>
      <c r="L313" s="255"/>
      <c r="M313" s="255"/>
      <c r="N313" s="255"/>
      <c r="O313" s="255"/>
      <c r="P313" s="255"/>
    </row>
    <row r="314" spans="1:16" s="16" customFormat="1" ht="18" customHeight="1">
      <c r="A314" s="1"/>
      <c r="B314" s="150" t="s">
        <v>215</v>
      </c>
      <c r="C314" s="165"/>
      <c r="D314" s="50"/>
      <c r="E314" s="50"/>
      <c r="F314" s="50"/>
      <c r="G314" s="166"/>
      <c r="H314" s="155">
        <f>SUM(H309:H313)</f>
        <v>173.57</v>
      </c>
      <c r="I314" s="152"/>
      <c r="J314" s="43"/>
      <c r="K314" s="43"/>
      <c r="L314" s="255"/>
      <c r="M314" s="255"/>
      <c r="N314" s="255"/>
      <c r="O314" s="255"/>
      <c r="P314" s="255"/>
    </row>
    <row r="315" spans="1:16" s="16" customFormat="1" ht="18" customHeight="1">
      <c r="A315" s="1"/>
      <c r="B315" s="156" t="s">
        <v>216</v>
      </c>
      <c r="C315" s="167">
        <f>E203+E205+E207+I203+I205+E209+I207</f>
        <v>40</v>
      </c>
      <c r="D315" s="148"/>
      <c r="E315" s="148"/>
      <c r="F315" s="148"/>
      <c r="G315" s="168">
        <v>1.9</v>
      </c>
      <c r="H315" s="154">
        <f t="shared" ref="H315:H318" si="53">ROUND(C315*G315,2)</f>
        <v>76</v>
      </c>
      <c r="I315" s="224" t="s">
        <v>340</v>
      </c>
      <c r="J315" s="255"/>
      <c r="K315" s="43"/>
      <c r="L315" s="255"/>
      <c r="M315" s="255"/>
      <c r="N315" s="255"/>
      <c r="O315" s="255"/>
      <c r="P315" s="255"/>
    </row>
    <row r="316" spans="1:16" s="16" customFormat="1" ht="18" customHeight="1">
      <c r="A316" s="1"/>
      <c r="B316" s="156" t="s">
        <v>217</v>
      </c>
      <c r="C316" s="167">
        <f>ROUND((D4+E4)*2/1000,2)</f>
        <v>11.4</v>
      </c>
      <c r="D316" s="148"/>
      <c r="E316" s="238">
        <v>4</v>
      </c>
      <c r="F316" s="235">
        <f>材料价格!B25</f>
        <v>8.52</v>
      </c>
      <c r="G316" s="168">
        <f t="shared" ref="G316:G321" si="54">F316/E316</f>
        <v>2.13</v>
      </c>
      <c r="H316" s="154">
        <f t="shared" si="53"/>
        <v>24.28</v>
      </c>
      <c r="I316" s="169" t="s">
        <v>218</v>
      </c>
      <c r="J316" s="255"/>
      <c r="K316" s="43"/>
      <c r="L316" s="255"/>
      <c r="M316" s="255"/>
      <c r="N316" s="255"/>
      <c r="O316" s="255"/>
      <c r="P316" s="255"/>
    </row>
    <row r="317" spans="1:16" s="16" customFormat="1" ht="18" customHeight="1">
      <c r="A317" s="1"/>
      <c r="B317" s="156" t="s">
        <v>219</v>
      </c>
      <c r="C317" s="167">
        <f>C316</f>
        <v>11.4</v>
      </c>
      <c r="D317" s="148"/>
      <c r="E317" s="238">
        <v>3</v>
      </c>
      <c r="F317" s="235">
        <f>F316</f>
        <v>8.52</v>
      </c>
      <c r="G317" s="168">
        <f t="shared" si="54"/>
        <v>2.84</v>
      </c>
      <c r="H317" s="154">
        <f t="shared" si="53"/>
        <v>32.380000000000003</v>
      </c>
      <c r="I317" s="169" t="s">
        <v>220</v>
      </c>
      <c r="J317" s="255"/>
      <c r="K317" s="43"/>
      <c r="L317" s="255"/>
      <c r="M317" s="255"/>
      <c r="N317" s="255"/>
      <c r="O317" s="255"/>
      <c r="P317" s="255"/>
    </row>
    <row r="318" spans="1:16" s="16" customFormat="1" ht="18" customHeight="1">
      <c r="A318" s="1"/>
      <c r="B318" s="156" t="s">
        <v>221</v>
      </c>
      <c r="C318" s="167">
        <f>C316</f>
        <v>11.4</v>
      </c>
      <c r="D318" s="148"/>
      <c r="E318" s="238">
        <v>6.5</v>
      </c>
      <c r="F318" s="235">
        <f>材料价格!B26</f>
        <v>23</v>
      </c>
      <c r="G318" s="168">
        <f t="shared" si="54"/>
        <v>3.5384615384615383</v>
      </c>
      <c r="H318" s="154">
        <f t="shared" si="53"/>
        <v>40.340000000000003</v>
      </c>
      <c r="I318" s="224" t="s">
        <v>222</v>
      </c>
      <c r="J318" s="255"/>
      <c r="K318" s="43"/>
      <c r="L318" s="255"/>
      <c r="M318" s="255"/>
      <c r="N318" s="255"/>
      <c r="O318" s="255"/>
      <c r="P318" s="255"/>
    </row>
    <row r="319" spans="1:16" s="16" customFormat="1" ht="18" customHeight="1">
      <c r="A319" s="1"/>
      <c r="B319" s="156" t="s">
        <v>341</v>
      </c>
      <c r="C319" s="167">
        <f>ROUND((C97+C104+C88+C146+C153+C163)*1,2)</f>
        <v>27.49</v>
      </c>
      <c r="D319" s="77">
        <v>1</v>
      </c>
      <c r="E319" s="238">
        <f>10</f>
        <v>10</v>
      </c>
      <c r="F319" s="235">
        <f>F317</f>
        <v>8.52</v>
      </c>
      <c r="G319" s="168">
        <f>F319/E319</f>
        <v>0.85199999999999998</v>
      </c>
      <c r="H319" s="154">
        <f>ROUND(C319*G319,2)</f>
        <v>23.42</v>
      </c>
      <c r="I319" s="247" t="s">
        <v>223</v>
      </c>
      <c r="J319" s="255"/>
      <c r="K319" s="43"/>
      <c r="L319" s="255"/>
      <c r="M319" s="255"/>
      <c r="N319" s="255"/>
      <c r="O319" s="255"/>
      <c r="P319" s="255"/>
    </row>
    <row r="320" spans="1:16" s="16" customFormat="1" ht="18" customHeight="1">
      <c r="A320" s="1"/>
      <c r="B320" s="156" t="s">
        <v>342</v>
      </c>
      <c r="C320" s="167">
        <f>C319</f>
        <v>27.49</v>
      </c>
      <c r="D320" s="77">
        <v>1</v>
      </c>
      <c r="E320" s="238">
        <v>6</v>
      </c>
      <c r="F320" s="235">
        <f>F319</f>
        <v>8.52</v>
      </c>
      <c r="G320" s="168">
        <f t="shared" si="54"/>
        <v>1.42</v>
      </c>
      <c r="H320" s="154">
        <f>ROUND(C320*G320,2)</f>
        <v>39.04</v>
      </c>
      <c r="I320" s="247" t="s">
        <v>224</v>
      </c>
      <c r="J320" s="255"/>
      <c r="K320" s="170"/>
      <c r="L320" s="170"/>
      <c r="M320" s="170"/>
      <c r="N320" s="170"/>
      <c r="O320" s="170"/>
      <c r="P320" s="170"/>
    </row>
    <row r="321" spans="1:16" s="16" customFormat="1" ht="18" customHeight="1">
      <c r="A321" s="1"/>
      <c r="B321" s="156" t="s">
        <v>225</v>
      </c>
      <c r="C321" s="167">
        <f>C334*D334+C324*D324+C327*D327</f>
        <v>4.5540000000000003</v>
      </c>
      <c r="D321" s="77">
        <v>1</v>
      </c>
      <c r="E321" s="238">
        <f>10</f>
        <v>10</v>
      </c>
      <c r="F321" s="235">
        <f>F317</f>
        <v>8.52</v>
      </c>
      <c r="G321" s="168">
        <f t="shared" si="54"/>
        <v>0.85199999999999998</v>
      </c>
      <c r="H321" s="154">
        <f>ROUND(C321*G321,2)</f>
        <v>3.88</v>
      </c>
      <c r="I321" s="247" t="s">
        <v>226</v>
      </c>
      <c r="J321" s="255"/>
      <c r="K321" s="170"/>
      <c r="L321" s="170"/>
      <c r="M321" s="170"/>
      <c r="N321" s="170"/>
      <c r="O321" s="170"/>
      <c r="P321" s="170"/>
    </row>
    <row r="322" spans="1:16" s="16" customFormat="1" ht="18" customHeight="1">
      <c r="A322" s="1"/>
      <c r="B322" s="150" t="s">
        <v>227</v>
      </c>
      <c r="C322" s="165"/>
      <c r="D322" s="50"/>
      <c r="E322" s="50"/>
      <c r="F322" s="50"/>
      <c r="G322" s="166" t="s">
        <v>396</v>
      </c>
      <c r="H322" s="155">
        <f>SUM(H315:H321)</f>
        <v>239.34</v>
      </c>
      <c r="I322" s="152"/>
      <c r="J322" s="244" t="s">
        <v>399</v>
      </c>
      <c r="K322" s="245" t="s">
        <v>379</v>
      </c>
      <c r="L322" s="170"/>
      <c r="M322" s="170"/>
      <c r="N322" s="170"/>
      <c r="O322" s="170"/>
      <c r="P322" s="170"/>
    </row>
    <row r="323" spans="1:16" s="16" customFormat="1" ht="18" customHeight="1">
      <c r="A323" s="1"/>
      <c r="B323" s="156" t="s">
        <v>356</v>
      </c>
      <c r="C323" s="167">
        <f>C31</f>
        <v>0</v>
      </c>
      <c r="D323" s="239">
        <v>1</v>
      </c>
      <c r="E323" s="148"/>
      <c r="F323" s="148"/>
      <c r="G323" s="236">
        <f>0.45+0.85</f>
        <v>1.3</v>
      </c>
      <c r="H323" s="154">
        <f>ROUND(C323*D323*G323,2)</f>
        <v>0</v>
      </c>
      <c r="I323" s="247" t="s">
        <v>345</v>
      </c>
      <c r="J323" s="244">
        <v>1.76</v>
      </c>
      <c r="K323" s="245" t="s">
        <v>400</v>
      </c>
      <c r="L323" s="170"/>
      <c r="M323" s="171"/>
      <c r="N323" s="170"/>
      <c r="O323" s="170"/>
      <c r="P323" s="170"/>
    </row>
    <row r="324" spans="1:16" s="16" customFormat="1" ht="18" customHeight="1">
      <c r="A324" s="1"/>
      <c r="B324" s="156" t="s">
        <v>347</v>
      </c>
      <c r="C324" s="167">
        <f>C323</f>
        <v>0</v>
      </c>
      <c r="D324" s="239">
        <v>1</v>
      </c>
      <c r="E324" s="148"/>
      <c r="F324" s="148"/>
      <c r="G324" s="236">
        <v>6.89</v>
      </c>
      <c r="H324" s="154">
        <f t="shared" ref="H324:H329" si="55">ROUND(C324*D324*G324,2)</f>
        <v>0</v>
      </c>
      <c r="I324" s="247" t="s">
        <v>346</v>
      </c>
      <c r="J324" s="244">
        <v>12.25</v>
      </c>
      <c r="K324" s="245" t="s">
        <v>376</v>
      </c>
      <c r="L324" s="170"/>
      <c r="M324" s="171"/>
      <c r="N324" s="170"/>
      <c r="O324" s="170"/>
      <c r="P324" s="170"/>
    </row>
    <row r="325" spans="1:16" s="16" customFormat="1" ht="18" customHeight="1">
      <c r="A325" s="1"/>
      <c r="B325" s="156" t="s">
        <v>357</v>
      </c>
      <c r="C325" s="167">
        <f>C38</f>
        <v>4.8280000000000003</v>
      </c>
      <c r="D325" s="239">
        <v>1</v>
      </c>
      <c r="E325" s="148"/>
      <c r="F325" s="148"/>
      <c r="G325" s="236">
        <f>0.85+0.61</f>
        <v>1.46</v>
      </c>
      <c r="H325" s="154">
        <f t="shared" si="55"/>
        <v>7.05</v>
      </c>
      <c r="I325" s="247" t="s">
        <v>354</v>
      </c>
      <c r="J325" s="244">
        <v>1.76</v>
      </c>
      <c r="K325" s="245" t="s">
        <v>378</v>
      </c>
      <c r="L325" s="170"/>
      <c r="M325" s="171"/>
      <c r="N325" s="170"/>
      <c r="O325" s="170"/>
      <c r="P325" s="170"/>
    </row>
    <row r="326" spans="1:16" s="16" customFormat="1" ht="18" customHeight="1">
      <c r="A326" s="1"/>
      <c r="B326" s="156" t="s">
        <v>355</v>
      </c>
      <c r="C326" s="167">
        <f>C325</f>
        <v>4.8280000000000003</v>
      </c>
      <c r="D326" s="239">
        <v>1</v>
      </c>
      <c r="E326" s="148"/>
      <c r="F326" s="148"/>
      <c r="G326" s="236">
        <v>3.27</v>
      </c>
      <c r="H326" s="154">
        <f>ROUND(C326*D326*G326,2)</f>
        <v>15.79</v>
      </c>
      <c r="I326" s="247" t="s">
        <v>358</v>
      </c>
      <c r="J326" s="244">
        <v>3.27</v>
      </c>
      <c r="K326" s="245" t="s">
        <v>358</v>
      </c>
      <c r="L326" s="170"/>
      <c r="M326" s="171"/>
      <c r="N326" s="170"/>
      <c r="O326" s="170"/>
      <c r="P326" s="170"/>
    </row>
    <row r="327" spans="1:16" s="16" customFormat="1" ht="18" customHeight="1">
      <c r="A327" s="1"/>
      <c r="B327" s="156" t="s">
        <v>228</v>
      </c>
      <c r="C327" s="167">
        <f>C126</f>
        <v>0</v>
      </c>
      <c r="D327" s="239">
        <v>1</v>
      </c>
      <c r="E327" s="110"/>
      <c r="F327" s="148"/>
      <c r="G327" s="236">
        <v>6.89</v>
      </c>
      <c r="H327" s="154">
        <f t="shared" si="55"/>
        <v>0</v>
      </c>
      <c r="I327" s="247" t="s">
        <v>346</v>
      </c>
      <c r="J327" s="244">
        <v>12.25</v>
      </c>
      <c r="K327" s="245" t="s">
        <v>346</v>
      </c>
      <c r="L327" s="170"/>
      <c r="M327" s="171"/>
      <c r="N327" s="170"/>
      <c r="O327" s="170"/>
      <c r="P327" s="170"/>
    </row>
    <row r="328" spans="1:16" s="16" customFormat="1" ht="18" customHeight="1">
      <c r="A328" s="1"/>
      <c r="B328" s="156" t="s">
        <v>229</v>
      </c>
      <c r="C328" s="167">
        <f>C327</f>
        <v>0</v>
      </c>
      <c r="D328" s="239">
        <v>1</v>
      </c>
      <c r="E328" s="110"/>
      <c r="F328" s="148"/>
      <c r="G328" s="236">
        <f>G3233</f>
        <v>0</v>
      </c>
      <c r="H328" s="154">
        <f t="shared" si="55"/>
        <v>0</v>
      </c>
      <c r="I328" s="247" t="s">
        <v>345</v>
      </c>
      <c r="J328" s="244">
        <v>0</v>
      </c>
      <c r="K328" s="245" t="s">
        <v>400</v>
      </c>
      <c r="L328" s="170"/>
      <c r="M328" s="171"/>
      <c r="N328" s="170"/>
      <c r="O328" s="170"/>
      <c r="P328" s="170"/>
    </row>
    <row r="329" spans="1:16" s="16" customFormat="1" ht="18" customHeight="1">
      <c r="A329" s="1"/>
      <c r="B329" s="156" t="s">
        <v>230</v>
      </c>
      <c r="C329" s="167">
        <f>C119</f>
        <v>12.023999999999999</v>
      </c>
      <c r="D329" s="239">
        <v>1</v>
      </c>
      <c r="E329" s="148"/>
      <c r="F329" s="148"/>
      <c r="G329" s="236">
        <f>G3253</f>
        <v>0</v>
      </c>
      <c r="H329" s="154">
        <f t="shared" si="55"/>
        <v>0</v>
      </c>
      <c r="I329" s="247" t="s">
        <v>354</v>
      </c>
      <c r="J329" s="244">
        <v>0</v>
      </c>
      <c r="K329" s="245" t="s">
        <v>378</v>
      </c>
      <c r="L329" s="170"/>
      <c r="M329" s="171"/>
      <c r="N329" s="170"/>
      <c r="O329" s="170"/>
      <c r="P329" s="170"/>
    </row>
    <row r="330" spans="1:16" s="16" customFormat="1" ht="18" customHeight="1">
      <c r="A330" s="1"/>
      <c r="B330" s="156" t="s">
        <v>362</v>
      </c>
      <c r="C330" s="167">
        <f>C329</f>
        <v>12.023999999999999</v>
      </c>
      <c r="D330" s="239">
        <v>1</v>
      </c>
      <c r="E330" s="148"/>
      <c r="F330" s="148"/>
      <c r="G330" s="236">
        <v>3.27</v>
      </c>
      <c r="H330" s="154">
        <f>ROUND(C330*D330*G330,2)</f>
        <v>39.32</v>
      </c>
      <c r="I330" s="247" t="s">
        <v>358</v>
      </c>
      <c r="J330" s="244">
        <v>3.27</v>
      </c>
      <c r="K330" s="245" t="s">
        <v>358</v>
      </c>
      <c r="L330" s="170"/>
      <c r="M330" s="171"/>
      <c r="N330" s="170"/>
      <c r="O330" s="170"/>
      <c r="P330" s="170"/>
    </row>
    <row r="331" spans="1:16" s="16" customFormat="1" ht="18" customHeight="1">
      <c r="A331" s="1"/>
      <c r="B331" s="156" t="s">
        <v>343</v>
      </c>
      <c r="C331" s="167">
        <f>C319</f>
        <v>27.49</v>
      </c>
      <c r="D331" s="239">
        <v>1</v>
      </c>
      <c r="E331" s="148"/>
      <c r="F331" s="148"/>
      <c r="G331" s="236">
        <v>1.25</v>
      </c>
      <c r="H331" s="154">
        <f>C331*D331*G331</f>
        <v>34.362499999999997</v>
      </c>
      <c r="I331" s="247" t="s">
        <v>344</v>
      </c>
      <c r="J331" s="244">
        <v>1.25</v>
      </c>
      <c r="K331" s="245" t="s">
        <v>344</v>
      </c>
      <c r="L331" s="170"/>
      <c r="M331" s="171"/>
      <c r="N331" s="170"/>
      <c r="O331" s="170"/>
      <c r="P331" s="170"/>
    </row>
    <row r="332" spans="1:16" s="16" customFormat="1" ht="18" customHeight="1">
      <c r="A332" s="1"/>
      <c r="B332" s="156" t="s">
        <v>350</v>
      </c>
      <c r="C332" s="167" cm="1">
        <f t="array" ref="C332">SUMPRODUCT(D26:D30*G26:G30)/1000</f>
        <v>0</v>
      </c>
      <c r="D332" s="239">
        <v>1</v>
      </c>
      <c r="E332" s="148"/>
      <c r="F332" s="148"/>
      <c r="G332" s="236">
        <v>0.41</v>
      </c>
      <c r="H332" s="154">
        <f>C332*D332*G332</f>
        <v>0</v>
      </c>
      <c r="I332" s="247" t="s">
        <v>348</v>
      </c>
      <c r="J332" s="244">
        <v>0.41</v>
      </c>
      <c r="K332" s="245" t="s">
        <v>348</v>
      </c>
      <c r="L332" s="170"/>
      <c r="M332" s="171"/>
      <c r="N332" s="170"/>
      <c r="O332" s="170"/>
      <c r="P332" s="170"/>
    </row>
    <row r="333" spans="1:16" s="16" customFormat="1" ht="18" customHeight="1">
      <c r="A333" s="1"/>
      <c r="B333" s="156" t="s">
        <v>349</v>
      </c>
      <c r="C333" s="167">
        <f>C88+C97+C104+C153+C163+C146</f>
        <v>27.491999999999997</v>
      </c>
      <c r="D333" s="239">
        <v>1</v>
      </c>
      <c r="E333" s="148"/>
      <c r="F333" s="148"/>
      <c r="G333" s="236">
        <v>0.49</v>
      </c>
      <c r="H333" s="154">
        <f>C333*D333*G333</f>
        <v>13.471079999999999</v>
      </c>
      <c r="I333" s="247" t="s">
        <v>351</v>
      </c>
      <c r="J333" s="244">
        <v>0.49</v>
      </c>
      <c r="K333" s="245" t="s">
        <v>351</v>
      </c>
      <c r="L333" s="170"/>
      <c r="M333" s="171"/>
      <c r="N333" s="170"/>
      <c r="O333" s="170"/>
      <c r="P333" s="170"/>
    </row>
    <row r="334" spans="1:16" s="16" customFormat="1" ht="18" customHeight="1">
      <c r="A334" s="1"/>
      <c r="B334" s="156" t="s">
        <v>353</v>
      </c>
      <c r="C334" s="167">
        <f t="array" ref="C334">SUMPRODUCT(D157:D162*G157:G162)/1000+SUM(G157:G162)*0.3+SUMPRODUCT(D68:D87*G68:G87)/1000+SUM(G68:G87)*0.3</f>
        <v>4.5540000000000003</v>
      </c>
      <c r="D334" s="239">
        <v>1</v>
      </c>
      <c r="E334" s="148"/>
      <c r="F334" s="148"/>
      <c r="G334" s="237">
        <v>5.36</v>
      </c>
      <c r="H334" s="154">
        <f>C334*G334</f>
        <v>24.409440000000004</v>
      </c>
      <c r="I334" s="247" t="s">
        <v>352</v>
      </c>
      <c r="J334" s="244">
        <v>9.5500000000000007</v>
      </c>
      <c r="K334" s="245" t="s">
        <v>377</v>
      </c>
      <c r="L334" s="170"/>
      <c r="M334" s="171"/>
      <c r="N334" s="170"/>
      <c r="O334" s="170"/>
      <c r="P334" s="170"/>
    </row>
    <row r="335" spans="1:16" s="16" customFormat="1" ht="18" customHeight="1">
      <c r="A335" s="1"/>
      <c r="B335" s="156" t="s">
        <v>364</v>
      </c>
      <c r="C335" s="167">
        <f>C319</f>
        <v>27.49</v>
      </c>
      <c r="D335" s="239">
        <v>1</v>
      </c>
      <c r="E335" s="148"/>
      <c r="F335" s="148"/>
      <c r="G335" s="237">
        <v>1.25</v>
      </c>
      <c r="H335" s="154"/>
      <c r="I335" s="149" t="s">
        <v>363</v>
      </c>
      <c r="J335" s="244">
        <v>1.25</v>
      </c>
      <c r="K335" s="245" t="s">
        <v>363</v>
      </c>
      <c r="L335" s="170"/>
      <c r="M335" s="171"/>
      <c r="N335" s="170"/>
      <c r="O335" s="170"/>
      <c r="P335" s="170"/>
    </row>
    <row r="336" spans="1:16" s="16" customFormat="1" ht="18" customHeight="1">
      <c r="A336" s="1"/>
      <c r="B336" s="156" t="s">
        <v>365</v>
      </c>
      <c r="C336" s="167">
        <f>C320</f>
        <v>27.49</v>
      </c>
      <c r="D336" s="239">
        <v>1</v>
      </c>
      <c r="E336" s="148"/>
      <c r="F336" s="148"/>
      <c r="G336" s="237">
        <v>1.63</v>
      </c>
      <c r="H336" s="154"/>
      <c r="I336" s="149" t="s">
        <v>363</v>
      </c>
      <c r="J336" s="244">
        <v>1.63</v>
      </c>
      <c r="K336" s="245" t="s">
        <v>363</v>
      </c>
      <c r="L336" s="170"/>
      <c r="M336" s="171"/>
      <c r="N336" s="170"/>
      <c r="O336" s="170"/>
      <c r="P336" s="170"/>
    </row>
    <row r="337" spans="1:16" s="16" customFormat="1" ht="18" customHeight="1">
      <c r="A337" s="1"/>
      <c r="B337" s="150" t="s">
        <v>231</v>
      </c>
      <c r="C337" s="165"/>
      <c r="D337" s="50"/>
      <c r="E337" s="50"/>
      <c r="F337" s="50"/>
      <c r="G337" s="166"/>
      <c r="H337" s="155">
        <f>SUM(H323:H336)*1.05</f>
        <v>141.12317100000001</v>
      </c>
      <c r="I337" s="152"/>
      <c r="J337" s="172"/>
      <c r="K337" s="170"/>
      <c r="L337" s="170"/>
      <c r="M337" s="170"/>
      <c r="N337" s="170"/>
      <c r="O337" s="170"/>
      <c r="P337" s="170"/>
    </row>
    <row r="338" spans="1:16" s="16" customFormat="1" ht="18" customHeight="1">
      <c r="A338" s="1"/>
      <c r="B338" s="173" t="s">
        <v>366</v>
      </c>
      <c r="C338" s="174">
        <f>F250+F258+F265+F280+F285+F290</f>
        <v>3</v>
      </c>
      <c r="D338" s="175">
        <v>2</v>
      </c>
      <c r="E338" s="176"/>
      <c r="F338" s="176"/>
      <c r="G338" s="240">
        <v>0.5</v>
      </c>
      <c r="H338" s="177">
        <f t="shared" ref="H338:H343" si="56">D338*G338*C338</f>
        <v>3</v>
      </c>
      <c r="I338" s="178" t="s">
        <v>233</v>
      </c>
      <c r="J338" s="172"/>
      <c r="K338" s="170"/>
      <c r="L338" s="170"/>
      <c r="M338" s="170"/>
      <c r="N338" s="170"/>
      <c r="O338" s="170"/>
      <c r="P338" s="170"/>
    </row>
    <row r="339" spans="1:16" s="16" customFormat="1" ht="18" customHeight="1">
      <c r="A339" s="1"/>
      <c r="B339" s="173" t="s">
        <v>367</v>
      </c>
      <c r="C339" s="174">
        <f>F233+F242+F269+F273</f>
        <v>4</v>
      </c>
      <c r="D339" s="175">
        <v>4</v>
      </c>
      <c r="E339" s="176"/>
      <c r="F339" s="176"/>
      <c r="G339" s="240">
        <v>0.63</v>
      </c>
      <c r="H339" s="177">
        <f t="shared" si="56"/>
        <v>10.08</v>
      </c>
      <c r="I339" s="178" t="s">
        <v>234</v>
      </c>
      <c r="J339" s="172"/>
      <c r="K339" s="170"/>
      <c r="L339" s="170"/>
      <c r="M339" s="170"/>
      <c r="N339" s="170"/>
      <c r="O339" s="170"/>
      <c r="P339" s="170"/>
    </row>
    <row r="340" spans="1:16" s="16" customFormat="1" ht="18" customHeight="1">
      <c r="A340" s="1"/>
      <c r="B340" s="173" t="s">
        <v>366</v>
      </c>
      <c r="C340" s="174">
        <f>SUM(G157:G162)</f>
        <v>0</v>
      </c>
      <c r="D340" s="175">
        <f>IF(E113&gt;2200,2,0)</f>
        <v>0</v>
      </c>
      <c r="E340" s="176"/>
      <c r="F340" s="176"/>
      <c r="G340" s="240">
        <v>0.5</v>
      </c>
      <c r="H340" s="177">
        <f t="shared" si="56"/>
        <v>0</v>
      </c>
      <c r="I340" s="178" t="s">
        <v>235</v>
      </c>
      <c r="J340" s="172"/>
      <c r="K340" s="170"/>
      <c r="L340" s="170"/>
      <c r="M340" s="170"/>
      <c r="N340" s="170"/>
      <c r="O340" s="170"/>
      <c r="P340" s="170"/>
    </row>
    <row r="341" spans="1:16" s="16" customFormat="1" ht="18" customHeight="1">
      <c r="A341" s="1"/>
      <c r="B341" s="173" t="s">
        <v>367</v>
      </c>
      <c r="C341" s="174">
        <f>SUM(G116:G118)</f>
        <v>2</v>
      </c>
      <c r="D341" s="175">
        <v>4</v>
      </c>
      <c r="E341" s="176"/>
      <c r="F341" s="176"/>
      <c r="G341" s="240">
        <v>0.63</v>
      </c>
      <c r="H341" s="177">
        <f t="shared" si="56"/>
        <v>5.04</v>
      </c>
      <c r="I341" s="178" t="s">
        <v>236</v>
      </c>
      <c r="J341" s="172"/>
      <c r="K341" s="170"/>
      <c r="L341" s="170"/>
      <c r="M341" s="170"/>
      <c r="N341" s="170"/>
      <c r="O341" s="170"/>
      <c r="P341" s="170"/>
    </row>
    <row r="342" spans="1:16" ht="18" customHeight="1">
      <c r="B342" s="173" t="s">
        <v>237</v>
      </c>
      <c r="C342" s="174">
        <v>1</v>
      </c>
      <c r="D342" s="175">
        <f>(F291+F292)*10</f>
        <v>70</v>
      </c>
      <c r="E342" s="176"/>
      <c r="F342" s="176"/>
      <c r="G342" s="240">
        <v>0.37</v>
      </c>
      <c r="H342" s="177">
        <f t="shared" si="56"/>
        <v>25.9</v>
      </c>
      <c r="I342" s="178"/>
      <c r="J342" s="172"/>
      <c r="K342" s="172"/>
      <c r="L342" s="172"/>
      <c r="N342" s="43"/>
    </row>
    <row r="343" spans="1:16" ht="18" customHeight="1">
      <c r="B343" s="173" t="s">
        <v>232</v>
      </c>
      <c r="C343" s="174">
        <f>C338</f>
        <v>3</v>
      </c>
      <c r="D343" s="175">
        <v>0</v>
      </c>
      <c r="E343" s="176"/>
      <c r="F343" s="176"/>
      <c r="G343" s="240">
        <v>0.49</v>
      </c>
      <c r="H343" s="177">
        <f t="shared" si="56"/>
        <v>0</v>
      </c>
      <c r="I343" s="178" t="s">
        <v>238</v>
      </c>
      <c r="J343" s="172"/>
      <c r="K343" s="172"/>
      <c r="L343" s="172"/>
      <c r="N343" s="43"/>
    </row>
    <row r="344" spans="1:16" ht="18" customHeight="1">
      <c r="B344" s="156" t="s">
        <v>239</v>
      </c>
      <c r="C344" s="157"/>
      <c r="D344" s="250">
        <f>E203+E205*2+E207*2+I203+I205*2+I207*2</f>
        <v>48</v>
      </c>
      <c r="E344" s="148"/>
      <c r="F344" s="148"/>
      <c r="G344" s="148">
        <v>0.2</v>
      </c>
      <c r="H344" s="179">
        <f>D344*G344</f>
        <v>9.6000000000000014</v>
      </c>
      <c r="I344" s="247" t="s">
        <v>368</v>
      </c>
      <c r="J344" s="172"/>
      <c r="K344" s="172"/>
      <c r="L344" s="172"/>
    </row>
    <row r="345" spans="1:16" ht="18" customHeight="1">
      <c r="B345" s="156" t="s">
        <v>240</v>
      </c>
      <c r="C345" s="157"/>
      <c r="D345" s="250">
        <f>4*(E52+E53+E54+E55+G52+G53+G54+G55+G60+G61+G62+G63+E130+E131+E132+G130+G131+G132+G137+G138)</f>
        <v>12</v>
      </c>
      <c r="E345" s="148"/>
      <c r="F345" s="148"/>
      <c r="G345" s="148">
        <v>0.22</v>
      </c>
      <c r="H345" s="179">
        <f>D345*G345</f>
        <v>2.64</v>
      </c>
      <c r="I345" s="247" t="s">
        <v>241</v>
      </c>
      <c r="J345" s="172"/>
      <c r="K345" s="172"/>
      <c r="L345" s="172"/>
    </row>
    <row r="346" spans="1:16" ht="18" customHeight="1">
      <c r="B346" s="156" t="s">
        <v>242</v>
      </c>
      <c r="C346" s="157"/>
      <c r="D346" s="250">
        <f>D345/2</f>
        <v>6</v>
      </c>
      <c r="E346" s="148"/>
      <c r="F346" s="148"/>
      <c r="G346" s="148">
        <v>0.22</v>
      </c>
      <c r="H346" s="179">
        <f>ROUND(D346*G346,2)</f>
        <v>1.32</v>
      </c>
      <c r="I346" s="247" t="s">
        <v>243</v>
      </c>
      <c r="J346" s="172"/>
      <c r="K346" s="172"/>
      <c r="L346" s="172"/>
    </row>
    <row r="347" spans="1:16" ht="18" customHeight="1">
      <c r="B347" s="156" t="s">
        <v>369</v>
      </c>
      <c r="C347" s="157"/>
      <c r="D347" s="250">
        <f>D346</f>
        <v>6</v>
      </c>
      <c r="E347" s="148"/>
      <c r="F347" s="148"/>
      <c r="G347" s="148">
        <v>1.37</v>
      </c>
      <c r="H347" s="179">
        <f>ROUND(D347*G347,2)</f>
        <v>8.2200000000000006</v>
      </c>
      <c r="I347" s="247" t="s">
        <v>370</v>
      </c>
      <c r="J347" s="172"/>
      <c r="K347" s="172"/>
      <c r="L347" s="172"/>
    </row>
    <row r="348" spans="1:16" ht="18" customHeight="1">
      <c r="B348" s="156" t="s">
        <v>244</v>
      </c>
      <c r="C348" s="157"/>
      <c r="D348" s="250">
        <f>(F291+F292)*2</f>
        <v>14</v>
      </c>
      <c r="E348" s="148"/>
      <c r="F348" s="148"/>
      <c r="G348" s="148">
        <v>0.48</v>
      </c>
      <c r="H348" s="179">
        <f>ROUND(D348*G348,2)</f>
        <v>6.72</v>
      </c>
      <c r="I348" s="247" t="s">
        <v>245</v>
      </c>
      <c r="J348" s="255"/>
    </row>
    <row r="349" spans="1:16" ht="18" customHeight="1">
      <c r="B349" s="156" t="s">
        <v>246</v>
      </c>
      <c r="C349" s="157"/>
      <c r="D349" s="250">
        <f>ROUND((D4+E4-240)*2/200+E217*F217/200,0)</f>
        <v>68</v>
      </c>
      <c r="E349" s="148"/>
      <c r="F349" s="148"/>
      <c r="G349" s="148">
        <v>0.05</v>
      </c>
      <c r="H349" s="179">
        <f>ROUND(D349*G349,2)</f>
        <v>3.4</v>
      </c>
      <c r="I349" s="247" t="s">
        <v>247</v>
      </c>
      <c r="J349" s="255"/>
    </row>
    <row r="350" spans="1:16" ht="18" customHeight="1">
      <c r="B350" s="150" t="s">
        <v>248</v>
      </c>
      <c r="C350" s="165"/>
      <c r="D350" s="50"/>
      <c r="E350" s="50"/>
      <c r="F350" s="50"/>
      <c r="G350" s="166"/>
      <c r="H350" s="155">
        <f>SUM(H338:H349)</f>
        <v>75.92</v>
      </c>
      <c r="I350" s="152"/>
    </row>
    <row r="351" spans="1:16" ht="18" customHeight="1">
      <c r="B351" s="156" t="s">
        <v>359</v>
      </c>
      <c r="C351" s="157"/>
      <c r="D351" s="250">
        <f>SUMPRODUCT(G26:G30)*8+SUMPRODUCT(G35:G37)*8+SUMPRODUCT(G116:G118)*8+SUMPRODUCT(G123:G125)*8</f>
        <v>32</v>
      </c>
      <c r="E351" s="148"/>
      <c r="F351" s="148"/>
      <c r="G351" s="148">
        <v>1.26</v>
      </c>
      <c r="H351" s="154">
        <f>ROUND(D351*G351,2)</f>
        <v>40.32</v>
      </c>
      <c r="I351" s="247" t="s">
        <v>386</v>
      </c>
    </row>
    <row r="352" spans="1:16" ht="18" customHeight="1">
      <c r="B352" s="156" t="s">
        <v>360</v>
      </c>
      <c r="C352" s="157"/>
      <c r="D352" s="250">
        <f>G26*4+G27*4+G28*4+G29*4+G30*4</f>
        <v>0</v>
      </c>
      <c r="E352" s="148"/>
      <c r="F352" s="148"/>
      <c r="G352" s="148">
        <v>2</v>
      </c>
      <c r="H352" s="154">
        <f>ROUND(D352*G352,2)</f>
        <v>0</v>
      </c>
      <c r="I352" s="247" t="s">
        <v>361</v>
      </c>
    </row>
    <row r="353" spans="1:22" ht="18" customHeight="1">
      <c r="B353" s="156" t="s">
        <v>249</v>
      </c>
      <c r="C353" s="157"/>
      <c r="D353" s="250"/>
      <c r="E353" s="148"/>
      <c r="F353" s="148"/>
      <c r="G353" s="148">
        <v>1.6</v>
      </c>
      <c r="H353" s="154"/>
      <c r="I353" s="247"/>
    </row>
    <row r="354" spans="1:22" ht="18" customHeight="1">
      <c r="B354" s="156" t="s">
        <v>250</v>
      </c>
      <c r="C354" s="157"/>
      <c r="D354" s="44">
        <f>C22+C31+C38+C48+C56+C64+C112+C119+C126+C133+C139+C199</f>
        <v>50.13</v>
      </c>
      <c r="E354" s="148"/>
      <c r="F354" s="148"/>
      <c r="G354" s="179">
        <v>4</v>
      </c>
      <c r="H354" s="154">
        <f t="shared" ref="H354:H356" si="57">ROUND(D354*G354,2)</f>
        <v>200.52</v>
      </c>
      <c r="I354" s="247"/>
    </row>
    <row r="355" spans="1:22" ht="18" customHeight="1">
      <c r="B355" s="156" t="s">
        <v>251</v>
      </c>
      <c r="C355" s="157" t="s">
        <v>252</v>
      </c>
      <c r="D355" s="44">
        <f>C88+C163</f>
        <v>12.847999999999999</v>
      </c>
      <c r="E355" s="148"/>
      <c r="F355" s="148"/>
      <c r="G355" s="179">
        <v>3.15</v>
      </c>
      <c r="H355" s="154">
        <f t="shared" si="57"/>
        <v>40.47</v>
      </c>
      <c r="I355" s="247"/>
    </row>
    <row r="356" spans="1:22" ht="18" customHeight="1">
      <c r="B356" s="156" t="s">
        <v>253</v>
      </c>
      <c r="C356" s="157" t="s">
        <v>254</v>
      </c>
      <c r="D356" s="44">
        <f>C97+C104+C146+C153</f>
        <v>14.644</v>
      </c>
      <c r="E356" s="148"/>
      <c r="F356" s="148"/>
      <c r="G356" s="179">
        <v>3.65</v>
      </c>
      <c r="H356" s="154">
        <f t="shared" si="57"/>
        <v>53.45</v>
      </c>
      <c r="I356" s="247"/>
    </row>
    <row r="357" spans="1:22" ht="18" customHeight="1">
      <c r="B357" s="156" t="s">
        <v>387</v>
      </c>
      <c r="C357" s="157"/>
      <c r="D357" s="44">
        <f>F291+F292</f>
        <v>7</v>
      </c>
      <c r="E357" s="148"/>
      <c r="F357" s="148"/>
      <c r="G357" s="179">
        <v>6</v>
      </c>
      <c r="H357" s="154"/>
      <c r="I357" s="247"/>
    </row>
    <row r="358" spans="1:22" ht="18" customHeight="1">
      <c r="B358" s="156" t="s">
        <v>255</v>
      </c>
      <c r="C358" s="157"/>
      <c r="D358" s="180">
        <f>D14*2/1000</f>
        <v>5.24</v>
      </c>
      <c r="E358" s="148"/>
      <c r="F358" s="148"/>
      <c r="G358" s="148">
        <v>70</v>
      </c>
      <c r="H358" s="154">
        <f>D358*G358</f>
        <v>366.8</v>
      </c>
      <c r="I358" s="247"/>
    </row>
    <row r="359" spans="1:22" ht="18" customHeight="1">
      <c r="B359" s="156" t="s">
        <v>858</v>
      </c>
      <c r="C359" s="157"/>
      <c r="D359" s="180">
        <f>D4*4/1000</f>
        <v>10.8</v>
      </c>
      <c r="E359" s="148"/>
      <c r="F359" s="148"/>
      <c r="G359" s="148">
        <v>180</v>
      </c>
      <c r="H359" s="154">
        <f>D359*G359</f>
        <v>1944.0000000000002</v>
      </c>
      <c r="I359" s="247"/>
    </row>
    <row r="360" spans="1:22" ht="18" customHeight="1">
      <c r="B360" s="156" t="s">
        <v>388</v>
      </c>
      <c r="C360" s="157"/>
      <c r="D360" s="250">
        <v>1</v>
      </c>
      <c r="E360" s="148"/>
      <c r="F360" s="148"/>
      <c r="G360" s="148">
        <v>9.6</v>
      </c>
      <c r="H360" s="154">
        <f>ROUND(D360*G360,2)</f>
        <v>9.6</v>
      </c>
      <c r="I360" s="247"/>
    </row>
    <row r="361" spans="1:22" ht="18" customHeight="1">
      <c r="B361" s="156" t="s">
        <v>901</v>
      </c>
      <c r="C361" s="157"/>
      <c r="D361" s="463">
        <f>(D4+E4)*2/1000</f>
        <v>11.4</v>
      </c>
      <c r="E361" s="148"/>
      <c r="F361" s="148"/>
      <c r="G361" s="148">
        <v>45</v>
      </c>
      <c r="H361" s="154">
        <f>ROUND(D361*G361,2)</f>
        <v>513</v>
      </c>
      <c r="I361" s="468"/>
    </row>
    <row r="362" spans="1:22" ht="18" customHeight="1">
      <c r="B362" s="181" t="s">
        <v>398</v>
      </c>
      <c r="C362" s="157"/>
      <c r="D362" s="182">
        <f>F366</f>
        <v>7.7058999999999997</v>
      </c>
      <c r="E362" s="148"/>
      <c r="F362" s="148"/>
      <c r="G362" s="148">
        <v>3</v>
      </c>
      <c r="H362" s="154">
        <f>D362*G362</f>
        <v>23.117699999999999</v>
      </c>
      <c r="I362" s="247"/>
    </row>
    <row r="363" spans="1:22" ht="18" customHeight="1">
      <c r="B363" s="150" t="s">
        <v>256</v>
      </c>
      <c r="C363" s="50"/>
      <c r="D363" s="50"/>
      <c r="E363" s="50"/>
      <c r="F363" s="50"/>
      <c r="G363" s="166"/>
      <c r="H363" s="155">
        <f>SUM(H351:H362)</f>
        <v>3191.2777000000001</v>
      </c>
      <c r="I363" s="183"/>
    </row>
    <row r="364" spans="1:22" ht="18" customHeight="1">
      <c r="B364" s="248" t="s">
        <v>257</v>
      </c>
      <c r="C364" s="185"/>
      <c r="D364" s="186"/>
      <c r="E364" s="185"/>
      <c r="F364" s="186"/>
      <c r="G364" s="186"/>
      <c r="H364" s="187">
        <f>SUM(H363,H350,H337,H322,H314,H308,H304)</f>
        <v>4568.2308710000007</v>
      </c>
      <c r="I364" s="188"/>
    </row>
    <row r="365" spans="1:22" ht="18" customHeight="1">
      <c r="A365" s="189"/>
      <c r="B365" s="190" t="s">
        <v>258</v>
      </c>
      <c r="C365" s="10" t="s">
        <v>14</v>
      </c>
      <c r="D365" s="10" t="s">
        <v>16</v>
      </c>
      <c r="E365" s="10" t="s">
        <v>17</v>
      </c>
      <c r="F365" s="10" t="s">
        <v>7</v>
      </c>
      <c r="G365" s="10" t="s">
        <v>5</v>
      </c>
      <c r="H365" s="10" t="s">
        <v>18</v>
      </c>
      <c r="I365" s="191" t="s">
        <v>259</v>
      </c>
      <c r="L365" s="192"/>
      <c r="M365" s="192"/>
    </row>
    <row r="366" spans="1:22" ht="18" customHeight="1">
      <c r="B366" s="48">
        <f>ROUND(I366/F366,2)</f>
        <v>1543.47</v>
      </c>
      <c r="C366" s="50" t="s">
        <v>299</v>
      </c>
      <c r="D366" s="50">
        <f>D5</f>
        <v>2630</v>
      </c>
      <c r="E366" s="50">
        <f>E5</f>
        <v>2930</v>
      </c>
      <c r="F366" s="49">
        <f>E366*D366/1000000</f>
        <v>7.7058999999999997</v>
      </c>
      <c r="G366" s="50">
        <f>G4</f>
        <v>1</v>
      </c>
      <c r="H366" s="49">
        <f>F366</f>
        <v>7.7058999999999997</v>
      </c>
      <c r="I366" s="193">
        <f>H364+H291+H292+I223+I12</f>
        <v>11893.851211186002</v>
      </c>
      <c r="K366" s="192"/>
    </row>
    <row r="367" spans="1:22" ht="18" customHeight="1">
      <c r="B367" s="194" t="s">
        <v>258</v>
      </c>
      <c r="C367" s="195" t="s">
        <v>260</v>
      </c>
      <c r="D367" s="195" t="s">
        <v>261</v>
      </c>
      <c r="E367" s="195" t="s">
        <v>262</v>
      </c>
      <c r="F367" s="195" t="s">
        <v>263</v>
      </c>
      <c r="G367" s="195" t="s">
        <v>264</v>
      </c>
      <c r="H367" s="195" t="s">
        <v>265</v>
      </c>
      <c r="I367" s="196" t="s">
        <v>266</v>
      </c>
    </row>
    <row r="368" spans="1:22" ht="30" customHeight="1" thickBot="1">
      <c r="B368" s="197">
        <f>ROUND(I366/H366,2)</f>
        <v>1543.47</v>
      </c>
      <c r="C368" s="198">
        <f>E294+E296+E298+E300+E302+E303+E297+E299</f>
        <v>3</v>
      </c>
      <c r="D368" s="199"/>
      <c r="E368" s="199"/>
      <c r="F368" s="200"/>
      <c r="G368" s="200"/>
      <c r="H368" s="200"/>
      <c r="I368" s="201"/>
      <c r="O368" s="631" t="s">
        <v>603</v>
      </c>
      <c r="P368" s="631"/>
      <c r="Q368" s="631"/>
      <c r="R368" s="631"/>
      <c r="S368" s="631"/>
      <c r="T368" s="631"/>
      <c r="U368" s="631"/>
      <c r="V368" s="631"/>
    </row>
    <row r="369" spans="2:22" ht="20.100000000000001" customHeight="1">
      <c r="B369" s="42"/>
      <c r="L369" s="202"/>
      <c r="M369" s="202"/>
      <c r="N369" s="202"/>
      <c r="O369" s="634" t="s">
        <v>604</v>
      </c>
      <c r="P369" s="634"/>
      <c r="Q369" s="634"/>
      <c r="R369" s="634"/>
      <c r="S369" s="634"/>
      <c r="T369" s="634"/>
      <c r="U369" s="634"/>
      <c r="V369" s="634"/>
    </row>
    <row r="370" spans="2:22" ht="20.100000000000001" customHeight="1">
      <c r="B370" s="102" t="s">
        <v>862</v>
      </c>
      <c r="C370" s="203"/>
      <c r="D370" s="203" t="s">
        <v>267</v>
      </c>
      <c r="E370" s="203"/>
      <c r="J370" s="102"/>
      <c r="O370" s="285" t="s">
        <v>279</v>
      </c>
      <c r="P370" s="624" t="s">
        <v>629</v>
      </c>
      <c r="Q370" s="625"/>
      <c r="R370" s="312" t="str">
        <f ca="1">B4</f>
        <v>WMLC2730</v>
      </c>
      <c r="S370" s="312"/>
      <c r="T370" s="313"/>
      <c r="U370" s="287" t="s">
        <v>605</v>
      </c>
      <c r="V370" s="288"/>
    </row>
    <row r="371" spans="2:22" ht="24.95" customHeight="1">
      <c r="B371" s="102">
        <f>ROUND(I366/F6,2)</f>
        <v>1554.67</v>
      </c>
      <c r="C371" s="203">
        <f>U392</f>
        <v>2014.6440562753762</v>
      </c>
      <c r="D371" s="203">
        <f>E304</f>
        <v>3</v>
      </c>
      <c r="E371" s="203"/>
      <c r="J371" s="102"/>
      <c r="O371" s="635" t="s">
        <v>606</v>
      </c>
      <c r="P371" s="623" t="s">
        <v>626</v>
      </c>
      <c r="Q371" s="623"/>
      <c r="R371" s="623"/>
      <c r="S371" s="623"/>
      <c r="T371" s="637"/>
      <c r="U371" s="291" t="s">
        <v>607</v>
      </c>
      <c r="V371" s="292" t="s">
        <v>313</v>
      </c>
    </row>
    <row r="372" spans="2:22" ht="24.95" customHeight="1">
      <c r="L372" s="102"/>
      <c r="M372" s="102"/>
      <c r="N372" s="102"/>
      <c r="O372" s="636"/>
      <c r="P372" s="638"/>
      <c r="Q372" s="638"/>
      <c r="R372" s="638"/>
      <c r="S372" s="638"/>
      <c r="T372" s="638"/>
      <c r="U372" s="291" t="s">
        <v>268</v>
      </c>
      <c r="V372" s="293">
        <f>F4</f>
        <v>7.3179999999999996</v>
      </c>
    </row>
    <row r="373" spans="2:22" ht="24.95" customHeight="1">
      <c r="J373" s="102"/>
      <c r="K373" s="102"/>
      <c r="L373" s="102"/>
      <c r="M373" s="102"/>
      <c r="N373" s="102"/>
      <c r="O373" s="311" t="s">
        <v>0</v>
      </c>
      <c r="P373" s="289" t="s">
        <v>608</v>
      </c>
      <c r="Q373" s="289" t="s">
        <v>627</v>
      </c>
      <c r="R373" s="289" t="s">
        <v>269</v>
      </c>
      <c r="S373" s="294" t="s">
        <v>8</v>
      </c>
      <c r="T373" s="295" t="s">
        <v>609</v>
      </c>
      <c r="U373" s="296" t="s">
        <v>270</v>
      </c>
      <c r="V373" s="295" t="s">
        <v>610</v>
      </c>
    </row>
    <row r="374" spans="2:22" ht="20.100000000000001" customHeight="1">
      <c r="J374" s="102"/>
      <c r="K374" s="102"/>
      <c r="L374" s="102"/>
      <c r="M374" s="102"/>
      <c r="N374" s="102"/>
      <c r="O374" s="297" t="s">
        <v>305</v>
      </c>
      <c r="P374" s="298" t="s">
        <v>611</v>
      </c>
      <c r="Q374" s="298"/>
      <c r="R374" s="286"/>
      <c r="S374" s="299"/>
      <c r="T374" s="300"/>
      <c r="U374" s="301">
        <f>SUM(U375:U383)</f>
        <v>10968.731003186002</v>
      </c>
      <c r="V374" s="286"/>
    </row>
    <row r="375" spans="2:22" ht="20.100000000000001" customHeight="1">
      <c r="J375" s="102"/>
      <c r="K375" s="102"/>
      <c r="L375" s="102"/>
      <c r="M375" s="102"/>
      <c r="N375" s="102"/>
      <c r="O375" s="286">
        <v>1</v>
      </c>
      <c r="P375" s="302" t="s">
        <v>612</v>
      </c>
      <c r="Q375" s="307"/>
      <c r="R375" s="286" t="s">
        <v>271</v>
      </c>
      <c r="S375" s="303">
        <f>E223</f>
        <v>119.0037832</v>
      </c>
      <c r="T375" s="304">
        <f>I223/E223</f>
        <v>47.375051352031306</v>
      </c>
      <c r="U375" s="305">
        <f t="shared" ref="U375:U383" si="58">T375*S375</f>
        <v>5637.8103401860008</v>
      </c>
      <c r="V375" s="306"/>
    </row>
    <row r="376" spans="2:22" ht="20.100000000000001" customHeight="1">
      <c r="J376" s="102"/>
      <c r="K376" s="102"/>
      <c r="L376" s="102"/>
      <c r="M376" s="102"/>
      <c r="N376" s="102"/>
      <c r="O376" s="286">
        <v>2</v>
      </c>
      <c r="P376" s="290" t="s">
        <v>613</v>
      </c>
      <c r="Q376" s="307"/>
      <c r="R376" s="286" t="s">
        <v>276</v>
      </c>
      <c r="S376" s="303">
        <f>D358</f>
        <v>5.24</v>
      </c>
      <c r="T376" s="304">
        <f>G358</f>
        <v>70</v>
      </c>
      <c r="U376" s="305">
        <f t="shared" si="58"/>
        <v>366.8</v>
      </c>
      <c r="V376" s="306"/>
    </row>
    <row r="377" spans="2:22" ht="20.100000000000001" customHeight="1">
      <c r="J377" s="102"/>
      <c r="K377" s="102"/>
      <c r="L377" s="102"/>
      <c r="M377" s="102"/>
      <c r="N377" s="102"/>
      <c r="O377" s="286">
        <v>3</v>
      </c>
      <c r="P377" s="302" t="s">
        <v>636</v>
      </c>
      <c r="Q377" s="302"/>
      <c r="R377" s="286" t="s">
        <v>312</v>
      </c>
      <c r="S377" s="303">
        <f>D291+D292</f>
        <v>6.7479040000000001</v>
      </c>
      <c r="T377" s="304">
        <f>材料价格!B10</f>
        <v>148</v>
      </c>
      <c r="U377" s="305">
        <f t="shared" si="58"/>
        <v>998.68979200000001</v>
      </c>
      <c r="V377" s="306"/>
    </row>
    <row r="378" spans="2:22" ht="20.100000000000001" customHeight="1">
      <c r="B378" s="630" t="s">
        <v>277</v>
      </c>
      <c r="C378" s="630"/>
      <c r="D378" s="630"/>
      <c r="E378" s="630"/>
      <c r="F378" s="630"/>
      <c r="G378" s="630"/>
      <c r="H378" s="630"/>
      <c r="I378" s="630"/>
      <c r="J378" s="102"/>
      <c r="K378" s="102"/>
      <c r="L378" s="102"/>
      <c r="M378" s="102"/>
      <c r="N378" s="102"/>
      <c r="O378" s="286">
        <v>4</v>
      </c>
      <c r="P378" s="302" t="s">
        <v>615</v>
      </c>
      <c r="Q378" s="306"/>
      <c r="R378" s="286" t="s">
        <v>278</v>
      </c>
      <c r="S378" s="303">
        <f>(H316+H317+H319+H320+H321)/F316</f>
        <v>14.43661971830986</v>
      </c>
      <c r="T378" s="304">
        <f>材料价格!B25</f>
        <v>8.52</v>
      </c>
      <c r="U378" s="305">
        <f t="shared" si="58"/>
        <v>123</v>
      </c>
      <c r="V378" s="306"/>
    </row>
    <row r="379" spans="2:22" ht="20.100000000000001" customHeight="1">
      <c r="B379" s="204" t="s">
        <v>279</v>
      </c>
      <c r="C379" s="205" t="s">
        <v>280</v>
      </c>
      <c r="D379" s="205" t="s">
        <v>281</v>
      </c>
      <c r="E379" s="205" t="s">
        <v>282</v>
      </c>
      <c r="F379" s="205" t="s">
        <v>379</v>
      </c>
      <c r="G379" s="205"/>
      <c r="H379" s="205" t="s">
        <v>28</v>
      </c>
      <c r="I379" s="205" t="s">
        <v>259</v>
      </c>
      <c r="J379" s="102"/>
      <c r="K379" s="102"/>
      <c r="L379" s="102"/>
      <c r="M379" s="102"/>
      <c r="N379" s="102"/>
      <c r="O379" s="286">
        <v>5</v>
      </c>
      <c r="P379" s="306" t="s">
        <v>616</v>
      </c>
      <c r="Q379" s="302"/>
      <c r="R379" s="286" t="s">
        <v>628</v>
      </c>
      <c r="S379" s="303">
        <f>H337/21</f>
        <v>6.7201510000000004</v>
      </c>
      <c r="T379" s="304">
        <v>21</v>
      </c>
      <c r="U379" s="305">
        <f t="shared" si="58"/>
        <v>141.12317100000001</v>
      </c>
      <c r="V379" s="306"/>
    </row>
    <row r="380" spans="2:22" ht="20.100000000000001" customHeight="1">
      <c r="B380" s="206" t="s">
        <v>284</v>
      </c>
      <c r="C380" s="208" t="s">
        <v>384</v>
      </c>
      <c r="D380" s="207">
        <f>C22+C31+C38+C48+C56+C112+C119+C126+C133+C139+C177+C184+C191+C199</f>
        <v>52.75</v>
      </c>
      <c r="E380" s="207" t="s">
        <v>383</v>
      </c>
      <c r="F380" s="206"/>
      <c r="G380" s="206"/>
      <c r="H380" s="241">
        <v>2.4</v>
      </c>
      <c r="I380" s="207"/>
      <c r="J380" s="102"/>
      <c r="K380" s="102"/>
      <c r="L380" s="102"/>
      <c r="M380" s="102"/>
      <c r="N380" s="102"/>
      <c r="O380" s="286">
        <v>6</v>
      </c>
      <c r="P380" s="302" t="s">
        <v>319</v>
      </c>
      <c r="Q380" s="302"/>
      <c r="R380" s="286" t="s">
        <v>273</v>
      </c>
      <c r="S380" s="303">
        <f>E298</f>
        <v>2</v>
      </c>
      <c r="T380" s="304">
        <f>材料价格!B16</f>
        <v>88</v>
      </c>
      <c r="U380" s="305">
        <f t="shared" si="58"/>
        <v>176</v>
      </c>
      <c r="V380" s="306"/>
    </row>
    <row r="381" spans="2:22" ht="20.100000000000001" customHeight="1">
      <c r="B381" s="206" t="s">
        <v>286</v>
      </c>
      <c r="C381" s="206" t="s">
        <v>287</v>
      </c>
      <c r="D381" s="209">
        <f>(J22+J31+J38+J48+J112+J119+J126)*4+(J56+J133)*2</f>
        <v>44</v>
      </c>
      <c r="E381" s="207" t="s">
        <v>285</v>
      </c>
      <c r="F381" s="206"/>
      <c r="G381" s="206"/>
      <c r="H381" s="241">
        <v>0.5</v>
      </c>
      <c r="I381" s="207">
        <f>H381*D381</f>
        <v>22</v>
      </c>
      <c r="J381" s="102"/>
      <c r="K381" s="102"/>
      <c r="L381" s="102"/>
      <c r="M381" s="102"/>
      <c r="N381" s="102"/>
      <c r="O381" s="286">
        <v>7</v>
      </c>
      <c r="P381" s="302" t="s">
        <v>295</v>
      </c>
      <c r="Q381" s="302"/>
      <c r="R381" s="286" t="s">
        <v>273</v>
      </c>
      <c r="S381" s="303"/>
      <c r="T381" s="304">
        <f>材料价格!B19</f>
        <v>230</v>
      </c>
      <c r="U381" s="305">
        <f t="shared" si="58"/>
        <v>0</v>
      </c>
      <c r="V381" s="306"/>
    </row>
    <row r="382" spans="2:22" ht="20.100000000000001" customHeight="1">
      <c r="B382" s="206" t="s">
        <v>289</v>
      </c>
      <c r="C382" s="206"/>
      <c r="D382" s="210">
        <f>ROUND((C22+C56*2+C64*2+C112+C133*2+C139*2)/0.3,0)+2</f>
        <v>107</v>
      </c>
      <c r="E382" s="207" t="s">
        <v>285</v>
      </c>
      <c r="F382" s="206"/>
      <c r="G382" s="206"/>
      <c r="H382" s="241">
        <v>0.3</v>
      </c>
      <c r="I382" s="207">
        <f t="shared" ref="I382:I387" si="59">H382*D382</f>
        <v>32.1</v>
      </c>
      <c r="J382" s="102"/>
      <c r="K382" s="102"/>
      <c r="L382" s="102"/>
      <c r="M382" s="102"/>
      <c r="N382" s="102"/>
      <c r="O382" s="286">
        <v>8</v>
      </c>
      <c r="P382" s="302" t="s">
        <v>296</v>
      </c>
      <c r="Q382" s="302"/>
      <c r="R382" s="286" t="s">
        <v>273</v>
      </c>
      <c r="S382" s="303">
        <f>E303</f>
        <v>1</v>
      </c>
      <c r="T382" s="304">
        <f>材料价格!B20</f>
        <v>335</v>
      </c>
      <c r="U382" s="305">
        <f t="shared" si="58"/>
        <v>335</v>
      </c>
      <c r="V382" s="306"/>
    </row>
    <row r="383" spans="2:22" ht="20.100000000000001" customHeight="1">
      <c r="B383" s="206" t="s">
        <v>381</v>
      </c>
      <c r="C383" s="206" t="s">
        <v>389</v>
      </c>
      <c r="D383" s="211">
        <f>C22+C31+C38+C56*2+C64*2+C112+C119+C126+C133*2</f>
        <v>43.587999999999994</v>
      </c>
      <c r="E383" s="207" t="s">
        <v>285</v>
      </c>
      <c r="F383" s="206" t="s">
        <v>380</v>
      </c>
      <c r="G383" s="206"/>
      <c r="H383" s="241">
        <v>2.81</v>
      </c>
      <c r="I383" s="207">
        <f>H383*D383</f>
        <v>122.48227999999999</v>
      </c>
      <c r="J383" s="102"/>
      <c r="K383" s="102"/>
      <c r="L383" s="102"/>
      <c r="M383" s="102"/>
      <c r="N383" s="102"/>
      <c r="O383" s="286">
        <v>9</v>
      </c>
      <c r="P383" s="302" t="s">
        <v>617</v>
      </c>
      <c r="Q383" s="302"/>
      <c r="R383" s="286" t="s">
        <v>618</v>
      </c>
      <c r="S383" s="296">
        <v>1</v>
      </c>
      <c r="T383" s="304">
        <f>H363-H358+H350+H318+H315+H314</f>
        <v>3190.3077000000003</v>
      </c>
      <c r="U383" s="305">
        <f t="shared" si="58"/>
        <v>3190.3077000000003</v>
      </c>
      <c r="V383" s="306"/>
    </row>
    <row r="384" spans="2:22" ht="20.100000000000001" customHeight="1">
      <c r="B384" s="206" t="s">
        <v>390</v>
      </c>
      <c r="C384" s="206" t="s">
        <v>392</v>
      </c>
      <c r="D384" s="211">
        <f>C22+C88+C112+C163</f>
        <v>37.268000000000001</v>
      </c>
      <c r="E384" s="207" t="s">
        <v>285</v>
      </c>
      <c r="F384" s="206" t="s">
        <v>394</v>
      </c>
      <c r="G384" s="206"/>
      <c r="H384" s="241">
        <v>3.27</v>
      </c>
      <c r="I384" s="207">
        <f t="shared" ref="I384" si="60">H384*D384</f>
        <v>121.86636</v>
      </c>
      <c r="J384" s="102"/>
      <c r="K384" s="102"/>
      <c r="L384" s="102"/>
      <c r="M384" s="102"/>
      <c r="N384" s="102"/>
      <c r="O384" s="297" t="s">
        <v>306</v>
      </c>
      <c r="P384" s="308" t="s">
        <v>314</v>
      </c>
      <c r="Q384" s="298"/>
      <c r="R384" s="286"/>
      <c r="S384" s="296"/>
      <c r="T384" s="309"/>
      <c r="U384" s="301">
        <f>SUM(U385:U386)</f>
        <v>1170.8799999999999</v>
      </c>
      <c r="V384" s="286"/>
    </row>
    <row r="385" spans="2:22" ht="20.100000000000001" customHeight="1">
      <c r="B385" s="206" t="s">
        <v>391</v>
      </c>
      <c r="C385" s="206" t="s">
        <v>393</v>
      </c>
      <c r="D385" s="211">
        <f>(C97+C104+C119+C126)*2</f>
        <v>31.751999999999999</v>
      </c>
      <c r="E385" s="207" t="s">
        <v>285</v>
      </c>
      <c r="F385" s="206" t="s">
        <v>395</v>
      </c>
      <c r="G385" s="206"/>
      <c r="H385" s="241">
        <v>1.74</v>
      </c>
      <c r="I385" s="207">
        <f t="shared" si="59"/>
        <v>55.248480000000001</v>
      </c>
      <c r="J385" s="102"/>
      <c r="K385" s="102"/>
      <c r="L385" s="102"/>
      <c r="M385" s="102"/>
      <c r="N385" s="102"/>
      <c r="O385" s="286">
        <v>1</v>
      </c>
      <c r="P385" s="307" t="s">
        <v>619</v>
      </c>
      <c r="Q385" s="307"/>
      <c r="R385" s="300" t="s">
        <v>312</v>
      </c>
      <c r="S385" s="296">
        <f>V372</f>
        <v>7.3179999999999996</v>
      </c>
      <c r="T385" s="310">
        <v>60</v>
      </c>
      <c r="U385" s="305">
        <f>T385*S385</f>
        <v>439.08</v>
      </c>
      <c r="V385" s="286"/>
    </row>
    <row r="386" spans="2:22" ht="20.100000000000001" customHeight="1">
      <c r="B386" s="208" t="s">
        <v>382</v>
      </c>
      <c r="C386" s="206" t="s">
        <v>291</v>
      </c>
      <c r="D386" s="211">
        <f>D338+D339+D341</f>
        <v>10</v>
      </c>
      <c r="E386" s="207" t="s">
        <v>285</v>
      </c>
      <c r="F386" s="206"/>
      <c r="G386" s="206"/>
      <c r="H386" s="241">
        <v>0.56999999999999995</v>
      </c>
      <c r="I386" s="207">
        <f>H386*D386</f>
        <v>5.6999999999999993</v>
      </c>
      <c r="J386" s="102"/>
      <c r="K386" s="102"/>
      <c r="L386" s="102"/>
      <c r="M386" s="102"/>
      <c r="N386" s="102"/>
      <c r="O386" s="286">
        <v>2</v>
      </c>
      <c r="P386" s="307" t="s">
        <v>288</v>
      </c>
      <c r="Q386" s="307"/>
      <c r="R386" s="300" t="s">
        <v>312</v>
      </c>
      <c r="S386" s="296">
        <f>V372</f>
        <v>7.3179999999999996</v>
      </c>
      <c r="T386" s="310">
        <v>100</v>
      </c>
      <c r="U386" s="305">
        <f>T386*S386</f>
        <v>731.8</v>
      </c>
      <c r="V386" s="286"/>
    </row>
    <row r="387" spans="2:22" ht="20.100000000000001" customHeight="1">
      <c r="B387" s="206" t="s">
        <v>292</v>
      </c>
      <c r="C387" s="206"/>
      <c r="D387" s="211">
        <f>H366</f>
        <v>7.7058999999999997</v>
      </c>
      <c r="E387" s="207" t="s">
        <v>285</v>
      </c>
      <c r="F387" s="206"/>
      <c r="G387" s="206"/>
      <c r="H387" s="241">
        <v>20</v>
      </c>
      <c r="I387" s="207">
        <f t="shared" si="59"/>
        <v>154.11799999999999</v>
      </c>
      <c r="J387" s="102"/>
      <c r="K387" s="102"/>
      <c r="L387" s="102"/>
      <c r="M387" s="102"/>
      <c r="N387" s="102"/>
      <c r="O387" s="297" t="s">
        <v>307</v>
      </c>
      <c r="P387" s="308" t="s">
        <v>290</v>
      </c>
      <c r="Q387" s="298"/>
      <c r="R387" s="286"/>
      <c r="S387" s="296"/>
      <c r="T387" s="309"/>
      <c r="U387" s="301">
        <f>SUM(U388)</f>
        <v>146.35999999999999</v>
      </c>
      <c r="V387" s="286"/>
    </row>
    <row r="388" spans="2:22" ht="20.100000000000001" customHeight="1">
      <c r="B388" s="212" t="s">
        <v>4</v>
      </c>
      <c r="C388" s="213"/>
      <c r="D388" s="212"/>
      <c r="E388" s="212"/>
      <c r="F388" s="212"/>
      <c r="G388" s="212"/>
      <c r="H388" s="212"/>
      <c r="I388" s="213">
        <f>SUM(I380:I387)</f>
        <v>513.51512000000002</v>
      </c>
      <c r="J388" s="242"/>
      <c r="K388" s="102"/>
      <c r="L388" s="102"/>
      <c r="M388" s="102"/>
      <c r="N388" s="102"/>
      <c r="O388" s="286">
        <v>1</v>
      </c>
      <c r="P388" s="307" t="s">
        <v>290</v>
      </c>
      <c r="Q388" s="307"/>
      <c r="R388" s="300" t="s">
        <v>312</v>
      </c>
      <c r="S388" s="296">
        <f>V372</f>
        <v>7.3179999999999996</v>
      </c>
      <c r="T388" s="310">
        <v>20</v>
      </c>
      <c r="U388" s="305">
        <f>T388*S388</f>
        <v>146.35999999999999</v>
      </c>
      <c r="V388" s="286"/>
    </row>
    <row r="389" spans="2:22" ht="20.100000000000001" customHeight="1">
      <c r="J389" s="102"/>
      <c r="K389" s="102"/>
      <c r="L389" s="102"/>
      <c r="M389" s="102"/>
      <c r="N389" s="102"/>
      <c r="O389" s="286" t="s">
        <v>308</v>
      </c>
      <c r="P389" s="618" t="s">
        <v>620</v>
      </c>
      <c r="Q389" s="619"/>
      <c r="R389" s="620"/>
      <c r="S389" s="621"/>
      <c r="T389" s="622"/>
      <c r="U389" s="301">
        <f>U374+U384+U387</f>
        <v>12285.971003186001</v>
      </c>
      <c r="V389" s="286"/>
    </row>
    <row r="390" spans="2:22" ht="20.100000000000001" customHeight="1">
      <c r="J390" s="102"/>
      <c r="K390" s="102"/>
      <c r="L390" s="102"/>
      <c r="M390" s="102"/>
      <c r="N390" s="102"/>
      <c r="O390" s="286" t="s">
        <v>309</v>
      </c>
      <c r="P390" s="618" t="s">
        <v>621</v>
      </c>
      <c r="Q390" s="619"/>
      <c r="R390" s="626">
        <v>0.2</v>
      </c>
      <c r="S390" s="627"/>
      <c r="T390" s="628"/>
      <c r="U390" s="301">
        <f>U389*R390</f>
        <v>2457.1942006372005</v>
      </c>
      <c r="V390" s="286"/>
    </row>
    <row r="391" spans="2:22" ht="20.100000000000001" customHeight="1">
      <c r="J391" s="102"/>
      <c r="K391" s="102"/>
      <c r="L391" s="102"/>
      <c r="M391" s="102"/>
      <c r="N391" s="102"/>
      <c r="O391" s="286" t="s">
        <v>310</v>
      </c>
      <c r="P391" s="618" t="s">
        <v>622</v>
      </c>
      <c r="Q391" s="619"/>
      <c r="R391" s="620"/>
      <c r="S391" s="621"/>
      <c r="T391" s="622"/>
      <c r="U391" s="301">
        <f>U389+U390</f>
        <v>14743.165203823202</v>
      </c>
      <c r="V391" s="286"/>
    </row>
    <row r="392" spans="2:22" ht="30" customHeight="1">
      <c r="L392" s="102"/>
      <c r="M392" s="102"/>
      <c r="N392" s="102"/>
      <c r="O392" s="297" t="s">
        <v>311</v>
      </c>
      <c r="P392" s="618" t="s">
        <v>623</v>
      </c>
      <c r="Q392" s="619"/>
      <c r="R392" s="620"/>
      <c r="S392" s="621"/>
      <c r="T392" s="622"/>
      <c r="U392" s="301">
        <f>U391/V372</f>
        <v>2014.6440562753762</v>
      </c>
      <c r="V392" s="286" t="s">
        <v>624</v>
      </c>
    </row>
    <row r="393" spans="2:22" ht="45" customHeight="1">
      <c r="L393" s="102"/>
      <c r="M393" s="102"/>
      <c r="N393" s="102"/>
      <c r="O393" s="623" t="s">
        <v>625</v>
      </c>
      <c r="P393" s="623"/>
      <c r="Q393" s="623"/>
      <c r="R393" s="623"/>
      <c r="S393" s="623"/>
      <c r="T393" s="623"/>
      <c r="U393" s="623"/>
      <c r="V393" s="623"/>
    </row>
    <row r="394" spans="2:22" ht="18" customHeight="1">
      <c r="L394" s="102"/>
      <c r="M394" s="102"/>
      <c r="N394" s="102"/>
      <c r="O394" s="102"/>
      <c r="P394" s="102"/>
    </row>
    <row r="395" spans="2:22">
      <c r="L395" s="102"/>
      <c r="M395" s="102"/>
      <c r="N395" s="102"/>
      <c r="O395" s="102"/>
      <c r="P395" s="102"/>
    </row>
    <row r="396" spans="2:22">
      <c r="L396" s="102"/>
      <c r="M396" s="102"/>
      <c r="N396" s="102"/>
      <c r="O396" s="102"/>
      <c r="P396" s="102"/>
    </row>
    <row r="397" spans="2:22">
      <c r="L397" s="102"/>
      <c r="M397" s="102"/>
      <c r="N397" s="102"/>
      <c r="O397" s="102"/>
      <c r="P397" s="102"/>
    </row>
    <row r="398" spans="2:22">
      <c r="L398" s="102"/>
      <c r="M398" s="102"/>
      <c r="N398" s="102"/>
      <c r="O398" s="102"/>
      <c r="P398" s="102"/>
    </row>
    <row r="399" spans="2:22">
      <c r="L399" s="102"/>
      <c r="M399" s="102"/>
      <c r="N399" s="102"/>
      <c r="O399" s="102"/>
      <c r="P399" s="102"/>
    </row>
    <row r="400" spans="2:22">
      <c r="L400" s="102"/>
      <c r="M400" s="102"/>
      <c r="N400" s="102"/>
      <c r="O400" s="102"/>
      <c r="P400" s="102"/>
    </row>
    <row r="401" spans="12:16">
      <c r="L401" s="102"/>
      <c r="M401" s="102"/>
      <c r="N401" s="102"/>
      <c r="O401" s="102"/>
      <c r="P401" s="102"/>
    </row>
    <row r="402" spans="12:16">
      <c r="L402" s="102"/>
      <c r="M402" s="102"/>
      <c r="N402" s="102"/>
      <c r="O402" s="102"/>
      <c r="P402" s="102"/>
    </row>
    <row r="403" spans="12:16">
      <c r="L403" s="102"/>
      <c r="M403" s="102"/>
      <c r="N403" s="102"/>
      <c r="O403" s="102"/>
      <c r="P403" s="102"/>
    </row>
    <row r="404" spans="12:16">
      <c r="L404" s="102"/>
      <c r="M404" s="102"/>
      <c r="N404" s="102"/>
      <c r="O404" s="102"/>
      <c r="P404" s="102"/>
    </row>
    <row r="405" spans="12:16">
      <c r="L405" s="102"/>
      <c r="M405" s="102"/>
      <c r="N405" s="102"/>
      <c r="O405" s="102"/>
      <c r="P405" s="102"/>
    </row>
    <row r="406" spans="12:16">
      <c r="L406" s="102"/>
      <c r="M406" s="102"/>
      <c r="N406" s="102"/>
      <c r="O406" s="102"/>
      <c r="P406" s="102"/>
    </row>
    <row r="407" spans="12:16">
      <c r="L407" s="102"/>
      <c r="M407" s="102"/>
      <c r="N407" s="102"/>
      <c r="O407" s="102"/>
      <c r="P407" s="102"/>
    </row>
    <row r="408" spans="12:16">
      <c r="L408" s="102"/>
      <c r="M408" s="102"/>
      <c r="N408" s="102"/>
      <c r="O408" s="102"/>
      <c r="P408" s="102"/>
    </row>
    <row r="409" spans="12:16">
      <c r="L409" s="102"/>
      <c r="M409" s="102"/>
      <c r="N409" s="102"/>
      <c r="O409" s="102"/>
      <c r="P409" s="102"/>
    </row>
    <row r="410" spans="12:16">
      <c r="L410" s="102"/>
      <c r="M410" s="102"/>
      <c r="N410" s="102"/>
      <c r="O410" s="102"/>
      <c r="P410" s="102"/>
    </row>
    <row r="411" spans="12:16">
      <c r="L411" s="102"/>
      <c r="M411" s="102"/>
      <c r="N411" s="102"/>
      <c r="O411" s="102"/>
      <c r="P411" s="102"/>
    </row>
    <row r="412" spans="12:16">
      <c r="L412" s="102"/>
      <c r="M412" s="102"/>
      <c r="N412" s="102"/>
      <c r="O412" s="102"/>
      <c r="P412" s="102"/>
    </row>
    <row r="413" spans="12:16">
      <c r="L413" s="102"/>
      <c r="M413" s="102"/>
      <c r="N413" s="102"/>
      <c r="O413" s="102"/>
      <c r="P413" s="102"/>
    </row>
    <row r="414" spans="12:16">
      <c r="L414" s="102"/>
      <c r="M414" s="102"/>
      <c r="N414" s="102"/>
      <c r="O414" s="102"/>
      <c r="P414" s="102"/>
    </row>
    <row r="415" spans="12:16">
      <c r="L415" s="102"/>
      <c r="M415" s="102"/>
      <c r="N415" s="102"/>
      <c r="O415" s="102"/>
      <c r="P415" s="102"/>
    </row>
    <row r="416" spans="12:16">
      <c r="L416" s="102"/>
      <c r="M416" s="102"/>
      <c r="N416" s="102"/>
      <c r="O416" s="102"/>
      <c r="P416" s="102"/>
    </row>
    <row r="417" spans="10:16">
      <c r="L417" s="102"/>
      <c r="M417" s="102"/>
      <c r="N417" s="102"/>
      <c r="O417" s="102"/>
      <c r="P417" s="102"/>
    </row>
    <row r="418" spans="10:16">
      <c r="L418" s="102"/>
      <c r="M418" s="102"/>
      <c r="N418" s="102"/>
      <c r="O418" s="102"/>
      <c r="P418" s="102"/>
    </row>
    <row r="419" spans="10:16">
      <c r="L419" s="102"/>
      <c r="M419" s="102"/>
      <c r="N419" s="102"/>
      <c r="O419" s="102"/>
      <c r="P419" s="102"/>
    </row>
    <row r="420" spans="10:16">
      <c r="L420" s="102"/>
      <c r="M420" s="102"/>
      <c r="N420" s="102"/>
      <c r="O420" s="102"/>
      <c r="P420" s="102"/>
    </row>
    <row r="421" spans="10:16">
      <c r="L421" s="102"/>
      <c r="M421" s="102"/>
      <c r="N421" s="102"/>
      <c r="O421" s="102"/>
      <c r="P421" s="102"/>
    </row>
    <row r="422" spans="10:16">
      <c r="L422" s="102"/>
      <c r="M422" s="102"/>
      <c r="N422" s="102"/>
      <c r="O422" s="102"/>
      <c r="P422" s="102"/>
    </row>
    <row r="423" spans="10:16">
      <c r="L423" s="102"/>
      <c r="M423" s="102"/>
      <c r="N423" s="102"/>
      <c r="O423" s="102"/>
      <c r="P423" s="102"/>
    </row>
    <row r="424" spans="10:16">
      <c r="L424" s="102"/>
      <c r="M424" s="102"/>
      <c r="N424" s="102"/>
      <c r="O424" s="102"/>
      <c r="P424" s="102"/>
    </row>
    <row r="425" spans="10:16">
      <c r="L425" s="102"/>
      <c r="M425" s="102"/>
      <c r="N425" s="102"/>
      <c r="O425" s="102"/>
      <c r="P425" s="102"/>
    </row>
    <row r="426" spans="10:16">
      <c r="L426" s="102"/>
      <c r="M426" s="102"/>
      <c r="N426" s="102"/>
      <c r="O426" s="102"/>
      <c r="P426" s="102"/>
    </row>
    <row r="427" spans="10:16">
      <c r="J427" s="102"/>
      <c r="K427" s="102"/>
      <c r="L427" s="102"/>
      <c r="M427" s="102"/>
      <c r="N427" s="102"/>
      <c r="O427" s="102"/>
      <c r="P427" s="102"/>
    </row>
    <row r="428" spans="10:16">
      <c r="J428" s="102"/>
      <c r="K428" s="102"/>
      <c r="L428" s="102"/>
      <c r="M428" s="102"/>
      <c r="N428" s="102"/>
      <c r="O428" s="102"/>
      <c r="P428" s="102"/>
    </row>
    <row r="429" spans="10:16">
      <c r="J429" s="102"/>
      <c r="K429" s="102"/>
      <c r="L429" s="102"/>
      <c r="M429" s="102"/>
      <c r="N429" s="102"/>
      <c r="O429" s="102"/>
      <c r="P429" s="102"/>
    </row>
    <row r="430" spans="10:16">
      <c r="J430" s="102"/>
      <c r="K430" s="102"/>
      <c r="L430" s="102"/>
      <c r="M430" s="102"/>
      <c r="N430" s="102"/>
      <c r="O430" s="102"/>
      <c r="P430" s="102"/>
    </row>
    <row r="431" spans="10:16">
      <c r="J431" s="102"/>
      <c r="K431" s="102"/>
      <c r="L431" s="102"/>
      <c r="M431" s="102"/>
      <c r="N431" s="102"/>
      <c r="O431" s="102"/>
      <c r="P431" s="102"/>
    </row>
    <row r="432" spans="10:16">
      <c r="J432" s="102"/>
      <c r="K432" s="102"/>
      <c r="L432" s="102"/>
      <c r="M432" s="102"/>
      <c r="N432" s="102"/>
      <c r="O432" s="102"/>
      <c r="P432" s="102"/>
    </row>
    <row r="433" spans="10:16">
      <c r="J433" s="102"/>
      <c r="K433" s="102"/>
      <c r="L433" s="102"/>
      <c r="M433" s="102"/>
      <c r="N433" s="102"/>
      <c r="O433" s="102"/>
      <c r="P433" s="102"/>
    </row>
    <row r="434" spans="10:16">
      <c r="J434" s="102"/>
      <c r="K434" s="102"/>
      <c r="L434" s="102"/>
      <c r="M434" s="102"/>
      <c r="N434" s="102"/>
      <c r="O434" s="102"/>
      <c r="P434" s="102"/>
    </row>
    <row r="435" spans="10:16">
      <c r="J435" s="102"/>
      <c r="K435" s="102"/>
      <c r="L435" s="102"/>
      <c r="M435" s="102"/>
      <c r="N435" s="102"/>
      <c r="O435" s="102"/>
      <c r="P435" s="102"/>
    </row>
    <row r="436" spans="10:16">
      <c r="J436" s="102"/>
      <c r="K436" s="102"/>
      <c r="L436" s="102"/>
      <c r="M436" s="102"/>
      <c r="N436" s="102"/>
      <c r="O436" s="102"/>
      <c r="P436" s="102"/>
    </row>
    <row r="437" spans="10:16">
      <c r="J437" s="102"/>
      <c r="K437" s="102"/>
      <c r="L437" s="102"/>
      <c r="M437" s="102"/>
      <c r="N437" s="102"/>
      <c r="O437" s="102"/>
      <c r="P437" s="102"/>
    </row>
    <row r="438" spans="10:16">
      <c r="J438" s="102"/>
      <c r="K438" s="102"/>
      <c r="L438" s="102"/>
      <c r="M438" s="102"/>
      <c r="N438" s="102"/>
      <c r="O438" s="102"/>
      <c r="P438" s="102"/>
    </row>
    <row r="439" spans="10:16">
      <c r="J439" s="102"/>
      <c r="K439" s="102"/>
      <c r="L439" s="102"/>
      <c r="M439" s="102"/>
      <c r="N439" s="102"/>
      <c r="O439" s="102"/>
      <c r="P439" s="102"/>
    </row>
    <row r="440" spans="10:16">
      <c r="J440" s="102"/>
      <c r="K440" s="102"/>
      <c r="L440" s="102"/>
      <c r="M440" s="102"/>
      <c r="N440" s="102"/>
      <c r="O440" s="102"/>
      <c r="P440" s="102"/>
    </row>
    <row r="441" spans="10:16">
      <c r="J441" s="102"/>
      <c r="K441" s="102"/>
      <c r="L441" s="102"/>
      <c r="M441" s="102"/>
      <c r="N441" s="102"/>
      <c r="O441" s="102"/>
      <c r="P441" s="102"/>
    </row>
    <row r="442" spans="10:16">
      <c r="J442" s="102"/>
      <c r="K442" s="102"/>
      <c r="L442" s="102"/>
      <c r="M442" s="102"/>
      <c r="N442" s="102"/>
      <c r="O442" s="102"/>
      <c r="P442" s="102"/>
    </row>
    <row r="443" spans="10:16">
      <c r="J443" s="102"/>
      <c r="K443" s="102"/>
      <c r="L443" s="102"/>
      <c r="M443" s="102"/>
      <c r="N443" s="102"/>
      <c r="O443" s="102"/>
      <c r="P443" s="102"/>
    </row>
    <row r="444" spans="10:16">
      <c r="J444" s="102"/>
      <c r="K444" s="102"/>
      <c r="L444" s="102"/>
      <c r="M444" s="102"/>
      <c r="N444" s="102"/>
      <c r="O444" s="102"/>
      <c r="P444" s="102"/>
    </row>
    <row r="445" spans="10:16">
      <c r="J445" s="102"/>
      <c r="K445" s="102"/>
      <c r="L445" s="102"/>
      <c r="M445" s="102"/>
      <c r="N445" s="102"/>
      <c r="O445" s="102"/>
      <c r="P445" s="102"/>
    </row>
    <row r="446" spans="10:16">
      <c r="J446" s="102"/>
      <c r="K446" s="102"/>
      <c r="L446" s="102"/>
      <c r="M446" s="102"/>
      <c r="N446" s="102"/>
      <c r="O446" s="102"/>
      <c r="P446" s="102"/>
    </row>
    <row r="447" spans="10:16">
      <c r="J447" s="102"/>
      <c r="K447" s="102"/>
      <c r="L447" s="102"/>
      <c r="M447" s="102"/>
      <c r="N447" s="102"/>
      <c r="O447" s="102"/>
      <c r="P447" s="102"/>
    </row>
    <row r="448" spans="10:16">
      <c r="J448" s="102"/>
      <c r="K448" s="102"/>
      <c r="L448" s="102"/>
      <c r="M448" s="102"/>
      <c r="N448" s="102"/>
      <c r="O448" s="102"/>
      <c r="P448" s="102"/>
    </row>
    <row r="449" spans="10:16">
      <c r="J449" s="102"/>
      <c r="K449" s="102"/>
      <c r="L449" s="102"/>
      <c r="M449" s="102"/>
      <c r="N449" s="102"/>
      <c r="O449" s="102"/>
      <c r="P449" s="102"/>
    </row>
    <row r="450" spans="10:16">
      <c r="J450" s="102"/>
      <c r="K450" s="102"/>
      <c r="L450" s="102"/>
      <c r="M450" s="102"/>
      <c r="N450" s="102"/>
      <c r="O450" s="102"/>
      <c r="P450" s="102"/>
    </row>
    <row r="451" spans="10:16">
      <c r="J451" s="102"/>
      <c r="K451" s="102"/>
      <c r="L451" s="102"/>
      <c r="M451" s="102"/>
      <c r="N451" s="102"/>
      <c r="O451" s="102"/>
      <c r="P451" s="102"/>
    </row>
    <row r="452" spans="10:16">
      <c r="J452" s="102"/>
      <c r="K452" s="102"/>
      <c r="L452" s="102"/>
      <c r="M452" s="102"/>
      <c r="N452" s="102"/>
      <c r="O452" s="102"/>
      <c r="P452" s="102"/>
    </row>
    <row r="453" spans="10:16">
      <c r="J453" s="102"/>
      <c r="K453" s="102"/>
      <c r="L453" s="102"/>
      <c r="M453" s="102"/>
      <c r="N453" s="102"/>
      <c r="O453" s="102"/>
      <c r="P453" s="102"/>
    </row>
    <row r="454" spans="10:16">
      <c r="J454" s="102"/>
      <c r="K454" s="102"/>
      <c r="L454" s="102"/>
      <c r="M454" s="102"/>
      <c r="N454" s="102"/>
      <c r="O454" s="102"/>
      <c r="P454" s="102"/>
    </row>
    <row r="455" spans="10:16">
      <c r="J455" s="102"/>
      <c r="K455" s="102"/>
      <c r="L455" s="102"/>
      <c r="M455" s="102"/>
      <c r="N455" s="102"/>
      <c r="O455" s="102"/>
      <c r="P455" s="102"/>
    </row>
    <row r="456" spans="10:16">
      <c r="J456" s="102"/>
      <c r="K456" s="102"/>
      <c r="L456" s="102"/>
      <c r="M456" s="102"/>
      <c r="N456" s="102"/>
      <c r="O456" s="102"/>
      <c r="P456" s="102"/>
    </row>
    <row r="457" spans="10:16">
      <c r="J457" s="102"/>
      <c r="K457" s="102"/>
      <c r="L457" s="102"/>
      <c r="M457" s="102"/>
      <c r="N457" s="102"/>
      <c r="O457" s="102"/>
      <c r="P457" s="102"/>
    </row>
    <row r="458" spans="10:16">
      <c r="J458" s="102"/>
      <c r="K458" s="102"/>
      <c r="L458" s="102"/>
      <c r="M458" s="102"/>
      <c r="N458" s="102"/>
      <c r="O458" s="102"/>
      <c r="P458" s="102"/>
    </row>
    <row r="459" spans="10:16">
      <c r="J459" s="102"/>
      <c r="K459" s="102"/>
      <c r="L459" s="102"/>
      <c r="M459" s="102"/>
      <c r="N459" s="102"/>
      <c r="O459" s="102"/>
      <c r="P459" s="102"/>
    </row>
    <row r="460" spans="10:16">
      <c r="J460" s="102"/>
      <c r="K460" s="102"/>
      <c r="L460" s="102"/>
      <c r="M460" s="102"/>
      <c r="N460" s="102"/>
      <c r="O460" s="102"/>
      <c r="P460" s="102"/>
    </row>
    <row r="461" spans="10:16">
      <c r="J461" s="102"/>
      <c r="K461" s="102"/>
      <c r="L461" s="102"/>
      <c r="M461" s="102"/>
      <c r="N461" s="102"/>
      <c r="O461" s="102"/>
      <c r="P461" s="102"/>
    </row>
    <row r="462" spans="10:16">
      <c r="J462" s="102"/>
      <c r="K462" s="102"/>
      <c r="L462" s="102"/>
      <c r="M462" s="102"/>
      <c r="N462" s="102"/>
      <c r="O462" s="102"/>
      <c r="P462" s="102"/>
    </row>
    <row r="463" spans="10:16">
      <c r="J463" s="102"/>
      <c r="K463" s="102"/>
      <c r="L463" s="102"/>
      <c r="M463" s="102"/>
      <c r="N463" s="102"/>
      <c r="O463" s="102"/>
      <c r="P463" s="102"/>
    </row>
    <row r="464" spans="10:16">
      <c r="J464" s="102"/>
      <c r="K464" s="102"/>
      <c r="L464" s="102"/>
      <c r="M464" s="102"/>
      <c r="N464" s="102"/>
      <c r="O464" s="102"/>
      <c r="P464" s="102"/>
    </row>
  </sheetData>
  <mergeCells count="95">
    <mergeCell ref="F2:H2"/>
    <mergeCell ref="I2:I6"/>
    <mergeCell ref="J2:M2"/>
    <mergeCell ref="B4:B6"/>
    <mergeCell ref="B14:B21"/>
    <mergeCell ref="C14:C21"/>
    <mergeCell ref="B26:B30"/>
    <mergeCell ref="C26:C30"/>
    <mergeCell ref="B35:B37"/>
    <mergeCell ref="C35:C37"/>
    <mergeCell ref="B42:B47"/>
    <mergeCell ref="C42:C44"/>
    <mergeCell ref="C45:C47"/>
    <mergeCell ref="B52:B55"/>
    <mergeCell ref="C52:C55"/>
    <mergeCell ref="D59:F59"/>
    <mergeCell ref="B60:B63"/>
    <mergeCell ref="C60:C61"/>
    <mergeCell ref="D60:F60"/>
    <mergeCell ref="D61:F61"/>
    <mergeCell ref="C62:C63"/>
    <mergeCell ref="D62:F62"/>
    <mergeCell ref="D63:F63"/>
    <mergeCell ref="B68:B87"/>
    <mergeCell ref="C68:C74"/>
    <mergeCell ref="C75:C81"/>
    <mergeCell ref="C82:C87"/>
    <mergeCell ref="B92:B96"/>
    <mergeCell ref="C92:C96"/>
    <mergeCell ref="B137:B138"/>
    <mergeCell ref="C137:C138"/>
    <mergeCell ref="D137:F137"/>
    <mergeCell ref="D138:F138"/>
    <mergeCell ref="B101:B103"/>
    <mergeCell ref="C101:C103"/>
    <mergeCell ref="B108:B111"/>
    <mergeCell ref="C108:C111"/>
    <mergeCell ref="B116:B118"/>
    <mergeCell ref="C116:C118"/>
    <mergeCell ref="B123:B125"/>
    <mergeCell ref="C123:C125"/>
    <mergeCell ref="B130:B132"/>
    <mergeCell ref="C130:C132"/>
    <mergeCell ref="D136:F136"/>
    <mergeCell ref="B143:B145"/>
    <mergeCell ref="C143:C145"/>
    <mergeCell ref="B150:B152"/>
    <mergeCell ref="C150:C152"/>
    <mergeCell ref="B157:B162"/>
    <mergeCell ref="C157:C162"/>
    <mergeCell ref="B167:B169"/>
    <mergeCell ref="C167:C169"/>
    <mergeCell ref="B174:B176"/>
    <mergeCell ref="C174:C176"/>
    <mergeCell ref="B181:B183"/>
    <mergeCell ref="C181:C183"/>
    <mergeCell ref="F209:F210"/>
    <mergeCell ref="B188:B190"/>
    <mergeCell ref="C188:C190"/>
    <mergeCell ref="D194:F194"/>
    <mergeCell ref="B195:B196"/>
    <mergeCell ref="C195:C196"/>
    <mergeCell ref="D195:F195"/>
    <mergeCell ref="D196:F196"/>
    <mergeCell ref="B197:B198"/>
    <mergeCell ref="C197:C198"/>
    <mergeCell ref="D197:F197"/>
    <mergeCell ref="D198:F198"/>
    <mergeCell ref="F203:F204"/>
    <mergeCell ref="O369:V369"/>
    <mergeCell ref="F211:F212"/>
    <mergeCell ref="F213:F214"/>
    <mergeCell ref="B291:B292"/>
    <mergeCell ref="B294:B295"/>
    <mergeCell ref="I294:I295"/>
    <mergeCell ref="B296:B297"/>
    <mergeCell ref="I296:I297"/>
    <mergeCell ref="B298:B299"/>
    <mergeCell ref="I298:I299"/>
    <mergeCell ref="B300:B301"/>
    <mergeCell ref="B302:B303"/>
    <mergeCell ref="O368:V368"/>
    <mergeCell ref="P370:Q370"/>
    <mergeCell ref="O371:O372"/>
    <mergeCell ref="P371:T372"/>
    <mergeCell ref="B378:I378"/>
    <mergeCell ref="P389:Q389"/>
    <mergeCell ref="R389:T389"/>
    <mergeCell ref="O393:V393"/>
    <mergeCell ref="P390:Q390"/>
    <mergeCell ref="R390:T390"/>
    <mergeCell ref="P391:Q391"/>
    <mergeCell ref="R391:T391"/>
    <mergeCell ref="P392:Q392"/>
    <mergeCell ref="R392:T392"/>
  </mergeCells>
  <phoneticPr fontId="5" type="noConversion"/>
  <pageMargins left="0.19685039370078741" right="0.19685039370078741" top="0.74803149606299213" bottom="0.74803149606299213" header="0.31496062992125984" footer="0.31496062992125984"/>
  <pageSetup paperSize="9" scale="78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AFAA3-3B9F-44AC-B9FC-C246290FCCF6}">
  <sheetPr>
    <tabColor rgb="FF7030A0"/>
    <pageSetUpPr fitToPage="1"/>
  </sheetPr>
  <dimension ref="A1:V464"/>
  <sheetViews>
    <sheetView showZeros="0" topLeftCell="A343" zoomScaleNormal="100" workbookViewId="0">
      <selection activeCell="C372" sqref="C372"/>
    </sheetView>
  </sheetViews>
  <sheetFormatPr defaultColWidth="25.25" defaultRowHeight="13.5"/>
  <cols>
    <col min="1" max="1" width="0.5" style="1" customWidth="1"/>
    <col min="2" max="2" width="25.25" style="102" customWidth="1"/>
    <col min="3" max="3" width="14.75" style="102" customWidth="1"/>
    <col min="4" max="4" width="11.5" style="102" customWidth="1"/>
    <col min="5" max="5" width="11.25" style="102" customWidth="1"/>
    <col min="6" max="6" width="12.25" style="102" customWidth="1"/>
    <col min="7" max="7" width="10" style="102" customWidth="1"/>
    <col min="8" max="8" width="9.875" style="102" customWidth="1"/>
    <col min="9" max="9" width="26.875" style="102" customWidth="1"/>
    <col min="10" max="10" width="11.125" style="43" customWidth="1"/>
    <col min="11" max="11" width="7.875" style="43" customWidth="1"/>
    <col min="12" max="12" width="7.25" style="43" customWidth="1"/>
    <col min="13" max="13" width="9.125" style="43" customWidth="1"/>
    <col min="14" max="14" width="15.125" style="255" customWidth="1"/>
    <col min="15" max="15" width="13.125" style="255" customWidth="1"/>
    <col min="16" max="16" width="24.375" style="255" customWidth="1"/>
    <col min="17" max="17" width="13.75" style="255" customWidth="1"/>
    <col min="18" max="18" width="11.25" style="255" customWidth="1"/>
    <col min="19" max="19" width="10.75" style="255" customWidth="1"/>
    <col min="20" max="20" width="10" style="255" customWidth="1"/>
    <col min="21" max="21" width="9.875" style="255" customWidth="1"/>
    <col min="22" max="22" width="26.125" style="255" customWidth="1"/>
    <col min="23" max="23" width="11.125" style="255" customWidth="1"/>
    <col min="24" max="24" width="7.875" style="255" customWidth="1"/>
    <col min="25" max="25" width="7.25" style="255" customWidth="1"/>
    <col min="26" max="26" width="9.125" style="255" customWidth="1"/>
    <col min="27" max="27" width="15.125" style="255" customWidth="1"/>
    <col min="28" max="28" width="7.75" style="255" customWidth="1"/>
    <col min="29" max="29" width="7.125" style="255" customWidth="1"/>
    <col min="30" max="30" width="12.125" style="255" customWidth="1"/>
    <col min="31" max="31" width="8.25" style="255" customWidth="1"/>
    <col min="32" max="33" width="10.375" style="255" customWidth="1"/>
    <col min="34" max="34" width="15.625" style="255" customWidth="1"/>
    <col min="35" max="35" width="15.875" style="255" customWidth="1"/>
    <col min="36" max="36" width="8.125" style="255" customWidth="1"/>
    <col min="37" max="40" width="10.375" style="255" customWidth="1"/>
    <col min="41" max="41" width="7.25" style="255" customWidth="1"/>
    <col min="42" max="42" width="7.125" style="255" customWidth="1"/>
    <col min="43" max="43" width="9.5" style="255" customWidth="1"/>
    <col min="44" max="45" width="9" style="255" customWidth="1"/>
    <col min="46" max="46" width="16.125" style="255" customWidth="1"/>
    <col min="47" max="77" width="9" style="255" customWidth="1"/>
    <col min="78" max="237" width="25.25" style="255"/>
    <col min="238" max="267" width="9" style="255" customWidth="1"/>
    <col min="268" max="268" width="0.5" style="255" customWidth="1"/>
    <col min="269" max="269" width="25.25" style="255"/>
    <col min="270" max="270" width="0.5" style="255" customWidth="1"/>
    <col min="271" max="271" width="25.25" style="255"/>
    <col min="272" max="272" width="14.75" style="255" customWidth="1"/>
    <col min="273" max="273" width="11.5" style="255" customWidth="1"/>
    <col min="274" max="274" width="11.25" style="255" customWidth="1"/>
    <col min="275" max="275" width="10.75" style="255" customWidth="1"/>
    <col min="276" max="276" width="10" style="255" customWidth="1"/>
    <col min="277" max="277" width="9.875" style="255" customWidth="1"/>
    <col min="278" max="278" width="26.125" style="255" customWidth="1"/>
    <col min="279" max="279" width="11.125" style="255" customWidth="1"/>
    <col min="280" max="280" width="7.875" style="255" customWidth="1"/>
    <col min="281" max="281" width="7.25" style="255" customWidth="1"/>
    <col min="282" max="282" width="9.125" style="255" customWidth="1"/>
    <col min="283" max="283" width="15.125" style="255" customWidth="1"/>
    <col min="284" max="284" width="7.75" style="255" customWidth="1"/>
    <col min="285" max="285" width="7.125" style="255" customWidth="1"/>
    <col min="286" max="286" width="12.125" style="255" customWidth="1"/>
    <col min="287" max="287" width="8.25" style="255" customWidth="1"/>
    <col min="288" max="289" width="10.375" style="255" customWidth="1"/>
    <col min="290" max="290" width="15.625" style="255" customWidth="1"/>
    <col min="291" max="291" width="15.875" style="255" customWidth="1"/>
    <col min="292" max="292" width="8.125" style="255" customWidth="1"/>
    <col min="293" max="296" width="10.375" style="255" customWidth="1"/>
    <col min="297" max="297" width="7.25" style="255" customWidth="1"/>
    <col min="298" max="298" width="7.125" style="255" customWidth="1"/>
    <col min="299" max="299" width="9.5" style="255" customWidth="1"/>
    <col min="300" max="301" width="9" style="255" customWidth="1"/>
    <col min="302" max="302" width="16.125" style="255" customWidth="1"/>
    <col min="303" max="333" width="9" style="255" customWidth="1"/>
    <col min="334" max="493" width="25.25" style="255"/>
    <col min="494" max="523" width="9" style="255" customWidth="1"/>
    <col min="524" max="524" width="0.5" style="255" customWidth="1"/>
    <col min="525" max="525" width="25.25" style="255"/>
    <col min="526" max="526" width="0.5" style="255" customWidth="1"/>
    <col min="527" max="527" width="25.25" style="255"/>
    <col min="528" max="528" width="14.75" style="255" customWidth="1"/>
    <col min="529" max="529" width="11.5" style="255" customWidth="1"/>
    <col min="530" max="530" width="11.25" style="255" customWidth="1"/>
    <col min="531" max="531" width="10.75" style="255" customWidth="1"/>
    <col min="532" max="532" width="10" style="255" customWidth="1"/>
    <col min="533" max="533" width="9.875" style="255" customWidth="1"/>
    <col min="534" max="534" width="26.125" style="255" customWidth="1"/>
    <col min="535" max="535" width="11.125" style="255" customWidth="1"/>
    <col min="536" max="536" width="7.875" style="255" customWidth="1"/>
    <col min="537" max="537" width="7.25" style="255" customWidth="1"/>
    <col min="538" max="538" width="9.125" style="255" customWidth="1"/>
    <col min="539" max="539" width="15.125" style="255" customWidth="1"/>
    <col min="540" max="540" width="7.75" style="255" customWidth="1"/>
    <col min="541" max="541" width="7.125" style="255" customWidth="1"/>
    <col min="542" max="542" width="12.125" style="255" customWidth="1"/>
    <col min="543" max="543" width="8.25" style="255" customWidth="1"/>
    <col min="544" max="545" width="10.375" style="255" customWidth="1"/>
    <col min="546" max="546" width="15.625" style="255" customWidth="1"/>
    <col min="547" max="547" width="15.875" style="255" customWidth="1"/>
    <col min="548" max="548" width="8.125" style="255" customWidth="1"/>
    <col min="549" max="552" width="10.375" style="255" customWidth="1"/>
    <col min="553" max="553" width="7.25" style="255" customWidth="1"/>
    <col min="554" max="554" width="7.125" style="255" customWidth="1"/>
    <col min="555" max="555" width="9.5" style="255" customWidth="1"/>
    <col min="556" max="557" width="9" style="255" customWidth="1"/>
    <col min="558" max="558" width="16.125" style="255" customWidth="1"/>
    <col min="559" max="589" width="9" style="255" customWidth="1"/>
    <col min="590" max="749" width="25.25" style="255"/>
    <col min="750" max="779" width="9" style="255" customWidth="1"/>
    <col min="780" max="780" width="0.5" style="255" customWidth="1"/>
    <col min="781" max="781" width="25.25" style="255"/>
    <col min="782" max="782" width="0.5" style="255" customWidth="1"/>
    <col min="783" max="783" width="25.25" style="255"/>
    <col min="784" max="784" width="14.75" style="255" customWidth="1"/>
    <col min="785" max="785" width="11.5" style="255" customWidth="1"/>
    <col min="786" max="786" width="11.25" style="255" customWidth="1"/>
    <col min="787" max="787" width="10.75" style="255" customWidth="1"/>
    <col min="788" max="788" width="10" style="255" customWidth="1"/>
    <col min="789" max="789" width="9.875" style="255" customWidth="1"/>
    <col min="790" max="790" width="26.125" style="255" customWidth="1"/>
    <col min="791" max="791" width="11.125" style="255" customWidth="1"/>
    <col min="792" max="792" width="7.875" style="255" customWidth="1"/>
    <col min="793" max="793" width="7.25" style="255" customWidth="1"/>
    <col min="794" max="794" width="9.125" style="255" customWidth="1"/>
    <col min="795" max="795" width="15.125" style="255" customWidth="1"/>
    <col min="796" max="796" width="7.75" style="255" customWidth="1"/>
    <col min="797" max="797" width="7.125" style="255" customWidth="1"/>
    <col min="798" max="798" width="12.125" style="255" customWidth="1"/>
    <col min="799" max="799" width="8.25" style="255" customWidth="1"/>
    <col min="800" max="801" width="10.375" style="255" customWidth="1"/>
    <col min="802" max="802" width="15.625" style="255" customWidth="1"/>
    <col min="803" max="803" width="15.875" style="255" customWidth="1"/>
    <col min="804" max="804" width="8.125" style="255" customWidth="1"/>
    <col min="805" max="808" width="10.375" style="255" customWidth="1"/>
    <col min="809" max="809" width="7.25" style="255" customWidth="1"/>
    <col min="810" max="810" width="7.125" style="255" customWidth="1"/>
    <col min="811" max="811" width="9.5" style="255" customWidth="1"/>
    <col min="812" max="813" width="9" style="255" customWidth="1"/>
    <col min="814" max="814" width="16.125" style="255" customWidth="1"/>
    <col min="815" max="845" width="9" style="255" customWidth="1"/>
    <col min="846" max="1005" width="25.25" style="255"/>
    <col min="1006" max="1035" width="9" style="255" customWidth="1"/>
    <col min="1036" max="1036" width="0.5" style="255" customWidth="1"/>
    <col min="1037" max="1037" width="25.25" style="255"/>
    <col min="1038" max="1038" width="0.5" style="255" customWidth="1"/>
    <col min="1039" max="1039" width="25.25" style="255"/>
    <col min="1040" max="1040" width="14.75" style="255" customWidth="1"/>
    <col min="1041" max="1041" width="11.5" style="255" customWidth="1"/>
    <col min="1042" max="1042" width="11.25" style="255" customWidth="1"/>
    <col min="1043" max="1043" width="10.75" style="255" customWidth="1"/>
    <col min="1044" max="1044" width="10" style="255" customWidth="1"/>
    <col min="1045" max="1045" width="9.875" style="255" customWidth="1"/>
    <col min="1046" max="1046" width="26.125" style="255" customWidth="1"/>
    <col min="1047" max="1047" width="11.125" style="255" customWidth="1"/>
    <col min="1048" max="1048" width="7.875" style="255" customWidth="1"/>
    <col min="1049" max="1049" width="7.25" style="255" customWidth="1"/>
    <col min="1050" max="1050" width="9.125" style="255" customWidth="1"/>
    <col min="1051" max="1051" width="15.125" style="255" customWidth="1"/>
    <col min="1052" max="1052" width="7.75" style="255" customWidth="1"/>
    <col min="1053" max="1053" width="7.125" style="255" customWidth="1"/>
    <col min="1054" max="1054" width="12.125" style="255" customWidth="1"/>
    <col min="1055" max="1055" width="8.25" style="255" customWidth="1"/>
    <col min="1056" max="1057" width="10.375" style="255" customWidth="1"/>
    <col min="1058" max="1058" width="15.625" style="255" customWidth="1"/>
    <col min="1059" max="1059" width="15.875" style="255" customWidth="1"/>
    <col min="1060" max="1060" width="8.125" style="255" customWidth="1"/>
    <col min="1061" max="1064" width="10.375" style="255" customWidth="1"/>
    <col min="1065" max="1065" width="7.25" style="255" customWidth="1"/>
    <col min="1066" max="1066" width="7.125" style="255" customWidth="1"/>
    <col min="1067" max="1067" width="9.5" style="255" customWidth="1"/>
    <col min="1068" max="1069" width="9" style="255" customWidth="1"/>
    <col min="1070" max="1070" width="16.125" style="255" customWidth="1"/>
    <col min="1071" max="1101" width="9" style="255" customWidth="1"/>
    <col min="1102" max="1261" width="25.25" style="255"/>
    <col min="1262" max="1291" width="9" style="255" customWidth="1"/>
    <col min="1292" max="1292" width="0.5" style="255" customWidth="1"/>
    <col min="1293" max="1293" width="25.25" style="255"/>
    <col min="1294" max="1294" width="0.5" style="255" customWidth="1"/>
    <col min="1295" max="1295" width="25.25" style="255"/>
    <col min="1296" max="1296" width="14.75" style="255" customWidth="1"/>
    <col min="1297" max="1297" width="11.5" style="255" customWidth="1"/>
    <col min="1298" max="1298" width="11.25" style="255" customWidth="1"/>
    <col min="1299" max="1299" width="10.75" style="255" customWidth="1"/>
    <col min="1300" max="1300" width="10" style="255" customWidth="1"/>
    <col min="1301" max="1301" width="9.875" style="255" customWidth="1"/>
    <col min="1302" max="1302" width="26.125" style="255" customWidth="1"/>
    <col min="1303" max="1303" width="11.125" style="255" customWidth="1"/>
    <col min="1304" max="1304" width="7.875" style="255" customWidth="1"/>
    <col min="1305" max="1305" width="7.25" style="255" customWidth="1"/>
    <col min="1306" max="1306" width="9.125" style="255" customWidth="1"/>
    <col min="1307" max="1307" width="15.125" style="255" customWidth="1"/>
    <col min="1308" max="1308" width="7.75" style="255" customWidth="1"/>
    <col min="1309" max="1309" width="7.125" style="255" customWidth="1"/>
    <col min="1310" max="1310" width="12.125" style="255" customWidth="1"/>
    <col min="1311" max="1311" width="8.25" style="255" customWidth="1"/>
    <col min="1312" max="1313" width="10.375" style="255" customWidth="1"/>
    <col min="1314" max="1314" width="15.625" style="255" customWidth="1"/>
    <col min="1315" max="1315" width="15.875" style="255" customWidth="1"/>
    <col min="1316" max="1316" width="8.125" style="255" customWidth="1"/>
    <col min="1317" max="1320" width="10.375" style="255" customWidth="1"/>
    <col min="1321" max="1321" width="7.25" style="255" customWidth="1"/>
    <col min="1322" max="1322" width="7.125" style="255" customWidth="1"/>
    <col min="1323" max="1323" width="9.5" style="255" customWidth="1"/>
    <col min="1324" max="1325" width="9" style="255" customWidth="1"/>
    <col min="1326" max="1326" width="16.125" style="255" customWidth="1"/>
    <col min="1327" max="1357" width="9" style="255" customWidth="1"/>
    <col min="1358" max="1517" width="25.25" style="255"/>
    <col min="1518" max="1547" width="9" style="255" customWidth="1"/>
    <col min="1548" max="1548" width="0.5" style="255" customWidth="1"/>
    <col min="1549" max="1549" width="25.25" style="255"/>
    <col min="1550" max="1550" width="0.5" style="255" customWidth="1"/>
    <col min="1551" max="1551" width="25.25" style="255"/>
    <col min="1552" max="1552" width="14.75" style="255" customWidth="1"/>
    <col min="1553" max="1553" width="11.5" style="255" customWidth="1"/>
    <col min="1554" max="1554" width="11.25" style="255" customWidth="1"/>
    <col min="1555" max="1555" width="10.75" style="255" customWidth="1"/>
    <col min="1556" max="1556" width="10" style="255" customWidth="1"/>
    <col min="1557" max="1557" width="9.875" style="255" customWidth="1"/>
    <col min="1558" max="1558" width="26.125" style="255" customWidth="1"/>
    <col min="1559" max="1559" width="11.125" style="255" customWidth="1"/>
    <col min="1560" max="1560" width="7.875" style="255" customWidth="1"/>
    <col min="1561" max="1561" width="7.25" style="255" customWidth="1"/>
    <col min="1562" max="1562" width="9.125" style="255" customWidth="1"/>
    <col min="1563" max="1563" width="15.125" style="255" customWidth="1"/>
    <col min="1564" max="1564" width="7.75" style="255" customWidth="1"/>
    <col min="1565" max="1565" width="7.125" style="255" customWidth="1"/>
    <col min="1566" max="1566" width="12.125" style="255" customWidth="1"/>
    <col min="1567" max="1567" width="8.25" style="255" customWidth="1"/>
    <col min="1568" max="1569" width="10.375" style="255" customWidth="1"/>
    <col min="1570" max="1570" width="15.625" style="255" customWidth="1"/>
    <col min="1571" max="1571" width="15.875" style="255" customWidth="1"/>
    <col min="1572" max="1572" width="8.125" style="255" customWidth="1"/>
    <col min="1573" max="1576" width="10.375" style="255" customWidth="1"/>
    <col min="1577" max="1577" width="7.25" style="255" customWidth="1"/>
    <col min="1578" max="1578" width="7.125" style="255" customWidth="1"/>
    <col min="1579" max="1579" width="9.5" style="255" customWidth="1"/>
    <col min="1580" max="1581" width="9" style="255" customWidth="1"/>
    <col min="1582" max="1582" width="16.125" style="255" customWidth="1"/>
    <col min="1583" max="1613" width="9" style="255" customWidth="1"/>
    <col min="1614" max="1773" width="25.25" style="255"/>
    <col min="1774" max="1803" width="9" style="255" customWidth="1"/>
    <col min="1804" max="1804" width="0.5" style="255" customWidth="1"/>
    <col min="1805" max="1805" width="25.25" style="255"/>
    <col min="1806" max="1806" width="0.5" style="255" customWidth="1"/>
    <col min="1807" max="1807" width="25.25" style="255"/>
    <col min="1808" max="1808" width="14.75" style="255" customWidth="1"/>
    <col min="1809" max="1809" width="11.5" style="255" customWidth="1"/>
    <col min="1810" max="1810" width="11.25" style="255" customWidth="1"/>
    <col min="1811" max="1811" width="10.75" style="255" customWidth="1"/>
    <col min="1812" max="1812" width="10" style="255" customWidth="1"/>
    <col min="1813" max="1813" width="9.875" style="255" customWidth="1"/>
    <col min="1814" max="1814" width="26.125" style="255" customWidth="1"/>
    <col min="1815" max="1815" width="11.125" style="255" customWidth="1"/>
    <col min="1816" max="1816" width="7.875" style="255" customWidth="1"/>
    <col min="1817" max="1817" width="7.25" style="255" customWidth="1"/>
    <col min="1818" max="1818" width="9.125" style="255" customWidth="1"/>
    <col min="1819" max="1819" width="15.125" style="255" customWidth="1"/>
    <col min="1820" max="1820" width="7.75" style="255" customWidth="1"/>
    <col min="1821" max="1821" width="7.125" style="255" customWidth="1"/>
    <col min="1822" max="1822" width="12.125" style="255" customWidth="1"/>
    <col min="1823" max="1823" width="8.25" style="255" customWidth="1"/>
    <col min="1824" max="1825" width="10.375" style="255" customWidth="1"/>
    <col min="1826" max="1826" width="15.625" style="255" customWidth="1"/>
    <col min="1827" max="1827" width="15.875" style="255" customWidth="1"/>
    <col min="1828" max="1828" width="8.125" style="255" customWidth="1"/>
    <col min="1829" max="1832" width="10.375" style="255" customWidth="1"/>
    <col min="1833" max="1833" width="7.25" style="255" customWidth="1"/>
    <col min="1834" max="1834" width="7.125" style="255" customWidth="1"/>
    <col min="1835" max="1835" width="9.5" style="255" customWidth="1"/>
    <col min="1836" max="1837" width="9" style="255" customWidth="1"/>
    <col min="1838" max="1838" width="16.125" style="255" customWidth="1"/>
    <col min="1839" max="1869" width="9" style="255" customWidth="1"/>
    <col min="1870" max="2029" width="25.25" style="255"/>
    <col min="2030" max="2059" width="9" style="255" customWidth="1"/>
    <col min="2060" max="2060" width="0.5" style="255" customWidth="1"/>
    <col min="2061" max="2061" width="25.25" style="255"/>
    <col min="2062" max="2062" width="0.5" style="255" customWidth="1"/>
    <col min="2063" max="2063" width="25.25" style="255"/>
    <col min="2064" max="2064" width="14.75" style="255" customWidth="1"/>
    <col min="2065" max="2065" width="11.5" style="255" customWidth="1"/>
    <col min="2066" max="2066" width="11.25" style="255" customWidth="1"/>
    <col min="2067" max="2067" width="10.75" style="255" customWidth="1"/>
    <col min="2068" max="2068" width="10" style="255" customWidth="1"/>
    <col min="2069" max="2069" width="9.875" style="255" customWidth="1"/>
    <col min="2070" max="2070" width="26.125" style="255" customWidth="1"/>
    <col min="2071" max="2071" width="11.125" style="255" customWidth="1"/>
    <col min="2072" max="2072" width="7.875" style="255" customWidth="1"/>
    <col min="2073" max="2073" width="7.25" style="255" customWidth="1"/>
    <col min="2074" max="2074" width="9.125" style="255" customWidth="1"/>
    <col min="2075" max="2075" width="15.125" style="255" customWidth="1"/>
    <col min="2076" max="2076" width="7.75" style="255" customWidth="1"/>
    <col min="2077" max="2077" width="7.125" style="255" customWidth="1"/>
    <col min="2078" max="2078" width="12.125" style="255" customWidth="1"/>
    <col min="2079" max="2079" width="8.25" style="255" customWidth="1"/>
    <col min="2080" max="2081" width="10.375" style="255" customWidth="1"/>
    <col min="2082" max="2082" width="15.625" style="255" customWidth="1"/>
    <col min="2083" max="2083" width="15.875" style="255" customWidth="1"/>
    <col min="2084" max="2084" width="8.125" style="255" customWidth="1"/>
    <col min="2085" max="2088" width="10.375" style="255" customWidth="1"/>
    <col min="2089" max="2089" width="7.25" style="255" customWidth="1"/>
    <col min="2090" max="2090" width="7.125" style="255" customWidth="1"/>
    <col min="2091" max="2091" width="9.5" style="255" customWidth="1"/>
    <col min="2092" max="2093" width="9" style="255" customWidth="1"/>
    <col min="2094" max="2094" width="16.125" style="255" customWidth="1"/>
    <col min="2095" max="2125" width="9" style="255" customWidth="1"/>
    <col min="2126" max="2285" width="25.25" style="255"/>
    <col min="2286" max="2315" width="9" style="255" customWidth="1"/>
    <col min="2316" max="2316" width="0.5" style="255" customWidth="1"/>
    <col min="2317" max="2317" width="25.25" style="255"/>
    <col min="2318" max="2318" width="0.5" style="255" customWidth="1"/>
    <col min="2319" max="2319" width="25.25" style="255"/>
    <col min="2320" max="2320" width="14.75" style="255" customWidth="1"/>
    <col min="2321" max="2321" width="11.5" style="255" customWidth="1"/>
    <col min="2322" max="2322" width="11.25" style="255" customWidth="1"/>
    <col min="2323" max="2323" width="10.75" style="255" customWidth="1"/>
    <col min="2324" max="2324" width="10" style="255" customWidth="1"/>
    <col min="2325" max="2325" width="9.875" style="255" customWidth="1"/>
    <col min="2326" max="2326" width="26.125" style="255" customWidth="1"/>
    <col min="2327" max="2327" width="11.125" style="255" customWidth="1"/>
    <col min="2328" max="2328" width="7.875" style="255" customWidth="1"/>
    <col min="2329" max="2329" width="7.25" style="255" customWidth="1"/>
    <col min="2330" max="2330" width="9.125" style="255" customWidth="1"/>
    <col min="2331" max="2331" width="15.125" style="255" customWidth="1"/>
    <col min="2332" max="2332" width="7.75" style="255" customWidth="1"/>
    <col min="2333" max="2333" width="7.125" style="255" customWidth="1"/>
    <col min="2334" max="2334" width="12.125" style="255" customWidth="1"/>
    <col min="2335" max="2335" width="8.25" style="255" customWidth="1"/>
    <col min="2336" max="2337" width="10.375" style="255" customWidth="1"/>
    <col min="2338" max="2338" width="15.625" style="255" customWidth="1"/>
    <col min="2339" max="2339" width="15.875" style="255" customWidth="1"/>
    <col min="2340" max="2340" width="8.125" style="255" customWidth="1"/>
    <col min="2341" max="2344" width="10.375" style="255" customWidth="1"/>
    <col min="2345" max="2345" width="7.25" style="255" customWidth="1"/>
    <col min="2346" max="2346" width="7.125" style="255" customWidth="1"/>
    <col min="2347" max="2347" width="9.5" style="255" customWidth="1"/>
    <col min="2348" max="2349" width="9" style="255" customWidth="1"/>
    <col min="2350" max="2350" width="16.125" style="255" customWidth="1"/>
    <col min="2351" max="2381" width="9" style="255" customWidth="1"/>
    <col min="2382" max="2541" width="25.25" style="255"/>
    <col min="2542" max="2571" width="9" style="255" customWidth="1"/>
    <col min="2572" max="2572" width="0.5" style="255" customWidth="1"/>
    <col min="2573" max="2573" width="25.25" style="255"/>
    <col min="2574" max="2574" width="0.5" style="255" customWidth="1"/>
    <col min="2575" max="2575" width="25.25" style="255"/>
    <col min="2576" max="2576" width="14.75" style="255" customWidth="1"/>
    <col min="2577" max="2577" width="11.5" style="255" customWidth="1"/>
    <col min="2578" max="2578" width="11.25" style="255" customWidth="1"/>
    <col min="2579" max="2579" width="10.75" style="255" customWidth="1"/>
    <col min="2580" max="2580" width="10" style="255" customWidth="1"/>
    <col min="2581" max="2581" width="9.875" style="255" customWidth="1"/>
    <col min="2582" max="2582" width="26.125" style="255" customWidth="1"/>
    <col min="2583" max="2583" width="11.125" style="255" customWidth="1"/>
    <col min="2584" max="2584" width="7.875" style="255" customWidth="1"/>
    <col min="2585" max="2585" width="7.25" style="255" customWidth="1"/>
    <col min="2586" max="2586" width="9.125" style="255" customWidth="1"/>
    <col min="2587" max="2587" width="15.125" style="255" customWidth="1"/>
    <col min="2588" max="2588" width="7.75" style="255" customWidth="1"/>
    <col min="2589" max="2589" width="7.125" style="255" customWidth="1"/>
    <col min="2590" max="2590" width="12.125" style="255" customWidth="1"/>
    <col min="2591" max="2591" width="8.25" style="255" customWidth="1"/>
    <col min="2592" max="2593" width="10.375" style="255" customWidth="1"/>
    <col min="2594" max="2594" width="15.625" style="255" customWidth="1"/>
    <col min="2595" max="2595" width="15.875" style="255" customWidth="1"/>
    <col min="2596" max="2596" width="8.125" style="255" customWidth="1"/>
    <col min="2597" max="2600" width="10.375" style="255" customWidth="1"/>
    <col min="2601" max="2601" width="7.25" style="255" customWidth="1"/>
    <col min="2602" max="2602" width="7.125" style="255" customWidth="1"/>
    <col min="2603" max="2603" width="9.5" style="255" customWidth="1"/>
    <col min="2604" max="2605" width="9" style="255" customWidth="1"/>
    <col min="2606" max="2606" width="16.125" style="255" customWidth="1"/>
    <col min="2607" max="2637" width="9" style="255" customWidth="1"/>
    <col min="2638" max="2797" width="25.25" style="255"/>
    <col min="2798" max="2827" width="9" style="255" customWidth="1"/>
    <col min="2828" max="2828" width="0.5" style="255" customWidth="1"/>
    <col min="2829" max="2829" width="25.25" style="255"/>
    <col min="2830" max="2830" width="0.5" style="255" customWidth="1"/>
    <col min="2831" max="2831" width="25.25" style="255"/>
    <col min="2832" max="2832" width="14.75" style="255" customWidth="1"/>
    <col min="2833" max="2833" width="11.5" style="255" customWidth="1"/>
    <col min="2834" max="2834" width="11.25" style="255" customWidth="1"/>
    <col min="2835" max="2835" width="10.75" style="255" customWidth="1"/>
    <col min="2836" max="2836" width="10" style="255" customWidth="1"/>
    <col min="2837" max="2837" width="9.875" style="255" customWidth="1"/>
    <col min="2838" max="2838" width="26.125" style="255" customWidth="1"/>
    <col min="2839" max="2839" width="11.125" style="255" customWidth="1"/>
    <col min="2840" max="2840" width="7.875" style="255" customWidth="1"/>
    <col min="2841" max="2841" width="7.25" style="255" customWidth="1"/>
    <col min="2842" max="2842" width="9.125" style="255" customWidth="1"/>
    <col min="2843" max="2843" width="15.125" style="255" customWidth="1"/>
    <col min="2844" max="2844" width="7.75" style="255" customWidth="1"/>
    <col min="2845" max="2845" width="7.125" style="255" customWidth="1"/>
    <col min="2846" max="2846" width="12.125" style="255" customWidth="1"/>
    <col min="2847" max="2847" width="8.25" style="255" customWidth="1"/>
    <col min="2848" max="2849" width="10.375" style="255" customWidth="1"/>
    <col min="2850" max="2850" width="15.625" style="255" customWidth="1"/>
    <col min="2851" max="2851" width="15.875" style="255" customWidth="1"/>
    <col min="2852" max="2852" width="8.125" style="255" customWidth="1"/>
    <col min="2853" max="2856" width="10.375" style="255" customWidth="1"/>
    <col min="2857" max="2857" width="7.25" style="255" customWidth="1"/>
    <col min="2858" max="2858" width="7.125" style="255" customWidth="1"/>
    <col min="2859" max="2859" width="9.5" style="255" customWidth="1"/>
    <col min="2860" max="2861" width="9" style="255" customWidth="1"/>
    <col min="2862" max="2862" width="16.125" style="255" customWidth="1"/>
    <col min="2863" max="2893" width="9" style="255" customWidth="1"/>
    <col min="2894" max="3053" width="25.25" style="255"/>
    <col min="3054" max="3083" width="9" style="255" customWidth="1"/>
    <col min="3084" max="3084" width="0.5" style="255" customWidth="1"/>
    <col min="3085" max="3085" width="25.25" style="255"/>
    <col min="3086" max="3086" width="0.5" style="255" customWidth="1"/>
    <col min="3087" max="3087" width="25.25" style="255"/>
    <col min="3088" max="3088" width="14.75" style="255" customWidth="1"/>
    <col min="3089" max="3089" width="11.5" style="255" customWidth="1"/>
    <col min="3090" max="3090" width="11.25" style="255" customWidth="1"/>
    <col min="3091" max="3091" width="10.75" style="255" customWidth="1"/>
    <col min="3092" max="3092" width="10" style="255" customWidth="1"/>
    <col min="3093" max="3093" width="9.875" style="255" customWidth="1"/>
    <col min="3094" max="3094" width="26.125" style="255" customWidth="1"/>
    <col min="3095" max="3095" width="11.125" style="255" customWidth="1"/>
    <col min="3096" max="3096" width="7.875" style="255" customWidth="1"/>
    <col min="3097" max="3097" width="7.25" style="255" customWidth="1"/>
    <col min="3098" max="3098" width="9.125" style="255" customWidth="1"/>
    <col min="3099" max="3099" width="15.125" style="255" customWidth="1"/>
    <col min="3100" max="3100" width="7.75" style="255" customWidth="1"/>
    <col min="3101" max="3101" width="7.125" style="255" customWidth="1"/>
    <col min="3102" max="3102" width="12.125" style="255" customWidth="1"/>
    <col min="3103" max="3103" width="8.25" style="255" customWidth="1"/>
    <col min="3104" max="3105" width="10.375" style="255" customWidth="1"/>
    <col min="3106" max="3106" width="15.625" style="255" customWidth="1"/>
    <col min="3107" max="3107" width="15.875" style="255" customWidth="1"/>
    <col min="3108" max="3108" width="8.125" style="255" customWidth="1"/>
    <col min="3109" max="3112" width="10.375" style="255" customWidth="1"/>
    <col min="3113" max="3113" width="7.25" style="255" customWidth="1"/>
    <col min="3114" max="3114" width="7.125" style="255" customWidth="1"/>
    <col min="3115" max="3115" width="9.5" style="255" customWidth="1"/>
    <col min="3116" max="3117" width="9" style="255" customWidth="1"/>
    <col min="3118" max="3118" width="16.125" style="255" customWidth="1"/>
    <col min="3119" max="3149" width="9" style="255" customWidth="1"/>
    <col min="3150" max="3309" width="25.25" style="255"/>
    <col min="3310" max="3339" width="9" style="255" customWidth="1"/>
    <col min="3340" max="3340" width="0.5" style="255" customWidth="1"/>
    <col min="3341" max="3341" width="25.25" style="255"/>
    <col min="3342" max="3342" width="0.5" style="255" customWidth="1"/>
    <col min="3343" max="3343" width="25.25" style="255"/>
    <col min="3344" max="3344" width="14.75" style="255" customWidth="1"/>
    <col min="3345" max="3345" width="11.5" style="255" customWidth="1"/>
    <col min="3346" max="3346" width="11.25" style="255" customWidth="1"/>
    <col min="3347" max="3347" width="10.75" style="255" customWidth="1"/>
    <col min="3348" max="3348" width="10" style="255" customWidth="1"/>
    <col min="3349" max="3349" width="9.875" style="255" customWidth="1"/>
    <col min="3350" max="3350" width="26.125" style="255" customWidth="1"/>
    <col min="3351" max="3351" width="11.125" style="255" customWidth="1"/>
    <col min="3352" max="3352" width="7.875" style="255" customWidth="1"/>
    <col min="3353" max="3353" width="7.25" style="255" customWidth="1"/>
    <col min="3354" max="3354" width="9.125" style="255" customWidth="1"/>
    <col min="3355" max="3355" width="15.125" style="255" customWidth="1"/>
    <col min="3356" max="3356" width="7.75" style="255" customWidth="1"/>
    <col min="3357" max="3357" width="7.125" style="255" customWidth="1"/>
    <col min="3358" max="3358" width="12.125" style="255" customWidth="1"/>
    <col min="3359" max="3359" width="8.25" style="255" customWidth="1"/>
    <col min="3360" max="3361" width="10.375" style="255" customWidth="1"/>
    <col min="3362" max="3362" width="15.625" style="255" customWidth="1"/>
    <col min="3363" max="3363" width="15.875" style="255" customWidth="1"/>
    <col min="3364" max="3364" width="8.125" style="255" customWidth="1"/>
    <col min="3365" max="3368" width="10.375" style="255" customWidth="1"/>
    <col min="3369" max="3369" width="7.25" style="255" customWidth="1"/>
    <col min="3370" max="3370" width="7.125" style="255" customWidth="1"/>
    <col min="3371" max="3371" width="9.5" style="255" customWidth="1"/>
    <col min="3372" max="3373" width="9" style="255" customWidth="1"/>
    <col min="3374" max="3374" width="16.125" style="255" customWidth="1"/>
    <col min="3375" max="3405" width="9" style="255" customWidth="1"/>
    <col min="3406" max="3565" width="25.25" style="255"/>
    <col min="3566" max="3595" width="9" style="255" customWidth="1"/>
    <col min="3596" max="3596" width="0.5" style="255" customWidth="1"/>
    <col min="3597" max="3597" width="25.25" style="255"/>
    <col min="3598" max="3598" width="0.5" style="255" customWidth="1"/>
    <col min="3599" max="3599" width="25.25" style="255"/>
    <col min="3600" max="3600" width="14.75" style="255" customWidth="1"/>
    <col min="3601" max="3601" width="11.5" style="255" customWidth="1"/>
    <col min="3602" max="3602" width="11.25" style="255" customWidth="1"/>
    <col min="3603" max="3603" width="10.75" style="255" customWidth="1"/>
    <col min="3604" max="3604" width="10" style="255" customWidth="1"/>
    <col min="3605" max="3605" width="9.875" style="255" customWidth="1"/>
    <col min="3606" max="3606" width="26.125" style="255" customWidth="1"/>
    <col min="3607" max="3607" width="11.125" style="255" customWidth="1"/>
    <col min="3608" max="3608" width="7.875" style="255" customWidth="1"/>
    <col min="3609" max="3609" width="7.25" style="255" customWidth="1"/>
    <col min="3610" max="3610" width="9.125" style="255" customWidth="1"/>
    <col min="3611" max="3611" width="15.125" style="255" customWidth="1"/>
    <col min="3612" max="3612" width="7.75" style="255" customWidth="1"/>
    <col min="3613" max="3613" width="7.125" style="255" customWidth="1"/>
    <col min="3614" max="3614" width="12.125" style="255" customWidth="1"/>
    <col min="3615" max="3615" width="8.25" style="255" customWidth="1"/>
    <col min="3616" max="3617" width="10.375" style="255" customWidth="1"/>
    <col min="3618" max="3618" width="15.625" style="255" customWidth="1"/>
    <col min="3619" max="3619" width="15.875" style="255" customWidth="1"/>
    <col min="3620" max="3620" width="8.125" style="255" customWidth="1"/>
    <col min="3621" max="3624" width="10.375" style="255" customWidth="1"/>
    <col min="3625" max="3625" width="7.25" style="255" customWidth="1"/>
    <col min="3626" max="3626" width="7.125" style="255" customWidth="1"/>
    <col min="3627" max="3627" width="9.5" style="255" customWidth="1"/>
    <col min="3628" max="3629" width="9" style="255" customWidth="1"/>
    <col min="3630" max="3630" width="16.125" style="255" customWidth="1"/>
    <col min="3631" max="3661" width="9" style="255" customWidth="1"/>
    <col min="3662" max="3821" width="25.25" style="255"/>
    <col min="3822" max="3851" width="9" style="255" customWidth="1"/>
    <col min="3852" max="3852" width="0.5" style="255" customWidth="1"/>
    <col min="3853" max="3853" width="25.25" style="255"/>
    <col min="3854" max="3854" width="0.5" style="255" customWidth="1"/>
    <col min="3855" max="3855" width="25.25" style="255"/>
    <col min="3856" max="3856" width="14.75" style="255" customWidth="1"/>
    <col min="3857" max="3857" width="11.5" style="255" customWidth="1"/>
    <col min="3858" max="3858" width="11.25" style="255" customWidth="1"/>
    <col min="3859" max="3859" width="10.75" style="255" customWidth="1"/>
    <col min="3860" max="3860" width="10" style="255" customWidth="1"/>
    <col min="3861" max="3861" width="9.875" style="255" customWidth="1"/>
    <col min="3862" max="3862" width="26.125" style="255" customWidth="1"/>
    <col min="3863" max="3863" width="11.125" style="255" customWidth="1"/>
    <col min="3864" max="3864" width="7.875" style="255" customWidth="1"/>
    <col min="3865" max="3865" width="7.25" style="255" customWidth="1"/>
    <col min="3866" max="3866" width="9.125" style="255" customWidth="1"/>
    <col min="3867" max="3867" width="15.125" style="255" customWidth="1"/>
    <col min="3868" max="3868" width="7.75" style="255" customWidth="1"/>
    <col min="3869" max="3869" width="7.125" style="255" customWidth="1"/>
    <col min="3870" max="3870" width="12.125" style="255" customWidth="1"/>
    <col min="3871" max="3871" width="8.25" style="255" customWidth="1"/>
    <col min="3872" max="3873" width="10.375" style="255" customWidth="1"/>
    <col min="3874" max="3874" width="15.625" style="255" customWidth="1"/>
    <col min="3875" max="3875" width="15.875" style="255" customWidth="1"/>
    <col min="3876" max="3876" width="8.125" style="255" customWidth="1"/>
    <col min="3877" max="3880" width="10.375" style="255" customWidth="1"/>
    <col min="3881" max="3881" width="7.25" style="255" customWidth="1"/>
    <col min="3882" max="3882" width="7.125" style="255" customWidth="1"/>
    <col min="3883" max="3883" width="9.5" style="255" customWidth="1"/>
    <col min="3884" max="3885" width="9" style="255" customWidth="1"/>
    <col min="3886" max="3886" width="16.125" style="255" customWidth="1"/>
    <col min="3887" max="3917" width="9" style="255" customWidth="1"/>
    <col min="3918" max="4077" width="25.25" style="255"/>
    <col min="4078" max="4107" width="9" style="255" customWidth="1"/>
    <col min="4108" max="4108" width="0.5" style="255" customWidth="1"/>
    <col min="4109" max="4109" width="25.25" style="255"/>
    <col min="4110" max="4110" width="0.5" style="255" customWidth="1"/>
    <col min="4111" max="4111" width="25.25" style="255"/>
    <col min="4112" max="4112" width="14.75" style="255" customWidth="1"/>
    <col min="4113" max="4113" width="11.5" style="255" customWidth="1"/>
    <col min="4114" max="4114" width="11.25" style="255" customWidth="1"/>
    <col min="4115" max="4115" width="10.75" style="255" customWidth="1"/>
    <col min="4116" max="4116" width="10" style="255" customWidth="1"/>
    <col min="4117" max="4117" width="9.875" style="255" customWidth="1"/>
    <col min="4118" max="4118" width="26.125" style="255" customWidth="1"/>
    <col min="4119" max="4119" width="11.125" style="255" customWidth="1"/>
    <col min="4120" max="4120" width="7.875" style="255" customWidth="1"/>
    <col min="4121" max="4121" width="7.25" style="255" customWidth="1"/>
    <col min="4122" max="4122" width="9.125" style="255" customWidth="1"/>
    <col min="4123" max="4123" width="15.125" style="255" customWidth="1"/>
    <col min="4124" max="4124" width="7.75" style="255" customWidth="1"/>
    <col min="4125" max="4125" width="7.125" style="255" customWidth="1"/>
    <col min="4126" max="4126" width="12.125" style="255" customWidth="1"/>
    <col min="4127" max="4127" width="8.25" style="255" customWidth="1"/>
    <col min="4128" max="4129" width="10.375" style="255" customWidth="1"/>
    <col min="4130" max="4130" width="15.625" style="255" customWidth="1"/>
    <col min="4131" max="4131" width="15.875" style="255" customWidth="1"/>
    <col min="4132" max="4132" width="8.125" style="255" customWidth="1"/>
    <col min="4133" max="4136" width="10.375" style="255" customWidth="1"/>
    <col min="4137" max="4137" width="7.25" style="255" customWidth="1"/>
    <col min="4138" max="4138" width="7.125" style="255" customWidth="1"/>
    <col min="4139" max="4139" width="9.5" style="255" customWidth="1"/>
    <col min="4140" max="4141" width="9" style="255" customWidth="1"/>
    <col min="4142" max="4142" width="16.125" style="255" customWidth="1"/>
    <col min="4143" max="4173" width="9" style="255" customWidth="1"/>
    <col min="4174" max="4333" width="25.25" style="255"/>
    <col min="4334" max="4363" width="9" style="255" customWidth="1"/>
    <col min="4364" max="4364" width="0.5" style="255" customWidth="1"/>
    <col min="4365" max="4365" width="25.25" style="255"/>
    <col min="4366" max="4366" width="0.5" style="255" customWidth="1"/>
    <col min="4367" max="4367" width="25.25" style="255"/>
    <col min="4368" max="4368" width="14.75" style="255" customWidth="1"/>
    <col min="4369" max="4369" width="11.5" style="255" customWidth="1"/>
    <col min="4370" max="4370" width="11.25" style="255" customWidth="1"/>
    <col min="4371" max="4371" width="10.75" style="255" customWidth="1"/>
    <col min="4372" max="4372" width="10" style="255" customWidth="1"/>
    <col min="4373" max="4373" width="9.875" style="255" customWidth="1"/>
    <col min="4374" max="4374" width="26.125" style="255" customWidth="1"/>
    <col min="4375" max="4375" width="11.125" style="255" customWidth="1"/>
    <col min="4376" max="4376" width="7.875" style="255" customWidth="1"/>
    <col min="4377" max="4377" width="7.25" style="255" customWidth="1"/>
    <col min="4378" max="4378" width="9.125" style="255" customWidth="1"/>
    <col min="4379" max="4379" width="15.125" style="255" customWidth="1"/>
    <col min="4380" max="4380" width="7.75" style="255" customWidth="1"/>
    <col min="4381" max="4381" width="7.125" style="255" customWidth="1"/>
    <col min="4382" max="4382" width="12.125" style="255" customWidth="1"/>
    <col min="4383" max="4383" width="8.25" style="255" customWidth="1"/>
    <col min="4384" max="4385" width="10.375" style="255" customWidth="1"/>
    <col min="4386" max="4386" width="15.625" style="255" customWidth="1"/>
    <col min="4387" max="4387" width="15.875" style="255" customWidth="1"/>
    <col min="4388" max="4388" width="8.125" style="255" customWidth="1"/>
    <col min="4389" max="4392" width="10.375" style="255" customWidth="1"/>
    <col min="4393" max="4393" width="7.25" style="255" customWidth="1"/>
    <col min="4394" max="4394" width="7.125" style="255" customWidth="1"/>
    <col min="4395" max="4395" width="9.5" style="255" customWidth="1"/>
    <col min="4396" max="4397" width="9" style="255" customWidth="1"/>
    <col min="4398" max="4398" width="16.125" style="255" customWidth="1"/>
    <col min="4399" max="4429" width="9" style="255" customWidth="1"/>
    <col min="4430" max="4589" width="25.25" style="255"/>
    <col min="4590" max="4619" width="9" style="255" customWidth="1"/>
    <col min="4620" max="4620" width="0.5" style="255" customWidth="1"/>
    <col min="4621" max="4621" width="25.25" style="255"/>
    <col min="4622" max="4622" width="0.5" style="255" customWidth="1"/>
    <col min="4623" max="4623" width="25.25" style="255"/>
    <col min="4624" max="4624" width="14.75" style="255" customWidth="1"/>
    <col min="4625" max="4625" width="11.5" style="255" customWidth="1"/>
    <col min="4626" max="4626" width="11.25" style="255" customWidth="1"/>
    <col min="4627" max="4627" width="10.75" style="255" customWidth="1"/>
    <col min="4628" max="4628" width="10" style="255" customWidth="1"/>
    <col min="4629" max="4629" width="9.875" style="255" customWidth="1"/>
    <col min="4630" max="4630" width="26.125" style="255" customWidth="1"/>
    <col min="4631" max="4631" width="11.125" style="255" customWidth="1"/>
    <col min="4632" max="4632" width="7.875" style="255" customWidth="1"/>
    <col min="4633" max="4633" width="7.25" style="255" customWidth="1"/>
    <col min="4634" max="4634" width="9.125" style="255" customWidth="1"/>
    <col min="4635" max="4635" width="15.125" style="255" customWidth="1"/>
    <col min="4636" max="4636" width="7.75" style="255" customWidth="1"/>
    <col min="4637" max="4637" width="7.125" style="255" customWidth="1"/>
    <col min="4638" max="4638" width="12.125" style="255" customWidth="1"/>
    <col min="4639" max="4639" width="8.25" style="255" customWidth="1"/>
    <col min="4640" max="4641" width="10.375" style="255" customWidth="1"/>
    <col min="4642" max="4642" width="15.625" style="255" customWidth="1"/>
    <col min="4643" max="4643" width="15.875" style="255" customWidth="1"/>
    <col min="4644" max="4644" width="8.125" style="255" customWidth="1"/>
    <col min="4645" max="4648" width="10.375" style="255" customWidth="1"/>
    <col min="4649" max="4649" width="7.25" style="255" customWidth="1"/>
    <col min="4650" max="4650" width="7.125" style="255" customWidth="1"/>
    <col min="4651" max="4651" width="9.5" style="255" customWidth="1"/>
    <col min="4652" max="4653" width="9" style="255" customWidth="1"/>
    <col min="4654" max="4654" width="16.125" style="255" customWidth="1"/>
    <col min="4655" max="4685" width="9" style="255" customWidth="1"/>
    <col min="4686" max="4845" width="25.25" style="255"/>
    <col min="4846" max="4875" width="9" style="255" customWidth="1"/>
    <col min="4876" max="4876" width="0.5" style="255" customWidth="1"/>
    <col min="4877" max="4877" width="25.25" style="255"/>
    <col min="4878" max="4878" width="0.5" style="255" customWidth="1"/>
    <col min="4879" max="4879" width="25.25" style="255"/>
    <col min="4880" max="4880" width="14.75" style="255" customWidth="1"/>
    <col min="4881" max="4881" width="11.5" style="255" customWidth="1"/>
    <col min="4882" max="4882" width="11.25" style="255" customWidth="1"/>
    <col min="4883" max="4883" width="10.75" style="255" customWidth="1"/>
    <col min="4884" max="4884" width="10" style="255" customWidth="1"/>
    <col min="4885" max="4885" width="9.875" style="255" customWidth="1"/>
    <col min="4886" max="4886" width="26.125" style="255" customWidth="1"/>
    <col min="4887" max="4887" width="11.125" style="255" customWidth="1"/>
    <col min="4888" max="4888" width="7.875" style="255" customWidth="1"/>
    <col min="4889" max="4889" width="7.25" style="255" customWidth="1"/>
    <col min="4890" max="4890" width="9.125" style="255" customWidth="1"/>
    <col min="4891" max="4891" width="15.125" style="255" customWidth="1"/>
    <col min="4892" max="4892" width="7.75" style="255" customWidth="1"/>
    <col min="4893" max="4893" width="7.125" style="255" customWidth="1"/>
    <col min="4894" max="4894" width="12.125" style="255" customWidth="1"/>
    <col min="4895" max="4895" width="8.25" style="255" customWidth="1"/>
    <col min="4896" max="4897" width="10.375" style="255" customWidth="1"/>
    <col min="4898" max="4898" width="15.625" style="255" customWidth="1"/>
    <col min="4899" max="4899" width="15.875" style="255" customWidth="1"/>
    <col min="4900" max="4900" width="8.125" style="255" customWidth="1"/>
    <col min="4901" max="4904" width="10.375" style="255" customWidth="1"/>
    <col min="4905" max="4905" width="7.25" style="255" customWidth="1"/>
    <col min="4906" max="4906" width="7.125" style="255" customWidth="1"/>
    <col min="4907" max="4907" width="9.5" style="255" customWidth="1"/>
    <col min="4908" max="4909" width="9" style="255" customWidth="1"/>
    <col min="4910" max="4910" width="16.125" style="255" customWidth="1"/>
    <col min="4911" max="4941" width="9" style="255" customWidth="1"/>
    <col min="4942" max="5101" width="25.25" style="255"/>
    <col min="5102" max="5131" width="9" style="255" customWidth="1"/>
    <col min="5132" max="5132" width="0.5" style="255" customWidth="1"/>
    <col min="5133" max="5133" width="25.25" style="255"/>
    <col min="5134" max="5134" width="0.5" style="255" customWidth="1"/>
    <col min="5135" max="5135" width="25.25" style="255"/>
    <col min="5136" max="5136" width="14.75" style="255" customWidth="1"/>
    <col min="5137" max="5137" width="11.5" style="255" customWidth="1"/>
    <col min="5138" max="5138" width="11.25" style="255" customWidth="1"/>
    <col min="5139" max="5139" width="10.75" style="255" customWidth="1"/>
    <col min="5140" max="5140" width="10" style="255" customWidth="1"/>
    <col min="5141" max="5141" width="9.875" style="255" customWidth="1"/>
    <col min="5142" max="5142" width="26.125" style="255" customWidth="1"/>
    <col min="5143" max="5143" width="11.125" style="255" customWidth="1"/>
    <col min="5144" max="5144" width="7.875" style="255" customWidth="1"/>
    <col min="5145" max="5145" width="7.25" style="255" customWidth="1"/>
    <col min="5146" max="5146" width="9.125" style="255" customWidth="1"/>
    <col min="5147" max="5147" width="15.125" style="255" customWidth="1"/>
    <col min="5148" max="5148" width="7.75" style="255" customWidth="1"/>
    <col min="5149" max="5149" width="7.125" style="255" customWidth="1"/>
    <col min="5150" max="5150" width="12.125" style="255" customWidth="1"/>
    <col min="5151" max="5151" width="8.25" style="255" customWidth="1"/>
    <col min="5152" max="5153" width="10.375" style="255" customWidth="1"/>
    <col min="5154" max="5154" width="15.625" style="255" customWidth="1"/>
    <col min="5155" max="5155" width="15.875" style="255" customWidth="1"/>
    <col min="5156" max="5156" width="8.125" style="255" customWidth="1"/>
    <col min="5157" max="5160" width="10.375" style="255" customWidth="1"/>
    <col min="5161" max="5161" width="7.25" style="255" customWidth="1"/>
    <col min="5162" max="5162" width="7.125" style="255" customWidth="1"/>
    <col min="5163" max="5163" width="9.5" style="255" customWidth="1"/>
    <col min="5164" max="5165" width="9" style="255" customWidth="1"/>
    <col min="5166" max="5166" width="16.125" style="255" customWidth="1"/>
    <col min="5167" max="5197" width="9" style="255" customWidth="1"/>
    <col min="5198" max="5357" width="25.25" style="255"/>
    <col min="5358" max="5387" width="9" style="255" customWidth="1"/>
    <col min="5388" max="5388" width="0.5" style="255" customWidth="1"/>
    <col min="5389" max="5389" width="25.25" style="255"/>
    <col min="5390" max="5390" width="0.5" style="255" customWidth="1"/>
    <col min="5391" max="5391" width="25.25" style="255"/>
    <col min="5392" max="5392" width="14.75" style="255" customWidth="1"/>
    <col min="5393" max="5393" width="11.5" style="255" customWidth="1"/>
    <col min="5394" max="5394" width="11.25" style="255" customWidth="1"/>
    <col min="5395" max="5395" width="10.75" style="255" customWidth="1"/>
    <col min="5396" max="5396" width="10" style="255" customWidth="1"/>
    <col min="5397" max="5397" width="9.875" style="255" customWidth="1"/>
    <col min="5398" max="5398" width="26.125" style="255" customWidth="1"/>
    <col min="5399" max="5399" width="11.125" style="255" customWidth="1"/>
    <col min="5400" max="5400" width="7.875" style="255" customWidth="1"/>
    <col min="5401" max="5401" width="7.25" style="255" customWidth="1"/>
    <col min="5402" max="5402" width="9.125" style="255" customWidth="1"/>
    <col min="5403" max="5403" width="15.125" style="255" customWidth="1"/>
    <col min="5404" max="5404" width="7.75" style="255" customWidth="1"/>
    <col min="5405" max="5405" width="7.125" style="255" customWidth="1"/>
    <col min="5406" max="5406" width="12.125" style="255" customWidth="1"/>
    <col min="5407" max="5407" width="8.25" style="255" customWidth="1"/>
    <col min="5408" max="5409" width="10.375" style="255" customWidth="1"/>
    <col min="5410" max="5410" width="15.625" style="255" customWidth="1"/>
    <col min="5411" max="5411" width="15.875" style="255" customWidth="1"/>
    <col min="5412" max="5412" width="8.125" style="255" customWidth="1"/>
    <col min="5413" max="5416" width="10.375" style="255" customWidth="1"/>
    <col min="5417" max="5417" width="7.25" style="255" customWidth="1"/>
    <col min="5418" max="5418" width="7.125" style="255" customWidth="1"/>
    <col min="5419" max="5419" width="9.5" style="255" customWidth="1"/>
    <col min="5420" max="5421" width="9" style="255" customWidth="1"/>
    <col min="5422" max="5422" width="16.125" style="255" customWidth="1"/>
    <col min="5423" max="5453" width="9" style="255" customWidth="1"/>
    <col min="5454" max="5613" width="25.25" style="255"/>
    <col min="5614" max="5643" width="9" style="255" customWidth="1"/>
    <col min="5644" max="5644" width="0.5" style="255" customWidth="1"/>
    <col min="5645" max="5645" width="25.25" style="255"/>
    <col min="5646" max="5646" width="0.5" style="255" customWidth="1"/>
    <col min="5647" max="5647" width="25.25" style="255"/>
    <col min="5648" max="5648" width="14.75" style="255" customWidth="1"/>
    <col min="5649" max="5649" width="11.5" style="255" customWidth="1"/>
    <col min="5650" max="5650" width="11.25" style="255" customWidth="1"/>
    <col min="5651" max="5651" width="10.75" style="255" customWidth="1"/>
    <col min="5652" max="5652" width="10" style="255" customWidth="1"/>
    <col min="5653" max="5653" width="9.875" style="255" customWidth="1"/>
    <col min="5654" max="5654" width="26.125" style="255" customWidth="1"/>
    <col min="5655" max="5655" width="11.125" style="255" customWidth="1"/>
    <col min="5656" max="5656" width="7.875" style="255" customWidth="1"/>
    <col min="5657" max="5657" width="7.25" style="255" customWidth="1"/>
    <col min="5658" max="5658" width="9.125" style="255" customWidth="1"/>
    <col min="5659" max="5659" width="15.125" style="255" customWidth="1"/>
    <col min="5660" max="5660" width="7.75" style="255" customWidth="1"/>
    <col min="5661" max="5661" width="7.125" style="255" customWidth="1"/>
    <col min="5662" max="5662" width="12.125" style="255" customWidth="1"/>
    <col min="5663" max="5663" width="8.25" style="255" customWidth="1"/>
    <col min="5664" max="5665" width="10.375" style="255" customWidth="1"/>
    <col min="5666" max="5666" width="15.625" style="255" customWidth="1"/>
    <col min="5667" max="5667" width="15.875" style="255" customWidth="1"/>
    <col min="5668" max="5668" width="8.125" style="255" customWidth="1"/>
    <col min="5669" max="5672" width="10.375" style="255" customWidth="1"/>
    <col min="5673" max="5673" width="7.25" style="255" customWidth="1"/>
    <col min="5674" max="5674" width="7.125" style="255" customWidth="1"/>
    <col min="5675" max="5675" width="9.5" style="255" customWidth="1"/>
    <col min="5676" max="5677" width="9" style="255" customWidth="1"/>
    <col min="5678" max="5678" width="16.125" style="255" customWidth="1"/>
    <col min="5679" max="5709" width="9" style="255" customWidth="1"/>
    <col min="5710" max="5869" width="25.25" style="255"/>
    <col min="5870" max="5899" width="9" style="255" customWidth="1"/>
    <col min="5900" max="5900" width="0.5" style="255" customWidth="1"/>
    <col min="5901" max="5901" width="25.25" style="255"/>
    <col min="5902" max="5902" width="0.5" style="255" customWidth="1"/>
    <col min="5903" max="5903" width="25.25" style="255"/>
    <col min="5904" max="5904" width="14.75" style="255" customWidth="1"/>
    <col min="5905" max="5905" width="11.5" style="255" customWidth="1"/>
    <col min="5906" max="5906" width="11.25" style="255" customWidth="1"/>
    <col min="5907" max="5907" width="10.75" style="255" customWidth="1"/>
    <col min="5908" max="5908" width="10" style="255" customWidth="1"/>
    <col min="5909" max="5909" width="9.875" style="255" customWidth="1"/>
    <col min="5910" max="5910" width="26.125" style="255" customWidth="1"/>
    <col min="5911" max="5911" width="11.125" style="255" customWidth="1"/>
    <col min="5912" max="5912" width="7.875" style="255" customWidth="1"/>
    <col min="5913" max="5913" width="7.25" style="255" customWidth="1"/>
    <col min="5914" max="5914" width="9.125" style="255" customWidth="1"/>
    <col min="5915" max="5915" width="15.125" style="255" customWidth="1"/>
    <col min="5916" max="5916" width="7.75" style="255" customWidth="1"/>
    <col min="5917" max="5917" width="7.125" style="255" customWidth="1"/>
    <col min="5918" max="5918" width="12.125" style="255" customWidth="1"/>
    <col min="5919" max="5919" width="8.25" style="255" customWidth="1"/>
    <col min="5920" max="5921" width="10.375" style="255" customWidth="1"/>
    <col min="5922" max="5922" width="15.625" style="255" customWidth="1"/>
    <col min="5923" max="5923" width="15.875" style="255" customWidth="1"/>
    <col min="5924" max="5924" width="8.125" style="255" customWidth="1"/>
    <col min="5925" max="5928" width="10.375" style="255" customWidth="1"/>
    <col min="5929" max="5929" width="7.25" style="255" customWidth="1"/>
    <col min="5930" max="5930" width="7.125" style="255" customWidth="1"/>
    <col min="5931" max="5931" width="9.5" style="255" customWidth="1"/>
    <col min="5932" max="5933" width="9" style="255" customWidth="1"/>
    <col min="5934" max="5934" width="16.125" style="255" customWidth="1"/>
    <col min="5935" max="5965" width="9" style="255" customWidth="1"/>
    <col min="5966" max="6125" width="25.25" style="255"/>
    <col min="6126" max="6155" width="9" style="255" customWidth="1"/>
    <col min="6156" max="6156" width="0.5" style="255" customWidth="1"/>
    <col min="6157" max="6157" width="25.25" style="255"/>
    <col min="6158" max="6158" width="0.5" style="255" customWidth="1"/>
    <col min="6159" max="6159" width="25.25" style="255"/>
    <col min="6160" max="6160" width="14.75" style="255" customWidth="1"/>
    <col min="6161" max="6161" width="11.5" style="255" customWidth="1"/>
    <col min="6162" max="6162" width="11.25" style="255" customWidth="1"/>
    <col min="6163" max="6163" width="10.75" style="255" customWidth="1"/>
    <col min="6164" max="6164" width="10" style="255" customWidth="1"/>
    <col min="6165" max="6165" width="9.875" style="255" customWidth="1"/>
    <col min="6166" max="6166" width="26.125" style="255" customWidth="1"/>
    <col min="6167" max="6167" width="11.125" style="255" customWidth="1"/>
    <col min="6168" max="6168" width="7.875" style="255" customWidth="1"/>
    <col min="6169" max="6169" width="7.25" style="255" customWidth="1"/>
    <col min="6170" max="6170" width="9.125" style="255" customWidth="1"/>
    <col min="6171" max="6171" width="15.125" style="255" customWidth="1"/>
    <col min="6172" max="6172" width="7.75" style="255" customWidth="1"/>
    <col min="6173" max="6173" width="7.125" style="255" customWidth="1"/>
    <col min="6174" max="6174" width="12.125" style="255" customWidth="1"/>
    <col min="6175" max="6175" width="8.25" style="255" customWidth="1"/>
    <col min="6176" max="6177" width="10.375" style="255" customWidth="1"/>
    <col min="6178" max="6178" width="15.625" style="255" customWidth="1"/>
    <col min="6179" max="6179" width="15.875" style="255" customWidth="1"/>
    <col min="6180" max="6180" width="8.125" style="255" customWidth="1"/>
    <col min="6181" max="6184" width="10.375" style="255" customWidth="1"/>
    <col min="6185" max="6185" width="7.25" style="255" customWidth="1"/>
    <col min="6186" max="6186" width="7.125" style="255" customWidth="1"/>
    <col min="6187" max="6187" width="9.5" style="255" customWidth="1"/>
    <col min="6188" max="6189" width="9" style="255" customWidth="1"/>
    <col min="6190" max="6190" width="16.125" style="255" customWidth="1"/>
    <col min="6191" max="6221" width="9" style="255" customWidth="1"/>
    <col min="6222" max="6381" width="25.25" style="255"/>
    <col min="6382" max="6411" width="9" style="255" customWidth="1"/>
    <col min="6412" max="6412" width="0.5" style="255" customWidth="1"/>
    <col min="6413" max="6413" width="25.25" style="255"/>
    <col min="6414" max="6414" width="0.5" style="255" customWidth="1"/>
    <col min="6415" max="6415" width="25.25" style="255"/>
    <col min="6416" max="6416" width="14.75" style="255" customWidth="1"/>
    <col min="6417" max="6417" width="11.5" style="255" customWidth="1"/>
    <col min="6418" max="6418" width="11.25" style="255" customWidth="1"/>
    <col min="6419" max="6419" width="10.75" style="255" customWidth="1"/>
    <col min="6420" max="6420" width="10" style="255" customWidth="1"/>
    <col min="6421" max="6421" width="9.875" style="255" customWidth="1"/>
    <col min="6422" max="6422" width="26.125" style="255" customWidth="1"/>
    <col min="6423" max="6423" width="11.125" style="255" customWidth="1"/>
    <col min="6424" max="6424" width="7.875" style="255" customWidth="1"/>
    <col min="6425" max="6425" width="7.25" style="255" customWidth="1"/>
    <col min="6426" max="6426" width="9.125" style="255" customWidth="1"/>
    <col min="6427" max="6427" width="15.125" style="255" customWidth="1"/>
    <col min="6428" max="6428" width="7.75" style="255" customWidth="1"/>
    <col min="6429" max="6429" width="7.125" style="255" customWidth="1"/>
    <col min="6430" max="6430" width="12.125" style="255" customWidth="1"/>
    <col min="6431" max="6431" width="8.25" style="255" customWidth="1"/>
    <col min="6432" max="6433" width="10.375" style="255" customWidth="1"/>
    <col min="6434" max="6434" width="15.625" style="255" customWidth="1"/>
    <col min="6435" max="6435" width="15.875" style="255" customWidth="1"/>
    <col min="6436" max="6436" width="8.125" style="255" customWidth="1"/>
    <col min="6437" max="6440" width="10.375" style="255" customWidth="1"/>
    <col min="6441" max="6441" width="7.25" style="255" customWidth="1"/>
    <col min="6442" max="6442" width="7.125" style="255" customWidth="1"/>
    <col min="6443" max="6443" width="9.5" style="255" customWidth="1"/>
    <col min="6444" max="6445" width="9" style="255" customWidth="1"/>
    <col min="6446" max="6446" width="16.125" style="255" customWidth="1"/>
    <col min="6447" max="6477" width="9" style="255" customWidth="1"/>
    <col min="6478" max="6637" width="25.25" style="255"/>
    <col min="6638" max="6667" width="9" style="255" customWidth="1"/>
    <col min="6668" max="6668" width="0.5" style="255" customWidth="1"/>
    <col min="6669" max="6669" width="25.25" style="255"/>
    <col min="6670" max="6670" width="0.5" style="255" customWidth="1"/>
    <col min="6671" max="6671" width="25.25" style="255"/>
    <col min="6672" max="6672" width="14.75" style="255" customWidth="1"/>
    <col min="6673" max="6673" width="11.5" style="255" customWidth="1"/>
    <col min="6674" max="6674" width="11.25" style="255" customWidth="1"/>
    <col min="6675" max="6675" width="10.75" style="255" customWidth="1"/>
    <col min="6676" max="6676" width="10" style="255" customWidth="1"/>
    <col min="6677" max="6677" width="9.875" style="255" customWidth="1"/>
    <col min="6678" max="6678" width="26.125" style="255" customWidth="1"/>
    <col min="6679" max="6679" width="11.125" style="255" customWidth="1"/>
    <col min="6680" max="6680" width="7.875" style="255" customWidth="1"/>
    <col min="6681" max="6681" width="7.25" style="255" customWidth="1"/>
    <col min="6682" max="6682" width="9.125" style="255" customWidth="1"/>
    <col min="6683" max="6683" width="15.125" style="255" customWidth="1"/>
    <col min="6684" max="6684" width="7.75" style="255" customWidth="1"/>
    <col min="6685" max="6685" width="7.125" style="255" customWidth="1"/>
    <col min="6686" max="6686" width="12.125" style="255" customWidth="1"/>
    <col min="6687" max="6687" width="8.25" style="255" customWidth="1"/>
    <col min="6688" max="6689" width="10.375" style="255" customWidth="1"/>
    <col min="6690" max="6690" width="15.625" style="255" customWidth="1"/>
    <col min="6691" max="6691" width="15.875" style="255" customWidth="1"/>
    <col min="6692" max="6692" width="8.125" style="255" customWidth="1"/>
    <col min="6693" max="6696" width="10.375" style="255" customWidth="1"/>
    <col min="6697" max="6697" width="7.25" style="255" customWidth="1"/>
    <col min="6698" max="6698" width="7.125" style="255" customWidth="1"/>
    <col min="6699" max="6699" width="9.5" style="255" customWidth="1"/>
    <col min="6700" max="6701" width="9" style="255" customWidth="1"/>
    <col min="6702" max="6702" width="16.125" style="255" customWidth="1"/>
    <col min="6703" max="6733" width="9" style="255" customWidth="1"/>
    <col min="6734" max="6893" width="25.25" style="255"/>
    <col min="6894" max="6923" width="9" style="255" customWidth="1"/>
    <col min="6924" max="6924" width="0.5" style="255" customWidth="1"/>
    <col min="6925" max="6925" width="25.25" style="255"/>
    <col min="6926" max="6926" width="0.5" style="255" customWidth="1"/>
    <col min="6927" max="6927" width="25.25" style="255"/>
    <col min="6928" max="6928" width="14.75" style="255" customWidth="1"/>
    <col min="6929" max="6929" width="11.5" style="255" customWidth="1"/>
    <col min="6930" max="6930" width="11.25" style="255" customWidth="1"/>
    <col min="6931" max="6931" width="10.75" style="255" customWidth="1"/>
    <col min="6932" max="6932" width="10" style="255" customWidth="1"/>
    <col min="6933" max="6933" width="9.875" style="255" customWidth="1"/>
    <col min="6934" max="6934" width="26.125" style="255" customWidth="1"/>
    <col min="6935" max="6935" width="11.125" style="255" customWidth="1"/>
    <col min="6936" max="6936" width="7.875" style="255" customWidth="1"/>
    <col min="6937" max="6937" width="7.25" style="255" customWidth="1"/>
    <col min="6938" max="6938" width="9.125" style="255" customWidth="1"/>
    <col min="6939" max="6939" width="15.125" style="255" customWidth="1"/>
    <col min="6940" max="6940" width="7.75" style="255" customWidth="1"/>
    <col min="6941" max="6941" width="7.125" style="255" customWidth="1"/>
    <col min="6942" max="6942" width="12.125" style="255" customWidth="1"/>
    <col min="6943" max="6943" width="8.25" style="255" customWidth="1"/>
    <col min="6944" max="6945" width="10.375" style="255" customWidth="1"/>
    <col min="6946" max="6946" width="15.625" style="255" customWidth="1"/>
    <col min="6947" max="6947" width="15.875" style="255" customWidth="1"/>
    <col min="6948" max="6948" width="8.125" style="255" customWidth="1"/>
    <col min="6949" max="6952" width="10.375" style="255" customWidth="1"/>
    <col min="6953" max="6953" width="7.25" style="255" customWidth="1"/>
    <col min="6954" max="6954" width="7.125" style="255" customWidth="1"/>
    <col min="6955" max="6955" width="9.5" style="255" customWidth="1"/>
    <col min="6956" max="6957" width="9" style="255" customWidth="1"/>
    <col min="6958" max="6958" width="16.125" style="255" customWidth="1"/>
    <col min="6959" max="6989" width="9" style="255" customWidth="1"/>
    <col min="6990" max="7149" width="25.25" style="255"/>
    <col min="7150" max="7179" width="9" style="255" customWidth="1"/>
    <col min="7180" max="7180" width="0.5" style="255" customWidth="1"/>
    <col min="7181" max="7181" width="25.25" style="255"/>
    <col min="7182" max="7182" width="0.5" style="255" customWidth="1"/>
    <col min="7183" max="7183" width="25.25" style="255"/>
    <col min="7184" max="7184" width="14.75" style="255" customWidth="1"/>
    <col min="7185" max="7185" width="11.5" style="255" customWidth="1"/>
    <col min="7186" max="7186" width="11.25" style="255" customWidth="1"/>
    <col min="7187" max="7187" width="10.75" style="255" customWidth="1"/>
    <col min="7188" max="7188" width="10" style="255" customWidth="1"/>
    <col min="7189" max="7189" width="9.875" style="255" customWidth="1"/>
    <col min="7190" max="7190" width="26.125" style="255" customWidth="1"/>
    <col min="7191" max="7191" width="11.125" style="255" customWidth="1"/>
    <col min="7192" max="7192" width="7.875" style="255" customWidth="1"/>
    <col min="7193" max="7193" width="7.25" style="255" customWidth="1"/>
    <col min="7194" max="7194" width="9.125" style="255" customWidth="1"/>
    <col min="7195" max="7195" width="15.125" style="255" customWidth="1"/>
    <col min="7196" max="7196" width="7.75" style="255" customWidth="1"/>
    <col min="7197" max="7197" width="7.125" style="255" customWidth="1"/>
    <col min="7198" max="7198" width="12.125" style="255" customWidth="1"/>
    <col min="7199" max="7199" width="8.25" style="255" customWidth="1"/>
    <col min="7200" max="7201" width="10.375" style="255" customWidth="1"/>
    <col min="7202" max="7202" width="15.625" style="255" customWidth="1"/>
    <col min="7203" max="7203" width="15.875" style="255" customWidth="1"/>
    <col min="7204" max="7204" width="8.125" style="255" customWidth="1"/>
    <col min="7205" max="7208" width="10.375" style="255" customWidth="1"/>
    <col min="7209" max="7209" width="7.25" style="255" customWidth="1"/>
    <col min="7210" max="7210" width="7.125" style="255" customWidth="1"/>
    <col min="7211" max="7211" width="9.5" style="255" customWidth="1"/>
    <col min="7212" max="7213" width="9" style="255" customWidth="1"/>
    <col min="7214" max="7214" width="16.125" style="255" customWidth="1"/>
    <col min="7215" max="7245" width="9" style="255" customWidth="1"/>
    <col min="7246" max="7405" width="25.25" style="255"/>
    <col min="7406" max="7435" width="9" style="255" customWidth="1"/>
    <col min="7436" max="7436" width="0.5" style="255" customWidth="1"/>
    <col min="7437" max="7437" width="25.25" style="255"/>
    <col min="7438" max="7438" width="0.5" style="255" customWidth="1"/>
    <col min="7439" max="7439" width="25.25" style="255"/>
    <col min="7440" max="7440" width="14.75" style="255" customWidth="1"/>
    <col min="7441" max="7441" width="11.5" style="255" customWidth="1"/>
    <col min="7442" max="7442" width="11.25" style="255" customWidth="1"/>
    <col min="7443" max="7443" width="10.75" style="255" customWidth="1"/>
    <col min="7444" max="7444" width="10" style="255" customWidth="1"/>
    <col min="7445" max="7445" width="9.875" style="255" customWidth="1"/>
    <col min="7446" max="7446" width="26.125" style="255" customWidth="1"/>
    <col min="7447" max="7447" width="11.125" style="255" customWidth="1"/>
    <col min="7448" max="7448" width="7.875" style="255" customWidth="1"/>
    <col min="7449" max="7449" width="7.25" style="255" customWidth="1"/>
    <col min="7450" max="7450" width="9.125" style="255" customWidth="1"/>
    <col min="7451" max="7451" width="15.125" style="255" customWidth="1"/>
    <col min="7452" max="7452" width="7.75" style="255" customWidth="1"/>
    <col min="7453" max="7453" width="7.125" style="255" customWidth="1"/>
    <col min="7454" max="7454" width="12.125" style="255" customWidth="1"/>
    <col min="7455" max="7455" width="8.25" style="255" customWidth="1"/>
    <col min="7456" max="7457" width="10.375" style="255" customWidth="1"/>
    <col min="7458" max="7458" width="15.625" style="255" customWidth="1"/>
    <col min="7459" max="7459" width="15.875" style="255" customWidth="1"/>
    <col min="7460" max="7460" width="8.125" style="255" customWidth="1"/>
    <col min="7461" max="7464" width="10.375" style="255" customWidth="1"/>
    <col min="7465" max="7465" width="7.25" style="255" customWidth="1"/>
    <col min="7466" max="7466" width="7.125" style="255" customWidth="1"/>
    <col min="7467" max="7467" width="9.5" style="255" customWidth="1"/>
    <col min="7468" max="7469" width="9" style="255" customWidth="1"/>
    <col min="7470" max="7470" width="16.125" style="255" customWidth="1"/>
    <col min="7471" max="7501" width="9" style="255" customWidth="1"/>
    <col min="7502" max="7661" width="25.25" style="255"/>
    <col min="7662" max="7691" width="9" style="255" customWidth="1"/>
    <col min="7692" max="7692" width="0.5" style="255" customWidth="1"/>
    <col min="7693" max="7693" width="25.25" style="255"/>
    <col min="7694" max="7694" width="0.5" style="255" customWidth="1"/>
    <col min="7695" max="7695" width="25.25" style="255"/>
    <col min="7696" max="7696" width="14.75" style="255" customWidth="1"/>
    <col min="7697" max="7697" width="11.5" style="255" customWidth="1"/>
    <col min="7698" max="7698" width="11.25" style="255" customWidth="1"/>
    <col min="7699" max="7699" width="10.75" style="255" customWidth="1"/>
    <col min="7700" max="7700" width="10" style="255" customWidth="1"/>
    <col min="7701" max="7701" width="9.875" style="255" customWidth="1"/>
    <col min="7702" max="7702" width="26.125" style="255" customWidth="1"/>
    <col min="7703" max="7703" width="11.125" style="255" customWidth="1"/>
    <col min="7704" max="7704" width="7.875" style="255" customWidth="1"/>
    <col min="7705" max="7705" width="7.25" style="255" customWidth="1"/>
    <col min="7706" max="7706" width="9.125" style="255" customWidth="1"/>
    <col min="7707" max="7707" width="15.125" style="255" customWidth="1"/>
    <col min="7708" max="7708" width="7.75" style="255" customWidth="1"/>
    <col min="7709" max="7709" width="7.125" style="255" customWidth="1"/>
    <col min="7710" max="7710" width="12.125" style="255" customWidth="1"/>
    <col min="7711" max="7711" width="8.25" style="255" customWidth="1"/>
    <col min="7712" max="7713" width="10.375" style="255" customWidth="1"/>
    <col min="7714" max="7714" width="15.625" style="255" customWidth="1"/>
    <col min="7715" max="7715" width="15.875" style="255" customWidth="1"/>
    <col min="7716" max="7716" width="8.125" style="255" customWidth="1"/>
    <col min="7717" max="7720" width="10.375" style="255" customWidth="1"/>
    <col min="7721" max="7721" width="7.25" style="255" customWidth="1"/>
    <col min="7722" max="7722" width="7.125" style="255" customWidth="1"/>
    <col min="7723" max="7723" width="9.5" style="255" customWidth="1"/>
    <col min="7724" max="7725" width="9" style="255" customWidth="1"/>
    <col min="7726" max="7726" width="16.125" style="255" customWidth="1"/>
    <col min="7727" max="7757" width="9" style="255" customWidth="1"/>
    <col min="7758" max="7917" width="25.25" style="255"/>
    <col min="7918" max="7947" width="9" style="255" customWidth="1"/>
    <col min="7948" max="7948" width="0.5" style="255" customWidth="1"/>
    <col min="7949" max="7949" width="25.25" style="255"/>
    <col min="7950" max="7950" width="0.5" style="255" customWidth="1"/>
    <col min="7951" max="7951" width="25.25" style="255"/>
    <col min="7952" max="7952" width="14.75" style="255" customWidth="1"/>
    <col min="7953" max="7953" width="11.5" style="255" customWidth="1"/>
    <col min="7954" max="7954" width="11.25" style="255" customWidth="1"/>
    <col min="7955" max="7955" width="10.75" style="255" customWidth="1"/>
    <col min="7956" max="7956" width="10" style="255" customWidth="1"/>
    <col min="7957" max="7957" width="9.875" style="255" customWidth="1"/>
    <col min="7958" max="7958" width="26.125" style="255" customWidth="1"/>
    <col min="7959" max="7959" width="11.125" style="255" customWidth="1"/>
    <col min="7960" max="7960" width="7.875" style="255" customWidth="1"/>
    <col min="7961" max="7961" width="7.25" style="255" customWidth="1"/>
    <col min="7962" max="7962" width="9.125" style="255" customWidth="1"/>
    <col min="7963" max="7963" width="15.125" style="255" customWidth="1"/>
    <col min="7964" max="7964" width="7.75" style="255" customWidth="1"/>
    <col min="7965" max="7965" width="7.125" style="255" customWidth="1"/>
    <col min="7966" max="7966" width="12.125" style="255" customWidth="1"/>
    <col min="7967" max="7967" width="8.25" style="255" customWidth="1"/>
    <col min="7968" max="7969" width="10.375" style="255" customWidth="1"/>
    <col min="7970" max="7970" width="15.625" style="255" customWidth="1"/>
    <col min="7971" max="7971" width="15.875" style="255" customWidth="1"/>
    <col min="7972" max="7972" width="8.125" style="255" customWidth="1"/>
    <col min="7973" max="7976" width="10.375" style="255" customWidth="1"/>
    <col min="7977" max="7977" width="7.25" style="255" customWidth="1"/>
    <col min="7978" max="7978" width="7.125" style="255" customWidth="1"/>
    <col min="7979" max="7979" width="9.5" style="255" customWidth="1"/>
    <col min="7980" max="7981" width="9" style="255" customWidth="1"/>
    <col min="7982" max="7982" width="16.125" style="255" customWidth="1"/>
    <col min="7983" max="8013" width="9" style="255" customWidth="1"/>
    <col min="8014" max="8173" width="25.25" style="255"/>
    <col min="8174" max="8203" width="9" style="255" customWidth="1"/>
    <col min="8204" max="8204" width="0.5" style="255" customWidth="1"/>
    <col min="8205" max="8205" width="25.25" style="255"/>
    <col min="8206" max="8206" width="0.5" style="255" customWidth="1"/>
    <col min="8207" max="8207" width="25.25" style="255"/>
    <col min="8208" max="8208" width="14.75" style="255" customWidth="1"/>
    <col min="8209" max="8209" width="11.5" style="255" customWidth="1"/>
    <col min="8210" max="8210" width="11.25" style="255" customWidth="1"/>
    <col min="8211" max="8211" width="10.75" style="255" customWidth="1"/>
    <col min="8212" max="8212" width="10" style="255" customWidth="1"/>
    <col min="8213" max="8213" width="9.875" style="255" customWidth="1"/>
    <col min="8214" max="8214" width="26.125" style="255" customWidth="1"/>
    <col min="8215" max="8215" width="11.125" style="255" customWidth="1"/>
    <col min="8216" max="8216" width="7.875" style="255" customWidth="1"/>
    <col min="8217" max="8217" width="7.25" style="255" customWidth="1"/>
    <col min="8218" max="8218" width="9.125" style="255" customWidth="1"/>
    <col min="8219" max="8219" width="15.125" style="255" customWidth="1"/>
    <col min="8220" max="8220" width="7.75" style="255" customWidth="1"/>
    <col min="8221" max="8221" width="7.125" style="255" customWidth="1"/>
    <col min="8222" max="8222" width="12.125" style="255" customWidth="1"/>
    <col min="8223" max="8223" width="8.25" style="255" customWidth="1"/>
    <col min="8224" max="8225" width="10.375" style="255" customWidth="1"/>
    <col min="8226" max="8226" width="15.625" style="255" customWidth="1"/>
    <col min="8227" max="8227" width="15.875" style="255" customWidth="1"/>
    <col min="8228" max="8228" width="8.125" style="255" customWidth="1"/>
    <col min="8229" max="8232" width="10.375" style="255" customWidth="1"/>
    <col min="8233" max="8233" width="7.25" style="255" customWidth="1"/>
    <col min="8234" max="8234" width="7.125" style="255" customWidth="1"/>
    <col min="8235" max="8235" width="9.5" style="255" customWidth="1"/>
    <col min="8236" max="8237" width="9" style="255" customWidth="1"/>
    <col min="8238" max="8238" width="16.125" style="255" customWidth="1"/>
    <col min="8239" max="8269" width="9" style="255" customWidth="1"/>
    <col min="8270" max="8429" width="25.25" style="255"/>
    <col min="8430" max="8459" width="9" style="255" customWidth="1"/>
    <col min="8460" max="8460" width="0.5" style="255" customWidth="1"/>
    <col min="8461" max="8461" width="25.25" style="255"/>
    <col min="8462" max="8462" width="0.5" style="255" customWidth="1"/>
    <col min="8463" max="8463" width="25.25" style="255"/>
    <col min="8464" max="8464" width="14.75" style="255" customWidth="1"/>
    <col min="8465" max="8465" width="11.5" style="255" customWidth="1"/>
    <col min="8466" max="8466" width="11.25" style="255" customWidth="1"/>
    <col min="8467" max="8467" width="10.75" style="255" customWidth="1"/>
    <col min="8468" max="8468" width="10" style="255" customWidth="1"/>
    <col min="8469" max="8469" width="9.875" style="255" customWidth="1"/>
    <col min="8470" max="8470" width="26.125" style="255" customWidth="1"/>
    <col min="8471" max="8471" width="11.125" style="255" customWidth="1"/>
    <col min="8472" max="8472" width="7.875" style="255" customWidth="1"/>
    <col min="8473" max="8473" width="7.25" style="255" customWidth="1"/>
    <col min="8474" max="8474" width="9.125" style="255" customWidth="1"/>
    <col min="8475" max="8475" width="15.125" style="255" customWidth="1"/>
    <col min="8476" max="8476" width="7.75" style="255" customWidth="1"/>
    <col min="8477" max="8477" width="7.125" style="255" customWidth="1"/>
    <col min="8478" max="8478" width="12.125" style="255" customWidth="1"/>
    <col min="8479" max="8479" width="8.25" style="255" customWidth="1"/>
    <col min="8480" max="8481" width="10.375" style="255" customWidth="1"/>
    <col min="8482" max="8482" width="15.625" style="255" customWidth="1"/>
    <col min="8483" max="8483" width="15.875" style="255" customWidth="1"/>
    <col min="8484" max="8484" width="8.125" style="255" customWidth="1"/>
    <col min="8485" max="8488" width="10.375" style="255" customWidth="1"/>
    <col min="8489" max="8489" width="7.25" style="255" customWidth="1"/>
    <col min="8490" max="8490" width="7.125" style="255" customWidth="1"/>
    <col min="8491" max="8491" width="9.5" style="255" customWidth="1"/>
    <col min="8492" max="8493" width="9" style="255" customWidth="1"/>
    <col min="8494" max="8494" width="16.125" style="255" customWidth="1"/>
    <col min="8495" max="8525" width="9" style="255" customWidth="1"/>
    <col min="8526" max="8685" width="25.25" style="255"/>
    <col min="8686" max="8715" width="9" style="255" customWidth="1"/>
    <col min="8716" max="8716" width="0.5" style="255" customWidth="1"/>
    <col min="8717" max="8717" width="25.25" style="255"/>
    <col min="8718" max="8718" width="0.5" style="255" customWidth="1"/>
    <col min="8719" max="8719" width="25.25" style="255"/>
    <col min="8720" max="8720" width="14.75" style="255" customWidth="1"/>
    <col min="8721" max="8721" width="11.5" style="255" customWidth="1"/>
    <col min="8722" max="8722" width="11.25" style="255" customWidth="1"/>
    <col min="8723" max="8723" width="10.75" style="255" customWidth="1"/>
    <col min="8724" max="8724" width="10" style="255" customWidth="1"/>
    <col min="8725" max="8725" width="9.875" style="255" customWidth="1"/>
    <col min="8726" max="8726" width="26.125" style="255" customWidth="1"/>
    <col min="8727" max="8727" width="11.125" style="255" customWidth="1"/>
    <col min="8728" max="8728" width="7.875" style="255" customWidth="1"/>
    <col min="8729" max="8729" width="7.25" style="255" customWidth="1"/>
    <col min="8730" max="8730" width="9.125" style="255" customWidth="1"/>
    <col min="8731" max="8731" width="15.125" style="255" customWidth="1"/>
    <col min="8732" max="8732" width="7.75" style="255" customWidth="1"/>
    <col min="8733" max="8733" width="7.125" style="255" customWidth="1"/>
    <col min="8734" max="8734" width="12.125" style="255" customWidth="1"/>
    <col min="8735" max="8735" width="8.25" style="255" customWidth="1"/>
    <col min="8736" max="8737" width="10.375" style="255" customWidth="1"/>
    <col min="8738" max="8738" width="15.625" style="255" customWidth="1"/>
    <col min="8739" max="8739" width="15.875" style="255" customWidth="1"/>
    <col min="8740" max="8740" width="8.125" style="255" customWidth="1"/>
    <col min="8741" max="8744" width="10.375" style="255" customWidth="1"/>
    <col min="8745" max="8745" width="7.25" style="255" customWidth="1"/>
    <col min="8746" max="8746" width="7.125" style="255" customWidth="1"/>
    <col min="8747" max="8747" width="9.5" style="255" customWidth="1"/>
    <col min="8748" max="8749" width="9" style="255" customWidth="1"/>
    <col min="8750" max="8750" width="16.125" style="255" customWidth="1"/>
    <col min="8751" max="8781" width="9" style="255" customWidth="1"/>
    <col min="8782" max="8941" width="25.25" style="255"/>
    <col min="8942" max="8971" width="9" style="255" customWidth="1"/>
    <col min="8972" max="8972" width="0.5" style="255" customWidth="1"/>
    <col min="8973" max="8973" width="25.25" style="255"/>
    <col min="8974" max="8974" width="0.5" style="255" customWidth="1"/>
    <col min="8975" max="8975" width="25.25" style="255"/>
    <col min="8976" max="8976" width="14.75" style="255" customWidth="1"/>
    <col min="8977" max="8977" width="11.5" style="255" customWidth="1"/>
    <col min="8978" max="8978" width="11.25" style="255" customWidth="1"/>
    <col min="8979" max="8979" width="10.75" style="255" customWidth="1"/>
    <col min="8980" max="8980" width="10" style="255" customWidth="1"/>
    <col min="8981" max="8981" width="9.875" style="255" customWidth="1"/>
    <col min="8982" max="8982" width="26.125" style="255" customWidth="1"/>
    <col min="8983" max="8983" width="11.125" style="255" customWidth="1"/>
    <col min="8984" max="8984" width="7.875" style="255" customWidth="1"/>
    <col min="8985" max="8985" width="7.25" style="255" customWidth="1"/>
    <col min="8986" max="8986" width="9.125" style="255" customWidth="1"/>
    <col min="8987" max="8987" width="15.125" style="255" customWidth="1"/>
    <col min="8988" max="8988" width="7.75" style="255" customWidth="1"/>
    <col min="8989" max="8989" width="7.125" style="255" customWidth="1"/>
    <col min="8990" max="8990" width="12.125" style="255" customWidth="1"/>
    <col min="8991" max="8991" width="8.25" style="255" customWidth="1"/>
    <col min="8992" max="8993" width="10.375" style="255" customWidth="1"/>
    <col min="8994" max="8994" width="15.625" style="255" customWidth="1"/>
    <col min="8995" max="8995" width="15.875" style="255" customWidth="1"/>
    <col min="8996" max="8996" width="8.125" style="255" customWidth="1"/>
    <col min="8997" max="9000" width="10.375" style="255" customWidth="1"/>
    <col min="9001" max="9001" width="7.25" style="255" customWidth="1"/>
    <col min="9002" max="9002" width="7.125" style="255" customWidth="1"/>
    <col min="9003" max="9003" width="9.5" style="255" customWidth="1"/>
    <col min="9004" max="9005" width="9" style="255" customWidth="1"/>
    <col min="9006" max="9006" width="16.125" style="255" customWidth="1"/>
    <col min="9007" max="9037" width="9" style="255" customWidth="1"/>
    <col min="9038" max="9197" width="25.25" style="255"/>
    <col min="9198" max="9227" width="9" style="255" customWidth="1"/>
    <col min="9228" max="9228" width="0.5" style="255" customWidth="1"/>
    <col min="9229" max="9229" width="25.25" style="255"/>
    <col min="9230" max="9230" width="0.5" style="255" customWidth="1"/>
    <col min="9231" max="9231" width="25.25" style="255"/>
    <col min="9232" max="9232" width="14.75" style="255" customWidth="1"/>
    <col min="9233" max="9233" width="11.5" style="255" customWidth="1"/>
    <col min="9234" max="9234" width="11.25" style="255" customWidth="1"/>
    <col min="9235" max="9235" width="10.75" style="255" customWidth="1"/>
    <col min="9236" max="9236" width="10" style="255" customWidth="1"/>
    <col min="9237" max="9237" width="9.875" style="255" customWidth="1"/>
    <col min="9238" max="9238" width="26.125" style="255" customWidth="1"/>
    <col min="9239" max="9239" width="11.125" style="255" customWidth="1"/>
    <col min="9240" max="9240" width="7.875" style="255" customWidth="1"/>
    <col min="9241" max="9241" width="7.25" style="255" customWidth="1"/>
    <col min="9242" max="9242" width="9.125" style="255" customWidth="1"/>
    <col min="9243" max="9243" width="15.125" style="255" customWidth="1"/>
    <col min="9244" max="9244" width="7.75" style="255" customWidth="1"/>
    <col min="9245" max="9245" width="7.125" style="255" customWidth="1"/>
    <col min="9246" max="9246" width="12.125" style="255" customWidth="1"/>
    <col min="9247" max="9247" width="8.25" style="255" customWidth="1"/>
    <col min="9248" max="9249" width="10.375" style="255" customWidth="1"/>
    <col min="9250" max="9250" width="15.625" style="255" customWidth="1"/>
    <col min="9251" max="9251" width="15.875" style="255" customWidth="1"/>
    <col min="9252" max="9252" width="8.125" style="255" customWidth="1"/>
    <col min="9253" max="9256" width="10.375" style="255" customWidth="1"/>
    <col min="9257" max="9257" width="7.25" style="255" customWidth="1"/>
    <col min="9258" max="9258" width="7.125" style="255" customWidth="1"/>
    <col min="9259" max="9259" width="9.5" style="255" customWidth="1"/>
    <col min="9260" max="9261" width="9" style="255" customWidth="1"/>
    <col min="9262" max="9262" width="16.125" style="255" customWidth="1"/>
    <col min="9263" max="9293" width="9" style="255" customWidth="1"/>
    <col min="9294" max="9453" width="25.25" style="255"/>
    <col min="9454" max="9483" width="9" style="255" customWidth="1"/>
    <col min="9484" max="9484" width="0.5" style="255" customWidth="1"/>
    <col min="9485" max="9485" width="25.25" style="255"/>
    <col min="9486" max="9486" width="0.5" style="255" customWidth="1"/>
    <col min="9487" max="9487" width="25.25" style="255"/>
    <col min="9488" max="9488" width="14.75" style="255" customWidth="1"/>
    <col min="9489" max="9489" width="11.5" style="255" customWidth="1"/>
    <col min="9490" max="9490" width="11.25" style="255" customWidth="1"/>
    <col min="9491" max="9491" width="10.75" style="255" customWidth="1"/>
    <col min="9492" max="9492" width="10" style="255" customWidth="1"/>
    <col min="9493" max="9493" width="9.875" style="255" customWidth="1"/>
    <col min="9494" max="9494" width="26.125" style="255" customWidth="1"/>
    <col min="9495" max="9495" width="11.125" style="255" customWidth="1"/>
    <col min="9496" max="9496" width="7.875" style="255" customWidth="1"/>
    <col min="9497" max="9497" width="7.25" style="255" customWidth="1"/>
    <col min="9498" max="9498" width="9.125" style="255" customWidth="1"/>
    <col min="9499" max="9499" width="15.125" style="255" customWidth="1"/>
    <col min="9500" max="9500" width="7.75" style="255" customWidth="1"/>
    <col min="9501" max="9501" width="7.125" style="255" customWidth="1"/>
    <col min="9502" max="9502" width="12.125" style="255" customWidth="1"/>
    <col min="9503" max="9503" width="8.25" style="255" customWidth="1"/>
    <col min="9504" max="9505" width="10.375" style="255" customWidth="1"/>
    <col min="9506" max="9506" width="15.625" style="255" customWidth="1"/>
    <col min="9507" max="9507" width="15.875" style="255" customWidth="1"/>
    <col min="9508" max="9508" width="8.125" style="255" customWidth="1"/>
    <col min="9509" max="9512" width="10.375" style="255" customWidth="1"/>
    <col min="9513" max="9513" width="7.25" style="255" customWidth="1"/>
    <col min="9514" max="9514" width="7.125" style="255" customWidth="1"/>
    <col min="9515" max="9515" width="9.5" style="255" customWidth="1"/>
    <col min="9516" max="9517" width="9" style="255" customWidth="1"/>
    <col min="9518" max="9518" width="16.125" style="255" customWidth="1"/>
    <col min="9519" max="9549" width="9" style="255" customWidth="1"/>
    <col min="9550" max="9709" width="25.25" style="255"/>
    <col min="9710" max="9739" width="9" style="255" customWidth="1"/>
    <col min="9740" max="9740" width="0.5" style="255" customWidth="1"/>
    <col min="9741" max="9741" width="25.25" style="255"/>
    <col min="9742" max="9742" width="0.5" style="255" customWidth="1"/>
    <col min="9743" max="9743" width="25.25" style="255"/>
    <col min="9744" max="9744" width="14.75" style="255" customWidth="1"/>
    <col min="9745" max="9745" width="11.5" style="255" customWidth="1"/>
    <col min="9746" max="9746" width="11.25" style="255" customWidth="1"/>
    <col min="9747" max="9747" width="10.75" style="255" customWidth="1"/>
    <col min="9748" max="9748" width="10" style="255" customWidth="1"/>
    <col min="9749" max="9749" width="9.875" style="255" customWidth="1"/>
    <col min="9750" max="9750" width="26.125" style="255" customWidth="1"/>
    <col min="9751" max="9751" width="11.125" style="255" customWidth="1"/>
    <col min="9752" max="9752" width="7.875" style="255" customWidth="1"/>
    <col min="9753" max="9753" width="7.25" style="255" customWidth="1"/>
    <col min="9754" max="9754" width="9.125" style="255" customWidth="1"/>
    <col min="9755" max="9755" width="15.125" style="255" customWidth="1"/>
    <col min="9756" max="9756" width="7.75" style="255" customWidth="1"/>
    <col min="9757" max="9757" width="7.125" style="255" customWidth="1"/>
    <col min="9758" max="9758" width="12.125" style="255" customWidth="1"/>
    <col min="9759" max="9759" width="8.25" style="255" customWidth="1"/>
    <col min="9760" max="9761" width="10.375" style="255" customWidth="1"/>
    <col min="9762" max="9762" width="15.625" style="255" customWidth="1"/>
    <col min="9763" max="9763" width="15.875" style="255" customWidth="1"/>
    <col min="9764" max="9764" width="8.125" style="255" customWidth="1"/>
    <col min="9765" max="9768" width="10.375" style="255" customWidth="1"/>
    <col min="9769" max="9769" width="7.25" style="255" customWidth="1"/>
    <col min="9770" max="9770" width="7.125" style="255" customWidth="1"/>
    <col min="9771" max="9771" width="9.5" style="255" customWidth="1"/>
    <col min="9772" max="9773" width="9" style="255" customWidth="1"/>
    <col min="9774" max="9774" width="16.125" style="255" customWidth="1"/>
    <col min="9775" max="9805" width="9" style="255" customWidth="1"/>
    <col min="9806" max="9965" width="25.25" style="255"/>
    <col min="9966" max="9995" width="9" style="255" customWidth="1"/>
    <col min="9996" max="9996" width="0.5" style="255" customWidth="1"/>
    <col min="9997" max="9997" width="25.25" style="255"/>
    <col min="9998" max="9998" width="0.5" style="255" customWidth="1"/>
    <col min="9999" max="9999" width="25.25" style="255"/>
    <col min="10000" max="10000" width="14.75" style="255" customWidth="1"/>
    <col min="10001" max="10001" width="11.5" style="255" customWidth="1"/>
    <col min="10002" max="10002" width="11.25" style="255" customWidth="1"/>
    <col min="10003" max="10003" width="10.75" style="255" customWidth="1"/>
    <col min="10004" max="10004" width="10" style="255" customWidth="1"/>
    <col min="10005" max="10005" width="9.875" style="255" customWidth="1"/>
    <col min="10006" max="10006" width="26.125" style="255" customWidth="1"/>
    <col min="10007" max="10007" width="11.125" style="255" customWidth="1"/>
    <col min="10008" max="10008" width="7.875" style="255" customWidth="1"/>
    <col min="10009" max="10009" width="7.25" style="255" customWidth="1"/>
    <col min="10010" max="10010" width="9.125" style="255" customWidth="1"/>
    <col min="10011" max="10011" width="15.125" style="255" customWidth="1"/>
    <col min="10012" max="10012" width="7.75" style="255" customWidth="1"/>
    <col min="10013" max="10013" width="7.125" style="255" customWidth="1"/>
    <col min="10014" max="10014" width="12.125" style="255" customWidth="1"/>
    <col min="10015" max="10015" width="8.25" style="255" customWidth="1"/>
    <col min="10016" max="10017" width="10.375" style="255" customWidth="1"/>
    <col min="10018" max="10018" width="15.625" style="255" customWidth="1"/>
    <col min="10019" max="10019" width="15.875" style="255" customWidth="1"/>
    <col min="10020" max="10020" width="8.125" style="255" customWidth="1"/>
    <col min="10021" max="10024" width="10.375" style="255" customWidth="1"/>
    <col min="10025" max="10025" width="7.25" style="255" customWidth="1"/>
    <col min="10026" max="10026" width="7.125" style="255" customWidth="1"/>
    <col min="10027" max="10027" width="9.5" style="255" customWidth="1"/>
    <col min="10028" max="10029" width="9" style="255" customWidth="1"/>
    <col min="10030" max="10030" width="16.125" style="255" customWidth="1"/>
    <col min="10031" max="10061" width="9" style="255" customWidth="1"/>
    <col min="10062" max="10221" width="25.25" style="255"/>
    <col min="10222" max="10251" width="9" style="255" customWidth="1"/>
    <col min="10252" max="10252" width="0.5" style="255" customWidth="1"/>
    <col min="10253" max="10253" width="25.25" style="255"/>
    <col min="10254" max="10254" width="0.5" style="255" customWidth="1"/>
    <col min="10255" max="10255" width="25.25" style="255"/>
    <col min="10256" max="10256" width="14.75" style="255" customWidth="1"/>
    <col min="10257" max="10257" width="11.5" style="255" customWidth="1"/>
    <col min="10258" max="10258" width="11.25" style="255" customWidth="1"/>
    <col min="10259" max="10259" width="10.75" style="255" customWidth="1"/>
    <col min="10260" max="10260" width="10" style="255" customWidth="1"/>
    <col min="10261" max="10261" width="9.875" style="255" customWidth="1"/>
    <col min="10262" max="10262" width="26.125" style="255" customWidth="1"/>
    <col min="10263" max="10263" width="11.125" style="255" customWidth="1"/>
    <col min="10264" max="10264" width="7.875" style="255" customWidth="1"/>
    <col min="10265" max="10265" width="7.25" style="255" customWidth="1"/>
    <col min="10266" max="10266" width="9.125" style="255" customWidth="1"/>
    <col min="10267" max="10267" width="15.125" style="255" customWidth="1"/>
    <col min="10268" max="10268" width="7.75" style="255" customWidth="1"/>
    <col min="10269" max="10269" width="7.125" style="255" customWidth="1"/>
    <col min="10270" max="10270" width="12.125" style="255" customWidth="1"/>
    <col min="10271" max="10271" width="8.25" style="255" customWidth="1"/>
    <col min="10272" max="10273" width="10.375" style="255" customWidth="1"/>
    <col min="10274" max="10274" width="15.625" style="255" customWidth="1"/>
    <col min="10275" max="10275" width="15.875" style="255" customWidth="1"/>
    <col min="10276" max="10276" width="8.125" style="255" customWidth="1"/>
    <col min="10277" max="10280" width="10.375" style="255" customWidth="1"/>
    <col min="10281" max="10281" width="7.25" style="255" customWidth="1"/>
    <col min="10282" max="10282" width="7.125" style="255" customWidth="1"/>
    <col min="10283" max="10283" width="9.5" style="255" customWidth="1"/>
    <col min="10284" max="10285" width="9" style="255" customWidth="1"/>
    <col min="10286" max="10286" width="16.125" style="255" customWidth="1"/>
    <col min="10287" max="10317" width="9" style="255" customWidth="1"/>
    <col min="10318" max="10477" width="25.25" style="255"/>
    <col min="10478" max="10507" width="9" style="255" customWidth="1"/>
    <col min="10508" max="10508" width="0.5" style="255" customWidth="1"/>
    <col min="10509" max="10509" width="25.25" style="255"/>
    <col min="10510" max="10510" width="0.5" style="255" customWidth="1"/>
    <col min="10511" max="10511" width="25.25" style="255"/>
    <col min="10512" max="10512" width="14.75" style="255" customWidth="1"/>
    <col min="10513" max="10513" width="11.5" style="255" customWidth="1"/>
    <col min="10514" max="10514" width="11.25" style="255" customWidth="1"/>
    <col min="10515" max="10515" width="10.75" style="255" customWidth="1"/>
    <col min="10516" max="10516" width="10" style="255" customWidth="1"/>
    <col min="10517" max="10517" width="9.875" style="255" customWidth="1"/>
    <col min="10518" max="10518" width="26.125" style="255" customWidth="1"/>
    <col min="10519" max="10519" width="11.125" style="255" customWidth="1"/>
    <col min="10520" max="10520" width="7.875" style="255" customWidth="1"/>
    <col min="10521" max="10521" width="7.25" style="255" customWidth="1"/>
    <col min="10522" max="10522" width="9.125" style="255" customWidth="1"/>
    <col min="10523" max="10523" width="15.125" style="255" customWidth="1"/>
    <col min="10524" max="10524" width="7.75" style="255" customWidth="1"/>
    <col min="10525" max="10525" width="7.125" style="255" customWidth="1"/>
    <col min="10526" max="10526" width="12.125" style="255" customWidth="1"/>
    <col min="10527" max="10527" width="8.25" style="255" customWidth="1"/>
    <col min="10528" max="10529" width="10.375" style="255" customWidth="1"/>
    <col min="10530" max="10530" width="15.625" style="255" customWidth="1"/>
    <col min="10531" max="10531" width="15.875" style="255" customWidth="1"/>
    <col min="10532" max="10532" width="8.125" style="255" customWidth="1"/>
    <col min="10533" max="10536" width="10.375" style="255" customWidth="1"/>
    <col min="10537" max="10537" width="7.25" style="255" customWidth="1"/>
    <col min="10538" max="10538" width="7.125" style="255" customWidth="1"/>
    <col min="10539" max="10539" width="9.5" style="255" customWidth="1"/>
    <col min="10540" max="10541" width="9" style="255" customWidth="1"/>
    <col min="10542" max="10542" width="16.125" style="255" customWidth="1"/>
    <col min="10543" max="10573" width="9" style="255" customWidth="1"/>
    <col min="10574" max="10733" width="25.25" style="255"/>
    <col min="10734" max="10763" width="9" style="255" customWidth="1"/>
    <col min="10764" max="10764" width="0.5" style="255" customWidth="1"/>
    <col min="10765" max="10765" width="25.25" style="255"/>
    <col min="10766" max="10766" width="0.5" style="255" customWidth="1"/>
    <col min="10767" max="10767" width="25.25" style="255"/>
    <col min="10768" max="10768" width="14.75" style="255" customWidth="1"/>
    <col min="10769" max="10769" width="11.5" style="255" customWidth="1"/>
    <col min="10770" max="10770" width="11.25" style="255" customWidth="1"/>
    <col min="10771" max="10771" width="10.75" style="255" customWidth="1"/>
    <col min="10772" max="10772" width="10" style="255" customWidth="1"/>
    <col min="10773" max="10773" width="9.875" style="255" customWidth="1"/>
    <col min="10774" max="10774" width="26.125" style="255" customWidth="1"/>
    <col min="10775" max="10775" width="11.125" style="255" customWidth="1"/>
    <col min="10776" max="10776" width="7.875" style="255" customWidth="1"/>
    <col min="10777" max="10777" width="7.25" style="255" customWidth="1"/>
    <col min="10778" max="10778" width="9.125" style="255" customWidth="1"/>
    <col min="10779" max="10779" width="15.125" style="255" customWidth="1"/>
    <col min="10780" max="10780" width="7.75" style="255" customWidth="1"/>
    <col min="10781" max="10781" width="7.125" style="255" customWidth="1"/>
    <col min="10782" max="10782" width="12.125" style="255" customWidth="1"/>
    <col min="10783" max="10783" width="8.25" style="255" customWidth="1"/>
    <col min="10784" max="10785" width="10.375" style="255" customWidth="1"/>
    <col min="10786" max="10786" width="15.625" style="255" customWidth="1"/>
    <col min="10787" max="10787" width="15.875" style="255" customWidth="1"/>
    <col min="10788" max="10788" width="8.125" style="255" customWidth="1"/>
    <col min="10789" max="10792" width="10.375" style="255" customWidth="1"/>
    <col min="10793" max="10793" width="7.25" style="255" customWidth="1"/>
    <col min="10794" max="10794" width="7.125" style="255" customWidth="1"/>
    <col min="10795" max="10795" width="9.5" style="255" customWidth="1"/>
    <col min="10796" max="10797" width="9" style="255" customWidth="1"/>
    <col min="10798" max="10798" width="16.125" style="255" customWidth="1"/>
    <col min="10799" max="10829" width="9" style="255" customWidth="1"/>
    <col min="10830" max="10989" width="25.25" style="255"/>
    <col min="10990" max="11019" width="9" style="255" customWidth="1"/>
    <col min="11020" max="11020" width="0.5" style="255" customWidth="1"/>
    <col min="11021" max="11021" width="25.25" style="255"/>
    <col min="11022" max="11022" width="0.5" style="255" customWidth="1"/>
    <col min="11023" max="11023" width="25.25" style="255"/>
    <col min="11024" max="11024" width="14.75" style="255" customWidth="1"/>
    <col min="11025" max="11025" width="11.5" style="255" customWidth="1"/>
    <col min="11026" max="11026" width="11.25" style="255" customWidth="1"/>
    <col min="11027" max="11027" width="10.75" style="255" customWidth="1"/>
    <col min="11028" max="11028" width="10" style="255" customWidth="1"/>
    <col min="11029" max="11029" width="9.875" style="255" customWidth="1"/>
    <col min="11030" max="11030" width="26.125" style="255" customWidth="1"/>
    <col min="11031" max="11031" width="11.125" style="255" customWidth="1"/>
    <col min="11032" max="11032" width="7.875" style="255" customWidth="1"/>
    <col min="11033" max="11033" width="7.25" style="255" customWidth="1"/>
    <col min="11034" max="11034" width="9.125" style="255" customWidth="1"/>
    <col min="11035" max="11035" width="15.125" style="255" customWidth="1"/>
    <col min="11036" max="11036" width="7.75" style="255" customWidth="1"/>
    <col min="11037" max="11037" width="7.125" style="255" customWidth="1"/>
    <col min="11038" max="11038" width="12.125" style="255" customWidth="1"/>
    <col min="11039" max="11039" width="8.25" style="255" customWidth="1"/>
    <col min="11040" max="11041" width="10.375" style="255" customWidth="1"/>
    <col min="11042" max="11042" width="15.625" style="255" customWidth="1"/>
    <col min="11043" max="11043" width="15.875" style="255" customWidth="1"/>
    <col min="11044" max="11044" width="8.125" style="255" customWidth="1"/>
    <col min="11045" max="11048" width="10.375" style="255" customWidth="1"/>
    <col min="11049" max="11049" width="7.25" style="255" customWidth="1"/>
    <col min="11050" max="11050" width="7.125" style="255" customWidth="1"/>
    <col min="11051" max="11051" width="9.5" style="255" customWidth="1"/>
    <col min="11052" max="11053" width="9" style="255" customWidth="1"/>
    <col min="11054" max="11054" width="16.125" style="255" customWidth="1"/>
    <col min="11055" max="11085" width="9" style="255" customWidth="1"/>
    <col min="11086" max="11245" width="25.25" style="255"/>
    <col min="11246" max="11275" width="9" style="255" customWidth="1"/>
    <col min="11276" max="11276" width="0.5" style="255" customWidth="1"/>
    <col min="11277" max="11277" width="25.25" style="255"/>
    <col min="11278" max="11278" width="0.5" style="255" customWidth="1"/>
    <col min="11279" max="11279" width="25.25" style="255"/>
    <col min="11280" max="11280" width="14.75" style="255" customWidth="1"/>
    <col min="11281" max="11281" width="11.5" style="255" customWidth="1"/>
    <col min="11282" max="11282" width="11.25" style="255" customWidth="1"/>
    <col min="11283" max="11283" width="10.75" style="255" customWidth="1"/>
    <col min="11284" max="11284" width="10" style="255" customWidth="1"/>
    <col min="11285" max="11285" width="9.875" style="255" customWidth="1"/>
    <col min="11286" max="11286" width="26.125" style="255" customWidth="1"/>
    <col min="11287" max="11287" width="11.125" style="255" customWidth="1"/>
    <col min="11288" max="11288" width="7.875" style="255" customWidth="1"/>
    <col min="11289" max="11289" width="7.25" style="255" customWidth="1"/>
    <col min="11290" max="11290" width="9.125" style="255" customWidth="1"/>
    <col min="11291" max="11291" width="15.125" style="255" customWidth="1"/>
    <col min="11292" max="11292" width="7.75" style="255" customWidth="1"/>
    <col min="11293" max="11293" width="7.125" style="255" customWidth="1"/>
    <col min="11294" max="11294" width="12.125" style="255" customWidth="1"/>
    <col min="11295" max="11295" width="8.25" style="255" customWidth="1"/>
    <col min="11296" max="11297" width="10.375" style="255" customWidth="1"/>
    <col min="11298" max="11298" width="15.625" style="255" customWidth="1"/>
    <col min="11299" max="11299" width="15.875" style="255" customWidth="1"/>
    <col min="11300" max="11300" width="8.125" style="255" customWidth="1"/>
    <col min="11301" max="11304" width="10.375" style="255" customWidth="1"/>
    <col min="11305" max="11305" width="7.25" style="255" customWidth="1"/>
    <col min="11306" max="11306" width="7.125" style="255" customWidth="1"/>
    <col min="11307" max="11307" width="9.5" style="255" customWidth="1"/>
    <col min="11308" max="11309" width="9" style="255" customWidth="1"/>
    <col min="11310" max="11310" width="16.125" style="255" customWidth="1"/>
    <col min="11311" max="11341" width="9" style="255" customWidth="1"/>
    <col min="11342" max="11501" width="25.25" style="255"/>
    <col min="11502" max="11531" width="9" style="255" customWidth="1"/>
    <col min="11532" max="11532" width="0.5" style="255" customWidth="1"/>
    <col min="11533" max="11533" width="25.25" style="255"/>
    <col min="11534" max="11534" width="0.5" style="255" customWidth="1"/>
    <col min="11535" max="11535" width="25.25" style="255"/>
    <col min="11536" max="11536" width="14.75" style="255" customWidth="1"/>
    <col min="11537" max="11537" width="11.5" style="255" customWidth="1"/>
    <col min="11538" max="11538" width="11.25" style="255" customWidth="1"/>
    <col min="11539" max="11539" width="10.75" style="255" customWidth="1"/>
    <col min="11540" max="11540" width="10" style="255" customWidth="1"/>
    <col min="11541" max="11541" width="9.875" style="255" customWidth="1"/>
    <col min="11542" max="11542" width="26.125" style="255" customWidth="1"/>
    <col min="11543" max="11543" width="11.125" style="255" customWidth="1"/>
    <col min="11544" max="11544" width="7.875" style="255" customWidth="1"/>
    <col min="11545" max="11545" width="7.25" style="255" customWidth="1"/>
    <col min="11546" max="11546" width="9.125" style="255" customWidth="1"/>
    <col min="11547" max="11547" width="15.125" style="255" customWidth="1"/>
    <col min="11548" max="11548" width="7.75" style="255" customWidth="1"/>
    <col min="11549" max="11549" width="7.125" style="255" customWidth="1"/>
    <col min="11550" max="11550" width="12.125" style="255" customWidth="1"/>
    <col min="11551" max="11551" width="8.25" style="255" customWidth="1"/>
    <col min="11552" max="11553" width="10.375" style="255" customWidth="1"/>
    <col min="11554" max="11554" width="15.625" style="255" customWidth="1"/>
    <col min="11555" max="11555" width="15.875" style="255" customWidth="1"/>
    <col min="11556" max="11556" width="8.125" style="255" customWidth="1"/>
    <col min="11557" max="11560" width="10.375" style="255" customWidth="1"/>
    <col min="11561" max="11561" width="7.25" style="255" customWidth="1"/>
    <col min="11562" max="11562" width="7.125" style="255" customWidth="1"/>
    <col min="11563" max="11563" width="9.5" style="255" customWidth="1"/>
    <col min="11564" max="11565" width="9" style="255" customWidth="1"/>
    <col min="11566" max="11566" width="16.125" style="255" customWidth="1"/>
    <col min="11567" max="11597" width="9" style="255" customWidth="1"/>
    <col min="11598" max="11757" width="25.25" style="255"/>
    <col min="11758" max="11787" width="9" style="255" customWidth="1"/>
    <col min="11788" max="11788" width="0.5" style="255" customWidth="1"/>
    <col min="11789" max="11789" width="25.25" style="255"/>
    <col min="11790" max="11790" width="0.5" style="255" customWidth="1"/>
    <col min="11791" max="11791" width="25.25" style="255"/>
    <col min="11792" max="11792" width="14.75" style="255" customWidth="1"/>
    <col min="11793" max="11793" width="11.5" style="255" customWidth="1"/>
    <col min="11794" max="11794" width="11.25" style="255" customWidth="1"/>
    <col min="11795" max="11795" width="10.75" style="255" customWidth="1"/>
    <col min="11796" max="11796" width="10" style="255" customWidth="1"/>
    <col min="11797" max="11797" width="9.875" style="255" customWidth="1"/>
    <col min="11798" max="11798" width="26.125" style="255" customWidth="1"/>
    <col min="11799" max="11799" width="11.125" style="255" customWidth="1"/>
    <col min="11800" max="11800" width="7.875" style="255" customWidth="1"/>
    <col min="11801" max="11801" width="7.25" style="255" customWidth="1"/>
    <col min="11802" max="11802" width="9.125" style="255" customWidth="1"/>
    <col min="11803" max="11803" width="15.125" style="255" customWidth="1"/>
    <col min="11804" max="11804" width="7.75" style="255" customWidth="1"/>
    <col min="11805" max="11805" width="7.125" style="255" customWidth="1"/>
    <col min="11806" max="11806" width="12.125" style="255" customWidth="1"/>
    <col min="11807" max="11807" width="8.25" style="255" customWidth="1"/>
    <col min="11808" max="11809" width="10.375" style="255" customWidth="1"/>
    <col min="11810" max="11810" width="15.625" style="255" customWidth="1"/>
    <col min="11811" max="11811" width="15.875" style="255" customWidth="1"/>
    <col min="11812" max="11812" width="8.125" style="255" customWidth="1"/>
    <col min="11813" max="11816" width="10.375" style="255" customWidth="1"/>
    <col min="11817" max="11817" width="7.25" style="255" customWidth="1"/>
    <col min="11818" max="11818" width="7.125" style="255" customWidth="1"/>
    <col min="11819" max="11819" width="9.5" style="255" customWidth="1"/>
    <col min="11820" max="11821" width="9" style="255" customWidth="1"/>
    <col min="11822" max="11822" width="16.125" style="255" customWidth="1"/>
    <col min="11823" max="11853" width="9" style="255" customWidth="1"/>
    <col min="11854" max="12013" width="25.25" style="255"/>
    <col min="12014" max="12043" width="9" style="255" customWidth="1"/>
    <col min="12044" max="12044" width="0.5" style="255" customWidth="1"/>
    <col min="12045" max="12045" width="25.25" style="255"/>
    <col min="12046" max="12046" width="0.5" style="255" customWidth="1"/>
    <col min="12047" max="12047" width="25.25" style="255"/>
    <col min="12048" max="12048" width="14.75" style="255" customWidth="1"/>
    <col min="12049" max="12049" width="11.5" style="255" customWidth="1"/>
    <col min="12050" max="12050" width="11.25" style="255" customWidth="1"/>
    <col min="12051" max="12051" width="10.75" style="255" customWidth="1"/>
    <col min="12052" max="12052" width="10" style="255" customWidth="1"/>
    <col min="12053" max="12053" width="9.875" style="255" customWidth="1"/>
    <col min="12054" max="12054" width="26.125" style="255" customWidth="1"/>
    <col min="12055" max="12055" width="11.125" style="255" customWidth="1"/>
    <col min="12056" max="12056" width="7.875" style="255" customWidth="1"/>
    <col min="12057" max="12057" width="7.25" style="255" customWidth="1"/>
    <col min="12058" max="12058" width="9.125" style="255" customWidth="1"/>
    <col min="12059" max="12059" width="15.125" style="255" customWidth="1"/>
    <col min="12060" max="12060" width="7.75" style="255" customWidth="1"/>
    <col min="12061" max="12061" width="7.125" style="255" customWidth="1"/>
    <col min="12062" max="12062" width="12.125" style="255" customWidth="1"/>
    <col min="12063" max="12063" width="8.25" style="255" customWidth="1"/>
    <col min="12064" max="12065" width="10.375" style="255" customWidth="1"/>
    <col min="12066" max="12066" width="15.625" style="255" customWidth="1"/>
    <col min="12067" max="12067" width="15.875" style="255" customWidth="1"/>
    <col min="12068" max="12068" width="8.125" style="255" customWidth="1"/>
    <col min="12069" max="12072" width="10.375" style="255" customWidth="1"/>
    <col min="12073" max="12073" width="7.25" style="255" customWidth="1"/>
    <col min="12074" max="12074" width="7.125" style="255" customWidth="1"/>
    <col min="12075" max="12075" width="9.5" style="255" customWidth="1"/>
    <col min="12076" max="12077" width="9" style="255" customWidth="1"/>
    <col min="12078" max="12078" width="16.125" style="255" customWidth="1"/>
    <col min="12079" max="12109" width="9" style="255" customWidth="1"/>
    <col min="12110" max="12269" width="25.25" style="255"/>
    <col min="12270" max="12299" width="9" style="255" customWidth="1"/>
    <col min="12300" max="12300" width="0.5" style="255" customWidth="1"/>
    <col min="12301" max="12301" width="25.25" style="255"/>
    <col min="12302" max="12302" width="0.5" style="255" customWidth="1"/>
    <col min="12303" max="12303" width="25.25" style="255"/>
    <col min="12304" max="12304" width="14.75" style="255" customWidth="1"/>
    <col min="12305" max="12305" width="11.5" style="255" customWidth="1"/>
    <col min="12306" max="12306" width="11.25" style="255" customWidth="1"/>
    <col min="12307" max="12307" width="10.75" style="255" customWidth="1"/>
    <col min="12308" max="12308" width="10" style="255" customWidth="1"/>
    <col min="12309" max="12309" width="9.875" style="255" customWidth="1"/>
    <col min="12310" max="12310" width="26.125" style="255" customWidth="1"/>
    <col min="12311" max="12311" width="11.125" style="255" customWidth="1"/>
    <col min="12312" max="12312" width="7.875" style="255" customWidth="1"/>
    <col min="12313" max="12313" width="7.25" style="255" customWidth="1"/>
    <col min="12314" max="12314" width="9.125" style="255" customWidth="1"/>
    <col min="12315" max="12315" width="15.125" style="255" customWidth="1"/>
    <col min="12316" max="12316" width="7.75" style="255" customWidth="1"/>
    <col min="12317" max="12317" width="7.125" style="255" customWidth="1"/>
    <col min="12318" max="12318" width="12.125" style="255" customWidth="1"/>
    <col min="12319" max="12319" width="8.25" style="255" customWidth="1"/>
    <col min="12320" max="12321" width="10.375" style="255" customWidth="1"/>
    <col min="12322" max="12322" width="15.625" style="255" customWidth="1"/>
    <col min="12323" max="12323" width="15.875" style="255" customWidth="1"/>
    <col min="12324" max="12324" width="8.125" style="255" customWidth="1"/>
    <col min="12325" max="12328" width="10.375" style="255" customWidth="1"/>
    <col min="12329" max="12329" width="7.25" style="255" customWidth="1"/>
    <col min="12330" max="12330" width="7.125" style="255" customWidth="1"/>
    <col min="12331" max="12331" width="9.5" style="255" customWidth="1"/>
    <col min="12332" max="12333" width="9" style="255" customWidth="1"/>
    <col min="12334" max="12334" width="16.125" style="255" customWidth="1"/>
    <col min="12335" max="12365" width="9" style="255" customWidth="1"/>
    <col min="12366" max="12525" width="25.25" style="255"/>
    <col min="12526" max="12555" width="9" style="255" customWidth="1"/>
    <col min="12556" max="12556" width="0.5" style="255" customWidth="1"/>
    <col min="12557" max="12557" width="25.25" style="255"/>
    <col min="12558" max="12558" width="0.5" style="255" customWidth="1"/>
    <col min="12559" max="12559" width="25.25" style="255"/>
    <col min="12560" max="12560" width="14.75" style="255" customWidth="1"/>
    <col min="12561" max="12561" width="11.5" style="255" customWidth="1"/>
    <col min="12562" max="12562" width="11.25" style="255" customWidth="1"/>
    <col min="12563" max="12563" width="10.75" style="255" customWidth="1"/>
    <col min="12564" max="12564" width="10" style="255" customWidth="1"/>
    <col min="12565" max="12565" width="9.875" style="255" customWidth="1"/>
    <col min="12566" max="12566" width="26.125" style="255" customWidth="1"/>
    <col min="12567" max="12567" width="11.125" style="255" customWidth="1"/>
    <col min="12568" max="12568" width="7.875" style="255" customWidth="1"/>
    <col min="12569" max="12569" width="7.25" style="255" customWidth="1"/>
    <col min="12570" max="12570" width="9.125" style="255" customWidth="1"/>
    <col min="12571" max="12571" width="15.125" style="255" customWidth="1"/>
    <col min="12572" max="12572" width="7.75" style="255" customWidth="1"/>
    <col min="12573" max="12573" width="7.125" style="255" customWidth="1"/>
    <col min="12574" max="12574" width="12.125" style="255" customWidth="1"/>
    <col min="12575" max="12575" width="8.25" style="255" customWidth="1"/>
    <col min="12576" max="12577" width="10.375" style="255" customWidth="1"/>
    <col min="12578" max="12578" width="15.625" style="255" customWidth="1"/>
    <col min="12579" max="12579" width="15.875" style="255" customWidth="1"/>
    <col min="12580" max="12580" width="8.125" style="255" customWidth="1"/>
    <col min="12581" max="12584" width="10.375" style="255" customWidth="1"/>
    <col min="12585" max="12585" width="7.25" style="255" customWidth="1"/>
    <col min="12586" max="12586" width="7.125" style="255" customWidth="1"/>
    <col min="12587" max="12587" width="9.5" style="255" customWidth="1"/>
    <col min="12588" max="12589" width="9" style="255" customWidth="1"/>
    <col min="12590" max="12590" width="16.125" style="255" customWidth="1"/>
    <col min="12591" max="12621" width="9" style="255" customWidth="1"/>
    <col min="12622" max="12781" width="25.25" style="255"/>
    <col min="12782" max="12811" width="9" style="255" customWidth="1"/>
    <col min="12812" max="12812" width="0.5" style="255" customWidth="1"/>
    <col min="12813" max="12813" width="25.25" style="255"/>
    <col min="12814" max="12814" width="0.5" style="255" customWidth="1"/>
    <col min="12815" max="12815" width="25.25" style="255"/>
    <col min="12816" max="12816" width="14.75" style="255" customWidth="1"/>
    <col min="12817" max="12817" width="11.5" style="255" customWidth="1"/>
    <col min="12818" max="12818" width="11.25" style="255" customWidth="1"/>
    <col min="12819" max="12819" width="10.75" style="255" customWidth="1"/>
    <col min="12820" max="12820" width="10" style="255" customWidth="1"/>
    <col min="12821" max="12821" width="9.875" style="255" customWidth="1"/>
    <col min="12822" max="12822" width="26.125" style="255" customWidth="1"/>
    <col min="12823" max="12823" width="11.125" style="255" customWidth="1"/>
    <col min="12824" max="12824" width="7.875" style="255" customWidth="1"/>
    <col min="12825" max="12825" width="7.25" style="255" customWidth="1"/>
    <col min="12826" max="12826" width="9.125" style="255" customWidth="1"/>
    <col min="12827" max="12827" width="15.125" style="255" customWidth="1"/>
    <col min="12828" max="12828" width="7.75" style="255" customWidth="1"/>
    <col min="12829" max="12829" width="7.125" style="255" customWidth="1"/>
    <col min="12830" max="12830" width="12.125" style="255" customWidth="1"/>
    <col min="12831" max="12831" width="8.25" style="255" customWidth="1"/>
    <col min="12832" max="12833" width="10.375" style="255" customWidth="1"/>
    <col min="12834" max="12834" width="15.625" style="255" customWidth="1"/>
    <col min="12835" max="12835" width="15.875" style="255" customWidth="1"/>
    <col min="12836" max="12836" width="8.125" style="255" customWidth="1"/>
    <col min="12837" max="12840" width="10.375" style="255" customWidth="1"/>
    <col min="12841" max="12841" width="7.25" style="255" customWidth="1"/>
    <col min="12842" max="12842" width="7.125" style="255" customWidth="1"/>
    <col min="12843" max="12843" width="9.5" style="255" customWidth="1"/>
    <col min="12844" max="12845" width="9" style="255" customWidth="1"/>
    <col min="12846" max="12846" width="16.125" style="255" customWidth="1"/>
    <col min="12847" max="12877" width="9" style="255" customWidth="1"/>
    <col min="12878" max="13037" width="25.25" style="255"/>
    <col min="13038" max="13067" width="9" style="255" customWidth="1"/>
    <col min="13068" max="13068" width="0.5" style="255" customWidth="1"/>
    <col min="13069" max="13069" width="25.25" style="255"/>
    <col min="13070" max="13070" width="0.5" style="255" customWidth="1"/>
    <col min="13071" max="13071" width="25.25" style="255"/>
    <col min="13072" max="13072" width="14.75" style="255" customWidth="1"/>
    <col min="13073" max="13073" width="11.5" style="255" customWidth="1"/>
    <col min="13074" max="13074" width="11.25" style="255" customWidth="1"/>
    <col min="13075" max="13075" width="10.75" style="255" customWidth="1"/>
    <col min="13076" max="13076" width="10" style="255" customWidth="1"/>
    <col min="13077" max="13077" width="9.875" style="255" customWidth="1"/>
    <col min="13078" max="13078" width="26.125" style="255" customWidth="1"/>
    <col min="13079" max="13079" width="11.125" style="255" customWidth="1"/>
    <col min="13080" max="13080" width="7.875" style="255" customWidth="1"/>
    <col min="13081" max="13081" width="7.25" style="255" customWidth="1"/>
    <col min="13082" max="13082" width="9.125" style="255" customWidth="1"/>
    <col min="13083" max="13083" width="15.125" style="255" customWidth="1"/>
    <col min="13084" max="13084" width="7.75" style="255" customWidth="1"/>
    <col min="13085" max="13085" width="7.125" style="255" customWidth="1"/>
    <col min="13086" max="13086" width="12.125" style="255" customWidth="1"/>
    <col min="13087" max="13087" width="8.25" style="255" customWidth="1"/>
    <col min="13088" max="13089" width="10.375" style="255" customWidth="1"/>
    <col min="13090" max="13090" width="15.625" style="255" customWidth="1"/>
    <col min="13091" max="13091" width="15.875" style="255" customWidth="1"/>
    <col min="13092" max="13092" width="8.125" style="255" customWidth="1"/>
    <col min="13093" max="13096" width="10.375" style="255" customWidth="1"/>
    <col min="13097" max="13097" width="7.25" style="255" customWidth="1"/>
    <col min="13098" max="13098" width="7.125" style="255" customWidth="1"/>
    <col min="13099" max="13099" width="9.5" style="255" customWidth="1"/>
    <col min="13100" max="13101" width="9" style="255" customWidth="1"/>
    <col min="13102" max="13102" width="16.125" style="255" customWidth="1"/>
    <col min="13103" max="13133" width="9" style="255" customWidth="1"/>
    <col min="13134" max="13293" width="25.25" style="255"/>
    <col min="13294" max="13323" width="9" style="255" customWidth="1"/>
    <col min="13324" max="13324" width="0.5" style="255" customWidth="1"/>
    <col min="13325" max="13325" width="25.25" style="255"/>
    <col min="13326" max="13326" width="0.5" style="255" customWidth="1"/>
    <col min="13327" max="13327" width="25.25" style="255"/>
    <col min="13328" max="13328" width="14.75" style="255" customWidth="1"/>
    <col min="13329" max="13329" width="11.5" style="255" customWidth="1"/>
    <col min="13330" max="13330" width="11.25" style="255" customWidth="1"/>
    <col min="13331" max="13331" width="10.75" style="255" customWidth="1"/>
    <col min="13332" max="13332" width="10" style="255" customWidth="1"/>
    <col min="13333" max="13333" width="9.875" style="255" customWidth="1"/>
    <col min="13334" max="13334" width="26.125" style="255" customWidth="1"/>
    <col min="13335" max="13335" width="11.125" style="255" customWidth="1"/>
    <col min="13336" max="13336" width="7.875" style="255" customWidth="1"/>
    <col min="13337" max="13337" width="7.25" style="255" customWidth="1"/>
    <col min="13338" max="13338" width="9.125" style="255" customWidth="1"/>
    <col min="13339" max="13339" width="15.125" style="255" customWidth="1"/>
    <col min="13340" max="13340" width="7.75" style="255" customWidth="1"/>
    <col min="13341" max="13341" width="7.125" style="255" customWidth="1"/>
    <col min="13342" max="13342" width="12.125" style="255" customWidth="1"/>
    <col min="13343" max="13343" width="8.25" style="255" customWidth="1"/>
    <col min="13344" max="13345" width="10.375" style="255" customWidth="1"/>
    <col min="13346" max="13346" width="15.625" style="255" customWidth="1"/>
    <col min="13347" max="13347" width="15.875" style="255" customWidth="1"/>
    <col min="13348" max="13348" width="8.125" style="255" customWidth="1"/>
    <col min="13349" max="13352" width="10.375" style="255" customWidth="1"/>
    <col min="13353" max="13353" width="7.25" style="255" customWidth="1"/>
    <col min="13354" max="13354" width="7.125" style="255" customWidth="1"/>
    <col min="13355" max="13355" width="9.5" style="255" customWidth="1"/>
    <col min="13356" max="13357" width="9" style="255" customWidth="1"/>
    <col min="13358" max="13358" width="16.125" style="255" customWidth="1"/>
    <col min="13359" max="13389" width="9" style="255" customWidth="1"/>
    <col min="13390" max="13549" width="25.25" style="255"/>
    <col min="13550" max="13579" width="9" style="255" customWidth="1"/>
    <col min="13580" max="13580" width="0.5" style="255" customWidth="1"/>
    <col min="13581" max="13581" width="25.25" style="255"/>
    <col min="13582" max="13582" width="0.5" style="255" customWidth="1"/>
    <col min="13583" max="13583" width="25.25" style="255"/>
    <col min="13584" max="13584" width="14.75" style="255" customWidth="1"/>
    <col min="13585" max="13585" width="11.5" style="255" customWidth="1"/>
    <col min="13586" max="13586" width="11.25" style="255" customWidth="1"/>
    <col min="13587" max="13587" width="10.75" style="255" customWidth="1"/>
    <col min="13588" max="13588" width="10" style="255" customWidth="1"/>
    <col min="13589" max="13589" width="9.875" style="255" customWidth="1"/>
    <col min="13590" max="13590" width="26.125" style="255" customWidth="1"/>
    <col min="13591" max="13591" width="11.125" style="255" customWidth="1"/>
    <col min="13592" max="13592" width="7.875" style="255" customWidth="1"/>
    <col min="13593" max="13593" width="7.25" style="255" customWidth="1"/>
    <col min="13594" max="13594" width="9.125" style="255" customWidth="1"/>
    <col min="13595" max="13595" width="15.125" style="255" customWidth="1"/>
    <col min="13596" max="13596" width="7.75" style="255" customWidth="1"/>
    <col min="13597" max="13597" width="7.125" style="255" customWidth="1"/>
    <col min="13598" max="13598" width="12.125" style="255" customWidth="1"/>
    <col min="13599" max="13599" width="8.25" style="255" customWidth="1"/>
    <col min="13600" max="13601" width="10.375" style="255" customWidth="1"/>
    <col min="13602" max="13602" width="15.625" style="255" customWidth="1"/>
    <col min="13603" max="13603" width="15.875" style="255" customWidth="1"/>
    <col min="13604" max="13604" width="8.125" style="255" customWidth="1"/>
    <col min="13605" max="13608" width="10.375" style="255" customWidth="1"/>
    <col min="13609" max="13609" width="7.25" style="255" customWidth="1"/>
    <col min="13610" max="13610" width="7.125" style="255" customWidth="1"/>
    <col min="13611" max="13611" width="9.5" style="255" customWidth="1"/>
    <col min="13612" max="13613" width="9" style="255" customWidth="1"/>
    <col min="13614" max="13614" width="16.125" style="255" customWidth="1"/>
    <col min="13615" max="13645" width="9" style="255" customWidth="1"/>
    <col min="13646" max="13805" width="25.25" style="255"/>
    <col min="13806" max="13835" width="9" style="255" customWidth="1"/>
    <col min="13836" max="13836" width="0.5" style="255" customWidth="1"/>
    <col min="13837" max="13837" width="25.25" style="255"/>
    <col min="13838" max="13838" width="0.5" style="255" customWidth="1"/>
    <col min="13839" max="13839" width="25.25" style="255"/>
    <col min="13840" max="13840" width="14.75" style="255" customWidth="1"/>
    <col min="13841" max="13841" width="11.5" style="255" customWidth="1"/>
    <col min="13842" max="13842" width="11.25" style="255" customWidth="1"/>
    <col min="13843" max="13843" width="10.75" style="255" customWidth="1"/>
    <col min="13844" max="13844" width="10" style="255" customWidth="1"/>
    <col min="13845" max="13845" width="9.875" style="255" customWidth="1"/>
    <col min="13846" max="13846" width="26.125" style="255" customWidth="1"/>
    <col min="13847" max="13847" width="11.125" style="255" customWidth="1"/>
    <col min="13848" max="13848" width="7.875" style="255" customWidth="1"/>
    <col min="13849" max="13849" width="7.25" style="255" customWidth="1"/>
    <col min="13850" max="13850" width="9.125" style="255" customWidth="1"/>
    <col min="13851" max="13851" width="15.125" style="255" customWidth="1"/>
    <col min="13852" max="13852" width="7.75" style="255" customWidth="1"/>
    <col min="13853" max="13853" width="7.125" style="255" customWidth="1"/>
    <col min="13854" max="13854" width="12.125" style="255" customWidth="1"/>
    <col min="13855" max="13855" width="8.25" style="255" customWidth="1"/>
    <col min="13856" max="13857" width="10.375" style="255" customWidth="1"/>
    <col min="13858" max="13858" width="15.625" style="255" customWidth="1"/>
    <col min="13859" max="13859" width="15.875" style="255" customWidth="1"/>
    <col min="13860" max="13860" width="8.125" style="255" customWidth="1"/>
    <col min="13861" max="13864" width="10.375" style="255" customWidth="1"/>
    <col min="13865" max="13865" width="7.25" style="255" customWidth="1"/>
    <col min="13866" max="13866" width="7.125" style="255" customWidth="1"/>
    <col min="13867" max="13867" width="9.5" style="255" customWidth="1"/>
    <col min="13868" max="13869" width="9" style="255" customWidth="1"/>
    <col min="13870" max="13870" width="16.125" style="255" customWidth="1"/>
    <col min="13871" max="13901" width="9" style="255" customWidth="1"/>
    <col min="13902" max="14061" width="25.25" style="255"/>
    <col min="14062" max="14091" width="9" style="255" customWidth="1"/>
    <col min="14092" max="14092" width="0.5" style="255" customWidth="1"/>
    <col min="14093" max="14093" width="25.25" style="255"/>
    <col min="14094" max="14094" width="0.5" style="255" customWidth="1"/>
    <col min="14095" max="14095" width="25.25" style="255"/>
    <col min="14096" max="14096" width="14.75" style="255" customWidth="1"/>
    <col min="14097" max="14097" width="11.5" style="255" customWidth="1"/>
    <col min="14098" max="14098" width="11.25" style="255" customWidth="1"/>
    <col min="14099" max="14099" width="10.75" style="255" customWidth="1"/>
    <col min="14100" max="14100" width="10" style="255" customWidth="1"/>
    <col min="14101" max="14101" width="9.875" style="255" customWidth="1"/>
    <col min="14102" max="14102" width="26.125" style="255" customWidth="1"/>
    <col min="14103" max="14103" width="11.125" style="255" customWidth="1"/>
    <col min="14104" max="14104" width="7.875" style="255" customWidth="1"/>
    <col min="14105" max="14105" width="7.25" style="255" customWidth="1"/>
    <col min="14106" max="14106" width="9.125" style="255" customWidth="1"/>
    <col min="14107" max="14107" width="15.125" style="255" customWidth="1"/>
    <col min="14108" max="14108" width="7.75" style="255" customWidth="1"/>
    <col min="14109" max="14109" width="7.125" style="255" customWidth="1"/>
    <col min="14110" max="14110" width="12.125" style="255" customWidth="1"/>
    <col min="14111" max="14111" width="8.25" style="255" customWidth="1"/>
    <col min="14112" max="14113" width="10.375" style="255" customWidth="1"/>
    <col min="14114" max="14114" width="15.625" style="255" customWidth="1"/>
    <col min="14115" max="14115" width="15.875" style="255" customWidth="1"/>
    <col min="14116" max="14116" width="8.125" style="255" customWidth="1"/>
    <col min="14117" max="14120" width="10.375" style="255" customWidth="1"/>
    <col min="14121" max="14121" width="7.25" style="255" customWidth="1"/>
    <col min="14122" max="14122" width="7.125" style="255" customWidth="1"/>
    <col min="14123" max="14123" width="9.5" style="255" customWidth="1"/>
    <col min="14124" max="14125" width="9" style="255" customWidth="1"/>
    <col min="14126" max="14126" width="16.125" style="255" customWidth="1"/>
    <col min="14127" max="14157" width="9" style="255" customWidth="1"/>
    <col min="14158" max="14317" width="25.25" style="255"/>
    <col min="14318" max="14347" width="9" style="255" customWidth="1"/>
    <col min="14348" max="14348" width="0.5" style="255" customWidth="1"/>
    <col min="14349" max="14349" width="25.25" style="255"/>
    <col min="14350" max="14350" width="0.5" style="255" customWidth="1"/>
    <col min="14351" max="14351" width="25.25" style="255"/>
    <col min="14352" max="14352" width="14.75" style="255" customWidth="1"/>
    <col min="14353" max="14353" width="11.5" style="255" customWidth="1"/>
    <col min="14354" max="14354" width="11.25" style="255" customWidth="1"/>
    <col min="14355" max="14355" width="10.75" style="255" customWidth="1"/>
    <col min="14356" max="14356" width="10" style="255" customWidth="1"/>
    <col min="14357" max="14357" width="9.875" style="255" customWidth="1"/>
    <col min="14358" max="14358" width="26.125" style="255" customWidth="1"/>
    <col min="14359" max="14359" width="11.125" style="255" customWidth="1"/>
    <col min="14360" max="14360" width="7.875" style="255" customWidth="1"/>
    <col min="14361" max="14361" width="7.25" style="255" customWidth="1"/>
    <col min="14362" max="14362" width="9.125" style="255" customWidth="1"/>
    <col min="14363" max="14363" width="15.125" style="255" customWidth="1"/>
    <col min="14364" max="14364" width="7.75" style="255" customWidth="1"/>
    <col min="14365" max="14365" width="7.125" style="255" customWidth="1"/>
    <col min="14366" max="14366" width="12.125" style="255" customWidth="1"/>
    <col min="14367" max="14367" width="8.25" style="255" customWidth="1"/>
    <col min="14368" max="14369" width="10.375" style="255" customWidth="1"/>
    <col min="14370" max="14370" width="15.625" style="255" customWidth="1"/>
    <col min="14371" max="14371" width="15.875" style="255" customWidth="1"/>
    <col min="14372" max="14372" width="8.125" style="255" customWidth="1"/>
    <col min="14373" max="14376" width="10.375" style="255" customWidth="1"/>
    <col min="14377" max="14377" width="7.25" style="255" customWidth="1"/>
    <col min="14378" max="14378" width="7.125" style="255" customWidth="1"/>
    <col min="14379" max="14379" width="9.5" style="255" customWidth="1"/>
    <col min="14380" max="14381" width="9" style="255" customWidth="1"/>
    <col min="14382" max="14382" width="16.125" style="255" customWidth="1"/>
    <col min="14383" max="14413" width="9" style="255" customWidth="1"/>
    <col min="14414" max="14573" width="25.25" style="255"/>
    <col min="14574" max="14603" width="9" style="255" customWidth="1"/>
    <col min="14604" max="14604" width="0.5" style="255" customWidth="1"/>
    <col min="14605" max="14605" width="25.25" style="255"/>
    <col min="14606" max="14606" width="0.5" style="255" customWidth="1"/>
    <col min="14607" max="14607" width="25.25" style="255"/>
    <col min="14608" max="14608" width="14.75" style="255" customWidth="1"/>
    <col min="14609" max="14609" width="11.5" style="255" customWidth="1"/>
    <col min="14610" max="14610" width="11.25" style="255" customWidth="1"/>
    <col min="14611" max="14611" width="10.75" style="255" customWidth="1"/>
    <col min="14612" max="14612" width="10" style="255" customWidth="1"/>
    <col min="14613" max="14613" width="9.875" style="255" customWidth="1"/>
    <col min="14614" max="14614" width="26.125" style="255" customWidth="1"/>
    <col min="14615" max="14615" width="11.125" style="255" customWidth="1"/>
    <col min="14616" max="14616" width="7.875" style="255" customWidth="1"/>
    <col min="14617" max="14617" width="7.25" style="255" customWidth="1"/>
    <col min="14618" max="14618" width="9.125" style="255" customWidth="1"/>
    <col min="14619" max="14619" width="15.125" style="255" customWidth="1"/>
    <col min="14620" max="14620" width="7.75" style="255" customWidth="1"/>
    <col min="14621" max="14621" width="7.125" style="255" customWidth="1"/>
    <col min="14622" max="14622" width="12.125" style="255" customWidth="1"/>
    <col min="14623" max="14623" width="8.25" style="255" customWidth="1"/>
    <col min="14624" max="14625" width="10.375" style="255" customWidth="1"/>
    <col min="14626" max="14626" width="15.625" style="255" customWidth="1"/>
    <col min="14627" max="14627" width="15.875" style="255" customWidth="1"/>
    <col min="14628" max="14628" width="8.125" style="255" customWidth="1"/>
    <col min="14629" max="14632" width="10.375" style="255" customWidth="1"/>
    <col min="14633" max="14633" width="7.25" style="255" customWidth="1"/>
    <col min="14634" max="14634" width="7.125" style="255" customWidth="1"/>
    <col min="14635" max="14635" width="9.5" style="255" customWidth="1"/>
    <col min="14636" max="14637" width="9" style="255" customWidth="1"/>
    <col min="14638" max="14638" width="16.125" style="255" customWidth="1"/>
    <col min="14639" max="14669" width="9" style="255" customWidth="1"/>
    <col min="14670" max="14829" width="25.25" style="255"/>
    <col min="14830" max="14859" width="9" style="255" customWidth="1"/>
    <col min="14860" max="14860" width="0.5" style="255" customWidth="1"/>
    <col min="14861" max="14861" width="25.25" style="255"/>
    <col min="14862" max="14862" width="0.5" style="255" customWidth="1"/>
    <col min="14863" max="14863" width="25.25" style="255"/>
    <col min="14864" max="14864" width="14.75" style="255" customWidth="1"/>
    <col min="14865" max="14865" width="11.5" style="255" customWidth="1"/>
    <col min="14866" max="14866" width="11.25" style="255" customWidth="1"/>
    <col min="14867" max="14867" width="10.75" style="255" customWidth="1"/>
    <col min="14868" max="14868" width="10" style="255" customWidth="1"/>
    <col min="14869" max="14869" width="9.875" style="255" customWidth="1"/>
    <col min="14870" max="14870" width="26.125" style="255" customWidth="1"/>
    <col min="14871" max="14871" width="11.125" style="255" customWidth="1"/>
    <col min="14872" max="14872" width="7.875" style="255" customWidth="1"/>
    <col min="14873" max="14873" width="7.25" style="255" customWidth="1"/>
    <col min="14874" max="14874" width="9.125" style="255" customWidth="1"/>
    <col min="14875" max="14875" width="15.125" style="255" customWidth="1"/>
    <col min="14876" max="14876" width="7.75" style="255" customWidth="1"/>
    <col min="14877" max="14877" width="7.125" style="255" customWidth="1"/>
    <col min="14878" max="14878" width="12.125" style="255" customWidth="1"/>
    <col min="14879" max="14879" width="8.25" style="255" customWidth="1"/>
    <col min="14880" max="14881" width="10.375" style="255" customWidth="1"/>
    <col min="14882" max="14882" width="15.625" style="255" customWidth="1"/>
    <col min="14883" max="14883" width="15.875" style="255" customWidth="1"/>
    <col min="14884" max="14884" width="8.125" style="255" customWidth="1"/>
    <col min="14885" max="14888" width="10.375" style="255" customWidth="1"/>
    <col min="14889" max="14889" width="7.25" style="255" customWidth="1"/>
    <col min="14890" max="14890" width="7.125" style="255" customWidth="1"/>
    <col min="14891" max="14891" width="9.5" style="255" customWidth="1"/>
    <col min="14892" max="14893" width="9" style="255" customWidth="1"/>
    <col min="14894" max="14894" width="16.125" style="255" customWidth="1"/>
    <col min="14895" max="14925" width="9" style="255" customWidth="1"/>
    <col min="14926" max="15085" width="25.25" style="255"/>
    <col min="15086" max="15115" width="9" style="255" customWidth="1"/>
    <col min="15116" max="15116" width="0.5" style="255" customWidth="1"/>
    <col min="15117" max="15117" width="25.25" style="255"/>
    <col min="15118" max="15118" width="0.5" style="255" customWidth="1"/>
    <col min="15119" max="15119" width="25.25" style="255"/>
    <col min="15120" max="15120" width="14.75" style="255" customWidth="1"/>
    <col min="15121" max="15121" width="11.5" style="255" customWidth="1"/>
    <col min="15122" max="15122" width="11.25" style="255" customWidth="1"/>
    <col min="15123" max="15123" width="10.75" style="255" customWidth="1"/>
    <col min="15124" max="15124" width="10" style="255" customWidth="1"/>
    <col min="15125" max="15125" width="9.875" style="255" customWidth="1"/>
    <col min="15126" max="15126" width="26.125" style="255" customWidth="1"/>
    <col min="15127" max="15127" width="11.125" style="255" customWidth="1"/>
    <col min="15128" max="15128" width="7.875" style="255" customWidth="1"/>
    <col min="15129" max="15129" width="7.25" style="255" customWidth="1"/>
    <col min="15130" max="15130" width="9.125" style="255" customWidth="1"/>
    <col min="15131" max="15131" width="15.125" style="255" customWidth="1"/>
    <col min="15132" max="15132" width="7.75" style="255" customWidth="1"/>
    <col min="15133" max="15133" width="7.125" style="255" customWidth="1"/>
    <col min="15134" max="15134" width="12.125" style="255" customWidth="1"/>
    <col min="15135" max="15135" width="8.25" style="255" customWidth="1"/>
    <col min="15136" max="15137" width="10.375" style="255" customWidth="1"/>
    <col min="15138" max="15138" width="15.625" style="255" customWidth="1"/>
    <col min="15139" max="15139" width="15.875" style="255" customWidth="1"/>
    <col min="15140" max="15140" width="8.125" style="255" customWidth="1"/>
    <col min="15141" max="15144" width="10.375" style="255" customWidth="1"/>
    <col min="15145" max="15145" width="7.25" style="255" customWidth="1"/>
    <col min="15146" max="15146" width="7.125" style="255" customWidth="1"/>
    <col min="15147" max="15147" width="9.5" style="255" customWidth="1"/>
    <col min="15148" max="15149" width="9" style="255" customWidth="1"/>
    <col min="15150" max="15150" width="16.125" style="255" customWidth="1"/>
    <col min="15151" max="15181" width="9" style="255" customWidth="1"/>
    <col min="15182" max="15341" width="25.25" style="255"/>
    <col min="15342" max="15371" width="9" style="255" customWidth="1"/>
    <col min="15372" max="15372" width="0.5" style="255" customWidth="1"/>
    <col min="15373" max="15373" width="25.25" style="255"/>
    <col min="15374" max="15374" width="0.5" style="255" customWidth="1"/>
    <col min="15375" max="15375" width="25.25" style="255"/>
    <col min="15376" max="15376" width="14.75" style="255" customWidth="1"/>
    <col min="15377" max="15377" width="11.5" style="255" customWidth="1"/>
    <col min="15378" max="15378" width="11.25" style="255" customWidth="1"/>
    <col min="15379" max="15379" width="10.75" style="255" customWidth="1"/>
    <col min="15380" max="15380" width="10" style="255" customWidth="1"/>
    <col min="15381" max="15381" width="9.875" style="255" customWidth="1"/>
    <col min="15382" max="15382" width="26.125" style="255" customWidth="1"/>
    <col min="15383" max="15383" width="11.125" style="255" customWidth="1"/>
    <col min="15384" max="15384" width="7.875" style="255" customWidth="1"/>
    <col min="15385" max="15385" width="7.25" style="255" customWidth="1"/>
    <col min="15386" max="15386" width="9.125" style="255" customWidth="1"/>
    <col min="15387" max="15387" width="15.125" style="255" customWidth="1"/>
    <col min="15388" max="15388" width="7.75" style="255" customWidth="1"/>
    <col min="15389" max="15389" width="7.125" style="255" customWidth="1"/>
    <col min="15390" max="15390" width="12.125" style="255" customWidth="1"/>
    <col min="15391" max="15391" width="8.25" style="255" customWidth="1"/>
    <col min="15392" max="15393" width="10.375" style="255" customWidth="1"/>
    <col min="15394" max="15394" width="15.625" style="255" customWidth="1"/>
    <col min="15395" max="15395" width="15.875" style="255" customWidth="1"/>
    <col min="15396" max="15396" width="8.125" style="255" customWidth="1"/>
    <col min="15397" max="15400" width="10.375" style="255" customWidth="1"/>
    <col min="15401" max="15401" width="7.25" style="255" customWidth="1"/>
    <col min="15402" max="15402" width="7.125" style="255" customWidth="1"/>
    <col min="15403" max="15403" width="9.5" style="255" customWidth="1"/>
    <col min="15404" max="15405" width="9" style="255" customWidth="1"/>
    <col min="15406" max="15406" width="16.125" style="255" customWidth="1"/>
    <col min="15407" max="15437" width="9" style="255" customWidth="1"/>
    <col min="15438" max="15597" width="25.25" style="255"/>
    <col min="15598" max="15627" width="9" style="255" customWidth="1"/>
    <col min="15628" max="15628" width="0.5" style="255" customWidth="1"/>
    <col min="15629" max="15629" width="25.25" style="255"/>
    <col min="15630" max="15630" width="0.5" style="255" customWidth="1"/>
    <col min="15631" max="15631" width="25.25" style="255"/>
    <col min="15632" max="15632" width="14.75" style="255" customWidth="1"/>
    <col min="15633" max="15633" width="11.5" style="255" customWidth="1"/>
    <col min="15634" max="15634" width="11.25" style="255" customWidth="1"/>
    <col min="15635" max="15635" width="10.75" style="255" customWidth="1"/>
    <col min="15636" max="15636" width="10" style="255" customWidth="1"/>
    <col min="15637" max="15637" width="9.875" style="255" customWidth="1"/>
    <col min="15638" max="15638" width="26.125" style="255" customWidth="1"/>
    <col min="15639" max="15639" width="11.125" style="255" customWidth="1"/>
    <col min="15640" max="15640" width="7.875" style="255" customWidth="1"/>
    <col min="15641" max="15641" width="7.25" style="255" customWidth="1"/>
    <col min="15642" max="15642" width="9.125" style="255" customWidth="1"/>
    <col min="15643" max="15643" width="15.125" style="255" customWidth="1"/>
    <col min="15644" max="15644" width="7.75" style="255" customWidth="1"/>
    <col min="15645" max="15645" width="7.125" style="255" customWidth="1"/>
    <col min="15646" max="15646" width="12.125" style="255" customWidth="1"/>
    <col min="15647" max="15647" width="8.25" style="255" customWidth="1"/>
    <col min="15648" max="15649" width="10.375" style="255" customWidth="1"/>
    <col min="15650" max="15650" width="15.625" style="255" customWidth="1"/>
    <col min="15651" max="15651" width="15.875" style="255" customWidth="1"/>
    <col min="15652" max="15652" width="8.125" style="255" customWidth="1"/>
    <col min="15653" max="15656" width="10.375" style="255" customWidth="1"/>
    <col min="15657" max="15657" width="7.25" style="255" customWidth="1"/>
    <col min="15658" max="15658" width="7.125" style="255" customWidth="1"/>
    <col min="15659" max="15659" width="9.5" style="255" customWidth="1"/>
    <col min="15660" max="15661" width="9" style="255" customWidth="1"/>
    <col min="15662" max="15662" width="16.125" style="255" customWidth="1"/>
    <col min="15663" max="15693" width="9" style="255" customWidth="1"/>
    <col min="15694" max="15853" width="25.25" style="255"/>
    <col min="15854" max="15883" width="9" style="255" customWidth="1"/>
    <col min="15884" max="15884" width="0.5" style="255" customWidth="1"/>
    <col min="15885" max="15885" width="25.25" style="255"/>
    <col min="15886" max="15886" width="0.5" style="255" customWidth="1"/>
    <col min="15887" max="15887" width="25.25" style="255"/>
    <col min="15888" max="15888" width="14.75" style="255" customWidth="1"/>
    <col min="15889" max="15889" width="11.5" style="255" customWidth="1"/>
    <col min="15890" max="15890" width="11.25" style="255" customWidth="1"/>
    <col min="15891" max="15891" width="10.75" style="255" customWidth="1"/>
    <col min="15892" max="15892" width="10" style="255" customWidth="1"/>
    <col min="15893" max="15893" width="9.875" style="255" customWidth="1"/>
    <col min="15894" max="15894" width="26.125" style="255" customWidth="1"/>
    <col min="15895" max="15895" width="11.125" style="255" customWidth="1"/>
    <col min="15896" max="15896" width="7.875" style="255" customWidth="1"/>
    <col min="15897" max="15897" width="7.25" style="255" customWidth="1"/>
    <col min="15898" max="15898" width="9.125" style="255" customWidth="1"/>
    <col min="15899" max="15899" width="15.125" style="255" customWidth="1"/>
    <col min="15900" max="15900" width="7.75" style="255" customWidth="1"/>
    <col min="15901" max="15901" width="7.125" style="255" customWidth="1"/>
    <col min="15902" max="15902" width="12.125" style="255" customWidth="1"/>
    <col min="15903" max="15903" width="8.25" style="255" customWidth="1"/>
    <col min="15904" max="15905" width="10.375" style="255" customWidth="1"/>
    <col min="15906" max="15906" width="15.625" style="255" customWidth="1"/>
    <col min="15907" max="15907" width="15.875" style="255" customWidth="1"/>
    <col min="15908" max="15908" width="8.125" style="255" customWidth="1"/>
    <col min="15909" max="15912" width="10.375" style="255" customWidth="1"/>
    <col min="15913" max="15913" width="7.25" style="255" customWidth="1"/>
    <col min="15914" max="15914" width="7.125" style="255" customWidth="1"/>
    <col min="15915" max="15915" width="9.5" style="255" customWidth="1"/>
    <col min="15916" max="15917" width="9" style="255" customWidth="1"/>
    <col min="15918" max="15918" width="16.125" style="255" customWidth="1"/>
    <col min="15919" max="15949" width="9" style="255" customWidth="1"/>
    <col min="15950" max="16109" width="25.25" style="255"/>
    <col min="16110" max="16139" width="9" style="255" customWidth="1"/>
    <col min="16140" max="16140" width="0.5" style="255" customWidth="1"/>
    <col min="16141" max="16384" width="25.25" style="255"/>
  </cols>
  <sheetData>
    <row r="1" spans="1:16" ht="14.25" thickBot="1"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1"/>
      <c r="O1" s="1"/>
      <c r="P1" s="1"/>
    </row>
    <row r="2" spans="1:16" ht="18" customHeight="1">
      <c r="A2" s="5"/>
      <c r="B2" s="6" t="s">
        <v>402</v>
      </c>
      <c r="C2" s="254"/>
      <c r="D2" s="254" t="s">
        <v>9</v>
      </c>
      <c r="E2" s="254" t="s">
        <v>10</v>
      </c>
      <c r="F2" s="661" t="s">
        <v>11</v>
      </c>
      <c r="G2" s="661"/>
      <c r="H2" s="661"/>
      <c r="I2" s="662" t="s">
        <v>12</v>
      </c>
      <c r="J2" s="664" t="s">
        <v>13</v>
      </c>
      <c r="K2" s="665"/>
      <c r="L2" s="665"/>
      <c r="M2" s="666"/>
      <c r="N2" s="8"/>
      <c r="O2" s="8"/>
      <c r="P2" s="8"/>
    </row>
    <row r="3" spans="1:16" ht="18" customHeight="1">
      <c r="B3" s="9" t="s">
        <v>14</v>
      </c>
      <c r="C3" s="10" t="s">
        <v>15</v>
      </c>
      <c r="D3" s="10" t="s">
        <v>16</v>
      </c>
      <c r="E3" s="10" t="s">
        <v>17</v>
      </c>
      <c r="F3" s="10" t="s">
        <v>7</v>
      </c>
      <c r="G3" s="10" t="s">
        <v>5</v>
      </c>
      <c r="H3" s="10" t="s">
        <v>18</v>
      </c>
      <c r="I3" s="663"/>
      <c r="J3" s="11" t="s">
        <v>19</v>
      </c>
      <c r="K3" s="12" t="s">
        <v>20</v>
      </c>
      <c r="L3" s="12" t="s">
        <v>21</v>
      </c>
      <c r="M3" s="13" t="s">
        <v>22</v>
      </c>
      <c r="N3" s="14"/>
      <c r="P3" s="15"/>
    </row>
    <row r="4" spans="1:16" ht="18" customHeight="1">
      <c r="B4" s="667" t="str">
        <f ca="1">MID(CELL("filename",Q13),FIND("]",CELL("filename",Q13))+1,30)</f>
        <v>WM2038</v>
      </c>
      <c r="C4" s="17" t="s">
        <v>23</v>
      </c>
      <c r="D4" s="17">
        <v>2000</v>
      </c>
      <c r="E4" s="17">
        <v>3800</v>
      </c>
      <c r="F4" s="18">
        <v>7.17</v>
      </c>
      <c r="G4" s="17">
        <v>1</v>
      </c>
      <c r="H4" s="17">
        <f>F4*G4</f>
        <v>7.17</v>
      </c>
      <c r="I4" s="663"/>
      <c r="J4" s="19">
        <v>40</v>
      </c>
      <c r="K4" s="20">
        <v>20</v>
      </c>
      <c r="L4" s="21">
        <v>1.5</v>
      </c>
      <c r="M4" s="22">
        <f t="shared" ref="M4:M11" si="0">ROUND(((J4*K4)-(J4-2*L4)*(K4-2*L4))*7.8/1000,3)</f>
        <v>1.3340000000000001</v>
      </c>
    </row>
    <row r="5" spans="1:16" ht="18" customHeight="1">
      <c r="B5" s="668"/>
      <c r="C5" s="221" t="s">
        <v>299</v>
      </c>
      <c r="D5" s="221">
        <f>D4-70</f>
        <v>1930</v>
      </c>
      <c r="E5" s="221">
        <f>E4-70</f>
        <v>3730</v>
      </c>
      <c r="F5" s="222">
        <f>D5*E5/10^6</f>
        <v>7.1989000000000001</v>
      </c>
      <c r="G5" s="221">
        <v>1</v>
      </c>
      <c r="H5" s="222">
        <f>F5*G5</f>
        <v>7.1989000000000001</v>
      </c>
      <c r="I5" s="663"/>
      <c r="J5" s="19">
        <v>40</v>
      </c>
      <c r="K5" s="20">
        <v>20</v>
      </c>
      <c r="L5" s="21">
        <v>2</v>
      </c>
      <c r="M5" s="22">
        <f t="shared" si="0"/>
        <v>1.7470000000000001</v>
      </c>
    </row>
    <row r="6" spans="1:16" ht="18" customHeight="1">
      <c r="B6" s="669"/>
      <c r="C6" s="17" t="s">
        <v>24</v>
      </c>
      <c r="D6" s="17">
        <f>D4-80</f>
        <v>1920</v>
      </c>
      <c r="E6" s="17">
        <f>E4-80</f>
        <v>3720</v>
      </c>
      <c r="F6" s="18">
        <f>D6*E6/10^6</f>
        <v>7.1424000000000003</v>
      </c>
      <c r="G6" s="17">
        <v>1</v>
      </c>
      <c r="H6" s="18">
        <f>F6*G6</f>
        <v>7.1424000000000003</v>
      </c>
      <c r="I6" s="663"/>
      <c r="J6" s="19">
        <v>40</v>
      </c>
      <c r="K6" s="20">
        <v>20</v>
      </c>
      <c r="L6" s="21">
        <v>2</v>
      </c>
      <c r="M6" s="22">
        <f t="shared" si="0"/>
        <v>1.7470000000000001</v>
      </c>
    </row>
    <row r="7" spans="1:16" ht="18" customHeight="1">
      <c r="B7" s="23" t="s">
        <v>25</v>
      </c>
      <c r="C7" s="252" t="s">
        <v>16</v>
      </c>
      <c r="D7" s="252" t="s">
        <v>26</v>
      </c>
      <c r="E7" s="252" t="s">
        <v>17</v>
      </c>
      <c r="F7" s="252" t="s">
        <v>27</v>
      </c>
      <c r="G7" s="252" t="s">
        <v>22</v>
      </c>
      <c r="H7" s="252" t="s">
        <v>28</v>
      </c>
      <c r="I7" s="25" t="s">
        <v>29</v>
      </c>
      <c r="J7" s="19">
        <v>80</v>
      </c>
      <c r="K7" s="20">
        <v>40</v>
      </c>
      <c r="L7" s="21">
        <v>2</v>
      </c>
      <c r="M7" s="22">
        <f t="shared" si="0"/>
        <v>3.6190000000000002</v>
      </c>
    </row>
    <row r="8" spans="1:16" ht="18" customHeight="1">
      <c r="B8" s="251" t="s">
        <v>30</v>
      </c>
      <c r="C8" s="27">
        <f>D4-30</f>
        <v>1970</v>
      </c>
      <c r="D8" s="27">
        <v>2</v>
      </c>
      <c r="E8" s="27">
        <f>E4-30</f>
        <v>3770</v>
      </c>
      <c r="F8" s="27">
        <v>2</v>
      </c>
      <c r="G8" s="28">
        <v>1.7470000000000001</v>
      </c>
      <c r="H8" s="29">
        <f>材料价格!B3</f>
        <v>7.5</v>
      </c>
      <c r="I8" s="30">
        <f>ROUND((C8*D8+E8*F8)*G8*H8/1000*1.1,2)</f>
        <v>165.46</v>
      </c>
      <c r="J8" s="19">
        <v>40</v>
      </c>
      <c r="K8" s="20">
        <v>20</v>
      </c>
      <c r="L8" s="21">
        <v>1.4</v>
      </c>
      <c r="M8" s="22">
        <f>ROUND(((J8*K8)-(J8-2*L8)*(K8-2*L8))*2.71/1000,3)</f>
        <v>0.434</v>
      </c>
    </row>
    <row r="9" spans="1:16" ht="18" customHeight="1">
      <c r="B9" s="251" t="s">
        <v>30</v>
      </c>
      <c r="C9" s="250"/>
      <c r="D9" s="250"/>
      <c r="E9" s="250"/>
      <c r="F9" s="250"/>
      <c r="G9" s="28">
        <v>1.7470000000000001</v>
      </c>
      <c r="H9" s="32">
        <f>H8</f>
        <v>7.5</v>
      </c>
      <c r="I9" s="30">
        <f>ROUND((C9*D9+E9*F9)*G9*H9/1000*1.1,2)</f>
        <v>0</v>
      </c>
      <c r="J9" s="19"/>
      <c r="K9" s="20"/>
      <c r="L9" s="21"/>
      <c r="M9" s="22">
        <f t="shared" si="0"/>
        <v>0</v>
      </c>
    </row>
    <row r="10" spans="1:16" ht="18" customHeight="1">
      <c r="B10" s="251" t="s">
        <v>31</v>
      </c>
      <c r="C10" s="250"/>
      <c r="D10" s="250"/>
      <c r="E10" s="250"/>
      <c r="F10" s="250"/>
      <c r="G10" s="28">
        <v>3.6190000000000002</v>
      </c>
      <c r="H10" s="32">
        <f>H9</f>
        <v>7.5</v>
      </c>
      <c r="I10" s="30">
        <f>ROUND((C10*D10+E10*F10)*G10*H10/1000*1.1,2)</f>
        <v>0</v>
      </c>
      <c r="J10" s="19"/>
      <c r="K10" s="20"/>
      <c r="L10" s="12"/>
      <c r="M10" s="22">
        <f t="shared" si="0"/>
        <v>0</v>
      </c>
    </row>
    <row r="11" spans="1:16" ht="18" customHeight="1" thickBot="1">
      <c r="B11" s="251" t="s">
        <v>32</v>
      </c>
      <c r="C11" s="250"/>
      <c r="D11" s="250"/>
      <c r="E11" s="250"/>
      <c r="F11" s="250"/>
      <c r="G11" s="28">
        <v>2.9950000000000001</v>
      </c>
      <c r="H11" s="32">
        <f>H10</f>
        <v>7.5</v>
      </c>
      <c r="I11" s="30">
        <f>ROUND((C11*D11+E11*F11)*G11*H11/1000*1.1,2)</f>
        <v>0</v>
      </c>
      <c r="J11" s="33"/>
      <c r="K11" s="34"/>
      <c r="L11" s="35"/>
      <c r="M11" s="36">
        <f t="shared" si="0"/>
        <v>0</v>
      </c>
    </row>
    <row r="12" spans="1:16" ht="18" customHeight="1">
      <c r="B12" s="37" t="s">
        <v>33</v>
      </c>
      <c r="C12" s="38">
        <f>((I9+I10+I8+I11)/H8)/F4</f>
        <v>3.076894467689447</v>
      </c>
      <c r="D12" s="39" t="s">
        <v>34</v>
      </c>
      <c r="E12" s="38">
        <f>(I9+I10+I8+I11)/F4</f>
        <v>23.076708507670851</v>
      </c>
      <c r="F12" s="40" t="s">
        <v>35</v>
      </c>
      <c r="G12" s="39"/>
      <c r="H12" s="39">
        <f>ROUND(SUM(I8:I11)/H8,2)</f>
        <v>22.06</v>
      </c>
      <c r="I12" s="41">
        <f>SUM(I8:I11)</f>
        <v>165.46</v>
      </c>
      <c r="J12" s="42"/>
    </row>
    <row r="13" spans="1:16" ht="18" customHeight="1">
      <c r="B13" s="23" t="s">
        <v>36</v>
      </c>
      <c r="C13" s="252" t="s">
        <v>14</v>
      </c>
      <c r="D13" s="252" t="s">
        <v>37</v>
      </c>
      <c r="E13" s="252" t="s">
        <v>38</v>
      </c>
      <c r="F13" s="252" t="s">
        <v>39</v>
      </c>
      <c r="G13" s="252" t="s">
        <v>8</v>
      </c>
      <c r="H13" s="252" t="s">
        <v>22</v>
      </c>
      <c r="I13" s="25" t="s">
        <v>40</v>
      </c>
    </row>
    <row r="14" spans="1:16" ht="18" customHeight="1">
      <c r="B14" s="648" t="s">
        <v>41</v>
      </c>
      <c r="C14" s="649" t="s">
        <v>404</v>
      </c>
      <c r="D14" s="250">
        <f>D6</f>
        <v>1920</v>
      </c>
      <c r="E14" s="250">
        <v>1000</v>
      </c>
      <c r="F14" s="44">
        <f>ROUND((D14+E14)*2/1000,4)</f>
        <v>5.84</v>
      </c>
      <c r="G14" s="250">
        <v>1</v>
      </c>
      <c r="H14" s="250">
        <v>1.47</v>
      </c>
      <c r="I14" s="284">
        <f>ROUND(F14*G14*H14,3)*1.5</f>
        <v>12.877500000000001</v>
      </c>
      <c r="J14" s="42"/>
      <c r="K14" s="46"/>
      <c r="L14" s="46"/>
      <c r="M14" s="42"/>
    </row>
    <row r="15" spans="1:16" ht="18" customHeight="1">
      <c r="B15" s="648"/>
      <c r="C15" s="650"/>
      <c r="D15" s="250"/>
      <c r="E15" s="250"/>
      <c r="F15" s="44">
        <f t="shared" ref="F15:F21" si="1">ROUND((D15+E15)*2/1000,4)</f>
        <v>0</v>
      </c>
      <c r="G15" s="250"/>
      <c r="H15" s="250">
        <f t="shared" ref="H15:H21" si="2">H14</f>
        <v>1.47</v>
      </c>
      <c r="I15" s="247">
        <f t="shared" ref="I15:I21" si="3">ROUND(F15*G15*H15,3)</f>
        <v>0</v>
      </c>
      <c r="K15" s="47"/>
      <c r="M15" s="255"/>
    </row>
    <row r="16" spans="1:16" ht="18" customHeight="1">
      <c r="B16" s="648"/>
      <c r="C16" s="650"/>
      <c r="D16" s="250"/>
      <c r="E16" s="250"/>
      <c r="F16" s="44">
        <f t="shared" si="1"/>
        <v>0</v>
      </c>
      <c r="G16" s="250"/>
      <c r="H16" s="250">
        <f t="shared" si="2"/>
        <v>1.47</v>
      </c>
      <c r="I16" s="247">
        <f t="shared" si="3"/>
        <v>0</v>
      </c>
      <c r="K16" s="47"/>
      <c r="L16" s="46"/>
      <c r="M16" s="42"/>
    </row>
    <row r="17" spans="2:15" ht="18" customHeight="1">
      <c r="B17" s="648"/>
      <c r="C17" s="650"/>
      <c r="D17" s="250"/>
      <c r="E17" s="250"/>
      <c r="F17" s="44">
        <f t="shared" si="1"/>
        <v>0</v>
      </c>
      <c r="G17" s="250"/>
      <c r="H17" s="250">
        <f t="shared" si="2"/>
        <v>1.47</v>
      </c>
      <c r="I17" s="247">
        <f t="shared" si="3"/>
        <v>0</v>
      </c>
      <c r="K17" s="47"/>
      <c r="M17" s="42"/>
    </row>
    <row r="18" spans="2:15" ht="18" customHeight="1">
      <c r="B18" s="648"/>
      <c r="C18" s="650"/>
      <c r="D18" s="250"/>
      <c r="E18" s="250"/>
      <c r="F18" s="44">
        <f t="shared" si="1"/>
        <v>0</v>
      </c>
      <c r="G18" s="250"/>
      <c r="H18" s="250">
        <f t="shared" si="2"/>
        <v>1.47</v>
      </c>
      <c r="I18" s="247">
        <f t="shared" si="3"/>
        <v>0</v>
      </c>
      <c r="M18" s="42"/>
    </row>
    <row r="19" spans="2:15" ht="18" customHeight="1">
      <c r="B19" s="648"/>
      <c r="C19" s="650"/>
      <c r="D19" s="250"/>
      <c r="E19" s="250"/>
      <c r="F19" s="44">
        <f t="shared" si="1"/>
        <v>0</v>
      </c>
      <c r="G19" s="250"/>
      <c r="H19" s="250">
        <f t="shared" si="2"/>
        <v>1.47</v>
      </c>
      <c r="I19" s="247">
        <f t="shared" si="3"/>
        <v>0</v>
      </c>
      <c r="M19" s="42"/>
    </row>
    <row r="20" spans="2:15" ht="18" customHeight="1">
      <c r="B20" s="648"/>
      <c r="C20" s="650"/>
      <c r="D20" s="250"/>
      <c r="E20" s="250"/>
      <c r="F20" s="44">
        <f t="shared" si="1"/>
        <v>0</v>
      </c>
      <c r="G20" s="250"/>
      <c r="H20" s="250">
        <f t="shared" si="2"/>
        <v>1.47</v>
      </c>
      <c r="I20" s="247">
        <f t="shared" si="3"/>
        <v>0</v>
      </c>
      <c r="K20" s="47"/>
      <c r="M20" s="42"/>
    </row>
    <row r="21" spans="2:15" ht="18" customHeight="1">
      <c r="B21" s="648"/>
      <c r="C21" s="651"/>
      <c r="D21" s="250"/>
      <c r="E21" s="250"/>
      <c r="F21" s="44">
        <f t="shared" si="1"/>
        <v>0</v>
      </c>
      <c r="G21" s="250"/>
      <c r="H21" s="250">
        <f t="shared" si="2"/>
        <v>1.47</v>
      </c>
      <c r="I21" s="247">
        <f t="shared" si="3"/>
        <v>0</v>
      </c>
    </row>
    <row r="22" spans="2:15" ht="18" customHeight="1">
      <c r="B22" s="48" t="s">
        <v>42</v>
      </c>
      <c r="C22" s="49">
        <f>SUMPRODUCT(F14:F21*G14:G21)</f>
        <v>5.84</v>
      </c>
      <c r="D22" s="50" t="s">
        <v>43</v>
      </c>
      <c r="E22" s="49">
        <f>SUM(I14:I21)*1.1</f>
        <v>14.165250000000002</v>
      </c>
      <c r="F22" s="50" t="s">
        <v>44</v>
      </c>
      <c r="G22" s="51">
        <f>(C$218+C$219)/1000</f>
        <v>46.081499999999998</v>
      </c>
      <c r="H22" s="52" t="s">
        <v>45</v>
      </c>
      <c r="I22" s="53">
        <f>ROUND(E22*G22,2)</f>
        <v>652.76</v>
      </c>
      <c r="J22" s="243">
        <f>SUM(G14:G21)</f>
        <v>1</v>
      </c>
    </row>
    <row r="23" spans="2:15" ht="18" customHeight="1">
      <c r="B23" s="48" t="s">
        <v>46</v>
      </c>
      <c r="C23" s="50">
        <v>207.36</v>
      </c>
      <c r="D23" s="50" t="s">
        <v>47</v>
      </c>
      <c r="E23" s="49">
        <f>ROUND(C22*(C23/1000),2)</f>
        <v>1.21</v>
      </c>
      <c r="F23" s="50" t="s">
        <v>48</v>
      </c>
      <c r="G23" s="50">
        <v>10</v>
      </c>
      <c r="H23" s="52" t="s">
        <v>49</v>
      </c>
      <c r="I23" s="53">
        <f>E23*G23</f>
        <v>12.1</v>
      </c>
    </row>
    <row r="24" spans="2:15" ht="18" customHeight="1" thickBot="1">
      <c r="B24" s="48" t="s">
        <v>50</v>
      </c>
      <c r="C24" s="50">
        <v>169.96</v>
      </c>
      <c r="D24" s="50" t="s">
        <v>51</v>
      </c>
      <c r="E24" s="49">
        <f>ROUND(C22*(C24/1000),2)</f>
        <v>0.99</v>
      </c>
      <c r="F24" s="50" t="s">
        <v>48</v>
      </c>
      <c r="G24" s="50">
        <v>10</v>
      </c>
      <c r="H24" s="52" t="s">
        <v>49</v>
      </c>
      <c r="I24" s="53">
        <f>E24*G24</f>
        <v>9.9</v>
      </c>
    </row>
    <row r="25" spans="2:15" ht="18" customHeight="1">
      <c r="B25" s="23" t="s">
        <v>36</v>
      </c>
      <c r="C25" s="252" t="s">
        <v>14</v>
      </c>
      <c r="D25" s="252" t="s">
        <v>37</v>
      </c>
      <c r="E25" s="252" t="s">
        <v>38</v>
      </c>
      <c r="F25" s="252" t="s">
        <v>39</v>
      </c>
      <c r="G25" s="252" t="s">
        <v>8</v>
      </c>
      <c r="H25" s="252" t="s">
        <v>22</v>
      </c>
      <c r="I25" s="25" t="s">
        <v>40</v>
      </c>
      <c r="J25" s="54" t="s">
        <v>2</v>
      </c>
      <c r="K25" s="55" t="s">
        <v>3</v>
      </c>
      <c r="L25" s="55" t="s">
        <v>52</v>
      </c>
      <c r="M25" s="55" t="s">
        <v>53</v>
      </c>
      <c r="N25" s="56" t="s">
        <v>14</v>
      </c>
    </row>
    <row r="26" spans="2:15" ht="18" customHeight="1">
      <c r="B26" s="648" t="s">
        <v>54</v>
      </c>
      <c r="C26" s="649" t="s">
        <v>55</v>
      </c>
      <c r="D26" s="253">
        <f>J26-IF(L26=1,44,IF(L26=2,30,IF(L26=3,16,0)))</f>
        <v>0</v>
      </c>
      <c r="E26" s="253">
        <f>K26-IF(M26=1,44,IF(M26=2,30,IF(M26=3,16,0)))</f>
        <v>0</v>
      </c>
      <c r="F26" s="44">
        <f>ROUND((D26+E26)*2/1000,4)</f>
        <v>0</v>
      </c>
      <c r="G26" s="250"/>
      <c r="H26" s="58">
        <v>1.62</v>
      </c>
      <c r="I26" s="59">
        <f>IF(AND(D26&gt;0,E26&gt;0,F26&gt;0),F26*G26*H26,0)</f>
        <v>0</v>
      </c>
      <c r="J26" s="60"/>
      <c r="K26" s="61"/>
      <c r="L26" s="61"/>
      <c r="M26" s="61"/>
      <c r="N26" s="62" t="s">
        <v>56</v>
      </c>
      <c r="O26" s="63" t="s">
        <v>57</v>
      </c>
    </row>
    <row r="27" spans="2:15" ht="18" customHeight="1">
      <c r="B27" s="648"/>
      <c r="C27" s="650"/>
      <c r="D27" s="253">
        <f t="shared" ref="D27:E30" si="4">J27-IF(L27=1,44,IF(L27=2,30,IF(L27=3,16,0)))</f>
        <v>0</v>
      </c>
      <c r="E27" s="253">
        <f t="shared" si="4"/>
        <v>0</v>
      </c>
      <c r="F27" s="44">
        <f>ROUND((D27+E27)*2/1000,4)</f>
        <v>0</v>
      </c>
      <c r="G27" s="250"/>
      <c r="H27" s="58">
        <f>H26</f>
        <v>1.62</v>
      </c>
      <c r="I27" s="59">
        <f>IF(AND(D27&gt;0,E27&gt;0,F27&gt;0),F27*G27*H27,0)</f>
        <v>0</v>
      </c>
      <c r="J27" s="60"/>
      <c r="K27" s="61"/>
      <c r="L27" s="61"/>
      <c r="M27" s="61"/>
      <c r="N27" s="62" t="s">
        <v>58</v>
      </c>
      <c r="O27" s="63" t="s">
        <v>59</v>
      </c>
    </row>
    <row r="28" spans="2:15" ht="18" customHeight="1">
      <c r="B28" s="648"/>
      <c r="C28" s="650"/>
      <c r="D28" s="253">
        <f t="shared" si="4"/>
        <v>0</v>
      </c>
      <c r="E28" s="253">
        <f t="shared" si="4"/>
        <v>0</v>
      </c>
      <c r="F28" s="44">
        <f>ROUND((D28+E28)*2/1000,4)</f>
        <v>0</v>
      </c>
      <c r="G28" s="250"/>
      <c r="H28" s="58">
        <f>H27</f>
        <v>1.62</v>
      </c>
      <c r="I28" s="59">
        <f>IF(AND(D28&gt;0,E28&gt;0,F28&gt;0),F28*G28*H28,0)</f>
        <v>0</v>
      </c>
      <c r="J28" s="60"/>
      <c r="K28" s="61"/>
      <c r="L28" s="61"/>
      <c r="M28" s="61"/>
      <c r="N28" s="62" t="s">
        <v>60</v>
      </c>
      <c r="O28" s="63" t="s">
        <v>59</v>
      </c>
    </row>
    <row r="29" spans="2:15" ht="18" customHeight="1">
      <c r="B29" s="648"/>
      <c r="C29" s="650"/>
      <c r="D29" s="253">
        <f t="shared" si="4"/>
        <v>0</v>
      </c>
      <c r="E29" s="253">
        <f t="shared" si="4"/>
        <v>0</v>
      </c>
      <c r="F29" s="44">
        <f>ROUND((D29+E29)*2/1000,4)</f>
        <v>0</v>
      </c>
      <c r="G29" s="250"/>
      <c r="H29" s="58">
        <f>H28</f>
        <v>1.62</v>
      </c>
      <c r="I29" s="59">
        <f>IF(AND(D29&gt;0,E29&gt;0,F29&gt;0),F29*G29*H29,0)</f>
        <v>0</v>
      </c>
      <c r="J29" s="60"/>
      <c r="K29" s="61"/>
      <c r="L29" s="61"/>
      <c r="M29" s="61"/>
      <c r="N29" s="62"/>
    </row>
    <row r="30" spans="2:15" ht="18" customHeight="1" thickBot="1">
      <c r="B30" s="648"/>
      <c r="C30" s="651"/>
      <c r="D30" s="253">
        <f t="shared" si="4"/>
        <v>0</v>
      </c>
      <c r="E30" s="253">
        <f t="shared" si="4"/>
        <v>0</v>
      </c>
      <c r="F30" s="44">
        <f>ROUND((D30+E30)*2/1000,4)</f>
        <v>0</v>
      </c>
      <c r="G30" s="250"/>
      <c r="H30" s="58">
        <f>H29</f>
        <v>1.62</v>
      </c>
      <c r="I30" s="59">
        <f>IF(AND(D30&gt;0,E30&gt;0,F30&gt;0),F30*G30*H30,0)</f>
        <v>0</v>
      </c>
      <c r="J30" s="64"/>
      <c r="K30" s="65"/>
      <c r="L30" s="65"/>
      <c r="M30" s="65"/>
      <c r="N30" s="66"/>
    </row>
    <row r="31" spans="2:15" ht="18" customHeight="1">
      <c r="B31" s="48" t="s">
        <v>42</v>
      </c>
      <c r="C31" s="49">
        <f>SUMPRODUCT(F26:F30*G26:G30)</f>
        <v>0</v>
      </c>
      <c r="D31" s="50" t="s">
        <v>43</v>
      </c>
      <c r="E31" s="49">
        <f>SUM(I26:I30)*1.1</f>
        <v>0</v>
      </c>
      <c r="F31" s="50" t="s">
        <v>44</v>
      </c>
      <c r="G31" s="51">
        <f>(C$218+C$221)/1000</f>
        <v>46.081499999999998</v>
      </c>
      <c r="H31" s="52" t="s">
        <v>45</v>
      </c>
      <c r="I31" s="53">
        <f>ROUND(E31*G31,2)</f>
        <v>0</v>
      </c>
      <c r="J31" s="243">
        <f>SUM(G26:G30)</f>
        <v>0</v>
      </c>
    </row>
    <row r="32" spans="2:15" ht="18" customHeight="1">
      <c r="B32" s="48" t="s">
        <v>46</v>
      </c>
      <c r="C32" s="50">
        <v>183.32</v>
      </c>
      <c r="D32" s="50" t="s">
        <v>47</v>
      </c>
      <c r="E32" s="49">
        <f>ROUND(C31*(C32/1000),2)</f>
        <v>0</v>
      </c>
      <c r="F32" s="50" t="s">
        <v>48</v>
      </c>
      <c r="G32" s="50">
        <f>G$23</f>
        <v>10</v>
      </c>
      <c r="H32" s="52" t="s">
        <v>49</v>
      </c>
      <c r="I32" s="53">
        <f>E32*G32</f>
        <v>0</v>
      </c>
    </row>
    <row r="33" spans="2:14" ht="18" customHeight="1" thickBot="1">
      <c r="B33" s="48" t="s">
        <v>50</v>
      </c>
      <c r="C33" s="50">
        <v>257.82</v>
      </c>
      <c r="D33" s="50" t="s">
        <v>51</v>
      </c>
      <c r="E33" s="49">
        <f>ROUND(C31*(C33/1000),2)</f>
        <v>0</v>
      </c>
      <c r="F33" s="50" t="s">
        <v>48</v>
      </c>
      <c r="G33" s="50">
        <f>G$24</f>
        <v>10</v>
      </c>
      <c r="H33" s="52" t="s">
        <v>49</v>
      </c>
      <c r="I33" s="53">
        <f>E33*G33</f>
        <v>0</v>
      </c>
    </row>
    <row r="34" spans="2:14" ht="18" customHeight="1" thickBot="1">
      <c r="B34" s="67" t="s">
        <v>36</v>
      </c>
      <c r="C34" s="68" t="s">
        <v>14</v>
      </c>
      <c r="D34" s="68" t="s">
        <v>37</v>
      </c>
      <c r="E34" s="68" t="s">
        <v>38</v>
      </c>
      <c r="F34" s="68" t="s">
        <v>39</v>
      </c>
      <c r="G34" s="68" t="s">
        <v>8</v>
      </c>
      <c r="H34" s="68" t="s">
        <v>22</v>
      </c>
      <c r="I34" s="69" t="s">
        <v>40</v>
      </c>
      <c r="J34" s="54" t="s">
        <v>2</v>
      </c>
      <c r="K34" s="55" t="s">
        <v>3</v>
      </c>
      <c r="L34" s="55" t="s">
        <v>61</v>
      </c>
      <c r="M34" s="55" t="s">
        <v>62</v>
      </c>
      <c r="N34" s="70" t="s">
        <v>14</v>
      </c>
    </row>
    <row r="35" spans="2:14" ht="18" customHeight="1">
      <c r="B35" s="648" t="s">
        <v>63</v>
      </c>
      <c r="C35" s="649" t="s">
        <v>64</v>
      </c>
      <c r="D35" s="253">
        <f t="shared" ref="D35:E37" si="5">J35-IF(L35=1,44,IF(L35=2,30,IF(L35=3,16,IF(L35=11,118,IF(L35=12,100,IF(L35=13,76.8,0))))))</f>
        <v>0</v>
      </c>
      <c r="E35" s="253">
        <f t="shared" si="5"/>
        <v>0</v>
      </c>
      <c r="F35" s="250">
        <f>ROUND((D35+E35)*2/1000,4)</f>
        <v>0</v>
      </c>
      <c r="G35" s="250"/>
      <c r="H35" s="58">
        <v>1.8140000000000001</v>
      </c>
      <c r="I35" s="59">
        <f>ROUND(F35*G35*H35,3)</f>
        <v>0</v>
      </c>
      <c r="J35" s="60"/>
      <c r="K35" s="61"/>
      <c r="L35" s="61"/>
      <c r="M35" s="61"/>
      <c r="N35" s="71" t="s">
        <v>56</v>
      </c>
    </row>
    <row r="36" spans="2:14" ht="18" customHeight="1">
      <c r="B36" s="660"/>
      <c r="C36" s="650"/>
      <c r="D36" s="253">
        <f t="shared" si="5"/>
        <v>0</v>
      </c>
      <c r="E36" s="253">
        <f t="shared" si="5"/>
        <v>0</v>
      </c>
      <c r="F36" s="250">
        <f>ROUND((D36+E36)*2/1000,4)</f>
        <v>0</v>
      </c>
      <c r="G36" s="250"/>
      <c r="H36" s="58">
        <f>H35</f>
        <v>1.8140000000000001</v>
      </c>
      <c r="I36" s="59">
        <f>ROUND(F36*G36*H36,3)</f>
        <v>0</v>
      </c>
      <c r="J36" s="60"/>
      <c r="K36" s="61"/>
      <c r="L36" s="61"/>
      <c r="M36" s="61"/>
      <c r="N36" s="72" t="s">
        <v>58</v>
      </c>
    </row>
    <row r="37" spans="2:14" ht="18" customHeight="1">
      <c r="B37" s="660"/>
      <c r="C37" s="651"/>
      <c r="D37" s="253">
        <f t="shared" si="5"/>
        <v>0</v>
      </c>
      <c r="E37" s="253">
        <f t="shared" si="5"/>
        <v>0</v>
      </c>
      <c r="F37" s="250">
        <f>ROUND((D37+E37)*2/1000,4)</f>
        <v>0</v>
      </c>
      <c r="G37" s="250"/>
      <c r="H37" s="58">
        <f>H36</f>
        <v>1.8140000000000001</v>
      </c>
      <c r="I37" s="59">
        <f>ROUND(F37*G37*H37,3)</f>
        <v>0</v>
      </c>
      <c r="J37" s="60"/>
      <c r="K37" s="61"/>
      <c r="L37" s="61"/>
      <c r="M37" s="61"/>
      <c r="N37" s="72" t="s">
        <v>60</v>
      </c>
    </row>
    <row r="38" spans="2:14" ht="18" customHeight="1">
      <c r="B38" s="48" t="s">
        <v>42</v>
      </c>
      <c r="C38" s="49">
        <f>SUMPRODUCT(F35:F37*G35:G37)</f>
        <v>0</v>
      </c>
      <c r="D38" s="50" t="s">
        <v>43</v>
      </c>
      <c r="E38" s="49">
        <f>SUM(I35:I37)*1.1</f>
        <v>0</v>
      </c>
      <c r="F38" s="50" t="s">
        <v>44</v>
      </c>
      <c r="G38" s="51">
        <f>(C$218+C$219)/1000</f>
        <v>46.081499999999998</v>
      </c>
      <c r="H38" s="52" t="s">
        <v>45</v>
      </c>
      <c r="I38" s="53">
        <f>ROUND(E38*G38,2)</f>
        <v>0</v>
      </c>
      <c r="J38" s="243">
        <f>SUM(G35:G37)</f>
        <v>0</v>
      </c>
      <c r="K38" s="255"/>
      <c r="L38" s="255"/>
      <c r="M38" s="255"/>
      <c r="N38" s="73" t="s">
        <v>65</v>
      </c>
    </row>
    <row r="39" spans="2:14" ht="18" customHeight="1">
      <c r="B39" s="48" t="s">
        <v>46</v>
      </c>
      <c r="C39" s="50">
        <v>320.14</v>
      </c>
      <c r="D39" s="50" t="s">
        <v>47</v>
      </c>
      <c r="E39" s="49">
        <f>ROUND(C38*(C39/1000),2)</f>
        <v>0</v>
      </c>
      <c r="F39" s="50" t="s">
        <v>48</v>
      </c>
      <c r="G39" s="50">
        <f>G$23</f>
        <v>10</v>
      </c>
      <c r="H39" s="52" t="s">
        <v>49</v>
      </c>
      <c r="I39" s="53">
        <f>E39*G39</f>
        <v>0</v>
      </c>
      <c r="J39" s="255"/>
      <c r="K39" s="255"/>
      <c r="L39" s="255"/>
      <c r="M39" s="255"/>
      <c r="N39" s="73" t="s">
        <v>66</v>
      </c>
    </row>
    <row r="40" spans="2:14" ht="18" customHeight="1" thickBot="1">
      <c r="B40" s="48" t="s">
        <v>50</v>
      </c>
      <c r="C40" s="50">
        <v>156.99</v>
      </c>
      <c r="D40" s="50" t="s">
        <v>51</v>
      </c>
      <c r="E40" s="49">
        <f>ROUND(C38*(C40/1000),2)</f>
        <v>0</v>
      </c>
      <c r="F40" s="50" t="s">
        <v>48</v>
      </c>
      <c r="G40" s="50">
        <f>G$24</f>
        <v>10</v>
      </c>
      <c r="H40" s="52" t="s">
        <v>49</v>
      </c>
      <c r="I40" s="53">
        <f>E40*G40</f>
        <v>0</v>
      </c>
      <c r="J40" s="255"/>
      <c r="K40" s="255"/>
      <c r="L40" s="255"/>
      <c r="M40" s="255"/>
      <c r="N40" s="74" t="s">
        <v>67</v>
      </c>
    </row>
    <row r="41" spans="2:14" ht="18" customHeight="1" thickBot="1">
      <c r="B41" s="23" t="s">
        <v>36</v>
      </c>
      <c r="C41" s="252" t="s">
        <v>14</v>
      </c>
      <c r="D41" s="252" t="s">
        <v>37</v>
      </c>
      <c r="E41" s="252" t="s">
        <v>38</v>
      </c>
      <c r="F41" s="252" t="s">
        <v>39</v>
      </c>
      <c r="G41" s="252" t="s">
        <v>8</v>
      </c>
      <c r="H41" s="252" t="s">
        <v>22</v>
      </c>
      <c r="I41" s="25" t="s">
        <v>40</v>
      </c>
      <c r="J41" s="54" t="s">
        <v>2</v>
      </c>
      <c r="K41" s="55" t="s">
        <v>3</v>
      </c>
      <c r="L41" s="55" t="s">
        <v>61</v>
      </c>
      <c r="M41" s="55" t="s">
        <v>62</v>
      </c>
      <c r="N41" s="70" t="s">
        <v>14</v>
      </c>
    </row>
    <row r="42" spans="2:14" ht="18" customHeight="1">
      <c r="B42" s="648" t="s">
        <v>68</v>
      </c>
      <c r="C42" s="649" t="s">
        <v>69</v>
      </c>
      <c r="D42" s="253">
        <f>J42-IF(L42=1,46,IF(L42=2,34.5,IF(L42=3,23)))</f>
        <v>0</v>
      </c>
      <c r="E42" s="253">
        <f>K42-IF(M42=1,46,IF(M42=2,34.5,IF(M42=3,23)))</f>
        <v>0</v>
      </c>
      <c r="F42" s="250">
        <f t="shared" ref="F42:F47" si="6">ROUND((D42+E42)*2/1000,4)</f>
        <v>0</v>
      </c>
      <c r="G42" s="250"/>
      <c r="H42" s="250">
        <v>1.26</v>
      </c>
      <c r="I42" s="59">
        <f t="shared" ref="I42:I47" si="7">ROUND(F42*G42*H42,3)</f>
        <v>0</v>
      </c>
      <c r="J42" s="60"/>
      <c r="K42" s="61"/>
      <c r="L42" s="61"/>
      <c r="M42" s="61"/>
      <c r="N42" s="71" t="s">
        <v>56</v>
      </c>
    </row>
    <row r="43" spans="2:14" ht="18" customHeight="1">
      <c r="B43" s="648"/>
      <c r="C43" s="650"/>
      <c r="D43" s="253">
        <f t="shared" ref="D43:E47" si="8">J43-IF(L43=1,46,IF(L43=2,34.5,IF(L43=3,23)))</f>
        <v>0</v>
      </c>
      <c r="E43" s="253">
        <f t="shared" si="8"/>
        <v>0</v>
      </c>
      <c r="F43" s="250">
        <f t="shared" si="6"/>
        <v>0</v>
      </c>
      <c r="G43" s="250"/>
      <c r="H43" s="250">
        <f>H42</f>
        <v>1.26</v>
      </c>
      <c r="I43" s="59">
        <f t="shared" si="7"/>
        <v>0</v>
      </c>
      <c r="J43" s="60"/>
      <c r="K43" s="61"/>
      <c r="L43" s="61"/>
      <c r="M43" s="61"/>
      <c r="N43" s="72" t="s">
        <v>58</v>
      </c>
    </row>
    <row r="44" spans="2:14" ht="18" customHeight="1">
      <c r="B44" s="648"/>
      <c r="C44" s="651"/>
      <c r="D44" s="253">
        <f t="shared" si="8"/>
        <v>0</v>
      </c>
      <c r="E44" s="253">
        <f t="shared" si="8"/>
        <v>0</v>
      </c>
      <c r="F44" s="250">
        <f t="shared" si="6"/>
        <v>0</v>
      </c>
      <c r="G44" s="250"/>
      <c r="H44" s="250">
        <f>H43</f>
        <v>1.26</v>
      </c>
      <c r="I44" s="59">
        <f t="shared" si="7"/>
        <v>0</v>
      </c>
      <c r="J44" s="60"/>
      <c r="K44" s="61"/>
      <c r="L44" s="61"/>
      <c r="M44" s="61"/>
      <c r="N44" s="72" t="s">
        <v>60</v>
      </c>
    </row>
    <row r="45" spans="2:14" ht="18" customHeight="1">
      <c r="B45" s="648"/>
      <c r="C45" s="649" t="s">
        <v>70</v>
      </c>
      <c r="D45" s="253">
        <f t="shared" si="8"/>
        <v>0</v>
      </c>
      <c r="E45" s="253">
        <f t="shared" si="8"/>
        <v>0</v>
      </c>
      <c r="F45" s="250">
        <f t="shared" si="6"/>
        <v>0</v>
      </c>
      <c r="G45" s="250"/>
      <c r="H45" s="250">
        <f>H44</f>
        <v>1.26</v>
      </c>
      <c r="I45" s="59">
        <f t="shared" si="7"/>
        <v>0</v>
      </c>
      <c r="J45" s="60"/>
      <c r="K45" s="61"/>
      <c r="L45" s="61"/>
      <c r="M45" s="61"/>
      <c r="N45" s="71" t="s">
        <v>56</v>
      </c>
    </row>
    <row r="46" spans="2:14" ht="18" customHeight="1">
      <c r="B46" s="648"/>
      <c r="C46" s="650"/>
      <c r="D46" s="253">
        <f t="shared" si="8"/>
        <v>0</v>
      </c>
      <c r="E46" s="253">
        <f t="shared" si="8"/>
        <v>0</v>
      </c>
      <c r="F46" s="250">
        <f t="shared" si="6"/>
        <v>0</v>
      </c>
      <c r="G46" s="250"/>
      <c r="H46" s="250">
        <f>H45</f>
        <v>1.26</v>
      </c>
      <c r="I46" s="59">
        <f t="shared" si="7"/>
        <v>0</v>
      </c>
      <c r="J46" s="60"/>
      <c r="K46" s="61"/>
      <c r="L46" s="61"/>
      <c r="M46" s="61"/>
      <c r="N46" s="72" t="s">
        <v>58</v>
      </c>
    </row>
    <row r="47" spans="2:14" ht="18" customHeight="1" thickBot="1">
      <c r="B47" s="648"/>
      <c r="C47" s="651"/>
      <c r="D47" s="253">
        <f t="shared" si="8"/>
        <v>0</v>
      </c>
      <c r="E47" s="253">
        <f t="shared" si="8"/>
        <v>0</v>
      </c>
      <c r="F47" s="250">
        <f t="shared" si="6"/>
        <v>0</v>
      </c>
      <c r="G47" s="250"/>
      <c r="H47" s="250">
        <f>H46</f>
        <v>1.26</v>
      </c>
      <c r="I47" s="59">
        <f t="shared" si="7"/>
        <v>0</v>
      </c>
      <c r="J47" s="64"/>
      <c r="K47" s="65"/>
      <c r="L47" s="65"/>
      <c r="M47" s="65"/>
      <c r="N47" s="75" t="s">
        <v>60</v>
      </c>
    </row>
    <row r="48" spans="2:14" ht="18" customHeight="1">
      <c r="B48" s="48" t="s">
        <v>42</v>
      </c>
      <c r="C48" s="49">
        <f>SUMPRODUCT(F42:F47*G42:G47)</f>
        <v>0</v>
      </c>
      <c r="D48" s="50" t="s">
        <v>43</v>
      </c>
      <c r="E48" s="49">
        <f>SUM(I42:I47)*1.1</f>
        <v>0</v>
      </c>
      <c r="F48" s="50" t="s">
        <v>44</v>
      </c>
      <c r="G48" s="51">
        <f>(C$218+C$219)/1000</f>
        <v>46.081499999999998</v>
      </c>
      <c r="H48" s="52" t="s">
        <v>45</v>
      </c>
      <c r="I48" s="53">
        <f>ROUND(E48*G48,2)</f>
        <v>0</v>
      </c>
      <c r="J48" s="243">
        <f>SUM(G42:G47)</f>
        <v>0</v>
      </c>
      <c r="K48" s="255"/>
      <c r="L48" s="255"/>
      <c r="M48" s="255"/>
    </row>
    <row r="49" spans="2:14" ht="18" customHeight="1">
      <c r="B49" s="48" t="s">
        <v>46</v>
      </c>
      <c r="C49" s="50">
        <v>132.47999999999999</v>
      </c>
      <c r="D49" s="50" t="s">
        <v>47</v>
      </c>
      <c r="E49" s="49">
        <f>ROUND(C48*(C49/1000),2)</f>
        <v>0</v>
      </c>
      <c r="F49" s="50" t="s">
        <v>48</v>
      </c>
      <c r="G49" s="50">
        <f>G$23</f>
        <v>10</v>
      </c>
      <c r="H49" s="52" t="s">
        <v>49</v>
      </c>
      <c r="I49" s="53">
        <f>E49*G49</f>
        <v>0</v>
      </c>
      <c r="J49" s="255"/>
      <c r="K49" s="255"/>
      <c r="L49" s="255"/>
      <c r="M49" s="255"/>
    </row>
    <row r="50" spans="2:14" ht="18" customHeight="1" thickBot="1">
      <c r="B50" s="48" t="s">
        <v>50</v>
      </c>
      <c r="C50" s="50">
        <v>202.06</v>
      </c>
      <c r="D50" s="50" t="s">
        <v>51</v>
      </c>
      <c r="E50" s="49">
        <f>ROUND(C48*(C50/1000),2)</f>
        <v>0</v>
      </c>
      <c r="F50" s="50" t="s">
        <v>48</v>
      </c>
      <c r="G50" s="50">
        <f>G$24</f>
        <v>10</v>
      </c>
      <c r="H50" s="52" t="s">
        <v>49</v>
      </c>
      <c r="I50" s="53">
        <f>E50*G50</f>
        <v>0</v>
      </c>
      <c r="J50" s="255"/>
    </row>
    <row r="51" spans="2:14" ht="18" customHeight="1" thickBot="1">
      <c r="B51" s="23" t="s">
        <v>36</v>
      </c>
      <c r="C51" s="252" t="s">
        <v>14</v>
      </c>
      <c r="D51" s="252" t="s">
        <v>37</v>
      </c>
      <c r="E51" s="252" t="s">
        <v>71</v>
      </c>
      <c r="F51" s="252" t="s">
        <v>38</v>
      </c>
      <c r="G51" s="252" t="s">
        <v>72</v>
      </c>
      <c r="H51" s="252" t="s">
        <v>22</v>
      </c>
      <c r="I51" s="25" t="s">
        <v>40</v>
      </c>
      <c r="J51" s="54" t="s">
        <v>2</v>
      </c>
      <c r="K51" s="55" t="s">
        <v>3</v>
      </c>
      <c r="L51" s="55" t="s">
        <v>61</v>
      </c>
      <c r="M51" s="55" t="s">
        <v>62</v>
      </c>
      <c r="N51" s="70" t="s">
        <v>14</v>
      </c>
    </row>
    <row r="52" spans="2:14" ht="18" customHeight="1">
      <c r="B52" s="648" t="s">
        <v>73</v>
      </c>
      <c r="C52" s="649" t="s">
        <v>405</v>
      </c>
      <c r="D52" s="253">
        <f>J52-IF(L52=1,46,IF(L52=2,32,IF(L52=3,18,0)))</f>
        <v>0</v>
      </c>
      <c r="E52" s="253"/>
      <c r="F52" s="253">
        <f>K52-IF(M52=1,46,IF(M52=2,32,IF(M52=3,118,0)))</f>
        <v>0</v>
      </c>
      <c r="G52" s="250"/>
      <c r="H52" s="250">
        <v>1.6379999999999999</v>
      </c>
      <c r="I52" s="59">
        <f>ROUND((D52*E52+F52*G52)/1000*H52,3)</f>
        <v>0</v>
      </c>
      <c r="J52" s="60"/>
      <c r="K52" s="61"/>
      <c r="L52" s="61"/>
      <c r="M52" s="61"/>
      <c r="N52" s="76" t="s">
        <v>56</v>
      </c>
    </row>
    <row r="53" spans="2:14" ht="18" customHeight="1">
      <c r="B53" s="648"/>
      <c r="C53" s="650"/>
      <c r="D53" s="253">
        <f t="shared" ref="D53:D55" si="9">J53-IF(L53=1,46,IF(L53=2,32,IF(L53=3,18,0)))</f>
        <v>0</v>
      </c>
      <c r="E53" s="253"/>
      <c r="F53" s="253">
        <f t="shared" ref="F53:F55" si="10">K53-IF(M53=1,46,IF(M53=2,32,IF(M53=3,118,0)))</f>
        <v>0</v>
      </c>
      <c r="G53" s="250"/>
      <c r="H53" s="250">
        <f>H52</f>
        <v>1.6379999999999999</v>
      </c>
      <c r="I53" s="59">
        <f>ROUND((D53*E53+F53*G53)/1000*H53,3)</f>
        <v>0</v>
      </c>
      <c r="J53" s="60"/>
      <c r="K53" s="61"/>
      <c r="L53" s="61"/>
      <c r="M53" s="61"/>
      <c r="N53" s="76" t="s">
        <v>58</v>
      </c>
    </row>
    <row r="54" spans="2:14" ht="18" customHeight="1">
      <c r="B54" s="648"/>
      <c r="C54" s="650"/>
      <c r="D54" s="253">
        <f t="shared" si="9"/>
        <v>0</v>
      </c>
      <c r="E54" s="253"/>
      <c r="F54" s="253">
        <f t="shared" si="10"/>
        <v>0</v>
      </c>
      <c r="G54" s="250"/>
      <c r="H54" s="250">
        <f>H53</f>
        <v>1.6379999999999999</v>
      </c>
      <c r="I54" s="59">
        <f>ROUND((D54*E54+F54*G54)/1000*H54,3)</f>
        <v>0</v>
      </c>
      <c r="J54" s="60"/>
      <c r="K54" s="61"/>
      <c r="L54" s="61"/>
      <c r="M54" s="61"/>
      <c r="N54" s="76" t="s">
        <v>60</v>
      </c>
    </row>
    <row r="55" spans="2:14" ht="18" customHeight="1" thickBot="1">
      <c r="B55" s="648"/>
      <c r="C55" s="651"/>
      <c r="D55" s="253">
        <f t="shared" si="9"/>
        <v>0</v>
      </c>
      <c r="E55" s="253"/>
      <c r="F55" s="253">
        <f t="shared" si="10"/>
        <v>0</v>
      </c>
      <c r="G55" s="250"/>
      <c r="H55" s="77">
        <f>H54</f>
        <v>1.6379999999999999</v>
      </c>
      <c r="I55" s="59">
        <f>ROUND((D55*E55+F55*G55)/1000*H55,3)</f>
        <v>0</v>
      </c>
      <c r="J55" s="78"/>
      <c r="K55" s="79"/>
      <c r="L55" s="79"/>
      <c r="M55" s="79"/>
      <c r="N55" s="80"/>
    </row>
    <row r="56" spans="2:14" ht="18" customHeight="1">
      <c r="B56" s="48" t="s">
        <v>42</v>
      </c>
      <c r="C56" s="49">
        <f>SUMPRODUCT(D52:D55*E52:E55+F52:F55*G52:G55)/1000</f>
        <v>0</v>
      </c>
      <c r="D56" s="50" t="s">
        <v>43</v>
      </c>
      <c r="E56" s="49">
        <f>SUM(I52:I55)*1.1</f>
        <v>0</v>
      </c>
      <c r="F56" s="50" t="s">
        <v>44</v>
      </c>
      <c r="G56" s="51">
        <f>(C$218+C$219)/1000</f>
        <v>46.081499999999998</v>
      </c>
      <c r="H56" s="52" t="s">
        <v>45</v>
      </c>
      <c r="I56" s="53">
        <f>ROUND(E56*G56,2)</f>
        <v>0</v>
      </c>
      <c r="J56" s="243">
        <f>SUM(E52:E55)+SUM(G52:G55)</f>
        <v>0</v>
      </c>
    </row>
    <row r="57" spans="2:14" ht="18" customHeight="1">
      <c r="B57" s="48" t="s">
        <v>46</v>
      </c>
      <c r="C57" s="50">
        <v>265.52999999999997</v>
      </c>
      <c r="D57" s="50" t="s">
        <v>47</v>
      </c>
      <c r="E57" s="49">
        <f>ROUND(C56*(C57/1000),2)</f>
        <v>0</v>
      </c>
      <c r="F57" s="50" t="s">
        <v>48</v>
      </c>
      <c r="G57" s="50">
        <f>G$23</f>
        <v>10</v>
      </c>
      <c r="H57" s="52" t="s">
        <v>49</v>
      </c>
      <c r="I57" s="53">
        <f>E57*G57</f>
        <v>0</v>
      </c>
      <c r="L57" s="47"/>
    </row>
    <row r="58" spans="2:14" ht="18" customHeight="1">
      <c r="B58" s="48" t="s">
        <v>50</v>
      </c>
      <c r="C58" s="50">
        <v>173.62</v>
      </c>
      <c r="D58" s="50" t="s">
        <v>51</v>
      </c>
      <c r="E58" s="49">
        <f>ROUND(C56*(C58/1000),2)</f>
        <v>0</v>
      </c>
      <c r="F58" s="50" t="s">
        <v>48</v>
      </c>
      <c r="G58" s="50">
        <f>G$24</f>
        <v>10</v>
      </c>
      <c r="H58" s="52" t="s">
        <v>49</v>
      </c>
      <c r="I58" s="53">
        <f>E58*G58</f>
        <v>0</v>
      </c>
      <c r="L58" s="47"/>
    </row>
    <row r="59" spans="2:14" ht="18" customHeight="1">
      <c r="B59" s="23" t="s">
        <v>36</v>
      </c>
      <c r="C59" s="252" t="s">
        <v>14</v>
      </c>
      <c r="D59" s="652" t="s">
        <v>74</v>
      </c>
      <c r="E59" s="652"/>
      <c r="F59" s="652"/>
      <c r="G59" s="252" t="s">
        <v>75</v>
      </c>
      <c r="H59" s="252" t="s">
        <v>22</v>
      </c>
      <c r="I59" s="25" t="s">
        <v>40</v>
      </c>
      <c r="L59" s="47"/>
    </row>
    <row r="60" spans="2:14" ht="18" customHeight="1">
      <c r="B60" s="648" t="s">
        <v>76</v>
      </c>
      <c r="C60" s="649" t="s">
        <v>77</v>
      </c>
      <c r="D60" s="646"/>
      <c r="E60" s="646"/>
      <c r="F60" s="646"/>
      <c r="G60" s="250"/>
      <c r="H60" s="250">
        <v>1.9339999999999999</v>
      </c>
      <c r="I60" s="59">
        <f>ROUND(D60*G60*H60/1000,3)</f>
        <v>0</v>
      </c>
      <c r="L60" s="47"/>
    </row>
    <row r="61" spans="2:14" ht="18" customHeight="1">
      <c r="B61" s="648"/>
      <c r="C61" s="651"/>
      <c r="D61" s="646"/>
      <c r="E61" s="646"/>
      <c r="F61" s="646"/>
      <c r="G61" s="250"/>
      <c r="H61" s="250">
        <v>1.9339999999999999</v>
      </c>
      <c r="I61" s="59">
        <f>ROUND(D61*G61*H61/1000,3)</f>
        <v>0</v>
      </c>
    </row>
    <row r="62" spans="2:14" ht="18" customHeight="1">
      <c r="B62" s="648"/>
      <c r="C62" s="649" t="s">
        <v>78</v>
      </c>
      <c r="D62" s="646"/>
      <c r="E62" s="646"/>
      <c r="F62" s="646"/>
      <c r="G62" s="250"/>
      <c r="H62" s="250">
        <v>2.3130000000000002</v>
      </c>
      <c r="I62" s="59">
        <f>ROUND(D62*G62*H62/1000,3)</f>
        <v>0</v>
      </c>
    </row>
    <row r="63" spans="2:14" ht="18" customHeight="1">
      <c r="B63" s="648"/>
      <c r="C63" s="651"/>
      <c r="D63" s="646"/>
      <c r="E63" s="646"/>
      <c r="F63" s="646"/>
      <c r="G63" s="250"/>
      <c r="H63" s="250">
        <v>2.3130000000000002</v>
      </c>
      <c r="I63" s="59">
        <f>ROUND(D63*G63*H63/1000,3)</f>
        <v>0</v>
      </c>
    </row>
    <row r="64" spans="2:14" ht="18" customHeight="1">
      <c r="B64" s="48" t="s">
        <v>42</v>
      </c>
      <c r="C64" s="49">
        <f>SUMPRODUCT(D60:F63*G60:G63)/1000</f>
        <v>0</v>
      </c>
      <c r="D64" s="50" t="s">
        <v>43</v>
      </c>
      <c r="E64" s="49">
        <f>SUM(I60:I63)*1.1</f>
        <v>0</v>
      </c>
      <c r="F64" s="50" t="s">
        <v>44</v>
      </c>
      <c r="G64" s="51">
        <f>(C$218+C$219)/1000</f>
        <v>46.081499999999998</v>
      </c>
      <c r="H64" s="52" t="s">
        <v>45</v>
      </c>
      <c r="I64" s="53">
        <f>ROUND(E64*G64,2)</f>
        <v>0</v>
      </c>
      <c r="J64" s="43">
        <f>SUM(G60:G63)</f>
        <v>0</v>
      </c>
    </row>
    <row r="65" spans="2:14" ht="18" customHeight="1">
      <c r="B65" s="48" t="s">
        <v>46</v>
      </c>
      <c r="C65" s="50">
        <v>337.92</v>
      </c>
      <c r="D65" s="50" t="s">
        <v>47</v>
      </c>
      <c r="E65" s="49">
        <f>ROUND(C64*(C65/1000),2)</f>
        <v>0</v>
      </c>
      <c r="F65" s="50" t="s">
        <v>48</v>
      </c>
      <c r="G65" s="50">
        <f>G$23</f>
        <v>10</v>
      </c>
      <c r="H65" s="52" t="s">
        <v>49</v>
      </c>
      <c r="I65" s="53">
        <f>E65*G65</f>
        <v>0</v>
      </c>
    </row>
    <row r="66" spans="2:14" ht="18" customHeight="1" thickBot="1">
      <c r="B66" s="48" t="s">
        <v>50</v>
      </c>
      <c r="C66" s="50">
        <v>175.93</v>
      </c>
      <c r="D66" s="50" t="s">
        <v>51</v>
      </c>
      <c r="E66" s="49">
        <f>ROUND(C64*(C66/1000),2)</f>
        <v>0</v>
      </c>
      <c r="F66" s="50" t="s">
        <v>48</v>
      </c>
      <c r="G66" s="50">
        <f>G$24</f>
        <v>10</v>
      </c>
      <c r="H66" s="52" t="s">
        <v>49</v>
      </c>
      <c r="I66" s="53">
        <f>E66*G66</f>
        <v>0</v>
      </c>
    </row>
    <row r="67" spans="2:14" ht="18" customHeight="1" thickBot="1">
      <c r="B67" s="23" t="s">
        <v>36</v>
      </c>
      <c r="C67" s="252" t="s">
        <v>14</v>
      </c>
      <c r="D67" s="252" t="s">
        <v>37</v>
      </c>
      <c r="E67" s="252" t="s">
        <v>38</v>
      </c>
      <c r="F67" s="252" t="s">
        <v>39</v>
      </c>
      <c r="G67" s="252" t="s">
        <v>8</v>
      </c>
      <c r="H67" s="252" t="s">
        <v>22</v>
      </c>
      <c r="I67" s="25" t="s">
        <v>40</v>
      </c>
      <c r="J67" s="54" t="s">
        <v>2</v>
      </c>
      <c r="K67" s="55" t="s">
        <v>3</v>
      </c>
      <c r="L67" s="55" t="s">
        <v>52</v>
      </c>
      <c r="M67" s="55" t="s">
        <v>53</v>
      </c>
      <c r="N67" s="70" t="s">
        <v>14</v>
      </c>
    </row>
    <row r="68" spans="2:14" ht="18" customHeight="1">
      <c r="B68" s="648" t="s">
        <v>79</v>
      </c>
      <c r="C68" s="649" t="s">
        <v>323</v>
      </c>
      <c r="D68" s="81">
        <f>J68-IF(L68=1,72,IF(L68=2,54,IF(L68=3,26,IF(L68=11,102.8,IF(L68=12,88.8,IF(L68=13,74.8,0))))))</f>
        <v>1848</v>
      </c>
      <c r="E68" s="81">
        <f>K68-IF(M68=1,72,IF(M68=2,24,IF(M68=3,26,IF(M68=11,102.8,IF(M68=12,88.8,IF(M68=13,74.8,0))))))</f>
        <v>928</v>
      </c>
      <c r="F68" s="81">
        <f>2*(D68+E68)/1000</f>
        <v>5.5519999999999996</v>
      </c>
      <c r="G68" s="82">
        <v>1</v>
      </c>
      <c r="H68" s="250">
        <v>0.224</v>
      </c>
      <c r="I68" s="283">
        <f>ROUND(F68*G68*H68,3)*1.5</f>
        <v>1.8660000000000001</v>
      </c>
      <c r="J68" s="83">
        <f>D14</f>
        <v>1920</v>
      </c>
      <c r="K68" s="83">
        <f>E14</f>
        <v>1000</v>
      </c>
      <c r="L68" s="84">
        <v>1</v>
      </c>
      <c r="M68" s="84">
        <v>1</v>
      </c>
      <c r="N68" s="71" t="s">
        <v>56</v>
      </c>
    </row>
    <row r="69" spans="2:14" ht="18" customHeight="1">
      <c r="B69" s="648"/>
      <c r="C69" s="650"/>
      <c r="D69" s="81">
        <f t="shared" ref="D69:D87" si="11">J69-IF(L69=1,72,IF(L69=2,54,IF(L69=3,26,IF(L69=11,102.8,IF(L69=12,88.8,IF(L69=13,74.8,0))))))</f>
        <v>0</v>
      </c>
      <c r="E69" s="81">
        <f t="shared" ref="E69:E87" si="12">K69-IF(M69=1,72,IF(M69=2,24,IF(M69=3,26,IF(M69=11,102.8,IF(M69=12,88.8,IF(M69=13,74.8,0))))))</f>
        <v>0</v>
      </c>
      <c r="F69" s="81">
        <f t="shared" ref="F69:F87" si="13">2*(D69+E69)/1000</f>
        <v>0</v>
      </c>
      <c r="G69" s="82"/>
      <c r="H69" s="250">
        <f>H68</f>
        <v>0.224</v>
      </c>
      <c r="I69" s="59">
        <f t="shared" ref="I69:I87" si="14">ROUND(F69*G69*H69,3)</f>
        <v>0</v>
      </c>
      <c r="J69" s="83"/>
      <c r="K69" s="84"/>
      <c r="L69" s="84"/>
      <c r="M69" s="84"/>
      <c r="N69" s="72" t="s">
        <v>58</v>
      </c>
    </row>
    <row r="70" spans="2:14" ht="18" customHeight="1">
      <c r="B70" s="648"/>
      <c r="C70" s="650"/>
      <c r="D70" s="81">
        <f t="shared" si="11"/>
        <v>0</v>
      </c>
      <c r="E70" s="81">
        <f t="shared" si="12"/>
        <v>0</v>
      </c>
      <c r="F70" s="81">
        <f t="shared" si="13"/>
        <v>0</v>
      </c>
      <c r="G70" s="82"/>
      <c r="H70" s="250">
        <f>H69</f>
        <v>0.224</v>
      </c>
      <c r="I70" s="59">
        <f t="shared" si="14"/>
        <v>0</v>
      </c>
      <c r="J70" s="83"/>
      <c r="K70" s="84"/>
      <c r="L70" s="84"/>
      <c r="M70" s="84"/>
      <c r="N70" s="72" t="s">
        <v>60</v>
      </c>
    </row>
    <row r="71" spans="2:14" ht="18" customHeight="1">
      <c r="B71" s="648"/>
      <c r="C71" s="650"/>
      <c r="D71" s="81">
        <f t="shared" si="11"/>
        <v>0</v>
      </c>
      <c r="E71" s="81">
        <f t="shared" si="12"/>
        <v>0</v>
      </c>
      <c r="F71" s="81">
        <f t="shared" si="13"/>
        <v>0</v>
      </c>
      <c r="G71" s="82"/>
      <c r="H71" s="77">
        <f>H70</f>
        <v>0.224</v>
      </c>
      <c r="I71" s="59">
        <f t="shared" si="14"/>
        <v>0</v>
      </c>
      <c r="J71" s="85"/>
      <c r="K71" s="86"/>
      <c r="L71" s="86"/>
      <c r="M71" s="86"/>
      <c r="N71" s="72" t="s">
        <v>65</v>
      </c>
    </row>
    <row r="72" spans="2:14" ht="18" customHeight="1">
      <c r="B72" s="648"/>
      <c r="C72" s="650"/>
      <c r="D72" s="81">
        <f t="shared" si="11"/>
        <v>0</v>
      </c>
      <c r="E72" s="81">
        <f t="shared" si="12"/>
        <v>0</v>
      </c>
      <c r="F72" s="81">
        <f t="shared" si="13"/>
        <v>0</v>
      </c>
      <c r="G72" s="82"/>
      <c r="H72" s="77">
        <f>H71</f>
        <v>0.224</v>
      </c>
      <c r="I72" s="87">
        <f t="shared" si="14"/>
        <v>0</v>
      </c>
      <c r="J72" s="85"/>
      <c r="K72" s="86"/>
      <c r="L72" s="86"/>
      <c r="M72" s="86"/>
      <c r="N72" s="72" t="s">
        <v>66</v>
      </c>
    </row>
    <row r="73" spans="2:14" ht="18" customHeight="1">
      <c r="B73" s="648"/>
      <c r="C73" s="650"/>
      <c r="D73" s="81">
        <f t="shared" si="11"/>
        <v>0</v>
      </c>
      <c r="E73" s="81">
        <f t="shared" si="12"/>
        <v>0</v>
      </c>
      <c r="F73" s="81">
        <f t="shared" si="13"/>
        <v>0</v>
      </c>
      <c r="G73" s="82"/>
      <c r="H73" s="250">
        <f>H70</f>
        <v>0.224</v>
      </c>
      <c r="I73" s="87">
        <f t="shared" si="14"/>
        <v>0</v>
      </c>
      <c r="J73" s="83"/>
      <c r="K73" s="84"/>
      <c r="L73" s="84"/>
      <c r="M73" s="84"/>
      <c r="N73" s="72" t="s">
        <v>67</v>
      </c>
    </row>
    <row r="74" spans="2:14" ht="18" customHeight="1">
      <c r="B74" s="648"/>
      <c r="C74" s="651"/>
      <c r="D74" s="81">
        <f t="shared" si="11"/>
        <v>0</v>
      </c>
      <c r="E74" s="81">
        <f t="shared" si="12"/>
        <v>0</v>
      </c>
      <c r="F74" s="81">
        <f t="shared" si="13"/>
        <v>0</v>
      </c>
      <c r="G74" s="82"/>
      <c r="H74" s="250">
        <f>H73</f>
        <v>0.224</v>
      </c>
      <c r="I74" s="87">
        <f t="shared" si="14"/>
        <v>0</v>
      </c>
      <c r="J74" s="83"/>
      <c r="K74" s="84"/>
      <c r="L74" s="84"/>
      <c r="M74" s="84"/>
      <c r="N74" s="88"/>
    </row>
    <row r="75" spans="2:14" ht="18" customHeight="1">
      <c r="B75" s="648"/>
      <c r="C75" s="649" t="s">
        <v>324</v>
      </c>
      <c r="D75" s="89">
        <f t="shared" si="11"/>
        <v>0</v>
      </c>
      <c r="E75" s="89">
        <f t="shared" si="12"/>
        <v>0</v>
      </c>
      <c r="F75" s="89">
        <f t="shared" si="13"/>
        <v>0</v>
      </c>
      <c r="G75" s="90"/>
      <c r="H75" s="91">
        <f>H74</f>
        <v>0.224</v>
      </c>
      <c r="I75" s="92">
        <f t="shared" si="14"/>
        <v>0</v>
      </c>
      <c r="J75" s="83"/>
      <c r="K75" s="84"/>
      <c r="L75" s="84"/>
      <c r="M75" s="84"/>
      <c r="N75" s="93" t="s">
        <v>80</v>
      </c>
    </row>
    <row r="76" spans="2:14" ht="18" customHeight="1">
      <c r="B76" s="648"/>
      <c r="C76" s="650"/>
      <c r="D76" s="89">
        <f t="shared" si="11"/>
        <v>0</v>
      </c>
      <c r="E76" s="89">
        <f t="shared" si="12"/>
        <v>0</v>
      </c>
      <c r="F76" s="89">
        <f t="shared" si="13"/>
        <v>0</v>
      </c>
      <c r="G76" s="90"/>
      <c r="H76" s="91">
        <f>H72</f>
        <v>0.224</v>
      </c>
      <c r="I76" s="92">
        <f t="shared" si="14"/>
        <v>0</v>
      </c>
      <c r="J76" s="83"/>
      <c r="K76" s="84"/>
      <c r="L76" s="84"/>
      <c r="M76" s="84"/>
      <c r="N76" s="93" t="s">
        <v>80</v>
      </c>
    </row>
    <row r="77" spans="2:14" ht="18" customHeight="1">
      <c r="B77" s="648"/>
      <c r="C77" s="650"/>
      <c r="D77" s="89">
        <f t="shared" si="11"/>
        <v>0</v>
      </c>
      <c r="E77" s="89">
        <f t="shared" si="12"/>
        <v>0</v>
      </c>
      <c r="F77" s="89">
        <f t="shared" si="13"/>
        <v>0</v>
      </c>
      <c r="G77" s="90"/>
      <c r="H77" s="91">
        <f t="shared" ref="H77:H87" si="15">H76</f>
        <v>0.224</v>
      </c>
      <c r="I77" s="92">
        <f t="shared" si="14"/>
        <v>0</v>
      </c>
      <c r="J77" s="83"/>
      <c r="K77" s="84"/>
      <c r="L77" s="84"/>
      <c r="M77" s="84"/>
      <c r="N77" s="93" t="s">
        <v>80</v>
      </c>
    </row>
    <row r="78" spans="2:14" ht="18" customHeight="1">
      <c r="B78" s="648"/>
      <c r="C78" s="650"/>
      <c r="D78" s="89">
        <f t="shared" si="11"/>
        <v>0</v>
      </c>
      <c r="E78" s="89">
        <f t="shared" si="12"/>
        <v>0</v>
      </c>
      <c r="F78" s="89">
        <f t="shared" si="13"/>
        <v>0</v>
      </c>
      <c r="G78" s="90"/>
      <c r="H78" s="91">
        <f t="shared" si="15"/>
        <v>0.224</v>
      </c>
      <c r="I78" s="92">
        <f t="shared" si="14"/>
        <v>0</v>
      </c>
      <c r="J78" s="83"/>
      <c r="K78" s="84"/>
      <c r="L78" s="84"/>
      <c r="M78" s="84"/>
      <c r="N78" s="93" t="s">
        <v>80</v>
      </c>
    </row>
    <row r="79" spans="2:14" ht="18" customHeight="1">
      <c r="B79" s="648"/>
      <c r="C79" s="650"/>
      <c r="D79" s="89">
        <f t="shared" si="11"/>
        <v>0</v>
      </c>
      <c r="E79" s="89">
        <f t="shared" si="12"/>
        <v>0</v>
      </c>
      <c r="F79" s="89">
        <f t="shared" si="13"/>
        <v>0</v>
      </c>
      <c r="G79" s="90"/>
      <c r="H79" s="91">
        <f t="shared" si="15"/>
        <v>0.224</v>
      </c>
      <c r="I79" s="94">
        <f t="shared" si="14"/>
        <v>0</v>
      </c>
      <c r="J79" s="83"/>
      <c r="K79" s="84"/>
      <c r="L79" s="84"/>
      <c r="M79" s="84"/>
      <c r="N79" s="93" t="s">
        <v>80</v>
      </c>
    </row>
    <row r="80" spans="2:14" ht="18" customHeight="1">
      <c r="B80" s="648"/>
      <c r="C80" s="650"/>
      <c r="D80" s="89">
        <f t="shared" si="11"/>
        <v>0</v>
      </c>
      <c r="E80" s="89">
        <f t="shared" si="12"/>
        <v>0</v>
      </c>
      <c r="F80" s="89">
        <f t="shared" si="13"/>
        <v>0</v>
      </c>
      <c r="G80" s="90"/>
      <c r="H80" s="91">
        <f t="shared" si="15"/>
        <v>0.224</v>
      </c>
      <c r="I80" s="94">
        <f t="shared" si="14"/>
        <v>0</v>
      </c>
      <c r="J80" s="83"/>
      <c r="K80" s="84"/>
      <c r="L80" s="84"/>
      <c r="M80" s="84"/>
      <c r="N80" s="93" t="s">
        <v>80</v>
      </c>
    </row>
    <row r="81" spans="2:14" ht="18" customHeight="1">
      <c r="B81" s="648"/>
      <c r="C81" s="651"/>
      <c r="D81" s="89">
        <f t="shared" si="11"/>
        <v>0</v>
      </c>
      <c r="E81" s="89">
        <f t="shared" si="12"/>
        <v>0</v>
      </c>
      <c r="F81" s="89">
        <f t="shared" si="13"/>
        <v>0</v>
      </c>
      <c r="G81" s="90"/>
      <c r="H81" s="91">
        <f t="shared" si="15"/>
        <v>0.224</v>
      </c>
      <c r="I81" s="94">
        <f t="shared" si="14"/>
        <v>0</v>
      </c>
      <c r="J81" s="95"/>
      <c r="K81" s="96"/>
      <c r="L81" s="96"/>
      <c r="M81" s="96"/>
      <c r="N81" s="93" t="s">
        <v>81</v>
      </c>
    </row>
    <row r="82" spans="2:14" ht="18" customHeight="1">
      <c r="B82" s="648"/>
      <c r="C82" s="639" t="s">
        <v>325</v>
      </c>
      <c r="D82" s="81">
        <f t="shared" si="11"/>
        <v>0</v>
      </c>
      <c r="E82" s="81">
        <f t="shared" si="12"/>
        <v>0</v>
      </c>
      <c r="F82" s="81">
        <f t="shared" si="13"/>
        <v>0</v>
      </c>
      <c r="G82" s="82"/>
      <c r="H82" s="250">
        <f t="shared" si="15"/>
        <v>0.224</v>
      </c>
      <c r="I82" s="59">
        <f t="shared" si="14"/>
        <v>0</v>
      </c>
      <c r="J82" s="83"/>
      <c r="K82" s="84"/>
      <c r="L82" s="84"/>
      <c r="M82" s="84"/>
      <c r="N82" s="88"/>
    </row>
    <row r="83" spans="2:14" ht="18" customHeight="1">
      <c r="B83" s="648"/>
      <c r="C83" s="645"/>
      <c r="D83" s="81">
        <f t="shared" si="11"/>
        <v>0</v>
      </c>
      <c r="E83" s="81">
        <f t="shared" si="12"/>
        <v>0</v>
      </c>
      <c r="F83" s="81">
        <f t="shared" si="13"/>
        <v>0</v>
      </c>
      <c r="G83" s="82"/>
      <c r="H83" s="250">
        <f t="shared" si="15"/>
        <v>0.224</v>
      </c>
      <c r="I83" s="59">
        <f t="shared" si="14"/>
        <v>0</v>
      </c>
      <c r="J83" s="83"/>
      <c r="K83" s="84"/>
      <c r="L83" s="84"/>
      <c r="M83" s="84"/>
      <c r="N83" s="88"/>
    </row>
    <row r="84" spans="2:14" ht="18" customHeight="1">
      <c r="B84" s="648"/>
      <c r="C84" s="645"/>
      <c r="D84" s="81">
        <f t="shared" si="11"/>
        <v>0</v>
      </c>
      <c r="E84" s="81">
        <f t="shared" si="12"/>
        <v>0</v>
      </c>
      <c r="F84" s="81">
        <f t="shared" si="13"/>
        <v>0</v>
      </c>
      <c r="G84" s="82"/>
      <c r="H84" s="250">
        <f t="shared" si="15"/>
        <v>0.224</v>
      </c>
      <c r="I84" s="59">
        <f t="shared" si="14"/>
        <v>0</v>
      </c>
      <c r="J84" s="83"/>
      <c r="K84" s="84"/>
      <c r="L84" s="84"/>
      <c r="M84" s="84"/>
      <c r="N84" s="76"/>
    </row>
    <row r="85" spans="2:14" ht="18" customHeight="1">
      <c r="B85" s="648"/>
      <c r="C85" s="645"/>
      <c r="D85" s="81">
        <f t="shared" si="11"/>
        <v>0</v>
      </c>
      <c r="E85" s="81">
        <f t="shared" si="12"/>
        <v>0</v>
      </c>
      <c r="F85" s="81">
        <f t="shared" si="13"/>
        <v>0</v>
      </c>
      <c r="G85" s="82"/>
      <c r="H85" s="250">
        <f t="shared" si="15"/>
        <v>0.224</v>
      </c>
      <c r="I85" s="59">
        <f t="shared" si="14"/>
        <v>0</v>
      </c>
      <c r="J85" s="83"/>
      <c r="K85" s="84"/>
      <c r="L85" s="84"/>
      <c r="M85" s="84"/>
      <c r="N85" s="76"/>
    </row>
    <row r="86" spans="2:14" ht="18" customHeight="1">
      <c r="B86" s="648"/>
      <c r="C86" s="645"/>
      <c r="D86" s="81">
        <f t="shared" si="11"/>
        <v>0</v>
      </c>
      <c r="E86" s="81">
        <f t="shared" si="12"/>
        <v>0</v>
      </c>
      <c r="F86" s="81">
        <f t="shared" si="13"/>
        <v>0</v>
      </c>
      <c r="G86" s="82"/>
      <c r="H86" s="250">
        <f t="shared" si="15"/>
        <v>0.224</v>
      </c>
      <c r="I86" s="59">
        <f t="shared" si="14"/>
        <v>0</v>
      </c>
      <c r="J86" s="85"/>
      <c r="K86" s="86"/>
      <c r="L86" s="86"/>
      <c r="M86" s="86"/>
      <c r="N86" s="76"/>
    </row>
    <row r="87" spans="2:14" ht="18" customHeight="1" thickBot="1">
      <c r="B87" s="648"/>
      <c r="C87" s="640"/>
      <c r="D87" s="81">
        <f t="shared" si="11"/>
        <v>0</v>
      </c>
      <c r="E87" s="81">
        <f t="shared" si="12"/>
        <v>0</v>
      </c>
      <c r="F87" s="81">
        <f t="shared" si="13"/>
        <v>0</v>
      </c>
      <c r="G87" s="82"/>
      <c r="H87" s="250">
        <f t="shared" si="15"/>
        <v>0.224</v>
      </c>
      <c r="I87" s="59">
        <f t="shared" si="14"/>
        <v>0</v>
      </c>
      <c r="J87" s="97"/>
      <c r="K87" s="98"/>
      <c r="L87" s="98"/>
      <c r="M87" s="98"/>
      <c r="N87" s="80"/>
    </row>
    <row r="88" spans="2:14" ht="18" customHeight="1">
      <c r="B88" s="48" t="s">
        <v>42</v>
      </c>
      <c r="C88" s="49">
        <f>SUMPRODUCT(F68:F87*G68:G87)</f>
        <v>5.5519999999999996</v>
      </c>
      <c r="D88" s="50" t="s">
        <v>43</v>
      </c>
      <c r="E88" s="49">
        <f>SUM(I68:I87)*1.1</f>
        <v>2.0526000000000004</v>
      </c>
      <c r="F88" s="50" t="s">
        <v>44</v>
      </c>
      <c r="G88" s="51">
        <f>(C$218+C$222)/1000</f>
        <v>39.781500000000001</v>
      </c>
      <c r="H88" s="52" t="s">
        <v>45</v>
      </c>
      <c r="I88" s="53">
        <f>ROUND(E88*G88,2)</f>
        <v>81.66</v>
      </c>
      <c r="J88" s="255"/>
      <c r="K88" s="255"/>
      <c r="L88" s="255"/>
      <c r="M88" s="255"/>
    </row>
    <row r="89" spans="2:14" ht="18" customHeight="1">
      <c r="B89" s="48" t="s">
        <v>46</v>
      </c>
      <c r="C89" s="50">
        <v>181.72</v>
      </c>
      <c r="D89" s="50" t="s">
        <v>47</v>
      </c>
      <c r="E89" s="49">
        <f>ROUND(C88*(C89/1000),2)</f>
        <v>1.01</v>
      </c>
      <c r="F89" s="50" t="s">
        <v>48</v>
      </c>
      <c r="G89" s="50">
        <f>G$23</f>
        <v>10</v>
      </c>
      <c r="H89" s="52" t="s">
        <v>49</v>
      </c>
      <c r="I89" s="53">
        <f>E89*G89</f>
        <v>10.1</v>
      </c>
      <c r="J89" s="255"/>
      <c r="K89" s="255"/>
      <c r="L89" s="255"/>
      <c r="M89" s="255"/>
    </row>
    <row r="90" spans="2:14" ht="18" customHeight="1">
      <c r="B90" s="48" t="s">
        <v>50</v>
      </c>
      <c r="C90" s="50"/>
      <c r="D90" s="50" t="s">
        <v>51</v>
      </c>
      <c r="E90" s="49">
        <f>ROUND(C88*(C90/1000),2)</f>
        <v>0</v>
      </c>
      <c r="F90" s="50" t="s">
        <v>48</v>
      </c>
      <c r="G90" s="50">
        <f>G$24</f>
        <v>10</v>
      </c>
      <c r="H90" s="52" t="s">
        <v>49</v>
      </c>
      <c r="I90" s="53">
        <f>E90*G90</f>
        <v>0</v>
      </c>
      <c r="J90" s="255"/>
      <c r="K90" s="255"/>
      <c r="L90" s="255"/>
      <c r="M90" s="255"/>
    </row>
    <row r="91" spans="2:14" ht="18" customHeight="1">
      <c r="B91" s="23" t="s">
        <v>36</v>
      </c>
      <c r="C91" s="252" t="s">
        <v>14</v>
      </c>
      <c r="D91" s="252" t="s">
        <v>37</v>
      </c>
      <c r="E91" s="252" t="s">
        <v>38</v>
      </c>
      <c r="F91" s="252" t="s">
        <v>39</v>
      </c>
      <c r="G91" s="252" t="s">
        <v>8</v>
      </c>
      <c r="H91" s="252" t="s">
        <v>22</v>
      </c>
      <c r="I91" s="25" t="s">
        <v>40</v>
      </c>
      <c r="J91" s="255"/>
      <c r="K91" s="255"/>
      <c r="L91" s="255"/>
      <c r="M91" s="255"/>
    </row>
    <row r="92" spans="2:14" ht="18" customHeight="1">
      <c r="B92" s="648" t="s">
        <v>82</v>
      </c>
      <c r="C92" s="653" t="s">
        <v>326</v>
      </c>
      <c r="D92" s="253">
        <f>D26-90</f>
        <v>-90</v>
      </c>
      <c r="E92" s="253">
        <f>E26-90</f>
        <v>-90</v>
      </c>
      <c r="F92" s="253">
        <f>2*(D92+E92)/1000</f>
        <v>-0.36</v>
      </c>
      <c r="G92" s="250">
        <f>G26</f>
        <v>0</v>
      </c>
      <c r="H92" s="250">
        <v>0.27100000000000002</v>
      </c>
      <c r="I92" s="59">
        <f>ROUND(F92*G92*H92,3)</f>
        <v>0</v>
      </c>
    </row>
    <row r="93" spans="2:14" ht="18" customHeight="1">
      <c r="B93" s="648"/>
      <c r="C93" s="658"/>
      <c r="D93" s="253">
        <f t="shared" ref="D93:E96" si="16">D27-90</f>
        <v>-90</v>
      </c>
      <c r="E93" s="253">
        <f t="shared" si="16"/>
        <v>-90</v>
      </c>
      <c r="F93" s="253">
        <f>2*(D93+E93)/1000</f>
        <v>-0.36</v>
      </c>
      <c r="G93" s="250">
        <f>G27</f>
        <v>0</v>
      </c>
      <c r="H93" s="250">
        <f>H92</f>
        <v>0.27100000000000002</v>
      </c>
      <c r="I93" s="59">
        <f>ROUND(F93*G93*H93,3)</f>
        <v>0</v>
      </c>
      <c r="M93" s="42"/>
    </row>
    <row r="94" spans="2:14" ht="18" customHeight="1">
      <c r="B94" s="648"/>
      <c r="C94" s="658"/>
      <c r="D94" s="253">
        <f t="shared" si="16"/>
        <v>-90</v>
      </c>
      <c r="E94" s="253">
        <f t="shared" si="16"/>
        <v>-90</v>
      </c>
      <c r="F94" s="253">
        <f>2*(D94+E94)/1000</f>
        <v>-0.36</v>
      </c>
      <c r="G94" s="250">
        <f>G28</f>
        <v>0</v>
      </c>
      <c r="H94" s="250">
        <f>H93</f>
        <v>0.27100000000000002</v>
      </c>
      <c r="I94" s="59">
        <f>ROUND(F94*G94*H94,3)</f>
        <v>0</v>
      </c>
    </row>
    <row r="95" spans="2:14" ht="18" customHeight="1">
      <c r="B95" s="648"/>
      <c r="C95" s="658"/>
      <c r="D95" s="253">
        <f t="shared" si="16"/>
        <v>-90</v>
      </c>
      <c r="E95" s="253">
        <f t="shared" si="16"/>
        <v>-90</v>
      </c>
      <c r="F95" s="253">
        <f>2*(D95+E95)/1000</f>
        <v>-0.36</v>
      </c>
      <c r="G95" s="250">
        <f>G29</f>
        <v>0</v>
      </c>
      <c r="H95" s="250">
        <f>H94</f>
        <v>0.27100000000000002</v>
      </c>
      <c r="I95" s="59">
        <f>ROUND(F95*G95*H95,3)</f>
        <v>0</v>
      </c>
    </row>
    <row r="96" spans="2:14" ht="18" customHeight="1">
      <c r="B96" s="648"/>
      <c r="C96" s="659"/>
      <c r="D96" s="253">
        <f t="shared" si="16"/>
        <v>-90</v>
      </c>
      <c r="E96" s="253">
        <f t="shared" si="16"/>
        <v>-90</v>
      </c>
      <c r="F96" s="253">
        <f>2*(D96+E96)/1000</f>
        <v>-0.36</v>
      </c>
      <c r="G96" s="250">
        <f>G30</f>
        <v>0</v>
      </c>
      <c r="H96" s="250">
        <f>H95</f>
        <v>0.27100000000000002</v>
      </c>
      <c r="I96" s="59">
        <f>ROUND(F96*G96*H96,3)</f>
        <v>0</v>
      </c>
    </row>
    <row r="97" spans="2:13" ht="18" customHeight="1">
      <c r="B97" s="48" t="s">
        <v>42</v>
      </c>
      <c r="C97" s="49">
        <f>SUMPRODUCT(F92:F96*G92:G96)</f>
        <v>0</v>
      </c>
      <c r="D97" s="50" t="s">
        <v>43</v>
      </c>
      <c r="E97" s="49">
        <f>SUM(I92:I96)*1.1</f>
        <v>0</v>
      </c>
      <c r="F97" s="50" t="s">
        <v>44</v>
      </c>
      <c r="G97" s="51">
        <f>(C$218+C$222)/1000</f>
        <v>39.781500000000001</v>
      </c>
      <c r="H97" s="52" t="s">
        <v>45</v>
      </c>
      <c r="I97" s="53">
        <f>ROUND(E97*G97,2)</f>
        <v>0</v>
      </c>
    </row>
    <row r="98" spans="2:13" ht="18" customHeight="1">
      <c r="B98" s="48" t="s">
        <v>46</v>
      </c>
      <c r="C98" s="50">
        <v>186.72</v>
      </c>
      <c r="D98" s="50" t="s">
        <v>47</v>
      </c>
      <c r="E98" s="49">
        <f>ROUND(C97*(C98/1000),2)</f>
        <v>0</v>
      </c>
      <c r="F98" s="50" t="s">
        <v>48</v>
      </c>
      <c r="G98" s="50">
        <f>G$23</f>
        <v>10</v>
      </c>
      <c r="H98" s="52" t="s">
        <v>49</v>
      </c>
      <c r="I98" s="53">
        <f>E98*G98</f>
        <v>0</v>
      </c>
    </row>
    <row r="99" spans="2:13" ht="18" customHeight="1">
      <c r="B99" s="48" t="s">
        <v>50</v>
      </c>
      <c r="C99" s="50">
        <v>0</v>
      </c>
      <c r="D99" s="50" t="s">
        <v>51</v>
      </c>
      <c r="E99" s="49">
        <f>ROUND(C97*(C99/1000),2)</f>
        <v>0</v>
      </c>
      <c r="F99" s="50" t="s">
        <v>48</v>
      </c>
      <c r="G99" s="50">
        <f>G$24</f>
        <v>10</v>
      </c>
      <c r="H99" s="52" t="s">
        <v>49</v>
      </c>
      <c r="I99" s="53">
        <f>E99*G99</f>
        <v>0</v>
      </c>
    </row>
    <row r="100" spans="2:13" ht="18" customHeight="1">
      <c r="B100" s="23" t="s">
        <v>36</v>
      </c>
      <c r="C100" s="252" t="s">
        <v>14</v>
      </c>
      <c r="D100" s="252" t="s">
        <v>37</v>
      </c>
      <c r="E100" s="252" t="s">
        <v>38</v>
      </c>
      <c r="F100" s="252" t="s">
        <v>39</v>
      </c>
      <c r="G100" s="252" t="s">
        <v>8</v>
      </c>
      <c r="H100" s="252" t="s">
        <v>22</v>
      </c>
      <c r="I100" s="25" t="s">
        <v>40</v>
      </c>
    </row>
    <row r="101" spans="2:13" ht="18" customHeight="1">
      <c r="B101" s="648" t="s">
        <v>84</v>
      </c>
      <c r="C101" s="653" t="str">
        <f>C92</f>
        <v>SDL2281</v>
      </c>
      <c r="D101" s="253">
        <f>D35-122</f>
        <v>-122</v>
      </c>
      <c r="E101" s="253">
        <f t="shared" ref="D101:E103" si="17">E35-122</f>
        <v>-122</v>
      </c>
      <c r="F101" s="253">
        <f>2*(D101+E101)/1000</f>
        <v>-0.48799999999999999</v>
      </c>
      <c r="G101" s="250">
        <f>G35</f>
        <v>0</v>
      </c>
      <c r="H101" s="250">
        <f>H96</f>
        <v>0.27100000000000002</v>
      </c>
      <c r="I101" s="59">
        <f>ROUND(F101*G101*H101,3)</f>
        <v>0</v>
      </c>
    </row>
    <row r="102" spans="2:13" ht="18" customHeight="1">
      <c r="B102" s="648"/>
      <c r="C102" s="650"/>
      <c r="D102" s="253">
        <f t="shared" si="17"/>
        <v>-122</v>
      </c>
      <c r="E102" s="253">
        <f t="shared" si="17"/>
        <v>-122</v>
      </c>
      <c r="F102" s="253">
        <f>2*(D102+E102)/1000</f>
        <v>-0.48799999999999999</v>
      </c>
      <c r="G102" s="250">
        <f>G36</f>
        <v>0</v>
      </c>
      <c r="H102" s="250">
        <f>H101</f>
        <v>0.27100000000000002</v>
      </c>
      <c r="I102" s="59">
        <f>ROUND(F102*G102*H102,3)</f>
        <v>0</v>
      </c>
      <c r="K102" s="99"/>
      <c r="M102" s="99"/>
    </row>
    <row r="103" spans="2:13" ht="18" customHeight="1">
      <c r="B103" s="648"/>
      <c r="C103" s="651"/>
      <c r="D103" s="253">
        <f t="shared" si="17"/>
        <v>-122</v>
      </c>
      <c r="E103" s="253">
        <f t="shared" si="17"/>
        <v>-122</v>
      </c>
      <c r="F103" s="253">
        <f>2*(D103+E103)/1000</f>
        <v>-0.48799999999999999</v>
      </c>
      <c r="G103" s="250">
        <f>G37</f>
        <v>0</v>
      </c>
      <c r="H103" s="250">
        <f>H102</f>
        <v>0.27100000000000002</v>
      </c>
      <c r="I103" s="59">
        <f>ROUND(F103*G103*H103,3)</f>
        <v>0</v>
      </c>
      <c r="M103" s="99"/>
    </row>
    <row r="104" spans="2:13" ht="18" customHeight="1">
      <c r="B104" s="48" t="s">
        <v>42</v>
      </c>
      <c r="C104" s="49">
        <f>SUMPRODUCT(F101:F103*G101:G103)</f>
        <v>0</v>
      </c>
      <c r="D104" s="50" t="s">
        <v>43</v>
      </c>
      <c r="E104" s="49">
        <f>SUM(I101:I103)*1.1</f>
        <v>0</v>
      </c>
      <c r="F104" s="50" t="s">
        <v>44</v>
      </c>
      <c r="G104" s="51">
        <f>(C$218+C$222)/1000</f>
        <v>39.781500000000001</v>
      </c>
      <c r="H104" s="52" t="s">
        <v>45</v>
      </c>
      <c r="I104" s="53">
        <f>ROUND(E104*G104,2)</f>
        <v>0</v>
      </c>
    </row>
    <row r="105" spans="2:13" ht="18" customHeight="1">
      <c r="B105" s="48" t="s">
        <v>46</v>
      </c>
      <c r="C105" s="50">
        <v>186.72</v>
      </c>
      <c r="D105" s="50" t="s">
        <v>47</v>
      </c>
      <c r="E105" s="49">
        <f>ROUND(C104*(C105/1000),2)</f>
        <v>0</v>
      </c>
      <c r="F105" s="50" t="s">
        <v>48</v>
      </c>
      <c r="G105" s="50">
        <f>G$23</f>
        <v>10</v>
      </c>
      <c r="H105" s="52" t="s">
        <v>49</v>
      </c>
      <c r="I105" s="53">
        <f>ROUND(E105*G105,2)</f>
        <v>0</v>
      </c>
    </row>
    <row r="106" spans="2:13" ht="18" customHeight="1">
      <c r="B106" s="48" t="s">
        <v>50</v>
      </c>
      <c r="C106" s="50">
        <v>0</v>
      </c>
      <c r="D106" s="50" t="s">
        <v>51</v>
      </c>
      <c r="E106" s="49">
        <f>ROUND(C104*(C106/1000),2)</f>
        <v>0</v>
      </c>
      <c r="F106" s="50" t="s">
        <v>48</v>
      </c>
      <c r="G106" s="50">
        <f>G$24</f>
        <v>10</v>
      </c>
      <c r="H106" s="52" t="s">
        <v>49</v>
      </c>
      <c r="I106" s="53">
        <f>ROUND(E106*G106,2)</f>
        <v>0</v>
      </c>
    </row>
    <row r="107" spans="2:13" ht="18" customHeight="1">
      <c r="B107" s="23" t="s">
        <v>36</v>
      </c>
      <c r="C107" s="252" t="s">
        <v>14</v>
      </c>
      <c r="D107" s="252" t="s">
        <v>37</v>
      </c>
      <c r="E107" s="252" t="s">
        <v>38</v>
      </c>
      <c r="F107" s="252" t="s">
        <v>39</v>
      </c>
      <c r="G107" s="252" t="s">
        <v>8</v>
      </c>
      <c r="H107" s="252" t="s">
        <v>22</v>
      </c>
      <c r="I107" s="25" t="s">
        <v>40</v>
      </c>
    </row>
    <row r="108" spans="2:13" ht="18" customHeight="1">
      <c r="B108" s="648" t="s">
        <v>85</v>
      </c>
      <c r="C108" s="655" t="s">
        <v>86</v>
      </c>
      <c r="D108" s="250">
        <f>D6</f>
        <v>1920</v>
      </c>
      <c r="E108" s="250">
        <f>E6-E14</f>
        <v>2720</v>
      </c>
      <c r="F108" s="250">
        <f>ROUND((D108+E108)*2/1000,4)</f>
        <v>9.2799999999999994</v>
      </c>
      <c r="G108" s="250">
        <v>1</v>
      </c>
      <c r="H108" s="250">
        <v>1.857</v>
      </c>
      <c r="I108" s="59">
        <f>ROUND(F108*G108*H108,3)</f>
        <v>17.233000000000001</v>
      </c>
    </row>
    <row r="109" spans="2:13" ht="18" customHeight="1">
      <c r="B109" s="648"/>
      <c r="C109" s="656"/>
      <c r="D109" s="250"/>
      <c r="E109" s="250"/>
      <c r="F109" s="250">
        <f>ROUND((D109+E109)*2/1000,4)</f>
        <v>0</v>
      </c>
      <c r="G109" s="250"/>
      <c r="H109" s="250">
        <f>H108</f>
        <v>1.857</v>
      </c>
      <c r="I109" s="59">
        <f>ROUND(F109*G109*H109,3)</f>
        <v>0</v>
      </c>
      <c r="K109" s="42"/>
      <c r="L109" s="42"/>
      <c r="M109" s="42"/>
    </row>
    <row r="110" spans="2:13" ht="18" customHeight="1">
      <c r="B110" s="648"/>
      <c r="C110" s="656"/>
      <c r="D110" s="250"/>
      <c r="E110" s="250"/>
      <c r="F110" s="250">
        <f>ROUND((D110+E110)*2/1000,4)</f>
        <v>0</v>
      </c>
      <c r="G110" s="250"/>
      <c r="H110" s="250">
        <f>H109</f>
        <v>1.857</v>
      </c>
      <c r="I110" s="59">
        <f>ROUND(F110*G110*H110,3)</f>
        <v>0</v>
      </c>
      <c r="K110" s="42"/>
      <c r="L110" s="42"/>
      <c r="M110" s="42"/>
    </row>
    <row r="111" spans="2:13" ht="18" customHeight="1">
      <c r="B111" s="648"/>
      <c r="C111" s="657"/>
      <c r="D111" s="250"/>
      <c r="E111" s="250"/>
      <c r="F111" s="250">
        <f>ROUND((D111+E111)*2/1000,4)</f>
        <v>0</v>
      </c>
      <c r="G111" s="250"/>
      <c r="H111" s="250">
        <f>H110</f>
        <v>1.857</v>
      </c>
      <c r="I111" s="59">
        <f>ROUND(F111*G111*H111,3)</f>
        <v>0</v>
      </c>
      <c r="K111" s="42"/>
      <c r="L111" s="42"/>
      <c r="M111" s="42"/>
    </row>
    <row r="112" spans="2:13" ht="18" customHeight="1">
      <c r="B112" s="48" t="s">
        <v>42</v>
      </c>
      <c r="C112" s="49">
        <f>SUMPRODUCT(F108:F111*G108:G111)</f>
        <v>9.2799999999999994</v>
      </c>
      <c r="D112" s="50" t="s">
        <v>43</v>
      </c>
      <c r="E112" s="49">
        <f>SUM(I108:I111)*1.1</f>
        <v>18.956300000000002</v>
      </c>
      <c r="F112" s="50" t="s">
        <v>44</v>
      </c>
      <c r="G112" s="51">
        <f>(C$218+C$219)/1000</f>
        <v>46.081499999999998</v>
      </c>
      <c r="H112" s="52" t="s">
        <v>45</v>
      </c>
      <c r="I112" s="53">
        <f>ROUND(E112*G112,2)</f>
        <v>873.53</v>
      </c>
      <c r="J112" s="243">
        <f>SUM(G108:G111)</f>
        <v>1</v>
      </c>
      <c r="K112" s="42"/>
      <c r="L112" s="42"/>
      <c r="M112" s="42"/>
    </row>
    <row r="113" spans="2:14" ht="18" customHeight="1">
      <c r="B113" s="48" t="s">
        <v>46</v>
      </c>
      <c r="C113" s="50">
        <v>241.03</v>
      </c>
      <c r="D113" s="50" t="s">
        <v>47</v>
      </c>
      <c r="E113" s="49">
        <f>ROUND(C112*(C113/1000),2)</f>
        <v>2.2400000000000002</v>
      </c>
      <c r="F113" s="50" t="s">
        <v>48</v>
      </c>
      <c r="G113" s="50">
        <f>G$23</f>
        <v>10</v>
      </c>
      <c r="H113" s="52" t="s">
        <v>49</v>
      </c>
      <c r="I113" s="53">
        <f>E113*G113</f>
        <v>22.400000000000002</v>
      </c>
      <c r="K113" s="42"/>
      <c r="L113" s="42"/>
      <c r="M113" s="42"/>
    </row>
    <row r="114" spans="2:14" ht="18" customHeight="1" thickBot="1">
      <c r="B114" s="48" t="s">
        <v>50</v>
      </c>
      <c r="C114" s="50">
        <v>204.38</v>
      </c>
      <c r="D114" s="50" t="s">
        <v>51</v>
      </c>
      <c r="E114" s="49">
        <f>ROUND(C112*(C114/1000),2)</f>
        <v>1.9</v>
      </c>
      <c r="F114" s="50" t="s">
        <v>48</v>
      </c>
      <c r="G114" s="50">
        <f>G$24</f>
        <v>10</v>
      </c>
      <c r="H114" s="52" t="s">
        <v>49</v>
      </c>
      <c r="I114" s="53">
        <f>E114*G114</f>
        <v>19</v>
      </c>
    </row>
    <row r="115" spans="2:14" ht="18" customHeight="1" thickBot="1">
      <c r="B115" s="23" t="s">
        <v>36</v>
      </c>
      <c r="C115" s="252" t="s">
        <v>14</v>
      </c>
      <c r="D115" s="252" t="s">
        <v>37</v>
      </c>
      <c r="E115" s="252" t="s">
        <v>38</v>
      </c>
      <c r="F115" s="252" t="s">
        <v>39</v>
      </c>
      <c r="G115" s="252" t="s">
        <v>8</v>
      </c>
      <c r="H115" s="252" t="s">
        <v>22</v>
      </c>
      <c r="I115" s="25" t="s">
        <v>40</v>
      </c>
      <c r="J115" s="54" t="s">
        <v>2</v>
      </c>
      <c r="K115" s="55" t="s">
        <v>3</v>
      </c>
      <c r="L115" s="55" t="s">
        <v>61</v>
      </c>
      <c r="M115" s="55" t="s">
        <v>62</v>
      </c>
      <c r="N115" s="70" t="s">
        <v>14</v>
      </c>
    </row>
    <row r="116" spans="2:14" ht="18" customHeight="1">
      <c r="B116" s="648" t="s">
        <v>87</v>
      </c>
      <c r="C116" s="649" t="s">
        <v>88</v>
      </c>
      <c r="D116" s="253">
        <f t="shared" ref="D116:E118" si="18">J116-IF(L116=1,78,IF(L116=2,55.5,IF(L116=3,41,0)))</f>
        <v>919</v>
      </c>
      <c r="E116" s="253">
        <f t="shared" si="18"/>
        <v>2642</v>
      </c>
      <c r="F116" s="250">
        <f>ROUND((D116+E116)*2/1000,4)</f>
        <v>7.1219999999999999</v>
      </c>
      <c r="G116" s="250">
        <v>2</v>
      </c>
      <c r="H116" s="58">
        <v>2.456</v>
      </c>
      <c r="I116" s="59">
        <f>ROUND(F116*G116*H116,3)</f>
        <v>34.982999999999997</v>
      </c>
      <c r="J116" s="60">
        <f>D108/2</f>
        <v>960</v>
      </c>
      <c r="K116" s="61">
        <f>E108</f>
        <v>2720</v>
      </c>
      <c r="L116" s="61">
        <v>3</v>
      </c>
      <c r="M116" s="61">
        <v>1</v>
      </c>
      <c r="N116" s="76" t="s">
        <v>56</v>
      </c>
    </row>
    <row r="117" spans="2:14" ht="18" customHeight="1">
      <c r="B117" s="648"/>
      <c r="C117" s="650"/>
      <c r="D117" s="253">
        <f t="shared" si="18"/>
        <v>0</v>
      </c>
      <c r="E117" s="253">
        <f t="shared" si="18"/>
        <v>0</v>
      </c>
      <c r="F117" s="250">
        <f>ROUND((D117+E117)*2/1000,4)</f>
        <v>0</v>
      </c>
      <c r="G117" s="250">
        <v>0</v>
      </c>
      <c r="H117" s="58">
        <f>H116</f>
        <v>2.456</v>
      </c>
      <c r="I117" s="59">
        <f>ROUND(F117*G117*H117,3)</f>
        <v>0</v>
      </c>
      <c r="J117" s="60"/>
      <c r="K117" s="61"/>
      <c r="L117" s="61"/>
      <c r="M117" s="61"/>
      <c r="N117" s="76" t="s">
        <v>58</v>
      </c>
    </row>
    <row r="118" spans="2:14" ht="18" customHeight="1" thickBot="1">
      <c r="B118" s="648"/>
      <c r="C118" s="651"/>
      <c r="D118" s="253">
        <f t="shared" si="18"/>
        <v>0</v>
      </c>
      <c r="E118" s="253">
        <f t="shared" si="18"/>
        <v>0</v>
      </c>
      <c r="F118" s="250">
        <f>ROUND((D118+E118)*2/1000,4)</f>
        <v>0</v>
      </c>
      <c r="G118" s="250">
        <v>0</v>
      </c>
      <c r="H118" s="58">
        <f>H117</f>
        <v>2.456</v>
      </c>
      <c r="I118" s="59">
        <f>ROUND(F118*G118*H118,3)</f>
        <v>0</v>
      </c>
      <c r="J118" s="64"/>
      <c r="K118" s="65"/>
      <c r="L118" s="65"/>
      <c r="M118" s="65"/>
      <c r="N118" s="80" t="s">
        <v>89</v>
      </c>
    </row>
    <row r="119" spans="2:14" ht="18" customHeight="1">
      <c r="B119" s="48" t="s">
        <v>42</v>
      </c>
      <c r="C119" s="49">
        <f>SUMPRODUCT(F116:F118*G116:G118)</f>
        <v>14.244</v>
      </c>
      <c r="D119" s="100" t="s">
        <v>43</v>
      </c>
      <c r="E119" s="100">
        <f>SUM(I116:I118)*1.1</f>
        <v>38.481299999999997</v>
      </c>
      <c r="F119" s="50" t="s">
        <v>44</v>
      </c>
      <c r="G119" s="51">
        <f>(C$218+C$219)/1000</f>
        <v>46.081499999999998</v>
      </c>
      <c r="H119" s="52" t="s">
        <v>45</v>
      </c>
      <c r="I119" s="53">
        <f>ROUND(E119*G119,2)</f>
        <v>1773.28</v>
      </c>
      <c r="J119" s="243">
        <f>SUM(G116:G118)</f>
        <v>2</v>
      </c>
      <c r="K119" s="255"/>
      <c r="L119" s="255"/>
      <c r="M119" s="255"/>
    </row>
    <row r="120" spans="2:14" ht="18" customHeight="1">
      <c r="B120" s="48" t="s">
        <v>46</v>
      </c>
      <c r="C120" s="50">
        <v>350.56</v>
      </c>
      <c r="D120" s="100" t="s">
        <v>47</v>
      </c>
      <c r="E120" s="100">
        <f>ROUND(C119*(C120/1000),2)</f>
        <v>4.99</v>
      </c>
      <c r="F120" s="50" t="s">
        <v>48</v>
      </c>
      <c r="G120" s="50">
        <f>G$23</f>
        <v>10</v>
      </c>
      <c r="H120" s="52" t="s">
        <v>49</v>
      </c>
      <c r="I120" s="53">
        <f>E120*G120</f>
        <v>49.900000000000006</v>
      </c>
      <c r="J120" s="255"/>
      <c r="K120" s="255"/>
      <c r="L120" s="255"/>
      <c r="M120" s="255"/>
    </row>
    <row r="121" spans="2:14" ht="18" customHeight="1" thickBot="1">
      <c r="B121" s="48" t="s">
        <v>50</v>
      </c>
      <c r="C121" s="50">
        <v>189.03</v>
      </c>
      <c r="D121" s="100" t="s">
        <v>51</v>
      </c>
      <c r="E121" s="100">
        <f>ROUND(C119*(C121/1000),2)</f>
        <v>2.69</v>
      </c>
      <c r="F121" s="50" t="s">
        <v>48</v>
      </c>
      <c r="G121" s="50">
        <f>G$24</f>
        <v>10</v>
      </c>
      <c r="H121" s="52" t="s">
        <v>49</v>
      </c>
      <c r="I121" s="53">
        <f>E121*G121</f>
        <v>26.9</v>
      </c>
      <c r="J121" s="255"/>
    </row>
    <row r="122" spans="2:14" ht="18" customHeight="1" thickBot="1">
      <c r="B122" s="23" t="s">
        <v>36</v>
      </c>
      <c r="C122" s="252" t="s">
        <v>14</v>
      </c>
      <c r="D122" s="101" t="s">
        <v>37</v>
      </c>
      <c r="E122" s="101" t="s">
        <v>38</v>
      </c>
      <c r="F122" s="252" t="s">
        <v>39</v>
      </c>
      <c r="G122" s="252" t="s">
        <v>8</v>
      </c>
      <c r="H122" s="252" t="s">
        <v>22</v>
      </c>
      <c r="I122" s="25" t="s">
        <v>40</v>
      </c>
      <c r="J122" s="54" t="s">
        <v>2</v>
      </c>
      <c r="K122" s="55" t="s">
        <v>3</v>
      </c>
      <c r="L122" s="55" t="s">
        <v>61</v>
      </c>
      <c r="M122" s="55" t="s">
        <v>62</v>
      </c>
      <c r="N122" s="70" t="s">
        <v>14</v>
      </c>
    </row>
    <row r="123" spans="2:14" ht="18" customHeight="1">
      <c r="B123" s="648" t="s">
        <v>90</v>
      </c>
      <c r="C123" s="649" t="s">
        <v>91</v>
      </c>
      <c r="D123" s="253">
        <f t="shared" ref="D123:E125" si="19">J123-IF(L123=1,78,IF(L123=2,55.5,IF(L123=3,41,0)))</f>
        <v>0</v>
      </c>
      <c r="E123" s="253">
        <f t="shared" si="19"/>
        <v>0</v>
      </c>
      <c r="F123" s="250">
        <f>ROUND((D123+E123)*2/1000,4)</f>
        <v>0</v>
      </c>
      <c r="G123" s="250"/>
      <c r="H123" s="58">
        <v>2.4710000000000001</v>
      </c>
      <c r="I123" s="59">
        <f>ROUND(F123*G123*H123,3)</f>
        <v>0</v>
      </c>
      <c r="J123" s="60"/>
      <c r="K123" s="61"/>
      <c r="L123" s="61"/>
      <c r="M123" s="61"/>
      <c r="N123" s="76" t="s">
        <v>56</v>
      </c>
    </row>
    <row r="124" spans="2:14" ht="18" customHeight="1">
      <c r="B124" s="648"/>
      <c r="C124" s="650"/>
      <c r="D124" s="253">
        <f t="shared" si="19"/>
        <v>0</v>
      </c>
      <c r="E124" s="253">
        <f t="shared" si="19"/>
        <v>0</v>
      </c>
      <c r="F124" s="250">
        <f>ROUND((D124+E124)*2/1000,4)</f>
        <v>0</v>
      </c>
      <c r="G124" s="250"/>
      <c r="H124" s="58">
        <f>H123</f>
        <v>2.4710000000000001</v>
      </c>
      <c r="I124" s="59">
        <f>ROUND(F124*G124*H124,3)</f>
        <v>0</v>
      </c>
      <c r="J124" s="60"/>
      <c r="K124" s="61"/>
      <c r="L124" s="61"/>
      <c r="M124" s="61"/>
      <c r="N124" s="76" t="s">
        <v>58</v>
      </c>
    </row>
    <row r="125" spans="2:14" ht="18" customHeight="1" thickBot="1">
      <c r="B125" s="648"/>
      <c r="C125" s="651"/>
      <c r="D125" s="253">
        <f t="shared" si="19"/>
        <v>0</v>
      </c>
      <c r="E125" s="253">
        <f t="shared" si="19"/>
        <v>0</v>
      </c>
      <c r="F125" s="250">
        <f>ROUND((D125+E125)*2/1000,4)</f>
        <v>0</v>
      </c>
      <c r="G125" s="250"/>
      <c r="H125" s="58">
        <f>H124</f>
        <v>2.4710000000000001</v>
      </c>
      <c r="I125" s="59">
        <f>ROUND(F125*G125*H125,3)</f>
        <v>0</v>
      </c>
      <c r="J125" s="64"/>
      <c r="K125" s="65"/>
      <c r="L125" s="65"/>
      <c r="M125" s="65"/>
      <c r="N125" s="80" t="s">
        <v>89</v>
      </c>
    </row>
    <row r="126" spans="2:14" ht="18" customHeight="1">
      <c r="B126" s="48" t="s">
        <v>42</v>
      </c>
      <c r="C126" s="49">
        <f>SUMPRODUCT(F123:F125*G123:G125)</f>
        <v>0</v>
      </c>
      <c r="D126" s="50" t="s">
        <v>43</v>
      </c>
      <c r="E126" s="49">
        <f>SUM(I123:I125)*1.1</f>
        <v>0</v>
      </c>
      <c r="F126" s="50" t="s">
        <v>44</v>
      </c>
      <c r="G126" s="51">
        <f>(C$218+C$221)/1000</f>
        <v>46.081499999999998</v>
      </c>
      <c r="H126" s="52" t="s">
        <v>45</v>
      </c>
      <c r="I126" s="53">
        <f>ROUND(E126*G126,2)</f>
        <v>0</v>
      </c>
      <c r="J126" s="243">
        <f>SUM(G123:G125)</f>
        <v>0</v>
      </c>
      <c r="K126" s="255"/>
      <c r="L126" s="255"/>
      <c r="M126" s="255"/>
    </row>
    <row r="127" spans="2:14" ht="18" customHeight="1">
      <c r="B127" s="48" t="s">
        <v>46</v>
      </c>
      <c r="C127" s="50">
        <v>236.53</v>
      </c>
      <c r="D127" s="50" t="s">
        <v>47</v>
      </c>
      <c r="E127" s="49">
        <f>ROUND(C126*(C127/1000),2)</f>
        <v>0</v>
      </c>
      <c r="F127" s="50" t="s">
        <v>48</v>
      </c>
      <c r="G127" s="50">
        <f>G$23</f>
        <v>10</v>
      </c>
      <c r="H127" s="52" t="s">
        <v>49</v>
      </c>
      <c r="I127" s="53">
        <f>E127*G127</f>
        <v>0</v>
      </c>
      <c r="J127" s="255"/>
      <c r="K127" s="255"/>
      <c r="L127" s="255"/>
      <c r="M127" s="255"/>
    </row>
    <row r="128" spans="2:14" ht="18" customHeight="1" thickBot="1">
      <c r="B128" s="48" t="s">
        <v>50</v>
      </c>
      <c r="C128" s="50">
        <v>311.02999999999997</v>
      </c>
      <c r="D128" s="50" t="s">
        <v>51</v>
      </c>
      <c r="E128" s="49">
        <f>ROUND(C126*(C128/1000),2)</f>
        <v>0</v>
      </c>
      <c r="F128" s="50" t="s">
        <v>48</v>
      </c>
      <c r="G128" s="50">
        <f>G$24</f>
        <v>10</v>
      </c>
      <c r="H128" s="52" t="s">
        <v>49</v>
      </c>
      <c r="I128" s="53">
        <f>E128*G128</f>
        <v>0</v>
      </c>
      <c r="J128" s="255"/>
    </row>
    <row r="129" spans="2:14" ht="18" customHeight="1" thickBot="1">
      <c r="B129" s="23" t="s">
        <v>36</v>
      </c>
      <c r="C129" s="252" t="s">
        <v>14</v>
      </c>
      <c r="D129" s="252" t="s">
        <v>37</v>
      </c>
      <c r="E129" s="252" t="s">
        <v>71</v>
      </c>
      <c r="F129" s="252" t="s">
        <v>38</v>
      </c>
      <c r="G129" s="252" t="s">
        <v>72</v>
      </c>
      <c r="H129" s="252" t="s">
        <v>22</v>
      </c>
      <c r="I129" s="25" t="s">
        <v>40</v>
      </c>
      <c r="J129" s="54" t="s">
        <v>2</v>
      </c>
      <c r="K129" s="55" t="s">
        <v>3</v>
      </c>
      <c r="L129" s="55" t="s">
        <v>61</v>
      </c>
      <c r="M129" s="55" t="s">
        <v>62</v>
      </c>
      <c r="N129" s="70" t="s">
        <v>14</v>
      </c>
    </row>
    <row r="130" spans="2:14" ht="18" customHeight="1">
      <c r="B130" s="648" t="s">
        <v>92</v>
      </c>
      <c r="C130" s="649" t="s">
        <v>93</v>
      </c>
      <c r="D130" s="253">
        <f>J130-IF(L130=1,81,IF(L130=2,58.5,IF(L130=3,36,0)))</f>
        <v>0</v>
      </c>
      <c r="E130" s="253">
        <v>0</v>
      </c>
      <c r="F130" s="253">
        <f>K130-IF(M130=1,81,IF(M130=2,58.5,IF(M130=3,36,0)))</f>
        <v>0</v>
      </c>
      <c r="G130" s="250">
        <v>0</v>
      </c>
      <c r="H130" s="250">
        <v>2.0489999999999999</v>
      </c>
      <c r="I130" s="59">
        <f>ROUND((D130*E130+F130*G130)/1000*H130,3)</f>
        <v>0</v>
      </c>
      <c r="J130" s="60"/>
      <c r="K130" s="61"/>
      <c r="L130" s="61"/>
      <c r="M130" s="61"/>
      <c r="N130" s="76" t="s">
        <v>56</v>
      </c>
    </row>
    <row r="131" spans="2:14" ht="18" customHeight="1">
      <c r="B131" s="648"/>
      <c r="C131" s="650"/>
      <c r="D131" s="253">
        <f>J131-IF(L131=1,81,IF(L131=2,58.5,IF(L131=3,36,0)))</f>
        <v>0</v>
      </c>
      <c r="E131" s="253">
        <v>0</v>
      </c>
      <c r="F131" s="253">
        <f>K131-IF(M131=1,81,IF(M131=2,58.5,IF(M131=3,36,0)))</f>
        <v>0</v>
      </c>
      <c r="G131" s="250"/>
      <c r="H131" s="250">
        <f>H130</f>
        <v>2.0489999999999999</v>
      </c>
      <c r="I131" s="59">
        <f>ROUND((D131*E131+F131*G131)/1000*H131,3)</f>
        <v>0</v>
      </c>
      <c r="J131" s="60"/>
      <c r="K131" s="61"/>
      <c r="L131" s="61"/>
      <c r="M131" s="61"/>
      <c r="N131" s="76" t="s">
        <v>58</v>
      </c>
    </row>
    <row r="132" spans="2:14" ht="18" customHeight="1" thickBot="1">
      <c r="B132" s="648"/>
      <c r="C132" s="651"/>
      <c r="D132" s="253">
        <f>J132-IF(L132=1,81,IF(L132=2,58.5,IF(L132=3,36,0)))</f>
        <v>0</v>
      </c>
      <c r="E132" s="253"/>
      <c r="F132" s="253">
        <f>K132-IF(M132=1,81,IF(M132=2,58.5,IF(M132=3,36,0)))</f>
        <v>0</v>
      </c>
      <c r="G132" s="250"/>
      <c r="H132" s="250">
        <f>H131</f>
        <v>2.0489999999999999</v>
      </c>
      <c r="I132" s="59">
        <f>ROUND((D132*E132+F132*G132)/1000*H132,3)</f>
        <v>0</v>
      </c>
      <c r="J132" s="64"/>
      <c r="K132" s="65"/>
      <c r="L132" s="65"/>
      <c r="M132" s="65"/>
      <c r="N132" s="80" t="s">
        <v>89</v>
      </c>
    </row>
    <row r="133" spans="2:14" ht="18" customHeight="1">
      <c r="B133" s="48" t="s">
        <v>42</v>
      </c>
      <c r="C133" s="49">
        <f>SUMPRODUCT(D130:D132*E130:E132+F130:F132*G130:G132)/1000</f>
        <v>0</v>
      </c>
      <c r="D133" s="50" t="s">
        <v>43</v>
      </c>
      <c r="E133" s="49">
        <f>SUM(I130:I132)*1.1</f>
        <v>0</v>
      </c>
      <c r="F133" s="50" t="s">
        <v>44</v>
      </c>
      <c r="G133" s="51">
        <f>(C$218+C$219)/1000</f>
        <v>46.081499999999998</v>
      </c>
      <c r="H133" s="52" t="s">
        <v>45</v>
      </c>
      <c r="I133" s="53">
        <f>ROUND(E133*G133,2)</f>
        <v>0</v>
      </c>
      <c r="J133" s="243">
        <f>SUM(G130:G132)+SUM(E130:E132)</f>
        <v>0</v>
      </c>
    </row>
    <row r="134" spans="2:14" ht="18" customHeight="1">
      <c r="B134" s="48" t="s">
        <v>46</v>
      </c>
      <c r="C134" s="50">
        <v>298.42</v>
      </c>
      <c r="D134" s="50" t="s">
        <v>47</v>
      </c>
      <c r="E134" s="49">
        <f>ROUND(C133*(C134/1000),2)</f>
        <v>0</v>
      </c>
      <c r="F134" s="50" t="s">
        <v>48</v>
      </c>
      <c r="G134" s="50">
        <f>G$23</f>
        <v>10</v>
      </c>
      <c r="H134" s="52" t="s">
        <v>49</v>
      </c>
      <c r="I134" s="53">
        <f>ROUND(E134*G134,2)</f>
        <v>0</v>
      </c>
    </row>
    <row r="135" spans="2:14" ht="18" customHeight="1">
      <c r="B135" s="48" t="s">
        <v>50</v>
      </c>
      <c r="C135" s="50">
        <v>208.08</v>
      </c>
      <c r="D135" s="50" t="s">
        <v>51</v>
      </c>
      <c r="E135" s="49">
        <f>ROUND(C133*(C135/1000),2)</f>
        <v>0</v>
      </c>
      <c r="F135" s="50" t="s">
        <v>48</v>
      </c>
      <c r="G135" s="50">
        <f>G$24</f>
        <v>10</v>
      </c>
      <c r="H135" s="52" t="s">
        <v>49</v>
      </c>
      <c r="I135" s="53">
        <f>ROUND(E135*G135,2)</f>
        <v>0</v>
      </c>
    </row>
    <row r="136" spans="2:14" ht="18" customHeight="1">
      <c r="B136" s="23" t="s">
        <v>36</v>
      </c>
      <c r="C136" s="252" t="s">
        <v>14</v>
      </c>
      <c r="D136" s="652" t="s">
        <v>38</v>
      </c>
      <c r="E136" s="652"/>
      <c r="F136" s="652"/>
      <c r="G136" s="252" t="s">
        <v>72</v>
      </c>
      <c r="H136" s="252" t="s">
        <v>22</v>
      </c>
      <c r="I136" s="25" t="s">
        <v>40</v>
      </c>
    </row>
    <row r="137" spans="2:14" ht="18" customHeight="1">
      <c r="B137" s="648" t="s">
        <v>94</v>
      </c>
      <c r="C137" s="649" t="s">
        <v>95</v>
      </c>
      <c r="D137" s="654">
        <f>E116</f>
        <v>2642</v>
      </c>
      <c r="E137" s="646"/>
      <c r="F137" s="646"/>
      <c r="G137" s="250">
        <v>1</v>
      </c>
      <c r="H137" s="250">
        <v>1.3360000000000001</v>
      </c>
      <c r="I137" s="59">
        <f>ROUND(D137*H137*G137/1000,3)</f>
        <v>3.53</v>
      </c>
    </row>
    <row r="138" spans="2:14" ht="18" customHeight="1">
      <c r="B138" s="648"/>
      <c r="C138" s="651"/>
      <c r="D138" s="654"/>
      <c r="E138" s="646"/>
      <c r="F138" s="646"/>
      <c r="G138" s="250"/>
      <c r="H138" s="250">
        <f>H137</f>
        <v>1.3360000000000001</v>
      </c>
      <c r="I138" s="59">
        <f>ROUND(D138*H138*G138/1000,3)</f>
        <v>0</v>
      </c>
    </row>
    <row r="139" spans="2:14" ht="18" customHeight="1">
      <c r="B139" s="48" t="s">
        <v>42</v>
      </c>
      <c r="C139" s="49">
        <f>SUMPRODUCT(D137:F138*G137:G138)/1000</f>
        <v>2.6419999999999999</v>
      </c>
      <c r="D139" s="50" t="s">
        <v>43</v>
      </c>
      <c r="E139" s="49">
        <f>SUM(I137:I138)*1.1</f>
        <v>3.883</v>
      </c>
      <c r="F139" s="50" t="s">
        <v>44</v>
      </c>
      <c r="G139" s="51">
        <f>(C$218+C$219)/1000</f>
        <v>46.081499999999998</v>
      </c>
      <c r="H139" s="52" t="s">
        <v>45</v>
      </c>
      <c r="I139" s="53">
        <f>ROUND(E139*G139,2)</f>
        <v>178.93</v>
      </c>
    </row>
    <row r="140" spans="2:14" ht="18" customHeight="1">
      <c r="B140" s="48" t="s">
        <v>46</v>
      </c>
      <c r="C140" s="50">
        <v>143.24</v>
      </c>
      <c r="D140" s="50" t="s">
        <v>47</v>
      </c>
      <c r="E140" s="49">
        <f>ROUND(C139*(C140/1000),2)</f>
        <v>0.38</v>
      </c>
      <c r="F140" s="50" t="s">
        <v>48</v>
      </c>
      <c r="G140" s="50">
        <f>G$23</f>
        <v>10</v>
      </c>
      <c r="H140" s="52" t="s">
        <v>49</v>
      </c>
      <c r="I140" s="53">
        <f>E140*G140</f>
        <v>3.8</v>
      </c>
    </row>
    <row r="141" spans="2:14" ht="18" customHeight="1">
      <c r="B141" s="48" t="s">
        <v>50</v>
      </c>
      <c r="C141" s="50">
        <v>85.04</v>
      </c>
      <c r="D141" s="50" t="s">
        <v>51</v>
      </c>
      <c r="E141" s="49">
        <f>ROUND(C139*(C141/1000),2)</f>
        <v>0.22</v>
      </c>
      <c r="F141" s="50" t="s">
        <v>48</v>
      </c>
      <c r="G141" s="50">
        <f>G$24</f>
        <v>10</v>
      </c>
      <c r="H141" s="52" t="s">
        <v>49</v>
      </c>
      <c r="I141" s="53">
        <f>E141*G141</f>
        <v>2.2000000000000002</v>
      </c>
    </row>
    <row r="142" spans="2:14" ht="18" customHeight="1">
      <c r="B142" s="23" t="s">
        <v>36</v>
      </c>
      <c r="C142" s="252" t="s">
        <v>14</v>
      </c>
      <c r="D142" s="252" t="s">
        <v>37</v>
      </c>
      <c r="E142" s="252" t="s">
        <v>38</v>
      </c>
      <c r="F142" s="252" t="s">
        <v>39</v>
      </c>
      <c r="G142" s="252" t="s">
        <v>8</v>
      </c>
      <c r="H142" s="252" t="s">
        <v>22</v>
      </c>
      <c r="I142" s="25" t="s">
        <v>40</v>
      </c>
    </row>
    <row r="143" spans="2:14" ht="18" customHeight="1">
      <c r="B143" s="648" t="s">
        <v>96</v>
      </c>
      <c r="C143" s="653" t="s">
        <v>83</v>
      </c>
      <c r="D143" s="253">
        <f t="shared" ref="D143:E145" si="20">D116-154</f>
        <v>765</v>
      </c>
      <c r="E143" s="253">
        <f t="shared" si="20"/>
        <v>2488</v>
      </c>
      <c r="F143" s="253">
        <f>(D143+E143)*2/1000</f>
        <v>6.5060000000000002</v>
      </c>
      <c r="G143" s="250">
        <f>G116</f>
        <v>2</v>
      </c>
      <c r="H143" s="250">
        <v>0.27100000000000002</v>
      </c>
      <c r="I143" s="59">
        <f>ROUND((F143*G143)*H143,3)</f>
        <v>3.5259999999999998</v>
      </c>
    </row>
    <row r="144" spans="2:14" ht="18" customHeight="1">
      <c r="B144" s="648"/>
      <c r="C144" s="650"/>
      <c r="D144" s="253">
        <f t="shared" si="20"/>
        <v>-154</v>
      </c>
      <c r="E144" s="253">
        <f t="shared" si="20"/>
        <v>-154</v>
      </c>
      <c r="F144" s="253">
        <f>(D144+E144)*2/1000</f>
        <v>-0.61599999999999999</v>
      </c>
      <c r="G144" s="250">
        <f>G117</f>
        <v>0</v>
      </c>
      <c r="H144" s="250">
        <f>H143</f>
        <v>0.27100000000000002</v>
      </c>
      <c r="I144" s="59">
        <f>ROUND((F144*G144)*H144,3)</f>
        <v>0</v>
      </c>
    </row>
    <row r="145" spans="2:14" ht="18" customHeight="1">
      <c r="B145" s="648"/>
      <c r="C145" s="651"/>
      <c r="D145" s="253">
        <f t="shared" si="20"/>
        <v>-154</v>
      </c>
      <c r="E145" s="253">
        <f t="shared" si="20"/>
        <v>-154</v>
      </c>
      <c r="F145" s="253">
        <f>(D145+E145)*2/1000</f>
        <v>-0.61599999999999999</v>
      </c>
      <c r="G145" s="250">
        <f>G118</f>
        <v>0</v>
      </c>
      <c r="H145" s="250">
        <f>H144</f>
        <v>0.27100000000000002</v>
      </c>
      <c r="I145" s="59">
        <f>ROUND((F145*G145)*H145,3)</f>
        <v>0</v>
      </c>
    </row>
    <row r="146" spans="2:14" ht="18" customHeight="1">
      <c r="B146" s="48" t="s">
        <v>42</v>
      </c>
      <c r="C146" s="49">
        <f>SUMPRODUCT(F143:F145*G143:G145)</f>
        <v>13.012</v>
      </c>
      <c r="D146" s="50" t="s">
        <v>43</v>
      </c>
      <c r="E146" s="49">
        <f>SUM(I143:I145)*1.1</f>
        <v>3.8786</v>
      </c>
      <c r="F146" s="50" t="s">
        <v>44</v>
      </c>
      <c r="G146" s="51">
        <f>(C$218+C$222)/1000</f>
        <v>39.781500000000001</v>
      </c>
      <c r="H146" s="52" t="s">
        <v>45</v>
      </c>
      <c r="I146" s="53">
        <f>ROUND(E146*G146,2)</f>
        <v>154.30000000000001</v>
      </c>
    </row>
    <row r="147" spans="2:14" ht="18" customHeight="1">
      <c r="B147" s="48" t="s">
        <v>46</v>
      </c>
      <c r="C147" s="50">
        <v>186.72</v>
      </c>
      <c r="D147" s="50" t="s">
        <v>47</v>
      </c>
      <c r="E147" s="49">
        <f>ROUND(C146*(C147/1000),2)</f>
        <v>2.4300000000000002</v>
      </c>
      <c r="F147" s="50" t="s">
        <v>48</v>
      </c>
      <c r="G147" s="50">
        <f>G$23</f>
        <v>10</v>
      </c>
      <c r="H147" s="52" t="s">
        <v>49</v>
      </c>
      <c r="I147" s="53">
        <f>E147*G147</f>
        <v>24.3</v>
      </c>
      <c r="K147" s="42"/>
      <c r="L147" s="42"/>
      <c r="M147" s="42"/>
    </row>
    <row r="148" spans="2:14" ht="18" customHeight="1">
      <c r="B148" s="48" t="s">
        <v>50</v>
      </c>
      <c r="C148" s="50">
        <v>0</v>
      </c>
      <c r="D148" s="50" t="s">
        <v>51</v>
      </c>
      <c r="E148" s="49">
        <f>ROUND(C146*(C148/1000),2)</f>
        <v>0</v>
      </c>
      <c r="F148" s="50" t="s">
        <v>48</v>
      </c>
      <c r="G148" s="50">
        <f>G$24</f>
        <v>10</v>
      </c>
      <c r="H148" s="52" t="s">
        <v>49</v>
      </c>
      <c r="I148" s="53">
        <f>E148*G148</f>
        <v>0</v>
      </c>
      <c r="K148" s="42"/>
      <c r="L148" s="42"/>
      <c r="M148" s="42"/>
    </row>
    <row r="149" spans="2:14" ht="18" customHeight="1">
      <c r="B149" s="23" t="s">
        <v>36</v>
      </c>
      <c r="C149" s="252" t="s">
        <v>14</v>
      </c>
      <c r="D149" s="252" t="s">
        <v>37</v>
      </c>
      <c r="E149" s="252" t="s">
        <v>38</v>
      </c>
      <c r="F149" s="252" t="s">
        <v>39</v>
      </c>
      <c r="G149" s="252" t="s">
        <v>8</v>
      </c>
      <c r="H149" s="252" t="s">
        <v>22</v>
      </c>
      <c r="I149" s="25" t="s">
        <v>40</v>
      </c>
      <c r="K149" s="42"/>
      <c r="L149" s="42"/>
      <c r="M149" s="42"/>
    </row>
    <row r="150" spans="2:14" ht="18" customHeight="1">
      <c r="B150" s="648" t="s">
        <v>97</v>
      </c>
      <c r="C150" s="653" t="s">
        <v>83</v>
      </c>
      <c r="D150" s="253">
        <f t="shared" ref="D150:E152" si="21">D123-160</f>
        <v>-160</v>
      </c>
      <c r="E150" s="253">
        <f t="shared" si="21"/>
        <v>-160</v>
      </c>
      <c r="F150" s="253">
        <f>(D150+E150)*2/1000</f>
        <v>-0.64</v>
      </c>
      <c r="G150" s="250">
        <f>G123</f>
        <v>0</v>
      </c>
      <c r="H150" s="250">
        <f>H145</f>
        <v>0.27100000000000002</v>
      </c>
      <c r="I150" s="59">
        <f>ROUND((F150*G150)*H150,3)</f>
        <v>0</v>
      </c>
      <c r="K150" s="42"/>
      <c r="L150" s="42"/>
      <c r="M150" s="42"/>
    </row>
    <row r="151" spans="2:14" ht="18" customHeight="1">
      <c r="B151" s="648"/>
      <c r="C151" s="650"/>
      <c r="D151" s="253">
        <f t="shared" si="21"/>
        <v>-160</v>
      </c>
      <c r="E151" s="253">
        <f t="shared" si="21"/>
        <v>-160</v>
      </c>
      <c r="F151" s="253">
        <f>(D151+E151)*2/1000</f>
        <v>-0.64</v>
      </c>
      <c r="G151" s="250">
        <f>G124</f>
        <v>0</v>
      </c>
      <c r="H151" s="250">
        <f>H150</f>
        <v>0.27100000000000002</v>
      </c>
      <c r="I151" s="59">
        <f>ROUND((F151*G151)*H151,3)</f>
        <v>0</v>
      </c>
      <c r="K151" s="42"/>
      <c r="L151" s="42"/>
      <c r="M151" s="42"/>
    </row>
    <row r="152" spans="2:14" ht="18" customHeight="1">
      <c r="B152" s="648"/>
      <c r="C152" s="651"/>
      <c r="D152" s="253">
        <f t="shared" si="21"/>
        <v>-160</v>
      </c>
      <c r="E152" s="253">
        <f t="shared" si="21"/>
        <v>-160</v>
      </c>
      <c r="F152" s="253">
        <f>(D152+E152)*2/1000</f>
        <v>-0.64</v>
      </c>
      <c r="G152" s="250">
        <f>G125</f>
        <v>0</v>
      </c>
      <c r="H152" s="250">
        <f>H151</f>
        <v>0.27100000000000002</v>
      </c>
      <c r="I152" s="59">
        <f>ROUND((F152*G152)*H152,3)</f>
        <v>0</v>
      </c>
      <c r="K152" s="42"/>
      <c r="L152" s="42"/>
      <c r="M152" s="42"/>
    </row>
    <row r="153" spans="2:14" ht="18" customHeight="1">
      <c r="B153" s="48" t="s">
        <v>42</v>
      </c>
      <c r="C153" s="49">
        <f>SUMPRODUCT(F150:F152*G150:G152)</f>
        <v>0</v>
      </c>
      <c r="D153" s="50" t="s">
        <v>43</v>
      </c>
      <c r="E153" s="49">
        <f>SUM(I150:I152)*1.1</f>
        <v>0</v>
      </c>
      <c r="F153" s="50" t="s">
        <v>44</v>
      </c>
      <c r="G153" s="51">
        <f>(C$218+C$222)/1000</f>
        <v>39.781500000000001</v>
      </c>
      <c r="H153" s="52" t="s">
        <v>45</v>
      </c>
      <c r="I153" s="53">
        <f>ROUND(E153*G153,2)</f>
        <v>0</v>
      </c>
      <c r="K153" s="42"/>
      <c r="L153" s="42"/>
      <c r="M153" s="42"/>
    </row>
    <row r="154" spans="2:14" ht="18" customHeight="1">
      <c r="B154" s="48" t="s">
        <v>46</v>
      </c>
      <c r="C154" s="50">
        <v>186.72</v>
      </c>
      <c r="D154" s="50" t="s">
        <v>47</v>
      </c>
      <c r="E154" s="49">
        <f>ROUND(C153*(C154/1000),2)</f>
        <v>0</v>
      </c>
      <c r="F154" s="50" t="s">
        <v>48</v>
      </c>
      <c r="G154" s="50">
        <f>G$23</f>
        <v>10</v>
      </c>
      <c r="H154" s="52" t="s">
        <v>49</v>
      </c>
      <c r="I154" s="53">
        <f>E154*G154</f>
        <v>0</v>
      </c>
    </row>
    <row r="155" spans="2:14" ht="18" customHeight="1" thickBot="1">
      <c r="B155" s="48" t="s">
        <v>50</v>
      </c>
      <c r="C155" s="50">
        <v>0</v>
      </c>
      <c r="D155" s="50" t="s">
        <v>51</v>
      </c>
      <c r="E155" s="49">
        <f>ROUND(C153*(C155/1000),2)</f>
        <v>0</v>
      </c>
      <c r="F155" s="50" t="s">
        <v>48</v>
      </c>
      <c r="G155" s="50">
        <f>G$24</f>
        <v>10</v>
      </c>
      <c r="H155" s="52" t="s">
        <v>49</v>
      </c>
      <c r="I155" s="53">
        <f>E155*G155</f>
        <v>0</v>
      </c>
    </row>
    <row r="156" spans="2:14" ht="18" customHeight="1" thickBot="1">
      <c r="B156" s="23" t="s">
        <v>36</v>
      </c>
      <c r="C156" s="252" t="s">
        <v>14</v>
      </c>
      <c r="D156" s="252" t="s">
        <v>37</v>
      </c>
      <c r="E156" s="252" t="s">
        <v>38</v>
      </c>
      <c r="F156" s="252" t="s">
        <v>39</v>
      </c>
      <c r="G156" s="252" t="s">
        <v>8</v>
      </c>
      <c r="H156" s="252" t="s">
        <v>22</v>
      </c>
      <c r="I156" s="25" t="s">
        <v>40</v>
      </c>
      <c r="J156" s="54" t="s">
        <v>2</v>
      </c>
      <c r="K156" s="55" t="s">
        <v>3</v>
      </c>
      <c r="L156" s="55" t="s">
        <v>61</v>
      </c>
      <c r="M156" s="55" t="s">
        <v>62</v>
      </c>
      <c r="N156" s="70" t="s">
        <v>14</v>
      </c>
    </row>
    <row r="157" spans="2:14" ht="18" customHeight="1">
      <c r="B157" s="648" t="s">
        <v>98</v>
      </c>
      <c r="C157" s="649" t="s">
        <v>99</v>
      </c>
      <c r="D157" s="253">
        <f t="shared" ref="D157:E162" si="22">J157-IF(L157=1,90,IF(L157=2,67.5,IF(L157=3,45,0)))</f>
        <v>0</v>
      </c>
      <c r="E157" s="253">
        <f t="shared" si="22"/>
        <v>0</v>
      </c>
      <c r="F157" s="253">
        <f t="shared" ref="F157:F162" si="23">2*(D157+E157)/1000</f>
        <v>0</v>
      </c>
      <c r="G157" s="250">
        <v>0</v>
      </c>
      <c r="H157" s="250">
        <f>H68</f>
        <v>0.224</v>
      </c>
      <c r="I157" s="59">
        <f t="shared" ref="I157:I162" si="24">ROUND((F157*G157)*H157,3)</f>
        <v>0</v>
      </c>
      <c r="J157" s="60"/>
      <c r="K157" s="61"/>
      <c r="L157" s="61"/>
      <c r="M157" s="61"/>
      <c r="N157" s="76" t="s">
        <v>56</v>
      </c>
    </row>
    <row r="158" spans="2:14" ht="18" customHeight="1">
      <c r="B158" s="648"/>
      <c r="C158" s="650"/>
      <c r="D158" s="253">
        <f t="shared" si="22"/>
        <v>0</v>
      </c>
      <c r="E158" s="253">
        <f t="shared" si="22"/>
        <v>0</v>
      </c>
      <c r="F158" s="253">
        <f t="shared" si="23"/>
        <v>0</v>
      </c>
      <c r="G158" s="250"/>
      <c r="H158" s="250">
        <f>H157</f>
        <v>0.224</v>
      </c>
      <c r="I158" s="59">
        <f t="shared" si="24"/>
        <v>0</v>
      </c>
      <c r="J158" s="60"/>
      <c r="K158" s="61"/>
      <c r="L158" s="61"/>
      <c r="M158" s="61"/>
      <c r="N158" s="76" t="s">
        <v>58</v>
      </c>
    </row>
    <row r="159" spans="2:14" ht="18" customHeight="1">
      <c r="B159" s="648"/>
      <c r="C159" s="650"/>
      <c r="D159" s="253">
        <f t="shared" si="22"/>
        <v>0</v>
      </c>
      <c r="E159" s="253">
        <f t="shared" si="22"/>
        <v>0</v>
      </c>
      <c r="F159" s="253">
        <f t="shared" si="23"/>
        <v>0</v>
      </c>
      <c r="G159" s="250"/>
      <c r="H159" s="250">
        <f>H158</f>
        <v>0.224</v>
      </c>
      <c r="I159" s="59">
        <f t="shared" si="24"/>
        <v>0</v>
      </c>
      <c r="J159" s="60"/>
      <c r="K159" s="61"/>
      <c r="L159" s="61"/>
      <c r="M159" s="61"/>
      <c r="N159" s="76" t="s">
        <v>60</v>
      </c>
    </row>
    <row r="160" spans="2:14" ht="18" customHeight="1">
      <c r="B160" s="648"/>
      <c r="C160" s="650"/>
      <c r="D160" s="253">
        <f t="shared" si="22"/>
        <v>0</v>
      </c>
      <c r="E160" s="253">
        <f t="shared" si="22"/>
        <v>0</v>
      </c>
      <c r="F160" s="253">
        <f t="shared" si="23"/>
        <v>0</v>
      </c>
      <c r="G160" s="250">
        <v>0</v>
      </c>
      <c r="H160" s="77">
        <f>H159</f>
        <v>0.224</v>
      </c>
      <c r="I160" s="59">
        <f t="shared" si="24"/>
        <v>0</v>
      </c>
      <c r="J160" s="60"/>
      <c r="K160" s="61"/>
      <c r="L160" s="61"/>
      <c r="M160" s="61"/>
      <c r="N160" s="76"/>
    </row>
    <row r="161" spans="2:16" ht="18" customHeight="1">
      <c r="B161" s="648"/>
      <c r="C161" s="650"/>
      <c r="D161" s="253">
        <f t="shared" si="22"/>
        <v>0</v>
      </c>
      <c r="E161" s="253">
        <f t="shared" si="22"/>
        <v>0</v>
      </c>
      <c r="F161" s="253">
        <f t="shared" si="23"/>
        <v>0</v>
      </c>
      <c r="G161" s="250"/>
      <c r="H161" s="250">
        <f>H160</f>
        <v>0.224</v>
      </c>
      <c r="I161" s="59">
        <f t="shared" si="24"/>
        <v>0</v>
      </c>
      <c r="J161" s="60"/>
      <c r="K161" s="61"/>
      <c r="L161" s="61"/>
      <c r="M161" s="61"/>
      <c r="N161" s="76"/>
    </row>
    <row r="162" spans="2:16" ht="18" customHeight="1" thickBot="1">
      <c r="B162" s="648"/>
      <c r="C162" s="651"/>
      <c r="D162" s="253">
        <f t="shared" si="22"/>
        <v>0</v>
      </c>
      <c r="E162" s="253">
        <f t="shared" si="22"/>
        <v>0</v>
      </c>
      <c r="F162" s="253">
        <f t="shared" si="23"/>
        <v>0</v>
      </c>
      <c r="G162" s="250"/>
      <c r="H162" s="250">
        <f>H160</f>
        <v>0.224</v>
      </c>
      <c r="I162" s="59">
        <f t="shared" si="24"/>
        <v>0</v>
      </c>
      <c r="J162" s="64"/>
      <c r="K162" s="65"/>
      <c r="L162" s="65"/>
      <c r="M162" s="65"/>
      <c r="N162" s="80"/>
    </row>
    <row r="163" spans="2:16" ht="18" customHeight="1">
      <c r="B163" s="48" t="s">
        <v>42</v>
      </c>
      <c r="C163" s="49">
        <f>SUMPRODUCT(F157:F162*G157:G162)</f>
        <v>0</v>
      </c>
      <c r="D163" s="50" t="s">
        <v>43</v>
      </c>
      <c r="E163" s="49">
        <f>SUM(I157:I162)*1.1</f>
        <v>0</v>
      </c>
      <c r="F163" s="50" t="s">
        <v>44</v>
      </c>
      <c r="G163" s="51">
        <f>(C$218+C$222)/1000</f>
        <v>39.781500000000001</v>
      </c>
      <c r="H163" s="52" t="s">
        <v>45</v>
      </c>
      <c r="I163" s="53">
        <f>ROUND(E163*G163,2)</f>
        <v>0</v>
      </c>
      <c r="J163" s="102"/>
      <c r="K163" s="102"/>
      <c r="L163" s="102"/>
      <c r="M163" s="102"/>
      <c r="O163" s="102"/>
      <c r="P163" s="102"/>
    </row>
    <row r="164" spans="2:16" ht="18" customHeight="1">
      <c r="B164" s="48" t="s">
        <v>46</v>
      </c>
      <c r="C164" s="50">
        <v>181.72</v>
      </c>
      <c r="D164" s="50" t="s">
        <v>47</v>
      </c>
      <c r="E164" s="49">
        <f>ROUND(C163*(C164/1000),2)</f>
        <v>0</v>
      </c>
      <c r="F164" s="50" t="s">
        <v>48</v>
      </c>
      <c r="G164" s="50">
        <f>G$23</f>
        <v>10</v>
      </c>
      <c r="H164" s="52" t="s">
        <v>49</v>
      </c>
      <c r="I164" s="53">
        <f>E164*G164</f>
        <v>0</v>
      </c>
      <c r="J164" s="102"/>
      <c r="K164" s="102"/>
      <c r="L164" s="102"/>
      <c r="M164" s="102"/>
      <c r="O164" s="102"/>
      <c r="P164" s="102"/>
    </row>
    <row r="165" spans="2:16" ht="18" customHeight="1">
      <c r="B165" s="48" t="s">
        <v>50</v>
      </c>
      <c r="C165" s="50"/>
      <c r="D165" s="50" t="s">
        <v>51</v>
      </c>
      <c r="E165" s="49">
        <f>ROUND(C163*(C165/1000),2)</f>
        <v>0</v>
      </c>
      <c r="F165" s="50" t="s">
        <v>48</v>
      </c>
      <c r="G165" s="50">
        <f>G$24</f>
        <v>10</v>
      </c>
      <c r="H165" s="52" t="s">
        <v>49</v>
      </c>
      <c r="I165" s="53">
        <f>E165*G165</f>
        <v>0</v>
      </c>
      <c r="K165" s="43">
        <f>J165*E165</f>
        <v>0</v>
      </c>
    </row>
    <row r="166" spans="2:16" ht="18" customHeight="1">
      <c r="B166" s="23" t="s">
        <v>36</v>
      </c>
      <c r="C166" s="252" t="s">
        <v>14</v>
      </c>
      <c r="D166" s="252" t="s">
        <v>37</v>
      </c>
      <c r="E166" s="252" t="s">
        <v>71</v>
      </c>
      <c r="F166" s="252" t="s">
        <v>38</v>
      </c>
      <c r="G166" s="252" t="s">
        <v>72</v>
      </c>
      <c r="H166" s="252" t="s">
        <v>22</v>
      </c>
      <c r="I166" s="25" t="s">
        <v>40</v>
      </c>
    </row>
    <row r="167" spans="2:16" ht="18" customHeight="1">
      <c r="B167" s="648" t="s">
        <v>100</v>
      </c>
      <c r="C167" s="649" t="s">
        <v>101</v>
      </c>
      <c r="D167" s="250"/>
      <c r="E167" s="250"/>
      <c r="F167" s="250"/>
      <c r="G167" s="250"/>
      <c r="H167" s="28">
        <v>6.3E-2</v>
      </c>
      <c r="I167" s="59">
        <f>ROUND((D167*E167+F167*G167)/1000*H167,3)</f>
        <v>0</v>
      </c>
    </row>
    <row r="168" spans="2:16" ht="18" customHeight="1">
      <c r="B168" s="648"/>
      <c r="C168" s="650"/>
      <c r="D168" s="250"/>
      <c r="E168" s="250"/>
      <c r="F168" s="250"/>
      <c r="G168" s="250"/>
      <c r="H168" s="28">
        <f>H167</f>
        <v>6.3E-2</v>
      </c>
      <c r="I168" s="59">
        <f>ROUND((D168*E168+F168*G168)/1000*H168,3)</f>
        <v>0</v>
      </c>
    </row>
    <row r="169" spans="2:16" ht="18" customHeight="1">
      <c r="B169" s="648"/>
      <c r="C169" s="651"/>
      <c r="D169" s="250"/>
      <c r="E169" s="250"/>
      <c r="F169" s="250"/>
      <c r="G169" s="250"/>
      <c r="H169" s="28">
        <f>H168</f>
        <v>6.3E-2</v>
      </c>
      <c r="I169" s="59">
        <f>ROUND((D169*E169+F169*G169)/1000*H169,3)</f>
        <v>0</v>
      </c>
    </row>
    <row r="170" spans="2:16" ht="18" customHeight="1">
      <c r="B170" s="48" t="s">
        <v>42</v>
      </c>
      <c r="C170" s="49">
        <f>SUMPRODUCT(D167:D169*E167:E169+F167:F169*G167:G169)/1000</f>
        <v>0</v>
      </c>
      <c r="D170" s="50" t="s">
        <v>43</v>
      </c>
      <c r="E170" s="49">
        <f>SUM(I167:I169)*1.1</f>
        <v>0</v>
      </c>
      <c r="F170" s="50" t="s">
        <v>44</v>
      </c>
      <c r="G170" s="51">
        <f>(C$218+$C$222)/1000</f>
        <v>39.781500000000001</v>
      </c>
      <c r="H170" s="52" t="s">
        <v>45</v>
      </c>
      <c r="I170" s="53">
        <f>ROUND(E170*G170,2)</f>
        <v>0</v>
      </c>
    </row>
    <row r="171" spans="2:16" ht="18" customHeight="1">
      <c r="B171" s="48" t="s">
        <v>46</v>
      </c>
      <c r="C171" s="50">
        <v>105.66</v>
      </c>
      <c r="D171" s="50" t="s">
        <v>47</v>
      </c>
      <c r="E171" s="49">
        <f>ROUND(C170*(C171/1000),2)</f>
        <v>0</v>
      </c>
      <c r="F171" s="50" t="s">
        <v>48</v>
      </c>
      <c r="G171" s="50">
        <f>G$23</f>
        <v>10</v>
      </c>
      <c r="H171" s="52" t="s">
        <v>49</v>
      </c>
      <c r="I171" s="53">
        <f>E171*G171</f>
        <v>0</v>
      </c>
    </row>
    <row r="172" spans="2:16" ht="18" customHeight="1">
      <c r="B172" s="48" t="s">
        <v>50</v>
      </c>
      <c r="C172" s="50">
        <v>125.66</v>
      </c>
      <c r="D172" s="50" t="s">
        <v>51</v>
      </c>
      <c r="E172" s="49">
        <f>ROUND(C170*(C172/1000),2)</f>
        <v>0</v>
      </c>
      <c r="F172" s="50" t="s">
        <v>48</v>
      </c>
      <c r="G172" s="50">
        <f>G$24</f>
        <v>10</v>
      </c>
      <c r="H172" s="52" t="s">
        <v>49</v>
      </c>
      <c r="I172" s="53">
        <f>E172*G172</f>
        <v>0</v>
      </c>
    </row>
    <row r="173" spans="2:16" ht="18" customHeight="1">
      <c r="B173" s="23" t="s">
        <v>36</v>
      </c>
      <c r="C173" s="252" t="s">
        <v>14</v>
      </c>
      <c r="D173" s="252" t="s">
        <v>37</v>
      </c>
      <c r="E173" s="252" t="s">
        <v>71</v>
      </c>
      <c r="F173" s="252" t="s">
        <v>38</v>
      </c>
      <c r="G173" s="252" t="s">
        <v>72</v>
      </c>
      <c r="H173" s="252" t="s">
        <v>22</v>
      </c>
      <c r="I173" s="25" t="s">
        <v>40</v>
      </c>
    </row>
    <row r="174" spans="2:16" ht="18" customHeight="1">
      <c r="B174" s="648" t="s">
        <v>102</v>
      </c>
      <c r="C174" s="649" t="s">
        <v>103</v>
      </c>
      <c r="D174" s="250"/>
      <c r="E174" s="250"/>
      <c r="F174" s="250"/>
      <c r="G174" s="250"/>
      <c r="H174" s="28">
        <v>1.0980000000000001</v>
      </c>
      <c r="I174" s="59">
        <f>ROUND((D174*E174+F174*G174)/1000*H174,3)</f>
        <v>0</v>
      </c>
    </row>
    <row r="175" spans="2:16" ht="18" customHeight="1">
      <c r="B175" s="648"/>
      <c r="C175" s="650"/>
      <c r="D175" s="250"/>
      <c r="E175" s="250"/>
      <c r="F175" s="250"/>
      <c r="G175" s="250"/>
      <c r="H175" s="28">
        <f>H174</f>
        <v>1.0980000000000001</v>
      </c>
      <c r="I175" s="59">
        <f>ROUND((D175*E175+F175*G175)/1000*H175,3)</f>
        <v>0</v>
      </c>
    </row>
    <row r="176" spans="2:16" ht="18" customHeight="1">
      <c r="B176" s="648"/>
      <c r="C176" s="651"/>
      <c r="D176" s="250"/>
      <c r="E176" s="250"/>
      <c r="F176" s="250"/>
      <c r="G176" s="250"/>
      <c r="H176" s="28">
        <f>H175</f>
        <v>1.0980000000000001</v>
      </c>
      <c r="I176" s="59">
        <f>ROUND((D176*E176+F176*G176)/1000*H176,3)</f>
        <v>0</v>
      </c>
    </row>
    <row r="177" spans="2:9" ht="18" customHeight="1">
      <c r="B177" s="48" t="s">
        <v>42</v>
      </c>
      <c r="C177" s="49">
        <f>SUMPRODUCT(D174:D176*E174:E176+F174:F176*G174:G176)/1000</f>
        <v>0</v>
      </c>
      <c r="D177" s="50" t="s">
        <v>43</v>
      </c>
      <c r="E177" s="49">
        <f>SUM(I174:I176)*1.1</f>
        <v>0</v>
      </c>
      <c r="F177" s="50" t="s">
        <v>44</v>
      </c>
      <c r="G177" s="51">
        <f>(C$218+C$219)/1000</f>
        <v>46.081499999999998</v>
      </c>
      <c r="H177" s="52" t="s">
        <v>45</v>
      </c>
      <c r="I177" s="53">
        <f>ROUND(E177*G177,2)</f>
        <v>0</v>
      </c>
    </row>
    <row r="178" spans="2:9" ht="18" customHeight="1">
      <c r="B178" s="48" t="s">
        <v>46</v>
      </c>
      <c r="C178" s="50">
        <v>105.66</v>
      </c>
      <c r="D178" s="50" t="s">
        <v>47</v>
      </c>
      <c r="E178" s="49">
        <f>ROUND(C177*(C178/1000),2)</f>
        <v>0</v>
      </c>
      <c r="F178" s="50" t="s">
        <v>48</v>
      </c>
      <c r="G178" s="50">
        <f>G$23</f>
        <v>10</v>
      </c>
      <c r="H178" s="52" t="s">
        <v>49</v>
      </c>
      <c r="I178" s="53">
        <f>E178*G178</f>
        <v>0</v>
      </c>
    </row>
    <row r="179" spans="2:9" ht="18" customHeight="1">
      <c r="B179" s="48" t="s">
        <v>50</v>
      </c>
      <c r="C179" s="50">
        <v>125.66</v>
      </c>
      <c r="D179" s="50" t="s">
        <v>51</v>
      </c>
      <c r="E179" s="49">
        <f>ROUND(C177*(C179/1000),2)</f>
        <v>0</v>
      </c>
      <c r="F179" s="50" t="s">
        <v>48</v>
      </c>
      <c r="G179" s="50">
        <f>G$24</f>
        <v>10</v>
      </c>
      <c r="H179" s="52" t="s">
        <v>49</v>
      </c>
      <c r="I179" s="53">
        <f>E179*G179</f>
        <v>0</v>
      </c>
    </row>
    <row r="180" spans="2:9" ht="18" customHeight="1">
      <c r="B180" s="23" t="s">
        <v>36</v>
      </c>
      <c r="C180" s="252" t="s">
        <v>14</v>
      </c>
      <c r="D180" s="252" t="s">
        <v>37</v>
      </c>
      <c r="E180" s="252" t="s">
        <v>71</v>
      </c>
      <c r="F180" s="252" t="s">
        <v>38</v>
      </c>
      <c r="G180" s="252" t="s">
        <v>72</v>
      </c>
      <c r="H180" s="252" t="s">
        <v>22</v>
      </c>
      <c r="I180" s="25" t="s">
        <v>40</v>
      </c>
    </row>
    <row r="181" spans="2:9" ht="18" customHeight="1">
      <c r="B181" s="648" t="s">
        <v>104</v>
      </c>
      <c r="C181" s="649" t="s">
        <v>105</v>
      </c>
      <c r="D181" s="250">
        <f>D6</f>
        <v>1920</v>
      </c>
      <c r="E181" s="250">
        <v>1</v>
      </c>
      <c r="F181" s="250"/>
      <c r="G181" s="250"/>
      <c r="H181" s="28">
        <v>1.5629999999999999</v>
      </c>
      <c r="I181" s="59">
        <f>ROUND((D181*E181+F181*G181)/1000*H181,3)</f>
        <v>3.0009999999999999</v>
      </c>
    </row>
    <row r="182" spans="2:9" ht="18" customHeight="1">
      <c r="B182" s="648"/>
      <c r="C182" s="650"/>
      <c r="D182" s="250"/>
      <c r="E182" s="250"/>
      <c r="F182" s="250"/>
      <c r="G182" s="250"/>
      <c r="H182" s="28">
        <f>H181</f>
        <v>1.5629999999999999</v>
      </c>
      <c r="I182" s="59">
        <f>ROUND((D182*E182+F182*G182)/1000*H182,3)</f>
        <v>0</v>
      </c>
    </row>
    <row r="183" spans="2:9" ht="18" customHeight="1">
      <c r="B183" s="648"/>
      <c r="C183" s="651"/>
      <c r="D183" s="250"/>
      <c r="E183" s="250"/>
      <c r="F183" s="250"/>
      <c r="G183" s="250"/>
      <c r="H183" s="28">
        <f>H182</f>
        <v>1.5629999999999999</v>
      </c>
      <c r="I183" s="59">
        <f>ROUND((D183*E183+F183*G183)/1000*H183,3)</f>
        <v>0</v>
      </c>
    </row>
    <row r="184" spans="2:9" ht="18" customHeight="1">
      <c r="B184" s="48" t="s">
        <v>42</v>
      </c>
      <c r="C184" s="49">
        <f>SUMPRODUCT(D181:D183*E181:E183+F181:F183*G181:G183)/1000</f>
        <v>1.92</v>
      </c>
      <c r="D184" s="50" t="s">
        <v>43</v>
      </c>
      <c r="E184" s="49">
        <f>SUM(I181:I183)*1.1</f>
        <v>3.3010999999999999</v>
      </c>
      <c r="F184" s="50" t="s">
        <v>44</v>
      </c>
      <c r="G184" s="51">
        <f>(C$218+C$219)/1000</f>
        <v>46.081499999999998</v>
      </c>
      <c r="H184" s="52" t="s">
        <v>45</v>
      </c>
      <c r="I184" s="53">
        <f>ROUND(E184*G184,2)</f>
        <v>152.12</v>
      </c>
    </row>
    <row r="185" spans="2:9" ht="18" customHeight="1">
      <c r="B185" s="48" t="s">
        <v>46</v>
      </c>
      <c r="C185" s="50">
        <v>105.66</v>
      </c>
      <c r="D185" s="50" t="s">
        <v>47</v>
      </c>
      <c r="E185" s="49">
        <f>ROUND(C184*(C185/1000),2)</f>
        <v>0.2</v>
      </c>
      <c r="F185" s="50" t="s">
        <v>48</v>
      </c>
      <c r="G185" s="50">
        <f>G$23</f>
        <v>10</v>
      </c>
      <c r="H185" s="52" t="s">
        <v>49</v>
      </c>
      <c r="I185" s="53">
        <f>E185*G185</f>
        <v>2</v>
      </c>
    </row>
    <row r="186" spans="2:9" ht="18" customHeight="1">
      <c r="B186" s="48" t="s">
        <v>50</v>
      </c>
      <c r="C186" s="50">
        <v>125.66</v>
      </c>
      <c r="D186" s="50" t="s">
        <v>51</v>
      </c>
      <c r="E186" s="49">
        <f>ROUND(C184*(C186/1000),2)</f>
        <v>0.24</v>
      </c>
      <c r="F186" s="50" t="s">
        <v>48</v>
      </c>
      <c r="G186" s="50">
        <f>G$24</f>
        <v>10</v>
      </c>
      <c r="H186" s="52" t="s">
        <v>49</v>
      </c>
      <c r="I186" s="53">
        <f>E186*G186</f>
        <v>2.4</v>
      </c>
    </row>
    <row r="187" spans="2:9" ht="18" customHeight="1">
      <c r="B187" s="23" t="s">
        <v>36</v>
      </c>
      <c r="C187" s="252" t="s">
        <v>14</v>
      </c>
      <c r="D187" s="252" t="s">
        <v>37</v>
      </c>
      <c r="E187" s="252" t="s">
        <v>71</v>
      </c>
      <c r="F187" s="252" t="s">
        <v>38</v>
      </c>
      <c r="G187" s="252" t="s">
        <v>72</v>
      </c>
      <c r="H187" s="252" t="s">
        <v>22</v>
      </c>
      <c r="I187" s="25" t="s">
        <v>40</v>
      </c>
    </row>
    <row r="188" spans="2:9" ht="18" customHeight="1">
      <c r="B188" s="648" t="s">
        <v>106</v>
      </c>
      <c r="C188" s="649" t="s">
        <v>107</v>
      </c>
      <c r="D188" s="250"/>
      <c r="E188" s="250"/>
      <c r="F188" s="250"/>
      <c r="G188" s="250"/>
      <c r="H188" s="28">
        <v>1.732</v>
      </c>
      <c r="I188" s="59">
        <f>ROUND((D188*E188+F188*G188)/1000*H188,3)</f>
        <v>0</v>
      </c>
    </row>
    <row r="189" spans="2:9" ht="18" customHeight="1">
      <c r="B189" s="648"/>
      <c r="C189" s="650"/>
      <c r="D189" s="250"/>
      <c r="E189" s="250"/>
      <c r="F189" s="250"/>
      <c r="G189" s="250"/>
      <c r="H189" s="28">
        <f>H188</f>
        <v>1.732</v>
      </c>
      <c r="I189" s="59">
        <f>ROUND((D189*E189+F189*G189)/1000*H189,3)</f>
        <v>0</v>
      </c>
    </row>
    <row r="190" spans="2:9" ht="18" customHeight="1">
      <c r="B190" s="648"/>
      <c r="C190" s="651"/>
      <c r="D190" s="250"/>
      <c r="E190" s="250"/>
      <c r="F190" s="250">
        <f>E6</f>
        <v>3720</v>
      </c>
      <c r="G190" s="250"/>
      <c r="H190" s="28">
        <f>H189</f>
        <v>1.732</v>
      </c>
      <c r="I190" s="59">
        <f>ROUND((D190*E190+F190*G190)/1000*H190,3)</f>
        <v>0</v>
      </c>
    </row>
    <row r="191" spans="2:9" ht="18" customHeight="1">
      <c r="B191" s="48" t="s">
        <v>42</v>
      </c>
      <c r="C191" s="49">
        <f>SUMPRODUCT(D188:D190*E188:E190+F188:F190*G188:G190)/1000</f>
        <v>0</v>
      </c>
      <c r="D191" s="50" t="s">
        <v>43</v>
      </c>
      <c r="E191" s="49">
        <f>SUM(I188:I190)*1.1</f>
        <v>0</v>
      </c>
      <c r="F191" s="50" t="s">
        <v>44</v>
      </c>
      <c r="G191" s="51">
        <f>(C$218+C$219)/1000</f>
        <v>46.081499999999998</v>
      </c>
      <c r="H191" s="52" t="s">
        <v>45</v>
      </c>
      <c r="I191" s="53">
        <f>ROUND(E191*G191,2)</f>
        <v>0</v>
      </c>
    </row>
    <row r="192" spans="2:9" ht="18" customHeight="1">
      <c r="B192" s="48" t="s">
        <v>46</v>
      </c>
      <c r="C192" s="50">
        <v>105.66</v>
      </c>
      <c r="D192" s="50" t="s">
        <v>47</v>
      </c>
      <c r="E192" s="49">
        <f>ROUND(C191*(C192/1000),2)</f>
        <v>0</v>
      </c>
      <c r="F192" s="50" t="s">
        <v>48</v>
      </c>
      <c r="G192" s="50">
        <f>G$23</f>
        <v>10</v>
      </c>
      <c r="H192" s="52" t="s">
        <v>49</v>
      </c>
      <c r="I192" s="53">
        <f>E192*G192</f>
        <v>0</v>
      </c>
    </row>
    <row r="193" spans="2:15" ht="18" customHeight="1">
      <c r="B193" s="48" t="s">
        <v>50</v>
      </c>
      <c r="C193" s="50">
        <v>125.66</v>
      </c>
      <c r="D193" s="50" t="s">
        <v>51</v>
      </c>
      <c r="E193" s="49">
        <f>ROUND(C191*(C193/1000),2)</f>
        <v>0</v>
      </c>
      <c r="F193" s="50" t="s">
        <v>48</v>
      </c>
      <c r="G193" s="50">
        <f>G$24</f>
        <v>10</v>
      </c>
      <c r="H193" s="52" t="s">
        <v>49</v>
      </c>
      <c r="I193" s="53">
        <f>E193*G193</f>
        <v>0</v>
      </c>
    </row>
    <row r="194" spans="2:15" ht="18" customHeight="1">
      <c r="B194" s="23" t="s">
        <v>36</v>
      </c>
      <c r="C194" s="252" t="s">
        <v>14</v>
      </c>
      <c r="D194" s="652" t="s">
        <v>38</v>
      </c>
      <c r="E194" s="652"/>
      <c r="F194" s="652"/>
      <c r="G194" s="252" t="s">
        <v>72</v>
      </c>
      <c r="H194" s="252" t="s">
        <v>22</v>
      </c>
      <c r="I194" s="25" t="s">
        <v>40</v>
      </c>
    </row>
    <row r="195" spans="2:15" ht="18" customHeight="1">
      <c r="B195" s="643" t="s">
        <v>108</v>
      </c>
      <c r="C195" s="645" t="s">
        <v>109</v>
      </c>
      <c r="D195" s="646"/>
      <c r="E195" s="646"/>
      <c r="F195" s="646"/>
      <c r="G195" s="250"/>
      <c r="H195" s="250">
        <v>1.796</v>
      </c>
      <c r="I195" s="59">
        <f>ROUND((D195*G195*H195)/1000,3)</f>
        <v>0</v>
      </c>
    </row>
    <row r="196" spans="2:15" ht="18" customHeight="1">
      <c r="B196" s="644"/>
      <c r="C196" s="640"/>
      <c r="D196" s="646"/>
      <c r="E196" s="646"/>
      <c r="F196" s="646"/>
      <c r="G196" s="250"/>
      <c r="H196" s="250">
        <f>H195</f>
        <v>1.796</v>
      </c>
      <c r="I196" s="59">
        <f>ROUND((D196*G196*H196)/1000,3)</f>
        <v>0</v>
      </c>
    </row>
    <row r="197" spans="2:15" ht="18" customHeight="1">
      <c r="B197" s="643" t="s">
        <v>110</v>
      </c>
      <c r="C197" s="645" t="s">
        <v>111</v>
      </c>
      <c r="D197" s="646"/>
      <c r="E197" s="646"/>
      <c r="F197" s="646"/>
      <c r="G197" s="250"/>
      <c r="H197" s="250">
        <v>1.355</v>
      </c>
      <c r="I197" s="59"/>
    </row>
    <row r="198" spans="2:15" ht="18" customHeight="1">
      <c r="B198" s="644"/>
      <c r="C198" s="640"/>
      <c r="D198" s="646"/>
      <c r="E198" s="646"/>
      <c r="F198" s="646"/>
      <c r="G198" s="250"/>
      <c r="H198" s="250">
        <f>H197</f>
        <v>1.355</v>
      </c>
      <c r="I198" s="59"/>
    </row>
    <row r="199" spans="2:15" ht="18" customHeight="1">
      <c r="B199" s="48" t="s">
        <v>42</v>
      </c>
      <c r="C199" s="49">
        <f>SUMPRODUCT(D195:F198*G195:G198)/1000</f>
        <v>0</v>
      </c>
      <c r="D199" s="50" t="s">
        <v>43</v>
      </c>
      <c r="E199" s="49">
        <f>SUM(I195:I198)*1.1</f>
        <v>0</v>
      </c>
      <c r="F199" s="50" t="s">
        <v>44</v>
      </c>
      <c r="G199" s="51">
        <f>(C$218+C$219)/1000</f>
        <v>46.081499999999998</v>
      </c>
      <c r="H199" s="52" t="s">
        <v>45</v>
      </c>
      <c r="I199" s="53">
        <f>ROUND(E199*G199,2)</f>
        <v>0</v>
      </c>
    </row>
    <row r="200" spans="2:15" ht="18" customHeight="1">
      <c r="B200" s="48" t="s">
        <v>46</v>
      </c>
      <c r="C200" s="50">
        <v>267.77999999999997</v>
      </c>
      <c r="D200" s="50" t="s">
        <v>47</v>
      </c>
      <c r="E200" s="49">
        <f>ROUND(C199*(C200/1000),2)</f>
        <v>0</v>
      </c>
      <c r="F200" s="50" t="s">
        <v>48</v>
      </c>
      <c r="G200" s="50">
        <f>G$23</f>
        <v>10</v>
      </c>
      <c r="H200" s="52" t="s">
        <v>49</v>
      </c>
      <c r="I200" s="53">
        <f>E200*G200</f>
        <v>0</v>
      </c>
    </row>
    <row r="201" spans="2:15" ht="18" customHeight="1">
      <c r="B201" s="48" t="s">
        <v>50</v>
      </c>
      <c r="C201" s="50">
        <v>104.29</v>
      </c>
      <c r="D201" s="50" t="s">
        <v>51</v>
      </c>
      <c r="E201" s="49">
        <f>ROUND(C199*(C201/1000),2)</f>
        <v>0</v>
      </c>
      <c r="F201" s="50" t="s">
        <v>48</v>
      </c>
      <c r="G201" s="50">
        <f>G$24</f>
        <v>10</v>
      </c>
      <c r="H201" s="52" t="s">
        <v>49</v>
      </c>
      <c r="I201" s="53">
        <f>E201*G201</f>
        <v>0</v>
      </c>
    </row>
    <row r="202" spans="2:15" ht="18" customHeight="1">
      <c r="B202" s="103" t="s">
        <v>112</v>
      </c>
      <c r="C202" s="104" t="s">
        <v>113</v>
      </c>
      <c r="D202" s="104" t="s">
        <v>28</v>
      </c>
      <c r="E202" s="104" t="s">
        <v>8</v>
      </c>
      <c r="F202" s="104" t="s">
        <v>112</v>
      </c>
      <c r="G202" s="104" t="s">
        <v>113</v>
      </c>
      <c r="H202" s="104" t="s">
        <v>28</v>
      </c>
      <c r="I202" s="105" t="s">
        <v>8</v>
      </c>
      <c r="N202" s="106"/>
      <c r="O202" s="102"/>
    </row>
    <row r="203" spans="2:15" ht="18" customHeight="1">
      <c r="B203" s="251" t="s">
        <v>327</v>
      </c>
      <c r="C203" s="107" t="s">
        <v>114</v>
      </c>
      <c r="D203" s="108">
        <v>2.15</v>
      </c>
      <c r="E203" s="253">
        <f>SUM(G14:G21)*4</f>
        <v>4</v>
      </c>
      <c r="F203" s="647" t="s">
        <v>115</v>
      </c>
      <c r="G203" s="107" t="s">
        <v>116</v>
      </c>
      <c r="H203" s="108">
        <v>2.46</v>
      </c>
      <c r="I203" s="247">
        <f>SUM(G108:G111)*4</f>
        <v>4</v>
      </c>
      <c r="J203" s="42"/>
      <c r="N203" s="106"/>
      <c r="O203" s="102"/>
    </row>
    <row r="204" spans="2:15" ht="18" customHeight="1">
      <c r="B204" s="251" t="s">
        <v>328</v>
      </c>
      <c r="C204" s="107" t="s">
        <v>117</v>
      </c>
      <c r="D204" s="108">
        <v>1.72</v>
      </c>
      <c r="E204" s="253">
        <f>E203</f>
        <v>4</v>
      </c>
      <c r="F204" s="646"/>
      <c r="G204" s="107" t="s">
        <v>118</v>
      </c>
      <c r="H204" s="108">
        <v>3.11</v>
      </c>
      <c r="I204" s="247">
        <f>I203</f>
        <v>4</v>
      </c>
      <c r="J204" s="42"/>
      <c r="N204" s="106"/>
      <c r="O204" s="102"/>
    </row>
    <row r="205" spans="2:15" ht="18" customHeight="1">
      <c r="B205" s="109" t="s">
        <v>330</v>
      </c>
      <c r="C205" s="107" t="s">
        <v>119</v>
      </c>
      <c r="D205" s="108">
        <v>2.68</v>
      </c>
      <c r="E205" s="253">
        <f>SUM(G26:G30)*4</f>
        <v>0</v>
      </c>
      <c r="F205" s="110" t="s">
        <v>120</v>
      </c>
      <c r="G205" s="107" t="s">
        <v>121</v>
      </c>
      <c r="H205" s="111">
        <v>4.76</v>
      </c>
      <c r="I205" s="247">
        <f>SUM(G123:G125)*4</f>
        <v>0</v>
      </c>
      <c r="J205" s="42"/>
      <c r="N205" s="106"/>
      <c r="O205" s="102"/>
    </row>
    <row r="206" spans="2:15" ht="18" customHeight="1">
      <c r="B206" s="109" t="s">
        <v>329</v>
      </c>
      <c r="C206" s="107" t="s">
        <v>122</v>
      </c>
      <c r="D206" s="108">
        <v>1.27</v>
      </c>
      <c r="E206" s="253">
        <f>E205</f>
        <v>0</v>
      </c>
      <c r="F206" s="110" t="s">
        <v>123</v>
      </c>
      <c r="G206" s="107" t="s">
        <v>124</v>
      </c>
      <c r="H206" s="111">
        <v>3.85</v>
      </c>
      <c r="I206" s="247">
        <f>I205</f>
        <v>0</v>
      </c>
      <c r="J206" s="42"/>
      <c r="N206" s="106"/>
      <c r="O206" s="102"/>
    </row>
    <row r="207" spans="2:15" ht="18" customHeight="1">
      <c r="B207" s="109" t="s">
        <v>331</v>
      </c>
      <c r="C207" s="107" t="s">
        <v>125</v>
      </c>
      <c r="D207" s="111" t="s">
        <v>126</v>
      </c>
      <c r="E207" s="253">
        <f>SUM(G35:G37)*4</f>
        <v>0</v>
      </c>
      <c r="F207" s="110" t="s">
        <v>127</v>
      </c>
      <c r="G207" s="107" t="s">
        <v>128</v>
      </c>
      <c r="H207" s="111">
        <v>4.29</v>
      </c>
      <c r="I207" s="247">
        <f>SUM(G116:G118)*4</f>
        <v>8</v>
      </c>
      <c r="J207" s="42"/>
      <c r="N207" s="106"/>
      <c r="O207" s="102"/>
    </row>
    <row r="208" spans="2:15" ht="18" customHeight="1">
      <c r="B208" s="109" t="s">
        <v>332</v>
      </c>
      <c r="C208" s="107" t="s">
        <v>129</v>
      </c>
      <c r="D208" s="111" t="s">
        <v>130</v>
      </c>
      <c r="E208" s="253">
        <f>E207</f>
        <v>0</v>
      </c>
      <c r="F208" s="110" t="s">
        <v>131</v>
      </c>
      <c r="G208" s="107" t="s">
        <v>132</v>
      </c>
      <c r="H208" s="111">
        <v>4.5</v>
      </c>
      <c r="I208" s="247">
        <f>I207</f>
        <v>8</v>
      </c>
      <c r="J208" s="42"/>
      <c r="N208" s="106"/>
      <c r="O208" s="102"/>
    </row>
    <row r="209" spans="2:15" ht="18" customHeight="1">
      <c r="B209" s="249" t="s">
        <v>333</v>
      </c>
      <c r="C209" s="250">
        <v>12.6</v>
      </c>
      <c r="D209" s="111">
        <v>1.32</v>
      </c>
      <c r="E209" s="253">
        <f>SUM(G42:G47)*4</f>
        <v>0</v>
      </c>
      <c r="F209" s="639"/>
      <c r="G209" s="107"/>
      <c r="H209" s="28"/>
      <c r="I209" s="247"/>
      <c r="N209" s="106"/>
      <c r="O209" s="102"/>
    </row>
    <row r="210" spans="2:15" ht="18" customHeight="1">
      <c r="B210" s="249" t="s">
        <v>334</v>
      </c>
      <c r="C210" s="250">
        <v>15.8</v>
      </c>
      <c r="D210" s="111">
        <v>1.18</v>
      </c>
      <c r="E210" s="253">
        <f>E209</f>
        <v>0</v>
      </c>
      <c r="F210" s="640"/>
      <c r="G210" s="107"/>
      <c r="H210" s="28"/>
      <c r="I210" s="231"/>
      <c r="N210" s="106"/>
      <c r="O210" s="102"/>
    </row>
    <row r="211" spans="2:15" ht="18" customHeight="1">
      <c r="B211" s="251" t="s">
        <v>335</v>
      </c>
      <c r="C211" s="107" t="s">
        <v>337</v>
      </c>
      <c r="D211" s="111">
        <v>2.81</v>
      </c>
      <c r="E211" s="250">
        <f>SUM(E52+E53+E54+E55+G52+G53+G54+G55+G60+G61+G62+G63)*2</f>
        <v>0</v>
      </c>
      <c r="F211" s="641" t="s">
        <v>133</v>
      </c>
      <c r="G211" s="111">
        <f>SUMPRODUCT(D35:D37,G35:G37)/1000</f>
        <v>0</v>
      </c>
      <c r="H211" s="28">
        <v>0.16</v>
      </c>
      <c r="I211" s="232">
        <f>G211*H211</f>
        <v>0</v>
      </c>
      <c r="N211" s="106"/>
      <c r="O211" s="102"/>
    </row>
    <row r="212" spans="2:15" ht="18" customHeight="1">
      <c r="B212" s="251" t="s">
        <v>336</v>
      </c>
      <c r="C212" s="107" t="s">
        <v>338</v>
      </c>
      <c r="D212" s="111">
        <v>3.51</v>
      </c>
      <c r="E212" s="250">
        <f>E211</f>
        <v>0</v>
      </c>
      <c r="F212" s="641"/>
      <c r="G212" s="111">
        <f>SUMPRODUCT(D26:D30,G26:G30)/1000</f>
        <v>0</v>
      </c>
      <c r="H212" s="28">
        <v>0.16</v>
      </c>
      <c r="I212" s="232">
        <f>G212*H212</f>
        <v>0</v>
      </c>
      <c r="N212" s="106"/>
      <c r="O212" s="102"/>
    </row>
    <row r="213" spans="2:15" ht="18" customHeight="1">
      <c r="B213" s="251" t="s">
        <v>134</v>
      </c>
      <c r="C213" s="250">
        <v>30.6</v>
      </c>
      <c r="D213" s="111">
        <v>2.81</v>
      </c>
      <c r="E213" s="253">
        <f>SUM(+E130+E131+E132+G130+G131+G132)*2</f>
        <v>0</v>
      </c>
      <c r="F213" s="641" t="s">
        <v>135</v>
      </c>
      <c r="G213" s="111">
        <f>SUMPRODUCT(E26:E30,G26:G30)/1000</f>
        <v>0</v>
      </c>
      <c r="H213" s="28">
        <v>0.16</v>
      </c>
      <c r="I213" s="232">
        <f>G213*H213</f>
        <v>0</v>
      </c>
      <c r="N213" s="106"/>
      <c r="O213" s="102"/>
    </row>
    <row r="214" spans="2:15" ht="18" customHeight="1">
      <c r="B214" s="251" t="s">
        <v>136</v>
      </c>
      <c r="C214" s="250">
        <v>30.6</v>
      </c>
      <c r="D214" s="111">
        <v>3.51</v>
      </c>
      <c r="E214" s="253">
        <f>E213</f>
        <v>0</v>
      </c>
      <c r="F214" s="641"/>
      <c r="G214" s="111">
        <f>SUMPRODUCT(E35:E37,G35:G37)/1000</f>
        <v>0</v>
      </c>
      <c r="H214" s="28">
        <v>0.16</v>
      </c>
      <c r="I214" s="232">
        <f>G214*H214</f>
        <v>0</v>
      </c>
      <c r="N214" s="106"/>
      <c r="O214" s="102"/>
    </row>
    <row r="215" spans="2:15" ht="18" customHeight="1">
      <c r="B215" s="52" t="s">
        <v>137</v>
      </c>
      <c r="C215" s="112" cm="1">
        <f t="array" ref="C215">SUMPRODUCT(D203:D214*E203:E214)+SUMPRODUCT(H203:H210*I203:I210)</f>
        <v>108.08</v>
      </c>
      <c r="D215" s="52"/>
      <c r="E215" s="52"/>
      <c r="F215" s="52"/>
      <c r="G215" s="52" t="s">
        <v>138</v>
      </c>
      <c r="H215" s="52" cm="1">
        <f t="array" ref="H215">SUMPRODUCT(G211:G214*H211:H214)</f>
        <v>0</v>
      </c>
      <c r="I215" s="233">
        <f>H215*1.08</f>
        <v>0</v>
      </c>
      <c r="N215" s="106"/>
      <c r="O215" s="102"/>
    </row>
    <row r="216" spans="2:15" ht="18" customHeight="1">
      <c r="B216" s="23" t="s">
        <v>139</v>
      </c>
      <c r="C216" s="252" t="s">
        <v>14</v>
      </c>
      <c r="D216" s="252" t="s">
        <v>22</v>
      </c>
      <c r="E216" s="252" t="s">
        <v>8</v>
      </c>
      <c r="F216" s="252" t="s">
        <v>113</v>
      </c>
      <c r="G216" s="252" t="s">
        <v>40</v>
      </c>
      <c r="H216" s="252" t="s">
        <v>28</v>
      </c>
      <c r="I216" s="25" t="s">
        <v>29</v>
      </c>
      <c r="N216" s="106"/>
      <c r="O216" s="102"/>
    </row>
    <row r="217" spans="2:15" ht="18" customHeight="1">
      <c r="B217" s="48" t="s">
        <v>140</v>
      </c>
      <c r="C217" s="52" t="s">
        <v>141</v>
      </c>
      <c r="D217" s="50">
        <v>0.14199999999999999</v>
      </c>
      <c r="E217" s="50">
        <v>1</v>
      </c>
      <c r="F217" s="50">
        <f>D6</f>
        <v>1920</v>
      </c>
      <c r="G217" s="128">
        <f>D217*F217*E217/1000*1.1</f>
        <v>0.299904</v>
      </c>
      <c r="H217" s="52">
        <f>(C218+C222)/1000</f>
        <v>39.781500000000001</v>
      </c>
      <c r="I217" s="193">
        <f>G217*H217</f>
        <v>11.930630976</v>
      </c>
      <c r="N217" s="106"/>
      <c r="O217" s="102"/>
    </row>
    <row r="218" spans="2:15" ht="18" customHeight="1">
      <c r="B218" s="37" t="s">
        <v>142</v>
      </c>
      <c r="C218" s="113">
        <f>材料价格!B4</f>
        <v>22081.5</v>
      </c>
      <c r="D218" s="39" t="s">
        <v>143</v>
      </c>
      <c r="E218" s="114">
        <f>E139+E133+E126+E119+E112+E199+E177+E64+E56+E48+E38+E31+E22+E184+E191</f>
        <v>78.786950000000004</v>
      </c>
      <c r="F218" s="39" t="s">
        <v>144</v>
      </c>
      <c r="G218" s="115">
        <f>I218/E218-C218/1000</f>
        <v>23.99998938371138</v>
      </c>
      <c r="H218" s="39" t="s">
        <v>145</v>
      </c>
      <c r="I218" s="116">
        <f>I22+I31+I38+I48+I56+I64+I199+I112+I119+I126+I133+I139+I177+I184+I191</f>
        <v>3630.6199999999994</v>
      </c>
      <c r="N218" s="106"/>
      <c r="O218" s="102"/>
    </row>
    <row r="219" spans="2:15" ht="18" customHeight="1">
      <c r="B219" s="117" t="s">
        <v>146</v>
      </c>
      <c r="C219" s="118">
        <f>材料价格!B5</f>
        <v>24000</v>
      </c>
      <c r="D219" s="39" t="s">
        <v>147</v>
      </c>
      <c r="E219" s="114">
        <f>E163+E153+E146+E104+E97+E88+G217+E170</f>
        <v>6.2311040000000002</v>
      </c>
      <c r="F219" s="39" t="s">
        <v>148</v>
      </c>
      <c r="G219" s="119">
        <f>I219/E219-C218/1000</f>
        <v>17.701278617721677</v>
      </c>
      <c r="H219" s="39" t="s">
        <v>149</v>
      </c>
      <c r="I219" s="116">
        <f>I88+I97+I104+I146+I153+I163+I217+I170</f>
        <v>247.89063097600001</v>
      </c>
      <c r="N219" s="106"/>
      <c r="O219" s="102"/>
    </row>
    <row r="220" spans="2:15" ht="18" customHeight="1">
      <c r="B220" s="117" t="s">
        <v>150</v>
      </c>
      <c r="C220" s="118">
        <f>C219</f>
        <v>24000</v>
      </c>
      <c r="D220" s="39" t="s">
        <v>151</v>
      </c>
      <c r="E220" s="120">
        <f>I215</f>
        <v>0</v>
      </c>
      <c r="F220" s="39" t="s">
        <v>152</v>
      </c>
      <c r="G220" s="119" t="e">
        <f>I220/E220-C218/1000</f>
        <v>#DIV/0!</v>
      </c>
      <c r="H220" s="39" t="s">
        <v>153</v>
      </c>
      <c r="I220" s="116">
        <f>ROUND(E220*(C218+C223)/1000,2)</f>
        <v>0</v>
      </c>
      <c r="N220" s="106"/>
      <c r="O220" s="102"/>
    </row>
    <row r="221" spans="2:15" ht="18" customHeight="1">
      <c r="B221" s="117" t="s">
        <v>154</v>
      </c>
      <c r="C221" s="121">
        <f>C220</f>
        <v>24000</v>
      </c>
      <c r="D221" s="39" t="s">
        <v>155</v>
      </c>
      <c r="E221" s="39"/>
      <c r="F221" s="39" t="s">
        <v>156</v>
      </c>
      <c r="G221" s="39"/>
      <c r="H221" s="39" t="s">
        <v>49</v>
      </c>
      <c r="I221" s="116">
        <f>E221*G221</f>
        <v>0</v>
      </c>
      <c r="J221" s="42"/>
      <c r="K221" s="255"/>
    </row>
    <row r="222" spans="2:15" ht="18" customHeight="1">
      <c r="B222" s="117" t="s">
        <v>148</v>
      </c>
      <c r="C222" s="122">
        <f>材料价格!B6</f>
        <v>17700</v>
      </c>
      <c r="D222" s="39" t="s">
        <v>157</v>
      </c>
      <c r="E222" s="39"/>
      <c r="F222" s="39" t="s">
        <v>156</v>
      </c>
      <c r="G222" s="39"/>
      <c r="H222" s="39" t="s">
        <v>49</v>
      </c>
      <c r="I222" s="116">
        <f>E222*G222</f>
        <v>0</v>
      </c>
      <c r="J222" s="123"/>
      <c r="K222" s="123"/>
      <c r="L222" s="123"/>
    </row>
    <row r="223" spans="2:15" ht="18" customHeight="1">
      <c r="B223" s="117" t="s">
        <v>152</v>
      </c>
      <c r="C223" s="122">
        <f>材料价格!B9</f>
        <v>2900</v>
      </c>
      <c r="D223" s="39" t="s">
        <v>158</v>
      </c>
      <c r="E223" s="114">
        <f>SUM(E218:E220)</f>
        <v>85.018054000000006</v>
      </c>
      <c r="F223" s="39"/>
      <c r="G223" s="39" t="s">
        <v>339</v>
      </c>
      <c r="H223" s="39"/>
      <c r="I223" s="234">
        <f>SUM(I218:I222)+C215</f>
        <v>3986.5906309759994</v>
      </c>
      <c r="J223" s="123"/>
      <c r="K223" s="123"/>
      <c r="L223" s="123"/>
    </row>
    <row r="224" spans="2:15" ht="18" customHeight="1">
      <c r="B224" s="23" t="s">
        <v>159</v>
      </c>
      <c r="C224" s="252" t="s">
        <v>113</v>
      </c>
      <c r="D224" s="252" t="s">
        <v>16</v>
      </c>
      <c r="E224" s="252" t="s">
        <v>7</v>
      </c>
      <c r="F224" s="252" t="s">
        <v>8</v>
      </c>
      <c r="G224" s="252" t="s">
        <v>28</v>
      </c>
      <c r="H224" s="252" t="s">
        <v>160</v>
      </c>
      <c r="I224" s="25" t="s">
        <v>1</v>
      </c>
      <c r="J224" s="255"/>
      <c r="K224" s="255"/>
      <c r="L224" s="255"/>
      <c r="M224" s="255"/>
    </row>
    <row r="225" spans="2:13" ht="18" customHeight="1">
      <c r="B225" s="124" t="str">
        <f>材料价格!A10</f>
        <v>6单银Low-E+12A+6</v>
      </c>
      <c r="C225" s="253">
        <f t="shared" ref="C225:D229" si="25">D92</f>
        <v>-90</v>
      </c>
      <c r="D225" s="253">
        <f t="shared" si="25"/>
        <v>-90</v>
      </c>
      <c r="E225" s="32">
        <f>C225*D225/10^6</f>
        <v>8.0999999999999996E-3</v>
      </c>
      <c r="F225" s="250">
        <f>G26</f>
        <v>0</v>
      </c>
      <c r="G225" s="125">
        <f>材料价格!B10</f>
        <v>148</v>
      </c>
      <c r="H225" s="250">
        <f>ROUND(E225*G225*F225,2)</f>
        <v>0</v>
      </c>
      <c r="I225" s="247" t="s">
        <v>161</v>
      </c>
      <c r="J225" s="255"/>
      <c r="K225" s="255"/>
      <c r="L225" s="255"/>
      <c r="M225" s="255"/>
    </row>
    <row r="226" spans="2:13" ht="18" customHeight="1">
      <c r="B226" s="124" t="str">
        <f t="shared" ref="B226:B232" si="26">B225</f>
        <v>6单银Low-E+12A+6</v>
      </c>
      <c r="C226" s="253">
        <f t="shared" si="25"/>
        <v>-90</v>
      </c>
      <c r="D226" s="253">
        <f t="shared" si="25"/>
        <v>-90</v>
      </c>
      <c r="E226" s="32">
        <f t="shared" ref="E226:E284" si="27">C226*D226/10^6</f>
        <v>8.0999999999999996E-3</v>
      </c>
      <c r="F226" s="250">
        <f>G27</f>
        <v>0</v>
      </c>
      <c r="G226" s="126">
        <f t="shared" ref="G226:G232" si="28">G225</f>
        <v>148</v>
      </c>
      <c r="H226" s="250">
        <f t="shared" ref="H226:H241" si="29">ROUND(E226*G226*F226,2)</f>
        <v>0</v>
      </c>
      <c r="I226" s="247" t="s">
        <v>162</v>
      </c>
      <c r="J226" s="255"/>
      <c r="K226" s="255"/>
      <c r="L226" s="255"/>
      <c r="M226" s="255"/>
    </row>
    <row r="227" spans="2:13" ht="18" customHeight="1">
      <c r="B227" s="124" t="str">
        <f t="shared" si="26"/>
        <v>6单银Low-E+12A+6</v>
      </c>
      <c r="C227" s="253">
        <f t="shared" si="25"/>
        <v>-90</v>
      </c>
      <c r="D227" s="253">
        <f t="shared" si="25"/>
        <v>-90</v>
      </c>
      <c r="E227" s="32">
        <f t="shared" si="27"/>
        <v>8.0999999999999996E-3</v>
      </c>
      <c r="F227" s="250">
        <f>G28</f>
        <v>0</v>
      </c>
      <c r="G227" s="126">
        <f t="shared" si="28"/>
        <v>148</v>
      </c>
      <c r="H227" s="250">
        <f t="shared" si="29"/>
        <v>0</v>
      </c>
      <c r="I227" s="247" t="s">
        <v>162</v>
      </c>
      <c r="J227" s="255"/>
      <c r="K227" s="255"/>
      <c r="L227" s="255"/>
      <c r="M227" s="255"/>
    </row>
    <row r="228" spans="2:13" ht="18" customHeight="1">
      <c r="B228" s="124" t="str">
        <f t="shared" si="26"/>
        <v>6单银Low-E+12A+6</v>
      </c>
      <c r="C228" s="253">
        <f t="shared" si="25"/>
        <v>-90</v>
      </c>
      <c r="D228" s="253">
        <f t="shared" si="25"/>
        <v>-90</v>
      </c>
      <c r="E228" s="32">
        <f t="shared" si="27"/>
        <v>8.0999999999999996E-3</v>
      </c>
      <c r="F228" s="250">
        <f>G29</f>
        <v>0</v>
      </c>
      <c r="G228" s="126">
        <f t="shared" si="28"/>
        <v>148</v>
      </c>
      <c r="H228" s="250">
        <f t="shared" si="29"/>
        <v>0</v>
      </c>
      <c r="I228" s="247" t="s">
        <v>162</v>
      </c>
      <c r="J228" s="255"/>
      <c r="K228" s="255"/>
      <c r="L228" s="255"/>
      <c r="M228" s="255"/>
    </row>
    <row r="229" spans="2:13" ht="18" customHeight="1">
      <c r="B229" s="124" t="str">
        <f t="shared" si="26"/>
        <v>6单银Low-E+12A+6</v>
      </c>
      <c r="C229" s="253">
        <f t="shared" si="25"/>
        <v>-90</v>
      </c>
      <c r="D229" s="253">
        <f t="shared" si="25"/>
        <v>-90</v>
      </c>
      <c r="E229" s="32">
        <f t="shared" si="27"/>
        <v>8.0999999999999996E-3</v>
      </c>
      <c r="F229" s="250">
        <f>G30</f>
        <v>0</v>
      </c>
      <c r="G229" s="126">
        <f t="shared" si="28"/>
        <v>148</v>
      </c>
      <c r="H229" s="250">
        <f t="shared" si="29"/>
        <v>0</v>
      </c>
      <c r="I229" s="247" t="s">
        <v>162</v>
      </c>
      <c r="J229" s="123"/>
      <c r="K229" s="123"/>
      <c r="L229" s="123"/>
    </row>
    <row r="230" spans="2:13" ht="18" customHeight="1">
      <c r="B230" s="124" t="str">
        <f t="shared" si="26"/>
        <v>6单银Low-E+12A+6</v>
      </c>
      <c r="C230" s="253">
        <f t="shared" ref="C230:D232" si="30">D101</f>
        <v>-122</v>
      </c>
      <c r="D230" s="253">
        <f t="shared" si="30"/>
        <v>-122</v>
      </c>
      <c r="E230" s="32">
        <f t="shared" si="27"/>
        <v>1.4884E-2</v>
      </c>
      <c r="F230" s="250">
        <f>G101</f>
        <v>0</v>
      </c>
      <c r="G230" s="126">
        <f t="shared" si="28"/>
        <v>148</v>
      </c>
      <c r="H230" s="250">
        <f t="shared" si="29"/>
        <v>0</v>
      </c>
      <c r="I230" s="127" t="s">
        <v>163</v>
      </c>
      <c r="J230" s="123"/>
      <c r="K230" s="123"/>
      <c r="L230" s="123"/>
    </row>
    <row r="231" spans="2:13" ht="18" customHeight="1">
      <c r="B231" s="124" t="str">
        <f t="shared" si="26"/>
        <v>6单银Low-E+12A+6</v>
      </c>
      <c r="C231" s="253">
        <f t="shared" si="30"/>
        <v>-122</v>
      </c>
      <c r="D231" s="253">
        <f t="shared" si="30"/>
        <v>-122</v>
      </c>
      <c r="E231" s="32">
        <f t="shared" si="27"/>
        <v>1.4884E-2</v>
      </c>
      <c r="F231" s="250">
        <f>G102</f>
        <v>0</v>
      </c>
      <c r="G231" s="126">
        <f t="shared" si="28"/>
        <v>148</v>
      </c>
      <c r="H231" s="250">
        <f t="shared" si="29"/>
        <v>0</v>
      </c>
      <c r="I231" s="127" t="s">
        <v>163</v>
      </c>
    </row>
    <row r="232" spans="2:13" ht="18" customHeight="1">
      <c r="B232" s="124" t="str">
        <f t="shared" si="26"/>
        <v>6单银Low-E+12A+6</v>
      </c>
      <c r="C232" s="253">
        <f t="shared" si="30"/>
        <v>-122</v>
      </c>
      <c r="D232" s="253">
        <f t="shared" si="30"/>
        <v>-122</v>
      </c>
      <c r="E232" s="32">
        <f t="shared" si="27"/>
        <v>1.4884E-2</v>
      </c>
      <c r="F232" s="250">
        <f>G103</f>
        <v>0</v>
      </c>
      <c r="G232" s="126">
        <f t="shared" si="28"/>
        <v>148</v>
      </c>
      <c r="H232" s="250">
        <f t="shared" si="29"/>
        <v>0</v>
      </c>
      <c r="I232" s="127" t="s">
        <v>163</v>
      </c>
    </row>
    <row r="233" spans="2:13" ht="18" customHeight="1">
      <c r="B233" s="48" t="s">
        <v>164</v>
      </c>
      <c r="C233" s="52"/>
      <c r="D233" s="50"/>
      <c r="E233" s="128"/>
      <c r="F233" s="50">
        <f>SUM(F225:F232)</f>
        <v>0</v>
      </c>
      <c r="G233" s="50"/>
      <c r="H233" s="52">
        <f>SUM(H225:H232)</f>
        <v>0</v>
      </c>
      <c r="I233" s="53">
        <f>ROUND((E225*F225+E226*F226+E227*F227+E228*F228+E229*F229+E230*F230+E231*F231+E232*F232),2)</f>
        <v>0</v>
      </c>
    </row>
    <row r="234" spans="2:13" ht="18" customHeight="1">
      <c r="B234" s="124" t="str">
        <f>B232</f>
        <v>6单银Low-E+12A+6</v>
      </c>
      <c r="C234" s="253">
        <f>C225</f>
        <v>-90</v>
      </c>
      <c r="D234" s="253">
        <f>D225</f>
        <v>-90</v>
      </c>
      <c r="E234" s="32">
        <f t="shared" si="27"/>
        <v>8.0999999999999996E-3</v>
      </c>
      <c r="F234" s="250">
        <f>IF(F225=0,G26,0)</f>
        <v>0</v>
      </c>
      <c r="G234" s="126">
        <f>G232</f>
        <v>148</v>
      </c>
      <c r="H234" s="250">
        <f t="shared" si="29"/>
        <v>0</v>
      </c>
      <c r="I234" s="247" t="s">
        <v>165</v>
      </c>
      <c r="J234" s="129"/>
    </row>
    <row r="235" spans="2:13" ht="18" customHeight="1">
      <c r="B235" s="124" t="str">
        <f t="shared" ref="B235:B241" si="31">B234</f>
        <v>6单银Low-E+12A+6</v>
      </c>
      <c r="C235" s="253">
        <f t="shared" ref="C235:D241" si="32">C226</f>
        <v>-90</v>
      </c>
      <c r="D235" s="253">
        <f t="shared" si="32"/>
        <v>-90</v>
      </c>
      <c r="E235" s="32">
        <f t="shared" si="27"/>
        <v>8.0999999999999996E-3</v>
      </c>
      <c r="F235" s="250">
        <f>IF(F226=0,G27,0)</f>
        <v>0</v>
      </c>
      <c r="G235" s="126">
        <f>G234</f>
        <v>148</v>
      </c>
      <c r="H235" s="250">
        <f t="shared" si="29"/>
        <v>0</v>
      </c>
      <c r="I235" s="247" t="s">
        <v>165</v>
      </c>
      <c r="J235" s="129"/>
    </row>
    <row r="236" spans="2:13" ht="18" customHeight="1">
      <c r="B236" s="124" t="str">
        <f t="shared" si="31"/>
        <v>6单银Low-E+12A+6</v>
      </c>
      <c r="C236" s="253">
        <f t="shared" si="32"/>
        <v>-90</v>
      </c>
      <c r="D236" s="253">
        <f t="shared" si="32"/>
        <v>-90</v>
      </c>
      <c r="E236" s="32">
        <f t="shared" si="27"/>
        <v>8.0999999999999996E-3</v>
      </c>
      <c r="F236" s="250">
        <f>IF(F227=0,G28,0)</f>
        <v>0</v>
      </c>
      <c r="G236" s="126">
        <f t="shared" ref="G236:G241" si="33">G234</f>
        <v>148</v>
      </c>
      <c r="H236" s="250">
        <f t="shared" si="29"/>
        <v>0</v>
      </c>
      <c r="I236" s="247" t="s">
        <v>165</v>
      </c>
      <c r="J236" s="129"/>
    </row>
    <row r="237" spans="2:13" ht="18" customHeight="1">
      <c r="B237" s="124" t="str">
        <f t="shared" si="31"/>
        <v>6单银Low-E+12A+6</v>
      </c>
      <c r="C237" s="253">
        <f t="shared" si="32"/>
        <v>-90</v>
      </c>
      <c r="D237" s="253">
        <f t="shared" si="32"/>
        <v>-90</v>
      </c>
      <c r="E237" s="32">
        <f t="shared" si="27"/>
        <v>8.0999999999999996E-3</v>
      </c>
      <c r="F237" s="250">
        <f>IF(F228=0,G29,0)</f>
        <v>0</v>
      </c>
      <c r="G237" s="126">
        <f t="shared" si="33"/>
        <v>148</v>
      </c>
      <c r="H237" s="250">
        <f t="shared" si="29"/>
        <v>0</v>
      </c>
      <c r="I237" s="247" t="s">
        <v>165</v>
      </c>
      <c r="J237" s="129"/>
    </row>
    <row r="238" spans="2:13" ht="18" customHeight="1">
      <c r="B238" s="124" t="str">
        <f t="shared" si="31"/>
        <v>6单银Low-E+12A+6</v>
      </c>
      <c r="C238" s="253">
        <f t="shared" si="32"/>
        <v>-90</v>
      </c>
      <c r="D238" s="253">
        <f t="shared" si="32"/>
        <v>-90</v>
      </c>
      <c r="E238" s="32">
        <f t="shared" si="27"/>
        <v>8.0999999999999996E-3</v>
      </c>
      <c r="F238" s="250">
        <f>IF(F229=0,G30,0)</f>
        <v>0</v>
      </c>
      <c r="G238" s="126">
        <f t="shared" si="33"/>
        <v>148</v>
      </c>
      <c r="H238" s="250">
        <f t="shared" si="29"/>
        <v>0</v>
      </c>
      <c r="I238" s="247" t="s">
        <v>165</v>
      </c>
      <c r="J238" s="129"/>
    </row>
    <row r="239" spans="2:13" ht="18" customHeight="1">
      <c r="B239" s="124" t="str">
        <f t="shared" si="31"/>
        <v>6单银Low-E+12A+6</v>
      </c>
      <c r="C239" s="253">
        <f t="shared" si="32"/>
        <v>-122</v>
      </c>
      <c r="D239" s="253">
        <f t="shared" si="32"/>
        <v>-122</v>
      </c>
      <c r="E239" s="32">
        <f t="shared" si="27"/>
        <v>1.4884E-2</v>
      </c>
      <c r="F239" s="250">
        <f>IF(F230=0,G35,0)</f>
        <v>0</v>
      </c>
      <c r="G239" s="126">
        <f t="shared" si="33"/>
        <v>148</v>
      </c>
      <c r="H239" s="250">
        <f t="shared" si="29"/>
        <v>0</v>
      </c>
      <c r="I239" s="127" t="s">
        <v>166</v>
      </c>
      <c r="J239" s="129"/>
    </row>
    <row r="240" spans="2:13" ht="18" customHeight="1">
      <c r="B240" s="124" t="str">
        <f t="shared" si="31"/>
        <v>6单银Low-E+12A+6</v>
      </c>
      <c r="C240" s="253">
        <f t="shared" si="32"/>
        <v>-122</v>
      </c>
      <c r="D240" s="253">
        <f t="shared" si="32"/>
        <v>-122</v>
      </c>
      <c r="E240" s="32">
        <f t="shared" si="27"/>
        <v>1.4884E-2</v>
      </c>
      <c r="F240" s="250">
        <f>IF(F231=0,G36,0)</f>
        <v>0</v>
      </c>
      <c r="G240" s="126">
        <f t="shared" si="33"/>
        <v>148</v>
      </c>
      <c r="H240" s="250">
        <f t="shared" si="29"/>
        <v>0</v>
      </c>
      <c r="I240" s="127" t="s">
        <v>166</v>
      </c>
      <c r="J240" s="129"/>
    </row>
    <row r="241" spans="1:16" ht="18" customHeight="1">
      <c r="B241" s="124" t="str">
        <f t="shared" si="31"/>
        <v>6单银Low-E+12A+6</v>
      </c>
      <c r="C241" s="253">
        <f t="shared" si="32"/>
        <v>-122</v>
      </c>
      <c r="D241" s="253">
        <f t="shared" si="32"/>
        <v>-122</v>
      </c>
      <c r="E241" s="32">
        <f t="shared" si="27"/>
        <v>1.4884E-2</v>
      </c>
      <c r="F241" s="250">
        <f>IF(F232=0,G37,0)</f>
        <v>0</v>
      </c>
      <c r="G241" s="126">
        <f t="shared" si="33"/>
        <v>148</v>
      </c>
      <c r="H241" s="250">
        <f t="shared" si="29"/>
        <v>0</v>
      </c>
      <c r="I241" s="127" t="s">
        <v>166</v>
      </c>
      <c r="J241" s="129"/>
    </row>
    <row r="242" spans="1:16" s="43" customFormat="1" ht="18" customHeight="1">
      <c r="A242" s="1"/>
      <c r="B242" s="48" t="s">
        <v>167</v>
      </c>
      <c r="C242" s="52"/>
      <c r="D242" s="50"/>
      <c r="E242" s="128"/>
      <c r="F242" s="50">
        <f>SUM(F234:F241)</f>
        <v>0</v>
      </c>
      <c r="G242" s="50"/>
      <c r="H242" s="52">
        <f>SUM(H234:H241)</f>
        <v>0</v>
      </c>
      <c r="I242" s="53">
        <f>ROUND(SUMPRODUCT(E234:E241*F234:F241),2)</f>
        <v>0</v>
      </c>
      <c r="J242" s="129"/>
      <c r="N242" s="255"/>
      <c r="O242" s="255"/>
      <c r="P242" s="255"/>
    </row>
    <row r="243" spans="1:16" s="43" customFormat="1" ht="18" customHeight="1">
      <c r="A243" s="1"/>
      <c r="B243" s="124" t="str">
        <f>B240</f>
        <v>6单银Low-E+12A+6</v>
      </c>
      <c r="C243" s="253">
        <f t="shared" ref="C243:D249" si="34">D68-12</f>
        <v>1836</v>
      </c>
      <c r="D243" s="253">
        <f t="shared" si="34"/>
        <v>916</v>
      </c>
      <c r="E243" s="32">
        <f t="shared" si="27"/>
        <v>1.6817759999999999</v>
      </c>
      <c r="F243" s="82">
        <f t="shared" ref="F243:F249" si="35">G68</f>
        <v>1</v>
      </c>
      <c r="G243" s="130">
        <f>G241</f>
        <v>148</v>
      </c>
      <c r="H243" s="250">
        <f t="shared" ref="H243:H249" si="36">ROUND(E243*G243*F243,2)</f>
        <v>248.9</v>
      </c>
      <c r="I243" s="247" t="s">
        <v>168</v>
      </c>
      <c r="J243" s="129"/>
      <c r="N243" s="255"/>
      <c r="O243" s="255"/>
      <c r="P243" s="255"/>
    </row>
    <row r="244" spans="1:16" s="43" customFormat="1" ht="18" customHeight="1">
      <c r="A244" s="1"/>
      <c r="B244" s="124" t="str">
        <f t="shared" ref="B244:B249" si="37">B243</f>
        <v>6单银Low-E+12A+6</v>
      </c>
      <c r="C244" s="253">
        <f t="shared" si="34"/>
        <v>-12</v>
      </c>
      <c r="D244" s="253">
        <f t="shared" si="34"/>
        <v>-12</v>
      </c>
      <c r="E244" s="32">
        <f t="shared" si="27"/>
        <v>1.44E-4</v>
      </c>
      <c r="F244" s="82">
        <f t="shared" si="35"/>
        <v>0</v>
      </c>
      <c r="G244" s="130">
        <f t="shared" ref="G244:G249" si="38">G243</f>
        <v>148</v>
      </c>
      <c r="H244" s="250">
        <f t="shared" si="36"/>
        <v>0</v>
      </c>
      <c r="I244" s="247" t="s">
        <v>168</v>
      </c>
      <c r="J244" s="129"/>
      <c r="N244" s="255"/>
      <c r="O244" s="255"/>
      <c r="P244" s="255"/>
    </row>
    <row r="245" spans="1:16" s="43" customFormat="1" ht="18" customHeight="1">
      <c r="A245" s="1"/>
      <c r="B245" s="124" t="str">
        <f t="shared" si="37"/>
        <v>6单银Low-E+12A+6</v>
      </c>
      <c r="C245" s="253">
        <f t="shared" si="34"/>
        <v>-12</v>
      </c>
      <c r="D245" s="253">
        <f t="shared" si="34"/>
        <v>-12</v>
      </c>
      <c r="E245" s="32">
        <f t="shared" si="27"/>
        <v>1.44E-4</v>
      </c>
      <c r="F245" s="82">
        <f t="shared" si="35"/>
        <v>0</v>
      </c>
      <c r="G245" s="130">
        <f t="shared" si="38"/>
        <v>148</v>
      </c>
      <c r="H245" s="250">
        <f t="shared" si="36"/>
        <v>0</v>
      </c>
      <c r="I245" s="247" t="s">
        <v>168</v>
      </c>
      <c r="J245" s="129"/>
      <c r="N245" s="255"/>
      <c r="O245" s="255"/>
      <c r="P245" s="255"/>
    </row>
    <row r="246" spans="1:16" s="43" customFormat="1" ht="18" customHeight="1">
      <c r="A246" s="1"/>
      <c r="B246" s="124" t="str">
        <f t="shared" si="37"/>
        <v>6单银Low-E+12A+6</v>
      </c>
      <c r="C246" s="253">
        <f t="shared" si="34"/>
        <v>-12</v>
      </c>
      <c r="D246" s="253">
        <f t="shared" si="34"/>
        <v>-12</v>
      </c>
      <c r="E246" s="32">
        <f t="shared" si="27"/>
        <v>1.44E-4</v>
      </c>
      <c r="F246" s="82">
        <f t="shared" si="35"/>
        <v>0</v>
      </c>
      <c r="G246" s="130">
        <f t="shared" si="38"/>
        <v>148</v>
      </c>
      <c r="H246" s="250">
        <f t="shared" si="36"/>
        <v>0</v>
      </c>
      <c r="I246" s="247" t="s">
        <v>168</v>
      </c>
      <c r="J246" s="129"/>
      <c r="N246" s="255"/>
      <c r="O246" s="255"/>
      <c r="P246" s="255"/>
    </row>
    <row r="247" spans="1:16" s="43" customFormat="1" ht="18" customHeight="1">
      <c r="A247" s="1"/>
      <c r="B247" s="124" t="str">
        <f t="shared" si="37"/>
        <v>6单银Low-E+12A+6</v>
      </c>
      <c r="C247" s="253">
        <f t="shared" si="34"/>
        <v>-12</v>
      </c>
      <c r="D247" s="253">
        <f t="shared" si="34"/>
        <v>-12</v>
      </c>
      <c r="E247" s="32">
        <f t="shared" si="27"/>
        <v>1.44E-4</v>
      </c>
      <c r="F247" s="82">
        <f t="shared" si="35"/>
        <v>0</v>
      </c>
      <c r="G247" s="130">
        <f t="shared" si="38"/>
        <v>148</v>
      </c>
      <c r="H247" s="250">
        <f t="shared" si="36"/>
        <v>0</v>
      </c>
      <c r="I247" s="247" t="s">
        <v>168</v>
      </c>
      <c r="J247" s="129"/>
      <c r="N247" s="255"/>
      <c r="O247" s="255"/>
      <c r="P247" s="255"/>
    </row>
    <row r="248" spans="1:16" s="43" customFormat="1" ht="18" customHeight="1">
      <c r="A248" s="1"/>
      <c r="B248" s="124" t="str">
        <f t="shared" si="37"/>
        <v>6单银Low-E+12A+6</v>
      </c>
      <c r="C248" s="253">
        <f t="shared" si="34"/>
        <v>-12</v>
      </c>
      <c r="D248" s="253">
        <f t="shared" si="34"/>
        <v>-12</v>
      </c>
      <c r="E248" s="32">
        <f t="shared" si="27"/>
        <v>1.44E-4</v>
      </c>
      <c r="F248" s="82">
        <f t="shared" si="35"/>
        <v>0</v>
      </c>
      <c r="G248" s="130">
        <f t="shared" si="38"/>
        <v>148</v>
      </c>
      <c r="H248" s="250">
        <f t="shared" si="36"/>
        <v>0</v>
      </c>
      <c r="I248" s="247" t="s">
        <v>168</v>
      </c>
      <c r="J248" s="129"/>
      <c r="N248" s="255"/>
      <c r="O248" s="255"/>
      <c r="P248" s="255"/>
    </row>
    <row r="249" spans="1:16" s="43" customFormat="1" ht="18" customHeight="1">
      <c r="A249" s="1"/>
      <c r="B249" s="124" t="str">
        <f t="shared" si="37"/>
        <v>6单银Low-E+12A+6</v>
      </c>
      <c r="C249" s="253">
        <f t="shared" si="34"/>
        <v>-12</v>
      </c>
      <c r="D249" s="253">
        <f t="shared" si="34"/>
        <v>-12</v>
      </c>
      <c r="E249" s="32">
        <f t="shared" si="27"/>
        <v>1.44E-4</v>
      </c>
      <c r="F249" s="82">
        <f t="shared" si="35"/>
        <v>0</v>
      </c>
      <c r="G249" s="130">
        <f t="shared" si="38"/>
        <v>148</v>
      </c>
      <c r="H249" s="250">
        <f t="shared" si="36"/>
        <v>0</v>
      </c>
      <c r="I249" s="247" t="s">
        <v>168</v>
      </c>
      <c r="J249" s="129"/>
      <c r="N249" s="255"/>
      <c r="O249" s="255"/>
      <c r="P249" s="255"/>
    </row>
    <row r="250" spans="1:16" s="43" customFormat="1" ht="18" customHeight="1">
      <c r="A250" s="1"/>
      <c r="B250" s="131" t="str">
        <f>B246</f>
        <v>6单银Low-E+12A+6</v>
      </c>
      <c r="C250" s="52"/>
      <c r="D250" s="50"/>
      <c r="E250" s="128"/>
      <c r="F250" s="50">
        <f>SUM(F243:F249)</f>
        <v>1</v>
      </c>
      <c r="G250" s="50"/>
      <c r="H250" s="52">
        <f>SUM(H243:H249)</f>
        <v>248.9</v>
      </c>
      <c r="I250" s="53">
        <f>ROUND((E243*F243+E244*F244+E245*F245+E246*F246+E247*F247+E248*F248+E249*F249),2)</f>
        <v>1.68</v>
      </c>
      <c r="J250" s="43">
        <f>(I242+I258+I273+I280)</f>
        <v>0</v>
      </c>
      <c r="N250" s="255"/>
      <c r="O250" s="255"/>
      <c r="P250" s="255"/>
    </row>
    <row r="251" spans="1:16" s="43" customFormat="1" ht="18" customHeight="1">
      <c r="A251" s="1"/>
      <c r="B251" s="124" t="str">
        <f>B249</f>
        <v>6单银Low-E+12A+6</v>
      </c>
      <c r="C251" s="253">
        <f t="shared" ref="C251:D257" si="39">D75-12</f>
        <v>-12</v>
      </c>
      <c r="D251" s="253">
        <f t="shared" si="39"/>
        <v>-12</v>
      </c>
      <c r="E251" s="32">
        <f t="shared" si="27"/>
        <v>1.44E-4</v>
      </c>
      <c r="F251" s="82">
        <f t="shared" ref="F251:F257" si="40">G75</f>
        <v>0</v>
      </c>
      <c r="G251" s="130">
        <f>G249</f>
        <v>148</v>
      </c>
      <c r="H251" s="250">
        <f>ROUND(E251*G251*F251,2)</f>
        <v>0</v>
      </c>
      <c r="I251" s="132" t="s">
        <v>169</v>
      </c>
      <c r="N251" s="255"/>
      <c r="O251" s="255"/>
      <c r="P251" s="255"/>
    </row>
    <row r="252" spans="1:16" s="43" customFormat="1" ht="18" customHeight="1">
      <c r="A252" s="1"/>
      <c r="B252" s="124" t="str">
        <f t="shared" ref="B252:B257" si="41">B251</f>
        <v>6单银Low-E+12A+6</v>
      </c>
      <c r="C252" s="253">
        <f t="shared" si="39"/>
        <v>-12</v>
      </c>
      <c r="D252" s="253">
        <f t="shared" si="39"/>
        <v>-12</v>
      </c>
      <c r="E252" s="32">
        <f t="shared" si="27"/>
        <v>1.44E-4</v>
      </c>
      <c r="F252" s="82">
        <f t="shared" si="40"/>
        <v>0</v>
      </c>
      <c r="G252" s="130">
        <f t="shared" ref="G252:G257" si="42">G251</f>
        <v>148</v>
      </c>
      <c r="H252" s="250">
        <f t="shared" ref="H252:H264" si="43">ROUND(E252*G252*F252,2)</f>
        <v>0</v>
      </c>
      <c r="I252" s="132" t="str">
        <f t="shared" ref="I252:I257" si="44">I251</f>
        <v>固定钢化中空</v>
      </c>
      <c r="N252" s="255"/>
      <c r="O252" s="255"/>
      <c r="P252" s="255"/>
    </row>
    <row r="253" spans="1:16" s="43" customFormat="1" ht="18" customHeight="1">
      <c r="A253" s="1"/>
      <c r="B253" s="124" t="str">
        <f t="shared" si="41"/>
        <v>6单银Low-E+12A+6</v>
      </c>
      <c r="C253" s="253">
        <f t="shared" si="39"/>
        <v>-12</v>
      </c>
      <c r="D253" s="253">
        <f t="shared" si="39"/>
        <v>-12</v>
      </c>
      <c r="E253" s="32">
        <f t="shared" si="27"/>
        <v>1.44E-4</v>
      </c>
      <c r="F253" s="82">
        <f t="shared" si="40"/>
        <v>0</v>
      </c>
      <c r="G253" s="130">
        <f t="shared" si="42"/>
        <v>148</v>
      </c>
      <c r="H253" s="250">
        <f t="shared" si="43"/>
        <v>0</v>
      </c>
      <c r="I253" s="132" t="str">
        <f t="shared" si="44"/>
        <v>固定钢化中空</v>
      </c>
      <c r="N253" s="255"/>
      <c r="O253" s="255"/>
      <c r="P253" s="255"/>
    </row>
    <row r="254" spans="1:16" s="43" customFormat="1" ht="18" customHeight="1">
      <c r="A254" s="1"/>
      <c r="B254" s="124" t="str">
        <f t="shared" si="41"/>
        <v>6单银Low-E+12A+6</v>
      </c>
      <c r="C254" s="253">
        <f t="shared" si="39"/>
        <v>-12</v>
      </c>
      <c r="D254" s="253">
        <f t="shared" si="39"/>
        <v>-12</v>
      </c>
      <c r="E254" s="32">
        <f t="shared" si="27"/>
        <v>1.44E-4</v>
      </c>
      <c r="F254" s="82">
        <f t="shared" si="40"/>
        <v>0</v>
      </c>
      <c r="G254" s="130">
        <f t="shared" si="42"/>
        <v>148</v>
      </c>
      <c r="H254" s="250">
        <f t="shared" si="43"/>
        <v>0</v>
      </c>
      <c r="I254" s="132" t="str">
        <f t="shared" si="44"/>
        <v>固定钢化中空</v>
      </c>
      <c r="J254" s="42"/>
      <c r="N254" s="255"/>
      <c r="O254" s="255"/>
      <c r="P254" s="255"/>
    </row>
    <row r="255" spans="1:16" s="43" customFormat="1" ht="18" customHeight="1">
      <c r="A255" s="1"/>
      <c r="B255" s="124" t="str">
        <f t="shared" si="41"/>
        <v>6单银Low-E+12A+6</v>
      </c>
      <c r="C255" s="253">
        <f t="shared" si="39"/>
        <v>-12</v>
      </c>
      <c r="D255" s="253">
        <f t="shared" si="39"/>
        <v>-12</v>
      </c>
      <c r="E255" s="32">
        <f t="shared" si="27"/>
        <v>1.44E-4</v>
      </c>
      <c r="F255" s="82">
        <f t="shared" si="40"/>
        <v>0</v>
      </c>
      <c r="G255" s="130">
        <f t="shared" si="42"/>
        <v>148</v>
      </c>
      <c r="H255" s="250">
        <f t="shared" si="43"/>
        <v>0</v>
      </c>
      <c r="I255" s="132" t="str">
        <f t="shared" si="44"/>
        <v>固定钢化中空</v>
      </c>
      <c r="N255" s="255"/>
      <c r="O255" s="255"/>
      <c r="P255" s="255"/>
    </row>
    <row r="256" spans="1:16" s="43" customFormat="1" ht="18" customHeight="1">
      <c r="A256" s="1"/>
      <c r="B256" s="124" t="str">
        <f t="shared" si="41"/>
        <v>6单银Low-E+12A+6</v>
      </c>
      <c r="C256" s="253">
        <f t="shared" si="39"/>
        <v>-12</v>
      </c>
      <c r="D256" s="253">
        <f t="shared" si="39"/>
        <v>-12</v>
      </c>
      <c r="E256" s="32">
        <f t="shared" si="27"/>
        <v>1.44E-4</v>
      </c>
      <c r="F256" s="82">
        <f t="shared" si="40"/>
        <v>0</v>
      </c>
      <c r="G256" s="130">
        <f t="shared" si="42"/>
        <v>148</v>
      </c>
      <c r="H256" s="250">
        <f t="shared" si="43"/>
        <v>0</v>
      </c>
      <c r="I256" s="132" t="str">
        <f t="shared" si="44"/>
        <v>固定钢化中空</v>
      </c>
      <c r="N256" s="255"/>
      <c r="O256" s="255"/>
      <c r="P256" s="255"/>
    </row>
    <row r="257" spans="1:16" s="43" customFormat="1" ht="18" customHeight="1">
      <c r="A257" s="1"/>
      <c r="B257" s="124" t="str">
        <f t="shared" si="41"/>
        <v>6单银Low-E+12A+6</v>
      </c>
      <c r="C257" s="253">
        <f t="shared" si="39"/>
        <v>-12</v>
      </c>
      <c r="D257" s="253">
        <f t="shared" si="39"/>
        <v>-12</v>
      </c>
      <c r="E257" s="32">
        <f t="shared" si="27"/>
        <v>1.44E-4</v>
      </c>
      <c r="F257" s="82">
        <f t="shared" si="40"/>
        <v>0</v>
      </c>
      <c r="G257" s="130">
        <f t="shared" si="42"/>
        <v>148</v>
      </c>
      <c r="H257" s="250">
        <f t="shared" si="43"/>
        <v>0</v>
      </c>
      <c r="I257" s="132" t="str">
        <f t="shared" si="44"/>
        <v>固定钢化中空</v>
      </c>
      <c r="N257" s="255"/>
      <c r="O257" s="255"/>
      <c r="P257" s="255"/>
    </row>
    <row r="258" spans="1:16" s="43" customFormat="1" ht="18" customHeight="1">
      <c r="A258" s="1"/>
      <c r="B258" s="48" t="s">
        <v>170</v>
      </c>
      <c r="C258" s="52"/>
      <c r="D258" s="50"/>
      <c r="E258" s="128"/>
      <c r="F258" s="50">
        <f>SUM(F251:F257)</f>
        <v>0</v>
      </c>
      <c r="G258" s="50"/>
      <c r="H258" s="52">
        <f>SUM(H251:H257)</f>
        <v>0</v>
      </c>
      <c r="I258" s="53">
        <f>ROUND((E251*F251+E252*F252+E253*F253+E254*F254+E255*F255+E256*F256+E257*F257),2)</f>
        <v>0</v>
      </c>
      <c r="N258" s="255"/>
      <c r="O258" s="255"/>
      <c r="P258" s="255"/>
    </row>
    <row r="259" spans="1:16" s="43" customFormat="1" ht="18" customHeight="1">
      <c r="A259" s="1"/>
      <c r="B259" s="124" t="str">
        <f>B257</f>
        <v>6单银Low-E+12A+6</v>
      </c>
      <c r="C259" s="253">
        <f t="shared" ref="C259:D264" si="45">D82-12</f>
        <v>-12</v>
      </c>
      <c r="D259" s="253">
        <f t="shared" si="45"/>
        <v>-12</v>
      </c>
      <c r="E259" s="32">
        <f t="shared" si="27"/>
        <v>1.44E-4</v>
      </c>
      <c r="F259" s="82">
        <f t="shared" ref="F259:F264" si="46">G82</f>
        <v>0</v>
      </c>
      <c r="G259" s="130">
        <f>G257</f>
        <v>148</v>
      </c>
      <c r="H259" s="250">
        <f t="shared" si="43"/>
        <v>0</v>
      </c>
      <c r="I259" s="247" t="s">
        <v>171</v>
      </c>
      <c r="N259" s="255"/>
      <c r="O259" s="255"/>
      <c r="P259" s="255"/>
    </row>
    <row r="260" spans="1:16" s="43" customFormat="1" ht="18" customHeight="1">
      <c r="A260" s="1"/>
      <c r="B260" s="124" t="str">
        <f>B259</f>
        <v>6单银Low-E+12A+6</v>
      </c>
      <c r="C260" s="253">
        <f t="shared" si="45"/>
        <v>-12</v>
      </c>
      <c r="D260" s="253">
        <f t="shared" si="45"/>
        <v>-12</v>
      </c>
      <c r="E260" s="32">
        <f t="shared" si="27"/>
        <v>1.44E-4</v>
      </c>
      <c r="F260" s="82">
        <f t="shared" si="46"/>
        <v>0</v>
      </c>
      <c r="G260" s="130">
        <f>G259</f>
        <v>148</v>
      </c>
      <c r="H260" s="250">
        <f t="shared" si="43"/>
        <v>0</v>
      </c>
      <c r="I260" s="247" t="s">
        <v>171</v>
      </c>
      <c r="N260" s="255"/>
      <c r="O260" s="255"/>
      <c r="P260" s="255"/>
    </row>
    <row r="261" spans="1:16" s="43" customFormat="1" ht="18" customHeight="1">
      <c r="A261" s="1"/>
      <c r="B261" s="124" t="str">
        <f>B260</f>
        <v>6单银Low-E+12A+6</v>
      </c>
      <c r="C261" s="253">
        <f t="shared" si="45"/>
        <v>-12</v>
      </c>
      <c r="D261" s="253">
        <f t="shared" si="45"/>
        <v>-12</v>
      </c>
      <c r="E261" s="32">
        <f t="shared" si="27"/>
        <v>1.44E-4</v>
      </c>
      <c r="F261" s="82">
        <f t="shared" si="46"/>
        <v>0</v>
      </c>
      <c r="G261" s="130">
        <f>G260</f>
        <v>148</v>
      </c>
      <c r="H261" s="250">
        <f t="shared" si="43"/>
        <v>0</v>
      </c>
      <c r="I261" s="247" t="s">
        <v>171</v>
      </c>
      <c r="N261" s="255"/>
      <c r="O261" s="255"/>
      <c r="P261" s="255"/>
    </row>
    <row r="262" spans="1:16" s="43" customFormat="1" ht="18" customHeight="1">
      <c r="A262" s="1"/>
      <c r="B262" s="124" t="str">
        <f>B261</f>
        <v>6单银Low-E+12A+6</v>
      </c>
      <c r="C262" s="253">
        <f t="shared" si="45"/>
        <v>-12</v>
      </c>
      <c r="D262" s="253">
        <f t="shared" si="45"/>
        <v>-12</v>
      </c>
      <c r="E262" s="32">
        <f t="shared" si="27"/>
        <v>1.44E-4</v>
      </c>
      <c r="F262" s="82">
        <f t="shared" si="46"/>
        <v>0</v>
      </c>
      <c r="G262" s="130">
        <f>G261</f>
        <v>148</v>
      </c>
      <c r="H262" s="250">
        <f t="shared" si="43"/>
        <v>0</v>
      </c>
      <c r="I262" s="247" t="s">
        <v>171</v>
      </c>
      <c r="N262" s="255"/>
      <c r="O262" s="255"/>
      <c r="P262" s="255"/>
    </row>
    <row r="263" spans="1:16" s="43" customFormat="1" ht="18" customHeight="1">
      <c r="A263" s="1"/>
      <c r="B263" s="124" t="str">
        <f>B262</f>
        <v>6单银Low-E+12A+6</v>
      </c>
      <c r="C263" s="253">
        <f t="shared" si="45"/>
        <v>-12</v>
      </c>
      <c r="D263" s="253">
        <f t="shared" si="45"/>
        <v>-12</v>
      </c>
      <c r="E263" s="32">
        <f t="shared" si="27"/>
        <v>1.44E-4</v>
      </c>
      <c r="F263" s="82">
        <f t="shared" si="46"/>
        <v>0</v>
      </c>
      <c r="G263" s="130">
        <f>G262</f>
        <v>148</v>
      </c>
      <c r="H263" s="250">
        <f t="shared" si="43"/>
        <v>0</v>
      </c>
      <c r="I263" s="247" t="s">
        <v>171</v>
      </c>
      <c r="N263" s="255"/>
      <c r="O263" s="255"/>
      <c r="P263" s="255"/>
    </row>
    <row r="264" spans="1:16" s="43" customFormat="1" ht="18" customHeight="1">
      <c r="A264" s="1"/>
      <c r="B264" s="124" t="str">
        <f>B263</f>
        <v>6单银Low-E+12A+6</v>
      </c>
      <c r="C264" s="253">
        <f t="shared" si="45"/>
        <v>-12</v>
      </c>
      <c r="D264" s="253">
        <f t="shared" si="45"/>
        <v>-12</v>
      </c>
      <c r="E264" s="32">
        <f t="shared" si="27"/>
        <v>1.44E-4</v>
      </c>
      <c r="F264" s="82">
        <f t="shared" si="46"/>
        <v>0</v>
      </c>
      <c r="G264" s="130">
        <f>G263</f>
        <v>148</v>
      </c>
      <c r="H264" s="250">
        <f t="shared" si="43"/>
        <v>0</v>
      </c>
      <c r="I264" s="247" t="s">
        <v>171</v>
      </c>
      <c r="N264" s="255"/>
      <c r="O264" s="255"/>
      <c r="P264" s="255"/>
    </row>
    <row r="265" spans="1:16" s="43" customFormat="1" ht="18" customHeight="1">
      <c r="A265" s="1"/>
      <c r="B265" s="48" t="s">
        <v>172</v>
      </c>
      <c r="C265" s="52"/>
      <c r="D265" s="50"/>
      <c r="E265" s="128"/>
      <c r="F265" s="50">
        <f>SUM(F259:F264)</f>
        <v>0</v>
      </c>
      <c r="G265" s="50"/>
      <c r="H265" s="52">
        <f>SUM(H259:H264)</f>
        <v>0</v>
      </c>
      <c r="I265" s="53">
        <f>ROUND(SUMPRODUCT(E259:E264*F259:F264),2)</f>
        <v>0</v>
      </c>
      <c r="N265" s="255"/>
      <c r="O265" s="255"/>
      <c r="P265" s="255"/>
    </row>
    <row r="266" spans="1:16" s="43" customFormat="1" ht="18" customHeight="1">
      <c r="A266" s="1"/>
      <c r="B266" s="124" t="str">
        <f>B264</f>
        <v>6单银Low-E+12A+6</v>
      </c>
      <c r="C266" s="133">
        <f t="shared" ref="C266:D268" si="47">D143</f>
        <v>765</v>
      </c>
      <c r="D266" s="133">
        <f t="shared" si="47"/>
        <v>2488</v>
      </c>
      <c r="E266" s="32">
        <f t="shared" si="27"/>
        <v>1.9033199999999999</v>
      </c>
      <c r="F266" s="134">
        <f>G143</f>
        <v>2</v>
      </c>
      <c r="G266" s="135">
        <f>G264</f>
        <v>148</v>
      </c>
      <c r="H266" s="134">
        <f>ROUND(E266*G266*F266,2)</f>
        <v>563.38</v>
      </c>
      <c r="I266" s="136" t="s">
        <v>173</v>
      </c>
      <c r="N266" s="255"/>
      <c r="O266" s="255"/>
      <c r="P266" s="255"/>
    </row>
    <row r="267" spans="1:16" s="43" customFormat="1" ht="18" customHeight="1">
      <c r="A267" s="1"/>
      <c r="B267" s="124" t="str">
        <f>B264</f>
        <v>6单银Low-E+12A+6</v>
      </c>
      <c r="C267" s="133">
        <f t="shared" si="47"/>
        <v>-154</v>
      </c>
      <c r="D267" s="133">
        <f t="shared" si="47"/>
        <v>-154</v>
      </c>
      <c r="E267" s="32">
        <f t="shared" si="27"/>
        <v>2.3716000000000001E-2</v>
      </c>
      <c r="F267" s="134">
        <f>G144</f>
        <v>0</v>
      </c>
      <c r="G267" s="135">
        <f>G266</f>
        <v>148</v>
      </c>
      <c r="H267" s="134">
        <f>ROUND(E267*G267*F267,2)</f>
        <v>0</v>
      </c>
      <c r="I267" s="136" t="s">
        <v>173</v>
      </c>
      <c r="N267" s="255"/>
      <c r="O267" s="255"/>
      <c r="P267" s="255"/>
    </row>
    <row r="268" spans="1:16" s="43" customFormat="1" ht="18" customHeight="1">
      <c r="A268" s="1"/>
      <c r="B268" s="124" t="str">
        <f>B267</f>
        <v>6单银Low-E+12A+6</v>
      </c>
      <c r="C268" s="133">
        <f t="shared" si="47"/>
        <v>-154</v>
      </c>
      <c r="D268" s="133">
        <f t="shared" si="47"/>
        <v>-154</v>
      </c>
      <c r="E268" s="32">
        <f t="shared" si="27"/>
        <v>2.3716000000000001E-2</v>
      </c>
      <c r="F268" s="134">
        <f>G145</f>
        <v>0</v>
      </c>
      <c r="G268" s="135">
        <f>G267</f>
        <v>148</v>
      </c>
      <c r="H268" s="134">
        <f>ROUND(E268*G268*F268,2)</f>
        <v>0</v>
      </c>
      <c r="I268" s="136" t="s">
        <v>173</v>
      </c>
      <c r="N268" s="255"/>
      <c r="O268" s="255"/>
      <c r="P268" s="255"/>
    </row>
    <row r="269" spans="1:16" s="43" customFormat="1" ht="18" customHeight="1">
      <c r="A269" s="1"/>
      <c r="B269" s="48" t="s">
        <v>174</v>
      </c>
      <c r="C269" s="52"/>
      <c r="D269" s="50"/>
      <c r="E269" s="128"/>
      <c r="F269" s="50">
        <f>SUM(F266:F268)</f>
        <v>2</v>
      </c>
      <c r="G269" s="50"/>
      <c r="H269" s="52">
        <f>SUM(H266:H268)</f>
        <v>563.38</v>
      </c>
      <c r="I269" s="53">
        <f>ROUND((E266*F266+E267*F267+E268*F268),2)</f>
        <v>3.81</v>
      </c>
      <c r="N269" s="255"/>
      <c r="O269" s="255"/>
      <c r="P269" s="255"/>
    </row>
    <row r="270" spans="1:16" s="43" customFormat="1" ht="18" customHeight="1">
      <c r="A270" s="1"/>
      <c r="B270" s="124" t="str">
        <f>B268</f>
        <v>6单银Low-E+12A+6</v>
      </c>
      <c r="C270" s="133">
        <f t="shared" ref="C270:D272" si="48">D150</f>
        <v>-160</v>
      </c>
      <c r="D270" s="133">
        <f t="shared" si="48"/>
        <v>-160</v>
      </c>
      <c r="E270" s="32">
        <f t="shared" si="27"/>
        <v>2.5600000000000001E-2</v>
      </c>
      <c r="F270" s="134">
        <f>G150</f>
        <v>0</v>
      </c>
      <c r="G270" s="135">
        <f>G268</f>
        <v>148</v>
      </c>
      <c r="H270" s="134">
        <f>ROUND(E270*G270*F270,2)</f>
        <v>0</v>
      </c>
      <c r="I270" s="136" t="s">
        <v>173</v>
      </c>
      <c r="N270" s="255"/>
      <c r="O270" s="255"/>
      <c r="P270" s="255"/>
    </row>
    <row r="271" spans="1:16" s="43" customFormat="1" ht="18" customHeight="1">
      <c r="A271" s="1"/>
      <c r="B271" s="124" t="str">
        <f>B270</f>
        <v>6单银Low-E+12A+6</v>
      </c>
      <c r="C271" s="133">
        <f t="shared" si="48"/>
        <v>-160</v>
      </c>
      <c r="D271" s="133">
        <f t="shared" si="48"/>
        <v>-160</v>
      </c>
      <c r="E271" s="32">
        <f t="shared" si="27"/>
        <v>2.5600000000000001E-2</v>
      </c>
      <c r="F271" s="134">
        <f>G151</f>
        <v>0</v>
      </c>
      <c r="G271" s="135">
        <f>G270</f>
        <v>148</v>
      </c>
      <c r="H271" s="134">
        <f>ROUND(E271*G271*F271,2)</f>
        <v>0</v>
      </c>
      <c r="I271" s="136" t="s">
        <v>173</v>
      </c>
      <c r="N271" s="255"/>
      <c r="O271" s="255"/>
      <c r="P271" s="255"/>
    </row>
    <row r="272" spans="1:16" s="43" customFormat="1" ht="18" customHeight="1">
      <c r="A272" s="1"/>
      <c r="B272" s="124" t="str">
        <f>B271</f>
        <v>6单银Low-E+12A+6</v>
      </c>
      <c r="C272" s="133">
        <f t="shared" si="48"/>
        <v>-160</v>
      </c>
      <c r="D272" s="133">
        <f t="shared" si="48"/>
        <v>-160</v>
      </c>
      <c r="E272" s="32">
        <f t="shared" si="27"/>
        <v>2.5600000000000001E-2</v>
      </c>
      <c r="F272" s="134">
        <f>G152</f>
        <v>0</v>
      </c>
      <c r="G272" s="135">
        <f>G271</f>
        <v>148</v>
      </c>
      <c r="H272" s="134">
        <f>ROUND(E272*G272*F272,2)</f>
        <v>0</v>
      </c>
      <c r="I272" s="136" t="s">
        <v>173</v>
      </c>
      <c r="N272" s="255"/>
      <c r="O272" s="255"/>
      <c r="P272" s="255"/>
    </row>
    <row r="273" spans="1:16" s="43" customFormat="1" ht="18" customHeight="1">
      <c r="A273" s="1"/>
      <c r="B273" s="48" t="s">
        <v>175</v>
      </c>
      <c r="C273" s="52"/>
      <c r="D273" s="50"/>
      <c r="E273" s="128"/>
      <c r="F273" s="50">
        <f>SUM(F270:F272)</f>
        <v>0</v>
      </c>
      <c r="G273" s="50"/>
      <c r="H273" s="52">
        <f>SUM(H270:H272)</f>
        <v>0</v>
      </c>
      <c r="I273" s="53">
        <f>ROUND((E270*F270+E271*F271+E272*F272),2)</f>
        <v>0</v>
      </c>
      <c r="N273" s="255"/>
      <c r="O273" s="255"/>
      <c r="P273" s="255"/>
    </row>
    <row r="274" spans="1:16" ht="18" customHeight="1">
      <c r="B274" s="124" t="str">
        <f>B272</f>
        <v>6单银Low-E+12A+6</v>
      </c>
      <c r="C274" s="133">
        <f t="shared" ref="C274:D279" si="49">D157-12</f>
        <v>-12</v>
      </c>
      <c r="D274" s="133">
        <f t="shared" si="49"/>
        <v>-12</v>
      </c>
      <c r="E274" s="32">
        <f t="shared" si="27"/>
        <v>1.44E-4</v>
      </c>
      <c r="F274" s="134">
        <f t="shared" ref="F274:F279" si="50">G157</f>
        <v>0</v>
      </c>
      <c r="G274" s="135">
        <f>G272</f>
        <v>148</v>
      </c>
      <c r="H274" s="134">
        <f t="shared" ref="H274:H279" si="51">ROUND(E274*G274*F274,2)</f>
        <v>0</v>
      </c>
      <c r="I274" s="136" t="s">
        <v>176</v>
      </c>
    </row>
    <row r="275" spans="1:16" ht="18" customHeight="1">
      <c r="B275" s="124" t="str">
        <f>B274</f>
        <v>6单银Low-E+12A+6</v>
      </c>
      <c r="C275" s="133">
        <f t="shared" si="49"/>
        <v>-12</v>
      </c>
      <c r="D275" s="133">
        <f t="shared" si="49"/>
        <v>-12</v>
      </c>
      <c r="E275" s="32">
        <f t="shared" si="27"/>
        <v>1.44E-4</v>
      </c>
      <c r="F275" s="134">
        <f t="shared" si="50"/>
        <v>0</v>
      </c>
      <c r="G275" s="135">
        <f>G274</f>
        <v>148</v>
      </c>
      <c r="H275" s="134">
        <f t="shared" si="51"/>
        <v>0</v>
      </c>
      <c r="I275" s="136" t="str">
        <f>I274</f>
        <v>门钢化中空玻璃</v>
      </c>
      <c r="K275" s="43" t="s">
        <v>177</v>
      </c>
    </row>
    <row r="276" spans="1:16" ht="18" customHeight="1">
      <c r="B276" s="124" t="str">
        <f>B275</f>
        <v>6单银Low-E+12A+6</v>
      </c>
      <c r="C276" s="133">
        <f t="shared" si="49"/>
        <v>-12</v>
      </c>
      <c r="D276" s="133">
        <f t="shared" si="49"/>
        <v>-12</v>
      </c>
      <c r="E276" s="32">
        <f t="shared" si="27"/>
        <v>1.44E-4</v>
      </c>
      <c r="F276" s="134">
        <f t="shared" si="50"/>
        <v>0</v>
      </c>
      <c r="G276" s="135">
        <f>G275</f>
        <v>148</v>
      </c>
      <c r="H276" s="134">
        <f t="shared" si="51"/>
        <v>0</v>
      </c>
      <c r="I276" s="136" t="str">
        <f>I275</f>
        <v>门钢化中空玻璃</v>
      </c>
    </row>
    <row r="277" spans="1:16" ht="18" customHeight="1">
      <c r="B277" s="124" t="str">
        <f>B276</f>
        <v>6单银Low-E+12A+6</v>
      </c>
      <c r="C277" s="133">
        <f t="shared" si="49"/>
        <v>-12</v>
      </c>
      <c r="D277" s="133">
        <f t="shared" si="49"/>
        <v>-12</v>
      </c>
      <c r="E277" s="32">
        <f t="shared" si="27"/>
        <v>1.44E-4</v>
      </c>
      <c r="F277" s="134">
        <f t="shared" si="50"/>
        <v>0</v>
      </c>
      <c r="G277" s="135">
        <f>G276</f>
        <v>148</v>
      </c>
      <c r="H277" s="134">
        <f t="shared" si="51"/>
        <v>0</v>
      </c>
      <c r="I277" s="136" t="str">
        <f>I276</f>
        <v>门钢化中空玻璃</v>
      </c>
    </row>
    <row r="278" spans="1:16" ht="18" customHeight="1">
      <c r="B278" s="124" t="str">
        <f>B277</f>
        <v>6单银Low-E+12A+6</v>
      </c>
      <c r="C278" s="133">
        <f t="shared" si="49"/>
        <v>-12</v>
      </c>
      <c r="D278" s="133">
        <f t="shared" si="49"/>
        <v>-12</v>
      </c>
      <c r="E278" s="32">
        <f t="shared" si="27"/>
        <v>1.44E-4</v>
      </c>
      <c r="F278" s="134">
        <f t="shared" si="50"/>
        <v>0</v>
      </c>
      <c r="G278" s="135">
        <f>G277</f>
        <v>148</v>
      </c>
      <c r="H278" s="134">
        <f t="shared" si="51"/>
        <v>0</v>
      </c>
      <c r="I278" s="136" t="str">
        <f>I277</f>
        <v>门钢化中空玻璃</v>
      </c>
    </row>
    <row r="279" spans="1:16" ht="18" customHeight="1">
      <c r="B279" s="124" t="str">
        <f>B278</f>
        <v>6单银Low-E+12A+6</v>
      </c>
      <c r="C279" s="133">
        <f t="shared" si="49"/>
        <v>-12</v>
      </c>
      <c r="D279" s="133">
        <f t="shared" si="49"/>
        <v>-12</v>
      </c>
      <c r="E279" s="32">
        <f t="shared" si="27"/>
        <v>1.44E-4</v>
      </c>
      <c r="F279" s="134">
        <f t="shared" si="50"/>
        <v>0</v>
      </c>
      <c r="G279" s="135">
        <f>G278</f>
        <v>148</v>
      </c>
      <c r="H279" s="134">
        <f t="shared" si="51"/>
        <v>0</v>
      </c>
      <c r="I279" s="136" t="str">
        <f>I278</f>
        <v>门钢化中空玻璃</v>
      </c>
    </row>
    <row r="280" spans="1:16" ht="18" customHeight="1">
      <c r="B280" s="48" t="s">
        <v>178</v>
      </c>
      <c r="C280" s="52"/>
      <c r="D280" s="50"/>
      <c r="E280" s="128"/>
      <c r="F280" s="50">
        <f>SUM(F274:F279)</f>
        <v>0</v>
      </c>
      <c r="G280" s="50"/>
      <c r="H280" s="52">
        <f>SUM(H274:H279)</f>
        <v>0</v>
      </c>
      <c r="I280" s="53">
        <f>ROUND(SUMPRODUCT(E274:E279*F274:F279),2)</f>
        <v>0</v>
      </c>
    </row>
    <row r="281" spans="1:16" ht="18" customHeight="1">
      <c r="B281" s="124" t="str">
        <f>材料价格!A10</f>
        <v>6单银Low-E+12A+6</v>
      </c>
      <c r="C281" s="133">
        <f>C252</f>
        <v>-12</v>
      </c>
      <c r="D281" s="133">
        <f>D252</f>
        <v>-12</v>
      </c>
      <c r="E281" s="32">
        <f t="shared" si="27"/>
        <v>1.44E-4</v>
      </c>
      <c r="F281" s="134"/>
      <c r="G281" s="137">
        <f>材料价格!B10</f>
        <v>148</v>
      </c>
      <c r="H281" s="134">
        <f>ROUND(E281*G281*F281,2)</f>
        <v>0</v>
      </c>
      <c r="I281" s="247" t="s">
        <v>179</v>
      </c>
    </row>
    <row r="282" spans="1:16" ht="18" customHeight="1">
      <c r="B282" s="124" t="str">
        <f>B281</f>
        <v>6单银Low-E+12A+6</v>
      </c>
      <c r="C282" s="133">
        <f>C253</f>
        <v>-12</v>
      </c>
      <c r="D282" s="133">
        <f>D253</f>
        <v>-12</v>
      </c>
      <c r="E282" s="32">
        <f t="shared" si="27"/>
        <v>1.44E-4</v>
      </c>
      <c r="F282" s="134"/>
      <c r="G282" s="135">
        <f>G281</f>
        <v>148</v>
      </c>
      <c r="H282" s="134">
        <f>ROUND(E282*G282*F282,2)</f>
        <v>0</v>
      </c>
      <c r="I282" s="247" t="s">
        <v>179</v>
      </c>
      <c r="J282" s="255"/>
      <c r="K282" s="255"/>
      <c r="L282" s="255"/>
      <c r="M282" s="255"/>
    </row>
    <row r="283" spans="1:16" ht="18" customHeight="1">
      <c r="B283" s="124" t="str">
        <f>B282</f>
        <v>6单银Low-E+12A+6</v>
      </c>
      <c r="C283" s="133">
        <f>D84-12</f>
        <v>-12</v>
      </c>
      <c r="D283" s="133">
        <f>E84-12</f>
        <v>-12</v>
      </c>
      <c r="E283" s="32">
        <f t="shared" si="27"/>
        <v>1.44E-4</v>
      </c>
      <c r="F283" s="134">
        <f>G84</f>
        <v>0</v>
      </c>
      <c r="G283" s="135">
        <f>G282</f>
        <v>148</v>
      </c>
      <c r="H283" s="134">
        <f>ROUND(E283*G283*F283,2)</f>
        <v>0</v>
      </c>
      <c r="I283" s="247" t="s">
        <v>179</v>
      </c>
      <c r="J283" s="255"/>
      <c r="K283" s="255"/>
      <c r="L283" s="255"/>
      <c r="M283" s="255"/>
    </row>
    <row r="284" spans="1:16" ht="18" customHeight="1">
      <c r="B284" s="124" t="str">
        <f>B283</f>
        <v>6单银Low-E+12A+6</v>
      </c>
      <c r="C284" s="133">
        <f>D85-12</f>
        <v>-12</v>
      </c>
      <c r="D284" s="133">
        <f>E85-12</f>
        <v>-12</v>
      </c>
      <c r="E284" s="32">
        <f t="shared" si="27"/>
        <v>1.44E-4</v>
      </c>
      <c r="F284" s="134">
        <f>G85</f>
        <v>0</v>
      </c>
      <c r="G284" s="135">
        <f>G283</f>
        <v>148</v>
      </c>
      <c r="H284" s="134">
        <f>ROUND(E284*G284*F284,2)</f>
        <v>0</v>
      </c>
      <c r="I284" s="247" t="s">
        <v>179</v>
      </c>
      <c r="J284" s="255"/>
      <c r="K284" s="255"/>
      <c r="L284" s="255"/>
      <c r="M284" s="255"/>
    </row>
    <row r="285" spans="1:16" ht="18" customHeight="1">
      <c r="B285" s="48" t="s">
        <v>180</v>
      </c>
      <c r="C285" s="52"/>
      <c r="D285" s="50"/>
      <c r="E285" s="50"/>
      <c r="F285" s="50">
        <f>SUM(F281:F284)</f>
        <v>0</v>
      </c>
      <c r="G285" s="50"/>
      <c r="H285" s="52">
        <f>SUM(H281:H284)</f>
        <v>0</v>
      </c>
      <c r="I285" s="53">
        <f>ROUND((E281*F281+E282*F282+E283*F283+E284*F284),2)</f>
        <v>0</v>
      </c>
      <c r="J285" s="255"/>
      <c r="K285" s="255"/>
      <c r="L285" s="255"/>
      <c r="M285" s="255"/>
    </row>
    <row r="286" spans="1:16" ht="18" customHeight="1">
      <c r="B286" s="124" t="str">
        <f>材料价格!A11</f>
        <v>8单银Low-E+12Ar+8+12A+8mm</v>
      </c>
      <c r="C286" s="133"/>
      <c r="D286" s="133"/>
      <c r="E286" s="32">
        <f>C286*D286/10^6</f>
        <v>0</v>
      </c>
      <c r="F286" s="134"/>
      <c r="G286" s="137">
        <f>材料价格!B11</f>
        <v>312</v>
      </c>
      <c r="H286" s="134">
        <f>ROUND(E286*G286*F286,2)</f>
        <v>0</v>
      </c>
      <c r="I286" s="247" t="s">
        <v>181</v>
      </c>
      <c r="J286" s="255"/>
      <c r="K286" s="255"/>
      <c r="L286" s="255"/>
      <c r="M286" s="255"/>
    </row>
    <row r="287" spans="1:16" ht="18" customHeight="1">
      <c r="B287" s="124" t="str">
        <f>B286</f>
        <v>8单银Low-E+12Ar+8+12A+8mm</v>
      </c>
      <c r="C287" s="133"/>
      <c r="D287" s="133"/>
      <c r="E287" s="32">
        <f>C287*D287/10^6</f>
        <v>0</v>
      </c>
      <c r="F287" s="134"/>
      <c r="G287" s="135">
        <f>G286</f>
        <v>312</v>
      </c>
      <c r="H287" s="134">
        <f>ROUND(E287*G287*F287,2)</f>
        <v>0</v>
      </c>
      <c r="I287" s="247" t="s">
        <v>181</v>
      </c>
      <c r="J287" s="255"/>
      <c r="K287" s="255"/>
      <c r="L287" s="255"/>
      <c r="M287" s="255"/>
    </row>
    <row r="288" spans="1:16" ht="18" customHeight="1">
      <c r="B288" s="138" t="str">
        <f>材料价格!A12</f>
        <v>10单银Low-E+12Ar+10+12A+10mm</v>
      </c>
      <c r="C288" s="139"/>
      <c r="D288" s="139"/>
      <c r="E288" s="140">
        <f>C288*D288/10^6</f>
        <v>0</v>
      </c>
      <c r="F288" s="141"/>
      <c r="G288" s="142">
        <f>材料价格!B12</f>
        <v>395</v>
      </c>
      <c r="H288" s="141">
        <f>ROUND(E288*G288*F288,2)</f>
        <v>0</v>
      </c>
      <c r="I288" s="143" t="s">
        <v>181</v>
      </c>
      <c r="J288" s="255"/>
      <c r="K288" s="255"/>
      <c r="L288" s="255"/>
      <c r="M288" s="255"/>
    </row>
    <row r="289" spans="2:13" ht="18" customHeight="1">
      <c r="B289" s="138" t="str">
        <f>B288</f>
        <v>10单银Low-E+12Ar+10+12A+10mm</v>
      </c>
      <c r="C289" s="139"/>
      <c r="D289" s="139"/>
      <c r="E289" s="140">
        <f>C289*D289/10^6</f>
        <v>0</v>
      </c>
      <c r="F289" s="141"/>
      <c r="G289" s="142">
        <f>G288</f>
        <v>395</v>
      </c>
      <c r="H289" s="141">
        <f>ROUND(E289*G289*F289,2)</f>
        <v>0</v>
      </c>
      <c r="I289" s="143" t="s">
        <v>181</v>
      </c>
      <c r="J289" s="255"/>
      <c r="K289" s="255"/>
      <c r="L289" s="255"/>
      <c r="M289" s="255"/>
    </row>
    <row r="290" spans="2:13" ht="18" customHeight="1">
      <c r="B290" s="48" t="s">
        <v>180</v>
      </c>
      <c r="C290" s="52"/>
      <c r="D290" s="50"/>
      <c r="E290" s="50"/>
      <c r="F290" s="50">
        <f>SUM(F286:F289)</f>
        <v>0</v>
      </c>
      <c r="G290" s="50"/>
      <c r="H290" s="52">
        <f>SUM(H286:H289)</f>
        <v>0</v>
      </c>
      <c r="I290" s="53">
        <f>ROUND((E286*F286+E287*F287+E288*F288+E289*F289),2)</f>
        <v>0</v>
      </c>
      <c r="J290" s="255"/>
      <c r="K290" s="255"/>
      <c r="L290" s="255"/>
      <c r="M290" s="255"/>
    </row>
    <row r="291" spans="2:13" ht="18" customHeight="1">
      <c r="B291" s="642" t="s">
        <v>182</v>
      </c>
      <c r="C291" s="144" t="s">
        <v>183</v>
      </c>
      <c r="D291" s="144" cm="1">
        <f t="array" ref="D291">SUMPRODUCT(E225:E232*F225:F232)+SUMPRODUCT(E243:E249*F243:F249)</f>
        <v>1.6817759999999999</v>
      </c>
      <c r="E291" s="144" t="s">
        <v>184</v>
      </c>
      <c r="F291" s="145">
        <f>F233+F250</f>
        <v>1</v>
      </c>
      <c r="G291" s="145" t="s">
        <v>185</v>
      </c>
      <c r="H291" s="144">
        <f>H233+H250</f>
        <v>248.9</v>
      </c>
      <c r="I291" s="146">
        <f>H291/F366</f>
        <v>34.57472669435608</v>
      </c>
      <c r="J291" s="255"/>
      <c r="K291" s="255"/>
      <c r="L291" s="255"/>
      <c r="M291" s="255"/>
    </row>
    <row r="292" spans="2:13" ht="18" customHeight="1">
      <c r="B292" s="642"/>
      <c r="C292" s="144" t="s">
        <v>186</v>
      </c>
      <c r="D292" s="144">
        <f>SUMPRODUCT(E234:E241*F234:F241)+SUMPRODUCT(E251:E257*F251:F257)+SUMPRODUCT(E259:E264*F259:F264)+SUMPRODUCT(E266:E268*F266:F268)+SUMPRODUCT(E270:E272*F270:F272)+SUMPRODUCT(E281:E284*F281:F284)+SUMPRODUCT(E286:E289*F286:F289)+SUMPRODUCT(E274:E279*F274:F279)</f>
        <v>3.8066399999999998</v>
      </c>
      <c r="E292" s="144" t="s">
        <v>186</v>
      </c>
      <c r="F292" s="145">
        <f>F242+F258+F265+F269+F273+F285+F290+F280</f>
        <v>2</v>
      </c>
      <c r="G292" s="145" t="s">
        <v>185</v>
      </c>
      <c r="H292" s="144">
        <f>H242+H258+H265+H269+H273+H280+H285+H290</f>
        <v>563.38</v>
      </c>
      <c r="I292" s="146">
        <f>H292/F366</f>
        <v>78.259178485601964</v>
      </c>
      <c r="J292" s="255"/>
      <c r="K292" s="255"/>
      <c r="L292" s="255"/>
      <c r="M292" s="255"/>
    </row>
    <row r="293" spans="2:13" ht="18" customHeight="1">
      <c r="B293" s="23" t="s">
        <v>187</v>
      </c>
      <c r="C293" s="252" t="s">
        <v>188</v>
      </c>
      <c r="D293" s="68" t="s">
        <v>189</v>
      </c>
      <c r="E293" s="252" t="s">
        <v>8</v>
      </c>
      <c r="F293" s="252" t="s">
        <v>190</v>
      </c>
      <c r="G293" s="252" t="s">
        <v>191</v>
      </c>
      <c r="H293" s="252" t="s">
        <v>160</v>
      </c>
      <c r="I293" s="25" t="s">
        <v>1</v>
      </c>
      <c r="J293" s="255"/>
      <c r="K293" s="255"/>
      <c r="L293" s="255"/>
      <c r="M293" s="255"/>
    </row>
    <row r="294" spans="2:13" ht="18" customHeight="1">
      <c r="B294" s="629" t="s">
        <v>192</v>
      </c>
      <c r="C294" s="253">
        <f>D26</f>
        <v>0</v>
      </c>
      <c r="D294" s="250"/>
      <c r="E294" s="250"/>
      <c r="F294" s="250" t="s">
        <v>193</v>
      </c>
      <c r="G294" s="108">
        <f>材料价格!B14</f>
        <v>153</v>
      </c>
      <c r="H294" s="147">
        <f>E294*G294</f>
        <v>0</v>
      </c>
      <c r="I294" s="632" t="s">
        <v>194</v>
      </c>
      <c r="J294" s="255"/>
      <c r="K294" s="255"/>
      <c r="L294" s="255"/>
      <c r="M294" s="255"/>
    </row>
    <row r="295" spans="2:13" ht="18" customHeight="1">
      <c r="B295" s="629"/>
      <c r="C295" s="253"/>
      <c r="D295" s="250"/>
      <c r="E295" s="250"/>
      <c r="F295" s="250"/>
      <c r="G295" s="108"/>
      <c r="H295" s="147">
        <f t="shared" ref="H295:H303" si="52">E295*G295</f>
        <v>0</v>
      </c>
      <c r="I295" s="633"/>
      <c r="J295" s="255"/>
      <c r="K295" s="255"/>
      <c r="L295" s="255"/>
      <c r="M295" s="255"/>
    </row>
    <row r="296" spans="2:13" ht="18" customHeight="1">
      <c r="B296" s="629" t="s">
        <v>195</v>
      </c>
      <c r="C296" s="253"/>
      <c r="D296" s="148"/>
      <c r="E296" s="250"/>
      <c r="F296" s="250" t="str">
        <f>F294</f>
        <v>坚朗</v>
      </c>
      <c r="G296" s="108">
        <f>材料价格!B15</f>
        <v>80</v>
      </c>
      <c r="H296" s="147">
        <f t="shared" si="52"/>
        <v>0</v>
      </c>
      <c r="I296" s="632" t="s">
        <v>196</v>
      </c>
      <c r="J296" s="255"/>
      <c r="K296" s="255"/>
      <c r="L296" s="255"/>
      <c r="M296" s="255"/>
    </row>
    <row r="297" spans="2:13" ht="18" customHeight="1">
      <c r="B297" s="629"/>
      <c r="C297" s="253"/>
      <c r="D297" s="148"/>
      <c r="E297" s="250"/>
      <c r="F297" s="250"/>
      <c r="G297" s="108"/>
      <c r="H297" s="147">
        <f t="shared" si="52"/>
        <v>0</v>
      </c>
      <c r="I297" s="633"/>
      <c r="J297" s="255"/>
      <c r="K297" s="255"/>
      <c r="L297" s="255"/>
      <c r="M297" s="255"/>
    </row>
    <row r="298" spans="2:13" ht="18" customHeight="1">
      <c r="B298" s="629" t="s">
        <v>197</v>
      </c>
      <c r="C298" s="253"/>
      <c r="D298" s="148"/>
      <c r="E298" s="250"/>
      <c r="F298" s="250" t="str">
        <f>F296</f>
        <v>坚朗</v>
      </c>
      <c r="G298" s="108">
        <f>材料价格!B16</f>
        <v>88</v>
      </c>
      <c r="H298" s="147">
        <f t="shared" si="52"/>
        <v>0</v>
      </c>
      <c r="I298" s="633"/>
      <c r="J298" s="255"/>
      <c r="K298" s="255"/>
      <c r="L298" s="255"/>
      <c r="M298" s="255"/>
    </row>
    <row r="299" spans="2:13" ht="18" customHeight="1">
      <c r="B299" s="629"/>
      <c r="C299" s="253"/>
      <c r="D299" s="148"/>
      <c r="E299" s="250"/>
      <c r="F299" s="250"/>
      <c r="G299" s="108"/>
      <c r="H299" s="147">
        <f t="shared" si="52"/>
        <v>0</v>
      </c>
      <c r="I299" s="633"/>
      <c r="J299" s="255"/>
      <c r="K299" s="255"/>
      <c r="L299" s="255"/>
      <c r="M299" s="255"/>
    </row>
    <row r="300" spans="2:13" ht="18" customHeight="1">
      <c r="B300" s="629" t="s">
        <v>198</v>
      </c>
      <c r="C300" s="253">
        <f>D35</f>
        <v>0</v>
      </c>
      <c r="D300" s="148"/>
      <c r="E300" s="250"/>
      <c r="F300" s="250" t="str">
        <f>F298</f>
        <v>坚朗</v>
      </c>
      <c r="G300" s="108">
        <f>材料价格!B17</f>
        <v>115</v>
      </c>
      <c r="H300" s="147">
        <f t="shared" si="52"/>
        <v>0</v>
      </c>
      <c r="I300" s="149"/>
      <c r="J300" s="255"/>
      <c r="K300" s="255"/>
      <c r="L300" s="255"/>
      <c r="M300" s="255"/>
    </row>
    <row r="301" spans="2:13" ht="18" customHeight="1">
      <c r="B301" s="629"/>
      <c r="C301" s="253"/>
      <c r="D301" s="148"/>
      <c r="E301" s="250"/>
      <c r="F301" s="250"/>
      <c r="G301" s="108"/>
      <c r="H301" s="147">
        <f t="shared" si="52"/>
        <v>0</v>
      </c>
      <c r="I301" s="149"/>
      <c r="J301" s="255"/>
      <c r="K301" s="255"/>
      <c r="L301" s="255"/>
      <c r="M301" s="255"/>
    </row>
    <row r="302" spans="2:13" ht="18" customHeight="1">
      <c r="B302" s="629" t="s">
        <v>199</v>
      </c>
      <c r="C302" s="250" t="s">
        <v>200</v>
      </c>
      <c r="D302" s="148"/>
      <c r="E302" s="250"/>
      <c r="F302" s="250" t="str">
        <f>F300</f>
        <v>坚朗</v>
      </c>
      <c r="G302" s="108">
        <f>材料价格!B19</f>
        <v>230</v>
      </c>
      <c r="H302" s="147">
        <f t="shared" si="52"/>
        <v>0</v>
      </c>
      <c r="I302" s="247"/>
      <c r="J302" s="255"/>
      <c r="K302" s="255"/>
      <c r="L302" s="255"/>
      <c r="M302" s="255"/>
    </row>
    <row r="303" spans="2:13" ht="18" customHeight="1">
      <c r="B303" s="629"/>
      <c r="C303" s="250" t="s">
        <v>201</v>
      </c>
      <c r="D303" s="148"/>
      <c r="E303" s="250">
        <v>1</v>
      </c>
      <c r="F303" s="250" t="str">
        <f>F302</f>
        <v>坚朗</v>
      </c>
      <c r="G303" s="108">
        <f>材料价格!B20</f>
        <v>335</v>
      </c>
      <c r="H303" s="147">
        <f t="shared" si="52"/>
        <v>335</v>
      </c>
      <c r="I303" s="247"/>
      <c r="J303" s="255"/>
      <c r="K303" s="255"/>
      <c r="L303" s="255"/>
      <c r="M303" s="255"/>
    </row>
    <row r="304" spans="2:13" ht="18" customHeight="1">
      <c r="B304" s="150" t="s">
        <v>202</v>
      </c>
      <c r="C304" s="50"/>
      <c r="D304" s="50"/>
      <c r="E304" s="50">
        <f>SUM(E294:E303)</f>
        <v>1</v>
      </c>
      <c r="F304" s="50"/>
      <c r="G304" s="166"/>
      <c r="H304" s="151">
        <f>SUM(H294:H303)</f>
        <v>335</v>
      </c>
      <c r="I304" s="152"/>
      <c r="J304" s="42"/>
    </row>
    <row r="305" spans="1:16" ht="18" customHeight="1">
      <c r="B305" s="246" t="s">
        <v>300</v>
      </c>
      <c r="C305" s="250"/>
      <c r="D305" s="148"/>
      <c r="E305" s="253">
        <f>E294+E296</f>
        <v>0</v>
      </c>
      <c r="F305" s="148"/>
      <c r="G305" s="148">
        <f>材料价格!B27</f>
        <v>0</v>
      </c>
      <c r="H305" s="154">
        <f>E305*G305</f>
        <v>0</v>
      </c>
      <c r="I305" s="247" t="s">
        <v>203</v>
      </c>
    </row>
    <row r="306" spans="1:16" s="16" customFormat="1" ht="18" customHeight="1">
      <c r="A306" s="1"/>
      <c r="B306" s="246" t="s">
        <v>204</v>
      </c>
      <c r="C306" s="250"/>
      <c r="D306" s="148"/>
      <c r="E306" s="253">
        <f>E298+E299+E300+E301</f>
        <v>0</v>
      </c>
      <c r="F306" s="148"/>
      <c r="G306" s="148">
        <f>材料价格!B28</f>
        <v>118</v>
      </c>
      <c r="H306" s="154">
        <f>E306*G306</f>
        <v>0</v>
      </c>
      <c r="I306" s="247" t="s">
        <v>205</v>
      </c>
      <c r="J306" s="43"/>
      <c r="K306" s="43"/>
      <c r="L306" s="43"/>
      <c r="M306" s="43"/>
      <c r="N306" s="255"/>
      <c r="O306" s="255"/>
      <c r="P306" s="255"/>
    </row>
    <row r="307" spans="1:16" s="16" customFormat="1" ht="18" customHeight="1">
      <c r="A307" s="1"/>
      <c r="B307" s="246" t="s">
        <v>206</v>
      </c>
      <c r="C307" s="250"/>
      <c r="D307" s="148"/>
      <c r="E307" s="253"/>
      <c r="F307" s="148"/>
      <c r="G307" s="148"/>
      <c r="H307" s="154">
        <f>E307*G307</f>
        <v>0</v>
      </c>
      <c r="I307" s="247" t="s">
        <v>207</v>
      </c>
      <c r="J307" s="43"/>
      <c r="K307" s="43"/>
      <c r="L307" s="43"/>
      <c r="M307" s="43"/>
      <c r="N307" s="255"/>
      <c r="O307" s="255"/>
      <c r="P307" s="255"/>
    </row>
    <row r="308" spans="1:16" s="16" customFormat="1" ht="18" customHeight="1">
      <c r="A308" s="1"/>
      <c r="B308" s="150" t="s">
        <v>208</v>
      </c>
      <c r="C308" s="50"/>
      <c r="D308" s="50"/>
      <c r="E308" s="100">
        <f>SUM(E305:E307)</f>
        <v>0</v>
      </c>
      <c r="F308" s="50"/>
      <c r="G308" s="166"/>
      <c r="H308" s="155">
        <f>SUM(H305:H307)</f>
        <v>0</v>
      </c>
      <c r="I308" s="152"/>
      <c r="J308" s="43"/>
      <c r="K308" s="43"/>
      <c r="L308" s="43"/>
      <c r="M308" s="43"/>
      <c r="N308" s="255"/>
      <c r="O308" s="255"/>
      <c r="P308" s="255"/>
    </row>
    <row r="309" spans="1:16" s="16" customFormat="1" ht="18" customHeight="1">
      <c r="A309" s="1"/>
      <c r="B309" s="156" t="s">
        <v>209</v>
      </c>
      <c r="C309" s="157">
        <f>ROUND(IF(D4&lt;=200,4,0)+IF(D4&gt;200,(D4/200+1))+IF(E4&lt;=200,4,0)+IF(E4&gt;200,(E4/200+1)),0)</f>
        <v>31</v>
      </c>
      <c r="D309" s="148"/>
      <c r="E309" s="148"/>
      <c r="F309" s="148"/>
      <c r="G309" s="158">
        <v>0.5</v>
      </c>
      <c r="H309" s="159">
        <f>ROUND(C309*G309,2)</f>
        <v>15.5</v>
      </c>
      <c r="I309" s="247" t="s">
        <v>210</v>
      </c>
      <c r="J309" s="43"/>
      <c r="K309" s="43"/>
      <c r="L309" s="43"/>
      <c r="M309" s="43"/>
      <c r="N309" s="255"/>
      <c r="O309" s="255"/>
      <c r="P309" s="255"/>
    </row>
    <row r="310" spans="1:16" s="16" customFormat="1" ht="18" customHeight="1">
      <c r="A310" s="1"/>
      <c r="B310" s="156" t="s">
        <v>211</v>
      </c>
      <c r="C310" s="157">
        <f>C309*2</f>
        <v>62</v>
      </c>
      <c r="D310" s="148">
        <f>D309*2</f>
        <v>0</v>
      </c>
      <c r="E310" s="148"/>
      <c r="F310" s="148"/>
      <c r="G310" s="158">
        <v>0.3</v>
      </c>
      <c r="H310" s="159">
        <f>ROUND(C310*G310,2)</f>
        <v>18.600000000000001</v>
      </c>
      <c r="I310" s="247" t="s">
        <v>212</v>
      </c>
      <c r="J310" s="43"/>
      <c r="K310" s="43"/>
      <c r="L310" s="255"/>
      <c r="M310" s="255"/>
      <c r="N310" s="255"/>
      <c r="O310" s="255"/>
      <c r="P310" s="255"/>
    </row>
    <row r="311" spans="1:16" s="16" customFormat="1" ht="18" customHeight="1">
      <c r="A311" s="1"/>
      <c r="B311" s="160" t="s">
        <v>213</v>
      </c>
      <c r="C311" s="161">
        <f>F6</f>
        <v>7.1424000000000003</v>
      </c>
      <c r="D311" s="162"/>
      <c r="E311" s="162"/>
      <c r="F311" s="162"/>
      <c r="G311" s="163">
        <v>5</v>
      </c>
      <c r="H311" s="159">
        <f>ROUND(C311*G311,2)</f>
        <v>35.71</v>
      </c>
      <c r="I311" s="247"/>
      <c r="J311" s="43"/>
      <c r="K311" s="43"/>
      <c r="L311" s="255"/>
      <c r="M311" s="255"/>
      <c r="N311" s="255"/>
      <c r="O311" s="255"/>
      <c r="P311" s="255"/>
    </row>
    <row r="312" spans="1:16" s="16" customFormat="1" ht="18" customHeight="1">
      <c r="A312" s="1"/>
      <c r="B312" s="160" t="s">
        <v>214</v>
      </c>
      <c r="C312" s="161"/>
      <c r="D312" s="162"/>
      <c r="E312" s="162"/>
      <c r="F312" s="162"/>
      <c r="G312" s="163"/>
      <c r="H312" s="159">
        <f>ROUND(C312*G312,2)</f>
        <v>0</v>
      </c>
      <c r="I312" s="247"/>
      <c r="J312" s="43"/>
      <c r="K312" s="43"/>
      <c r="L312" s="255"/>
      <c r="M312" s="255"/>
      <c r="N312" s="255"/>
      <c r="O312" s="255"/>
      <c r="P312" s="255"/>
    </row>
    <row r="313" spans="1:16" s="16" customFormat="1" ht="18" customHeight="1">
      <c r="A313" s="1"/>
      <c r="B313" s="164" t="s">
        <v>397</v>
      </c>
      <c r="C313" s="161">
        <f>D291+D292</f>
        <v>5.488416</v>
      </c>
      <c r="D313" s="162"/>
      <c r="E313" s="162"/>
      <c r="F313" s="162"/>
      <c r="G313" s="163">
        <f>10+5</f>
        <v>15</v>
      </c>
      <c r="H313" s="159">
        <f>ROUND(C313*G313,2)</f>
        <v>82.33</v>
      </c>
      <c r="I313" s="247"/>
      <c r="J313" s="43"/>
      <c r="K313" s="43"/>
      <c r="L313" s="255"/>
      <c r="M313" s="255"/>
      <c r="N313" s="255"/>
      <c r="O313" s="255"/>
      <c r="P313" s="255"/>
    </row>
    <row r="314" spans="1:16" s="16" customFormat="1" ht="18" customHeight="1">
      <c r="A314" s="1"/>
      <c r="B314" s="150" t="s">
        <v>215</v>
      </c>
      <c r="C314" s="165"/>
      <c r="D314" s="50"/>
      <c r="E314" s="50"/>
      <c r="F314" s="50"/>
      <c r="G314" s="166"/>
      <c r="H314" s="155">
        <f>SUM(H309:H313)</f>
        <v>152.13999999999999</v>
      </c>
      <c r="I314" s="152"/>
      <c r="J314" s="43"/>
      <c r="K314" s="43"/>
      <c r="L314" s="255"/>
      <c r="M314" s="255"/>
      <c r="N314" s="255"/>
      <c r="O314" s="255"/>
      <c r="P314" s="255"/>
    </row>
    <row r="315" spans="1:16" s="16" customFormat="1" ht="18" customHeight="1">
      <c r="A315" s="1"/>
      <c r="B315" s="156" t="s">
        <v>216</v>
      </c>
      <c r="C315" s="167">
        <f>E203+E205+E207+I203+I205+E209+I207</f>
        <v>16</v>
      </c>
      <c r="D315" s="148"/>
      <c r="E315" s="148"/>
      <c r="F315" s="148"/>
      <c r="G315" s="168">
        <v>1.9</v>
      </c>
      <c r="H315" s="154">
        <f t="shared" ref="H315:H318" si="53">ROUND(C315*G315,2)</f>
        <v>30.4</v>
      </c>
      <c r="I315" s="224" t="s">
        <v>340</v>
      </c>
      <c r="J315" s="255"/>
      <c r="K315" s="43"/>
      <c r="L315" s="255"/>
      <c r="M315" s="255"/>
      <c r="N315" s="255"/>
      <c r="O315" s="255"/>
      <c r="P315" s="255"/>
    </row>
    <row r="316" spans="1:16" s="16" customFormat="1" ht="18" customHeight="1">
      <c r="A316" s="1"/>
      <c r="B316" s="156" t="s">
        <v>217</v>
      </c>
      <c r="C316" s="167">
        <f>ROUND((D4+E4)*2/1000,2)</f>
        <v>11.6</v>
      </c>
      <c r="D316" s="148"/>
      <c r="E316" s="238">
        <v>4</v>
      </c>
      <c r="F316" s="235">
        <f>材料价格!B25</f>
        <v>8.52</v>
      </c>
      <c r="G316" s="168">
        <f t="shared" ref="G316:G321" si="54">F316/E316</f>
        <v>2.13</v>
      </c>
      <c r="H316" s="154">
        <f t="shared" si="53"/>
        <v>24.71</v>
      </c>
      <c r="I316" s="169" t="s">
        <v>218</v>
      </c>
      <c r="J316" s="255"/>
      <c r="K316" s="43"/>
      <c r="L316" s="255"/>
      <c r="M316" s="255"/>
      <c r="N316" s="255"/>
      <c r="O316" s="255"/>
      <c r="P316" s="255"/>
    </row>
    <row r="317" spans="1:16" s="16" customFormat="1" ht="18" customHeight="1">
      <c r="A317" s="1"/>
      <c r="B317" s="156" t="s">
        <v>219</v>
      </c>
      <c r="C317" s="167">
        <f>C316</f>
        <v>11.6</v>
      </c>
      <c r="D317" s="148"/>
      <c r="E317" s="238">
        <v>3</v>
      </c>
      <c r="F317" s="235">
        <f>F316</f>
        <v>8.52</v>
      </c>
      <c r="G317" s="168">
        <f t="shared" si="54"/>
        <v>2.84</v>
      </c>
      <c r="H317" s="154">
        <f t="shared" si="53"/>
        <v>32.94</v>
      </c>
      <c r="I317" s="169" t="s">
        <v>220</v>
      </c>
      <c r="J317" s="255"/>
      <c r="K317" s="43"/>
      <c r="L317" s="255"/>
      <c r="M317" s="255"/>
      <c r="N317" s="255"/>
      <c r="O317" s="255"/>
      <c r="P317" s="255"/>
    </row>
    <row r="318" spans="1:16" s="16" customFormat="1" ht="18" customHeight="1">
      <c r="A318" s="1"/>
      <c r="B318" s="156" t="s">
        <v>221</v>
      </c>
      <c r="C318" s="167">
        <f>C316</f>
        <v>11.6</v>
      </c>
      <c r="D318" s="148"/>
      <c r="E318" s="238">
        <v>6.5</v>
      </c>
      <c r="F318" s="235">
        <f>材料价格!B26</f>
        <v>23</v>
      </c>
      <c r="G318" s="168">
        <f t="shared" si="54"/>
        <v>3.5384615384615383</v>
      </c>
      <c r="H318" s="154">
        <f t="shared" si="53"/>
        <v>41.05</v>
      </c>
      <c r="I318" s="224" t="s">
        <v>222</v>
      </c>
      <c r="J318" s="255"/>
      <c r="K318" s="43"/>
      <c r="L318" s="255"/>
      <c r="M318" s="255"/>
      <c r="N318" s="255"/>
      <c r="O318" s="255"/>
      <c r="P318" s="255"/>
    </row>
    <row r="319" spans="1:16" s="16" customFormat="1" ht="18" customHeight="1">
      <c r="A319" s="1"/>
      <c r="B319" s="156" t="s">
        <v>341</v>
      </c>
      <c r="C319" s="167">
        <f>ROUND((C97+C104+C88+C146+C153+C163)*1,2)</f>
        <v>18.559999999999999</v>
      </c>
      <c r="D319" s="77">
        <v>1</v>
      </c>
      <c r="E319" s="238">
        <f>10</f>
        <v>10</v>
      </c>
      <c r="F319" s="235">
        <f>F317</f>
        <v>8.52</v>
      </c>
      <c r="G319" s="168">
        <f>F319/E319</f>
        <v>0.85199999999999998</v>
      </c>
      <c r="H319" s="154">
        <f>ROUND(C319*G319,2)</f>
        <v>15.81</v>
      </c>
      <c r="I319" s="247" t="s">
        <v>223</v>
      </c>
      <c r="J319" s="255"/>
      <c r="K319" s="43"/>
      <c r="L319" s="255"/>
      <c r="M319" s="255"/>
      <c r="N319" s="255"/>
      <c r="O319" s="255"/>
      <c r="P319" s="255"/>
    </row>
    <row r="320" spans="1:16" s="16" customFormat="1" ht="18" customHeight="1">
      <c r="A320" s="1"/>
      <c r="B320" s="156" t="s">
        <v>342</v>
      </c>
      <c r="C320" s="167">
        <f>C319</f>
        <v>18.559999999999999</v>
      </c>
      <c r="D320" s="77">
        <v>1</v>
      </c>
      <c r="E320" s="238">
        <v>6</v>
      </c>
      <c r="F320" s="235">
        <f>F319</f>
        <v>8.52</v>
      </c>
      <c r="G320" s="168">
        <f t="shared" si="54"/>
        <v>1.42</v>
      </c>
      <c r="H320" s="154">
        <f>ROUND(C320*G320,2)</f>
        <v>26.36</v>
      </c>
      <c r="I320" s="247" t="s">
        <v>224</v>
      </c>
      <c r="J320" s="255"/>
      <c r="K320" s="170"/>
      <c r="L320" s="170"/>
      <c r="M320" s="170"/>
      <c r="N320" s="170"/>
      <c r="O320" s="170"/>
      <c r="P320" s="170"/>
    </row>
    <row r="321" spans="1:16" s="16" customFormat="1" ht="18" customHeight="1">
      <c r="A321" s="1"/>
      <c r="B321" s="156" t="s">
        <v>225</v>
      </c>
      <c r="C321" s="167">
        <f>C334*D334+C324*D324+C327*D327</f>
        <v>2.1480000000000001</v>
      </c>
      <c r="D321" s="77">
        <v>1</v>
      </c>
      <c r="E321" s="238">
        <f>10</f>
        <v>10</v>
      </c>
      <c r="F321" s="235">
        <f>F317</f>
        <v>8.52</v>
      </c>
      <c r="G321" s="168">
        <f t="shared" si="54"/>
        <v>0.85199999999999998</v>
      </c>
      <c r="H321" s="154">
        <f>ROUND(C321*G321,2)</f>
        <v>1.83</v>
      </c>
      <c r="I321" s="247" t="s">
        <v>226</v>
      </c>
      <c r="J321" s="255"/>
      <c r="K321" s="170"/>
      <c r="L321" s="170"/>
      <c r="M321" s="170"/>
      <c r="N321" s="170"/>
      <c r="O321" s="170"/>
      <c r="P321" s="170"/>
    </row>
    <row r="322" spans="1:16" s="16" customFormat="1" ht="18" customHeight="1">
      <c r="A322" s="1"/>
      <c r="B322" s="150" t="s">
        <v>227</v>
      </c>
      <c r="C322" s="165"/>
      <c r="D322" s="50"/>
      <c r="E322" s="50"/>
      <c r="F322" s="50"/>
      <c r="G322" s="166" t="s">
        <v>396</v>
      </c>
      <c r="H322" s="155">
        <f>SUM(H315:H321)</f>
        <v>173.1</v>
      </c>
      <c r="I322" s="152"/>
      <c r="J322" s="244" t="s">
        <v>399</v>
      </c>
      <c r="K322" s="245" t="s">
        <v>379</v>
      </c>
      <c r="L322" s="170"/>
      <c r="M322" s="170"/>
      <c r="N322" s="170"/>
      <c r="O322" s="170"/>
      <c r="P322" s="170"/>
    </row>
    <row r="323" spans="1:16" s="16" customFormat="1" ht="18" customHeight="1">
      <c r="A323" s="1"/>
      <c r="B323" s="156" t="s">
        <v>356</v>
      </c>
      <c r="C323" s="167">
        <f>C31</f>
        <v>0</v>
      </c>
      <c r="D323" s="239">
        <v>1</v>
      </c>
      <c r="E323" s="148"/>
      <c r="F323" s="148"/>
      <c r="G323" s="236">
        <f>0.45+0.85</f>
        <v>1.3</v>
      </c>
      <c r="H323" s="154">
        <f>ROUND(C323*D323*G323,2)</f>
        <v>0</v>
      </c>
      <c r="I323" s="247" t="s">
        <v>345</v>
      </c>
      <c r="J323" s="244">
        <v>1.76</v>
      </c>
      <c r="K323" s="245" t="s">
        <v>400</v>
      </c>
      <c r="L323" s="170"/>
      <c r="M323" s="171"/>
      <c r="N323" s="170"/>
      <c r="O323" s="170"/>
      <c r="P323" s="170"/>
    </row>
    <row r="324" spans="1:16" s="16" customFormat="1" ht="18" customHeight="1">
      <c r="A324" s="1"/>
      <c r="B324" s="156" t="s">
        <v>347</v>
      </c>
      <c r="C324" s="167">
        <f>C323</f>
        <v>0</v>
      </c>
      <c r="D324" s="239">
        <v>1</v>
      </c>
      <c r="E324" s="148"/>
      <c r="F324" s="148"/>
      <c r="G324" s="236">
        <v>6.89</v>
      </c>
      <c r="H324" s="154">
        <f t="shared" ref="H324:H329" si="55">ROUND(C324*D324*G324,2)</f>
        <v>0</v>
      </c>
      <c r="I324" s="247" t="s">
        <v>346</v>
      </c>
      <c r="J324" s="244">
        <v>12.25</v>
      </c>
      <c r="K324" s="245" t="s">
        <v>376</v>
      </c>
      <c r="L324" s="170"/>
      <c r="M324" s="171"/>
      <c r="N324" s="170"/>
      <c r="O324" s="170"/>
      <c r="P324" s="170"/>
    </row>
    <row r="325" spans="1:16" s="16" customFormat="1" ht="18" customHeight="1">
      <c r="A325" s="1"/>
      <c r="B325" s="156" t="s">
        <v>357</v>
      </c>
      <c r="C325" s="167">
        <f>C38</f>
        <v>0</v>
      </c>
      <c r="D325" s="239">
        <v>1</v>
      </c>
      <c r="E325" s="148"/>
      <c r="F325" s="148"/>
      <c r="G325" s="236">
        <f>0.85+0.61</f>
        <v>1.46</v>
      </c>
      <c r="H325" s="154">
        <f t="shared" si="55"/>
        <v>0</v>
      </c>
      <c r="I325" s="247" t="s">
        <v>354</v>
      </c>
      <c r="J325" s="244">
        <v>1.76</v>
      </c>
      <c r="K325" s="245" t="s">
        <v>378</v>
      </c>
      <c r="L325" s="170"/>
      <c r="M325" s="171"/>
      <c r="N325" s="170"/>
      <c r="O325" s="170"/>
      <c r="P325" s="170"/>
    </row>
    <row r="326" spans="1:16" s="16" customFormat="1" ht="18" customHeight="1">
      <c r="A326" s="1"/>
      <c r="B326" s="156" t="s">
        <v>355</v>
      </c>
      <c r="C326" s="167">
        <f>C325</f>
        <v>0</v>
      </c>
      <c r="D326" s="239">
        <v>1</v>
      </c>
      <c r="E326" s="148"/>
      <c r="F326" s="148"/>
      <c r="G326" s="236">
        <v>3.27</v>
      </c>
      <c r="H326" s="154">
        <f>ROUND(C326*D326*G326,2)</f>
        <v>0</v>
      </c>
      <c r="I326" s="247" t="s">
        <v>358</v>
      </c>
      <c r="J326" s="244">
        <v>3.27</v>
      </c>
      <c r="K326" s="245" t="s">
        <v>358</v>
      </c>
      <c r="L326" s="170"/>
      <c r="M326" s="171"/>
      <c r="N326" s="170"/>
      <c r="O326" s="170"/>
      <c r="P326" s="170"/>
    </row>
    <row r="327" spans="1:16" s="16" customFormat="1" ht="18" customHeight="1">
      <c r="A327" s="1"/>
      <c r="B327" s="156" t="s">
        <v>228</v>
      </c>
      <c r="C327" s="167">
        <f>C126</f>
        <v>0</v>
      </c>
      <c r="D327" s="239">
        <v>1</v>
      </c>
      <c r="E327" s="110"/>
      <c r="F327" s="148"/>
      <c r="G327" s="236">
        <v>6.89</v>
      </c>
      <c r="H327" s="154">
        <f t="shared" si="55"/>
        <v>0</v>
      </c>
      <c r="I327" s="247" t="s">
        <v>346</v>
      </c>
      <c r="J327" s="244">
        <v>12.25</v>
      </c>
      <c r="K327" s="245" t="s">
        <v>346</v>
      </c>
      <c r="L327" s="170"/>
      <c r="M327" s="171"/>
      <c r="N327" s="170"/>
      <c r="O327" s="170"/>
      <c r="P327" s="170"/>
    </row>
    <row r="328" spans="1:16" s="16" customFormat="1" ht="18" customHeight="1">
      <c r="A328" s="1"/>
      <c r="B328" s="156" t="s">
        <v>229</v>
      </c>
      <c r="C328" s="167">
        <f>C327</f>
        <v>0</v>
      </c>
      <c r="D328" s="239">
        <v>1</v>
      </c>
      <c r="E328" s="110"/>
      <c r="F328" s="148"/>
      <c r="G328" s="236">
        <f>G3233</f>
        <v>0</v>
      </c>
      <c r="H328" s="154">
        <f t="shared" si="55"/>
        <v>0</v>
      </c>
      <c r="I328" s="247" t="s">
        <v>345</v>
      </c>
      <c r="J328" s="244">
        <v>0</v>
      </c>
      <c r="K328" s="245" t="s">
        <v>400</v>
      </c>
      <c r="L328" s="170"/>
      <c r="M328" s="171"/>
      <c r="N328" s="170"/>
      <c r="O328" s="170"/>
      <c r="P328" s="170"/>
    </row>
    <row r="329" spans="1:16" s="16" customFormat="1" ht="18" customHeight="1">
      <c r="A329" s="1"/>
      <c r="B329" s="156" t="s">
        <v>230</v>
      </c>
      <c r="C329" s="167">
        <f>C119</f>
        <v>14.244</v>
      </c>
      <c r="D329" s="239">
        <v>1</v>
      </c>
      <c r="E329" s="148"/>
      <c r="F329" s="148"/>
      <c r="G329" s="236">
        <f>G3253</f>
        <v>0</v>
      </c>
      <c r="H329" s="154">
        <f t="shared" si="55"/>
        <v>0</v>
      </c>
      <c r="I329" s="247" t="s">
        <v>354</v>
      </c>
      <c r="J329" s="244">
        <v>0</v>
      </c>
      <c r="K329" s="245" t="s">
        <v>378</v>
      </c>
      <c r="L329" s="170"/>
      <c r="M329" s="171"/>
      <c r="N329" s="170"/>
      <c r="O329" s="170"/>
      <c r="P329" s="170"/>
    </row>
    <row r="330" spans="1:16" s="16" customFormat="1" ht="18" customHeight="1">
      <c r="A330" s="1"/>
      <c r="B330" s="156" t="s">
        <v>362</v>
      </c>
      <c r="C330" s="167">
        <f>C329</f>
        <v>14.244</v>
      </c>
      <c r="D330" s="239">
        <v>1</v>
      </c>
      <c r="E330" s="148"/>
      <c r="F330" s="148"/>
      <c r="G330" s="236">
        <v>3.27</v>
      </c>
      <c r="H330" s="154">
        <f>ROUND(C330*D330*G330,2)</f>
        <v>46.58</v>
      </c>
      <c r="I330" s="247" t="s">
        <v>358</v>
      </c>
      <c r="J330" s="244">
        <v>3.27</v>
      </c>
      <c r="K330" s="245" t="s">
        <v>358</v>
      </c>
      <c r="L330" s="170"/>
      <c r="M330" s="171"/>
      <c r="N330" s="170"/>
      <c r="O330" s="170"/>
      <c r="P330" s="170"/>
    </row>
    <row r="331" spans="1:16" s="16" customFormat="1" ht="18" customHeight="1">
      <c r="A331" s="1"/>
      <c r="B331" s="156" t="s">
        <v>343</v>
      </c>
      <c r="C331" s="167">
        <f>C319</f>
        <v>18.559999999999999</v>
      </c>
      <c r="D331" s="239">
        <v>1</v>
      </c>
      <c r="E331" s="148"/>
      <c r="F331" s="148"/>
      <c r="G331" s="236">
        <v>1.25</v>
      </c>
      <c r="H331" s="154">
        <f>C331*D331*G331</f>
        <v>23.2</v>
      </c>
      <c r="I331" s="247" t="s">
        <v>344</v>
      </c>
      <c r="J331" s="244">
        <v>1.25</v>
      </c>
      <c r="K331" s="245" t="s">
        <v>344</v>
      </c>
      <c r="L331" s="170"/>
      <c r="M331" s="171"/>
      <c r="N331" s="170"/>
      <c r="O331" s="170"/>
      <c r="P331" s="170"/>
    </row>
    <row r="332" spans="1:16" s="16" customFormat="1" ht="18" customHeight="1">
      <c r="A332" s="1"/>
      <c r="B332" s="156" t="s">
        <v>350</v>
      </c>
      <c r="C332" s="167" cm="1">
        <f t="array" ref="C332">SUMPRODUCT(D26:D30*G26:G30)/1000</f>
        <v>0</v>
      </c>
      <c r="D332" s="239">
        <v>1</v>
      </c>
      <c r="E332" s="148"/>
      <c r="F332" s="148"/>
      <c r="G332" s="236">
        <v>0.41</v>
      </c>
      <c r="H332" s="154">
        <f>C332*D332*G332</f>
        <v>0</v>
      </c>
      <c r="I332" s="247" t="s">
        <v>348</v>
      </c>
      <c r="J332" s="244">
        <v>0.41</v>
      </c>
      <c r="K332" s="245" t="s">
        <v>348</v>
      </c>
      <c r="L332" s="170"/>
      <c r="M332" s="171"/>
      <c r="N332" s="170"/>
      <c r="O332" s="170"/>
      <c r="P332" s="170"/>
    </row>
    <row r="333" spans="1:16" s="16" customFormat="1" ht="18" customHeight="1">
      <c r="A333" s="1"/>
      <c r="B333" s="156" t="s">
        <v>349</v>
      </c>
      <c r="C333" s="167">
        <f>C88+C97+C104+C153+C163+C146</f>
        <v>18.564</v>
      </c>
      <c r="D333" s="239">
        <v>1</v>
      </c>
      <c r="E333" s="148"/>
      <c r="F333" s="148"/>
      <c r="G333" s="236">
        <v>0.49</v>
      </c>
      <c r="H333" s="154">
        <f>C333*D333*G333</f>
        <v>9.0963600000000007</v>
      </c>
      <c r="I333" s="247" t="s">
        <v>351</v>
      </c>
      <c r="J333" s="244">
        <v>0.49</v>
      </c>
      <c r="K333" s="245" t="s">
        <v>351</v>
      </c>
      <c r="L333" s="170"/>
      <c r="M333" s="171"/>
      <c r="N333" s="170"/>
      <c r="O333" s="170"/>
      <c r="P333" s="170"/>
    </row>
    <row r="334" spans="1:16" s="16" customFormat="1" ht="18" customHeight="1">
      <c r="A334" s="1"/>
      <c r="B334" s="156" t="s">
        <v>353</v>
      </c>
      <c r="C334" s="167">
        <f t="array" ref="C334">SUMPRODUCT(D157:D162*G157:G162)/1000+SUM(G157:G162)*0.3+SUMPRODUCT(D68:D87*G68:G87)/1000+SUM(G68:G87)*0.3</f>
        <v>2.1480000000000001</v>
      </c>
      <c r="D334" s="239">
        <v>1</v>
      </c>
      <c r="E334" s="148"/>
      <c r="F334" s="148"/>
      <c r="G334" s="237">
        <v>5.36</v>
      </c>
      <c r="H334" s="154">
        <f>C334*G334</f>
        <v>11.513280000000002</v>
      </c>
      <c r="I334" s="247" t="s">
        <v>352</v>
      </c>
      <c r="J334" s="244">
        <v>9.5500000000000007</v>
      </c>
      <c r="K334" s="245" t="s">
        <v>377</v>
      </c>
      <c r="L334" s="170"/>
      <c r="M334" s="171"/>
      <c r="N334" s="170"/>
      <c r="O334" s="170"/>
      <c r="P334" s="170"/>
    </row>
    <row r="335" spans="1:16" s="16" customFormat="1" ht="18" customHeight="1">
      <c r="A335" s="1"/>
      <c r="B335" s="156" t="s">
        <v>364</v>
      </c>
      <c r="C335" s="167">
        <f>C319</f>
        <v>18.559999999999999</v>
      </c>
      <c r="D335" s="239">
        <v>1</v>
      </c>
      <c r="E335" s="148"/>
      <c r="F335" s="148"/>
      <c r="G335" s="237">
        <v>1.25</v>
      </c>
      <c r="H335" s="154"/>
      <c r="I335" s="149" t="s">
        <v>363</v>
      </c>
      <c r="J335" s="244">
        <v>1.25</v>
      </c>
      <c r="K335" s="245" t="s">
        <v>363</v>
      </c>
      <c r="L335" s="170"/>
      <c r="M335" s="171"/>
      <c r="N335" s="170"/>
      <c r="O335" s="170"/>
      <c r="P335" s="170"/>
    </row>
    <row r="336" spans="1:16" s="16" customFormat="1" ht="18" customHeight="1">
      <c r="A336" s="1"/>
      <c r="B336" s="156" t="s">
        <v>365</v>
      </c>
      <c r="C336" s="167">
        <f>C320</f>
        <v>18.559999999999999</v>
      </c>
      <c r="D336" s="239">
        <v>1</v>
      </c>
      <c r="E336" s="148"/>
      <c r="F336" s="148"/>
      <c r="G336" s="237">
        <v>1.63</v>
      </c>
      <c r="H336" s="154"/>
      <c r="I336" s="149" t="s">
        <v>363</v>
      </c>
      <c r="J336" s="244">
        <v>1.63</v>
      </c>
      <c r="K336" s="245" t="s">
        <v>363</v>
      </c>
      <c r="L336" s="170"/>
      <c r="M336" s="171"/>
      <c r="N336" s="170"/>
      <c r="O336" s="170"/>
      <c r="P336" s="170"/>
    </row>
    <row r="337" spans="1:16" s="16" customFormat="1" ht="18" customHeight="1">
      <c r="A337" s="1"/>
      <c r="B337" s="150" t="s">
        <v>231</v>
      </c>
      <c r="C337" s="165"/>
      <c r="D337" s="50"/>
      <c r="E337" s="50"/>
      <c r="F337" s="50"/>
      <c r="G337" s="166"/>
      <c r="H337" s="155">
        <f>SUM(H323:H336)*1.05</f>
        <v>94.909122000000025</v>
      </c>
      <c r="I337" s="152"/>
      <c r="J337" s="172"/>
      <c r="K337" s="170"/>
      <c r="L337" s="170"/>
      <c r="M337" s="170"/>
      <c r="N337" s="170"/>
      <c r="O337" s="170"/>
      <c r="P337" s="170"/>
    </row>
    <row r="338" spans="1:16" s="16" customFormat="1" ht="18" customHeight="1">
      <c r="A338" s="1"/>
      <c r="B338" s="173" t="s">
        <v>366</v>
      </c>
      <c r="C338" s="174">
        <f>F250+F258+F265+F280+F285+F290</f>
        <v>1</v>
      </c>
      <c r="D338" s="175">
        <v>2</v>
      </c>
      <c r="E338" s="176"/>
      <c r="F338" s="176"/>
      <c r="G338" s="240">
        <v>0.5</v>
      </c>
      <c r="H338" s="177">
        <f t="shared" ref="H338:H343" si="56">D338*G338*C338</f>
        <v>1</v>
      </c>
      <c r="I338" s="178" t="s">
        <v>233</v>
      </c>
      <c r="J338" s="172"/>
      <c r="K338" s="170"/>
      <c r="L338" s="170"/>
      <c r="M338" s="170"/>
      <c r="N338" s="170"/>
      <c r="O338" s="170"/>
      <c r="P338" s="170"/>
    </row>
    <row r="339" spans="1:16" s="16" customFormat="1" ht="18" customHeight="1">
      <c r="A339" s="1"/>
      <c r="B339" s="173" t="s">
        <v>367</v>
      </c>
      <c r="C339" s="174">
        <f>F233+F242+F269+F273</f>
        <v>2</v>
      </c>
      <c r="D339" s="175">
        <v>4</v>
      </c>
      <c r="E339" s="176"/>
      <c r="F339" s="176"/>
      <c r="G339" s="240">
        <v>0.63</v>
      </c>
      <c r="H339" s="177">
        <f t="shared" si="56"/>
        <v>5.04</v>
      </c>
      <c r="I339" s="178" t="s">
        <v>234</v>
      </c>
      <c r="J339" s="172"/>
      <c r="K339" s="170"/>
      <c r="L339" s="170"/>
      <c r="M339" s="170"/>
      <c r="N339" s="170"/>
      <c r="O339" s="170"/>
      <c r="P339" s="170"/>
    </row>
    <row r="340" spans="1:16" s="16" customFormat="1" ht="18" customHeight="1">
      <c r="A340" s="1"/>
      <c r="B340" s="173" t="s">
        <v>366</v>
      </c>
      <c r="C340" s="174">
        <f>SUM(G157:G162)</f>
        <v>0</v>
      </c>
      <c r="D340" s="175">
        <f>IF(E113&gt;2200,2,0)</f>
        <v>0</v>
      </c>
      <c r="E340" s="176"/>
      <c r="F340" s="176"/>
      <c r="G340" s="240">
        <v>0.5</v>
      </c>
      <c r="H340" s="177">
        <f t="shared" si="56"/>
        <v>0</v>
      </c>
      <c r="I340" s="178" t="s">
        <v>235</v>
      </c>
      <c r="J340" s="172"/>
      <c r="K340" s="170"/>
      <c r="L340" s="170"/>
      <c r="M340" s="170"/>
      <c r="N340" s="170"/>
      <c r="O340" s="170"/>
      <c r="P340" s="170"/>
    </row>
    <row r="341" spans="1:16" s="16" customFormat="1" ht="18" customHeight="1">
      <c r="A341" s="1"/>
      <c r="B341" s="173" t="s">
        <v>367</v>
      </c>
      <c r="C341" s="174">
        <f>SUM(G116:G118)</f>
        <v>2</v>
      </c>
      <c r="D341" s="175">
        <v>4</v>
      </c>
      <c r="E341" s="176"/>
      <c r="F341" s="176"/>
      <c r="G341" s="240">
        <v>0.63</v>
      </c>
      <c r="H341" s="177">
        <f t="shared" si="56"/>
        <v>5.04</v>
      </c>
      <c r="I341" s="178" t="s">
        <v>236</v>
      </c>
      <c r="J341" s="172"/>
      <c r="K341" s="170"/>
      <c r="L341" s="170"/>
      <c r="M341" s="170"/>
      <c r="N341" s="170"/>
      <c r="O341" s="170"/>
      <c r="P341" s="170"/>
    </row>
    <row r="342" spans="1:16" ht="18" customHeight="1">
      <c r="B342" s="173" t="s">
        <v>237</v>
      </c>
      <c r="C342" s="174">
        <v>1</v>
      </c>
      <c r="D342" s="175">
        <f>(F291+F292)*10</f>
        <v>30</v>
      </c>
      <c r="E342" s="176"/>
      <c r="F342" s="176"/>
      <c r="G342" s="240">
        <v>0.37</v>
      </c>
      <c r="H342" s="177">
        <f t="shared" si="56"/>
        <v>11.1</v>
      </c>
      <c r="I342" s="178"/>
      <c r="J342" s="172"/>
      <c r="K342" s="172"/>
      <c r="L342" s="172"/>
      <c r="N342" s="43"/>
    </row>
    <row r="343" spans="1:16" ht="18" customHeight="1">
      <c r="B343" s="173" t="s">
        <v>232</v>
      </c>
      <c r="C343" s="174">
        <f>C338</f>
        <v>1</v>
      </c>
      <c r="D343" s="175">
        <v>0</v>
      </c>
      <c r="E343" s="176"/>
      <c r="F343" s="176"/>
      <c r="G343" s="240">
        <v>0.49</v>
      </c>
      <c r="H343" s="177">
        <f t="shared" si="56"/>
        <v>0</v>
      </c>
      <c r="I343" s="178" t="s">
        <v>238</v>
      </c>
      <c r="J343" s="172"/>
      <c r="K343" s="172"/>
      <c r="L343" s="172"/>
      <c r="N343" s="43"/>
    </row>
    <row r="344" spans="1:16" ht="18" customHeight="1">
      <c r="B344" s="156" t="s">
        <v>239</v>
      </c>
      <c r="C344" s="157"/>
      <c r="D344" s="250">
        <f>E203+E205*2+E207*2+I203+I205*2+I207*2</f>
        <v>24</v>
      </c>
      <c r="E344" s="148"/>
      <c r="F344" s="148"/>
      <c r="G344" s="148">
        <v>0.2</v>
      </c>
      <c r="H344" s="179">
        <f>D344*G344</f>
        <v>4.8000000000000007</v>
      </c>
      <c r="I344" s="247" t="s">
        <v>368</v>
      </c>
      <c r="J344" s="172"/>
      <c r="K344" s="172"/>
      <c r="L344" s="172"/>
    </row>
    <row r="345" spans="1:16" ht="18" customHeight="1">
      <c r="B345" s="156" t="s">
        <v>240</v>
      </c>
      <c r="C345" s="157"/>
      <c r="D345" s="250">
        <f>4*(E52+E53+E54+E55+G52+G53+G54+G55+G60+G61+G62+G63+E130+E131+E132+G130+G131+G132+G137+G138)</f>
        <v>4</v>
      </c>
      <c r="E345" s="148"/>
      <c r="F345" s="148"/>
      <c r="G345" s="148">
        <v>0.22</v>
      </c>
      <c r="H345" s="179">
        <f>D345*G345</f>
        <v>0.88</v>
      </c>
      <c r="I345" s="247" t="s">
        <v>241</v>
      </c>
      <c r="J345" s="172"/>
      <c r="K345" s="172"/>
      <c r="L345" s="172"/>
    </row>
    <row r="346" spans="1:16" ht="18" customHeight="1">
      <c r="B346" s="156" t="s">
        <v>242</v>
      </c>
      <c r="C346" s="157"/>
      <c r="D346" s="250">
        <f>D345/2</f>
        <v>2</v>
      </c>
      <c r="E346" s="148"/>
      <c r="F346" s="148"/>
      <c r="G346" s="148">
        <v>0.22</v>
      </c>
      <c r="H346" s="179">
        <f>ROUND(D346*G346,2)</f>
        <v>0.44</v>
      </c>
      <c r="I346" s="247" t="s">
        <v>243</v>
      </c>
      <c r="J346" s="172"/>
      <c r="K346" s="172"/>
      <c r="L346" s="172"/>
    </row>
    <row r="347" spans="1:16" ht="18" customHeight="1">
      <c r="B347" s="156" t="s">
        <v>369</v>
      </c>
      <c r="C347" s="157"/>
      <c r="D347" s="250">
        <f>D346</f>
        <v>2</v>
      </c>
      <c r="E347" s="148"/>
      <c r="F347" s="148"/>
      <c r="G347" s="148">
        <v>1.37</v>
      </c>
      <c r="H347" s="179">
        <f>ROUND(D347*G347,2)</f>
        <v>2.74</v>
      </c>
      <c r="I347" s="247" t="s">
        <v>370</v>
      </c>
      <c r="J347" s="172"/>
      <c r="K347" s="172"/>
      <c r="L347" s="172"/>
    </row>
    <row r="348" spans="1:16" ht="18" customHeight="1">
      <c r="B348" s="156" t="s">
        <v>244</v>
      </c>
      <c r="C348" s="157"/>
      <c r="D348" s="250">
        <f>(F291+F292)*2</f>
        <v>6</v>
      </c>
      <c r="E348" s="148"/>
      <c r="F348" s="148"/>
      <c r="G348" s="148">
        <v>0.48</v>
      </c>
      <c r="H348" s="179">
        <f>ROUND(D348*G348,2)</f>
        <v>2.88</v>
      </c>
      <c r="I348" s="247" t="s">
        <v>245</v>
      </c>
      <c r="J348" s="255"/>
    </row>
    <row r="349" spans="1:16" ht="18" customHeight="1">
      <c r="B349" s="156" t="s">
        <v>246</v>
      </c>
      <c r="C349" s="157"/>
      <c r="D349" s="250">
        <f>ROUND((D4+E4-240)*2/200+E217*F217/200,0)</f>
        <v>65</v>
      </c>
      <c r="E349" s="148"/>
      <c r="F349" s="148"/>
      <c r="G349" s="148">
        <v>0.05</v>
      </c>
      <c r="H349" s="179">
        <f>ROUND(D349*G349,2)</f>
        <v>3.25</v>
      </c>
      <c r="I349" s="247" t="s">
        <v>247</v>
      </c>
      <c r="J349" s="255"/>
    </row>
    <row r="350" spans="1:16" ht="18" customHeight="1">
      <c r="B350" s="150" t="s">
        <v>248</v>
      </c>
      <c r="C350" s="165"/>
      <c r="D350" s="50"/>
      <c r="E350" s="50"/>
      <c r="F350" s="50"/>
      <c r="G350" s="166"/>
      <c r="H350" s="155">
        <f>SUM(H338:H349)</f>
        <v>37.17</v>
      </c>
      <c r="I350" s="152"/>
    </row>
    <row r="351" spans="1:16" ht="18" customHeight="1">
      <c r="B351" s="156" t="s">
        <v>359</v>
      </c>
      <c r="C351" s="157"/>
      <c r="D351" s="250">
        <f>SUMPRODUCT(G26:G30)*8+SUMPRODUCT(G35:G37)*8+SUMPRODUCT(G116:G118)*8+SUMPRODUCT(G123:G125)*8</f>
        <v>16</v>
      </c>
      <c r="E351" s="148"/>
      <c r="F351" s="148"/>
      <c r="G351" s="148">
        <v>1.26</v>
      </c>
      <c r="H351" s="154">
        <f>ROUND(D351*G351,2)</f>
        <v>20.16</v>
      </c>
      <c r="I351" s="247" t="s">
        <v>386</v>
      </c>
    </row>
    <row r="352" spans="1:16" ht="18" customHeight="1">
      <c r="B352" s="156" t="s">
        <v>360</v>
      </c>
      <c r="C352" s="157"/>
      <c r="D352" s="250">
        <f>G26*4+G27*4+G28*4+G29*4+G30*4</f>
        <v>0</v>
      </c>
      <c r="E352" s="148"/>
      <c r="F352" s="148"/>
      <c r="G352" s="148">
        <v>2</v>
      </c>
      <c r="H352" s="154">
        <f>ROUND(D352*G352,2)</f>
        <v>0</v>
      </c>
      <c r="I352" s="247" t="s">
        <v>361</v>
      </c>
    </row>
    <row r="353" spans="1:22" ht="18" customHeight="1">
      <c r="B353" s="156" t="s">
        <v>249</v>
      </c>
      <c r="C353" s="157"/>
      <c r="D353" s="250"/>
      <c r="E353" s="148"/>
      <c r="F353" s="148"/>
      <c r="G353" s="148">
        <v>1.6</v>
      </c>
      <c r="H353" s="154"/>
      <c r="I353" s="247"/>
    </row>
    <row r="354" spans="1:22" ht="18" customHeight="1">
      <c r="B354" s="156" t="s">
        <v>250</v>
      </c>
      <c r="C354" s="157"/>
      <c r="D354" s="44">
        <f>C22+C31+C38+C48+C56+C64+C112+C119+C126+C133+C139+C199</f>
        <v>32.006</v>
      </c>
      <c r="E354" s="148"/>
      <c r="F354" s="148"/>
      <c r="G354" s="179">
        <v>4</v>
      </c>
      <c r="H354" s="154">
        <f t="shared" ref="H354:H356" si="57">ROUND(D354*G354,2)</f>
        <v>128.02000000000001</v>
      </c>
      <c r="I354" s="247"/>
    </row>
    <row r="355" spans="1:22" ht="18" customHeight="1">
      <c r="B355" s="156" t="s">
        <v>251</v>
      </c>
      <c r="C355" s="157" t="s">
        <v>252</v>
      </c>
      <c r="D355" s="44">
        <f>C88+C163</f>
        <v>5.5519999999999996</v>
      </c>
      <c r="E355" s="148"/>
      <c r="F355" s="148"/>
      <c r="G355" s="179">
        <v>3.15</v>
      </c>
      <c r="H355" s="154">
        <f t="shared" si="57"/>
        <v>17.489999999999998</v>
      </c>
      <c r="I355" s="247"/>
    </row>
    <row r="356" spans="1:22" ht="18" customHeight="1">
      <c r="B356" s="156" t="s">
        <v>253</v>
      </c>
      <c r="C356" s="157" t="s">
        <v>254</v>
      </c>
      <c r="D356" s="44">
        <f>C97+C104+C146+C153</f>
        <v>13.012</v>
      </c>
      <c r="E356" s="148"/>
      <c r="F356" s="148"/>
      <c r="G356" s="179">
        <v>3.65</v>
      </c>
      <c r="H356" s="154">
        <f t="shared" si="57"/>
        <v>47.49</v>
      </c>
      <c r="I356" s="247"/>
    </row>
    <row r="357" spans="1:22" ht="18" customHeight="1">
      <c r="B357" s="156" t="s">
        <v>387</v>
      </c>
      <c r="C357" s="157"/>
      <c r="D357" s="44">
        <f>F291+F292</f>
        <v>3</v>
      </c>
      <c r="E357" s="148"/>
      <c r="F357" s="148"/>
      <c r="G357" s="179">
        <v>6</v>
      </c>
      <c r="H357" s="154"/>
      <c r="I357" s="247"/>
    </row>
    <row r="358" spans="1:22" ht="18" customHeight="1">
      <c r="B358" s="156" t="s">
        <v>255</v>
      </c>
      <c r="C358" s="157"/>
      <c r="D358" s="180">
        <f>D14*1.5/1000</f>
        <v>2.88</v>
      </c>
      <c r="E358" s="148"/>
      <c r="F358" s="148"/>
      <c r="G358" s="148">
        <v>70</v>
      </c>
      <c r="H358" s="154">
        <f>D358*G358</f>
        <v>201.6</v>
      </c>
      <c r="I358" s="247"/>
    </row>
    <row r="359" spans="1:22" ht="18" customHeight="1">
      <c r="B359" s="156" t="s">
        <v>858</v>
      </c>
      <c r="C359" s="157"/>
      <c r="D359" s="180">
        <f>D4/1000*4</f>
        <v>8</v>
      </c>
      <c r="E359" s="148"/>
      <c r="F359" s="148"/>
      <c r="G359" s="148">
        <v>180</v>
      </c>
      <c r="H359" s="154">
        <f>D359*G359</f>
        <v>1440</v>
      </c>
      <c r="I359" s="247"/>
    </row>
    <row r="360" spans="1:22" ht="18" customHeight="1">
      <c r="B360" s="156" t="s">
        <v>388</v>
      </c>
      <c r="C360" s="157"/>
      <c r="D360" s="250">
        <v>1</v>
      </c>
      <c r="E360" s="148"/>
      <c r="F360" s="148"/>
      <c r="G360" s="148">
        <v>9.6</v>
      </c>
      <c r="H360" s="154">
        <f>ROUND(D360*G360,2)</f>
        <v>9.6</v>
      </c>
      <c r="I360" s="247"/>
    </row>
    <row r="361" spans="1:22" ht="18" customHeight="1">
      <c r="B361" s="156" t="s">
        <v>901</v>
      </c>
      <c r="C361" s="157"/>
      <c r="D361" s="463">
        <f>(D4+E4)*2/1000</f>
        <v>11.6</v>
      </c>
      <c r="E361" s="148"/>
      <c r="F361" s="148"/>
      <c r="G361" s="148">
        <v>45</v>
      </c>
      <c r="H361" s="154">
        <f>ROUND(D361*G361,2)</f>
        <v>522</v>
      </c>
      <c r="I361" s="468"/>
    </row>
    <row r="362" spans="1:22" ht="18" customHeight="1">
      <c r="B362" s="181" t="s">
        <v>398</v>
      </c>
      <c r="C362" s="157"/>
      <c r="D362" s="182">
        <f>F366</f>
        <v>7.1989000000000001</v>
      </c>
      <c r="E362" s="148"/>
      <c r="F362" s="148"/>
      <c r="G362" s="148">
        <v>3</v>
      </c>
      <c r="H362" s="154">
        <f>D362*G362</f>
        <v>21.596699999999998</v>
      </c>
      <c r="I362" s="247"/>
    </row>
    <row r="363" spans="1:22" ht="18" customHeight="1">
      <c r="B363" s="150" t="s">
        <v>256</v>
      </c>
      <c r="C363" s="50"/>
      <c r="D363" s="50"/>
      <c r="E363" s="50"/>
      <c r="F363" s="50"/>
      <c r="G363" s="166"/>
      <c r="H363" s="155">
        <f>SUM(H351:H362)</f>
        <v>2407.9566999999997</v>
      </c>
      <c r="I363" s="183"/>
    </row>
    <row r="364" spans="1:22" ht="18" customHeight="1">
      <c r="B364" s="248" t="s">
        <v>257</v>
      </c>
      <c r="C364" s="185"/>
      <c r="D364" s="186"/>
      <c r="E364" s="185"/>
      <c r="F364" s="186"/>
      <c r="G364" s="186"/>
      <c r="H364" s="187">
        <f>SUM(H363,H350,H337,H322,H314,H308,H304)</f>
        <v>3200.2758219999996</v>
      </c>
      <c r="I364" s="188"/>
    </row>
    <row r="365" spans="1:22" ht="18" customHeight="1">
      <c r="A365" s="189"/>
      <c r="B365" s="190" t="s">
        <v>258</v>
      </c>
      <c r="C365" s="10" t="s">
        <v>14</v>
      </c>
      <c r="D365" s="10" t="s">
        <v>16</v>
      </c>
      <c r="E365" s="10" t="s">
        <v>17</v>
      </c>
      <c r="F365" s="10" t="s">
        <v>7</v>
      </c>
      <c r="G365" s="10" t="s">
        <v>5</v>
      </c>
      <c r="H365" s="10" t="s">
        <v>18</v>
      </c>
      <c r="I365" s="191" t="s">
        <v>259</v>
      </c>
      <c r="L365" s="192"/>
      <c r="M365" s="192"/>
    </row>
    <row r="366" spans="1:22" ht="18" customHeight="1">
      <c r="B366" s="48">
        <f>ROUND(I366/F366,2)</f>
        <v>1134.1500000000001</v>
      </c>
      <c r="C366" s="50" t="s">
        <v>299</v>
      </c>
      <c r="D366" s="50">
        <f>D5</f>
        <v>1930</v>
      </c>
      <c r="E366" s="50">
        <f>E5</f>
        <v>3730</v>
      </c>
      <c r="F366" s="49">
        <f>E366*D366/1000000</f>
        <v>7.1989000000000001</v>
      </c>
      <c r="G366" s="50">
        <f>G4</f>
        <v>1</v>
      </c>
      <c r="H366" s="49">
        <f>F366</f>
        <v>7.1989000000000001</v>
      </c>
      <c r="I366" s="193">
        <f>H364+H291+H292+I223+I12</f>
        <v>8164.6064529759997</v>
      </c>
      <c r="K366" s="192"/>
    </row>
    <row r="367" spans="1:22" ht="18" customHeight="1">
      <c r="B367" s="194" t="s">
        <v>258</v>
      </c>
      <c r="C367" s="195" t="s">
        <v>260</v>
      </c>
      <c r="D367" s="195" t="s">
        <v>261</v>
      </c>
      <c r="E367" s="195" t="s">
        <v>262</v>
      </c>
      <c r="F367" s="195" t="s">
        <v>263</v>
      </c>
      <c r="G367" s="195" t="s">
        <v>264</v>
      </c>
      <c r="H367" s="195" t="s">
        <v>265</v>
      </c>
      <c r="I367" s="196" t="s">
        <v>266</v>
      </c>
    </row>
    <row r="368" spans="1:22" ht="30" customHeight="1" thickBot="1">
      <c r="B368" s="197">
        <f>ROUND(I366/H366,2)</f>
        <v>1134.1500000000001</v>
      </c>
      <c r="C368" s="198">
        <f>E294+E296+E298+E300+E302+E303+E297+E299</f>
        <v>1</v>
      </c>
      <c r="D368" s="199"/>
      <c r="E368" s="199"/>
      <c r="F368" s="200"/>
      <c r="G368" s="200"/>
      <c r="H368" s="200"/>
      <c r="I368" s="201"/>
      <c r="O368" s="631" t="s">
        <v>603</v>
      </c>
      <c r="P368" s="631"/>
      <c r="Q368" s="631"/>
      <c r="R368" s="631"/>
      <c r="S368" s="631"/>
      <c r="T368" s="631"/>
      <c r="U368" s="631"/>
      <c r="V368" s="631"/>
    </row>
    <row r="369" spans="2:22" ht="20.100000000000001" customHeight="1">
      <c r="B369" s="42"/>
      <c r="L369" s="202"/>
      <c r="M369" s="202"/>
      <c r="N369" s="202"/>
      <c r="O369" s="634" t="s">
        <v>604</v>
      </c>
      <c r="P369" s="634"/>
      <c r="Q369" s="634"/>
      <c r="R369" s="634"/>
      <c r="S369" s="634"/>
      <c r="T369" s="634"/>
      <c r="U369" s="634"/>
      <c r="V369" s="634"/>
    </row>
    <row r="370" spans="2:22" ht="20.100000000000001" customHeight="1">
      <c r="B370" s="102" t="s">
        <v>862</v>
      </c>
      <c r="C370" s="203"/>
      <c r="D370" s="203" t="s">
        <v>267</v>
      </c>
      <c r="E370" s="203"/>
      <c r="J370" s="102"/>
      <c r="O370" s="285" t="s">
        <v>279</v>
      </c>
      <c r="P370" s="624" t="s">
        <v>629</v>
      </c>
      <c r="Q370" s="625"/>
      <c r="R370" s="312" t="str">
        <f ca="1">B4</f>
        <v>WM2038</v>
      </c>
      <c r="S370" s="312"/>
      <c r="T370" s="313"/>
      <c r="U370" s="287" t="s">
        <v>605</v>
      </c>
      <c r="V370" s="288"/>
    </row>
    <row r="371" spans="2:22" ht="24.95" customHeight="1">
      <c r="B371" s="102">
        <f>ROUND(I366/F6,2)</f>
        <v>1143.1199999999999</v>
      </c>
      <c r="C371" s="203">
        <f>U392</f>
        <v>1554.7702127156485</v>
      </c>
      <c r="D371" s="203">
        <f>E304</f>
        <v>1</v>
      </c>
      <c r="E371" s="203"/>
      <c r="J371" s="102"/>
      <c r="O371" s="635" t="s">
        <v>606</v>
      </c>
      <c r="P371" s="623" t="s">
        <v>626</v>
      </c>
      <c r="Q371" s="623"/>
      <c r="R371" s="623"/>
      <c r="S371" s="623"/>
      <c r="T371" s="637"/>
      <c r="U371" s="291" t="s">
        <v>607</v>
      </c>
      <c r="V371" s="292" t="s">
        <v>313</v>
      </c>
    </row>
    <row r="372" spans="2:22" ht="24.95" customHeight="1">
      <c r="L372" s="102"/>
      <c r="M372" s="102"/>
      <c r="N372" s="102"/>
      <c r="O372" s="636"/>
      <c r="P372" s="638"/>
      <c r="Q372" s="638"/>
      <c r="R372" s="638"/>
      <c r="S372" s="638"/>
      <c r="T372" s="638"/>
      <c r="U372" s="291" t="s">
        <v>268</v>
      </c>
      <c r="V372" s="293">
        <f>F4</f>
        <v>7.17</v>
      </c>
    </row>
    <row r="373" spans="2:22" ht="24.95" customHeight="1">
      <c r="J373" s="102"/>
      <c r="K373" s="102"/>
      <c r="L373" s="102"/>
      <c r="M373" s="102"/>
      <c r="N373" s="102"/>
      <c r="O373" s="311" t="s">
        <v>0</v>
      </c>
      <c r="P373" s="289" t="s">
        <v>608</v>
      </c>
      <c r="Q373" s="289" t="s">
        <v>627</v>
      </c>
      <c r="R373" s="289" t="s">
        <v>269</v>
      </c>
      <c r="S373" s="294" t="s">
        <v>8</v>
      </c>
      <c r="T373" s="295" t="s">
        <v>609</v>
      </c>
      <c r="U373" s="296" t="s">
        <v>270</v>
      </c>
      <c r="V373" s="295" t="s">
        <v>610</v>
      </c>
    </row>
    <row r="374" spans="2:22" ht="20.100000000000001" customHeight="1">
      <c r="J374" s="102"/>
      <c r="K374" s="102"/>
      <c r="L374" s="102"/>
      <c r="M374" s="102"/>
      <c r="N374" s="102"/>
      <c r="O374" s="297" t="s">
        <v>305</v>
      </c>
      <c r="P374" s="298" t="s">
        <v>611</v>
      </c>
      <c r="Q374" s="298"/>
      <c r="R374" s="286"/>
      <c r="S374" s="299"/>
      <c r="T374" s="300"/>
      <c r="U374" s="301">
        <f>SUM(U375:U383)</f>
        <v>7999.1520209759983</v>
      </c>
      <c r="V374" s="286"/>
    </row>
    <row r="375" spans="2:22" ht="20.100000000000001" customHeight="1">
      <c r="J375" s="102"/>
      <c r="K375" s="102"/>
      <c r="L375" s="102"/>
      <c r="M375" s="102"/>
      <c r="N375" s="102"/>
      <c r="O375" s="286">
        <v>1</v>
      </c>
      <c r="P375" s="302" t="s">
        <v>612</v>
      </c>
      <c r="Q375" s="307"/>
      <c r="R375" s="286" t="s">
        <v>271</v>
      </c>
      <c r="S375" s="303">
        <f>E223</f>
        <v>85.018054000000006</v>
      </c>
      <c r="T375" s="304">
        <f>I223/E223</f>
        <v>46.891106575739769</v>
      </c>
      <c r="U375" s="305">
        <f t="shared" ref="U375:U383" si="58">T375*S375</f>
        <v>3986.5906309759989</v>
      </c>
      <c r="V375" s="306"/>
    </row>
    <row r="376" spans="2:22" ht="20.100000000000001" customHeight="1">
      <c r="J376" s="102"/>
      <c r="K376" s="102"/>
      <c r="L376" s="102"/>
      <c r="M376" s="102"/>
      <c r="N376" s="102"/>
      <c r="O376" s="286">
        <v>2</v>
      </c>
      <c r="P376" s="290" t="s">
        <v>613</v>
      </c>
      <c r="Q376" s="307"/>
      <c r="R376" s="286" t="s">
        <v>276</v>
      </c>
      <c r="S376" s="303">
        <f>D358</f>
        <v>2.88</v>
      </c>
      <c r="T376" s="304">
        <f>G358</f>
        <v>70</v>
      </c>
      <c r="U376" s="305">
        <f t="shared" si="58"/>
        <v>201.6</v>
      </c>
      <c r="V376" s="306"/>
    </row>
    <row r="377" spans="2:22" ht="20.100000000000001" customHeight="1">
      <c r="J377" s="102"/>
      <c r="K377" s="102"/>
      <c r="L377" s="102"/>
      <c r="M377" s="102"/>
      <c r="N377" s="102"/>
      <c r="O377" s="286">
        <v>3</v>
      </c>
      <c r="P377" s="302" t="s">
        <v>614</v>
      </c>
      <c r="Q377" s="302"/>
      <c r="R377" s="286" t="s">
        <v>312</v>
      </c>
      <c r="S377" s="303">
        <f>D291+D292</f>
        <v>5.488416</v>
      </c>
      <c r="T377" s="304">
        <f>材料价格!B10</f>
        <v>148</v>
      </c>
      <c r="U377" s="305">
        <f t="shared" si="58"/>
        <v>812.28556800000001</v>
      </c>
      <c r="V377" s="306"/>
    </row>
    <row r="378" spans="2:22" ht="20.100000000000001" customHeight="1">
      <c r="B378" s="630" t="s">
        <v>277</v>
      </c>
      <c r="C378" s="630"/>
      <c r="D378" s="630"/>
      <c r="E378" s="630"/>
      <c r="F378" s="630"/>
      <c r="G378" s="630"/>
      <c r="H378" s="630"/>
      <c r="I378" s="630"/>
      <c r="J378" s="102"/>
      <c r="K378" s="102"/>
      <c r="L378" s="102"/>
      <c r="M378" s="102"/>
      <c r="N378" s="102"/>
      <c r="O378" s="286">
        <v>4</v>
      </c>
      <c r="P378" s="302" t="s">
        <v>615</v>
      </c>
      <c r="Q378" s="306"/>
      <c r="R378" s="286" t="s">
        <v>278</v>
      </c>
      <c r="S378" s="303">
        <f>(H316+H317+H319+H320+H321)/F316</f>
        <v>11.93075117370892</v>
      </c>
      <c r="T378" s="304">
        <f>材料价格!B25</f>
        <v>8.52</v>
      </c>
      <c r="U378" s="305">
        <f t="shared" si="58"/>
        <v>101.64999999999999</v>
      </c>
      <c r="V378" s="306"/>
    </row>
    <row r="379" spans="2:22" ht="20.100000000000001" customHeight="1">
      <c r="B379" s="204" t="s">
        <v>279</v>
      </c>
      <c r="C379" s="205" t="s">
        <v>280</v>
      </c>
      <c r="D379" s="205" t="s">
        <v>281</v>
      </c>
      <c r="E379" s="205" t="s">
        <v>282</v>
      </c>
      <c r="F379" s="205" t="s">
        <v>379</v>
      </c>
      <c r="G379" s="205"/>
      <c r="H379" s="205" t="s">
        <v>28</v>
      </c>
      <c r="I379" s="205" t="s">
        <v>259</v>
      </c>
      <c r="J379" s="102"/>
      <c r="K379" s="102"/>
      <c r="L379" s="102"/>
      <c r="M379" s="102"/>
      <c r="N379" s="102"/>
      <c r="O379" s="286">
        <v>5</v>
      </c>
      <c r="P379" s="306" t="s">
        <v>616</v>
      </c>
      <c r="Q379" s="302"/>
      <c r="R379" s="286" t="s">
        <v>628</v>
      </c>
      <c r="S379" s="303">
        <f>H337/21</f>
        <v>4.5194820000000009</v>
      </c>
      <c r="T379" s="304">
        <v>21</v>
      </c>
      <c r="U379" s="305">
        <f t="shared" si="58"/>
        <v>94.909122000000025</v>
      </c>
      <c r="V379" s="306"/>
    </row>
    <row r="380" spans="2:22" ht="20.100000000000001" customHeight="1">
      <c r="B380" s="206" t="s">
        <v>284</v>
      </c>
      <c r="C380" s="208" t="s">
        <v>384</v>
      </c>
      <c r="D380" s="207">
        <f>C22+C31+C38+C48+C56+C112+C119+C126+C133+C139+C177+C184+C191+C199</f>
        <v>33.926000000000002</v>
      </c>
      <c r="E380" s="207" t="s">
        <v>383</v>
      </c>
      <c r="F380" s="206"/>
      <c r="G380" s="206"/>
      <c r="H380" s="241">
        <v>2.4</v>
      </c>
      <c r="I380" s="207"/>
      <c r="J380" s="102"/>
      <c r="K380" s="102"/>
      <c r="L380" s="102"/>
      <c r="M380" s="102"/>
      <c r="N380" s="102"/>
      <c r="O380" s="286">
        <v>6</v>
      </c>
      <c r="P380" s="302" t="s">
        <v>319</v>
      </c>
      <c r="Q380" s="302"/>
      <c r="R380" s="286" t="s">
        <v>273</v>
      </c>
      <c r="S380" s="303"/>
      <c r="T380" s="304"/>
      <c r="U380" s="305">
        <f t="shared" si="58"/>
        <v>0</v>
      </c>
      <c r="V380" s="306"/>
    </row>
    <row r="381" spans="2:22" ht="20.100000000000001" customHeight="1">
      <c r="B381" s="206" t="s">
        <v>286</v>
      </c>
      <c r="C381" s="206" t="s">
        <v>287</v>
      </c>
      <c r="D381" s="209">
        <f>(J22+J31+J38+J48+J112+J119+J126)*4+(J56+J133)*2</f>
        <v>16</v>
      </c>
      <c r="E381" s="207" t="s">
        <v>285</v>
      </c>
      <c r="F381" s="206"/>
      <c r="G381" s="206"/>
      <c r="H381" s="241">
        <v>0.5</v>
      </c>
      <c r="I381" s="207">
        <f>H381*D381</f>
        <v>8</v>
      </c>
      <c r="J381" s="102"/>
      <c r="K381" s="102"/>
      <c r="L381" s="102"/>
      <c r="M381" s="102"/>
      <c r="N381" s="102"/>
      <c r="O381" s="286">
        <v>7</v>
      </c>
      <c r="P381" s="302" t="s">
        <v>295</v>
      </c>
      <c r="Q381" s="302"/>
      <c r="R381" s="286" t="s">
        <v>273</v>
      </c>
      <c r="S381" s="303"/>
      <c r="T381" s="304">
        <f>材料价格!B19</f>
        <v>230</v>
      </c>
      <c r="U381" s="305">
        <f t="shared" si="58"/>
        <v>0</v>
      </c>
      <c r="V381" s="306"/>
    </row>
    <row r="382" spans="2:22" ht="20.100000000000001" customHeight="1">
      <c r="B382" s="206" t="s">
        <v>289</v>
      </c>
      <c r="C382" s="206"/>
      <c r="D382" s="210">
        <f>ROUND((C22+C56*2+C64*2+C112+C133*2+C139*2)/0.3,0)+2</f>
        <v>70</v>
      </c>
      <c r="E382" s="207" t="s">
        <v>285</v>
      </c>
      <c r="F382" s="206"/>
      <c r="G382" s="206"/>
      <c r="H382" s="241">
        <v>0.3</v>
      </c>
      <c r="I382" s="207">
        <f t="shared" ref="I382:I387" si="59">H382*D382</f>
        <v>21</v>
      </c>
      <c r="J382" s="102"/>
      <c r="K382" s="102"/>
      <c r="L382" s="102"/>
      <c r="M382" s="102"/>
      <c r="N382" s="102"/>
      <c r="O382" s="286">
        <v>8</v>
      </c>
      <c r="P382" s="302" t="s">
        <v>296</v>
      </c>
      <c r="Q382" s="302"/>
      <c r="R382" s="286" t="s">
        <v>273</v>
      </c>
      <c r="S382" s="303">
        <f>E303</f>
        <v>1</v>
      </c>
      <c r="T382" s="304">
        <f>材料价格!B20</f>
        <v>335</v>
      </c>
      <c r="U382" s="305">
        <f t="shared" si="58"/>
        <v>335</v>
      </c>
      <c r="V382" s="306"/>
    </row>
    <row r="383" spans="2:22" ht="20.100000000000001" customHeight="1">
      <c r="B383" s="206" t="s">
        <v>381</v>
      </c>
      <c r="C383" s="206" t="s">
        <v>389</v>
      </c>
      <c r="D383" s="211">
        <f>C22+C31+C38+C56*2+C64*2+C112+C119+C126+C133*2</f>
        <v>29.363999999999997</v>
      </c>
      <c r="E383" s="207" t="s">
        <v>285</v>
      </c>
      <c r="F383" s="206" t="s">
        <v>380</v>
      </c>
      <c r="G383" s="206"/>
      <c r="H383" s="241">
        <v>2.81</v>
      </c>
      <c r="I383" s="207">
        <f>H383*D383</f>
        <v>82.512839999999997</v>
      </c>
      <c r="J383" s="102"/>
      <c r="K383" s="102"/>
      <c r="L383" s="102"/>
      <c r="M383" s="102"/>
      <c r="N383" s="102"/>
      <c r="O383" s="286">
        <v>9</v>
      </c>
      <c r="P383" s="302" t="s">
        <v>617</v>
      </c>
      <c r="Q383" s="302"/>
      <c r="R383" s="286" t="s">
        <v>618</v>
      </c>
      <c r="S383" s="296">
        <v>1</v>
      </c>
      <c r="T383" s="304">
        <f>H363-H358+H350+H318+H315+H314</f>
        <v>2467.1167</v>
      </c>
      <c r="U383" s="305">
        <f t="shared" si="58"/>
        <v>2467.1167</v>
      </c>
      <c r="V383" s="306"/>
    </row>
    <row r="384" spans="2:22" ht="20.100000000000001" customHeight="1">
      <c r="B384" s="206" t="s">
        <v>390</v>
      </c>
      <c r="C384" s="206" t="s">
        <v>392</v>
      </c>
      <c r="D384" s="211">
        <f>C22+C88+C112+C163</f>
        <v>20.671999999999997</v>
      </c>
      <c r="E384" s="207" t="s">
        <v>285</v>
      </c>
      <c r="F384" s="206" t="s">
        <v>394</v>
      </c>
      <c r="G384" s="206"/>
      <c r="H384" s="241">
        <v>3.27</v>
      </c>
      <c r="I384" s="207">
        <f t="shared" ref="I384" si="60">H384*D384</f>
        <v>67.597439999999992</v>
      </c>
      <c r="J384" s="102"/>
      <c r="K384" s="102"/>
      <c r="L384" s="102"/>
      <c r="M384" s="102"/>
      <c r="N384" s="102"/>
      <c r="O384" s="297" t="s">
        <v>306</v>
      </c>
      <c r="P384" s="308" t="s">
        <v>314</v>
      </c>
      <c r="Q384" s="298"/>
      <c r="R384" s="286"/>
      <c r="S384" s="296"/>
      <c r="T384" s="309"/>
      <c r="U384" s="301">
        <f>SUM(U385:U386)</f>
        <v>1147.2</v>
      </c>
      <c r="V384" s="286"/>
    </row>
    <row r="385" spans="2:22" ht="20.100000000000001" customHeight="1">
      <c r="B385" s="206" t="s">
        <v>391</v>
      </c>
      <c r="C385" s="206" t="s">
        <v>393</v>
      </c>
      <c r="D385" s="211">
        <f>(C97+C104+C119+C126)*2</f>
        <v>28.488</v>
      </c>
      <c r="E385" s="207" t="s">
        <v>285</v>
      </c>
      <c r="F385" s="206" t="s">
        <v>395</v>
      </c>
      <c r="G385" s="206"/>
      <c r="H385" s="241">
        <v>1.74</v>
      </c>
      <c r="I385" s="207">
        <f t="shared" si="59"/>
        <v>49.569119999999998</v>
      </c>
      <c r="J385" s="102"/>
      <c r="K385" s="102"/>
      <c r="L385" s="102"/>
      <c r="M385" s="102"/>
      <c r="N385" s="102"/>
      <c r="O385" s="286">
        <v>1</v>
      </c>
      <c r="P385" s="307" t="s">
        <v>619</v>
      </c>
      <c r="Q385" s="307"/>
      <c r="R385" s="300" t="s">
        <v>312</v>
      </c>
      <c r="S385" s="296">
        <f>V372</f>
        <v>7.17</v>
      </c>
      <c r="T385" s="310">
        <v>60</v>
      </c>
      <c r="U385" s="305">
        <f>T385*S385</f>
        <v>430.2</v>
      </c>
      <c r="V385" s="286"/>
    </row>
    <row r="386" spans="2:22" ht="20.100000000000001" customHeight="1">
      <c r="B386" s="208" t="s">
        <v>382</v>
      </c>
      <c r="C386" s="206" t="s">
        <v>291</v>
      </c>
      <c r="D386" s="211">
        <f>D338+D339+D341</f>
        <v>10</v>
      </c>
      <c r="E386" s="207" t="s">
        <v>285</v>
      </c>
      <c r="F386" s="206"/>
      <c r="G386" s="206"/>
      <c r="H386" s="241">
        <v>0.56999999999999995</v>
      </c>
      <c r="I386" s="207">
        <f>H386*D386</f>
        <v>5.6999999999999993</v>
      </c>
      <c r="J386" s="102"/>
      <c r="K386" s="102"/>
      <c r="L386" s="102"/>
      <c r="M386" s="102"/>
      <c r="N386" s="102"/>
      <c r="O386" s="286">
        <v>2</v>
      </c>
      <c r="P386" s="307" t="s">
        <v>288</v>
      </c>
      <c r="Q386" s="307"/>
      <c r="R386" s="300" t="s">
        <v>312</v>
      </c>
      <c r="S386" s="296">
        <f>V372</f>
        <v>7.17</v>
      </c>
      <c r="T386" s="310">
        <v>100</v>
      </c>
      <c r="U386" s="305">
        <f>T386*S386</f>
        <v>717</v>
      </c>
      <c r="V386" s="286"/>
    </row>
    <row r="387" spans="2:22" ht="20.100000000000001" customHeight="1">
      <c r="B387" s="206" t="s">
        <v>292</v>
      </c>
      <c r="C387" s="206"/>
      <c r="D387" s="211">
        <f>H366</f>
        <v>7.1989000000000001</v>
      </c>
      <c r="E387" s="207" t="s">
        <v>285</v>
      </c>
      <c r="F387" s="206"/>
      <c r="G387" s="206"/>
      <c r="H387" s="241">
        <v>20</v>
      </c>
      <c r="I387" s="207">
        <f t="shared" si="59"/>
        <v>143.97800000000001</v>
      </c>
      <c r="J387" s="102"/>
      <c r="K387" s="102"/>
      <c r="L387" s="102"/>
      <c r="M387" s="102"/>
      <c r="N387" s="102"/>
      <c r="O387" s="297" t="s">
        <v>307</v>
      </c>
      <c r="P387" s="308" t="s">
        <v>290</v>
      </c>
      <c r="Q387" s="298"/>
      <c r="R387" s="286"/>
      <c r="S387" s="296"/>
      <c r="T387" s="309"/>
      <c r="U387" s="301">
        <f>SUM(U388)</f>
        <v>143.4</v>
      </c>
      <c r="V387" s="286"/>
    </row>
    <row r="388" spans="2:22" ht="20.100000000000001" customHeight="1">
      <c r="B388" s="212" t="s">
        <v>4</v>
      </c>
      <c r="C388" s="213"/>
      <c r="D388" s="212"/>
      <c r="E388" s="212"/>
      <c r="F388" s="212"/>
      <c r="G388" s="212"/>
      <c r="H388" s="212"/>
      <c r="I388" s="213">
        <f>SUM(I380:I387)</f>
        <v>378.35739999999998</v>
      </c>
      <c r="J388" s="242"/>
      <c r="K388" s="102"/>
      <c r="L388" s="102"/>
      <c r="M388" s="102"/>
      <c r="N388" s="102"/>
      <c r="O388" s="286">
        <v>1</v>
      </c>
      <c r="P388" s="307" t="s">
        <v>290</v>
      </c>
      <c r="Q388" s="307"/>
      <c r="R388" s="300" t="s">
        <v>312</v>
      </c>
      <c r="S388" s="296">
        <f>V372</f>
        <v>7.17</v>
      </c>
      <c r="T388" s="310">
        <v>20</v>
      </c>
      <c r="U388" s="305">
        <f>T388*S388</f>
        <v>143.4</v>
      </c>
      <c r="V388" s="286"/>
    </row>
    <row r="389" spans="2:22" ht="20.100000000000001" customHeight="1">
      <c r="J389" s="102"/>
      <c r="K389" s="102"/>
      <c r="L389" s="102"/>
      <c r="M389" s="102"/>
      <c r="N389" s="102"/>
      <c r="O389" s="286" t="s">
        <v>308</v>
      </c>
      <c r="P389" s="618" t="s">
        <v>620</v>
      </c>
      <c r="Q389" s="619"/>
      <c r="R389" s="620"/>
      <c r="S389" s="621"/>
      <c r="T389" s="622"/>
      <c r="U389" s="301">
        <f>U374+U384+U387</f>
        <v>9289.7520209759987</v>
      </c>
      <c r="V389" s="286"/>
    </row>
    <row r="390" spans="2:22" ht="20.100000000000001" customHeight="1">
      <c r="J390" s="102"/>
      <c r="K390" s="102"/>
      <c r="L390" s="102"/>
      <c r="M390" s="102"/>
      <c r="N390" s="102"/>
      <c r="O390" s="286" t="s">
        <v>309</v>
      </c>
      <c r="P390" s="618" t="s">
        <v>621</v>
      </c>
      <c r="Q390" s="619"/>
      <c r="R390" s="626">
        <v>0.2</v>
      </c>
      <c r="S390" s="627"/>
      <c r="T390" s="628"/>
      <c r="U390" s="301">
        <f>U389*R390</f>
        <v>1857.9504041951998</v>
      </c>
      <c r="V390" s="286"/>
    </row>
    <row r="391" spans="2:22" ht="20.100000000000001" customHeight="1">
      <c r="J391" s="102"/>
      <c r="K391" s="102"/>
      <c r="L391" s="102"/>
      <c r="M391" s="102"/>
      <c r="N391" s="102"/>
      <c r="O391" s="286" t="s">
        <v>310</v>
      </c>
      <c r="P391" s="618" t="s">
        <v>622</v>
      </c>
      <c r="Q391" s="619"/>
      <c r="R391" s="620"/>
      <c r="S391" s="621"/>
      <c r="T391" s="622"/>
      <c r="U391" s="301">
        <f>U389+U390</f>
        <v>11147.702425171199</v>
      </c>
      <c r="V391" s="286"/>
    </row>
    <row r="392" spans="2:22" ht="30" customHeight="1">
      <c r="L392" s="102"/>
      <c r="M392" s="102"/>
      <c r="N392" s="102"/>
      <c r="O392" s="297" t="s">
        <v>311</v>
      </c>
      <c r="P392" s="618" t="s">
        <v>623</v>
      </c>
      <c r="Q392" s="619"/>
      <c r="R392" s="620"/>
      <c r="S392" s="621"/>
      <c r="T392" s="622"/>
      <c r="U392" s="301">
        <f>U391/V372</f>
        <v>1554.7702127156485</v>
      </c>
      <c r="V392" s="286" t="s">
        <v>624</v>
      </c>
    </row>
    <row r="393" spans="2:22" ht="45" customHeight="1">
      <c r="L393" s="102"/>
      <c r="M393" s="102"/>
      <c r="N393" s="102"/>
      <c r="O393" s="623" t="s">
        <v>625</v>
      </c>
      <c r="P393" s="623"/>
      <c r="Q393" s="623"/>
      <c r="R393" s="623"/>
      <c r="S393" s="623"/>
      <c r="T393" s="623"/>
      <c r="U393" s="623"/>
      <c r="V393" s="623"/>
    </row>
    <row r="394" spans="2:22" ht="18" customHeight="1">
      <c r="L394" s="102"/>
      <c r="M394" s="102"/>
      <c r="N394" s="102"/>
      <c r="O394" s="102"/>
      <c r="P394" s="102"/>
    </row>
    <row r="395" spans="2:22">
      <c r="L395" s="102"/>
      <c r="M395" s="102"/>
      <c r="N395" s="102"/>
      <c r="O395" s="102"/>
      <c r="P395" s="102"/>
    </row>
    <row r="396" spans="2:22">
      <c r="L396" s="102"/>
      <c r="M396" s="102"/>
      <c r="N396" s="102"/>
      <c r="O396" s="102"/>
      <c r="P396" s="102"/>
    </row>
    <row r="397" spans="2:22">
      <c r="L397" s="102"/>
      <c r="M397" s="102"/>
      <c r="N397" s="102"/>
      <c r="O397" s="102"/>
      <c r="P397" s="102"/>
    </row>
    <row r="398" spans="2:22">
      <c r="L398" s="102"/>
      <c r="M398" s="102"/>
      <c r="N398" s="102"/>
      <c r="O398" s="102"/>
      <c r="P398" s="102"/>
    </row>
    <row r="399" spans="2:22">
      <c r="L399" s="102"/>
      <c r="M399" s="102"/>
      <c r="N399" s="102"/>
      <c r="O399" s="102"/>
      <c r="P399" s="102"/>
    </row>
    <row r="400" spans="2:22">
      <c r="L400" s="102"/>
      <c r="M400" s="102"/>
      <c r="N400" s="102"/>
      <c r="O400" s="102"/>
      <c r="P400" s="102"/>
    </row>
    <row r="401" spans="12:16">
      <c r="L401" s="102"/>
      <c r="M401" s="102"/>
      <c r="N401" s="102"/>
      <c r="O401" s="102"/>
      <c r="P401" s="102"/>
    </row>
    <row r="402" spans="12:16">
      <c r="L402" s="102"/>
      <c r="M402" s="102"/>
      <c r="N402" s="102"/>
      <c r="O402" s="102"/>
      <c r="P402" s="102"/>
    </row>
    <row r="403" spans="12:16">
      <c r="L403" s="102"/>
      <c r="M403" s="102"/>
      <c r="N403" s="102"/>
      <c r="O403" s="102"/>
      <c r="P403" s="102"/>
    </row>
    <row r="404" spans="12:16">
      <c r="L404" s="102"/>
      <c r="M404" s="102"/>
      <c r="N404" s="102"/>
      <c r="O404" s="102"/>
      <c r="P404" s="102"/>
    </row>
    <row r="405" spans="12:16">
      <c r="L405" s="102"/>
      <c r="M405" s="102"/>
      <c r="N405" s="102"/>
      <c r="O405" s="102"/>
      <c r="P405" s="102"/>
    </row>
    <row r="406" spans="12:16">
      <c r="L406" s="102"/>
      <c r="M406" s="102"/>
      <c r="N406" s="102"/>
      <c r="O406" s="102"/>
      <c r="P406" s="102"/>
    </row>
    <row r="407" spans="12:16">
      <c r="L407" s="102"/>
      <c r="M407" s="102"/>
      <c r="N407" s="102"/>
      <c r="O407" s="102"/>
      <c r="P407" s="102"/>
    </row>
    <row r="408" spans="12:16">
      <c r="L408" s="102"/>
      <c r="M408" s="102"/>
      <c r="N408" s="102"/>
      <c r="O408" s="102"/>
      <c r="P408" s="102"/>
    </row>
    <row r="409" spans="12:16">
      <c r="L409" s="102"/>
      <c r="M409" s="102"/>
      <c r="N409" s="102"/>
      <c r="O409" s="102"/>
      <c r="P409" s="102"/>
    </row>
    <row r="410" spans="12:16">
      <c r="L410" s="102"/>
      <c r="M410" s="102"/>
      <c r="N410" s="102"/>
      <c r="O410" s="102"/>
      <c r="P410" s="102"/>
    </row>
    <row r="411" spans="12:16">
      <c r="L411" s="102"/>
      <c r="M411" s="102"/>
      <c r="N411" s="102"/>
      <c r="O411" s="102"/>
      <c r="P411" s="102"/>
    </row>
    <row r="412" spans="12:16">
      <c r="L412" s="102"/>
      <c r="M412" s="102"/>
      <c r="N412" s="102"/>
      <c r="O412" s="102"/>
      <c r="P412" s="102"/>
    </row>
    <row r="413" spans="12:16">
      <c r="L413" s="102"/>
      <c r="M413" s="102"/>
      <c r="N413" s="102"/>
      <c r="O413" s="102"/>
      <c r="P413" s="102"/>
    </row>
    <row r="414" spans="12:16">
      <c r="L414" s="102"/>
      <c r="M414" s="102"/>
      <c r="N414" s="102"/>
      <c r="O414" s="102"/>
      <c r="P414" s="102"/>
    </row>
    <row r="415" spans="12:16">
      <c r="L415" s="102"/>
      <c r="M415" s="102"/>
      <c r="N415" s="102"/>
      <c r="O415" s="102"/>
      <c r="P415" s="102"/>
    </row>
    <row r="416" spans="12:16">
      <c r="L416" s="102"/>
      <c r="M416" s="102"/>
      <c r="N416" s="102"/>
      <c r="O416" s="102"/>
      <c r="P416" s="102"/>
    </row>
    <row r="417" spans="10:16">
      <c r="L417" s="102"/>
      <c r="M417" s="102"/>
      <c r="N417" s="102"/>
      <c r="O417" s="102"/>
      <c r="P417" s="102"/>
    </row>
    <row r="418" spans="10:16">
      <c r="L418" s="102"/>
      <c r="M418" s="102"/>
      <c r="N418" s="102"/>
      <c r="O418" s="102"/>
      <c r="P418" s="102"/>
    </row>
    <row r="419" spans="10:16">
      <c r="L419" s="102"/>
      <c r="M419" s="102"/>
      <c r="N419" s="102"/>
      <c r="O419" s="102"/>
      <c r="P419" s="102"/>
    </row>
    <row r="420" spans="10:16">
      <c r="L420" s="102"/>
      <c r="M420" s="102"/>
      <c r="N420" s="102"/>
      <c r="O420" s="102"/>
      <c r="P420" s="102"/>
    </row>
    <row r="421" spans="10:16">
      <c r="L421" s="102"/>
      <c r="M421" s="102"/>
      <c r="N421" s="102"/>
      <c r="O421" s="102"/>
      <c r="P421" s="102"/>
    </row>
    <row r="422" spans="10:16">
      <c r="L422" s="102"/>
      <c r="M422" s="102"/>
      <c r="N422" s="102"/>
      <c r="O422" s="102"/>
      <c r="P422" s="102"/>
    </row>
    <row r="423" spans="10:16">
      <c r="L423" s="102"/>
      <c r="M423" s="102"/>
      <c r="N423" s="102"/>
      <c r="O423" s="102"/>
      <c r="P423" s="102"/>
    </row>
    <row r="424" spans="10:16">
      <c r="L424" s="102"/>
      <c r="M424" s="102"/>
      <c r="N424" s="102"/>
      <c r="O424" s="102"/>
      <c r="P424" s="102"/>
    </row>
    <row r="425" spans="10:16">
      <c r="L425" s="102"/>
      <c r="M425" s="102"/>
      <c r="N425" s="102"/>
      <c r="O425" s="102"/>
      <c r="P425" s="102"/>
    </row>
    <row r="426" spans="10:16">
      <c r="L426" s="102"/>
      <c r="M426" s="102"/>
      <c r="N426" s="102"/>
      <c r="O426" s="102"/>
      <c r="P426" s="102"/>
    </row>
    <row r="427" spans="10:16">
      <c r="J427" s="102"/>
      <c r="K427" s="102"/>
      <c r="L427" s="102"/>
      <c r="M427" s="102"/>
      <c r="N427" s="102"/>
      <c r="O427" s="102"/>
      <c r="P427" s="102"/>
    </row>
    <row r="428" spans="10:16">
      <c r="J428" s="102"/>
      <c r="K428" s="102"/>
      <c r="L428" s="102"/>
      <c r="M428" s="102"/>
      <c r="N428" s="102"/>
      <c r="O428" s="102"/>
      <c r="P428" s="102"/>
    </row>
    <row r="429" spans="10:16">
      <c r="J429" s="102"/>
      <c r="K429" s="102"/>
      <c r="L429" s="102"/>
      <c r="M429" s="102"/>
      <c r="N429" s="102"/>
      <c r="O429" s="102"/>
      <c r="P429" s="102"/>
    </row>
    <row r="430" spans="10:16">
      <c r="J430" s="102"/>
      <c r="K430" s="102"/>
      <c r="L430" s="102"/>
      <c r="M430" s="102"/>
      <c r="N430" s="102"/>
      <c r="O430" s="102"/>
      <c r="P430" s="102"/>
    </row>
    <row r="431" spans="10:16">
      <c r="J431" s="102"/>
      <c r="K431" s="102"/>
      <c r="L431" s="102"/>
      <c r="M431" s="102"/>
      <c r="N431" s="102"/>
      <c r="O431" s="102"/>
      <c r="P431" s="102"/>
    </row>
    <row r="432" spans="10:16">
      <c r="J432" s="102"/>
      <c r="K432" s="102"/>
      <c r="L432" s="102"/>
      <c r="M432" s="102"/>
      <c r="N432" s="102"/>
      <c r="O432" s="102"/>
      <c r="P432" s="102"/>
    </row>
    <row r="433" spans="10:16">
      <c r="J433" s="102"/>
      <c r="K433" s="102"/>
      <c r="L433" s="102"/>
      <c r="M433" s="102"/>
      <c r="N433" s="102"/>
      <c r="O433" s="102"/>
      <c r="P433" s="102"/>
    </row>
    <row r="434" spans="10:16">
      <c r="J434" s="102"/>
      <c r="K434" s="102"/>
      <c r="L434" s="102"/>
      <c r="M434" s="102"/>
      <c r="N434" s="102"/>
      <c r="O434" s="102"/>
      <c r="P434" s="102"/>
    </row>
    <row r="435" spans="10:16">
      <c r="J435" s="102"/>
      <c r="K435" s="102"/>
      <c r="L435" s="102"/>
      <c r="M435" s="102"/>
      <c r="N435" s="102"/>
      <c r="O435" s="102"/>
      <c r="P435" s="102"/>
    </row>
    <row r="436" spans="10:16">
      <c r="J436" s="102"/>
      <c r="K436" s="102"/>
      <c r="L436" s="102"/>
      <c r="M436" s="102"/>
      <c r="N436" s="102"/>
      <c r="O436" s="102"/>
      <c r="P436" s="102"/>
    </row>
    <row r="437" spans="10:16">
      <c r="J437" s="102"/>
      <c r="K437" s="102"/>
      <c r="L437" s="102"/>
      <c r="M437" s="102"/>
      <c r="N437" s="102"/>
      <c r="O437" s="102"/>
      <c r="P437" s="102"/>
    </row>
    <row r="438" spans="10:16">
      <c r="J438" s="102"/>
      <c r="K438" s="102"/>
      <c r="L438" s="102"/>
      <c r="M438" s="102"/>
      <c r="N438" s="102"/>
      <c r="O438" s="102"/>
      <c r="P438" s="102"/>
    </row>
    <row r="439" spans="10:16">
      <c r="J439" s="102"/>
      <c r="K439" s="102"/>
      <c r="L439" s="102"/>
      <c r="M439" s="102"/>
      <c r="N439" s="102"/>
      <c r="O439" s="102"/>
      <c r="P439" s="102"/>
    </row>
    <row r="440" spans="10:16">
      <c r="J440" s="102"/>
      <c r="K440" s="102"/>
      <c r="L440" s="102"/>
      <c r="M440" s="102"/>
      <c r="N440" s="102"/>
      <c r="O440" s="102"/>
      <c r="P440" s="102"/>
    </row>
    <row r="441" spans="10:16">
      <c r="J441" s="102"/>
      <c r="K441" s="102"/>
      <c r="L441" s="102"/>
      <c r="M441" s="102"/>
      <c r="N441" s="102"/>
      <c r="O441" s="102"/>
      <c r="P441" s="102"/>
    </row>
    <row r="442" spans="10:16">
      <c r="J442" s="102"/>
      <c r="K442" s="102"/>
      <c r="L442" s="102"/>
      <c r="M442" s="102"/>
      <c r="N442" s="102"/>
      <c r="O442" s="102"/>
      <c r="P442" s="102"/>
    </row>
    <row r="443" spans="10:16">
      <c r="J443" s="102"/>
      <c r="K443" s="102"/>
      <c r="L443" s="102"/>
      <c r="M443" s="102"/>
      <c r="N443" s="102"/>
      <c r="O443" s="102"/>
      <c r="P443" s="102"/>
    </row>
    <row r="444" spans="10:16">
      <c r="J444" s="102"/>
      <c r="K444" s="102"/>
      <c r="L444" s="102"/>
      <c r="M444" s="102"/>
      <c r="N444" s="102"/>
      <c r="O444" s="102"/>
      <c r="P444" s="102"/>
    </row>
    <row r="445" spans="10:16">
      <c r="J445" s="102"/>
      <c r="K445" s="102"/>
      <c r="L445" s="102"/>
      <c r="M445" s="102"/>
      <c r="N445" s="102"/>
      <c r="O445" s="102"/>
      <c r="P445" s="102"/>
    </row>
    <row r="446" spans="10:16">
      <c r="J446" s="102"/>
      <c r="K446" s="102"/>
      <c r="L446" s="102"/>
      <c r="M446" s="102"/>
      <c r="N446" s="102"/>
      <c r="O446" s="102"/>
      <c r="P446" s="102"/>
    </row>
    <row r="447" spans="10:16">
      <c r="J447" s="102"/>
      <c r="K447" s="102"/>
      <c r="L447" s="102"/>
      <c r="M447" s="102"/>
      <c r="N447" s="102"/>
      <c r="O447" s="102"/>
      <c r="P447" s="102"/>
    </row>
    <row r="448" spans="10:16">
      <c r="J448" s="102"/>
      <c r="K448" s="102"/>
      <c r="L448" s="102"/>
      <c r="M448" s="102"/>
      <c r="N448" s="102"/>
      <c r="O448" s="102"/>
      <c r="P448" s="102"/>
    </row>
    <row r="449" spans="10:16">
      <c r="J449" s="102"/>
      <c r="K449" s="102"/>
      <c r="L449" s="102"/>
      <c r="M449" s="102"/>
      <c r="N449" s="102"/>
      <c r="O449" s="102"/>
      <c r="P449" s="102"/>
    </row>
    <row r="450" spans="10:16">
      <c r="J450" s="102"/>
      <c r="K450" s="102"/>
      <c r="L450" s="102"/>
      <c r="M450" s="102"/>
      <c r="N450" s="102"/>
      <c r="O450" s="102"/>
      <c r="P450" s="102"/>
    </row>
    <row r="451" spans="10:16">
      <c r="J451" s="102"/>
      <c r="K451" s="102"/>
      <c r="L451" s="102"/>
      <c r="M451" s="102"/>
      <c r="N451" s="102"/>
      <c r="O451" s="102"/>
      <c r="P451" s="102"/>
    </row>
    <row r="452" spans="10:16">
      <c r="J452" s="102"/>
      <c r="K452" s="102"/>
      <c r="L452" s="102"/>
      <c r="M452" s="102"/>
      <c r="N452" s="102"/>
      <c r="O452" s="102"/>
      <c r="P452" s="102"/>
    </row>
    <row r="453" spans="10:16">
      <c r="J453" s="102"/>
      <c r="K453" s="102"/>
      <c r="L453" s="102"/>
      <c r="M453" s="102"/>
      <c r="N453" s="102"/>
      <c r="O453" s="102"/>
      <c r="P453" s="102"/>
    </row>
    <row r="454" spans="10:16">
      <c r="J454" s="102"/>
      <c r="K454" s="102"/>
      <c r="L454" s="102"/>
      <c r="M454" s="102"/>
      <c r="N454" s="102"/>
      <c r="O454" s="102"/>
      <c r="P454" s="102"/>
    </row>
    <row r="455" spans="10:16">
      <c r="J455" s="102"/>
      <c r="K455" s="102"/>
      <c r="L455" s="102"/>
      <c r="M455" s="102"/>
      <c r="N455" s="102"/>
      <c r="O455" s="102"/>
      <c r="P455" s="102"/>
    </row>
    <row r="456" spans="10:16">
      <c r="J456" s="102"/>
      <c r="K456" s="102"/>
      <c r="L456" s="102"/>
      <c r="M456" s="102"/>
      <c r="N456" s="102"/>
      <c r="O456" s="102"/>
      <c r="P456" s="102"/>
    </row>
    <row r="457" spans="10:16">
      <c r="J457" s="102"/>
      <c r="K457" s="102"/>
      <c r="L457" s="102"/>
      <c r="M457" s="102"/>
      <c r="N457" s="102"/>
      <c r="O457" s="102"/>
      <c r="P457" s="102"/>
    </row>
    <row r="458" spans="10:16">
      <c r="J458" s="102"/>
      <c r="K458" s="102"/>
      <c r="L458" s="102"/>
      <c r="M458" s="102"/>
      <c r="N458" s="102"/>
      <c r="O458" s="102"/>
      <c r="P458" s="102"/>
    </row>
    <row r="459" spans="10:16">
      <c r="J459" s="102"/>
      <c r="K459" s="102"/>
      <c r="L459" s="102"/>
      <c r="M459" s="102"/>
      <c r="N459" s="102"/>
      <c r="O459" s="102"/>
      <c r="P459" s="102"/>
    </row>
    <row r="460" spans="10:16">
      <c r="J460" s="102"/>
      <c r="K460" s="102"/>
      <c r="L460" s="102"/>
      <c r="M460" s="102"/>
      <c r="N460" s="102"/>
      <c r="O460" s="102"/>
      <c r="P460" s="102"/>
    </row>
    <row r="461" spans="10:16">
      <c r="J461" s="102"/>
      <c r="K461" s="102"/>
      <c r="L461" s="102"/>
      <c r="M461" s="102"/>
      <c r="N461" s="102"/>
      <c r="O461" s="102"/>
      <c r="P461" s="102"/>
    </row>
    <row r="462" spans="10:16">
      <c r="J462" s="102"/>
      <c r="K462" s="102"/>
      <c r="L462" s="102"/>
      <c r="M462" s="102"/>
      <c r="N462" s="102"/>
      <c r="O462" s="102"/>
      <c r="P462" s="102"/>
    </row>
    <row r="463" spans="10:16">
      <c r="J463" s="102"/>
      <c r="K463" s="102"/>
      <c r="L463" s="102"/>
      <c r="M463" s="102"/>
      <c r="N463" s="102"/>
      <c r="O463" s="102"/>
      <c r="P463" s="102"/>
    </row>
    <row r="464" spans="10:16">
      <c r="J464" s="102"/>
      <c r="K464" s="102"/>
      <c r="L464" s="102"/>
      <c r="M464" s="102"/>
      <c r="N464" s="102"/>
      <c r="O464" s="102"/>
      <c r="P464" s="102"/>
    </row>
  </sheetData>
  <mergeCells count="95">
    <mergeCell ref="F2:H2"/>
    <mergeCell ref="I2:I6"/>
    <mergeCell ref="J2:M2"/>
    <mergeCell ref="B4:B6"/>
    <mergeCell ref="B14:B21"/>
    <mergeCell ref="C14:C21"/>
    <mergeCell ref="B26:B30"/>
    <mergeCell ref="C26:C30"/>
    <mergeCell ref="B35:B37"/>
    <mergeCell ref="C35:C37"/>
    <mergeCell ref="B42:B47"/>
    <mergeCell ref="C42:C44"/>
    <mergeCell ref="C45:C47"/>
    <mergeCell ref="B52:B55"/>
    <mergeCell ref="C52:C55"/>
    <mergeCell ref="D59:F59"/>
    <mergeCell ref="B60:B63"/>
    <mergeCell ref="C60:C61"/>
    <mergeCell ref="D60:F60"/>
    <mergeCell ref="D61:F61"/>
    <mergeCell ref="C62:C63"/>
    <mergeCell ref="D62:F62"/>
    <mergeCell ref="D63:F63"/>
    <mergeCell ref="B68:B87"/>
    <mergeCell ref="C68:C74"/>
    <mergeCell ref="C75:C81"/>
    <mergeCell ref="C82:C87"/>
    <mergeCell ref="B92:B96"/>
    <mergeCell ref="C92:C96"/>
    <mergeCell ref="B137:B138"/>
    <mergeCell ref="C137:C138"/>
    <mergeCell ref="D137:F137"/>
    <mergeCell ref="D138:F138"/>
    <mergeCell ref="B101:B103"/>
    <mergeCell ref="C101:C103"/>
    <mergeCell ref="B108:B111"/>
    <mergeCell ref="C108:C111"/>
    <mergeCell ref="B116:B118"/>
    <mergeCell ref="C116:C118"/>
    <mergeCell ref="B123:B125"/>
    <mergeCell ref="C123:C125"/>
    <mergeCell ref="B130:B132"/>
    <mergeCell ref="C130:C132"/>
    <mergeCell ref="D136:F136"/>
    <mergeCell ref="B143:B145"/>
    <mergeCell ref="C143:C145"/>
    <mergeCell ref="B150:B152"/>
    <mergeCell ref="C150:C152"/>
    <mergeCell ref="B157:B162"/>
    <mergeCell ref="C157:C162"/>
    <mergeCell ref="B167:B169"/>
    <mergeCell ref="C167:C169"/>
    <mergeCell ref="B174:B176"/>
    <mergeCell ref="C174:C176"/>
    <mergeCell ref="B181:B183"/>
    <mergeCell ref="C181:C183"/>
    <mergeCell ref="F209:F210"/>
    <mergeCell ref="B188:B190"/>
    <mergeCell ref="C188:C190"/>
    <mergeCell ref="D194:F194"/>
    <mergeCell ref="B195:B196"/>
    <mergeCell ref="C195:C196"/>
    <mergeCell ref="D195:F195"/>
    <mergeCell ref="D196:F196"/>
    <mergeCell ref="B197:B198"/>
    <mergeCell ref="C197:C198"/>
    <mergeCell ref="D197:F197"/>
    <mergeCell ref="D198:F198"/>
    <mergeCell ref="F203:F204"/>
    <mergeCell ref="O369:V369"/>
    <mergeCell ref="F211:F212"/>
    <mergeCell ref="F213:F214"/>
    <mergeCell ref="B291:B292"/>
    <mergeCell ref="B294:B295"/>
    <mergeCell ref="I294:I295"/>
    <mergeCell ref="B296:B297"/>
    <mergeCell ref="I296:I297"/>
    <mergeCell ref="B298:B299"/>
    <mergeCell ref="I298:I299"/>
    <mergeCell ref="B300:B301"/>
    <mergeCell ref="B302:B303"/>
    <mergeCell ref="O368:V368"/>
    <mergeCell ref="P370:Q370"/>
    <mergeCell ref="O371:O372"/>
    <mergeCell ref="P371:T372"/>
    <mergeCell ref="B378:I378"/>
    <mergeCell ref="P389:Q389"/>
    <mergeCell ref="R389:T389"/>
    <mergeCell ref="O393:V393"/>
    <mergeCell ref="P390:Q390"/>
    <mergeCell ref="R390:T390"/>
    <mergeCell ref="P391:Q391"/>
    <mergeCell ref="R391:T391"/>
    <mergeCell ref="P392:Q392"/>
    <mergeCell ref="R392:T392"/>
  </mergeCells>
  <phoneticPr fontId="5" type="noConversion"/>
  <pageMargins left="0.19685039370078741" right="0.19685039370078741" top="0.74803149606299213" bottom="0.74803149606299213" header="0.31496062992125984" footer="0.31496062992125984"/>
  <pageSetup paperSize="9" scale="78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DC98F-D558-4DD3-92D2-676789648DD9}">
  <sheetPr>
    <tabColor rgb="FF7030A0"/>
    <pageSetUpPr fitToPage="1"/>
  </sheetPr>
  <dimension ref="A1:V464"/>
  <sheetViews>
    <sheetView showZeros="0" topLeftCell="A23" zoomScaleNormal="100" workbookViewId="0">
      <selection activeCell="C372" sqref="C372"/>
    </sheetView>
  </sheetViews>
  <sheetFormatPr defaultColWidth="25.25" defaultRowHeight="13.5"/>
  <cols>
    <col min="1" max="1" width="0.5" style="1" customWidth="1"/>
    <col min="2" max="2" width="25.25" style="102" customWidth="1"/>
    <col min="3" max="3" width="14.75" style="102" customWidth="1"/>
    <col min="4" max="4" width="11.5" style="102" customWidth="1"/>
    <col min="5" max="5" width="11.25" style="102" customWidth="1"/>
    <col min="6" max="6" width="12.25" style="102" customWidth="1"/>
    <col min="7" max="7" width="10" style="102" customWidth="1"/>
    <col min="8" max="8" width="9.875" style="102" customWidth="1"/>
    <col min="9" max="9" width="26.875" style="102" customWidth="1"/>
    <col min="10" max="10" width="11.125" style="43" customWidth="1"/>
    <col min="11" max="11" width="7.875" style="43" customWidth="1"/>
    <col min="12" max="12" width="7.25" style="43" customWidth="1"/>
    <col min="13" max="13" width="9.125" style="43" customWidth="1"/>
    <col min="14" max="14" width="15.125" style="255" customWidth="1"/>
    <col min="15" max="15" width="13.125" style="255" customWidth="1"/>
    <col min="16" max="16" width="24.375" style="255" customWidth="1"/>
    <col min="17" max="17" width="13.75" style="255" customWidth="1"/>
    <col min="18" max="18" width="11.25" style="255" customWidth="1"/>
    <col min="19" max="19" width="10.75" style="255" customWidth="1"/>
    <col min="20" max="20" width="10" style="255" customWidth="1"/>
    <col min="21" max="21" width="9.875" style="255" customWidth="1"/>
    <col min="22" max="22" width="26.125" style="255" customWidth="1"/>
    <col min="23" max="23" width="11.125" style="255" customWidth="1"/>
    <col min="24" max="24" width="7.875" style="255" customWidth="1"/>
    <col min="25" max="25" width="7.25" style="255" customWidth="1"/>
    <col min="26" max="26" width="9.125" style="255" customWidth="1"/>
    <col min="27" max="27" width="15.125" style="255" customWidth="1"/>
    <col min="28" max="28" width="7.75" style="255" customWidth="1"/>
    <col min="29" max="29" width="7.125" style="255" customWidth="1"/>
    <col min="30" max="30" width="12.125" style="255" customWidth="1"/>
    <col min="31" max="31" width="8.25" style="255" customWidth="1"/>
    <col min="32" max="33" width="10.375" style="255" customWidth="1"/>
    <col min="34" max="34" width="15.625" style="255" customWidth="1"/>
    <col min="35" max="35" width="15.875" style="255" customWidth="1"/>
    <col min="36" max="36" width="8.125" style="255" customWidth="1"/>
    <col min="37" max="40" width="10.375" style="255" customWidth="1"/>
    <col min="41" max="41" width="7.25" style="255" customWidth="1"/>
    <col min="42" max="42" width="7.125" style="255" customWidth="1"/>
    <col min="43" max="43" width="9.5" style="255" customWidth="1"/>
    <col min="44" max="45" width="9" style="255" customWidth="1"/>
    <col min="46" max="46" width="16.125" style="255" customWidth="1"/>
    <col min="47" max="77" width="9" style="255" customWidth="1"/>
    <col min="78" max="237" width="25.25" style="255"/>
    <col min="238" max="267" width="9" style="255" customWidth="1"/>
    <col min="268" max="268" width="0.5" style="255" customWidth="1"/>
    <col min="269" max="269" width="25.25" style="255"/>
    <col min="270" max="270" width="0.5" style="255" customWidth="1"/>
    <col min="271" max="271" width="25.25" style="255"/>
    <col min="272" max="272" width="14.75" style="255" customWidth="1"/>
    <col min="273" max="273" width="11.5" style="255" customWidth="1"/>
    <col min="274" max="274" width="11.25" style="255" customWidth="1"/>
    <col min="275" max="275" width="10.75" style="255" customWidth="1"/>
    <col min="276" max="276" width="10" style="255" customWidth="1"/>
    <col min="277" max="277" width="9.875" style="255" customWidth="1"/>
    <col min="278" max="278" width="26.125" style="255" customWidth="1"/>
    <col min="279" max="279" width="11.125" style="255" customWidth="1"/>
    <col min="280" max="280" width="7.875" style="255" customWidth="1"/>
    <col min="281" max="281" width="7.25" style="255" customWidth="1"/>
    <col min="282" max="282" width="9.125" style="255" customWidth="1"/>
    <col min="283" max="283" width="15.125" style="255" customWidth="1"/>
    <col min="284" max="284" width="7.75" style="255" customWidth="1"/>
    <col min="285" max="285" width="7.125" style="255" customWidth="1"/>
    <col min="286" max="286" width="12.125" style="255" customWidth="1"/>
    <col min="287" max="287" width="8.25" style="255" customWidth="1"/>
    <col min="288" max="289" width="10.375" style="255" customWidth="1"/>
    <col min="290" max="290" width="15.625" style="255" customWidth="1"/>
    <col min="291" max="291" width="15.875" style="255" customWidth="1"/>
    <col min="292" max="292" width="8.125" style="255" customWidth="1"/>
    <col min="293" max="296" width="10.375" style="255" customWidth="1"/>
    <col min="297" max="297" width="7.25" style="255" customWidth="1"/>
    <col min="298" max="298" width="7.125" style="255" customWidth="1"/>
    <col min="299" max="299" width="9.5" style="255" customWidth="1"/>
    <col min="300" max="301" width="9" style="255" customWidth="1"/>
    <col min="302" max="302" width="16.125" style="255" customWidth="1"/>
    <col min="303" max="333" width="9" style="255" customWidth="1"/>
    <col min="334" max="493" width="25.25" style="255"/>
    <col min="494" max="523" width="9" style="255" customWidth="1"/>
    <col min="524" max="524" width="0.5" style="255" customWidth="1"/>
    <col min="525" max="525" width="25.25" style="255"/>
    <col min="526" max="526" width="0.5" style="255" customWidth="1"/>
    <col min="527" max="527" width="25.25" style="255"/>
    <col min="528" max="528" width="14.75" style="255" customWidth="1"/>
    <col min="529" max="529" width="11.5" style="255" customWidth="1"/>
    <col min="530" max="530" width="11.25" style="255" customWidth="1"/>
    <col min="531" max="531" width="10.75" style="255" customWidth="1"/>
    <col min="532" max="532" width="10" style="255" customWidth="1"/>
    <col min="533" max="533" width="9.875" style="255" customWidth="1"/>
    <col min="534" max="534" width="26.125" style="255" customWidth="1"/>
    <col min="535" max="535" width="11.125" style="255" customWidth="1"/>
    <col min="536" max="536" width="7.875" style="255" customWidth="1"/>
    <col min="537" max="537" width="7.25" style="255" customWidth="1"/>
    <col min="538" max="538" width="9.125" style="255" customWidth="1"/>
    <col min="539" max="539" width="15.125" style="255" customWidth="1"/>
    <col min="540" max="540" width="7.75" style="255" customWidth="1"/>
    <col min="541" max="541" width="7.125" style="255" customWidth="1"/>
    <col min="542" max="542" width="12.125" style="255" customWidth="1"/>
    <col min="543" max="543" width="8.25" style="255" customWidth="1"/>
    <col min="544" max="545" width="10.375" style="255" customWidth="1"/>
    <col min="546" max="546" width="15.625" style="255" customWidth="1"/>
    <col min="547" max="547" width="15.875" style="255" customWidth="1"/>
    <col min="548" max="548" width="8.125" style="255" customWidth="1"/>
    <col min="549" max="552" width="10.375" style="255" customWidth="1"/>
    <col min="553" max="553" width="7.25" style="255" customWidth="1"/>
    <col min="554" max="554" width="7.125" style="255" customWidth="1"/>
    <col min="555" max="555" width="9.5" style="255" customWidth="1"/>
    <col min="556" max="557" width="9" style="255" customWidth="1"/>
    <col min="558" max="558" width="16.125" style="255" customWidth="1"/>
    <col min="559" max="589" width="9" style="255" customWidth="1"/>
    <col min="590" max="749" width="25.25" style="255"/>
    <col min="750" max="779" width="9" style="255" customWidth="1"/>
    <col min="780" max="780" width="0.5" style="255" customWidth="1"/>
    <col min="781" max="781" width="25.25" style="255"/>
    <col min="782" max="782" width="0.5" style="255" customWidth="1"/>
    <col min="783" max="783" width="25.25" style="255"/>
    <col min="784" max="784" width="14.75" style="255" customWidth="1"/>
    <col min="785" max="785" width="11.5" style="255" customWidth="1"/>
    <col min="786" max="786" width="11.25" style="255" customWidth="1"/>
    <col min="787" max="787" width="10.75" style="255" customWidth="1"/>
    <col min="788" max="788" width="10" style="255" customWidth="1"/>
    <col min="789" max="789" width="9.875" style="255" customWidth="1"/>
    <col min="790" max="790" width="26.125" style="255" customWidth="1"/>
    <col min="791" max="791" width="11.125" style="255" customWidth="1"/>
    <col min="792" max="792" width="7.875" style="255" customWidth="1"/>
    <col min="793" max="793" width="7.25" style="255" customWidth="1"/>
    <col min="794" max="794" width="9.125" style="255" customWidth="1"/>
    <col min="795" max="795" width="15.125" style="255" customWidth="1"/>
    <col min="796" max="796" width="7.75" style="255" customWidth="1"/>
    <col min="797" max="797" width="7.125" style="255" customWidth="1"/>
    <col min="798" max="798" width="12.125" style="255" customWidth="1"/>
    <col min="799" max="799" width="8.25" style="255" customWidth="1"/>
    <col min="800" max="801" width="10.375" style="255" customWidth="1"/>
    <col min="802" max="802" width="15.625" style="255" customWidth="1"/>
    <col min="803" max="803" width="15.875" style="255" customWidth="1"/>
    <col min="804" max="804" width="8.125" style="255" customWidth="1"/>
    <col min="805" max="808" width="10.375" style="255" customWidth="1"/>
    <col min="809" max="809" width="7.25" style="255" customWidth="1"/>
    <col min="810" max="810" width="7.125" style="255" customWidth="1"/>
    <col min="811" max="811" width="9.5" style="255" customWidth="1"/>
    <col min="812" max="813" width="9" style="255" customWidth="1"/>
    <col min="814" max="814" width="16.125" style="255" customWidth="1"/>
    <col min="815" max="845" width="9" style="255" customWidth="1"/>
    <col min="846" max="1005" width="25.25" style="255"/>
    <col min="1006" max="1035" width="9" style="255" customWidth="1"/>
    <col min="1036" max="1036" width="0.5" style="255" customWidth="1"/>
    <col min="1037" max="1037" width="25.25" style="255"/>
    <col min="1038" max="1038" width="0.5" style="255" customWidth="1"/>
    <col min="1039" max="1039" width="25.25" style="255"/>
    <col min="1040" max="1040" width="14.75" style="255" customWidth="1"/>
    <col min="1041" max="1041" width="11.5" style="255" customWidth="1"/>
    <col min="1042" max="1042" width="11.25" style="255" customWidth="1"/>
    <col min="1043" max="1043" width="10.75" style="255" customWidth="1"/>
    <col min="1044" max="1044" width="10" style="255" customWidth="1"/>
    <col min="1045" max="1045" width="9.875" style="255" customWidth="1"/>
    <col min="1046" max="1046" width="26.125" style="255" customWidth="1"/>
    <col min="1047" max="1047" width="11.125" style="255" customWidth="1"/>
    <col min="1048" max="1048" width="7.875" style="255" customWidth="1"/>
    <col min="1049" max="1049" width="7.25" style="255" customWidth="1"/>
    <col min="1050" max="1050" width="9.125" style="255" customWidth="1"/>
    <col min="1051" max="1051" width="15.125" style="255" customWidth="1"/>
    <col min="1052" max="1052" width="7.75" style="255" customWidth="1"/>
    <col min="1053" max="1053" width="7.125" style="255" customWidth="1"/>
    <col min="1054" max="1054" width="12.125" style="255" customWidth="1"/>
    <col min="1055" max="1055" width="8.25" style="255" customWidth="1"/>
    <col min="1056" max="1057" width="10.375" style="255" customWidth="1"/>
    <col min="1058" max="1058" width="15.625" style="255" customWidth="1"/>
    <col min="1059" max="1059" width="15.875" style="255" customWidth="1"/>
    <col min="1060" max="1060" width="8.125" style="255" customWidth="1"/>
    <col min="1061" max="1064" width="10.375" style="255" customWidth="1"/>
    <col min="1065" max="1065" width="7.25" style="255" customWidth="1"/>
    <col min="1066" max="1066" width="7.125" style="255" customWidth="1"/>
    <col min="1067" max="1067" width="9.5" style="255" customWidth="1"/>
    <col min="1068" max="1069" width="9" style="255" customWidth="1"/>
    <col min="1070" max="1070" width="16.125" style="255" customWidth="1"/>
    <col min="1071" max="1101" width="9" style="255" customWidth="1"/>
    <col min="1102" max="1261" width="25.25" style="255"/>
    <col min="1262" max="1291" width="9" style="255" customWidth="1"/>
    <col min="1292" max="1292" width="0.5" style="255" customWidth="1"/>
    <col min="1293" max="1293" width="25.25" style="255"/>
    <col min="1294" max="1294" width="0.5" style="255" customWidth="1"/>
    <col min="1295" max="1295" width="25.25" style="255"/>
    <col min="1296" max="1296" width="14.75" style="255" customWidth="1"/>
    <col min="1297" max="1297" width="11.5" style="255" customWidth="1"/>
    <col min="1298" max="1298" width="11.25" style="255" customWidth="1"/>
    <col min="1299" max="1299" width="10.75" style="255" customWidth="1"/>
    <col min="1300" max="1300" width="10" style="255" customWidth="1"/>
    <col min="1301" max="1301" width="9.875" style="255" customWidth="1"/>
    <col min="1302" max="1302" width="26.125" style="255" customWidth="1"/>
    <col min="1303" max="1303" width="11.125" style="255" customWidth="1"/>
    <col min="1304" max="1304" width="7.875" style="255" customWidth="1"/>
    <col min="1305" max="1305" width="7.25" style="255" customWidth="1"/>
    <col min="1306" max="1306" width="9.125" style="255" customWidth="1"/>
    <col min="1307" max="1307" width="15.125" style="255" customWidth="1"/>
    <col min="1308" max="1308" width="7.75" style="255" customWidth="1"/>
    <col min="1309" max="1309" width="7.125" style="255" customWidth="1"/>
    <col min="1310" max="1310" width="12.125" style="255" customWidth="1"/>
    <col min="1311" max="1311" width="8.25" style="255" customWidth="1"/>
    <col min="1312" max="1313" width="10.375" style="255" customWidth="1"/>
    <col min="1314" max="1314" width="15.625" style="255" customWidth="1"/>
    <col min="1315" max="1315" width="15.875" style="255" customWidth="1"/>
    <col min="1316" max="1316" width="8.125" style="255" customWidth="1"/>
    <col min="1317" max="1320" width="10.375" style="255" customWidth="1"/>
    <col min="1321" max="1321" width="7.25" style="255" customWidth="1"/>
    <col min="1322" max="1322" width="7.125" style="255" customWidth="1"/>
    <col min="1323" max="1323" width="9.5" style="255" customWidth="1"/>
    <col min="1324" max="1325" width="9" style="255" customWidth="1"/>
    <col min="1326" max="1326" width="16.125" style="255" customWidth="1"/>
    <col min="1327" max="1357" width="9" style="255" customWidth="1"/>
    <col min="1358" max="1517" width="25.25" style="255"/>
    <col min="1518" max="1547" width="9" style="255" customWidth="1"/>
    <col min="1548" max="1548" width="0.5" style="255" customWidth="1"/>
    <col min="1549" max="1549" width="25.25" style="255"/>
    <col min="1550" max="1550" width="0.5" style="255" customWidth="1"/>
    <col min="1551" max="1551" width="25.25" style="255"/>
    <col min="1552" max="1552" width="14.75" style="255" customWidth="1"/>
    <col min="1553" max="1553" width="11.5" style="255" customWidth="1"/>
    <col min="1554" max="1554" width="11.25" style="255" customWidth="1"/>
    <col min="1555" max="1555" width="10.75" style="255" customWidth="1"/>
    <col min="1556" max="1556" width="10" style="255" customWidth="1"/>
    <col min="1557" max="1557" width="9.875" style="255" customWidth="1"/>
    <col min="1558" max="1558" width="26.125" style="255" customWidth="1"/>
    <col min="1559" max="1559" width="11.125" style="255" customWidth="1"/>
    <col min="1560" max="1560" width="7.875" style="255" customWidth="1"/>
    <col min="1561" max="1561" width="7.25" style="255" customWidth="1"/>
    <col min="1562" max="1562" width="9.125" style="255" customWidth="1"/>
    <col min="1563" max="1563" width="15.125" style="255" customWidth="1"/>
    <col min="1564" max="1564" width="7.75" style="255" customWidth="1"/>
    <col min="1565" max="1565" width="7.125" style="255" customWidth="1"/>
    <col min="1566" max="1566" width="12.125" style="255" customWidth="1"/>
    <col min="1567" max="1567" width="8.25" style="255" customWidth="1"/>
    <col min="1568" max="1569" width="10.375" style="255" customWidth="1"/>
    <col min="1570" max="1570" width="15.625" style="255" customWidth="1"/>
    <col min="1571" max="1571" width="15.875" style="255" customWidth="1"/>
    <col min="1572" max="1572" width="8.125" style="255" customWidth="1"/>
    <col min="1573" max="1576" width="10.375" style="255" customWidth="1"/>
    <col min="1577" max="1577" width="7.25" style="255" customWidth="1"/>
    <col min="1578" max="1578" width="7.125" style="255" customWidth="1"/>
    <col min="1579" max="1579" width="9.5" style="255" customWidth="1"/>
    <col min="1580" max="1581" width="9" style="255" customWidth="1"/>
    <col min="1582" max="1582" width="16.125" style="255" customWidth="1"/>
    <col min="1583" max="1613" width="9" style="255" customWidth="1"/>
    <col min="1614" max="1773" width="25.25" style="255"/>
    <col min="1774" max="1803" width="9" style="255" customWidth="1"/>
    <col min="1804" max="1804" width="0.5" style="255" customWidth="1"/>
    <col min="1805" max="1805" width="25.25" style="255"/>
    <col min="1806" max="1806" width="0.5" style="255" customWidth="1"/>
    <col min="1807" max="1807" width="25.25" style="255"/>
    <col min="1808" max="1808" width="14.75" style="255" customWidth="1"/>
    <col min="1809" max="1809" width="11.5" style="255" customWidth="1"/>
    <col min="1810" max="1810" width="11.25" style="255" customWidth="1"/>
    <col min="1811" max="1811" width="10.75" style="255" customWidth="1"/>
    <col min="1812" max="1812" width="10" style="255" customWidth="1"/>
    <col min="1813" max="1813" width="9.875" style="255" customWidth="1"/>
    <col min="1814" max="1814" width="26.125" style="255" customWidth="1"/>
    <col min="1815" max="1815" width="11.125" style="255" customWidth="1"/>
    <col min="1816" max="1816" width="7.875" style="255" customWidth="1"/>
    <col min="1817" max="1817" width="7.25" style="255" customWidth="1"/>
    <col min="1818" max="1818" width="9.125" style="255" customWidth="1"/>
    <col min="1819" max="1819" width="15.125" style="255" customWidth="1"/>
    <col min="1820" max="1820" width="7.75" style="255" customWidth="1"/>
    <col min="1821" max="1821" width="7.125" style="255" customWidth="1"/>
    <col min="1822" max="1822" width="12.125" style="255" customWidth="1"/>
    <col min="1823" max="1823" width="8.25" style="255" customWidth="1"/>
    <col min="1824" max="1825" width="10.375" style="255" customWidth="1"/>
    <col min="1826" max="1826" width="15.625" style="255" customWidth="1"/>
    <col min="1827" max="1827" width="15.875" style="255" customWidth="1"/>
    <col min="1828" max="1828" width="8.125" style="255" customWidth="1"/>
    <col min="1829" max="1832" width="10.375" style="255" customWidth="1"/>
    <col min="1833" max="1833" width="7.25" style="255" customWidth="1"/>
    <col min="1834" max="1834" width="7.125" style="255" customWidth="1"/>
    <col min="1835" max="1835" width="9.5" style="255" customWidth="1"/>
    <col min="1836" max="1837" width="9" style="255" customWidth="1"/>
    <col min="1838" max="1838" width="16.125" style="255" customWidth="1"/>
    <col min="1839" max="1869" width="9" style="255" customWidth="1"/>
    <col min="1870" max="2029" width="25.25" style="255"/>
    <col min="2030" max="2059" width="9" style="255" customWidth="1"/>
    <col min="2060" max="2060" width="0.5" style="255" customWidth="1"/>
    <col min="2061" max="2061" width="25.25" style="255"/>
    <col min="2062" max="2062" width="0.5" style="255" customWidth="1"/>
    <col min="2063" max="2063" width="25.25" style="255"/>
    <col min="2064" max="2064" width="14.75" style="255" customWidth="1"/>
    <col min="2065" max="2065" width="11.5" style="255" customWidth="1"/>
    <col min="2066" max="2066" width="11.25" style="255" customWidth="1"/>
    <col min="2067" max="2067" width="10.75" style="255" customWidth="1"/>
    <col min="2068" max="2068" width="10" style="255" customWidth="1"/>
    <col min="2069" max="2069" width="9.875" style="255" customWidth="1"/>
    <col min="2070" max="2070" width="26.125" style="255" customWidth="1"/>
    <col min="2071" max="2071" width="11.125" style="255" customWidth="1"/>
    <col min="2072" max="2072" width="7.875" style="255" customWidth="1"/>
    <col min="2073" max="2073" width="7.25" style="255" customWidth="1"/>
    <col min="2074" max="2074" width="9.125" style="255" customWidth="1"/>
    <col min="2075" max="2075" width="15.125" style="255" customWidth="1"/>
    <col min="2076" max="2076" width="7.75" style="255" customWidth="1"/>
    <col min="2077" max="2077" width="7.125" style="255" customWidth="1"/>
    <col min="2078" max="2078" width="12.125" style="255" customWidth="1"/>
    <col min="2079" max="2079" width="8.25" style="255" customWidth="1"/>
    <col min="2080" max="2081" width="10.375" style="255" customWidth="1"/>
    <col min="2082" max="2082" width="15.625" style="255" customWidth="1"/>
    <col min="2083" max="2083" width="15.875" style="255" customWidth="1"/>
    <col min="2084" max="2084" width="8.125" style="255" customWidth="1"/>
    <col min="2085" max="2088" width="10.375" style="255" customWidth="1"/>
    <col min="2089" max="2089" width="7.25" style="255" customWidth="1"/>
    <col min="2090" max="2090" width="7.125" style="255" customWidth="1"/>
    <col min="2091" max="2091" width="9.5" style="255" customWidth="1"/>
    <col min="2092" max="2093" width="9" style="255" customWidth="1"/>
    <col min="2094" max="2094" width="16.125" style="255" customWidth="1"/>
    <col min="2095" max="2125" width="9" style="255" customWidth="1"/>
    <col min="2126" max="2285" width="25.25" style="255"/>
    <col min="2286" max="2315" width="9" style="255" customWidth="1"/>
    <col min="2316" max="2316" width="0.5" style="255" customWidth="1"/>
    <col min="2317" max="2317" width="25.25" style="255"/>
    <col min="2318" max="2318" width="0.5" style="255" customWidth="1"/>
    <col min="2319" max="2319" width="25.25" style="255"/>
    <col min="2320" max="2320" width="14.75" style="255" customWidth="1"/>
    <col min="2321" max="2321" width="11.5" style="255" customWidth="1"/>
    <col min="2322" max="2322" width="11.25" style="255" customWidth="1"/>
    <col min="2323" max="2323" width="10.75" style="255" customWidth="1"/>
    <col min="2324" max="2324" width="10" style="255" customWidth="1"/>
    <col min="2325" max="2325" width="9.875" style="255" customWidth="1"/>
    <col min="2326" max="2326" width="26.125" style="255" customWidth="1"/>
    <col min="2327" max="2327" width="11.125" style="255" customWidth="1"/>
    <col min="2328" max="2328" width="7.875" style="255" customWidth="1"/>
    <col min="2329" max="2329" width="7.25" style="255" customWidth="1"/>
    <col min="2330" max="2330" width="9.125" style="255" customWidth="1"/>
    <col min="2331" max="2331" width="15.125" style="255" customWidth="1"/>
    <col min="2332" max="2332" width="7.75" style="255" customWidth="1"/>
    <col min="2333" max="2333" width="7.125" style="255" customWidth="1"/>
    <col min="2334" max="2334" width="12.125" style="255" customWidth="1"/>
    <col min="2335" max="2335" width="8.25" style="255" customWidth="1"/>
    <col min="2336" max="2337" width="10.375" style="255" customWidth="1"/>
    <col min="2338" max="2338" width="15.625" style="255" customWidth="1"/>
    <col min="2339" max="2339" width="15.875" style="255" customWidth="1"/>
    <col min="2340" max="2340" width="8.125" style="255" customWidth="1"/>
    <col min="2341" max="2344" width="10.375" style="255" customWidth="1"/>
    <col min="2345" max="2345" width="7.25" style="255" customWidth="1"/>
    <col min="2346" max="2346" width="7.125" style="255" customWidth="1"/>
    <col min="2347" max="2347" width="9.5" style="255" customWidth="1"/>
    <col min="2348" max="2349" width="9" style="255" customWidth="1"/>
    <col min="2350" max="2350" width="16.125" style="255" customWidth="1"/>
    <col min="2351" max="2381" width="9" style="255" customWidth="1"/>
    <col min="2382" max="2541" width="25.25" style="255"/>
    <col min="2542" max="2571" width="9" style="255" customWidth="1"/>
    <col min="2572" max="2572" width="0.5" style="255" customWidth="1"/>
    <col min="2573" max="2573" width="25.25" style="255"/>
    <col min="2574" max="2574" width="0.5" style="255" customWidth="1"/>
    <col min="2575" max="2575" width="25.25" style="255"/>
    <col min="2576" max="2576" width="14.75" style="255" customWidth="1"/>
    <col min="2577" max="2577" width="11.5" style="255" customWidth="1"/>
    <col min="2578" max="2578" width="11.25" style="255" customWidth="1"/>
    <col min="2579" max="2579" width="10.75" style="255" customWidth="1"/>
    <col min="2580" max="2580" width="10" style="255" customWidth="1"/>
    <col min="2581" max="2581" width="9.875" style="255" customWidth="1"/>
    <col min="2582" max="2582" width="26.125" style="255" customWidth="1"/>
    <col min="2583" max="2583" width="11.125" style="255" customWidth="1"/>
    <col min="2584" max="2584" width="7.875" style="255" customWidth="1"/>
    <col min="2585" max="2585" width="7.25" style="255" customWidth="1"/>
    <col min="2586" max="2586" width="9.125" style="255" customWidth="1"/>
    <col min="2587" max="2587" width="15.125" style="255" customWidth="1"/>
    <col min="2588" max="2588" width="7.75" style="255" customWidth="1"/>
    <col min="2589" max="2589" width="7.125" style="255" customWidth="1"/>
    <col min="2590" max="2590" width="12.125" style="255" customWidth="1"/>
    <col min="2591" max="2591" width="8.25" style="255" customWidth="1"/>
    <col min="2592" max="2593" width="10.375" style="255" customWidth="1"/>
    <col min="2594" max="2594" width="15.625" style="255" customWidth="1"/>
    <col min="2595" max="2595" width="15.875" style="255" customWidth="1"/>
    <col min="2596" max="2596" width="8.125" style="255" customWidth="1"/>
    <col min="2597" max="2600" width="10.375" style="255" customWidth="1"/>
    <col min="2601" max="2601" width="7.25" style="255" customWidth="1"/>
    <col min="2602" max="2602" width="7.125" style="255" customWidth="1"/>
    <col min="2603" max="2603" width="9.5" style="255" customWidth="1"/>
    <col min="2604" max="2605" width="9" style="255" customWidth="1"/>
    <col min="2606" max="2606" width="16.125" style="255" customWidth="1"/>
    <col min="2607" max="2637" width="9" style="255" customWidth="1"/>
    <col min="2638" max="2797" width="25.25" style="255"/>
    <col min="2798" max="2827" width="9" style="255" customWidth="1"/>
    <col min="2828" max="2828" width="0.5" style="255" customWidth="1"/>
    <col min="2829" max="2829" width="25.25" style="255"/>
    <col min="2830" max="2830" width="0.5" style="255" customWidth="1"/>
    <col min="2831" max="2831" width="25.25" style="255"/>
    <col min="2832" max="2832" width="14.75" style="255" customWidth="1"/>
    <col min="2833" max="2833" width="11.5" style="255" customWidth="1"/>
    <col min="2834" max="2834" width="11.25" style="255" customWidth="1"/>
    <col min="2835" max="2835" width="10.75" style="255" customWidth="1"/>
    <col min="2836" max="2836" width="10" style="255" customWidth="1"/>
    <col min="2837" max="2837" width="9.875" style="255" customWidth="1"/>
    <col min="2838" max="2838" width="26.125" style="255" customWidth="1"/>
    <col min="2839" max="2839" width="11.125" style="255" customWidth="1"/>
    <col min="2840" max="2840" width="7.875" style="255" customWidth="1"/>
    <col min="2841" max="2841" width="7.25" style="255" customWidth="1"/>
    <col min="2842" max="2842" width="9.125" style="255" customWidth="1"/>
    <col min="2843" max="2843" width="15.125" style="255" customWidth="1"/>
    <col min="2844" max="2844" width="7.75" style="255" customWidth="1"/>
    <col min="2845" max="2845" width="7.125" style="255" customWidth="1"/>
    <col min="2846" max="2846" width="12.125" style="255" customWidth="1"/>
    <col min="2847" max="2847" width="8.25" style="255" customWidth="1"/>
    <col min="2848" max="2849" width="10.375" style="255" customWidth="1"/>
    <col min="2850" max="2850" width="15.625" style="255" customWidth="1"/>
    <col min="2851" max="2851" width="15.875" style="255" customWidth="1"/>
    <col min="2852" max="2852" width="8.125" style="255" customWidth="1"/>
    <col min="2853" max="2856" width="10.375" style="255" customWidth="1"/>
    <col min="2857" max="2857" width="7.25" style="255" customWidth="1"/>
    <col min="2858" max="2858" width="7.125" style="255" customWidth="1"/>
    <col min="2859" max="2859" width="9.5" style="255" customWidth="1"/>
    <col min="2860" max="2861" width="9" style="255" customWidth="1"/>
    <col min="2862" max="2862" width="16.125" style="255" customWidth="1"/>
    <col min="2863" max="2893" width="9" style="255" customWidth="1"/>
    <col min="2894" max="3053" width="25.25" style="255"/>
    <col min="3054" max="3083" width="9" style="255" customWidth="1"/>
    <col min="3084" max="3084" width="0.5" style="255" customWidth="1"/>
    <col min="3085" max="3085" width="25.25" style="255"/>
    <col min="3086" max="3086" width="0.5" style="255" customWidth="1"/>
    <col min="3087" max="3087" width="25.25" style="255"/>
    <col min="3088" max="3088" width="14.75" style="255" customWidth="1"/>
    <col min="3089" max="3089" width="11.5" style="255" customWidth="1"/>
    <col min="3090" max="3090" width="11.25" style="255" customWidth="1"/>
    <col min="3091" max="3091" width="10.75" style="255" customWidth="1"/>
    <col min="3092" max="3092" width="10" style="255" customWidth="1"/>
    <col min="3093" max="3093" width="9.875" style="255" customWidth="1"/>
    <col min="3094" max="3094" width="26.125" style="255" customWidth="1"/>
    <col min="3095" max="3095" width="11.125" style="255" customWidth="1"/>
    <col min="3096" max="3096" width="7.875" style="255" customWidth="1"/>
    <col min="3097" max="3097" width="7.25" style="255" customWidth="1"/>
    <col min="3098" max="3098" width="9.125" style="255" customWidth="1"/>
    <col min="3099" max="3099" width="15.125" style="255" customWidth="1"/>
    <col min="3100" max="3100" width="7.75" style="255" customWidth="1"/>
    <col min="3101" max="3101" width="7.125" style="255" customWidth="1"/>
    <col min="3102" max="3102" width="12.125" style="255" customWidth="1"/>
    <col min="3103" max="3103" width="8.25" style="255" customWidth="1"/>
    <col min="3104" max="3105" width="10.375" style="255" customWidth="1"/>
    <col min="3106" max="3106" width="15.625" style="255" customWidth="1"/>
    <col min="3107" max="3107" width="15.875" style="255" customWidth="1"/>
    <col min="3108" max="3108" width="8.125" style="255" customWidth="1"/>
    <col min="3109" max="3112" width="10.375" style="255" customWidth="1"/>
    <col min="3113" max="3113" width="7.25" style="255" customWidth="1"/>
    <col min="3114" max="3114" width="7.125" style="255" customWidth="1"/>
    <col min="3115" max="3115" width="9.5" style="255" customWidth="1"/>
    <col min="3116" max="3117" width="9" style="255" customWidth="1"/>
    <col min="3118" max="3118" width="16.125" style="255" customWidth="1"/>
    <col min="3119" max="3149" width="9" style="255" customWidth="1"/>
    <col min="3150" max="3309" width="25.25" style="255"/>
    <col min="3310" max="3339" width="9" style="255" customWidth="1"/>
    <col min="3340" max="3340" width="0.5" style="255" customWidth="1"/>
    <col min="3341" max="3341" width="25.25" style="255"/>
    <col min="3342" max="3342" width="0.5" style="255" customWidth="1"/>
    <col min="3343" max="3343" width="25.25" style="255"/>
    <col min="3344" max="3344" width="14.75" style="255" customWidth="1"/>
    <col min="3345" max="3345" width="11.5" style="255" customWidth="1"/>
    <col min="3346" max="3346" width="11.25" style="255" customWidth="1"/>
    <col min="3347" max="3347" width="10.75" style="255" customWidth="1"/>
    <col min="3348" max="3348" width="10" style="255" customWidth="1"/>
    <col min="3349" max="3349" width="9.875" style="255" customWidth="1"/>
    <col min="3350" max="3350" width="26.125" style="255" customWidth="1"/>
    <col min="3351" max="3351" width="11.125" style="255" customWidth="1"/>
    <col min="3352" max="3352" width="7.875" style="255" customWidth="1"/>
    <col min="3353" max="3353" width="7.25" style="255" customWidth="1"/>
    <col min="3354" max="3354" width="9.125" style="255" customWidth="1"/>
    <col min="3355" max="3355" width="15.125" style="255" customWidth="1"/>
    <col min="3356" max="3356" width="7.75" style="255" customWidth="1"/>
    <col min="3357" max="3357" width="7.125" style="255" customWidth="1"/>
    <col min="3358" max="3358" width="12.125" style="255" customWidth="1"/>
    <col min="3359" max="3359" width="8.25" style="255" customWidth="1"/>
    <col min="3360" max="3361" width="10.375" style="255" customWidth="1"/>
    <col min="3362" max="3362" width="15.625" style="255" customWidth="1"/>
    <col min="3363" max="3363" width="15.875" style="255" customWidth="1"/>
    <col min="3364" max="3364" width="8.125" style="255" customWidth="1"/>
    <col min="3365" max="3368" width="10.375" style="255" customWidth="1"/>
    <col min="3369" max="3369" width="7.25" style="255" customWidth="1"/>
    <col min="3370" max="3370" width="7.125" style="255" customWidth="1"/>
    <col min="3371" max="3371" width="9.5" style="255" customWidth="1"/>
    <col min="3372" max="3373" width="9" style="255" customWidth="1"/>
    <col min="3374" max="3374" width="16.125" style="255" customWidth="1"/>
    <col min="3375" max="3405" width="9" style="255" customWidth="1"/>
    <col min="3406" max="3565" width="25.25" style="255"/>
    <col min="3566" max="3595" width="9" style="255" customWidth="1"/>
    <col min="3596" max="3596" width="0.5" style="255" customWidth="1"/>
    <col min="3597" max="3597" width="25.25" style="255"/>
    <col min="3598" max="3598" width="0.5" style="255" customWidth="1"/>
    <col min="3599" max="3599" width="25.25" style="255"/>
    <col min="3600" max="3600" width="14.75" style="255" customWidth="1"/>
    <col min="3601" max="3601" width="11.5" style="255" customWidth="1"/>
    <col min="3602" max="3602" width="11.25" style="255" customWidth="1"/>
    <col min="3603" max="3603" width="10.75" style="255" customWidth="1"/>
    <col min="3604" max="3604" width="10" style="255" customWidth="1"/>
    <col min="3605" max="3605" width="9.875" style="255" customWidth="1"/>
    <col min="3606" max="3606" width="26.125" style="255" customWidth="1"/>
    <col min="3607" max="3607" width="11.125" style="255" customWidth="1"/>
    <col min="3608" max="3608" width="7.875" style="255" customWidth="1"/>
    <col min="3609" max="3609" width="7.25" style="255" customWidth="1"/>
    <col min="3610" max="3610" width="9.125" style="255" customWidth="1"/>
    <col min="3611" max="3611" width="15.125" style="255" customWidth="1"/>
    <col min="3612" max="3612" width="7.75" style="255" customWidth="1"/>
    <col min="3613" max="3613" width="7.125" style="255" customWidth="1"/>
    <col min="3614" max="3614" width="12.125" style="255" customWidth="1"/>
    <col min="3615" max="3615" width="8.25" style="255" customWidth="1"/>
    <col min="3616" max="3617" width="10.375" style="255" customWidth="1"/>
    <col min="3618" max="3618" width="15.625" style="255" customWidth="1"/>
    <col min="3619" max="3619" width="15.875" style="255" customWidth="1"/>
    <col min="3620" max="3620" width="8.125" style="255" customWidth="1"/>
    <col min="3621" max="3624" width="10.375" style="255" customWidth="1"/>
    <col min="3625" max="3625" width="7.25" style="255" customWidth="1"/>
    <col min="3626" max="3626" width="7.125" style="255" customWidth="1"/>
    <col min="3627" max="3627" width="9.5" style="255" customWidth="1"/>
    <col min="3628" max="3629" width="9" style="255" customWidth="1"/>
    <col min="3630" max="3630" width="16.125" style="255" customWidth="1"/>
    <col min="3631" max="3661" width="9" style="255" customWidth="1"/>
    <col min="3662" max="3821" width="25.25" style="255"/>
    <col min="3822" max="3851" width="9" style="255" customWidth="1"/>
    <col min="3852" max="3852" width="0.5" style="255" customWidth="1"/>
    <col min="3853" max="3853" width="25.25" style="255"/>
    <col min="3854" max="3854" width="0.5" style="255" customWidth="1"/>
    <col min="3855" max="3855" width="25.25" style="255"/>
    <col min="3856" max="3856" width="14.75" style="255" customWidth="1"/>
    <col min="3857" max="3857" width="11.5" style="255" customWidth="1"/>
    <col min="3858" max="3858" width="11.25" style="255" customWidth="1"/>
    <col min="3859" max="3859" width="10.75" style="255" customWidth="1"/>
    <col min="3860" max="3860" width="10" style="255" customWidth="1"/>
    <col min="3861" max="3861" width="9.875" style="255" customWidth="1"/>
    <col min="3862" max="3862" width="26.125" style="255" customWidth="1"/>
    <col min="3863" max="3863" width="11.125" style="255" customWidth="1"/>
    <col min="3864" max="3864" width="7.875" style="255" customWidth="1"/>
    <col min="3865" max="3865" width="7.25" style="255" customWidth="1"/>
    <col min="3866" max="3866" width="9.125" style="255" customWidth="1"/>
    <col min="3867" max="3867" width="15.125" style="255" customWidth="1"/>
    <col min="3868" max="3868" width="7.75" style="255" customWidth="1"/>
    <col min="3869" max="3869" width="7.125" style="255" customWidth="1"/>
    <col min="3870" max="3870" width="12.125" style="255" customWidth="1"/>
    <col min="3871" max="3871" width="8.25" style="255" customWidth="1"/>
    <col min="3872" max="3873" width="10.375" style="255" customWidth="1"/>
    <col min="3874" max="3874" width="15.625" style="255" customWidth="1"/>
    <col min="3875" max="3875" width="15.875" style="255" customWidth="1"/>
    <col min="3876" max="3876" width="8.125" style="255" customWidth="1"/>
    <col min="3877" max="3880" width="10.375" style="255" customWidth="1"/>
    <col min="3881" max="3881" width="7.25" style="255" customWidth="1"/>
    <col min="3882" max="3882" width="7.125" style="255" customWidth="1"/>
    <col min="3883" max="3883" width="9.5" style="255" customWidth="1"/>
    <col min="3884" max="3885" width="9" style="255" customWidth="1"/>
    <col min="3886" max="3886" width="16.125" style="255" customWidth="1"/>
    <col min="3887" max="3917" width="9" style="255" customWidth="1"/>
    <col min="3918" max="4077" width="25.25" style="255"/>
    <col min="4078" max="4107" width="9" style="255" customWidth="1"/>
    <col min="4108" max="4108" width="0.5" style="255" customWidth="1"/>
    <col min="4109" max="4109" width="25.25" style="255"/>
    <col min="4110" max="4110" width="0.5" style="255" customWidth="1"/>
    <col min="4111" max="4111" width="25.25" style="255"/>
    <col min="4112" max="4112" width="14.75" style="255" customWidth="1"/>
    <col min="4113" max="4113" width="11.5" style="255" customWidth="1"/>
    <col min="4114" max="4114" width="11.25" style="255" customWidth="1"/>
    <col min="4115" max="4115" width="10.75" style="255" customWidth="1"/>
    <col min="4116" max="4116" width="10" style="255" customWidth="1"/>
    <col min="4117" max="4117" width="9.875" style="255" customWidth="1"/>
    <col min="4118" max="4118" width="26.125" style="255" customWidth="1"/>
    <col min="4119" max="4119" width="11.125" style="255" customWidth="1"/>
    <col min="4120" max="4120" width="7.875" style="255" customWidth="1"/>
    <col min="4121" max="4121" width="7.25" style="255" customWidth="1"/>
    <col min="4122" max="4122" width="9.125" style="255" customWidth="1"/>
    <col min="4123" max="4123" width="15.125" style="255" customWidth="1"/>
    <col min="4124" max="4124" width="7.75" style="255" customWidth="1"/>
    <col min="4125" max="4125" width="7.125" style="255" customWidth="1"/>
    <col min="4126" max="4126" width="12.125" style="255" customWidth="1"/>
    <col min="4127" max="4127" width="8.25" style="255" customWidth="1"/>
    <col min="4128" max="4129" width="10.375" style="255" customWidth="1"/>
    <col min="4130" max="4130" width="15.625" style="255" customWidth="1"/>
    <col min="4131" max="4131" width="15.875" style="255" customWidth="1"/>
    <col min="4132" max="4132" width="8.125" style="255" customWidth="1"/>
    <col min="4133" max="4136" width="10.375" style="255" customWidth="1"/>
    <col min="4137" max="4137" width="7.25" style="255" customWidth="1"/>
    <col min="4138" max="4138" width="7.125" style="255" customWidth="1"/>
    <col min="4139" max="4139" width="9.5" style="255" customWidth="1"/>
    <col min="4140" max="4141" width="9" style="255" customWidth="1"/>
    <col min="4142" max="4142" width="16.125" style="255" customWidth="1"/>
    <col min="4143" max="4173" width="9" style="255" customWidth="1"/>
    <col min="4174" max="4333" width="25.25" style="255"/>
    <col min="4334" max="4363" width="9" style="255" customWidth="1"/>
    <col min="4364" max="4364" width="0.5" style="255" customWidth="1"/>
    <col min="4365" max="4365" width="25.25" style="255"/>
    <col min="4366" max="4366" width="0.5" style="255" customWidth="1"/>
    <col min="4367" max="4367" width="25.25" style="255"/>
    <col min="4368" max="4368" width="14.75" style="255" customWidth="1"/>
    <col min="4369" max="4369" width="11.5" style="255" customWidth="1"/>
    <col min="4370" max="4370" width="11.25" style="255" customWidth="1"/>
    <col min="4371" max="4371" width="10.75" style="255" customWidth="1"/>
    <col min="4372" max="4372" width="10" style="255" customWidth="1"/>
    <col min="4373" max="4373" width="9.875" style="255" customWidth="1"/>
    <col min="4374" max="4374" width="26.125" style="255" customWidth="1"/>
    <col min="4375" max="4375" width="11.125" style="255" customWidth="1"/>
    <col min="4376" max="4376" width="7.875" style="255" customWidth="1"/>
    <col min="4377" max="4377" width="7.25" style="255" customWidth="1"/>
    <col min="4378" max="4378" width="9.125" style="255" customWidth="1"/>
    <col min="4379" max="4379" width="15.125" style="255" customWidth="1"/>
    <col min="4380" max="4380" width="7.75" style="255" customWidth="1"/>
    <col min="4381" max="4381" width="7.125" style="255" customWidth="1"/>
    <col min="4382" max="4382" width="12.125" style="255" customWidth="1"/>
    <col min="4383" max="4383" width="8.25" style="255" customWidth="1"/>
    <col min="4384" max="4385" width="10.375" style="255" customWidth="1"/>
    <col min="4386" max="4386" width="15.625" style="255" customWidth="1"/>
    <col min="4387" max="4387" width="15.875" style="255" customWidth="1"/>
    <col min="4388" max="4388" width="8.125" style="255" customWidth="1"/>
    <col min="4389" max="4392" width="10.375" style="255" customWidth="1"/>
    <col min="4393" max="4393" width="7.25" style="255" customWidth="1"/>
    <col min="4394" max="4394" width="7.125" style="255" customWidth="1"/>
    <col min="4395" max="4395" width="9.5" style="255" customWidth="1"/>
    <col min="4396" max="4397" width="9" style="255" customWidth="1"/>
    <col min="4398" max="4398" width="16.125" style="255" customWidth="1"/>
    <col min="4399" max="4429" width="9" style="255" customWidth="1"/>
    <col min="4430" max="4589" width="25.25" style="255"/>
    <col min="4590" max="4619" width="9" style="255" customWidth="1"/>
    <col min="4620" max="4620" width="0.5" style="255" customWidth="1"/>
    <col min="4621" max="4621" width="25.25" style="255"/>
    <col min="4622" max="4622" width="0.5" style="255" customWidth="1"/>
    <col min="4623" max="4623" width="25.25" style="255"/>
    <col min="4624" max="4624" width="14.75" style="255" customWidth="1"/>
    <col min="4625" max="4625" width="11.5" style="255" customWidth="1"/>
    <col min="4626" max="4626" width="11.25" style="255" customWidth="1"/>
    <col min="4627" max="4627" width="10.75" style="255" customWidth="1"/>
    <col min="4628" max="4628" width="10" style="255" customWidth="1"/>
    <col min="4629" max="4629" width="9.875" style="255" customWidth="1"/>
    <col min="4630" max="4630" width="26.125" style="255" customWidth="1"/>
    <col min="4631" max="4631" width="11.125" style="255" customWidth="1"/>
    <col min="4632" max="4632" width="7.875" style="255" customWidth="1"/>
    <col min="4633" max="4633" width="7.25" style="255" customWidth="1"/>
    <col min="4634" max="4634" width="9.125" style="255" customWidth="1"/>
    <col min="4635" max="4635" width="15.125" style="255" customWidth="1"/>
    <col min="4636" max="4636" width="7.75" style="255" customWidth="1"/>
    <col min="4637" max="4637" width="7.125" style="255" customWidth="1"/>
    <col min="4638" max="4638" width="12.125" style="255" customWidth="1"/>
    <col min="4639" max="4639" width="8.25" style="255" customWidth="1"/>
    <col min="4640" max="4641" width="10.375" style="255" customWidth="1"/>
    <col min="4642" max="4642" width="15.625" style="255" customWidth="1"/>
    <col min="4643" max="4643" width="15.875" style="255" customWidth="1"/>
    <col min="4644" max="4644" width="8.125" style="255" customWidth="1"/>
    <col min="4645" max="4648" width="10.375" style="255" customWidth="1"/>
    <col min="4649" max="4649" width="7.25" style="255" customWidth="1"/>
    <col min="4650" max="4650" width="7.125" style="255" customWidth="1"/>
    <col min="4651" max="4651" width="9.5" style="255" customWidth="1"/>
    <col min="4652" max="4653" width="9" style="255" customWidth="1"/>
    <col min="4654" max="4654" width="16.125" style="255" customWidth="1"/>
    <col min="4655" max="4685" width="9" style="255" customWidth="1"/>
    <col min="4686" max="4845" width="25.25" style="255"/>
    <col min="4846" max="4875" width="9" style="255" customWidth="1"/>
    <col min="4876" max="4876" width="0.5" style="255" customWidth="1"/>
    <col min="4877" max="4877" width="25.25" style="255"/>
    <col min="4878" max="4878" width="0.5" style="255" customWidth="1"/>
    <col min="4879" max="4879" width="25.25" style="255"/>
    <col min="4880" max="4880" width="14.75" style="255" customWidth="1"/>
    <col min="4881" max="4881" width="11.5" style="255" customWidth="1"/>
    <col min="4882" max="4882" width="11.25" style="255" customWidth="1"/>
    <col min="4883" max="4883" width="10.75" style="255" customWidth="1"/>
    <col min="4884" max="4884" width="10" style="255" customWidth="1"/>
    <col min="4885" max="4885" width="9.875" style="255" customWidth="1"/>
    <col min="4886" max="4886" width="26.125" style="255" customWidth="1"/>
    <col min="4887" max="4887" width="11.125" style="255" customWidth="1"/>
    <col min="4888" max="4888" width="7.875" style="255" customWidth="1"/>
    <col min="4889" max="4889" width="7.25" style="255" customWidth="1"/>
    <col min="4890" max="4890" width="9.125" style="255" customWidth="1"/>
    <col min="4891" max="4891" width="15.125" style="255" customWidth="1"/>
    <col min="4892" max="4892" width="7.75" style="255" customWidth="1"/>
    <col min="4893" max="4893" width="7.125" style="255" customWidth="1"/>
    <col min="4894" max="4894" width="12.125" style="255" customWidth="1"/>
    <col min="4895" max="4895" width="8.25" style="255" customWidth="1"/>
    <col min="4896" max="4897" width="10.375" style="255" customWidth="1"/>
    <col min="4898" max="4898" width="15.625" style="255" customWidth="1"/>
    <col min="4899" max="4899" width="15.875" style="255" customWidth="1"/>
    <col min="4900" max="4900" width="8.125" style="255" customWidth="1"/>
    <col min="4901" max="4904" width="10.375" style="255" customWidth="1"/>
    <col min="4905" max="4905" width="7.25" style="255" customWidth="1"/>
    <col min="4906" max="4906" width="7.125" style="255" customWidth="1"/>
    <col min="4907" max="4907" width="9.5" style="255" customWidth="1"/>
    <col min="4908" max="4909" width="9" style="255" customWidth="1"/>
    <col min="4910" max="4910" width="16.125" style="255" customWidth="1"/>
    <col min="4911" max="4941" width="9" style="255" customWidth="1"/>
    <col min="4942" max="5101" width="25.25" style="255"/>
    <col min="5102" max="5131" width="9" style="255" customWidth="1"/>
    <col min="5132" max="5132" width="0.5" style="255" customWidth="1"/>
    <col min="5133" max="5133" width="25.25" style="255"/>
    <col min="5134" max="5134" width="0.5" style="255" customWidth="1"/>
    <col min="5135" max="5135" width="25.25" style="255"/>
    <col min="5136" max="5136" width="14.75" style="255" customWidth="1"/>
    <col min="5137" max="5137" width="11.5" style="255" customWidth="1"/>
    <col min="5138" max="5138" width="11.25" style="255" customWidth="1"/>
    <col min="5139" max="5139" width="10.75" style="255" customWidth="1"/>
    <col min="5140" max="5140" width="10" style="255" customWidth="1"/>
    <col min="5141" max="5141" width="9.875" style="255" customWidth="1"/>
    <col min="5142" max="5142" width="26.125" style="255" customWidth="1"/>
    <col min="5143" max="5143" width="11.125" style="255" customWidth="1"/>
    <col min="5144" max="5144" width="7.875" style="255" customWidth="1"/>
    <col min="5145" max="5145" width="7.25" style="255" customWidth="1"/>
    <col min="5146" max="5146" width="9.125" style="255" customWidth="1"/>
    <col min="5147" max="5147" width="15.125" style="255" customWidth="1"/>
    <col min="5148" max="5148" width="7.75" style="255" customWidth="1"/>
    <col min="5149" max="5149" width="7.125" style="255" customWidth="1"/>
    <col min="5150" max="5150" width="12.125" style="255" customWidth="1"/>
    <col min="5151" max="5151" width="8.25" style="255" customWidth="1"/>
    <col min="5152" max="5153" width="10.375" style="255" customWidth="1"/>
    <col min="5154" max="5154" width="15.625" style="255" customWidth="1"/>
    <col min="5155" max="5155" width="15.875" style="255" customWidth="1"/>
    <col min="5156" max="5156" width="8.125" style="255" customWidth="1"/>
    <col min="5157" max="5160" width="10.375" style="255" customWidth="1"/>
    <col min="5161" max="5161" width="7.25" style="255" customWidth="1"/>
    <col min="5162" max="5162" width="7.125" style="255" customWidth="1"/>
    <col min="5163" max="5163" width="9.5" style="255" customWidth="1"/>
    <col min="5164" max="5165" width="9" style="255" customWidth="1"/>
    <col min="5166" max="5166" width="16.125" style="255" customWidth="1"/>
    <col min="5167" max="5197" width="9" style="255" customWidth="1"/>
    <col min="5198" max="5357" width="25.25" style="255"/>
    <col min="5358" max="5387" width="9" style="255" customWidth="1"/>
    <col min="5388" max="5388" width="0.5" style="255" customWidth="1"/>
    <col min="5389" max="5389" width="25.25" style="255"/>
    <col min="5390" max="5390" width="0.5" style="255" customWidth="1"/>
    <col min="5391" max="5391" width="25.25" style="255"/>
    <col min="5392" max="5392" width="14.75" style="255" customWidth="1"/>
    <col min="5393" max="5393" width="11.5" style="255" customWidth="1"/>
    <col min="5394" max="5394" width="11.25" style="255" customWidth="1"/>
    <col min="5395" max="5395" width="10.75" style="255" customWidth="1"/>
    <col min="5396" max="5396" width="10" style="255" customWidth="1"/>
    <col min="5397" max="5397" width="9.875" style="255" customWidth="1"/>
    <col min="5398" max="5398" width="26.125" style="255" customWidth="1"/>
    <col min="5399" max="5399" width="11.125" style="255" customWidth="1"/>
    <col min="5400" max="5400" width="7.875" style="255" customWidth="1"/>
    <col min="5401" max="5401" width="7.25" style="255" customWidth="1"/>
    <col min="5402" max="5402" width="9.125" style="255" customWidth="1"/>
    <col min="5403" max="5403" width="15.125" style="255" customWidth="1"/>
    <col min="5404" max="5404" width="7.75" style="255" customWidth="1"/>
    <col min="5405" max="5405" width="7.125" style="255" customWidth="1"/>
    <col min="5406" max="5406" width="12.125" style="255" customWidth="1"/>
    <col min="5407" max="5407" width="8.25" style="255" customWidth="1"/>
    <col min="5408" max="5409" width="10.375" style="255" customWidth="1"/>
    <col min="5410" max="5410" width="15.625" style="255" customWidth="1"/>
    <col min="5411" max="5411" width="15.875" style="255" customWidth="1"/>
    <col min="5412" max="5412" width="8.125" style="255" customWidth="1"/>
    <col min="5413" max="5416" width="10.375" style="255" customWidth="1"/>
    <col min="5417" max="5417" width="7.25" style="255" customWidth="1"/>
    <col min="5418" max="5418" width="7.125" style="255" customWidth="1"/>
    <col min="5419" max="5419" width="9.5" style="255" customWidth="1"/>
    <col min="5420" max="5421" width="9" style="255" customWidth="1"/>
    <col min="5422" max="5422" width="16.125" style="255" customWidth="1"/>
    <col min="5423" max="5453" width="9" style="255" customWidth="1"/>
    <col min="5454" max="5613" width="25.25" style="255"/>
    <col min="5614" max="5643" width="9" style="255" customWidth="1"/>
    <col min="5644" max="5644" width="0.5" style="255" customWidth="1"/>
    <col min="5645" max="5645" width="25.25" style="255"/>
    <col min="5646" max="5646" width="0.5" style="255" customWidth="1"/>
    <col min="5647" max="5647" width="25.25" style="255"/>
    <col min="5648" max="5648" width="14.75" style="255" customWidth="1"/>
    <col min="5649" max="5649" width="11.5" style="255" customWidth="1"/>
    <col min="5650" max="5650" width="11.25" style="255" customWidth="1"/>
    <col min="5651" max="5651" width="10.75" style="255" customWidth="1"/>
    <col min="5652" max="5652" width="10" style="255" customWidth="1"/>
    <col min="5653" max="5653" width="9.875" style="255" customWidth="1"/>
    <col min="5654" max="5654" width="26.125" style="255" customWidth="1"/>
    <col min="5655" max="5655" width="11.125" style="255" customWidth="1"/>
    <col min="5656" max="5656" width="7.875" style="255" customWidth="1"/>
    <col min="5657" max="5657" width="7.25" style="255" customWidth="1"/>
    <col min="5658" max="5658" width="9.125" style="255" customWidth="1"/>
    <col min="5659" max="5659" width="15.125" style="255" customWidth="1"/>
    <col min="5660" max="5660" width="7.75" style="255" customWidth="1"/>
    <col min="5661" max="5661" width="7.125" style="255" customWidth="1"/>
    <col min="5662" max="5662" width="12.125" style="255" customWidth="1"/>
    <col min="5663" max="5663" width="8.25" style="255" customWidth="1"/>
    <col min="5664" max="5665" width="10.375" style="255" customWidth="1"/>
    <col min="5666" max="5666" width="15.625" style="255" customWidth="1"/>
    <col min="5667" max="5667" width="15.875" style="255" customWidth="1"/>
    <col min="5668" max="5668" width="8.125" style="255" customWidth="1"/>
    <col min="5669" max="5672" width="10.375" style="255" customWidth="1"/>
    <col min="5673" max="5673" width="7.25" style="255" customWidth="1"/>
    <col min="5674" max="5674" width="7.125" style="255" customWidth="1"/>
    <col min="5675" max="5675" width="9.5" style="255" customWidth="1"/>
    <col min="5676" max="5677" width="9" style="255" customWidth="1"/>
    <col min="5678" max="5678" width="16.125" style="255" customWidth="1"/>
    <col min="5679" max="5709" width="9" style="255" customWidth="1"/>
    <col min="5710" max="5869" width="25.25" style="255"/>
    <col min="5870" max="5899" width="9" style="255" customWidth="1"/>
    <col min="5900" max="5900" width="0.5" style="255" customWidth="1"/>
    <col min="5901" max="5901" width="25.25" style="255"/>
    <col min="5902" max="5902" width="0.5" style="255" customWidth="1"/>
    <col min="5903" max="5903" width="25.25" style="255"/>
    <col min="5904" max="5904" width="14.75" style="255" customWidth="1"/>
    <col min="5905" max="5905" width="11.5" style="255" customWidth="1"/>
    <col min="5906" max="5906" width="11.25" style="255" customWidth="1"/>
    <col min="5907" max="5907" width="10.75" style="255" customWidth="1"/>
    <col min="5908" max="5908" width="10" style="255" customWidth="1"/>
    <col min="5909" max="5909" width="9.875" style="255" customWidth="1"/>
    <col min="5910" max="5910" width="26.125" style="255" customWidth="1"/>
    <col min="5911" max="5911" width="11.125" style="255" customWidth="1"/>
    <col min="5912" max="5912" width="7.875" style="255" customWidth="1"/>
    <col min="5913" max="5913" width="7.25" style="255" customWidth="1"/>
    <col min="5914" max="5914" width="9.125" style="255" customWidth="1"/>
    <col min="5915" max="5915" width="15.125" style="255" customWidth="1"/>
    <col min="5916" max="5916" width="7.75" style="255" customWidth="1"/>
    <col min="5917" max="5917" width="7.125" style="255" customWidth="1"/>
    <col min="5918" max="5918" width="12.125" style="255" customWidth="1"/>
    <col min="5919" max="5919" width="8.25" style="255" customWidth="1"/>
    <col min="5920" max="5921" width="10.375" style="255" customWidth="1"/>
    <col min="5922" max="5922" width="15.625" style="255" customWidth="1"/>
    <col min="5923" max="5923" width="15.875" style="255" customWidth="1"/>
    <col min="5924" max="5924" width="8.125" style="255" customWidth="1"/>
    <col min="5925" max="5928" width="10.375" style="255" customWidth="1"/>
    <col min="5929" max="5929" width="7.25" style="255" customWidth="1"/>
    <col min="5930" max="5930" width="7.125" style="255" customWidth="1"/>
    <col min="5931" max="5931" width="9.5" style="255" customWidth="1"/>
    <col min="5932" max="5933" width="9" style="255" customWidth="1"/>
    <col min="5934" max="5934" width="16.125" style="255" customWidth="1"/>
    <col min="5935" max="5965" width="9" style="255" customWidth="1"/>
    <col min="5966" max="6125" width="25.25" style="255"/>
    <col min="6126" max="6155" width="9" style="255" customWidth="1"/>
    <col min="6156" max="6156" width="0.5" style="255" customWidth="1"/>
    <col min="6157" max="6157" width="25.25" style="255"/>
    <col min="6158" max="6158" width="0.5" style="255" customWidth="1"/>
    <col min="6159" max="6159" width="25.25" style="255"/>
    <col min="6160" max="6160" width="14.75" style="255" customWidth="1"/>
    <col min="6161" max="6161" width="11.5" style="255" customWidth="1"/>
    <col min="6162" max="6162" width="11.25" style="255" customWidth="1"/>
    <col min="6163" max="6163" width="10.75" style="255" customWidth="1"/>
    <col min="6164" max="6164" width="10" style="255" customWidth="1"/>
    <col min="6165" max="6165" width="9.875" style="255" customWidth="1"/>
    <col min="6166" max="6166" width="26.125" style="255" customWidth="1"/>
    <col min="6167" max="6167" width="11.125" style="255" customWidth="1"/>
    <col min="6168" max="6168" width="7.875" style="255" customWidth="1"/>
    <col min="6169" max="6169" width="7.25" style="255" customWidth="1"/>
    <col min="6170" max="6170" width="9.125" style="255" customWidth="1"/>
    <col min="6171" max="6171" width="15.125" style="255" customWidth="1"/>
    <col min="6172" max="6172" width="7.75" style="255" customWidth="1"/>
    <col min="6173" max="6173" width="7.125" style="255" customWidth="1"/>
    <col min="6174" max="6174" width="12.125" style="255" customWidth="1"/>
    <col min="6175" max="6175" width="8.25" style="255" customWidth="1"/>
    <col min="6176" max="6177" width="10.375" style="255" customWidth="1"/>
    <col min="6178" max="6178" width="15.625" style="255" customWidth="1"/>
    <col min="6179" max="6179" width="15.875" style="255" customWidth="1"/>
    <col min="6180" max="6180" width="8.125" style="255" customWidth="1"/>
    <col min="6181" max="6184" width="10.375" style="255" customWidth="1"/>
    <col min="6185" max="6185" width="7.25" style="255" customWidth="1"/>
    <col min="6186" max="6186" width="7.125" style="255" customWidth="1"/>
    <col min="6187" max="6187" width="9.5" style="255" customWidth="1"/>
    <col min="6188" max="6189" width="9" style="255" customWidth="1"/>
    <col min="6190" max="6190" width="16.125" style="255" customWidth="1"/>
    <col min="6191" max="6221" width="9" style="255" customWidth="1"/>
    <col min="6222" max="6381" width="25.25" style="255"/>
    <col min="6382" max="6411" width="9" style="255" customWidth="1"/>
    <col min="6412" max="6412" width="0.5" style="255" customWidth="1"/>
    <col min="6413" max="6413" width="25.25" style="255"/>
    <col min="6414" max="6414" width="0.5" style="255" customWidth="1"/>
    <col min="6415" max="6415" width="25.25" style="255"/>
    <col min="6416" max="6416" width="14.75" style="255" customWidth="1"/>
    <col min="6417" max="6417" width="11.5" style="255" customWidth="1"/>
    <col min="6418" max="6418" width="11.25" style="255" customWidth="1"/>
    <col min="6419" max="6419" width="10.75" style="255" customWidth="1"/>
    <col min="6420" max="6420" width="10" style="255" customWidth="1"/>
    <col min="6421" max="6421" width="9.875" style="255" customWidth="1"/>
    <col min="6422" max="6422" width="26.125" style="255" customWidth="1"/>
    <col min="6423" max="6423" width="11.125" style="255" customWidth="1"/>
    <col min="6424" max="6424" width="7.875" style="255" customWidth="1"/>
    <col min="6425" max="6425" width="7.25" style="255" customWidth="1"/>
    <col min="6426" max="6426" width="9.125" style="255" customWidth="1"/>
    <col min="6427" max="6427" width="15.125" style="255" customWidth="1"/>
    <col min="6428" max="6428" width="7.75" style="255" customWidth="1"/>
    <col min="6429" max="6429" width="7.125" style="255" customWidth="1"/>
    <col min="6430" max="6430" width="12.125" style="255" customWidth="1"/>
    <col min="6431" max="6431" width="8.25" style="255" customWidth="1"/>
    <col min="6432" max="6433" width="10.375" style="255" customWidth="1"/>
    <col min="6434" max="6434" width="15.625" style="255" customWidth="1"/>
    <col min="6435" max="6435" width="15.875" style="255" customWidth="1"/>
    <col min="6436" max="6436" width="8.125" style="255" customWidth="1"/>
    <col min="6437" max="6440" width="10.375" style="255" customWidth="1"/>
    <col min="6441" max="6441" width="7.25" style="255" customWidth="1"/>
    <col min="6442" max="6442" width="7.125" style="255" customWidth="1"/>
    <col min="6443" max="6443" width="9.5" style="255" customWidth="1"/>
    <col min="6444" max="6445" width="9" style="255" customWidth="1"/>
    <col min="6446" max="6446" width="16.125" style="255" customWidth="1"/>
    <col min="6447" max="6477" width="9" style="255" customWidth="1"/>
    <col min="6478" max="6637" width="25.25" style="255"/>
    <col min="6638" max="6667" width="9" style="255" customWidth="1"/>
    <col min="6668" max="6668" width="0.5" style="255" customWidth="1"/>
    <col min="6669" max="6669" width="25.25" style="255"/>
    <col min="6670" max="6670" width="0.5" style="255" customWidth="1"/>
    <col min="6671" max="6671" width="25.25" style="255"/>
    <col min="6672" max="6672" width="14.75" style="255" customWidth="1"/>
    <col min="6673" max="6673" width="11.5" style="255" customWidth="1"/>
    <col min="6674" max="6674" width="11.25" style="255" customWidth="1"/>
    <col min="6675" max="6675" width="10.75" style="255" customWidth="1"/>
    <col min="6676" max="6676" width="10" style="255" customWidth="1"/>
    <col min="6677" max="6677" width="9.875" style="255" customWidth="1"/>
    <col min="6678" max="6678" width="26.125" style="255" customWidth="1"/>
    <col min="6679" max="6679" width="11.125" style="255" customWidth="1"/>
    <col min="6680" max="6680" width="7.875" style="255" customWidth="1"/>
    <col min="6681" max="6681" width="7.25" style="255" customWidth="1"/>
    <col min="6682" max="6682" width="9.125" style="255" customWidth="1"/>
    <col min="6683" max="6683" width="15.125" style="255" customWidth="1"/>
    <col min="6684" max="6684" width="7.75" style="255" customWidth="1"/>
    <col min="6685" max="6685" width="7.125" style="255" customWidth="1"/>
    <col min="6686" max="6686" width="12.125" style="255" customWidth="1"/>
    <col min="6687" max="6687" width="8.25" style="255" customWidth="1"/>
    <col min="6688" max="6689" width="10.375" style="255" customWidth="1"/>
    <col min="6690" max="6690" width="15.625" style="255" customWidth="1"/>
    <col min="6691" max="6691" width="15.875" style="255" customWidth="1"/>
    <col min="6692" max="6692" width="8.125" style="255" customWidth="1"/>
    <col min="6693" max="6696" width="10.375" style="255" customWidth="1"/>
    <col min="6697" max="6697" width="7.25" style="255" customWidth="1"/>
    <col min="6698" max="6698" width="7.125" style="255" customWidth="1"/>
    <col min="6699" max="6699" width="9.5" style="255" customWidth="1"/>
    <col min="6700" max="6701" width="9" style="255" customWidth="1"/>
    <col min="6702" max="6702" width="16.125" style="255" customWidth="1"/>
    <col min="6703" max="6733" width="9" style="255" customWidth="1"/>
    <col min="6734" max="6893" width="25.25" style="255"/>
    <col min="6894" max="6923" width="9" style="255" customWidth="1"/>
    <col min="6924" max="6924" width="0.5" style="255" customWidth="1"/>
    <col min="6925" max="6925" width="25.25" style="255"/>
    <col min="6926" max="6926" width="0.5" style="255" customWidth="1"/>
    <col min="6927" max="6927" width="25.25" style="255"/>
    <col min="6928" max="6928" width="14.75" style="255" customWidth="1"/>
    <col min="6929" max="6929" width="11.5" style="255" customWidth="1"/>
    <col min="6930" max="6930" width="11.25" style="255" customWidth="1"/>
    <col min="6931" max="6931" width="10.75" style="255" customWidth="1"/>
    <col min="6932" max="6932" width="10" style="255" customWidth="1"/>
    <col min="6933" max="6933" width="9.875" style="255" customWidth="1"/>
    <col min="6934" max="6934" width="26.125" style="255" customWidth="1"/>
    <col min="6935" max="6935" width="11.125" style="255" customWidth="1"/>
    <col min="6936" max="6936" width="7.875" style="255" customWidth="1"/>
    <col min="6937" max="6937" width="7.25" style="255" customWidth="1"/>
    <col min="6938" max="6938" width="9.125" style="255" customWidth="1"/>
    <col min="6939" max="6939" width="15.125" style="255" customWidth="1"/>
    <col min="6940" max="6940" width="7.75" style="255" customWidth="1"/>
    <col min="6941" max="6941" width="7.125" style="255" customWidth="1"/>
    <col min="6942" max="6942" width="12.125" style="255" customWidth="1"/>
    <col min="6943" max="6943" width="8.25" style="255" customWidth="1"/>
    <col min="6944" max="6945" width="10.375" style="255" customWidth="1"/>
    <col min="6946" max="6946" width="15.625" style="255" customWidth="1"/>
    <col min="6947" max="6947" width="15.875" style="255" customWidth="1"/>
    <col min="6948" max="6948" width="8.125" style="255" customWidth="1"/>
    <col min="6949" max="6952" width="10.375" style="255" customWidth="1"/>
    <col min="6953" max="6953" width="7.25" style="255" customWidth="1"/>
    <col min="6954" max="6954" width="7.125" style="255" customWidth="1"/>
    <col min="6955" max="6955" width="9.5" style="255" customWidth="1"/>
    <col min="6956" max="6957" width="9" style="255" customWidth="1"/>
    <col min="6958" max="6958" width="16.125" style="255" customWidth="1"/>
    <col min="6959" max="6989" width="9" style="255" customWidth="1"/>
    <col min="6990" max="7149" width="25.25" style="255"/>
    <col min="7150" max="7179" width="9" style="255" customWidth="1"/>
    <col min="7180" max="7180" width="0.5" style="255" customWidth="1"/>
    <col min="7181" max="7181" width="25.25" style="255"/>
    <col min="7182" max="7182" width="0.5" style="255" customWidth="1"/>
    <col min="7183" max="7183" width="25.25" style="255"/>
    <col min="7184" max="7184" width="14.75" style="255" customWidth="1"/>
    <col min="7185" max="7185" width="11.5" style="255" customWidth="1"/>
    <col min="7186" max="7186" width="11.25" style="255" customWidth="1"/>
    <col min="7187" max="7187" width="10.75" style="255" customWidth="1"/>
    <col min="7188" max="7188" width="10" style="255" customWidth="1"/>
    <col min="7189" max="7189" width="9.875" style="255" customWidth="1"/>
    <col min="7190" max="7190" width="26.125" style="255" customWidth="1"/>
    <col min="7191" max="7191" width="11.125" style="255" customWidth="1"/>
    <col min="7192" max="7192" width="7.875" style="255" customWidth="1"/>
    <col min="7193" max="7193" width="7.25" style="255" customWidth="1"/>
    <col min="7194" max="7194" width="9.125" style="255" customWidth="1"/>
    <col min="7195" max="7195" width="15.125" style="255" customWidth="1"/>
    <col min="7196" max="7196" width="7.75" style="255" customWidth="1"/>
    <col min="7197" max="7197" width="7.125" style="255" customWidth="1"/>
    <col min="7198" max="7198" width="12.125" style="255" customWidth="1"/>
    <col min="7199" max="7199" width="8.25" style="255" customWidth="1"/>
    <col min="7200" max="7201" width="10.375" style="255" customWidth="1"/>
    <col min="7202" max="7202" width="15.625" style="255" customWidth="1"/>
    <col min="7203" max="7203" width="15.875" style="255" customWidth="1"/>
    <col min="7204" max="7204" width="8.125" style="255" customWidth="1"/>
    <col min="7205" max="7208" width="10.375" style="255" customWidth="1"/>
    <col min="7209" max="7209" width="7.25" style="255" customWidth="1"/>
    <col min="7210" max="7210" width="7.125" style="255" customWidth="1"/>
    <col min="7211" max="7211" width="9.5" style="255" customWidth="1"/>
    <col min="7212" max="7213" width="9" style="255" customWidth="1"/>
    <col min="7214" max="7214" width="16.125" style="255" customWidth="1"/>
    <col min="7215" max="7245" width="9" style="255" customWidth="1"/>
    <col min="7246" max="7405" width="25.25" style="255"/>
    <col min="7406" max="7435" width="9" style="255" customWidth="1"/>
    <col min="7436" max="7436" width="0.5" style="255" customWidth="1"/>
    <col min="7437" max="7437" width="25.25" style="255"/>
    <col min="7438" max="7438" width="0.5" style="255" customWidth="1"/>
    <col min="7439" max="7439" width="25.25" style="255"/>
    <col min="7440" max="7440" width="14.75" style="255" customWidth="1"/>
    <col min="7441" max="7441" width="11.5" style="255" customWidth="1"/>
    <col min="7442" max="7442" width="11.25" style="255" customWidth="1"/>
    <col min="7443" max="7443" width="10.75" style="255" customWidth="1"/>
    <col min="7444" max="7444" width="10" style="255" customWidth="1"/>
    <col min="7445" max="7445" width="9.875" style="255" customWidth="1"/>
    <col min="7446" max="7446" width="26.125" style="255" customWidth="1"/>
    <col min="7447" max="7447" width="11.125" style="255" customWidth="1"/>
    <col min="7448" max="7448" width="7.875" style="255" customWidth="1"/>
    <col min="7449" max="7449" width="7.25" style="255" customWidth="1"/>
    <col min="7450" max="7450" width="9.125" style="255" customWidth="1"/>
    <col min="7451" max="7451" width="15.125" style="255" customWidth="1"/>
    <col min="7452" max="7452" width="7.75" style="255" customWidth="1"/>
    <col min="7453" max="7453" width="7.125" style="255" customWidth="1"/>
    <col min="7454" max="7454" width="12.125" style="255" customWidth="1"/>
    <col min="7455" max="7455" width="8.25" style="255" customWidth="1"/>
    <col min="7456" max="7457" width="10.375" style="255" customWidth="1"/>
    <col min="7458" max="7458" width="15.625" style="255" customWidth="1"/>
    <col min="7459" max="7459" width="15.875" style="255" customWidth="1"/>
    <col min="7460" max="7460" width="8.125" style="255" customWidth="1"/>
    <col min="7461" max="7464" width="10.375" style="255" customWidth="1"/>
    <col min="7465" max="7465" width="7.25" style="255" customWidth="1"/>
    <col min="7466" max="7466" width="7.125" style="255" customWidth="1"/>
    <col min="7467" max="7467" width="9.5" style="255" customWidth="1"/>
    <col min="7468" max="7469" width="9" style="255" customWidth="1"/>
    <col min="7470" max="7470" width="16.125" style="255" customWidth="1"/>
    <col min="7471" max="7501" width="9" style="255" customWidth="1"/>
    <col min="7502" max="7661" width="25.25" style="255"/>
    <col min="7662" max="7691" width="9" style="255" customWidth="1"/>
    <col min="7692" max="7692" width="0.5" style="255" customWidth="1"/>
    <col min="7693" max="7693" width="25.25" style="255"/>
    <col min="7694" max="7694" width="0.5" style="255" customWidth="1"/>
    <col min="7695" max="7695" width="25.25" style="255"/>
    <col min="7696" max="7696" width="14.75" style="255" customWidth="1"/>
    <col min="7697" max="7697" width="11.5" style="255" customWidth="1"/>
    <col min="7698" max="7698" width="11.25" style="255" customWidth="1"/>
    <col min="7699" max="7699" width="10.75" style="255" customWidth="1"/>
    <col min="7700" max="7700" width="10" style="255" customWidth="1"/>
    <col min="7701" max="7701" width="9.875" style="255" customWidth="1"/>
    <col min="7702" max="7702" width="26.125" style="255" customWidth="1"/>
    <col min="7703" max="7703" width="11.125" style="255" customWidth="1"/>
    <col min="7704" max="7704" width="7.875" style="255" customWidth="1"/>
    <col min="7705" max="7705" width="7.25" style="255" customWidth="1"/>
    <col min="7706" max="7706" width="9.125" style="255" customWidth="1"/>
    <col min="7707" max="7707" width="15.125" style="255" customWidth="1"/>
    <col min="7708" max="7708" width="7.75" style="255" customWidth="1"/>
    <col min="7709" max="7709" width="7.125" style="255" customWidth="1"/>
    <col min="7710" max="7710" width="12.125" style="255" customWidth="1"/>
    <col min="7711" max="7711" width="8.25" style="255" customWidth="1"/>
    <col min="7712" max="7713" width="10.375" style="255" customWidth="1"/>
    <col min="7714" max="7714" width="15.625" style="255" customWidth="1"/>
    <col min="7715" max="7715" width="15.875" style="255" customWidth="1"/>
    <col min="7716" max="7716" width="8.125" style="255" customWidth="1"/>
    <col min="7717" max="7720" width="10.375" style="255" customWidth="1"/>
    <col min="7721" max="7721" width="7.25" style="255" customWidth="1"/>
    <col min="7722" max="7722" width="7.125" style="255" customWidth="1"/>
    <col min="7723" max="7723" width="9.5" style="255" customWidth="1"/>
    <col min="7724" max="7725" width="9" style="255" customWidth="1"/>
    <col min="7726" max="7726" width="16.125" style="255" customWidth="1"/>
    <col min="7727" max="7757" width="9" style="255" customWidth="1"/>
    <col min="7758" max="7917" width="25.25" style="255"/>
    <col min="7918" max="7947" width="9" style="255" customWidth="1"/>
    <col min="7948" max="7948" width="0.5" style="255" customWidth="1"/>
    <col min="7949" max="7949" width="25.25" style="255"/>
    <col min="7950" max="7950" width="0.5" style="255" customWidth="1"/>
    <col min="7951" max="7951" width="25.25" style="255"/>
    <col min="7952" max="7952" width="14.75" style="255" customWidth="1"/>
    <col min="7953" max="7953" width="11.5" style="255" customWidth="1"/>
    <col min="7954" max="7954" width="11.25" style="255" customWidth="1"/>
    <col min="7955" max="7955" width="10.75" style="255" customWidth="1"/>
    <col min="7956" max="7956" width="10" style="255" customWidth="1"/>
    <col min="7957" max="7957" width="9.875" style="255" customWidth="1"/>
    <col min="7958" max="7958" width="26.125" style="255" customWidth="1"/>
    <col min="7959" max="7959" width="11.125" style="255" customWidth="1"/>
    <col min="7960" max="7960" width="7.875" style="255" customWidth="1"/>
    <col min="7961" max="7961" width="7.25" style="255" customWidth="1"/>
    <col min="7962" max="7962" width="9.125" style="255" customWidth="1"/>
    <col min="7963" max="7963" width="15.125" style="255" customWidth="1"/>
    <col min="7964" max="7964" width="7.75" style="255" customWidth="1"/>
    <col min="7965" max="7965" width="7.125" style="255" customWidth="1"/>
    <col min="7966" max="7966" width="12.125" style="255" customWidth="1"/>
    <col min="7967" max="7967" width="8.25" style="255" customWidth="1"/>
    <col min="7968" max="7969" width="10.375" style="255" customWidth="1"/>
    <col min="7970" max="7970" width="15.625" style="255" customWidth="1"/>
    <col min="7971" max="7971" width="15.875" style="255" customWidth="1"/>
    <col min="7972" max="7972" width="8.125" style="255" customWidth="1"/>
    <col min="7973" max="7976" width="10.375" style="255" customWidth="1"/>
    <col min="7977" max="7977" width="7.25" style="255" customWidth="1"/>
    <col min="7978" max="7978" width="7.125" style="255" customWidth="1"/>
    <col min="7979" max="7979" width="9.5" style="255" customWidth="1"/>
    <col min="7980" max="7981" width="9" style="255" customWidth="1"/>
    <col min="7982" max="7982" width="16.125" style="255" customWidth="1"/>
    <col min="7983" max="8013" width="9" style="255" customWidth="1"/>
    <col min="8014" max="8173" width="25.25" style="255"/>
    <col min="8174" max="8203" width="9" style="255" customWidth="1"/>
    <col min="8204" max="8204" width="0.5" style="255" customWidth="1"/>
    <col min="8205" max="8205" width="25.25" style="255"/>
    <col min="8206" max="8206" width="0.5" style="255" customWidth="1"/>
    <col min="8207" max="8207" width="25.25" style="255"/>
    <col min="8208" max="8208" width="14.75" style="255" customWidth="1"/>
    <col min="8209" max="8209" width="11.5" style="255" customWidth="1"/>
    <col min="8210" max="8210" width="11.25" style="255" customWidth="1"/>
    <col min="8211" max="8211" width="10.75" style="255" customWidth="1"/>
    <col min="8212" max="8212" width="10" style="255" customWidth="1"/>
    <col min="8213" max="8213" width="9.875" style="255" customWidth="1"/>
    <col min="8214" max="8214" width="26.125" style="255" customWidth="1"/>
    <col min="8215" max="8215" width="11.125" style="255" customWidth="1"/>
    <col min="8216" max="8216" width="7.875" style="255" customWidth="1"/>
    <col min="8217" max="8217" width="7.25" style="255" customWidth="1"/>
    <col min="8218" max="8218" width="9.125" style="255" customWidth="1"/>
    <col min="8219" max="8219" width="15.125" style="255" customWidth="1"/>
    <col min="8220" max="8220" width="7.75" style="255" customWidth="1"/>
    <col min="8221" max="8221" width="7.125" style="255" customWidth="1"/>
    <col min="8222" max="8222" width="12.125" style="255" customWidth="1"/>
    <col min="8223" max="8223" width="8.25" style="255" customWidth="1"/>
    <col min="8224" max="8225" width="10.375" style="255" customWidth="1"/>
    <col min="8226" max="8226" width="15.625" style="255" customWidth="1"/>
    <col min="8227" max="8227" width="15.875" style="255" customWidth="1"/>
    <col min="8228" max="8228" width="8.125" style="255" customWidth="1"/>
    <col min="8229" max="8232" width="10.375" style="255" customWidth="1"/>
    <col min="8233" max="8233" width="7.25" style="255" customWidth="1"/>
    <col min="8234" max="8234" width="7.125" style="255" customWidth="1"/>
    <col min="8235" max="8235" width="9.5" style="255" customWidth="1"/>
    <col min="8236" max="8237" width="9" style="255" customWidth="1"/>
    <col min="8238" max="8238" width="16.125" style="255" customWidth="1"/>
    <col min="8239" max="8269" width="9" style="255" customWidth="1"/>
    <col min="8270" max="8429" width="25.25" style="255"/>
    <col min="8430" max="8459" width="9" style="255" customWidth="1"/>
    <col min="8460" max="8460" width="0.5" style="255" customWidth="1"/>
    <col min="8461" max="8461" width="25.25" style="255"/>
    <col min="8462" max="8462" width="0.5" style="255" customWidth="1"/>
    <col min="8463" max="8463" width="25.25" style="255"/>
    <col min="8464" max="8464" width="14.75" style="255" customWidth="1"/>
    <col min="8465" max="8465" width="11.5" style="255" customWidth="1"/>
    <col min="8466" max="8466" width="11.25" style="255" customWidth="1"/>
    <col min="8467" max="8467" width="10.75" style="255" customWidth="1"/>
    <col min="8468" max="8468" width="10" style="255" customWidth="1"/>
    <col min="8469" max="8469" width="9.875" style="255" customWidth="1"/>
    <col min="8470" max="8470" width="26.125" style="255" customWidth="1"/>
    <col min="8471" max="8471" width="11.125" style="255" customWidth="1"/>
    <col min="8472" max="8472" width="7.875" style="255" customWidth="1"/>
    <col min="8473" max="8473" width="7.25" style="255" customWidth="1"/>
    <col min="8474" max="8474" width="9.125" style="255" customWidth="1"/>
    <col min="8475" max="8475" width="15.125" style="255" customWidth="1"/>
    <col min="8476" max="8476" width="7.75" style="255" customWidth="1"/>
    <col min="8477" max="8477" width="7.125" style="255" customWidth="1"/>
    <col min="8478" max="8478" width="12.125" style="255" customWidth="1"/>
    <col min="8479" max="8479" width="8.25" style="255" customWidth="1"/>
    <col min="8480" max="8481" width="10.375" style="255" customWidth="1"/>
    <col min="8482" max="8482" width="15.625" style="255" customWidth="1"/>
    <col min="8483" max="8483" width="15.875" style="255" customWidth="1"/>
    <col min="8484" max="8484" width="8.125" style="255" customWidth="1"/>
    <col min="8485" max="8488" width="10.375" style="255" customWidth="1"/>
    <col min="8489" max="8489" width="7.25" style="255" customWidth="1"/>
    <col min="8490" max="8490" width="7.125" style="255" customWidth="1"/>
    <col min="8491" max="8491" width="9.5" style="255" customWidth="1"/>
    <col min="8492" max="8493" width="9" style="255" customWidth="1"/>
    <col min="8494" max="8494" width="16.125" style="255" customWidth="1"/>
    <col min="8495" max="8525" width="9" style="255" customWidth="1"/>
    <col min="8526" max="8685" width="25.25" style="255"/>
    <col min="8686" max="8715" width="9" style="255" customWidth="1"/>
    <col min="8716" max="8716" width="0.5" style="255" customWidth="1"/>
    <col min="8717" max="8717" width="25.25" style="255"/>
    <col min="8718" max="8718" width="0.5" style="255" customWidth="1"/>
    <col min="8719" max="8719" width="25.25" style="255"/>
    <col min="8720" max="8720" width="14.75" style="255" customWidth="1"/>
    <col min="8721" max="8721" width="11.5" style="255" customWidth="1"/>
    <col min="8722" max="8722" width="11.25" style="255" customWidth="1"/>
    <col min="8723" max="8723" width="10.75" style="255" customWidth="1"/>
    <col min="8724" max="8724" width="10" style="255" customWidth="1"/>
    <col min="8725" max="8725" width="9.875" style="255" customWidth="1"/>
    <col min="8726" max="8726" width="26.125" style="255" customWidth="1"/>
    <col min="8727" max="8727" width="11.125" style="255" customWidth="1"/>
    <col min="8728" max="8728" width="7.875" style="255" customWidth="1"/>
    <col min="8729" max="8729" width="7.25" style="255" customWidth="1"/>
    <col min="8730" max="8730" width="9.125" style="255" customWidth="1"/>
    <col min="8731" max="8731" width="15.125" style="255" customWidth="1"/>
    <col min="8732" max="8732" width="7.75" style="255" customWidth="1"/>
    <col min="8733" max="8733" width="7.125" style="255" customWidth="1"/>
    <col min="8734" max="8734" width="12.125" style="255" customWidth="1"/>
    <col min="8735" max="8735" width="8.25" style="255" customWidth="1"/>
    <col min="8736" max="8737" width="10.375" style="255" customWidth="1"/>
    <col min="8738" max="8738" width="15.625" style="255" customWidth="1"/>
    <col min="8739" max="8739" width="15.875" style="255" customWidth="1"/>
    <col min="8740" max="8740" width="8.125" style="255" customWidth="1"/>
    <col min="8741" max="8744" width="10.375" style="255" customWidth="1"/>
    <col min="8745" max="8745" width="7.25" style="255" customWidth="1"/>
    <col min="8746" max="8746" width="7.125" style="255" customWidth="1"/>
    <col min="8747" max="8747" width="9.5" style="255" customWidth="1"/>
    <col min="8748" max="8749" width="9" style="255" customWidth="1"/>
    <col min="8750" max="8750" width="16.125" style="255" customWidth="1"/>
    <col min="8751" max="8781" width="9" style="255" customWidth="1"/>
    <col min="8782" max="8941" width="25.25" style="255"/>
    <col min="8942" max="8971" width="9" style="255" customWidth="1"/>
    <col min="8972" max="8972" width="0.5" style="255" customWidth="1"/>
    <col min="8973" max="8973" width="25.25" style="255"/>
    <col min="8974" max="8974" width="0.5" style="255" customWidth="1"/>
    <col min="8975" max="8975" width="25.25" style="255"/>
    <col min="8976" max="8976" width="14.75" style="255" customWidth="1"/>
    <col min="8977" max="8977" width="11.5" style="255" customWidth="1"/>
    <col min="8978" max="8978" width="11.25" style="255" customWidth="1"/>
    <col min="8979" max="8979" width="10.75" style="255" customWidth="1"/>
    <col min="8980" max="8980" width="10" style="255" customWidth="1"/>
    <col min="8981" max="8981" width="9.875" style="255" customWidth="1"/>
    <col min="8982" max="8982" width="26.125" style="255" customWidth="1"/>
    <col min="8983" max="8983" width="11.125" style="255" customWidth="1"/>
    <col min="8984" max="8984" width="7.875" style="255" customWidth="1"/>
    <col min="8985" max="8985" width="7.25" style="255" customWidth="1"/>
    <col min="8986" max="8986" width="9.125" style="255" customWidth="1"/>
    <col min="8987" max="8987" width="15.125" style="255" customWidth="1"/>
    <col min="8988" max="8988" width="7.75" style="255" customWidth="1"/>
    <col min="8989" max="8989" width="7.125" style="255" customWidth="1"/>
    <col min="8990" max="8990" width="12.125" style="255" customWidth="1"/>
    <col min="8991" max="8991" width="8.25" style="255" customWidth="1"/>
    <col min="8992" max="8993" width="10.375" style="255" customWidth="1"/>
    <col min="8994" max="8994" width="15.625" style="255" customWidth="1"/>
    <col min="8995" max="8995" width="15.875" style="255" customWidth="1"/>
    <col min="8996" max="8996" width="8.125" style="255" customWidth="1"/>
    <col min="8997" max="9000" width="10.375" style="255" customWidth="1"/>
    <col min="9001" max="9001" width="7.25" style="255" customWidth="1"/>
    <col min="9002" max="9002" width="7.125" style="255" customWidth="1"/>
    <col min="9003" max="9003" width="9.5" style="255" customWidth="1"/>
    <col min="9004" max="9005" width="9" style="255" customWidth="1"/>
    <col min="9006" max="9006" width="16.125" style="255" customWidth="1"/>
    <col min="9007" max="9037" width="9" style="255" customWidth="1"/>
    <col min="9038" max="9197" width="25.25" style="255"/>
    <col min="9198" max="9227" width="9" style="255" customWidth="1"/>
    <col min="9228" max="9228" width="0.5" style="255" customWidth="1"/>
    <col min="9229" max="9229" width="25.25" style="255"/>
    <col min="9230" max="9230" width="0.5" style="255" customWidth="1"/>
    <col min="9231" max="9231" width="25.25" style="255"/>
    <col min="9232" max="9232" width="14.75" style="255" customWidth="1"/>
    <col min="9233" max="9233" width="11.5" style="255" customWidth="1"/>
    <col min="9234" max="9234" width="11.25" style="255" customWidth="1"/>
    <col min="9235" max="9235" width="10.75" style="255" customWidth="1"/>
    <col min="9236" max="9236" width="10" style="255" customWidth="1"/>
    <col min="9237" max="9237" width="9.875" style="255" customWidth="1"/>
    <col min="9238" max="9238" width="26.125" style="255" customWidth="1"/>
    <col min="9239" max="9239" width="11.125" style="255" customWidth="1"/>
    <col min="9240" max="9240" width="7.875" style="255" customWidth="1"/>
    <col min="9241" max="9241" width="7.25" style="255" customWidth="1"/>
    <col min="9242" max="9242" width="9.125" style="255" customWidth="1"/>
    <col min="9243" max="9243" width="15.125" style="255" customWidth="1"/>
    <col min="9244" max="9244" width="7.75" style="255" customWidth="1"/>
    <col min="9245" max="9245" width="7.125" style="255" customWidth="1"/>
    <col min="9246" max="9246" width="12.125" style="255" customWidth="1"/>
    <col min="9247" max="9247" width="8.25" style="255" customWidth="1"/>
    <col min="9248" max="9249" width="10.375" style="255" customWidth="1"/>
    <col min="9250" max="9250" width="15.625" style="255" customWidth="1"/>
    <col min="9251" max="9251" width="15.875" style="255" customWidth="1"/>
    <col min="9252" max="9252" width="8.125" style="255" customWidth="1"/>
    <col min="9253" max="9256" width="10.375" style="255" customWidth="1"/>
    <col min="9257" max="9257" width="7.25" style="255" customWidth="1"/>
    <col min="9258" max="9258" width="7.125" style="255" customWidth="1"/>
    <col min="9259" max="9259" width="9.5" style="255" customWidth="1"/>
    <col min="9260" max="9261" width="9" style="255" customWidth="1"/>
    <col min="9262" max="9262" width="16.125" style="255" customWidth="1"/>
    <col min="9263" max="9293" width="9" style="255" customWidth="1"/>
    <col min="9294" max="9453" width="25.25" style="255"/>
    <col min="9454" max="9483" width="9" style="255" customWidth="1"/>
    <col min="9484" max="9484" width="0.5" style="255" customWidth="1"/>
    <col min="9485" max="9485" width="25.25" style="255"/>
    <col min="9486" max="9486" width="0.5" style="255" customWidth="1"/>
    <col min="9487" max="9487" width="25.25" style="255"/>
    <col min="9488" max="9488" width="14.75" style="255" customWidth="1"/>
    <col min="9489" max="9489" width="11.5" style="255" customWidth="1"/>
    <col min="9490" max="9490" width="11.25" style="255" customWidth="1"/>
    <col min="9491" max="9491" width="10.75" style="255" customWidth="1"/>
    <col min="9492" max="9492" width="10" style="255" customWidth="1"/>
    <col min="9493" max="9493" width="9.875" style="255" customWidth="1"/>
    <col min="9494" max="9494" width="26.125" style="255" customWidth="1"/>
    <col min="9495" max="9495" width="11.125" style="255" customWidth="1"/>
    <col min="9496" max="9496" width="7.875" style="255" customWidth="1"/>
    <col min="9497" max="9497" width="7.25" style="255" customWidth="1"/>
    <col min="9498" max="9498" width="9.125" style="255" customWidth="1"/>
    <col min="9499" max="9499" width="15.125" style="255" customWidth="1"/>
    <col min="9500" max="9500" width="7.75" style="255" customWidth="1"/>
    <col min="9501" max="9501" width="7.125" style="255" customWidth="1"/>
    <col min="9502" max="9502" width="12.125" style="255" customWidth="1"/>
    <col min="9503" max="9503" width="8.25" style="255" customWidth="1"/>
    <col min="9504" max="9505" width="10.375" style="255" customWidth="1"/>
    <col min="9506" max="9506" width="15.625" style="255" customWidth="1"/>
    <col min="9507" max="9507" width="15.875" style="255" customWidth="1"/>
    <col min="9508" max="9508" width="8.125" style="255" customWidth="1"/>
    <col min="9509" max="9512" width="10.375" style="255" customWidth="1"/>
    <col min="9513" max="9513" width="7.25" style="255" customWidth="1"/>
    <col min="9514" max="9514" width="7.125" style="255" customWidth="1"/>
    <col min="9515" max="9515" width="9.5" style="255" customWidth="1"/>
    <col min="9516" max="9517" width="9" style="255" customWidth="1"/>
    <col min="9518" max="9518" width="16.125" style="255" customWidth="1"/>
    <col min="9519" max="9549" width="9" style="255" customWidth="1"/>
    <col min="9550" max="9709" width="25.25" style="255"/>
    <col min="9710" max="9739" width="9" style="255" customWidth="1"/>
    <col min="9740" max="9740" width="0.5" style="255" customWidth="1"/>
    <col min="9741" max="9741" width="25.25" style="255"/>
    <col min="9742" max="9742" width="0.5" style="255" customWidth="1"/>
    <col min="9743" max="9743" width="25.25" style="255"/>
    <col min="9744" max="9744" width="14.75" style="255" customWidth="1"/>
    <col min="9745" max="9745" width="11.5" style="255" customWidth="1"/>
    <col min="9746" max="9746" width="11.25" style="255" customWidth="1"/>
    <col min="9747" max="9747" width="10.75" style="255" customWidth="1"/>
    <col min="9748" max="9748" width="10" style="255" customWidth="1"/>
    <col min="9749" max="9749" width="9.875" style="255" customWidth="1"/>
    <col min="9750" max="9750" width="26.125" style="255" customWidth="1"/>
    <col min="9751" max="9751" width="11.125" style="255" customWidth="1"/>
    <col min="9752" max="9752" width="7.875" style="255" customWidth="1"/>
    <col min="9753" max="9753" width="7.25" style="255" customWidth="1"/>
    <col min="9754" max="9754" width="9.125" style="255" customWidth="1"/>
    <col min="9755" max="9755" width="15.125" style="255" customWidth="1"/>
    <col min="9756" max="9756" width="7.75" style="255" customWidth="1"/>
    <col min="9757" max="9757" width="7.125" style="255" customWidth="1"/>
    <col min="9758" max="9758" width="12.125" style="255" customWidth="1"/>
    <col min="9759" max="9759" width="8.25" style="255" customWidth="1"/>
    <col min="9760" max="9761" width="10.375" style="255" customWidth="1"/>
    <col min="9762" max="9762" width="15.625" style="255" customWidth="1"/>
    <col min="9763" max="9763" width="15.875" style="255" customWidth="1"/>
    <col min="9764" max="9764" width="8.125" style="255" customWidth="1"/>
    <col min="9765" max="9768" width="10.375" style="255" customWidth="1"/>
    <col min="9769" max="9769" width="7.25" style="255" customWidth="1"/>
    <col min="9770" max="9770" width="7.125" style="255" customWidth="1"/>
    <col min="9771" max="9771" width="9.5" style="255" customWidth="1"/>
    <col min="9772" max="9773" width="9" style="255" customWidth="1"/>
    <col min="9774" max="9774" width="16.125" style="255" customWidth="1"/>
    <col min="9775" max="9805" width="9" style="255" customWidth="1"/>
    <col min="9806" max="9965" width="25.25" style="255"/>
    <col min="9966" max="9995" width="9" style="255" customWidth="1"/>
    <col min="9996" max="9996" width="0.5" style="255" customWidth="1"/>
    <col min="9997" max="9997" width="25.25" style="255"/>
    <col min="9998" max="9998" width="0.5" style="255" customWidth="1"/>
    <col min="9999" max="9999" width="25.25" style="255"/>
    <col min="10000" max="10000" width="14.75" style="255" customWidth="1"/>
    <col min="10001" max="10001" width="11.5" style="255" customWidth="1"/>
    <col min="10002" max="10002" width="11.25" style="255" customWidth="1"/>
    <col min="10003" max="10003" width="10.75" style="255" customWidth="1"/>
    <col min="10004" max="10004" width="10" style="255" customWidth="1"/>
    <col min="10005" max="10005" width="9.875" style="255" customWidth="1"/>
    <col min="10006" max="10006" width="26.125" style="255" customWidth="1"/>
    <col min="10007" max="10007" width="11.125" style="255" customWidth="1"/>
    <col min="10008" max="10008" width="7.875" style="255" customWidth="1"/>
    <col min="10009" max="10009" width="7.25" style="255" customWidth="1"/>
    <col min="10010" max="10010" width="9.125" style="255" customWidth="1"/>
    <col min="10011" max="10011" width="15.125" style="255" customWidth="1"/>
    <col min="10012" max="10012" width="7.75" style="255" customWidth="1"/>
    <col min="10013" max="10013" width="7.125" style="255" customWidth="1"/>
    <col min="10014" max="10014" width="12.125" style="255" customWidth="1"/>
    <col min="10015" max="10015" width="8.25" style="255" customWidth="1"/>
    <col min="10016" max="10017" width="10.375" style="255" customWidth="1"/>
    <col min="10018" max="10018" width="15.625" style="255" customWidth="1"/>
    <col min="10019" max="10019" width="15.875" style="255" customWidth="1"/>
    <col min="10020" max="10020" width="8.125" style="255" customWidth="1"/>
    <col min="10021" max="10024" width="10.375" style="255" customWidth="1"/>
    <col min="10025" max="10025" width="7.25" style="255" customWidth="1"/>
    <col min="10026" max="10026" width="7.125" style="255" customWidth="1"/>
    <col min="10027" max="10027" width="9.5" style="255" customWidth="1"/>
    <col min="10028" max="10029" width="9" style="255" customWidth="1"/>
    <col min="10030" max="10030" width="16.125" style="255" customWidth="1"/>
    <col min="10031" max="10061" width="9" style="255" customWidth="1"/>
    <col min="10062" max="10221" width="25.25" style="255"/>
    <col min="10222" max="10251" width="9" style="255" customWidth="1"/>
    <col min="10252" max="10252" width="0.5" style="255" customWidth="1"/>
    <col min="10253" max="10253" width="25.25" style="255"/>
    <col min="10254" max="10254" width="0.5" style="255" customWidth="1"/>
    <col min="10255" max="10255" width="25.25" style="255"/>
    <col min="10256" max="10256" width="14.75" style="255" customWidth="1"/>
    <col min="10257" max="10257" width="11.5" style="255" customWidth="1"/>
    <col min="10258" max="10258" width="11.25" style="255" customWidth="1"/>
    <col min="10259" max="10259" width="10.75" style="255" customWidth="1"/>
    <col min="10260" max="10260" width="10" style="255" customWidth="1"/>
    <col min="10261" max="10261" width="9.875" style="255" customWidth="1"/>
    <col min="10262" max="10262" width="26.125" style="255" customWidth="1"/>
    <col min="10263" max="10263" width="11.125" style="255" customWidth="1"/>
    <col min="10264" max="10264" width="7.875" style="255" customWidth="1"/>
    <col min="10265" max="10265" width="7.25" style="255" customWidth="1"/>
    <col min="10266" max="10266" width="9.125" style="255" customWidth="1"/>
    <col min="10267" max="10267" width="15.125" style="255" customWidth="1"/>
    <col min="10268" max="10268" width="7.75" style="255" customWidth="1"/>
    <col min="10269" max="10269" width="7.125" style="255" customWidth="1"/>
    <col min="10270" max="10270" width="12.125" style="255" customWidth="1"/>
    <col min="10271" max="10271" width="8.25" style="255" customWidth="1"/>
    <col min="10272" max="10273" width="10.375" style="255" customWidth="1"/>
    <col min="10274" max="10274" width="15.625" style="255" customWidth="1"/>
    <col min="10275" max="10275" width="15.875" style="255" customWidth="1"/>
    <col min="10276" max="10276" width="8.125" style="255" customWidth="1"/>
    <col min="10277" max="10280" width="10.375" style="255" customWidth="1"/>
    <col min="10281" max="10281" width="7.25" style="255" customWidth="1"/>
    <col min="10282" max="10282" width="7.125" style="255" customWidth="1"/>
    <col min="10283" max="10283" width="9.5" style="255" customWidth="1"/>
    <col min="10284" max="10285" width="9" style="255" customWidth="1"/>
    <col min="10286" max="10286" width="16.125" style="255" customWidth="1"/>
    <col min="10287" max="10317" width="9" style="255" customWidth="1"/>
    <col min="10318" max="10477" width="25.25" style="255"/>
    <col min="10478" max="10507" width="9" style="255" customWidth="1"/>
    <col min="10508" max="10508" width="0.5" style="255" customWidth="1"/>
    <col min="10509" max="10509" width="25.25" style="255"/>
    <col min="10510" max="10510" width="0.5" style="255" customWidth="1"/>
    <col min="10511" max="10511" width="25.25" style="255"/>
    <col min="10512" max="10512" width="14.75" style="255" customWidth="1"/>
    <col min="10513" max="10513" width="11.5" style="255" customWidth="1"/>
    <col min="10514" max="10514" width="11.25" style="255" customWidth="1"/>
    <col min="10515" max="10515" width="10.75" style="255" customWidth="1"/>
    <col min="10516" max="10516" width="10" style="255" customWidth="1"/>
    <col min="10517" max="10517" width="9.875" style="255" customWidth="1"/>
    <col min="10518" max="10518" width="26.125" style="255" customWidth="1"/>
    <col min="10519" max="10519" width="11.125" style="255" customWidth="1"/>
    <col min="10520" max="10520" width="7.875" style="255" customWidth="1"/>
    <col min="10521" max="10521" width="7.25" style="255" customWidth="1"/>
    <col min="10522" max="10522" width="9.125" style="255" customWidth="1"/>
    <col min="10523" max="10523" width="15.125" style="255" customWidth="1"/>
    <col min="10524" max="10524" width="7.75" style="255" customWidth="1"/>
    <col min="10525" max="10525" width="7.125" style="255" customWidth="1"/>
    <col min="10526" max="10526" width="12.125" style="255" customWidth="1"/>
    <col min="10527" max="10527" width="8.25" style="255" customWidth="1"/>
    <col min="10528" max="10529" width="10.375" style="255" customWidth="1"/>
    <col min="10530" max="10530" width="15.625" style="255" customWidth="1"/>
    <col min="10531" max="10531" width="15.875" style="255" customWidth="1"/>
    <col min="10532" max="10532" width="8.125" style="255" customWidth="1"/>
    <col min="10533" max="10536" width="10.375" style="255" customWidth="1"/>
    <col min="10537" max="10537" width="7.25" style="255" customWidth="1"/>
    <col min="10538" max="10538" width="7.125" style="255" customWidth="1"/>
    <col min="10539" max="10539" width="9.5" style="255" customWidth="1"/>
    <col min="10540" max="10541" width="9" style="255" customWidth="1"/>
    <col min="10542" max="10542" width="16.125" style="255" customWidth="1"/>
    <col min="10543" max="10573" width="9" style="255" customWidth="1"/>
    <col min="10574" max="10733" width="25.25" style="255"/>
    <col min="10734" max="10763" width="9" style="255" customWidth="1"/>
    <col min="10764" max="10764" width="0.5" style="255" customWidth="1"/>
    <col min="10765" max="10765" width="25.25" style="255"/>
    <col min="10766" max="10766" width="0.5" style="255" customWidth="1"/>
    <col min="10767" max="10767" width="25.25" style="255"/>
    <col min="10768" max="10768" width="14.75" style="255" customWidth="1"/>
    <col min="10769" max="10769" width="11.5" style="255" customWidth="1"/>
    <col min="10770" max="10770" width="11.25" style="255" customWidth="1"/>
    <col min="10771" max="10771" width="10.75" style="255" customWidth="1"/>
    <col min="10772" max="10772" width="10" style="255" customWidth="1"/>
    <col min="10773" max="10773" width="9.875" style="255" customWidth="1"/>
    <col min="10774" max="10774" width="26.125" style="255" customWidth="1"/>
    <col min="10775" max="10775" width="11.125" style="255" customWidth="1"/>
    <col min="10776" max="10776" width="7.875" style="255" customWidth="1"/>
    <col min="10777" max="10777" width="7.25" style="255" customWidth="1"/>
    <col min="10778" max="10778" width="9.125" style="255" customWidth="1"/>
    <col min="10779" max="10779" width="15.125" style="255" customWidth="1"/>
    <col min="10780" max="10780" width="7.75" style="255" customWidth="1"/>
    <col min="10781" max="10781" width="7.125" style="255" customWidth="1"/>
    <col min="10782" max="10782" width="12.125" style="255" customWidth="1"/>
    <col min="10783" max="10783" width="8.25" style="255" customWidth="1"/>
    <col min="10784" max="10785" width="10.375" style="255" customWidth="1"/>
    <col min="10786" max="10786" width="15.625" style="255" customWidth="1"/>
    <col min="10787" max="10787" width="15.875" style="255" customWidth="1"/>
    <col min="10788" max="10788" width="8.125" style="255" customWidth="1"/>
    <col min="10789" max="10792" width="10.375" style="255" customWidth="1"/>
    <col min="10793" max="10793" width="7.25" style="255" customWidth="1"/>
    <col min="10794" max="10794" width="7.125" style="255" customWidth="1"/>
    <col min="10795" max="10795" width="9.5" style="255" customWidth="1"/>
    <col min="10796" max="10797" width="9" style="255" customWidth="1"/>
    <col min="10798" max="10798" width="16.125" style="255" customWidth="1"/>
    <col min="10799" max="10829" width="9" style="255" customWidth="1"/>
    <col min="10830" max="10989" width="25.25" style="255"/>
    <col min="10990" max="11019" width="9" style="255" customWidth="1"/>
    <col min="11020" max="11020" width="0.5" style="255" customWidth="1"/>
    <col min="11021" max="11021" width="25.25" style="255"/>
    <col min="11022" max="11022" width="0.5" style="255" customWidth="1"/>
    <col min="11023" max="11023" width="25.25" style="255"/>
    <col min="11024" max="11024" width="14.75" style="255" customWidth="1"/>
    <col min="11025" max="11025" width="11.5" style="255" customWidth="1"/>
    <col min="11026" max="11026" width="11.25" style="255" customWidth="1"/>
    <col min="11027" max="11027" width="10.75" style="255" customWidth="1"/>
    <col min="11028" max="11028" width="10" style="255" customWidth="1"/>
    <col min="11029" max="11029" width="9.875" style="255" customWidth="1"/>
    <col min="11030" max="11030" width="26.125" style="255" customWidth="1"/>
    <col min="11031" max="11031" width="11.125" style="255" customWidth="1"/>
    <col min="11032" max="11032" width="7.875" style="255" customWidth="1"/>
    <col min="11033" max="11033" width="7.25" style="255" customWidth="1"/>
    <col min="11034" max="11034" width="9.125" style="255" customWidth="1"/>
    <col min="11035" max="11035" width="15.125" style="255" customWidth="1"/>
    <col min="11036" max="11036" width="7.75" style="255" customWidth="1"/>
    <col min="11037" max="11037" width="7.125" style="255" customWidth="1"/>
    <col min="11038" max="11038" width="12.125" style="255" customWidth="1"/>
    <col min="11039" max="11039" width="8.25" style="255" customWidth="1"/>
    <col min="11040" max="11041" width="10.375" style="255" customWidth="1"/>
    <col min="11042" max="11042" width="15.625" style="255" customWidth="1"/>
    <col min="11043" max="11043" width="15.875" style="255" customWidth="1"/>
    <col min="11044" max="11044" width="8.125" style="255" customWidth="1"/>
    <col min="11045" max="11048" width="10.375" style="255" customWidth="1"/>
    <col min="11049" max="11049" width="7.25" style="255" customWidth="1"/>
    <col min="11050" max="11050" width="7.125" style="255" customWidth="1"/>
    <col min="11051" max="11051" width="9.5" style="255" customWidth="1"/>
    <col min="11052" max="11053" width="9" style="255" customWidth="1"/>
    <col min="11054" max="11054" width="16.125" style="255" customWidth="1"/>
    <col min="11055" max="11085" width="9" style="255" customWidth="1"/>
    <col min="11086" max="11245" width="25.25" style="255"/>
    <col min="11246" max="11275" width="9" style="255" customWidth="1"/>
    <col min="11276" max="11276" width="0.5" style="255" customWidth="1"/>
    <col min="11277" max="11277" width="25.25" style="255"/>
    <col min="11278" max="11278" width="0.5" style="255" customWidth="1"/>
    <col min="11279" max="11279" width="25.25" style="255"/>
    <col min="11280" max="11280" width="14.75" style="255" customWidth="1"/>
    <col min="11281" max="11281" width="11.5" style="255" customWidth="1"/>
    <col min="11282" max="11282" width="11.25" style="255" customWidth="1"/>
    <col min="11283" max="11283" width="10.75" style="255" customWidth="1"/>
    <col min="11284" max="11284" width="10" style="255" customWidth="1"/>
    <col min="11285" max="11285" width="9.875" style="255" customWidth="1"/>
    <col min="11286" max="11286" width="26.125" style="255" customWidth="1"/>
    <col min="11287" max="11287" width="11.125" style="255" customWidth="1"/>
    <col min="11288" max="11288" width="7.875" style="255" customWidth="1"/>
    <col min="11289" max="11289" width="7.25" style="255" customWidth="1"/>
    <col min="11290" max="11290" width="9.125" style="255" customWidth="1"/>
    <col min="11291" max="11291" width="15.125" style="255" customWidth="1"/>
    <col min="11292" max="11292" width="7.75" style="255" customWidth="1"/>
    <col min="11293" max="11293" width="7.125" style="255" customWidth="1"/>
    <col min="11294" max="11294" width="12.125" style="255" customWidth="1"/>
    <col min="11295" max="11295" width="8.25" style="255" customWidth="1"/>
    <col min="11296" max="11297" width="10.375" style="255" customWidth="1"/>
    <col min="11298" max="11298" width="15.625" style="255" customWidth="1"/>
    <col min="11299" max="11299" width="15.875" style="255" customWidth="1"/>
    <col min="11300" max="11300" width="8.125" style="255" customWidth="1"/>
    <col min="11301" max="11304" width="10.375" style="255" customWidth="1"/>
    <col min="11305" max="11305" width="7.25" style="255" customWidth="1"/>
    <col min="11306" max="11306" width="7.125" style="255" customWidth="1"/>
    <col min="11307" max="11307" width="9.5" style="255" customWidth="1"/>
    <col min="11308" max="11309" width="9" style="255" customWidth="1"/>
    <col min="11310" max="11310" width="16.125" style="255" customWidth="1"/>
    <col min="11311" max="11341" width="9" style="255" customWidth="1"/>
    <col min="11342" max="11501" width="25.25" style="255"/>
    <col min="11502" max="11531" width="9" style="255" customWidth="1"/>
    <col min="11532" max="11532" width="0.5" style="255" customWidth="1"/>
    <col min="11533" max="11533" width="25.25" style="255"/>
    <col min="11534" max="11534" width="0.5" style="255" customWidth="1"/>
    <col min="11535" max="11535" width="25.25" style="255"/>
    <col min="11536" max="11536" width="14.75" style="255" customWidth="1"/>
    <col min="11537" max="11537" width="11.5" style="255" customWidth="1"/>
    <col min="11538" max="11538" width="11.25" style="255" customWidth="1"/>
    <col min="11539" max="11539" width="10.75" style="255" customWidth="1"/>
    <col min="11540" max="11540" width="10" style="255" customWidth="1"/>
    <col min="11541" max="11541" width="9.875" style="255" customWidth="1"/>
    <col min="11542" max="11542" width="26.125" style="255" customWidth="1"/>
    <col min="11543" max="11543" width="11.125" style="255" customWidth="1"/>
    <col min="11544" max="11544" width="7.875" style="255" customWidth="1"/>
    <col min="11545" max="11545" width="7.25" style="255" customWidth="1"/>
    <col min="11546" max="11546" width="9.125" style="255" customWidth="1"/>
    <col min="11547" max="11547" width="15.125" style="255" customWidth="1"/>
    <col min="11548" max="11548" width="7.75" style="255" customWidth="1"/>
    <col min="11549" max="11549" width="7.125" style="255" customWidth="1"/>
    <col min="11550" max="11550" width="12.125" style="255" customWidth="1"/>
    <col min="11551" max="11551" width="8.25" style="255" customWidth="1"/>
    <col min="11552" max="11553" width="10.375" style="255" customWidth="1"/>
    <col min="11554" max="11554" width="15.625" style="255" customWidth="1"/>
    <col min="11555" max="11555" width="15.875" style="255" customWidth="1"/>
    <col min="11556" max="11556" width="8.125" style="255" customWidth="1"/>
    <col min="11557" max="11560" width="10.375" style="255" customWidth="1"/>
    <col min="11561" max="11561" width="7.25" style="255" customWidth="1"/>
    <col min="11562" max="11562" width="7.125" style="255" customWidth="1"/>
    <col min="11563" max="11563" width="9.5" style="255" customWidth="1"/>
    <col min="11564" max="11565" width="9" style="255" customWidth="1"/>
    <col min="11566" max="11566" width="16.125" style="255" customWidth="1"/>
    <col min="11567" max="11597" width="9" style="255" customWidth="1"/>
    <col min="11598" max="11757" width="25.25" style="255"/>
    <col min="11758" max="11787" width="9" style="255" customWidth="1"/>
    <col min="11788" max="11788" width="0.5" style="255" customWidth="1"/>
    <col min="11789" max="11789" width="25.25" style="255"/>
    <col min="11790" max="11790" width="0.5" style="255" customWidth="1"/>
    <col min="11791" max="11791" width="25.25" style="255"/>
    <col min="11792" max="11792" width="14.75" style="255" customWidth="1"/>
    <col min="11793" max="11793" width="11.5" style="255" customWidth="1"/>
    <col min="11794" max="11794" width="11.25" style="255" customWidth="1"/>
    <col min="11795" max="11795" width="10.75" style="255" customWidth="1"/>
    <col min="11796" max="11796" width="10" style="255" customWidth="1"/>
    <col min="11797" max="11797" width="9.875" style="255" customWidth="1"/>
    <col min="11798" max="11798" width="26.125" style="255" customWidth="1"/>
    <col min="11799" max="11799" width="11.125" style="255" customWidth="1"/>
    <col min="11800" max="11800" width="7.875" style="255" customWidth="1"/>
    <col min="11801" max="11801" width="7.25" style="255" customWidth="1"/>
    <col min="11802" max="11802" width="9.125" style="255" customWidth="1"/>
    <col min="11803" max="11803" width="15.125" style="255" customWidth="1"/>
    <col min="11804" max="11804" width="7.75" style="255" customWidth="1"/>
    <col min="11805" max="11805" width="7.125" style="255" customWidth="1"/>
    <col min="11806" max="11806" width="12.125" style="255" customWidth="1"/>
    <col min="11807" max="11807" width="8.25" style="255" customWidth="1"/>
    <col min="11808" max="11809" width="10.375" style="255" customWidth="1"/>
    <col min="11810" max="11810" width="15.625" style="255" customWidth="1"/>
    <col min="11811" max="11811" width="15.875" style="255" customWidth="1"/>
    <col min="11812" max="11812" width="8.125" style="255" customWidth="1"/>
    <col min="11813" max="11816" width="10.375" style="255" customWidth="1"/>
    <col min="11817" max="11817" width="7.25" style="255" customWidth="1"/>
    <col min="11818" max="11818" width="7.125" style="255" customWidth="1"/>
    <col min="11819" max="11819" width="9.5" style="255" customWidth="1"/>
    <col min="11820" max="11821" width="9" style="255" customWidth="1"/>
    <col min="11822" max="11822" width="16.125" style="255" customWidth="1"/>
    <col min="11823" max="11853" width="9" style="255" customWidth="1"/>
    <col min="11854" max="12013" width="25.25" style="255"/>
    <col min="12014" max="12043" width="9" style="255" customWidth="1"/>
    <col min="12044" max="12044" width="0.5" style="255" customWidth="1"/>
    <col min="12045" max="12045" width="25.25" style="255"/>
    <col min="12046" max="12046" width="0.5" style="255" customWidth="1"/>
    <col min="12047" max="12047" width="25.25" style="255"/>
    <col min="12048" max="12048" width="14.75" style="255" customWidth="1"/>
    <col min="12049" max="12049" width="11.5" style="255" customWidth="1"/>
    <col min="12050" max="12050" width="11.25" style="255" customWidth="1"/>
    <col min="12051" max="12051" width="10.75" style="255" customWidth="1"/>
    <col min="12052" max="12052" width="10" style="255" customWidth="1"/>
    <col min="12053" max="12053" width="9.875" style="255" customWidth="1"/>
    <col min="12054" max="12054" width="26.125" style="255" customWidth="1"/>
    <col min="12055" max="12055" width="11.125" style="255" customWidth="1"/>
    <col min="12056" max="12056" width="7.875" style="255" customWidth="1"/>
    <col min="12057" max="12057" width="7.25" style="255" customWidth="1"/>
    <col min="12058" max="12058" width="9.125" style="255" customWidth="1"/>
    <col min="12059" max="12059" width="15.125" style="255" customWidth="1"/>
    <col min="12060" max="12060" width="7.75" style="255" customWidth="1"/>
    <col min="12061" max="12061" width="7.125" style="255" customWidth="1"/>
    <col min="12062" max="12062" width="12.125" style="255" customWidth="1"/>
    <col min="12063" max="12063" width="8.25" style="255" customWidth="1"/>
    <col min="12064" max="12065" width="10.375" style="255" customWidth="1"/>
    <col min="12066" max="12066" width="15.625" style="255" customWidth="1"/>
    <col min="12067" max="12067" width="15.875" style="255" customWidth="1"/>
    <col min="12068" max="12068" width="8.125" style="255" customWidth="1"/>
    <col min="12069" max="12072" width="10.375" style="255" customWidth="1"/>
    <col min="12073" max="12073" width="7.25" style="255" customWidth="1"/>
    <col min="12074" max="12074" width="7.125" style="255" customWidth="1"/>
    <col min="12075" max="12075" width="9.5" style="255" customWidth="1"/>
    <col min="12076" max="12077" width="9" style="255" customWidth="1"/>
    <col min="12078" max="12078" width="16.125" style="255" customWidth="1"/>
    <col min="12079" max="12109" width="9" style="255" customWidth="1"/>
    <col min="12110" max="12269" width="25.25" style="255"/>
    <col min="12270" max="12299" width="9" style="255" customWidth="1"/>
    <col min="12300" max="12300" width="0.5" style="255" customWidth="1"/>
    <col min="12301" max="12301" width="25.25" style="255"/>
    <col min="12302" max="12302" width="0.5" style="255" customWidth="1"/>
    <col min="12303" max="12303" width="25.25" style="255"/>
    <col min="12304" max="12304" width="14.75" style="255" customWidth="1"/>
    <col min="12305" max="12305" width="11.5" style="255" customWidth="1"/>
    <col min="12306" max="12306" width="11.25" style="255" customWidth="1"/>
    <col min="12307" max="12307" width="10.75" style="255" customWidth="1"/>
    <col min="12308" max="12308" width="10" style="255" customWidth="1"/>
    <col min="12309" max="12309" width="9.875" style="255" customWidth="1"/>
    <col min="12310" max="12310" width="26.125" style="255" customWidth="1"/>
    <col min="12311" max="12311" width="11.125" style="255" customWidth="1"/>
    <col min="12312" max="12312" width="7.875" style="255" customWidth="1"/>
    <col min="12313" max="12313" width="7.25" style="255" customWidth="1"/>
    <col min="12314" max="12314" width="9.125" style="255" customWidth="1"/>
    <col min="12315" max="12315" width="15.125" style="255" customWidth="1"/>
    <col min="12316" max="12316" width="7.75" style="255" customWidth="1"/>
    <col min="12317" max="12317" width="7.125" style="255" customWidth="1"/>
    <col min="12318" max="12318" width="12.125" style="255" customWidth="1"/>
    <col min="12319" max="12319" width="8.25" style="255" customWidth="1"/>
    <col min="12320" max="12321" width="10.375" style="255" customWidth="1"/>
    <col min="12322" max="12322" width="15.625" style="255" customWidth="1"/>
    <col min="12323" max="12323" width="15.875" style="255" customWidth="1"/>
    <col min="12324" max="12324" width="8.125" style="255" customWidth="1"/>
    <col min="12325" max="12328" width="10.375" style="255" customWidth="1"/>
    <col min="12329" max="12329" width="7.25" style="255" customWidth="1"/>
    <col min="12330" max="12330" width="7.125" style="255" customWidth="1"/>
    <col min="12331" max="12331" width="9.5" style="255" customWidth="1"/>
    <col min="12332" max="12333" width="9" style="255" customWidth="1"/>
    <col min="12334" max="12334" width="16.125" style="255" customWidth="1"/>
    <col min="12335" max="12365" width="9" style="255" customWidth="1"/>
    <col min="12366" max="12525" width="25.25" style="255"/>
    <col min="12526" max="12555" width="9" style="255" customWidth="1"/>
    <col min="12556" max="12556" width="0.5" style="255" customWidth="1"/>
    <col min="12557" max="12557" width="25.25" style="255"/>
    <col min="12558" max="12558" width="0.5" style="255" customWidth="1"/>
    <col min="12559" max="12559" width="25.25" style="255"/>
    <col min="12560" max="12560" width="14.75" style="255" customWidth="1"/>
    <col min="12561" max="12561" width="11.5" style="255" customWidth="1"/>
    <col min="12562" max="12562" width="11.25" style="255" customWidth="1"/>
    <col min="12563" max="12563" width="10.75" style="255" customWidth="1"/>
    <col min="12564" max="12564" width="10" style="255" customWidth="1"/>
    <col min="12565" max="12565" width="9.875" style="255" customWidth="1"/>
    <col min="12566" max="12566" width="26.125" style="255" customWidth="1"/>
    <col min="12567" max="12567" width="11.125" style="255" customWidth="1"/>
    <col min="12568" max="12568" width="7.875" style="255" customWidth="1"/>
    <col min="12569" max="12569" width="7.25" style="255" customWidth="1"/>
    <col min="12570" max="12570" width="9.125" style="255" customWidth="1"/>
    <col min="12571" max="12571" width="15.125" style="255" customWidth="1"/>
    <col min="12572" max="12572" width="7.75" style="255" customWidth="1"/>
    <col min="12573" max="12573" width="7.125" style="255" customWidth="1"/>
    <col min="12574" max="12574" width="12.125" style="255" customWidth="1"/>
    <col min="12575" max="12575" width="8.25" style="255" customWidth="1"/>
    <col min="12576" max="12577" width="10.375" style="255" customWidth="1"/>
    <col min="12578" max="12578" width="15.625" style="255" customWidth="1"/>
    <col min="12579" max="12579" width="15.875" style="255" customWidth="1"/>
    <col min="12580" max="12580" width="8.125" style="255" customWidth="1"/>
    <col min="12581" max="12584" width="10.375" style="255" customWidth="1"/>
    <col min="12585" max="12585" width="7.25" style="255" customWidth="1"/>
    <col min="12586" max="12586" width="7.125" style="255" customWidth="1"/>
    <col min="12587" max="12587" width="9.5" style="255" customWidth="1"/>
    <col min="12588" max="12589" width="9" style="255" customWidth="1"/>
    <col min="12590" max="12590" width="16.125" style="255" customWidth="1"/>
    <col min="12591" max="12621" width="9" style="255" customWidth="1"/>
    <col min="12622" max="12781" width="25.25" style="255"/>
    <col min="12782" max="12811" width="9" style="255" customWidth="1"/>
    <col min="12812" max="12812" width="0.5" style="255" customWidth="1"/>
    <col min="12813" max="12813" width="25.25" style="255"/>
    <col min="12814" max="12814" width="0.5" style="255" customWidth="1"/>
    <col min="12815" max="12815" width="25.25" style="255"/>
    <col min="12816" max="12816" width="14.75" style="255" customWidth="1"/>
    <col min="12817" max="12817" width="11.5" style="255" customWidth="1"/>
    <col min="12818" max="12818" width="11.25" style="255" customWidth="1"/>
    <col min="12819" max="12819" width="10.75" style="255" customWidth="1"/>
    <col min="12820" max="12820" width="10" style="255" customWidth="1"/>
    <col min="12821" max="12821" width="9.875" style="255" customWidth="1"/>
    <col min="12822" max="12822" width="26.125" style="255" customWidth="1"/>
    <col min="12823" max="12823" width="11.125" style="255" customWidth="1"/>
    <col min="12824" max="12824" width="7.875" style="255" customWidth="1"/>
    <col min="12825" max="12825" width="7.25" style="255" customWidth="1"/>
    <col min="12826" max="12826" width="9.125" style="255" customWidth="1"/>
    <col min="12827" max="12827" width="15.125" style="255" customWidth="1"/>
    <col min="12828" max="12828" width="7.75" style="255" customWidth="1"/>
    <col min="12829" max="12829" width="7.125" style="255" customWidth="1"/>
    <col min="12830" max="12830" width="12.125" style="255" customWidth="1"/>
    <col min="12831" max="12831" width="8.25" style="255" customWidth="1"/>
    <col min="12832" max="12833" width="10.375" style="255" customWidth="1"/>
    <col min="12834" max="12834" width="15.625" style="255" customWidth="1"/>
    <col min="12835" max="12835" width="15.875" style="255" customWidth="1"/>
    <col min="12836" max="12836" width="8.125" style="255" customWidth="1"/>
    <col min="12837" max="12840" width="10.375" style="255" customWidth="1"/>
    <col min="12841" max="12841" width="7.25" style="255" customWidth="1"/>
    <col min="12842" max="12842" width="7.125" style="255" customWidth="1"/>
    <col min="12843" max="12843" width="9.5" style="255" customWidth="1"/>
    <col min="12844" max="12845" width="9" style="255" customWidth="1"/>
    <col min="12846" max="12846" width="16.125" style="255" customWidth="1"/>
    <col min="12847" max="12877" width="9" style="255" customWidth="1"/>
    <col min="12878" max="13037" width="25.25" style="255"/>
    <col min="13038" max="13067" width="9" style="255" customWidth="1"/>
    <col min="13068" max="13068" width="0.5" style="255" customWidth="1"/>
    <col min="13069" max="13069" width="25.25" style="255"/>
    <col min="13070" max="13070" width="0.5" style="255" customWidth="1"/>
    <col min="13071" max="13071" width="25.25" style="255"/>
    <col min="13072" max="13072" width="14.75" style="255" customWidth="1"/>
    <col min="13073" max="13073" width="11.5" style="255" customWidth="1"/>
    <col min="13074" max="13074" width="11.25" style="255" customWidth="1"/>
    <col min="13075" max="13075" width="10.75" style="255" customWidth="1"/>
    <col min="13076" max="13076" width="10" style="255" customWidth="1"/>
    <col min="13077" max="13077" width="9.875" style="255" customWidth="1"/>
    <col min="13078" max="13078" width="26.125" style="255" customWidth="1"/>
    <col min="13079" max="13079" width="11.125" style="255" customWidth="1"/>
    <col min="13080" max="13080" width="7.875" style="255" customWidth="1"/>
    <col min="13081" max="13081" width="7.25" style="255" customWidth="1"/>
    <col min="13082" max="13082" width="9.125" style="255" customWidth="1"/>
    <col min="13083" max="13083" width="15.125" style="255" customWidth="1"/>
    <col min="13084" max="13084" width="7.75" style="255" customWidth="1"/>
    <col min="13085" max="13085" width="7.125" style="255" customWidth="1"/>
    <col min="13086" max="13086" width="12.125" style="255" customWidth="1"/>
    <col min="13087" max="13087" width="8.25" style="255" customWidth="1"/>
    <col min="13088" max="13089" width="10.375" style="255" customWidth="1"/>
    <col min="13090" max="13090" width="15.625" style="255" customWidth="1"/>
    <col min="13091" max="13091" width="15.875" style="255" customWidth="1"/>
    <col min="13092" max="13092" width="8.125" style="255" customWidth="1"/>
    <col min="13093" max="13096" width="10.375" style="255" customWidth="1"/>
    <col min="13097" max="13097" width="7.25" style="255" customWidth="1"/>
    <col min="13098" max="13098" width="7.125" style="255" customWidth="1"/>
    <col min="13099" max="13099" width="9.5" style="255" customWidth="1"/>
    <col min="13100" max="13101" width="9" style="255" customWidth="1"/>
    <col min="13102" max="13102" width="16.125" style="255" customWidth="1"/>
    <col min="13103" max="13133" width="9" style="255" customWidth="1"/>
    <col min="13134" max="13293" width="25.25" style="255"/>
    <col min="13294" max="13323" width="9" style="255" customWidth="1"/>
    <col min="13324" max="13324" width="0.5" style="255" customWidth="1"/>
    <col min="13325" max="13325" width="25.25" style="255"/>
    <col min="13326" max="13326" width="0.5" style="255" customWidth="1"/>
    <col min="13327" max="13327" width="25.25" style="255"/>
    <col min="13328" max="13328" width="14.75" style="255" customWidth="1"/>
    <col min="13329" max="13329" width="11.5" style="255" customWidth="1"/>
    <col min="13330" max="13330" width="11.25" style="255" customWidth="1"/>
    <col min="13331" max="13331" width="10.75" style="255" customWidth="1"/>
    <col min="13332" max="13332" width="10" style="255" customWidth="1"/>
    <col min="13333" max="13333" width="9.875" style="255" customWidth="1"/>
    <col min="13334" max="13334" width="26.125" style="255" customWidth="1"/>
    <col min="13335" max="13335" width="11.125" style="255" customWidth="1"/>
    <col min="13336" max="13336" width="7.875" style="255" customWidth="1"/>
    <col min="13337" max="13337" width="7.25" style="255" customWidth="1"/>
    <col min="13338" max="13338" width="9.125" style="255" customWidth="1"/>
    <col min="13339" max="13339" width="15.125" style="255" customWidth="1"/>
    <col min="13340" max="13340" width="7.75" style="255" customWidth="1"/>
    <col min="13341" max="13341" width="7.125" style="255" customWidth="1"/>
    <col min="13342" max="13342" width="12.125" style="255" customWidth="1"/>
    <col min="13343" max="13343" width="8.25" style="255" customWidth="1"/>
    <col min="13344" max="13345" width="10.375" style="255" customWidth="1"/>
    <col min="13346" max="13346" width="15.625" style="255" customWidth="1"/>
    <col min="13347" max="13347" width="15.875" style="255" customWidth="1"/>
    <col min="13348" max="13348" width="8.125" style="255" customWidth="1"/>
    <col min="13349" max="13352" width="10.375" style="255" customWidth="1"/>
    <col min="13353" max="13353" width="7.25" style="255" customWidth="1"/>
    <col min="13354" max="13354" width="7.125" style="255" customWidth="1"/>
    <col min="13355" max="13355" width="9.5" style="255" customWidth="1"/>
    <col min="13356" max="13357" width="9" style="255" customWidth="1"/>
    <col min="13358" max="13358" width="16.125" style="255" customWidth="1"/>
    <col min="13359" max="13389" width="9" style="255" customWidth="1"/>
    <col min="13390" max="13549" width="25.25" style="255"/>
    <col min="13550" max="13579" width="9" style="255" customWidth="1"/>
    <col min="13580" max="13580" width="0.5" style="255" customWidth="1"/>
    <col min="13581" max="13581" width="25.25" style="255"/>
    <col min="13582" max="13582" width="0.5" style="255" customWidth="1"/>
    <col min="13583" max="13583" width="25.25" style="255"/>
    <col min="13584" max="13584" width="14.75" style="255" customWidth="1"/>
    <col min="13585" max="13585" width="11.5" style="255" customWidth="1"/>
    <col min="13586" max="13586" width="11.25" style="255" customWidth="1"/>
    <col min="13587" max="13587" width="10.75" style="255" customWidth="1"/>
    <col min="13588" max="13588" width="10" style="255" customWidth="1"/>
    <col min="13589" max="13589" width="9.875" style="255" customWidth="1"/>
    <col min="13590" max="13590" width="26.125" style="255" customWidth="1"/>
    <col min="13591" max="13591" width="11.125" style="255" customWidth="1"/>
    <col min="13592" max="13592" width="7.875" style="255" customWidth="1"/>
    <col min="13593" max="13593" width="7.25" style="255" customWidth="1"/>
    <col min="13594" max="13594" width="9.125" style="255" customWidth="1"/>
    <col min="13595" max="13595" width="15.125" style="255" customWidth="1"/>
    <col min="13596" max="13596" width="7.75" style="255" customWidth="1"/>
    <col min="13597" max="13597" width="7.125" style="255" customWidth="1"/>
    <col min="13598" max="13598" width="12.125" style="255" customWidth="1"/>
    <col min="13599" max="13599" width="8.25" style="255" customWidth="1"/>
    <col min="13600" max="13601" width="10.375" style="255" customWidth="1"/>
    <col min="13602" max="13602" width="15.625" style="255" customWidth="1"/>
    <col min="13603" max="13603" width="15.875" style="255" customWidth="1"/>
    <col min="13604" max="13604" width="8.125" style="255" customWidth="1"/>
    <col min="13605" max="13608" width="10.375" style="255" customWidth="1"/>
    <col min="13609" max="13609" width="7.25" style="255" customWidth="1"/>
    <col min="13610" max="13610" width="7.125" style="255" customWidth="1"/>
    <col min="13611" max="13611" width="9.5" style="255" customWidth="1"/>
    <col min="13612" max="13613" width="9" style="255" customWidth="1"/>
    <col min="13614" max="13614" width="16.125" style="255" customWidth="1"/>
    <col min="13615" max="13645" width="9" style="255" customWidth="1"/>
    <col min="13646" max="13805" width="25.25" style="255"/>
    <col min="13806" max="13835" width="9" style="255" customWidth="1"/>
    <col min="13836" max="13836" width="0.5" style="255" customWidth="1"/>
    <col min="13837" max="13837" width="25.25" style="255"/>
    <col min="13838" max="13838" width="0.5" style="255" customWidth="1"/>
    <col min="13839" max="13839" width="25.25" style="255"/>
    <col min="13840" max="13840" width="14.75" style="255" customWidth="1"/>
    <col min="13841" max="13841" width="11.5" style="255" customWidth="1"/>
    <col min="13842" max="13842" width="11.25" style="255" customWidth="1"/>
    <col min="13843" max="13843" width="10.75" style="255" customWidth="1"/>
    <col min="13844" max="13844" width="10" style="255" customWidth="1"/>
    <col min="13845" max="13845" width="9.875" style="255" customWidth="1"/>
    <col min="13846" max="13846" width="26.125" style="255" customWidth="1"/>
    <col min="13847" max="13847" width="11.125" style="255" customWidth="1"/>
    <col min="13848" max="13848" width="7.875" style="255" customWidth="1"/>
    <col min="13849" max="13849" width="7.25" style="255" customWidth="1"/>
    <col min="13850" max="13850" width="9.125" style="255" customWidth="1"/>
    <col min="13851" max="13851" width="15.125" style="255" customWidth="1"/>
    <col min="13852" max="13852" width="7.75" style="255" customWidth="1"/>
    <col min="13853" max="13853" width="7.125" style="255" customWidth="1"/>
    <col min="13854" max="13854" width="12.125" style="255" customWidth="1"/>
    <col min="13855" max="13855" width="8.25" style="255" customWidth="1"/>
    <col min="13856" max="13857" width="10.375" style="255" customWidth="1"/>
    <col min="13858" max="13858" width="15.625" style="255" customWidth="1"/>
    <col min="13859" max="13859" width="15.875" style="255" customWidth="1"/>
    <col min="13860" max="13860" width="8.125" style="255" customWidth="1"/>
    <col min="13861" max="13864" width="10.375" style="255" customWidth="1"/>
    <col min="13865" max="13865" width="7.25" style="255" customWidth="1"/>
    <col min="13866" max="13866" width="7.125" style="255" customWidth="1"/>
    <col min="13867" max="13867" width="9.5" style="255" customWidth="1"/>
    <col min="13868" max="13869" width="9" style="255" customWidth="1"/>
    <col min="13870" max="13870" width="16.125" style="255" customWidth="1"/>
    <col min="13871" max="13901" width="9" style="255" customWidth="1"/>
    <col min="13902" max="14061" width="25.25" style="255"/>
    <col min="14062" max="14091" width="9" style="255" customWidth="1"/>
    <col min="14092" max="14092" width="0.5" style="255" customWidth="1"/>
    <col min="14093" max="14093" width="25.25" style="255"/>
    <col min="14094" max="14094" width="0.5" style="255" customWidth="1"/>
    <col min="14095" max="14095" width="25.25" style="255"/>
    <col min="14096" max="14096" width="14.75" style="255" customWidth="1"/>
    <col min="14097" max="14097" width="11.5" style="255" customWidth="1"/>
    <col min="14098" max="14098" width="11.25" style="255" customWidth="1"/>
    <col min="14099" max="14099" width="10.75" style="255" customWidth="1"/>
    <col min="14100" max="14100" width="10" style="255" customWidth="1"/>
    <col min="14101" max="14101" width="9.875" style="255" customWidth="1"/>
    <col min="14102" max="14102" width="26.125" style="255" customWidth="1"/>
    <col min="14103" max="14103" width="11.125" style="255" customWidth="1"/>
    <col min="14104" max="14104" width="7.875" style="255" customWidth="1"/>
    <col min="14105" max="14105" width="7.25" style="255" customWidth="1"/>
    <col min="14106" max="14106" width="9.125" style="255" customWidth="1"/>
    <col min="14107" max="14107" width="15.125" style="255" customWidth="1"/>
    <col min="14108" max="14108" width="7.75" style="255" customWidth="1"/>
    <col min="14109" max="14109" width="7.125" style="255" customWidth="1"/>
    <col min="14110" max="14110" width="12.125" style="255" customWidth="1"/>
    <col min="14111" max="14111" width="8.25" style="255" customWidth="1"/>
    <col min="14112" max="14113" width="10.375" style="255" customWidth="1"/>
    <col min="14114" max="14114" width="15.625" style="255" customWidth="1"/>
    <col min="14115" max="14115" width="15.875" style="255" customWidth="1"/>
    <col min="14116" max="14116" width="8.125" style="255" customWidth="1"/>
    <col min="14117" max="14120" width="10.375" style="255" customWidth="1"/>
    <col min="14121" max="14121" width="7.25" style="255" customWidth="1"/>
    <col min="14122" max="14122" width="7.125" style="255" customWidth="1"/>
    <col min="14123" max="14123" width="9.5" style="255" customWidth="1"/>
    <col min="14124" max="14125" width="9" style="255" customWidth="1"/>
    <col min="14126" max="14126" width="16.125" style="255" customWidth="1"/>
    <col min="14127" max="14157" width="9" style="255" customWidth="1"/>
    <col min="14158" max="14317" width="25.25" style="255"/>
    <col min="14318" max="14347" width="9" style="255" customWidth="1"/>
    <col min="14348" max="14348" width="0.5" style="255" customWidth="1"/>
    <col min="14349" max="14349" width="25.25" style="255"/>
    <col min="14350" max="14350" width="0.5" style="255" customWidth="1"/>
    <col min="14351" max="14351" width="25.25" style="255"/>
    <col min="14352" max="14352" width="14.75" style="255" customWidth="1"/>
    <col min="14353" max="14353" width="11.5" style="255" customWidth="1"/>
    <col min="14354" max="14354" width="11.25" style="255" customWidth="1"/>
    <col min="14355" max="14355" width="10.75" style="255" customWidth="1"/>
    <col min="14356" max="14356" width="10" style="255" customWidth="1"/>
    <col min="14357" max="14357" width="9.875" style="255" customWidth="1"/>
    <col min="14358" max="14358" width="26.125" style="255" customWidth="1"/>
    <col min="14359" max="14359" width="11.125" style="255" customWidth="1"/>
    <col min="14360" max="14360" width="7.875" style="255" customWidth="1"/>
    <col min="14361" max="14361" width="7.25" style="255" customWidth="1"/>
    <col min="14362" max="14362" width="9.125" style="255" customWidth="1"/>
    <col min="14363" max="14363" width="15.125" style="255" customWidth="1"/>
    <col min="14364" max="14364" width="7.75" style="255" customWidth="1"/>
    <col min="14365" max="14365" width="7.125" style="255" customWidth="1"/>
    <col min="14366" max="14366" width="12.125" style="255" customWidth="1"/>
    <col min="14367" max="14367" width="8.25" style="255" customWidth="1"/>
    <col min="14368" max="14369" width="10.375" style="255" customWidth="1"/>
    <col min="14370" max="14370" width="15.625" style="255" customWidth="1"/>
    <col min="14371" max="14371" width="15.875" style="255" customWidth="1"/>
    <col min="14372" max="14372" width="8.125" style="255" customWidth="1"/>
    <col min="14373" max="14376" width="10.375" style="255" customWidth="1"/>
    <col min="14377" max="14377" width="7.25" style="255" customWidth="1"/>
    <col min="14378" max="14378" width="7.125" style="255" customWidth="1"/>
    <col min="14379" max="14379" width="9.5" style="255" customWidth="1"/>
    <col min="14380" max="14381" width="9" style="255" customWidth="1"/>
    <col min="14382" max="14382" width="16.125" style="255" customWidth="1"/>
    <col min="14383" max="14413" width="9" style="255" customWidth="1"/>
    <col min="14414" max="14573" width="25.25" style="255"/>
    <col min="14574" max="14603" width="9" style="255" customWidth="1"/>
    <col min="14604" max="14604" width="0.5" style="255" customWidth="1"/>
    <col min="14605" max="14605" width="25.25" style="255"/>
    <col min="14606" max="14606" width="0.5" style="255" customWidth="1"/>
    <col min="14607" max="14607" width="25.25" style="255"/>
    <col min="14608" max="14608" width="14.75" style="255" customWidth="1"/>
    <col min="14609" max="14609" width="11.5" style="255" customWidth="1"/>
    <col min="14610" max="14610" width="11.25" style="255" customWidth="1"/>
    <col min="14611" max="14611" width="10.75" style="255" customWidth="1"/>
    <col min="14612" max="14612" width="10" style="255" customWidth="1"/>
    <col min="14613" max="14613" width="9.875" style="255" customWidth="1"/>
    <col min="14614" max="14614" width="26.125" style="255" customWidth="1"/>
    <col min="14615" max="14615" width="11.125" style="255" customWidth="1"/>
    <col min="14616" max="14616" width="7.875" style="255" customWidth="1"/>
    <col min="14617" max="14617" width="7.25" style="255" customWidth="1"/>
    <col min="14618" max="14618" width="9.125" style="255" customWidth="1"/>
    <col min="14619" max="14619" width="15.125" style="255" customWidth="1"/>
    <col min="14620" max="14620" width="7.75" style="255" customWidth="1"/>
    <col min="14621" max="14621" width="7.125" style="255" customWidth="1"/>
    <col min="14622" max="14622" width="12.125" style="255" customWidth="1"/>
    <col min="14623" max="14623" width="8.25" style="255" customWidth="1"/>
    <col min="14624" max="14625" width="10.375" style="255" customWidth="1"/>
    <col min="14626" max="14626" width="15.625" style="255" customWidth="1"/>
    <col min="14627" max="14627" width="15.875" style="255" customWidth="1"/>
    <col min="14628" max="14628" width="8.125" style="255" customWidth="1"/>
    <col min="14629" max="14632" width="10.375" style="255" customWidth="1"/>
    <col min="14633" max="14633" width="7.25" style="255" customWidth="1"/>
    <col min="14634" max="14634" width="7.125" style="255" customWidth="1"/>
    <col min="14635" max="14635" width="9.5" style="255" customWidth="1"/>
    <col min="14636" max="14637" width="9" style="255" customWidth="1"/>
    <col min="14638" max="14638" width="16.125" style="255" customWidth="1"/>
    <col min="14639" max="14669" width="9" style="255" customWidth="1"/>
    <col min="14670" max="14829" width="25.25" style="255"/>
    <col min="14830" max="14859" width="9" style="255" customWidth="1"/>
    <col min="14860" max="14860" width="0.5" style="255" customWidth="1"/>
    <col min="14861" max="14861" width="25.25" style="255"/>
    <col min="14862" max="14862" width="0.5" style="255" customWidth="1"/>
    <col min="14863" max="14863" width="25.25" style="255"/>
    <col min="14864" max="14864" width="14.75" style="255" customWidth="1"/>
    <col min="14865" max="14865" width="11.5" style="255" customWidth="1"/>
    <col min="14866" max="14866" width="11.25" style="255" customWidth="1"/>
    <col min="14867" max="14867" width="10.75" style="255" customWidth="1"/>
    <col min="14868" max="14868" width="10" style="255" customWidth="1"/>
    <col min="14869" max="14869" width="9.875" style="255" customWidth="1"/>
    <col min="14870" max="14870" width="26.125" style="255" customWidth="1"/>
    <col min="14871" max="14871" width="11.125" style="255" customWidth="1"/>
    <col min="14872" max="14872" width="7.875" style="255" customWidth="1"/>
    <col min="14873" max="14873" width="7.25" style="255" customWidth="1"/>
    <col min="14874" max="14874" width="9.125" style="255" customWidth="1"/>
    <col min="14875" max="14875" width="15.125" style="255" customWidth="1"/>
    <col min="14876" max="14876" width="7.75" style="255" customWidth="1"/>
    <col min="14877" max="14877" width="7.125" style="255" customWidth="1"/>
    <col min="14878" max="14878" width="12.125" style="255" customWidth="1"/>
    <col min="14879" max="14879" width="8.25" style="255" customWidth="1"/>
    <col min="14880" max="14881" width="10.375" style="255" customWidth="1"/>
    <col min="14882" max="14882" width="15.625" style="255" customWidth="1"/>
    <col min="14883" max="14883" width="15.875" style="255" customWidth="1"/>
    <col min="14884" max="14884" width="8.125" style="255" customWidth="1"/>
    <col min="14885" max="14888" width="10.375" style="255" customWidth="1"/>
    <col min="14889" max="14889" width="7.25" style="255" customWidth="1"/>
    <col min="14890" max="14890" width="7.125" style="255" customWidth="1"/>
    <col min="14891" max="14891" width="9.5" style="255" customWidth="1"/>
    <col min="14892" max="14893" width="9" style="255" customWidth="1"/>
    <col min="14894" max="14894" width="16.125" style="255" customWidth="1"/>
    <col min="14895" max="14925" width="9" style="255" customWidth="1"/>
    <col min="14926" max="15085" width="25.25" style="255"/>
    <col min="15086" max="15115" width="9" style="255" customWidth="1"/>
    <col min="15116" max="15116" width="0.5" style="255" customWidth="1"/>
    <col min="15117" max="15117" width="25.25" style="255"/>
    <col min="15118" max="15118" width="0.5" style="255" customWidth="1"/>
    <col min="15119" max="15119" width="25.25" style="255"/>
    <col min="15120" max="15120" width="14.75" style="255" customWidth="1"/>
    <col min="15121" max="15121" width="11.5" style="255" customWidth="1"/>
    <col min="15122" max="15122" width="11.25" style="255" customWidth="1"/>
    <col min="15123" max="15123" width="10.75" style="255" customWidth="1"/>
    <col min="15124" max="15124" width="10" style="255" customWidth="1"/>
    <col min="15125" max="15125" width="9.875" style="255" customWidth="1"/>
    <col min="15126" max="15126" width="26.125" style="255" customWidth="1"/>
    <col min="15127" max="15127" width="11.125" style="255" customWidth="1"/>
    <col min="15128" max="15128" width="7.875" style="255" customWidth="1"/>
    <col min="15129" max="15129" width="7.25" style="255" customWidth="1"/>
    <col min="15130" max="15130" width="9.125" style="255" customWidth="1"/>
    <col min="15131" max="15131" width="15.125" style="255" customWidth="1"/>
    <col min="15132" max="15132" width="7.75" style="255" customWidth="1"/>
    <col min="15133" max="15133" width="7.125" style="255" customWidth="1"/>
    <col min="15134" max="15134" width="12.125" style="255" customWidth="1"/>
    <col min="15135" max="15135" width="8.25" style="255" customWidth="1"/>
    <col min="15136" max="15137" width="10.375" style="255" customWidth="1"/>
    <col min="15138" max="15138" width="15.625" style="255" customWidth="1"/>
    <col min="15139" max="15139" width="15.875" style="255" customWidth="1"/>
    <col min="15140" max="15140" width="8.125" style="255" customWidth="1"/>
    <col min="15141" max="15144" width="10.375" style="255" customWidth="1"/>
    <col min="15145" max="15145" width="7.25" style="255" customWidth="1"/>
    <col min="15146" max="15146" width="7.125" style="255" customWidth="1"/>
    <col min="15147" max="15147" width="9.5" style="255" customWidth="1"/>
    <col min="15148" max="15149" width="9" style="255" customWidth="1"/>
    <col min="15150" max="15150" width="16.125" style="255" customWidth="1"/>
    <col min="15151" max="15181" width="9" style="255" customWidth="1"/>
    <col min="15182" max="15341" width="25.25" style="255"/>
    <col min="15342" max="15371" width="9" style="255" customWidth="1"/>
    <col min="15372" max="15372" width="0.5" style="255" customWidth="1"/>
    <col min="15373" max="15373" width="25.25" style="255"/>
    <col min="15374" max="15374" width="0.5" style="255" customWidth="1"/>
    <col min="15375" max="15375" width="25.25" style="255"/>
    <col min="15376" max="15376" width="14.75" style="255" customWidth="1"/>
    <col min="15377" max="15377" width="11.5" style="255" customWidth="1"/>
    <col min="15378" max="15378" width="11.25" style="255" customWidth="1"/>
    <col min="15379" max="15379" width="10.75" style="255" customWidth="1"/>
    <col min="15380" max="15380" width="10" style="255" customWidth="1"/>
    <col min="15381" max="15381" width="9.875" style="255" customWidth="1"/>
    <col min="15382" max="15382" width="26.125" style="255" customWidth="1"/>
    <col min="15383" max="15383" width="11.125" style="255" customWidth="1"/>
    <col min="15384" max="15384" width="7.875" style="255" customWidth="1"/>
    <col min="15385" max="15385" width="7.25" style="255" customWidth="1"/>
    <col min="15386" max="15386" width="9.125" style="255" customWidth="1"/>
    <col min="15387" max="15387" width="15.125" style="255" customWidth="1"/>
    <col min="15388" max="15388" width="7.75" style="255" customWidth="1"/>
    <col min="15389" max="15389" width="7.125" style="255" customWidth="1"/>
    <col min="15390" max="15390" width="12.125" style="255" customWidth="1"/>
    <col min="15391" max="15391" width="8.25" style="255" customWidth="1"/>
    <col min="15392" max="15393" width="10.375" style="255" customWidth="1"/>
    <col min="15394" max="15394" width="15.625" style="255" customWidth="1"/>
    <col min="15395" max="15395" width="15.875" style="255" customWidth="1"/>
    <col min="15396" max="15396" width="8.125" style="255" customWidth="1"/>
    <col min="15397" max="15400" width="10.375" style="255" customWidth="1"/>
    <col min="15401" max="15401" width="7.25" style="255" customWidth="1"/>
    <col min="15402" max="15402" width="7.125" style="255" customWidth="1"/>
    <col min="15403" max="15403" width="9.5" style="255" customWidth="1"/>
    <col min="15404" max="15405" width="9" style="255" customWidth="1"/>
    <col min="15406" max="15406" width="16.125" style="255" customWidth="1"/>
    <col min="15407" max="15437" width="9" style="255" customWidth="1"/>
    <col min="15438" max="15597" width="25.25" style="255"/>
    <col min="15598" max="15627" width="9" style="255" customWidth="1"/>
    <col min="15628" max="15628" width="0.5" style="255" customWidth="1"/>
    <col min="15629" max="15629" width="25.25" style="255"/>
    <col min="15630" max="15630" width="0.5" style="255" customWidth="1"/>
    <col min="15631" max="15631" width="25.25" style="255"/>
    <col min="15632" max="15632" width="14.75" style="255" customWidth="1"/>
    <col min="15633" max="15633" width="11.5" style="255" customWidth="1"/>
    <col min="15634" max="15634" width="11.25" style="255" customWidth="1"/>
    <col min="15635" max="15635" width="10.75" style="255" customWidth="1"/>
    <col min="15636" max="15636" width="10" style="255" customWidth="1"/>
    <col min="15637" max="15637" width="9.875" style="255" customWidth="1"/>
    <col min="15638" max="15638" width="26.125" style="255" customWidth="1"/>
    <col min="15639" max="15639" width="11.125" style="255" customWidth="1"/>
    <col min="15640" max="15640" width="7.875" style="255" customWidth="1"/>
    <col min="15641" max="15641" width="7.25" style="255" customWidth="1"/>
    <col min="15642" max="15642" width="9.125" style="255" customWidth="1"/>
    <col min="15643" max="15643" width="15.125" style="255" customWidth="1"/>
    <col min="15644" max="15644" width="7.75" style="255" customWidth="1"/>
    <col min="15645" max="15645" width="7.125" style="255" customWidth="1"/>
    <col min="15646" max="15646" width="12.125" style="255" customWidth="1"/>
    <col min="15647" max="15647" width="8.25" style="255" customWidth="1"/>
    <col min="15648" max="15649" width="10.375" style="255" customWidth="1"/>
    <col min="15650" max="15650" width="15.625" style="255" customWidth="1"/>
    <col min="15651" max="15651" width="15.875" style="255" customWidth="1"/>
    <col min="15652" max="15652" width="8.125" style="255" customWidth="1"/>
    <col min="15653" max="15656" width="10.375" style="255" customWidth="1"/>
    <col min="15657" max="15657" width="7.25" style="255" customWidth="1"/>
    <col min="15658" max="15658" width="7.125" style="255" customWidth="1"/>
    <col min="15659" max="15659" width="9.5" style="255" customWidth="1"/>
    <col min="15660" max="15661" width="9" style="255" customWidth="1"/>
    <col min="15662" max="15662" width="16.125" style="255" customWidth="1"/>
    <col min="15663" max="15693" width="9" style="255" customWidth="1"/>
    <col min="15694" max="15853" width="25.25" style="255"/>
    <col min="15854" max="15883" width="9" style="255" customWidth="1"/>
    <col min="15884" max="15884" width="0.5" style="255" customWidth="1"/>
    <col min="15885" max="15885" width="25.25" style="255"/>
    <col min="15886" max="15886" width="0.5" style="255" customWidth="1"/>
    <col min="15887" max="15887" width="25.25" style="255"/>
    <col min="15888" max="15888" width="14.75" style="255" customWidth="1"/>
    <col min="15889" max="15889" width="11.5" style="255" customWidth="1"/>
    <col min="15890" max="15890" width="11.25" style="255" customWidth="1"/>
    <col min="15891" max="15891" width="10.75" style="255" customWidth="1"/>
    <col min="15892" max="15892" width="10" style="255" customWidth="1"/>
    <col min="15893" max="15893" width="9.875" style="255" customWidth="1"/>
    <col min="15894" max="15894" width="26.125" style="255" customWidth="1"/>
    <col min="15895" max="15895" width="11.125" style="255" customWidth="1"/>
    <col min="15896" max="15896" width="7.875" style="255" customWidth="1"/>
    <col min="15897" max="15897" width="7.25" style="255" customWidth="1"/>
    <col min="15898" max="15898" width="9.125" style="255" customWidth="1"/>
    <col min="15899" max="15899" width="15.125" style="255" customWidth="1"/>
    <col min="15900" max="15900" width="7.75" style="255" customWidth="1"/>
    <col min="15901" max="15901" width="7.125" style="255" customWidth="1"/>
    <col min="15902" max="15902" width="12.125" style="255" customWidth="1"/>
    <col min="15903" max="15903" width="8.25" style="255" customWidth="1"/>
    <col min="15904" max="15905" width="10.375" style="255" customWidth="1"/>
    <col min="15906" max="15906" width="15.625" style="255" customWidth="1"/>
    <col min="15907" max="15907" width="15.875" style="255" customWidth="1"/>
    <col min="15908" max="15908" width="8.125" style="255" customWidth="1"/>
    <col min="15909" max="15912" width="10.375" style="255" customWidth="1"/>
    <col min="15913" max="15913" width="7.25" style="255" customWidth="1"/>
    <col min="15914" max="15914" width="7.125" style="255" customWidth="1"/>
    <col min="15915" max="15915" width="9.5" style="255" customWidth="1"/>
    <col min="15916" max="15917" width="9" style="255" customWidth="1"/>
    <col min="15918" max="15918" width="16.125" style="255" customWidth="1"/>
    <col min="15919" max="15949" width="9" style="255" customWidth="1"/>
    <col min="15950" max="16109" width="25.25" style="255"/>
    <col min="16110" max="16139" width="9" style="255" customWidth="1"/>
    <col min="16140" max="16140" width="0.5" style="255" customWidth="1"/>
    <col min="16141" max="16384" width="25.25" style="255"/>
  </cols>
  <sheetData>
    <row r="1" spans="1:16" ht="14.25" thickBot="1"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1"/>
      <c r="O1" s="1"/>
      <c r="P1" s="1"/>
    </row>
    <row r="2" spans="1:16" ht="18" customHeight="1">
      <c r="A2" s="5"/>
      <c r="B2" s="6" t="s">
        <v>402</v>
      </c>
      <c r="C2" s="254"/>
      <c r="D2" s="254" t="s">
        <v>9</v>
      </c>
      <c r="E2" s="254" t="s">
        <v>10</v>
      </c>
      <c r="F2" s="661" t="s">
        <v>11</v>
      </c>
      <c r="G2" s="661"/>
      <c r="H2" s="661"/>
      <c r="I2" s="662" t="s">
        <v>12</v>
      </c>
      <c r="J2" s="664" t="s">
        <v>13</v>
      </c>
      <c r="K2" s="665"/>
      <c r="L2" s="665"/>
      <c r="M2" s="666"/>
      <c r="N2" s="8"/>
      <c r="O2" s="8"/>
      <c r="P2" s="8"/>
    </row>
    <row r="3" spans="1:16" ht="18" customHeight="1">
      <c r="B3" s="9" t="s">
        <v>14</v>
      </c>
      <c r="C3" s="10" t="s">
        <v>15</v>
      </c>
      <c r="D3" s="10" t="s">
        <v>16</v>
      </c>
      <c r="E3" s="10" t="s">
        <v>17</v>
      </c>
      <c r="F3" s="10" t="s">
        <v>7</v>
      </c>
      <c r="G3" s="10" t="s">
        <v>5</v>
      </c>
      <c r="H3" s="10" t="s">
        <v>18</v>
      </c>
      <c r="I3" s="663"/>
      <c r="J3" s="11" t="s">
        <v>19</v>
      </c>
      <c r="K3" s="12" t="s">
        <v>20</v>
      </c>
      <c r="L3" s="12" t="s">
        <v>21</v>
      </c>
      <c r="M3" s="13" t="s">
        <v>22</v>
      </c>
      <c r="N3" s="14"/>
      <c r="P3" s="15"/>
    </row>
    <row r="4" spans="1:16" ht="18" customHeight="1">
      <c r="B4" s="667" t="str">
        <f ca="1">MID(CELL("filename",Q13),FIND("]",CELL("filename",Q13))+1,30)</f>
        <v>MLC2030</v>
      </c>
      <c r="C4" s="17" t="s">
        <v>23</v>
      </c>
      <c r="D4" s="17">
        <v>2000</v>
      </c>
      <c r="E4" s="17">
        <v>3000</v>
      </c>
      <c r="F4" s="18">
        <v>5.57</v>
      </c>
      <c r="G4" s="17">
        <v>1</v>
      </c>
      <c r="H4" s="17">
        <f>F4*G4</f>
        <v>5.57</v>
      </c>
      <c r="I4" s="663"/>
      <c r="J4" s="19">
        <v>40</v>
      </c>
      <c r="K4" s="20">
        <v>20</v>
      </c>
      <c r="L4" s="21">
        <v>1.5</v>
      </c>
      <c r="M4" s="22">
        <f t="shared" ref="M4:M11" si="0">ROUND(((J4*K4)-(J4-2*L4)*(K4-2*L4))*7.8/1000,3)</f>
        <v>1.3340000000000001</v>
      </c>
    </row>
    <row r="5" spans="1:16" ht="18" customHeight="1">
      <c r="B5" s="668"/>
      <c r="C5" s="221" t="s">
        <v>299</v>
      </c>
      <c r="D5" s="221">
        <f>D4-70</f>
        <v>1930</v>
      </c>
      <c r="E5" s="221">
        <f>E4-70</f>
        <v>2930</v>
      </c>
      <c r="F5" s="222">
        <f>D5*E5/10^6</f>
        <v>5.6548999999999996</v>
      </c>
      <c r="G5" s="221">
        <v>1</v>
      </c>
      <c r="H5" s="222">
        <f>F5*G5</f>
        <v>5.6548999999999996</v>
      </c>
      <c r="I5" s="663"/>
      <c r="J5" s="19">
        <v>40</v>
      </c>
      <c r="K5" s="20">
        <v>20</v>
      </c>
      <c r="L5" s="21">
        <v>2</v>
      </c>
      <c r="M5" s="22">
        <f t="shared" si="0"/>
        <v>1.7470000000000001</v>
      </c>
    </row>
    <row r="6" spans="1:16" ht="18" customHeight="1">
      <c r="B6" s="669"/>
      <c r="C6" s="17" t="s">
        <v>24</v>
      </c>
      <c r="D6" s="17">
        <f>D4-80</f>
        <v>1920</v>
      </c>
      <c r="E6" s="17">
        <f>E4-80</f>
        <v>2920</v>
      </c>
      <c r="F6" s="18">
        <f>D6*E6/10^6</f>
        <v>5.6063999999999998</v>
      </c>
      <c r="G6" s="17">
        <v>1</v>
      </c>
      <c r="H6" s="18">
        <f>F6*G6</f>
        <v>5.6063999999999998</v>
      </c>
      <c r="I6" s="663"/>
      <c r="J6" s="19">
        <v>40</v>
      </c>
      <c r="K6" s="20">
        <v>20</v>
      </c>
      <c r="L6" s="21">
        <v>2</v>
      </c>
      <c r="M6" s="22">
        <f t="shared" si="0"/>
        <v>1.7470000000000001</v>
      </c>
    </row>
    <row r="7" spans="1:16" ht="18" customHeight="1">
      <c r="B7" s="23" t="s">
        <v>25</v>
      </c>
      <c r="C7" s="252" t="s">
        <v>16</v>
      </c>
      <c r="D7" s="252" t="s">
        <v>26</v>
      </c>
      <c r="E7" s="252" t="s">
        <v>17</v>
      </c>
      <c r="F7" s="252" t="s">
        <v>27</v>
      </c>
      <c r="G7" s="252" t="s">
        <v>22</v>
      </c>
      <c r="H7" s="252" t="s">
        <v>28</v>
      </c>
      <c r="I7" s="25" t="s">
        <v>29</v>
      </c>
      <c r="J7" s="19">
        <v>80</v>
      </c>
      <c r="K7" s="20">
        <v>40</v>
      </c>
      <c r="L7" s="21">
        <v>2</v>
      </c>
      <c r="M7" s="22">
        <f t="shared" si="0"/>
        <v>3.6190000000000002</v>
      </c>
    </row>
    <row r="8" spans="1:16" ht="18" customHeight="1">
      <c r="B8" s="251" t="s">
        <v>30</v>
      </c>
      <c r="C8" s="27">
        <f>D4-30</f>
        <v>1970</v>
      </c>
      <c r="D8" s="27">
        <v>2</v>
      </c>
      <c r="E8" s="27">
        <f>E4-30</f>
        <v>2970</v>
      </c>
      <c r="F8" s="27">
        <v>2</v>
      </c>
      <c r="G8" s="28">
        <v>1.7470000000000001</v>
      </c>
      <c r="H8" s="29">
        <f>材料价格!B3</f>
        <v>7.5</v>
      </c>
      <c r="I8" s="30">
        <f>ROUND((C8*D8+E8*F8)*G8*H8/1000*1.1,2)</f>
        <v>142.4</v>
      </c>
      <c r="J8" s="19">
        <v>40</v>
      </c>
      <c r="K8" s="20">
        <v>20</v>
      </c>
      <c r="L8" s="21">
        <v>1.4</v>
      </c>
      <c r="M8" s="22">
        <f>ROUND(((J8*K8)-(J8-2*L8)*(K8-2*L8))*2.71/1000,3)</f>
        <v>0.434</v>
      </c>
    </row>
    <row r="9" spans="1:16" ht="18" customHeight="1">
      <c r="B9" s="251" t="s">
        <v>30</v>
      </c>
      <c r="C9" s="250"/>
      <c r="D9" s="250"/>
      <c r="E9" s="250"/>
      <c r="F9" s="250"/>
      <c r="G9" s="28">
        <v>1.7470000000000001</v>
      </c>
      <c r="H9" s="32">
        <f>H8</f>
        <v>7.5</v>
      </c>
      <c r="I9" s="30">
        <f>ROUND((C9*D9+E9*F9)*G9*H9/1000*1.1,2)</f>
        <v>0</v>
      </c>
      <c r="J9" s="19"/>
      <c r="K9" s="20"/>
      <c r="L9" s="21"/>
      <c r="M9" s="22">
        <f t="shared" si="0"/>
        <v>0</v>
      </c>
    </row>
    <row r="10" spans="1:16" ht="18" customHeight="1">
      <c r="B10" s="251" t="s">
        <v>31</v>
      </c>
      <c r="C10" s="250"/>
      <c r="D10" s="250"/>
      <c r="E10" s="250"/>
      <c r="F10" s="250"/>
      <c r="G10" s="28">
        <v>3.6190000000000002</v>
      </c>
      <c r="H10" s="32">
        <f>H9</f>
        <v>7.5</v>
      </c>
      <c r="I10" s="30">
        <f>ROUND((C10*D10+E10*F10)*G10*H10/1000*1.1,2)</f>
        <v>0</v>
      </c>
      <c r="J10" s="19"/>
      <c r="K10" s="20"/>
      <c r="L10" s="12"/>
      <c r="M10" s="22">
        <f t="shared" si="0"/>
        <v>0</v>
      </c>
    </row>
    <row r="11" spans="1:16" ht="18" customHeight="1" thickBot="1">
      <c r="B11" s="251" t="s">
        <v>32</v>
      </c>
      <c r="C11" s="250"/>
      <c r="D11" s="250"/>
      <c r="E11" s="250"/>
      <c r="F11" s="250"/>
      <c r="G11" s="28">
        <v>2.9950000000000001</v>
      </c>
      <c r="H11" s="32">
        <f>H10</f>
        <v>7.5</v>
      </c>
      <c r="I11" s="30">
        <f>ROUND((C11*D11+E11*F11)*G11*H11/1000*1.1,2)</f>
        <v>0</v>
      </c>
      <c r="J11" s="33"/>
      <c r="K11" s="34"/>
      <c r="L11" s="35"/>
      <c r="M11" s="36">
        <f t="shared" si="0"/>
        <v>0</v>
      </c>
    </row>
    <row r="12" spans="1:16" ht="18" customHeight="1">
      <c r="B12" s="37" t="s">
        <v>33</v>
      </c>
      <c r="C12" s="38">
        <f>((I9+I10+I8+I11)/H8)/F4</f>
        <v>3.4087372830640335</v>
      </c>
      <c r="D12" s="39" t="s">
        <v>34</v>
      </c>
      <c r="E12" s="38">
        <f>(I9+I10+I8+I11)/F4</f>
        <v>25.56552962298025</v>
      </c>
      <c r="F12" s="40" t="s">
        <v>35</v>
      </c>
      <c r="G12" s="39"/>
      <c r="H12" s="39">
        <f>ROUND(SUM(I8:I11)/H8,2)</f>
        <v>18.989999999999998</v>
      </c>
      <c r="I12" s="41">
        <f>SUM(I8:I11)</f>
        <v>142.4</v>
      </c>
      <c r="J12" s="42"/>
    </row>
    <row r="13" spans="1:16" ht="18" customHeight="1">
      <c r="B13" s="23" t="s">
        <v>36</v>
      </c>
      <c r="C13" s="252" t="s">
        <v>14</v>
      </c>
      <c r="D13" s="252" t="s">
        <v>37</v>
      </c>
      <c r="E13" s="252" t="s">
        <v>38</v>
      </c>
      <c r="F13" s="252" t="s">
        <v>39</v>
      </c>
      <c r="G13" s="252" t="s">
        <v>8</v>
      </c>
      <c r="H13" s="252" t="s">
        <v>22</v>
      </c>
      <c r="I13" s="25" t="s">
        <v>40</v>
      </c>
    </row>
    <row r="14" spans="1:16" ht="18" customHeight="1">
      <c r="B14" s="648" t="s">
        <v>41</v>
      </c>
      <c r="C14" s="649" t="s">
        <v>404</v>
      </c>
      <c r="D14" s="250">
        <f>D6</f>
        <v>1920</v>
      </c>
      <c r="E14" s="250">
        <v>1000</v>
      </c>
      <c r="F14" s="44">
        <f>ROUND((D14+E14)*2/1000,4)</f>
        <v>5.84</v>
      </c>
      <c r="G14" s="250">
        <v>1</v>
      </c>
      <c r="H14" s="250">
        <v>1.47</v>
      </c>
      <c r="I14" s="284">
        <f>ROUND(F14*G14*H14,3)*1.5</f>
        <v>12.877500000000001</v>
      </c>
      <c r="J14" s="42"/>
      <c r="K14" s="46"/>
      <c r="L14" s="46"/>
      <c r="M14" s="42"/>
    </row>
    <row r="15" spans="1:16" ht="18" customHeight="1">
      <c r="B15" s="648"/>
      <c r="C15" s="650"/>
      <c r="D15" s="250">
        <v>550</v>
      </c>
      <c r="E15" s="250">
        <f>E6-E14</f>
        <v>1920</v>
      </c>
      <c r="F15" s="44">
        <f t="shared" ref="F15:F21" si="1">ROUND((D15+E15)*2/1000,4)</f>
        <v>4.9400000000000004</v>
      </c>
      <c r="G15" s="250">
        <v>2</v>
      </c>
      <c r="H15" s="250">
        <f t="shared" ref="H15:H21" si="2">H14</f>
        <v>1.47</v>
      </c>
      <c r="I15" s="247">
        <f t="shared" ref="I15:I21" si="3">ROUND(F15*G15*H15,3)</f>
        <v>14.523999999999999</v>
      </c>
      <c r="K15" s="47"/>
      <c r="M15" s="255"/>
    </row>
    <row r="16" spans="1:16" ht="18" customHeight="1">
      <c r="B16" s="648"/>
      <c r="C16" s="650"/>
      <c r="D16" s="250"/>
      <c r="E16" s="250"/>
      <c r="F16" s="44">
        <f t="shared" si="1"/>
        <v>0</v>
      </c>
      <c r="G16" s="250"/>
      <c r="H16" s="250">
        <f t="shared" si="2"/>
        <v>1.47</v>
      </c>
      <c r="I16" s="247">
        <f t="shared" si="3"/>
        <v>0</v>
      </c>
      <c r="K16" s="47"/>
      <c r="L16" s="46"/>
      <c r="M16" s="42"/>
    </row>
    <row r="17" spans="2:15" ht="18" customHeight="1">
      <c r="B17" s="648"/>
      <c r="C17" s="650"/>
      <c r="D17" s="250"/>
      <c r="E17" s="250"/>
      <c r="F17" s="44">
        <f t="shared" si="1"/>
        <v>0</v>
      </c>
      <c r="G17" s="250"/>
      <c r="H17" s="250">
        <f t="shared" si="2"/>
        <v>1.47</v>
      </c>
      <c r="I17" s="247">
        <f t="shared" si="3"/>
        <v>0</v>
      </c>
      <c r="K17" s="47"/>
      <c r="M17" s="42"/>
    </row>
    <row r="18" spans="2:15" ht="18" customHeight="1">
      <c r="B18" s="648"/>
      <c r="C18" s="650"/>
      <c r="D18" s="250"/>
      <c r="E18" s="250"/>
      <c r="F18" s="44">
        <f t="shared" si="1"/>
        <v>0</v>
      </c>
      <c r="G18" s="250"/>
      <c r="H18" s="250">
        <f t="shared" si="2"/>
        <v>1.47</v>
      </c>
      <c r="I18" s="247">
        <f t="shared" si="3"/>
        <v>0</v>
      </c>
      <c r="M18" s="42"/>
    </row>
    <row r="19" spans="2:15" ht="18" customHeight="1">
      <c r="B19" s="648"/>
      <c r="C19" s="650"/>
      <c r="D19" s="250"/>
      <c r="E19" s="250"/>
      <c r="F19" s="44">
        <f t="shared" si="1"/>
        <v>0</v>
      </c>
      <c r="G19" s="250"/>
      <c r="H19" s="250">
        <f t="shared" si="2"/>
        <v>1.47</v>
      </c>
      <c r="I19" s="247">
        <f t="shared" si="3"/>
        <v>0</v>
      </c>
      <c r="M19" s="42"/>
    </row>
    <row r="20" spans="2:15" ht="18" customHeight="1">
      <c r="B20" s="648"/>
      <c r="C20" s="650"/>
      <c r="D20" s="250"/>
      <c r="E20" s="250"/>
      <c r="F20" s="44">
        <f t="shared" si="1"/>
        <v>0</v>
      </c>
      <c r="G20" s="250"/>
      <c r="H20" s="250">
        <f t="shared" si="2"/>
        <v>1.47</v>
      </c>
      <c r="I20" s="247">
        <f t="shared" si="3"/>
        <v>0</v>
      </c>
      <c r="K20" s="47"/>
      <c r="M20" s="42"/>
    </row>
    <row r="21" spans="2:15" ht="18" customHeight="1">
      <c r="B21" s="648"/>
      <c r="C21" s="651"/>
      <c r="D21" s="250"/>
      <c r="E21" s="250"/>
      <c r="F21" s="44">
        <f t="shared" si="1"/>
        <v>0</v>
      </c>
      <c r="G21" s="250"/>
      <c r="H21" s="250">
        <f t="shared" si="2"/>
        <v>1.47</v>
      </c>
      <c r="I21" s="247">
        <f t="shared" si="3"/>
        <v>0</v>
      </c>
    </row>
    <row r="22" spans="2:15" ht="18" customHeight="1">
      <c r="B22" s="48" t="s">
        <v>42</v>
      </c>
      <c r="C22" s="49">
        <f>SUMPRODUCT(F14:F21*G14:G21)</f>
        <v>15.72</v>
      </c>
      <c r="D22" s="50" t="s">
        <v>43</v>
      </c>
      <c r="E22" s="49">
        <f>SUM(I14:I21)*1.1</f>
        <v>30.141650000000002</v>
      </c>
      <c r="F22" s="50" t="s">
        <v>44</v>
      </c>
      <c r="G22" s="51">
        <f>(C$218+C$219)/1000</f>
        <v>46.081499999999998</v>
      </c>
      <c r="H22" s="52" t="s">
        <v>45</v>
      </c>
      <c r="I22" s="53">
        <f>ROUND(E22*G22,2)</f>
        <v>1388.97</v>
      </c>
      <c r="J22" s="243">
        <f>SUM(G14:G21)</f>
        <v>3</v>
      </c>
    </row>
    <row r="23" spans="2:15" ht="18" customHeight="1">
      <c r="B23" s="48" t="s">
        <v>46</v>
      </c>
      <c r="C23" s="50">
        <v>207.36</v>
      </c>
      <c r="D23" s="50" t="s">
        <v>47</v>
      </c>
      <c r="E23" s="49">
        <f>ROUND(C22*(C23/1000),2)</f>
        <v>3.26</v>
      </c>
      <c r="F23" s="50" t="s">
        <v>48</v>
      </c>
      <c r="G23" s="50">
        <v>10</v>
      </c>
      <c r="H23" s="52" t="s">
        <v>49</v>
      </c>
      <c r="I23" s="53">
        <f>E23*G23</f>
        <v>32.599999999999994</v>
      </c>
    </row>
    <row r="24" spans="2:15" ht="18" customHeight="1" thickBot="1">
      <c r="B24" s="48" t="s">
        <v>50</v>
      </c>
      <c r="C24" s="50">
        <v>169.96</v>
      </c>
      <c r="D24" s="50" t="s">
        <v>51</v>
      </c>
      <c r="E24" s="49">
        <f>ROUND(C22*(C24/1000),2)</f>
        <v>2.67</v>
      </c>
      <c r="F24" s="50" t="s">
        <v>48</v>
      </c>
      <c r="G24" s="50">
        <v>10</v>
      </c>
      <c r="H24" s="52" t="s">
        <v>49</v>
      </c>
      <c r="I24" s="53">
        <f>E24*G24</f>
        <v>26.7</v>
      </c>
    </row>
    <row r="25" spans="2:15" ht="18" customHeight="1">
      <c r="B25" s="23" t="s">
        <v>36</v>
      </c>
      <c r="C25" s="252" t="s">
        <v>14</v>
      </c>
      <c r="D25" s="252" t="s">
        <v>37</v>
      </c>
      <c r="E25" s="252" t="s">
        <v>38</v>
      </c>
      <c r="F25" s="252" t="s">
        <v>39</v>
      </c>
      <c r="G25" s="252" t="s">
        <v>8</v>
      </c>
      <c r="H25" s="252" t="s">
        <v>22</v>
      </c>
      <c r="I25" s="25" t="s">
        <v>40</v>
      </c>
      <c r="J25" s="54" t="s">
        <v>2</v>
      </c>
      <c r="K25" s="55" t="s">
        <v>3</v>
      </c>
      <c r="L25" s="55" t="s">
        <v>52</v>
      </c>
      <c r="M25" s="55" t="s">
        <v>53</v>
      </c>
      <c r="N25" s="56" t="s">
        <v>14</v>
      </c>
    </row>
    <row r="26" spans="2:15" ht="18" customHeight="1">
      <c r="B26" s="648" t="s">
        <v>54</v>
      </c>
      <c r="C26" s="649" t="s">
        <v>55</v>
      </c>
      <c r="D26" s="253">
        <f>J26-IF(L26=1,44,IF(L26=2,30,IF(L26=3,16,0)))</f>
        <v>0</v>
      </c>
      <c r="E26" s="253">
        <f>K26-IF(M26=1,44,IF(M26=2,30,IF(M26=3,16,0)))</f>
        <v>0</v>
      </c>
      <c r="F26" s="44">
        <f>ROUND((D26+E26)*2/1000,4)</f>
        <v>0</v>
      </c>
      <c r="G26" s="250"/>
      <c r="H26" s="58">
        <v>1.62</v>
      </c>
      <c r="I26" s="59">
        <f>IF(AND(D26&gt;0,E26&gt;0,F26&gt;0),F26*G26*H26,0)</f>
        <v>0</v>
      </c>
      <c r="J26" s="60"/>
      <c r="K26" s="61"/>
      <c r="L26" s="61"/>
      <c r="M26" s="61"/>
      <c r="N26" s="62" t="s">
        <v>56</v>
      </c>
      <c r="O26" s="63" t="s">
        <v>57</v>
      </c>
    </row>
    <row r="27" spans="2:15" ht="18" customHeight="1">
      <c r="B27" s="648"/>
      <c r="C27" s="650"/>
      <c r="D27" s="253">
        <f t="shared" ref="D27:E30" si="4">J27-IF(L27=1,44,IF(L27=2,30,IF(L27=3,16,0)))</f>
        <v>0</v>
      </c>
      <c r="E27" s="253">
        <f t="shared" si="4"/>
        <v>0</v>
      </c>
      <c r="F27" s="44">
        <f>ROUND((D27+E27)*2/1000,4)</f>
        <v>0</v>
      </c>
      <c r="G27" s="250"/>
      <c r="H27" s="58">
        <f>H26</f>
        <v>1.62</v>
      </c>
      <c r="I27" s="59">
        <f>IF(AND(D27&gt;0,E27&gt;0,F27&gt;0),F27*G27*H27,0)</f>
        <v>0</v>
      </c>
      <c r="J27" s="60"/>
      <c r="K27" s="61"/>
      <c r="L27" s="61"/>
      <c r="M27" s="61"/>
      <c r="N27" s="62" t="s">
        <v>58</v>
      </c>
      <c r="O27" s="63" t="s">
        <v>59</v>
      </c>
    </row>
    <row r="28" spans="2:15" ht="18" customHeight="1">
      <c r="B28" s="648"/>
      <c r="C28" s="650"/>
      <c r="D28" s="253">
        <f t="shared" si="4"/>
        <v>0</v>
      </c>
      <c r="E28" s="253">
        <f t="shared" si="4"/>
        <v>0</v>
      </c>
      <c r="F28" s="44">
        <f>ROUND((D28+E28)*2/1000,4)</f>
        <v>0</v>
      </c>
      <c r="G28" s="250"/>
      <c r="H28" s="58">
        <f>H27</f>
        <v>1.62</v>
      </c>
      <c r="I28" s="59">
        <f>IF(AND(D28&gt;0,E28&gt;0,F28&gt;0),F28*G28*H28,0)</f>
        <v>0</v>
      </c>
      <c r="J28" s="60"/>
      <c r="K28" s="61"/>
      <c r="L28" s="61"/>
      <c r="M28" s="61"/>
      <c r="N28" s="62" t="s">
        <v>60</v>
      </c>
      <c r="O28" s="63" t="s">
        <v>59</v>
      </c>
    </row>
    <row r="29" spans="2:15" ht="18" customHeight="1">
      <c r="B29" s="648"/>
      <c r="C29" s="650"/>
      <c r="D29" s="253">
        <f t="shared" si="4"/>
        <v>0</v>
      </c>
      <c r="E29" s="253">
        <f t="shared" si="4"/>
        <v>0</v>
      </c>
      <c r="F29" s="44">
        <f>ROUND((D29+E29)*2/1000,4)</f>
        <v>0</v>
      </c>
      <c r="G29" s="250"/>
      <c r="H29" s="58">
        <f>H28</f>
        <v>1.62</v>
      </c>
      <c r="I29" s="59">
        <f>IF(AND(D29&gt;0,E29&gt;0,F29&gt;0),F29*G29*H29,0)</f>
        <v>0</v>
      </c>
      <c r="J29" s="60"/>
      <c r="K29" s="61"/>
      <c r="L29" s="61"/>
      <c r="M29" s="61"/>
      <c r="N29" s="62"/>
    </row>
    <row r="30" spans="2:15" ht="18" customHeight="1" thickBot="1">
      <c r="B30" s="648"/>
      <c r="C30" s="651"/>
      <c r="D30" s="253">
        <f t="shared" si="4"/>
        <v>0</v>
      </c>
      <c r="E30" s="253">
        <f t="shared" si="4"/>
        <v>0</v>
      </c>
      <c r="F30" s="44">
        <f>ROUND((D30+E30)*2/1000,4)</f>
        <v>0</v>
      </c>
      <c r="G30" s="250"/>
      <c r="H30" s="58">
        <f>H29</f>
        <v>1.62</v>
      </c>
      <c r="I30" s="59">
        <f>IF(AND(D30&gt;0,E30&gt;0,F30&gt;0),F30*G30*H30,0)</f>
        <v>0</v>
      </c>
      <c r="J30" s="64"/>
      <c r="K30" s="65"/>
      <c r="L30" s="65"/>
      <c r="M30" s="65"/>
      <c r="N30" s="66"/>
    </row>
    <row r="31" spans="2:15" ht="18" customHeight="1">
      <c r="B31" s="48" t="s">
        <v>42</v>
      </c>
      <c r="C31" s="49">
        <f>SUMPRODUCT(F26:F30*G26:G30)</f>
        <v>0</v>
      </c>
      <c r="D31" s="50" t="s">
        <v>43</v>
      </c>
      <c r="E31" s="49">
        <f>SUM(I26:I30)*1.1</f>
        <v>0</v>
      </c>
      <c r="F31" s="50" t="s">
        <v>44</v>
      </c>
      <c r="G31" s="51">
        <f>(C$218+C$221)/1000</f>
        <v>46.081499999999998</v>
      </c>
      <c r="H31" s="52" t="s">
        <v>45</v>
      </c>
      <c r="I31" s="53">
        <f>ROUND(E31*G31,2)</f>
        <v>0</v>
      </c>
      <c r="J31" s="243">
        <f>SUM(G26:G30)</f>
        <v>0</v>
      </c>
    </row>
    <row r="32" spans="2:15" ht="18" customHeight="1">
      <c r="B32" s="48" t="s">
        <v>46</v>
      </c>
      <c r="C32" s="50">
        <v>183.32</v>
      </c>
      <c r="D32" s="50" t="s">
        <v>47</v>
      </c>
      <c r="E32" s="49">
        <f>ROUND(C31*(C32/1000),2)</f>
        <v>0</v>
      </c>
      <c r="F32" s="50" t="s">
        <v>48</v>
      </c>
      <c r="G32" s="50">
        <f>G$23</f>
        <v>10</v>
      </c>
      <c r="H32" s="52" t="s">
        <v>49</v>
      </c>
      <c r="I32" s="53">
        <f>E32*G32</f>
        <v>0</v>
      </c>
    </row>
    <row r="33" spans="2:14" ht="18" customHeight="1" thickBot="1">
      <c r="B33" s="48" t="s">
        <v>50</v>
      </c>
      <c r="C33" s="50">
        <v>257.82</v>
      </c>
      <c r="D33" s="50" t="s">
        <v>51</v>
      </c>
      <c r="E33" s="49">
        <f>ROUND(C31*(C33/1000),2)</f>
        <v>0</v>
      </c>
      <c r="F33" s="50" t="s">
        <v>48</v>
      </c>
      <c r="G33" s="50">
        <f>G$24</f>
        <v>10</v>
      </c>
      <c r="H33" s="52" t="s">
        <v>49</v>
      </c>
      <c r="I33" s="53">
        <f>E33*G33</f>
        <v>0</v>
      </c>
    </row>
    <row r="34" spans="2:14" ht="18" customHeight="1" thickBot="1">
      <c r="B34" s="67" t="s">
        <v>36</v>
      </c>
      <c r="C34" s="68" t="s">
        <v>14</v>
      </c>
      <c r="D34" s="68" t="s">
        <v>37</v>
      </c>
      <c r="E34" s="68" t="s">
        <v>38</v>
      </c>
      <c r="F34" s="68" t="s">
        <v>39</v>
      </c>
      <c r="G34" s="68" t="s">
        <v>8</v>
      </c>
      <c r="H34" s="68" t="s">
        <v>22</v>
      </c>
      <c r="I34" s="69" t="s">
        <v>40</v>
      </c>
      <c r="J34" s="54" t="s">
        <v>2</v>
      </c>
      <c r="K34" s="55" t="s">
        <v>3</v>
      </c>
      <c r="L34" s="55" t="s">
        <v>61</v>
      </c>
      <c r="M34" s="55" t="s">
        <v>62</v>
      </c>
      <c r="N34" s="70" t="s">
        <v>14</v>
      </c>
    </row>
    <row r="35" spans="2:14" ht="18" customHeight="1">
      <c r="B35" s="648" t="s">
        <v>63</v>
      </c>
      <c r="C35" s="649" t="s">
        <v>64</v>
      </c>
      <c r="D35" s="253">
        <f t="shared" ref="D35:E37" si="5">J35-IF(L35=1,44,IF(L35=2,30,IF(L35=3,16,IF(L35=11,118,IF(L35=12,100,IF(L35=13,76.8,0))))))</f>
        <v>432</v>
      </c>
      <c r="E35" s="253">
        <f t="shared" si="5"/>
        <v>900</v>
      </c>
      <c r="F35" s="250">
        <f>ROUND((D35+E35)*2/1000,4)</f>
        <v>2.6640000000000001</v>
      </c>
      <c r="G35" s="250">
        <v>2</v>
      </c>
      <c r="H35" s="58">
        <v>1.8140000000000001</v>
      </c>
      <c r="I35" s="59">
        <f>ROUND(F35*G35*H35,3)</f>
        <v>9.6649999999999991</v>
      </c>
      <c r="J35" s="60">
        <f>D15</f>
        <v>550</v>
      </c>
      <c r="K35" s="61">
        <v>1000</v>
      </c>
      <c r="L35" s="61">
        <v>11</v>
      </c>
      <c r="M35" s="61">
        <v>12</v>
      </c>
      <c r="N35" s="71" t="s">
        <v>56</v>
      </c>
    </row>
    <row r="36" spans="2:14" ht="18" customHeight="1">
      <c r="B36" s="660"/>
      <c r="C36" s="650"/>
      <c r="D36" s="253">
        <f t="shared" si="5"/>
        <v>0</v>
      </c>
      <c r="E36" s="253">
        <f t="shared" si="5"/>
        <v>0</v>
      </c>
      <c r="F36" s="250">
        <f>ROUND((D36+E36)*2/1000,4)</f>
        <v>0</v>
      </c>
      <c r="G36" s="250"/>
      <c r="H36" s="58">
        <f>H35</f>
        <v>1.8140000000000001</v>
      </c>
      <c r="I36" s="59">
        <f>ROUND(F36*G36*H36,3)</f>
        <v>0</v>
      </c>
      <c r="J36" s="60"/>
      <c r="K36" s="61"/>
      <c r="L36" s="61"/>
      <c r="M36" s="61"/>
      <c r="N36" s="72" t="s">
        <v>58</v>
      </c>
    </row>
    <row r="37" spans="2:14" ht="18" customHeight="1">
      <c r="B37" s="660"/>
      <c r="C37" s="651"/>
      <c r="D37" s="253">
        <f t="shared" si="5"/>
        <v>0</v>
      </c>
      <c r="E37" s="253">
        <f t="shared" si="5"/>
        <v>0</v>
      </c>
      <c r="F37" s="250">
        <f>ROUND((D37+E37)*2/1000,4)</f>
        <v>0</v>
      </c>
      <c r="G37" s="250"/>
      <c r="H37" s="58">
        <f>H36</f>
        <v>1.8140000000000001</v>
      </c>
      <c r="I37" s="59">
        <f>ROUND(F37*G37*H37,3)</f>
        <v>0</v>
      </c>
      <c r="J37" s="60"/>
      <c r="K37" s="61"/>
      <c r="L37" s="61"/>
      <c r="M37" s="61"/>
      <c r="N37" s="72" t="s">
        <v>60</v>
      </c>
    </row>
    <row r="38" spans="2:14" ht="18" customHeight="1">
      <c r="B38" s="48" t="s">
        <v>42</v>
      </c>
      <c r="C38" s="49">
        <f>SUMPRODUCT(F35:F37*G35:G37)</f>
        <v>5.3280000000000003</v>
      </c>
      <c r="D38" s="50" t="s">
        <v>43</v>
      </c>
      <c r="E38" s="49">
        <f>SUM(I35:I37)*1.1</f>
        <v>10.631499999999999</v>
      </c>
      <c r="F38" s="50" t="s">
        <v>44</v>
      </c>
      <c r="G38" s="51">
        <f>(C$218+C$219)/1000</f>
        <v>46.081499999999998</v>
      </c>
      <c r="H38" s="52" t="s">
        <v>45</v>
      </c>
      <c r="I38" s="53">
        <f>ROUND(E38*G38,2)</f>
        <v>489.92</v>
      </c>
      <c r="J38" s="243">
        <f>SUM(G35:G37)</f>
        <v>2</v>
      </c>
      <c r="K38" s="255"/>
      <c r="L38" s="255"/>
      <c r="M38" s="255"/>
      <c r="N38" s="73" t="s">
        <v>65</v>
      </c>
    </row>
    <row r="39" spans="2:14" ht="18" customHeight="1">
      <c r="B39" s="48" t="s">
        <v>46</v>
      </c>
      <c r="C39" s="50">
        <v>320.14</v>
      </c>
      <c r="D39" s="50" t="s">
        <v>47</v>
      </c>
      <c r="E39" s="49">
        <f>ROUND(C38*(C39/1000),2)</f>
        <v>1.71</v>
      </c>
      <c r="F39" s="50" t="s">
        <v>48</v>
      </c>
      <c r="G39" s="50">
        <f>G$23</f>
        <v>10</v>
      </c>
      <c r="H39" s="52" t="s">
        <v>49</v>
      </c>
      <c r="I39" s="53">
        <f>E39*G39</f>
        <v>17.100000000000001</v>
      </c>
      <c r="J39" s="255"/>
      <c r="K39" s="255"/>
      <c r="L39" s="255"/>
      <c r="M39" s="255"/>
      <c r="N39" s="73" t="s">
        <v>66</v>
      </c>
    </row>
    <row r="40" spans="2:14" ht="18" customHeight="1" thickBot="1">
      <c r="B40" s="48" t="s">
        <v>50</v>
      </c>
      <c r="C40" s="50">
        <v>156.99</v>
      </c>
      <c r="D40" s="50" t="s">
        <v>51</v>
      </c>
      <c r="E40" s="49">
        <f>ROUND(C38*(C40/1000),2)</f>
        <v>0.84</v>
      </c>
      <c r="F40" s="50" t="s">
        <v>48</v>
      </c>
      <c r="G40" s="50">
        <f>G$24</f>
        <v>10</v>
      </c>
      <c r="H40" s="52" t="s">
        <v>49</v>
      </c>
      <c r="I40" s="53">
        <f>E40*G40</f>
        <v>8.4</v>
      </c>
      <c r="J40" s="255"/>
      <c r="K40" s="255"/>
      <c r="L40" s="255"/>
      <c r="M40" s="255"/>
      <c r="N40" s="74" t="s">
        <v>67</v>
      </c>
    </row>
    <row r="41" spans="2:14" ht="18" customHeight="1" thickBot="1">
      <c r="B41" s="23" t="s">
        <v>36</v>
      </c>
      <c r="C41" s="252" t="s">
        <v>14</v>
      </c>
      <c r="D41" s="252" t="s">
        <v>37</v>
      </c>
      <c r="E41" s="252" t="s">
        <v>38</v>
      </c>
      <c r="F41" s="252" t="s">
        <v>39</v>
      </c>
      <c r="G41" s="252" t="s">
        <v>8</v>
      </c>
      <c r="H41" s="252" t="s">
        <v>22</v>
      </c>
      <c r="I41" s="25" t="s">
        <v>40</v>
      </c>
      <c r="J41" s="54" t="s">
        <v>2</v>
      </c>
      <c r="K41" s="55" t="s">
        <v>3</v>
      </c>
      <c r="L41" s="55" t="s">
        <v>61</v>
      </c>
      <c r="M41" s="55" t="s">
        <v>62</v>
      </c>
      <c r="N41" s="70" t="s">
        <v>14</v>
      </c>
    </row>
    <row r="42" spans="2:14" ht="18" customHeight="1">
      <c r="B42" s="648" t="s">
        <v>68</v>
      </c>
      <c r="C42" s="649" t="s">
        <v>69</v>
      </c>
      <c r="D42" s="253">
        <f>J42-IF(L42=1,46,IF(L42=2,34.5,IF(L42=3,23)))</f>
        <v>504</v>
      </c>
      <c r="E42" s="253">
        <f>K42-IF(M42=1,46,IF(M42=2,34.5,IF(M42=3,23)))</f>
        <v>885.5</v>
      </c>
      <c r="F42" s="250">
        <f t="shared" ref="F42:F47" si="6">ROUND((D42+E42)*2/1000,4)</f>
        <v>2.7789999999999999</v>
      </c>
      <c r="G42" s="250">
        <v>2</v>
      </c>
      <c r="H42" s="250">
        <v>1.26</v>
      </c>
      <c r="I42" s="59">
        <f t="shared" ref="I42:I47" si="7">ROUND(F42*G42*H42,3)</f>
        <v>7.0030000000000001</v>
      </c>
      <c r="J42" s="60">
        <f>J35</f>
        <v>550</v>
      </c>
      <c r="K42" s="61">
        <f>E15-K35</f>
        <v>920</v>
      </c>
      <c r="L42" s="61">
        <v>1</v>
      </c>
      <c r="M42" s="61">
        <v>2</v>
      </c>
      <c r="N42" s="71" t="s">
        <v>56</v>
      </c>
    </row>
    <row r="43" spans="2:14" ht="18" customHeight="1">
      <c r="B43" s="648"/>
      <c r="C43" s="650"/>
      <c r="D43" s="253">
        <f t="shared" ref="D43:E47" si="8">J43-IF(L43=1,46,IF(L43=2,34.5,IF(L43=3,23)))</f>
        <v>0</v>
      </c>
      <c r="E43" s="253">
        <f t="shared" si="8"/>
        <v>0</v>
      </c>
      <c r="F43" s="250">
        <f t="shared" si="6"/>
        <v>0</v>
      </c>
      <c r="G43" s="250"/>
      <c r="H43" s="250">
        <f>H42</f>
        <v>1.26</v>
      </c>
      <c r="I43" s="59">
        <f t="shared" si="7"/>
        <v>0</v>
      </c>
      <c r="J43" s="60"/>
      <c r="K43" s="61"/>
      <c r="L43" s="61"/>
      <c r="M43" s="61"/>
      <c r="N43" s="72" t="s">
        <v>58</v>
      </c>
    </row>
    <row r="44" spans="2:14" ht="18" customHeight="1">
      <c r="B44" s="648"/>
      <c r="C44" s="651"/>
      <c r="D44" s="253">
        <f t="shared" si="8"/>
        <v>0</v>
      </c>
      <c r="E44" s="253">
        <f t="shared" si="8"/>
        <v>0</v>
      </c>
      <c r="F44" s="250">
        <f t="shared" si="6"/>
        <v>0</v>
      </c>
      <c r="G44" s="250"/>
      <c r="H44" s="250">
        <f>H43</f>
        <v>1.26</v>
      </c>
      <c r="I44" s="59">
        <f t="shared" si="7"/>
        <v>0</v>
      </c>
      <c r="J44" s="60"/>
      <c r="K44" s="61"/>
      <c r="L44" s="61"/>
      <c r="M44" s="61"/>
      <c r="N44" s="72" t="s">
        <v>60</v>
      </c>
    </row>
    <row r="45" spans="2:14" ht="18" customHeight="1">
      <c r="B45" s="648"/>
      <c r="C45" s="649" t="s">
        <v>70</v>
      </c>
      <c r="D45" s="253">
        <f t="shared" si="8"/>
        <v>0</v>
      </c>
      <c r="E45" s="253">
        <f t="shared" si="8"/>
        <v>0</v>
      </c>
      <c r="F45" s="250">
        <f t="shared" si="6"/>
        <v>0</v>
      </c>
      <c r="G45" s="250"/>
      <c r="H45" s="250">
        <f>H44</f>
        <v>1.26</v>
      </c>
      <c r="I45" s="59">
        <f t="shared" si="7"/>
        <v>0</v>
      </c>
      <c r="J45" s="60"/>
      <c r="K45" s="61"/>
      <c r="L45" s="61"/>
      <c r="M45" s="61"/>
      <c r="N45" s="71" t="s">
        <v>56</v>
      </c>
    </row>
    <row r="46" spans="2:14" ht="18" customHeight="1">
      <c r="B46" s="648"/>
      <c r="C46" s="650"/>
      <c r="D46" s="253">
        <f t="shared" si="8"/>
        <v>0</v>
      </c>
      <c r="E46" s="253">
        <f t="shared" si="8"/>
        <v>0</v>
      </c>
      <c r="F46" s="250">
        <f t="shared" si="6"/>
        <v>0</v>
      </c>
      <c r="G46" s="250"/>
      <c r="H46" s="250">
        <f>H45</f>
        <v>1.26</v>
      </c>
      <c r="I46" s="59">
        <f t="shared" si="7"/>
        <v>0</v>
      </c>
      <c r="J46" s="60"/>
      <c r="K46" s="61"/>
      <c r="L46" s="61"/>
      <c r="M46" s="61"/>
      <c r="N46" s="72" t="s">
        <v>58</v>
      </c>
    </row>
    <row r="47" spans="2:14" ht="18" customHeight="1" thickBot="1">
      <c r="B47" s="648"/>
      <c r="C47" s="651"/>
      <c r="D47" s="253">
        <f t="shared" si="8"/>
        <v>0</v>
      </c>
      <c r="E47" s="253">
        <f t="shared" si="8"/>
        <v>0</v>
      </c>
      <c r="F47" s="250">
        <f t="shared" si="6"/>
        <v>0</v>
      </c>
      <c r="G47" s="250"/>
      <c r="H47" s="250">
        <f>H46</f>
        <v>1.26</v>
      </c>
      <c r="I47" s="59">
        <f t="shared" si="7"/>
        <v>0</v>
      </c>
      <c r="J47" s="64"/>
      <c r="K47" s="65"/>
      <c r="L47" s="65"/>
      <c r="M47" s="65"/>
      <c r="N47" s="75" t="s">
        <v>60</v>
      </c>
    </row>
    <row r="48" spans="2:14" ht="18" customHeight="1">
      <c r="B48" s="48" t="s">
        <v>42</v>
      </c>
      <c r="C48" s="49">
        <f>SUMPRODUCT(F42:F47*G42:G47)</f>
        <v>5.5579999999999998</v>
      </c>
      <c r="D48" s="50" t="s">
        <v>43</v>
      </c>
      <c r="E48" s="49">
        <f>SUM(I42:I47)*1.1</f>
        <v>7.7033000000000005</v>
      </c>
      <c r="F48" s="50" t="s">
        <v>44</v>
      </c>
      <c r="G48" s="51">
        <f>(C$218+C$219)/1000</f>
        <v>46.081499999999998</v>
      </c>
      <c r="H48" s="52" t="s">
        <v>45</v>
      </c>
      <c r="I48" s="53">
        <f>ROUND(E48*G48,2)</f>
        <v>354.98</v>
      </c>
      <c r="J48" s="243">
        <f>SUM(G42:G47)</f>
        <v>2</v>
      </c>
      <c r="K48" s="255"/>
      <c r="L48" s="255"/>
      <c r="M48" s="255"/>
    </row>
    <row r="49" spans="2:14" ht="18" customHeight="1">
      <c r="B49" s="48" t="s">
        <v>46</v>
      </c>
      <c r="C49" s="50">
        <v>132.47999999999999</v>
      </c>
      <c r="D49" s="50" t="s">
        <v>47</v>
      </c>
      <c r="E49" s="49">
        <f>ROUND(C48*(C49/1000),2)</f>
        <v>0.74</v>
      </c>
      <c r="F49" s="50" t="s">
        <v>48</v>
      </c>
      <c r="G49" s="50">
        <f>G$23</f>
        <v>10</v>
      </c>
      <c r="H49" s="52" t="s">
        <v>49</v>
      </c>
      <c r="I49" s="53">
        <f>E49*G49</f>
        <v>7.4</v>
      </c>
      <c r="J49" s="255"/>
      <c r="K49" s="255"/>
      <c r="L49" s="255"/>
      <c r="M49" s="255"/>
    </row>
    <row r="50" spans="2:14" ht="18" customHeight="1" thickBot="1">
      <c r="B50" s="48" t="s">
        <v>50</v>
      </c>
      <c r="C50" s="50">
        <v>202.06</v>
      </c>
      <c r="D50" s="50" t="s">
        <v>51</v>
      </c>
      <c r="E50" s="49">
        <f>ROUND(C48*(C50/1000),2)</f>
        <v>1.1200000000000001</v>
      </c>
      <c r="F50" s="50" t="s">
        <v>48</v>
      </c>
      <c r="G50" s="50">
        <f>G$24</f>
        <v>10</v>
      </c>
      <c r="H50" s="52" t="s">
        <v>49</v>
      </c>
      <c r="I50" s="53">
        <f>E50*G50</f>
        <v>11.200000000000001</v>
      </c>
      <c r="J50" s="255"/>
    </row>
    <row r="51" spans="2:14" ht="18" customHeight="1" thickBot="1">
      <c r="B51" s="23" t="s">
        <v>36</v>
      </c>
      <c r="C51" s="252" t="s">
        <v>14</v>
      </c>
      <c r="D51" s="252" t="s">
        <v>37</v>
      </c>
      <c r="E51" s="252" t="s">
        <v>71</v>
      </c>
      <c r="F51" s="252" t="s">
        <v>38</v>
      </c>
      <c r="G51" s="252" t="s">
        <v>72</v>
      </c>
      <c r="H51" s="252" t="s">
        <v>22</v>
      </c>
      <c r="I51" s="25" t="s">
        <v>40</v>
      </c>
      <c r="J51" s="54" t="s">
        <v>2</v>
      </c>
      <c r="K51" s="55" t="s">
        <v>3</v>
      </c>
      <c r="L51" s="55" t="s">
        <v>61</v>
      </c>
      <c r="M51" s="55" t="s">
        <v>62</v>
      </c>
      <c r="N51" s="70" t="s">
        <v>14</v>
      </c>
    </row>
    <row r="52" spans="2:14" ht="18" customHeight="1">
      <c r="B52" s="648" t="s">
        <v>73</v>
      </c>
      <c r="C52" s="649" t="s">
        <v>405</v>
      </c>
      <c r="D52" s="253">
        <f>J52-IF(L52=1,46,IF(L52=2,32,IF(L52=3,18,0)))</f>
        <v>504</v>
      </c>
      <c r="E52" s="253">
        <v>2</v>
      </c>
      <c r="F52" s="253">
        <f>K52-IF(M52=1,46,IF(M52=2,32,IF(M52=3,118,0)))</f>
        <v>0</v>
      </c>
      <c r="G52" s="250"/>
      <c r="H52" s="250">
        <v>1.6379999999999999</v>
      </c>
      <c r="I52" s="59">
        <f>ROUND((D52*E52+F52*G52)/1000*H52,3)</f>
        <v>1.651</v>
      </c>
      <c r="J52" s="60">
        <f>D15</f>
        <v>550</v>
      </c>
      <c r="K52" s="61"/>
      <c r="L52" s="61">
        <v>1</v>
      </c>
      <c r="M52" s="61"/>
      <c r="N52" s="76" t="s">
        <v>56</v>
      </c>
    </row>
    <row r="53" spans="2:14" ht="18" customHeight="1">
      <c r="B53" s="648"/>
      <c r="C53" s="650"/>
      <c r="D53" s="253">
        <f t="shared" ref="D53:D55" si="9">J53-IF(L53=1,46,IF(L53=2,32,IF(L53=3,18,0)))</f>
        <v>0</v>
      </c>
      <c r="E53" s="253"/>
      <c r="F53" s="253">
        <f t="shared" ref="F53:F55" si="10">K53-IF(M53=1,46,IF(M53=2,32,IF(M53=3,118,0)))</f>
        <v>0</v>
      </c>
      <c r="G53" s="250"/>
      <c r="H53" s="250">
        <f>H52</f>
        <v>1.6379999999999999</v>
      </c>
      <c r="I53" s="59">
        <f>ROUND((D53*E53+F53*G53)/1000*H53,3)</f>
        <v>0</v>
      </c>
      <c r="J53" s="60"/>
      <c r="K53" s="61"/>
      <c r="L53" s="61"/>
      <c r="M53" s="61"/>
      <c r="N53" s="76" t="s">
        <v>58</v>
      </c>
    </row>
    <row r="54" spans="2:14" ht="18" customHeight="1">
      <c r="B54" s="648"/>
      <c r="C54" s="650"/>
      <c r="D54" s="253">
        <f t="shared" si="9"/>
        <v>0</v>
      </c>
      <c r="E54" s="253"/>
      <c r="F54" s="253">
        <f t="shared" si="10"/>
        <v>0</v>
      </c>
      <c r="G54" s="250"/>
      <c r="H54" s="250">
        <f>H53</f>
        <v>1.6379999999999999</v>
      </c>
      <c r="I54" s="59">
        <f>ROUND((D54*E54+F54*G54)/1000*H54,3)</f>
        <v>0</v>
      </c>
      <c r="J54" s="60"/>
      <c r="K54" s="61"/>
      <c r="L54" s="61"/>
      <c r="M54" s="61"/>
      <c r="N54" s="76" t="s">
        <v>60</v>
      </c>
    </row>
    <row r="55" spans="2:14" ht="18" customHeight="1" thickBot="1">
      <c r="B55" s="648"/>
      <c r="C55" s="651"/>
      <c r="D55" s="253">
        <f t="shared" si="9"/>
        <v>0</v>
      </c>
      <c r="E55" s="253"/>
      <c r="F55" s="253">
        <f t="shared" si="10"/>
        <v>0</v>
      </c>
      <c r="G55" s="250"/>
      <c r="H55" s="77">
        <f>H54</f>
        <v>1.6379999999999999</v>
      </c>
      <c r="I55" s="59">
        <f>ROUND((D55*E55+F55*G55)/1000*H55,3)</f>
        <v>0</v>
      </c>
      <c r="J55" s="78"/>
      <c r="K55" s="79"/>
      <c r="L55" s="79"/>
      <c r="M55" s="79"/>
      <c r="N55" s="80"/>
    </row>
    <row r="56" spans="2:14" ht="18" customHeight="1">
      <c r="B56" s="48" t="s">
        <v>42</v>
      </c>
      <c r="C56" s="49">
        <f>SUMPRODUCT(D52:D55*E52:E55+F52:F55*G52:G55)/1000</f>
        <v>1.008</v>
      </c>
      <c r="D56" s="50" t="s">
        <v>43</v>
      </c>
      <c r="E56" s="49">
        <f>SUM(I52:I55)*1.1</f>
        <v>1.8161000000000003</v>
      </c>
      <c r="F56" s="50" t="s">
        <v>44</v>
      </c>
      <c r="G56" s="51">
        <f>(C$218+C$219)/1000</f>
        <v>46.081499999999998</v>
      </c>
      <c r="H56" s="52" t="s">
        <v>45</v>
      </c>
      <c r="I56" s="53">
        <f>ROUND(E56*G56,2)</f>
        <v>83.69</v>
      </c>
      <c r="J56" s="243">
        <f>SUM(E52:E55)+SUM(G52:G55)</f>
        <v>2</v>
      </c>
    </row>
    <row r="57" spans="2:14" ht="18" customHeight="1">
      <c r="B57" s="48" t="s">
        <v>46</v>
      </c>
      <c r="C57" s="50">
        <v>265.52999999999997</v>
      </c>
      <c r="D57" s="50" t="s">
        <v>47</v>
      </c>
      <c r="E57" s="49">
        <f>ROUND(C56*(C57/1000),2)</f>
        <v>0.27</v>
      </c>
      <c r="F57" s="50" t="s">
        <v>48</v>
      </c>
      <c r="G57" s="50">
        <f>G$23</f>
        <v>10</v>
      </c>
      <c r="H57" s="52" t="s">
        <v>49</v>
      </c>
      <c r="I57" s="53">
        <f>E57*G57</f>
        <v>2.7</v>
      </c>
      <c r="L57" s="47"/>
    </row>
    <row r="58" spans="2:14" ht="18" customHeight="1">
      <c r="B58" s="48" t="s">
        <v>50</v>
      </c>
      <c r="C58" s="50">
        <v>173.62</v>
      </c>
      <c r="D58" s="50" t="s">
        <v>51</v>
      </c>
      <c r="E58" s="49">
        <f>ROUND(C56*(C58/1000),2)</f>
        <v>0.18</v>
      </c>
      <c r="F58" s="50" t="s">
        <v>48</v>
      </c>
      <c r="G58" s="50">
        <f>G$24</f>
        <v>10</v>
      </c>
      <c r="H58" s="52" t="s">
        <v>49</v>
      </c>
      <c r="I58" s="53">
        <f>E58*G58</f>
        <v>1.7999999999999998</v>
      </c>
      <c r="L58" s="47"/>
    </row>
    <row r="59" spans="2:14" ht="18" customHeight="1">
      <c r="B59" s="23" t="s">
        <v>36</v>
      </c>
      <c r="C59" s="252" t="s">
        <v>14</v>
      </c>
      <c r="D59" s="652" t="s">
        <v>74</v>
      </c>
      <c r="E59" s="652"/>
      <c r="F59" s="652"/>
      <c r="G59" s="252" t="s">
        <v>75</v>
      </c>
      <c r="H59" s="252" t="s">
        <v>22</v>
      </c>
      <c r="I59" s="25" t="s">
        <v>40</v>
      </c>
      <c r="L59" s="47"/>
    </row>
    <row r="60" spans="2:14" ht="18" customHeight="1">
      <c r="B60" s="648" t="s">
        <v>76</v>
      </c>
      <c r="C60" s="649" t="s">
        <v>77</v>
      </c>
      <c r="D60" s="646"/>
      <c r="E60" s="646"/>
      <c r="F60" s="646"/>
      <c r="G60" s="250"/>
      <c r="H60" s="250">
        <v>1.9339999999999999</v>
      </c>
      <c r="I60" s="59">
        <f>ROUND(D60*G60*H60/1000,3)</f>
        <v>0</v>
      </c>
      <c r="L60" s="47"/>
    </row>
    <row r="61" spans="2:14" ht="18" customHeight="1">
      <c r="B61" s="648"/>
      <c r="C61" s="651"/>
      <c r="D61" s="646"/>
      <c r="E61" s="646"/>
      <c r="F61" s="646"/>
      <c r="G61" s="250"/>
      <c r="H61" s="250">
        <v>1.9339999999999999</v>
      </c>
      <c r="I61" s="59">
        <f>ROUND(D61*G61*H61/1000,3)</f>
        <v>0</v>
      </c>
    </row>
    <row r="62" spans="2:14" ht="18" customHeight="1">
      <c r="B62" s="648"/>
      <c r="C62" s="649" t="s">
        <v>78</v>
      </c>
      <c r="D62" s="646"/>
      <c r="E62" s="646"/>
      <c r="F62" s="646"/>
      <c r="G62" s="250"/>
      <c r="H62" s="250">
        <v>2.3130000000000002</v>
      </c>
      <c r="I62" s="59">
        <f>ROUND(D62*G62*H62/1000,3)</f>
        <v>0</v>
      </c>
    </row>
    <row r="63" spans="2:14" ht="18" customHeight="1">
      <c r="B63" s="648"/>
      <c r="C63" s="651"/>
      <c r="D63" s="646"/>
      <c r="E63" s="646"/>
      <c r="F63" s="646"/>
      <c r="G63" s="250"/>
      <c r="H63" s="250">
        <v>2.3130000000000002</v>
      </c>
      <c r="I63" s="59">
        <f>ROUND(D63*G63*H63/1000,3)</f>
        <v>0</v>
      </c>
    </row>
    <row r="64" spans="2:14" ht="18" customHeight="1">
      <c r="B64" s="48" t="s">
        <v>42</v>
      </c>
      <c r="C64" s="49">
        <f>SUMPRODUCT(D60:F63*G60:G63)/1000</f>
        <v>0</v>
      </c>
      <c r="D64" s="50" t="s">
        <v>43</v>
      </c>
      <c r="E64" s="49">
        <f>SUM(I60:I63)*1.1</f>
        <v>0</v>
      </c>
      <c r="F64" s="50" t="s">
        <v>44</v>
      </c>
      <c r="G64" s="51">
        <f>(C$218+C$219)/1000</f>
        <v>46.081499999999998</v>
      </c>
      <c r="H64" s="52" t="s">
        <v>45</v>
      </c>
      <c r="I64" s="53">
        <f>ROUND(E64*G64,2)</f>
        <v>0</v>
      </c>
      <c r="J64" s="43">
        <f>SUM(G60:G63)</f>
        <v>0</v>
      </c>
    </row>
    <row r="65" spans="2:14" ht="18" customHeight="1">
      <c r="B65" s="48" t="s">
        <v>46</v>
      </c>
      <c r="C65" s="50">
        <v>337.92</v>
      </c>
      <c r="D65" s="50" t="s">
        <v>47</v>
      </c>
      <c r="E65" s="49">
        <f>ROUND(C64*(C65/1000),2)</f>
        <v>0</v>
      </c>
      <c r="F65" s="50" t="s">
        <v>48</v>
      </c>
      <c r="G65" s="50">
        <f>G$23</f>
        <v>10</v>
      </c>
      <c r="H65" s="52" t="s">
        <v>49</v>
      </c>
      <c r="I65" s="53">
        <f>E65*G65</f>
        <v>0</v>
      </c>
    </row>
    <row r="66" spans="2:14" ht="18" customHeight="1" thickBot="1">
      <c r="B66" s="48" t="s">
        <v>50</v>
      </c>
      <c r="C66" s="50">
        <v>175.93</v>
      </c>
      <c r="D66" s="50" t="s">
        <v>51</v>
      </c>
      <c r="E66" s="49">
        <f>ROUND(C64*(C66/1000),2)</f>
        <v>0</v>
      </c>
      <c r="F66" s="50" t="s">
        <v>48</v>
      </c>
      <c r="G66" s="50">
        <f>G$24</f>
        <v>10</v>
      </c>
      <c r="H66" s="52" t="s">
        <v>49</v>
      </c>
      <c r="I66" s="53">
        <f>E66*G66</f>
        <v>0</v>
      </c>
    </row>
    <row r="67" spans="2:14" ht="18" customHeight="1" thickBot="1">
      <c r="B67" s="23" t="s">
        <v>36</v>
      </c>
      <c r="C67" s="252" t="s">
        <v>14</v>
      </c>
      <c r="D67" s="252" t="s">
        <v>37</v>
      </c>
      <c r="E67" s="252" t="s">
        <v>38</v>
      </c>
      <c r="F67" s="252" t="s">
        <v>39</v>
      </c>
      <c r="G67" s="252" t="s">
        <v>8</v>
      </c>
      <c r="H67" s="252" t="s">
        <v>22</v>
      </c>
      <c r="I67" s="25" t="s">
        <v>40</v>
      </c>
      <c r="J67" s="54" t="s">
        <v>2</v>
      </c>
      <c r="K67" s="55" t="s">
        <v>3</v>
      </c>
      <c r="L67" s="55" t="s">
        <v>52</v>
      </c>
      <c r="M67" s="55" t="s">
        <v>53</v>
      </c>
      <c r="N67" s="70" t="s">
        <v>14</v>
      </c>
    </row>
    <row r="68" spans="2:14" ht="18" customHeight="1">
      <c r="B68" s="648" t="s">
        <v>79</v>
      </c>
      <c r="C68" s="649" t="s">
        <v>323</v>
      </c>
      <c r="D68" s="81">
        <f>J68-IF(L68=1,72,IF(L68=2,54,IF(L68=3,26,IF(L68=11,102.8,IF(L68=12,88.8,IF(L68=13,74.8,0))))))</f>
        <v>1848</v>
      </c>
      <c r="E68" s="81">
        <f>K68-IF(M68=1,72,IF(M68=2,24,IF(M68=3,26,IF(M68=11,102.8,IF(M68=12,88.8,IF(M68=13,74.8,0))))))</f>
        <v>928</v>
      </c>
      <c r="F68" s="81">
        <f>2*(D68+E68)/1000</f>
        <v>5.5519999999999996</v>
      </c>
      <c r="G68" s="82">
        <v>1</v>
      </c>
      <c r="H68" s="250">
        <v>0.224</v>
      </c>
      <c r="I68" s="283">
        <f>ROUND(F68*G68*H68,3)*1.5</f>
        <v>1.8660000000000001</v>
      </c>
      <c r="J68" s="83">
        <f>D14</f>
        <v>1920</v>
      </c>
      <c r="K68" s="83">
        <f>E14</f>
        <v>1000</v>
      </c>
      <c r="L68" s="84">
        <v>1</v>
      </c>
      <c r="M68" s="84">
        <v>1</v>
      </c>
      <c r="N68" s="71" t="s">
        <v>56</v>
      </c>
    </row>
    <row r="69" spans="2:14" ht="18" customHeight="1">
      <c r="B69" s="648"/>
      <c r="C69" s="650"/>
      <c r="D69" s="81">
        <f t="shared" ref="D69:D87" si="11">J69-IF(L69=1,72,IF(L69=2,54,IF(L69=3,26,IF(L69=11,102.8,IF(L69=12,88.8,IF(L69=13,74.8,0))))))</f>
        <v>478</v>
      </c>
      <c r="E69" s="81">
        <f t="shared" ref="E69:E87" si="12">K69-IF(M69=1,72,IF(M69=2,24,IF(M69=3,26,IF(M69=11,102.8,IF(M69=12,88.8,IF(M69=13,74.8,0))))))</f>
        <v>896</v>
      </c>
      <c r="F69" s="81">
        <f t="shared" ref="F69:F87" si="13">2*(D69+E69)/1000</f>
        <v>2.7480000000000002</v>
      </c>
      <c r="G69" s="82">
        <v>2</v>
      </c>
      <c r="H69" s="250">
        <f>H68</f>
        <v>0.224</v>
      </c>
      <c r="I69" s="59">
        <f t="shared" ref="I69:I87" si="14">ROUND(F69*G69*H69,3)</f>
        <v>1.2310000000000001</v>
      </c>
      <c r="J69" s="83">
        <f>D15</f>
        <v>550</v>
      </c>
      <c r="K69" s="84">
        <f>E15-K35</f>
        <v>920</v>
      </c>
      <c r="L69" s="84">
        <v>1</v>
      </c>
      <c r="M69" s="84">
        <v>2</v>
      </c>
      <c r="N69" s="72" t="s">
        <v>58</v>
      </c>
    </row>
    <row r="70" spans="2:14" ht="18" customHeight="1">
      <c r="B70" s="648"/>
      <c r="C70" s="650"/>
      <c r="D70" s="81">
        <f t="shared" si="11"/>
        <v>0</v>
      </c>
      <c r="E70" s="81">
        <f t="shared" si="12"/>
        <v>0</v>
      </c>
      <c r="F70" s="81">
        <f t="shared" si="13"/>
        <v>0</v>
      </c>
      <c r="G70" s="82"/>
      <c r="H70" s="250">
        <f>H69</f>
        <v>0.224</v>
      </c>
      <c r="I70" s="59">
        <f t="shared" si="14"/>
        <v>0</v>
      </c>
      <c r="J70" s="83"/>
      <c r="K70" s="84"/>
      <c r="L70" s="84"/>
      <c r="M70" s="84"/>
      <c r="N70" s="72" t="s">
        <v>60</v>
      </c>
    </row>
    <row r="71" spans="2:14" ht="18" customHeight="1">
      <c r="B71" s="648"/>
      <c r="C71" s="650"/>
      <c r="D71" s="81">
        <f t="shared" si="11"/>
        <v>0</v>
      </c>
      <c r="E71" s="81">
        <f t="shared" si="12"/>
        <v>0</v>
      </c>
      <c r="F71" s="81">
        <f t="shared" si="13"/>
        <v>0</v>
      </c>
      <c r="G71" s="82"/>
      <c r="H71" s="77">
        <f>H70</f>
        <v>0.224</v>
      </c>
      <c r="I71" s="59">
        <f t="shared" si="14"/>
        <v>0</v>
      </c>
      <c r="J71" s="85"/>
      <c r="K71" s="86"/>
      <c r="L71" s="86"/>
      <c r="M71" s="86"/>
      <c r="N71" s="72" t="s">
        <v>65</v>
      </c>
    </row>
    <row r="72" spans="2:14" ht="18" customHeight="1">
      <c r="B72" s="648"/>
      <c r="C72" s="650"/>
      <c r="D72" s="81">
        <f t="shared" si="11"/>
        <v>0</v>
      </c>
      <c r="E72" s="81">
        <f t="shared" si="12"/>
        <v>0</v>
      </c>
      <c r="F72" s="81">
        <f t="shared" si="13"/>
        <v>0</v>
      </c>
      <c r="G72" s="82"/>
      <c r="H72" s="77">
        <f>H71</f>
        <v>0.224</v>
      </c>
      <c r="I72" s="87">
        <f t="shared" si="14"/>
        <v>0</v>
      </c>
      <c r="J72" s="85"/>
      <c r="K72" s="86"/>
      <c r="L72" s="86"/>
      <c r="M72" s="86"/>
      <c r="N72" s="72" t="s">
        <v>66</v>
      </c>
    </row>
    <row r="73" spans="2:14" ht="18" customHeight="1">
      <c r="B73" s="648"/>
      <c r="C73" s="650"/>
      <c r="D73" s="81">
        <f t="shared" si="11"/>
        <v>0</v>
      </c>
      <c r="E73" s="81">
        <f t="shared" si="12"/>
        <v>0</v>
      </c>
      <c r="F73" s="81">
        <f t="shared" si="13"/>
        <v>0</v>
      </c>
      <c r="G73" s="82"/>
      <c r="H73" s="250">
        <f>H70</f>
        <v>0.224</v>
      </c>
      <c r="I73" s="87">
        <f t="shared" si="14"/>
        <v>0</v>
      </c>
      <c r="J73" s="83"/>
      <c r="K73" s="84"/>
      <c r="L73" s="84"/>
      <c r="M73" s="84"/>
      <c r="N73" s="72" t="s">
        <v>67</v>
      </c>
    </row>
    <row r="74" spans="2:14" ht="18" customHeight="1">
      <c r="B74" s="648"/>
      <c r="C74" s="651"/>
      <c r="D74" s="81">
        <f t="shared" si="11"/>
        <v>0</v>
      </c>
      <c r="E74" s="81">
        <f t="shared" si="12"/>
        <v>0</v>
      </c>
      <c r="F74" s="81">
        <f t="shared" si="13"/>
        <v>0</v>
      </c>
      <c r="G74" s="82"/>
      <c r="H74" s="250">
        <f>H73</f>
        <v>0.224</v>
      </c>
      <c r="I74" s="87">
        <f t="shared" si="14"/>
        <v>0</v>
      </c>
      <c r="J74" s="83"/>
      <c r="K74" s="84"/>
      <c r="L74" s="84"/>
      <c r="M74" s="84"/>
      <c r="N74" s="88"/>
    </row>
    <row r="75" spans="2:14" ht="18" customHeight="1">
      <c r="B75" s="648"/>
      <c r="C75" s="649" t="s">
        <v>324</v>
      </c>
      <c r="D75" s="89">
        <f t="shared" si="11"/>
        <v>0</v>
      </c>
      <c r="E75" s="89">
        <f t="shared" si="12"/>
        <v>0</v>
      </c>
      <c r="F75" s="89">
        <f t="shared" si="13"/>
        <v>0</v>
      </c>
      <c r="G75" s="90"/>
      <c r="H75" s="91">
        <f>H74</f>
        <v>0.224</v>
      </c>
      <c r="I75" s="92">
        <f t="shared" si="14"/>
        <v>0</v>
      </c>
      <c r="J75" s="83"/>
      <c r="K75" s="84"/>
      <c r="L75" s="84"/>
      <c r="M75" s="84"/>
      <c r="N75" s="93" t="s">
        <v>80</v>
      </c>
    </row>
    <row r="76" spans="2:14" ht="18" customHeight="1">
      <c r="B76" s="648"/>
      <c r="C76" s="650"/>
      <c r="D76" s="89">
        <f t="shared" si="11"/>
        <v>0</v>
      </c>
      <c r="E76" s="89">
        <f t="shared" si="12"/>
        <v>0</v>
      </c>
      <c r="F76" s="89">
        <f t="shared" si="13"/>
        <v>0</v>
      </c>
      <c r="G76" s="90"/>
      <c r="H76" s="91">
        <f>H72</f>
        <v>0.224</v>
      </c>
      <c r="I76" s="92">
        <f t="shared" si="14"/>
        <v>0</v>
      </c>
      <c r="J76" s="83"/>
      <c r="K76" s="84"/>
      <c r="L76" s="84"/>
      <c r="M76" s="84"/>
      <c r="N76" s="93" t="s">
        <v>80</v>
      </c>
    </row>
    <row r="77" spans="2:14" ht="18" customHeight="1">
      <c r="B77" s="648"/>
      <c r="C77" s="650"/>
      <c r="D77" s="89">
        <f t="shared" si="11"/>
        <v>0</v>
      </c>
      <c r="E77" s="89">
        <f t="shared" si="12"/>
        <v>0</v>
      </c>
      <c r="F77" s="89">
        <f t="shared" si="13"/>
        <v>0</v>
      </c>
      <c r="G77" s="90"/>
      <c r="H77" s="91">
        <f t="shared" ref="H77:H87" si="15">H76</f>
        <v>0.224</v>
      </c>
      <c r="I77" s="92">
        <f t="shared" si="14"/>
        <v>0</v>
      </c>
      <c r="J77" s="83"/>
      <c r="K77" s="84"/>
      <c r="L77" s="84"/>
      <c r="M77" s="84"/>
      <c r="N77" s="93" t="s">
        <v>80</v>
      </c>
    </row>
    <row r="78" spans="2:14" ht="18" customHeight="1">
      <c r="B78" s="648"/>
      <c r="C78" s="650"/>
      <c r="D78" s="89">
        <f t="shared" si="11"/>
        <v>0</v>
      </c>
      <c r="E78" s="89">
        <f t="shared" si="12"/>
        <v>0</v>
      </c>
      <c r="F78" s="89">
        <f t="shared" si="13"/>
        <v>0</v>
      </c>
      <c r="G78" s="90"/>
      <c r="H78" s="91">
        <f t="shared" si="15"/>
        <v>0.224</v>
      </c>
      <c r="I78" s="92">
        <f t="shared" si="14"/>
        <v>0</v>
      </c>
      <c r="J78" s="83"/>
      <c r="K78" s="84"/>
      <c r="L78" s="84"/>
      <c r="M78" s="84"/>
      <c r="N78" s="93" t="s">
        <v>80</v>
      </c>
    </row>
    <row r="79" spans="2:14" ht="18" customHeight="1">
      <c r="B79" s="648"/>
      <c r="C79" s="650"/>
      <c r="D79" s="89">
        <f t="shared" si="11"/>
        <v>0</v>
      </c>
      <c r="E79" s="89">
        <f t="shared" si="12"/>
        <v>0</v>
      </c>
      <c r="F79" s="89">
        <f t="shared" si="13"/>
        <v>0</v>
      </c>
      <c r="G79" s="90"/>
      <c r="H79" s="91">
        <f t="shared" si="15"/>
        <v>0.224</v>
      </c>
      <c r="I79" s="94">
        <f t="shared" si="14"/>
        <v>0</v>
      </c>
      <c r="J79" s="83"/>
      <c r="K79" s="84"/>
      <c r="L79" s="84"/>
      <c r="M79" s="84"/>
      <c r="N79" s="93" t="s">
        <v>80</v>
      </c>
    </row>
    <row r="80" spans="2:14" ht="18" customHeight="1">
      <c r="B80" s="648"/>
      <c r="C80" s="650"/>
      <c r="D80" s="89">
        <f t="shared" si="11"/>
        <v>0</v>
      </c>
      <c r="E80" s="89">
        <f t="shared" si="12"/>
        <v>0</v>
      </c>
      <c r="F80" s="89">
        <f t="shared" si="13"/>
        <v>0</v>
      </c>
      <c r="G80" s="90"/>
      <c r="H80" s="91">
        <f t="shared" si="15"/>
        <v>0.224</v>
      </c>
      <c r="I80" s="94">
        <f t="shared" si="14"/>
        <v>0</v>
      </c>
      <c r="J80" s="83"/>
      <c r="K80" s="84"/>
      <c r="L80" s="84"/>
      <c r="M80" s="84"/>
      <c r="N80" s="93" t="s">
        <v>80</v>
      </c>
    </row>
    <row r="81" spans="2:14" ht="18" customHeight="1">
      <c r="B81" s="648"/>
      <c r="C81" s="651"/>
      <c r="D81" s="89">
        <f t="shared" si="11"/>
        <v>0</v>
      </c>
      <c r="E81" s="89">
        <f t="shared" si="12"/>
        <v>0</v>
      </c>
      <c r="F81" s="89">
        <f t="shared" si="13"/>
        <v>0</v>
      </c>
      <c r="G81" s="90"/>
      <c r="H81" s="91">
        <f t="shared" si="15"/>
        <v>0.224</v>
      </c>
      <c r="I81" s="94">
        <f t="shared" si="14"/>
        <v>0</v>
      </c>
      <c r="J81" s="95"/>
      <c r="K81" s="96"/>
      <c r="L81" s="96"/>
      <c r="M81" s="96"/>
      <c r="N81" s="93" t="s">
        <v>81</v>
      </c>
    </row>
    <row r="82" spans="2:14" ht="18" customHeight="1">
      <c r="B82" s="648"/>
      <c r="C82" s="639" t="s">
        <v>325</v>
      </c>
      <c r="D82" s="81">
        <f t="shared" si="11"/>
        <v>0</v>
      </c>
      <c r="E82" s="81">
        <f t="shared" si="12"/>
        <v>0</v>
      </c>
      <c r="F82" s="81">
        <f t="shared" si="13"/>
        <v>0</v>
      </c>
      <c r="G82" s="82"/>
      <c r="H82" s="250">
        <f t="shared" si="15"/>
        <v>0.224</v>
      </c>
      <c r="I82" s="59">
        <f t="shared" si="14"/>
        <v>0</v>
      </c>
      <c r="J82" s="83"/>
      <c r="K82" s="84"/>
      <c r="L82" s="84"/>
      <c r="M82" s="84"/>
      <c r="N82" s="88"/>
    </row>
    <row r="83" spans="2:14" ht="18" customHeight="1">
      <c r="B83" s="648"/>
      <c r="C83" s="645"/>
      <c r="D83" s="81">
        <f t="shared" si="11"/>
        <v>0</v>
      </c>
      <c r="E83" s="81">
        <f t="shared" si="12"/>
        <v>0</v>
      </c>
      <c r="F83" s="81">
        <f t="shared" si="13"/>
        <v>0</v>
      </c>
      <c r="G83" s="82"/>
      <c r="H83" s="250">
        <f t="shared" si="15"/>
        <v>0.224</v>
      </c>
      <c r="I83" s="59">
        <f t="shared" si="14"/>
        <v>0</v>
      </c>
      <c r="J83" s="83"/>
      <c r="K83" s="84"/>
      <c r="L83" s="84"/>
      <c r="M83" s="84"/>
      <c r="N83" s="88"/>
    </row>
    <row r="84" spans="2:14" ht="18" customHeight="1">
      <c r="B84" s="648"/>
      <c r="C84" s="645"/>
      <c r="D84" s="81">
        <f t="shared" si="11"/>
        <v>0</v>
      </c>
      <c r="E84" s="81">
        <f t="shared" si="12"/>
        <v>0</v>
      </c>
      <c r="F84" s="81">
        <f t="shared" si="13"/>
        <v>0</v>
      </c>
      <c r="G84" s="82"/>
      <c r="H84" s="250">
        <f t="shared" si="15"/>
        <v>0.224</v>
      </c>
      <c r="I84" s="59">
        <f t="shared" si="14"/>
        <v>0</v>
      </c>
      <c r="J84" s="83"/>
      <c r="K84" s="84"/>
      <c r="L84" s="84"/>
      <c r="M84" s="84"/>
      <c r="N84" s="76"/>
    </row>
    <row r="85" spans="2:14" ht="18" customHeight="1">
      <c r="B85" s="648"/>
      <c r="C85" s="645"/>
      <c r="D85" s="81">
        <f t="shared" si="11"/>
        <v>0</v>
      </c>
      <c r="E85" s="81">
        <f t="shared" si="12"/>
        <v>0</v>
      </c>
      <c r="F85" s="81">
        <f t="shared" si="13"/>
        <v>0</v>
      </c>
      <c r="G85" s="82"/>
      <c r="H85" s="250">
        <f t="shared" si="15"/>
        <v>0.224</v>
      </c>
      <c r="I85" s="59">
        <f t="shared" si="14"/>
        <v>0</v>
      </c>
      <c r="J85" s="83"/>
      <c r="K85" s="84"/>
      <c r="L85" s="84"/>
      <c r="M85" s="84"/>
      <c r="N85" s="76"/>
    </row>
    <row r="86" spans="2:14" ht="18" customHeight="1">
      <c r="B86" s="648"/>
      <c r="C86" s="645"/>
      <c r="D86" s="81">
        <f t="shared" si="11"/>
        <v>0</v>
      </c>
      <c r="E86" s="81">
        <f t="shared" si="12"/>
        <v>0</v>
      </c>
      <c r="F86" s="81">
        <f t="shared" si="13"/>
        <v>0</v>
      </c>
      <c r="G86" s="82"/>
      <c r="H86" s="250">
        <f t="shared" si="15"/>
        <v>0.224</v>
      </c>
      <c r="I86" s="59">
        <f t="shared" si="14"/>
        <v>0</v>
      </c>
      <c r="J86" s="85"/>
      <c r="K86" s="86"/>
      <c r="L86" s="86"/>
      <c r="M86" s="86"/>
      <c r="N86" s="76"/>
    </row>
    <row r="87" spans="2:14" ht="18" customHeight="1" thickBot="1">
      <c r="B87" s="648"/>
      <c r="C87" s="640"/>
      <c r="D87" s="81">
        <f t="shared" si="11"/>
        <v>0</v>
      </c>
      <c r="E87" s="81">
        <f t="shared" si="12"/>
        <v>0</v>
      </c>
      <c r="F87" s="81">
        <f t="shared" si="13"/>
        <v>0</v>
      </c>
      <c r="G87" s="82"/>
      <c r="H87" s="250">
        <f t="shared" si="15"/>
        <v>0.224</v>
      </c>
      <c r="I87" s="59">
        <f t="shared" si="14"/>
        <v>0</v>
      </c>
      <c r="J87" s="97"/>
      <c r="K87" s="98"/>
      <c r="L87" s="98"/>
      <c r="M87" s="98"/>
      <c r="N87" s="80"/>
    </row>
    <row r="88" spans="2:14" ht="18" customHeight="1">
      <c r="B88" s="48" t="s">
        <v>42</v>
      </c>
      <c r="C88" s="49">
        <f>SUMPRODUCT(F68:F87*G68:G87)</f>
        <v>11.048</v>
      </c>
      <c r="D88" s="50" t="s">
        <v>43</v>
      </c>
      <c r="E88" s="49">
        <f>SUM(I68:I87)*1.1</f>
        <v>3.4067000000000007</v>
      </c>
      <c r="F88" s="50" t="s">
        <v>44</v>
      </c>
      <c r="G88" s="51">
        <f>(C$218+C$222)/1000</f>
        <v>39.781500000000001</v>
      </c>
      <c r="H88" s="52" t="s">
        <v>45</v>
      </c>
      <c r="I88" s="53">
        <f>ROUND(E88*G88,2)</f>
        <v>135.52000000000001</v>
      </c>
      <c r="J88" s="255"/>
      <c r="K88" s="255"/>
      <c r="L88" s="255"/>
      <c r="M88" s="255"/>
    </row>
    <row r="89" spans="2:14" ht="18" customHeight="1">
      <c r="B89" s="48" t="s">
        <v>46</v>
      </c>
      <c r="C89" s="50">
        <v>181.72</v>
      </c>
      <c r="D89" s="50" t="s">
        <v>47</v>
      </c>
      <c r="E89" s="49">
        <f>ROUND(C88*(C89/1000),2)</f>
        <v>2.0099999999999998</v>
      </c>
      <c r="F89" s="50" t="s">
        <v>48</v>
      </c>
      <c r="G89" s="50">
        <f>G$23</f>
        <v>10</v>
      </c>
      <c r="H89" s="52" t="s">
        <v>49</v>
      </c>
      <c r="I89" s="53">
        <f>E89*G89</f>
        <v>20.099999999999998</v>
      </c>
      <c r="J89" s="255"/>
      <c r="K89" s="255"/>
      <c r="L89" s="255"/>
      <c r="M89" s="255"/>
    </row>
    <row r="90" spans="2:14" ht="18" customHeight="1">
      <c r="B90" s="48" t="s">
        <v>50</v>
      </c>
      <c r="C90" s="50"/>
      <c r="D90" s="50" t="s">
        <v>51</v>
      </c>
      <c r="E90" s="49">
        <f>ROUND(C88*(C90/1000),2)</f>
        <v>0</v>
      </c>
      <c r="F90" s="50" t="s">
        <v>48</v>
      </c>
      <c r="G90" s="50">
        <f>G$24</f>
        <v>10</v>
      </c>
      <c r="H90" s="52" t="s">
        <v>49</v>
      </c>
      <c r="I90" s="53">
        <f>E90*G90</f>
        <v>0</v>
      </c>
      <c r="J90" s="255"/>
      <c r="K90" s="255"/>
      <c r="L90" s="255"/>
      <c r="M90" s="255"/>
    </row>
    <row r="91" spans="2:14" ht="18" customHeight="1">
      <c r="B91" s="23" t="s">
        <v>36</v>
      </c>
      <c r="C91" s="252" t="s">
        <v>14</v>
      </c>
      <c r="D91" s="252" t="s">
        <v>37</v>
      </c>
      <c r="E91" s="252" t="s">
        <v>38</v>
      </c>
      <c r="F91" s="252" t="s">
        <v>39</v>
      </c>
      <c r="G91" s="252" t="s">
        <v>8</v>
      </c>
      <c r="H91" s="252" t="s">
        <v>22</v>
      </c>
      <c r="I91" s="25" t="s">
        <v>40</v>
      </c>
      <c r="J91" s="255"/>
      <c r="K91" s="255"/>
      <c r="L91" s="255"/>
      <c r="M91" s="255"/>
    </row>
    <row r="92" spans="2:14" ht="18" customHeight="1">
      <c r="B92" s="648" t="s">
        <v>82</v>
      </c>
      <c r="C92" s="653" t="s">
        <v>326</v>
      </c>
      <c r="D92" s="253">
        <f>D26-90</f>
        <v>-90</v>
      </c>
      <c r="E92" s="253">
        <f>E26-90</f>
        <v>-90</v>
      </c>
      <c r="F92" s="253">
        <f>2*(D92+E92)/1000</f>
        <v>-0.36</v>
      </c>
      <c r="G92" s="250">
        <f>G26</f>
        <v>0</v>
      </c>
      <c r="H92" s="250">
        <v>0.27100000000000002</v>
      </c>
      <c r="I92" s="59">
        <f>ROUND(F92*G92*H92,3)</f>
        <v>0</v>
      </c>
    </row>
    <row r="93" spans="2:14" ht="18" customHeight="1">
      <c r="B93" s="648"/>
      <c r="C93" s="658"/>
      <c r="D93" s="253">
        <f t="shared" ref="D93:E96" si="16">D27-90</f>
        <v>-90</v>
      </c>
      <c r="E93" s="253">
        <f t="shared" si="16"/>
        <v>-90</v>
      </c>
      <c r="F93" s="253">
        <f>2*(D93+E93)/1000</f>
        <v>-0.36</v>
      </c>
      <c r="G93" s="250">
        <f>G27</f>
        <v>0</v>
      </c>
      <c r="H93" s="250">
        <f>H92</f>
        <v>0.27100000000000002</v>
      </c>
      <c r="I93" s="59">
        <f>ROUND(F93*G93*H93,3)</f>
        <v>0</v>
      </c>
      <c r="M93" s="42"/>
    </row>
    <row r="94" spans="2:14" ht="18" customHeight="1">
      <c r="B94" s="648"/>
      <c r="C94" s="658"/>
      <c r="D94" s="253">
        <f t="shared" si="16"/>
        <v>-90</v>
      </c>
      <c r="E94" s="253">
        <f t="shared" si="16"/>
        <v>-90</v>
      </c>
      <c r="F94" s="253">
        <f>2*(D94+E94)/1000</f>
        <v>-0.36</v>
      </c>
      <c r="G94" s="250">
        <f>G28</f>
        <v>0</v>
      </c>
      <c r="H94" s="250">
        <f>H93</f>
        <v>0.27100000000000002</v>
      </c>
      <c r="I94" s="59">
        <f>ROUND(F94*G94*H94,3)</f>
        <v>0</v>
      </c>
    </row>
    <row r="95" spans="2:14" ht="18" customHeight="1">
      <c r="B95" s="648"/>
      <c r="C95" s="658"/>
      <c r="D95" s="253">
        <f t="shared" si="16"/>
        <v>-90</v>
      </c>
      <c r="E95" s="253">
        <f t="shared" si="16"/>
        <v>-90</v>
      </c>
      <c r="F95" s="253">
        <f>2*(D95+E95)/1000</f>
        <v>-0.36</v>
      </c>
      <c r="G95" s="250">
        <f>G29</f>
        <v>0</v>
      </c>
      <c r="H95" s="250">
        <f>H94</f>
        <v>0.27100000000000002</v>
      </c>
      <c r="I95" s="59">
        <f>ROUND(F95*G95*H95,3)</f>
        <v>0</v>
      </c>
    </row>
    <row r="96" spans="2:14" ht="18" customHeight="1">
      <c r="B96" s="648"/>
      <c r="C96" s="659"/>
      <c r="D96" s="253">
        <f t="shared" si="16"/>
        <v>-90</v>
      </c>
      <c r="E96" s="253">
        <f t="shared" si="16"/>
        <v>-90</v>
      </c>
      <c r="F96" s="253">
        <f>2*(D96+E96)/1000</f>
        <v>-0.36</v>
      </c>
      <c r="G96" s="250">
        <f>G30</f>
        <v>0</v>
      </c>
      <c r="H96" s="250">
        <f>H95</f>
        <v>0.27100000000000002</v>
      </c>
      <c r="I96" s="59">
        <f>ROUND(F96*G96*H96,3)</f>
        <v>0</v>
      </c>
    </row>
    <row r="97" spans="2:13" ht="18" customHeight="1">
      <c r="B97" s="48" t="s">
        <v>42</v>
      </c>
      <c r="C97" s="49">
        <f>SUMPRODUCT(F92:F96*G92:G96)</f>
        <v>0</v>
      </c>
      <c r="D97" s="50" t="s">
        <v>43</v>
      </c>
      <c r="E97" s="49">
        <f>SUM(I92:I96)*1.1</f>
        <v>0</v>
      </c>
      <c r="F97" s="50" t="s">
        <v>44</v>
      </c>
      <c r="G97" s="51">
        <f>(C$218+C$222)/1000</f>
        <v>39.781500000000001</v>
      </c>
      <c r="H97" s="52" t="s">
        <v>45</v>
      </c>
      <c r="I97" s="53">
        <f>ROUND(E97*G97,2)</f>
        <v>0</v>
      </c>
    </row>
    <row r="98" spans="2:13" ht="18" customHeight="1">
      <c r="B98" s="48" t="s">
        <v>46</v>
      </c>
      <c r="C98" s="50">
        <v>186.72</v>
      </c>
      <c r="D98" s="50" t="s">
        <v>47</v>
      </c>
      <c r="E98" s="49">
        <f>ROUND(C97*(C98/1000),2)</f>
        <v>0</v>
      </c>
      <c r="F98" s="50" t="s">
        <v>48</v>
      </c>
      <c r="G98" s="50">
        <f>G$23</f>
        <v>10</v>
      </c>
      <c r="H98" s="52" t="s">
        <v>49</v>
      </c>
      <c r="I98" s="53">
        <f>E98*G98</f>
        <v>0</v>
      </c>
    </row>
    <row r="99" spans="2:13" ht="18" customHeight="1">
      <c r="B99" s="48" t="s">
        <v>50</v>
      </c>
      <c r="C99" s="50">
        <v>0</v>
      </c>
      <c r="D99" s="50" t="s">
        <v>51</v>
      </c>
      <c r="E99" s="49">
        <f>ROUND(C97*(C99/1000),2)</f>
        <v>0</v>
      </c>
      <c r="F99" s="50" t="s">
        <v>48</v>
      </c>
      <c r="G99" s="50">
        <f>G$24</f>
        <v>10</v>
      </c>
      <c r="H99" s="52" t="s">
        <v>49</v>
      </c>
      <c r="I99" s="53">
        <f>E99*G99</f>
        <v>0</v>
      </c>
    </row>
    <row r="100" spans="2:13" ht="18" customHeight="1">
      <c r="B100" s="23" t="s">
        <v>36</v>
      </c>
      <c r="C100" s="252" t="s">
        <v>14</v>
      </c>
      <c r="D100" s="252" t="s">
        <v>37</v>
      </c>
      <c r="E100" s="252" t="s">
        <v>38</v>
      </c>
      <c r="F100" s="252" t="s">
        <v>39</v>
      </c>
      <c r="G100" s="252" t="s">
        <v>8</v>
      </c>
      <c r="H100" s="252" t="s">
        <v>22</v>
      </c>
      <c r="I100" s="25" t="s">
        <v>40</v>
      </c>
    </row>
    <row r="101" spans="2:13" ht="18" customHeight="1">
      <c r="B101" s="648" t="s">
        <v>84</v>
      </c>
      <c r="C101" s="653" t="str">
        <f>C92</f>
        <v>SDL2281</v>
      </c>
      <c r="D101" s="253">
        <f>D35-122</f>
        <v>310</v>
      </c>
      <c r="E101" s="253">
        <f t="shared" ref="D101:E103" si="17">E35-122</f>
        <v>778</v>
      </c>
      <c r="F101" s="253">
        <f>2*(D101+E101)/1000</f>
        <v>2.1760000000000002</v>
      </c>
      <c r="G101" s="250">
        <f>G35</f>
        <v>2</v>
      </c>
      <c r="H101" s="250">
        <f>H96</f>
        <v>0.27100000000000002</v>
      </c>
      <c r="I101" s="59">
        <f>ROUND(F101*G101*H101,3)</f>
        <v>1.179</v>
      </c>
    </row>
    <row r="102" spans="2:13" ht="18" customHeight="1">
      <c r="B102" s="648"/>
      <c r="C102" s="650"/>
      <c r="D102" s="253">
        <f t="shared" si="17"/>
        <v>-122</v>
      </c>
      <c r="E102" s="253">
        <f t="shared" si="17"/>
        <v>-122</v>
      </c>
      <c r="F102" s="253">
        <f>2*(D102+E102)/1000</f>
        <v>-0.48799999999999999</v>
      </c>
      <c r="G102" s="250">
        <f>G36</f>
        <v>0</v>
      </c>
      <c r="H102" s="250">
        <f>H101</f>
        <v>0.27100000000000002</v>
      </c>
      <c r="I102" s="59">
        <f>ROUND(F102*G102*H102,3)</f>
        <v>0</v>
      </c>
      <c r="K102" s="99"/>
      <c r="M102" s="99"/>
    </row>
    <row r="103" spans="2:13" ht="18" customHeight="1">
      <c r="B103" s="648"/>
      <c r="C103" s="651"/>
      <c r="D103" s="253">
        <f t="shared" si="17"/>
        <v>-122</v>
      </c>
      <c r="E103" s="253">
        <f t="shared" si="17"/>
        <v>-122</v>
      </c>
      <c r="F103" s="253">
        <f>2*(D103+E103)/1000</f>
        <v>-0.48799999999999999</v>
      </c>
      <c r="G103" s="250">
        <f>G37</f>
        <v>0</v>
      </c>
      <c r="H103" s="250">
        <f>H102</f>
        <v>0.27100000000000002</v>
      </c>
      <c r="I103" s="59">
        <f>ROUND(F103*G103*H103,3)</f>
        <v>0</v>
      </c>
      <c r="M103" s="99"/>
    </row>
    <row r="104" spans="2:13" ht="18" customHeight="1">
      <c r="B104" s="48" t="s">
        <v>42</v>
      </c>
      <c r="C104" s="49">
        <f>SUMPRODUCT(F101:F103*G101:G103)</f>
        <v>4.3520000000000003</v>
      </c>
      <c r="D104" s="50" t="s">
        <v>43</v>
      </c>
      <c r="E104" s="49">
        <f>SUM(I101:I103)*1.1</f>
        <v>1.2969000000000002</v>
      </c>
      <c r="F104" s="50" t="s">
        <v>44</v>
      </c>
      <c r="G104" s="51">
        <f>(C$218+C$222)/1000</f>
        <v>39.781500000000001</v>
      </c>
      <c r="H104" s="52" t="s">
        <v>45</v>
      </c>
      <c r="I104" s="53">
        <f>ROUND(E104*G104,2)</f>
        <v>51.59</v>
      </c>
    </row>
    <row r="105" spans="2:13" ht="18" customHeight="1">
      <c r="B105" s="48" t="s">
        <v>46</v>
      </c>
      <c r="C105" s="50">
        <v>186.72</v>
      </c>
      <c r="D105" s="50" t="s">
        <v>47</v>
      </c>
      <c r="E105" s="49">
        <f>ROUND(C104*(C105/1000),2)</f>
        <v>0.81</v>
      </c>
      <c r="F105" s="50" t="s">
        <v>48</v>
      </c>
      <c r="G105" s="50">
        <f>G$23</f>
        <v>10</v>
      </c>
      <c r="H105" s="52" t="s">
        <v>49</v>
      </c>
      <c r="I105" s="53">
        <f>ROUND(E105*G105,2)</f>
        <v>8.1</v>
      </c>
    </row>
    <row r="106" spans="2:13" ht="18" customHeight="1">
      <c r="B106" s="48" t="s">
        <v>50</v>
      </c>
      <c r="C106" s="50">
        <v>0</v>
      </c>
      <c r="D106" s="50" t="s">
        <v>51</v>
      </c>
      <c r="E106" s="49">
        <f>ROUND(C104*(C106/1000),2)</f>
        <v>0</v>
      </c>
      <c r="F106" s="50" t="s">
        <v>48</v>
      </c>
      <c r="G106" s="50">
        <f>G$24</f>
        <v>10</v>
      </c>
      <c r="H106" s="52" t="s">
        <v>49</v>
      </c>
      <c r="I106" s="53">
        <f>ROUND(E106*G106,2)</f>
        <v>0</v>
      </c>
    </row>
    <row r="107" spans="2:13" ht="18" customHeight="1">
      <c r="B107" s="23" t="s">
        <v>36</v>
      </c>
      <c r="C107" s="252" t="s">
        <v>14</v>
      </c>
      <c r="D107" s="252" t="s">
        <v>37</v>
      </c>
      <c r="E107" s="252" t="s">
        <v>38</v>
      </c>
      <c r="F107" s="252" t="s">
        <v>39</v>
      </c>
      <c r="G107" s="252" t="s">
        <v>8</v>
      </c>
      <c r="H107" s="252" t="s">
        <v>22</v>
      </c>
      <c r="I107" s="25" t="s">
        <v>40</v>
      </c>
    </row>
    <row r="108" spans="2:13" ht="18" customHeight="1">
      <c r="B108" s="648" t="s">
        <v>85</v>
      </c>
      <c r="C108" s="655" t="s">
        <v>86</v>
      </c>
      <c r="D108" s="250">
        <v>900</v>
      </c>
      <c r="E108" s="250">
        <f>E6-E14</f>
        <v>1920</v>
      </c>
      <c r="F108" s="250">
        <f>ROUND((D108+E108)*2/1000,4)</f>
        <v>5.64</v>
      </c>
      <c r="G108" s="250">
        <v>1</v>
      </c>
      <c r="H108" s="250">
        <v>1.857</v>
      </c>
      <c r="I108" s="59">
        <f>ROUND(F108*G108*H108,3)</f>
        <v>10.473000000000001</v>
      </c>
    </row>
    <row r="109" spans="2:13" ht="18" customHeight="1">
      <c r="B109" s="648"/>
      <c r="C109" s="656"/>
      <c r="D109" s="250"/>
      <c r="E109" s="250"/>
      <c r="F109" s="250">
        <f>ROUND((D109+E109)*2/1000,4)</f>
        <v>0</v>
      </c>
      <c r="G109" s="250"/>
      <c r="H109" s="250">
        <f>H108</f>
        <v>1.857</v>
      </c>
      <c r="I109" s="59">
        <f>ROUND(F109*G109*H109,3)</f>
        <v>0</v>
      </c>
      <c r="K109" s="42"/>
      <c r="L109" s="42"/>
      <c r="M109" s="42"/>
    </row>
    <row r="110" spans="2:13" ht="18" customHeight="1">
      <c r="B110" s="648"/>
      <c r="C110" s="656"/>
      <c r="D110" s="250"/>
      <c r="E110" s="250"/>
      <c r="F110" s="250">
        <f>ROUND((D110+E110)*2/1000,4)</f>
        <v>0</v>
      </c>
      <c r="G110" s="250"/>
      <c r="H110" s="250">
        <f>H109</f>
        <v>1.857</v>
      </c>
      <c r="I110" s="59">
        <f>ROUND(F110*G110*H110,3)</f>
        <v>0</v>
      </c>
      <c r="K110" s="42"/>
      <c r="L110" s="42"/>
      <c r="M110" s="42"/>
    </row>
    <row r="111" spans="2:13" ht="18" customHeight="1">
      <c r="B111" s="648"/>
      <c r="C111" s="657"/>
      <c r="D111" s="250"/>
      <c r="E111" s="250"/>
      <c r="F111" s="250">
        <f>ROUND((D111+E111)*2/1000,4)</f>
        <v>0</v>
      </c>
      <c r="G111" s="250"/>
      <c r="H111" s="250">
        <f>H110</f>
        <v>1.857</v>
      </c>
      <c r="I111" s="59">
        <f>ROUND(F111*G111*H111,3)</f>
        <v>0</v>
      </c>
      <c r="K111" s="42"/>
      <c r="L111" s="42"/>
      <c r="M111" s="42"/>
    </row>
    <row r="112" spans="2:13" ht="18" customHeight="1">
      <c r="B112" s="48" t="s">
        <v>42</v>
      </c>
      <c r="C112" s="49">
        <f>SUMPRODUCT(F108:F111*G108:G111)</f>
        <v>5.64</v>
      </c>
      <c r="D112" s="50" t="s">
        <v>43</v>
      </c>
      <c r="E112" s="49">
        <f>SUM(I108:I111)*1.1</f>
        <v>11.520300000000002</v>
      </c>
      <c r="F112" s="50" t="s">
        <v>44</v>
      </c>
      <c r="G112" s="51">
        <f>(C$218+C$219)/1000</f>
        <v>46.081499999999998</v>
      </c>
      <c r="H112" s="52" t="s">
        <v>45</v>
      </c>
      <c r="I112" s="53">
        <f>ROUND(E112*G112,2)</f>
        <v>530.87</v>
      </c>
      <c r="J112" s="243">
        <f>SUM(G108:G111)</f>
        <v>1</v>
      </c>
      <c r="K112" s="42"/>
      <c r="L112" s="42"/>
      <c r="M112" s="42"/>
    </row>
    <row r="113" spans="2:14" ht="18" customHeight="1">
      <c r="B113" s="48" t="s">
        <v>46</v>
      </c>
      <c r="C113" s="50">
        <v>241.03</v>
      </c>
      <c r="D113" s="50" t="s">
        <v>47</v>
      </c>
      <c r="E113" s="49">
        <f>ROUND(C112*(C113/1000),2)</f>
        <v>1.36</v>
      </c>
      <c r="F113" s="50" t="s">
        <v>48</v>
      </c>
      <c r="G113" s="50">
        <f>G$23</f>
        <v>10</v>
      </c>
      <c r="H113" s="52" t="s">
        <v>49</v>
      </c>
      <c r="I113" s="53">
        <f>E113*G113</f>
        <v>13.600000000000001</v>
      </c>
      <c r="K113" s="42"/>
      <c r="L113" s="42"/>
      <c r="M113" s="42"/>
    </row>
    <row r="114" spans="2:14" ht="18" customHeight="1" thickBot="1">
      <c r="B114" s="48" t="s">
        <v>50</v>
      </c>
      <c r="C114" s="50">
        <v>204.38</v>
      </c>
      <c r="D114" s="50" t="s">
        <v>51</v>
      </c>
      <c r="E114" s="49">
        <f>ROUND(C112*(C114/1000),2)</f>
        <v>1.1499999999999999</v>
      </c>
      <c r="F114" s="50" t="s">
        <v>48</v>
      </c>
      <c r="G114" s="50">
        <f>G$24</f>
        <v>10</v>
      </c>
      <c r="H114" s="52" t="s">
        <v>49</v>
      </c>
      <c r="I114" s="53">
        <f>E114*G114</f>
        <v>11.5</v>
      </c>
    </row>
    <row r="115" spans="2:14" ht="18" customHeight="1" thickBot="1">
      <c r="B115" s="23" t="s">
        <v>36</v>
      </c>
      <c r="C115" s="252" t="s">
        <v>14</v>
      </c>
      <c r="D115" s="252" t="s">
        <v>37</v>
      </c>
      <c r="E115" s="252" t="s">
        <v>38</v>
      </c>
      <c r="F115" s="252" t="s">
        <v>39</v>
      </c>
      <c r="G115" s="252" t="s">
        <v>8</v>
      </c>
      <c r="H115" s="252" t="s">
        <v>22</v>
      </c>
      <c r="I115" s="25" t="s">
        <v>40</v>
      </c>
      <c r="J115" s="54" t="s">
        <v>2</v>
      </c>
      <c r="K115" s="55" t="s">
        <v>3</v>
      </c>
      <c r="L115" s="55" t="s">
        <v>61</v>
      </c>
      <c r="M115" s="55" t="s">
        <v>62</v>
      </c>
      <c r="N115" s="70" t="s">
        <v>14</v>
      </c>
    </row>
    <row r="116" spans="2:14" ht="18" customHeight="1">
      <c r="B116" s="648" t="s">
        <v>87</v>
      </c>
      <c r="C116" s="649" t="s">
        <v>88</v>
      </c>
      <c r="D116" s="253">
        <f t="shared" ref="D116:E118" si="18">J116-IF(L116=1,78,IF(L116=2,55.5,IF(L116=3,41,0)))</f>
        <v>822</v>
      </c>
      <c r="E116" s="253">
        <f t="shared" si="18"/>
        <v>1842</v>
      </c>
      <c r="F116" s="250">
        <f>ROUND((D116+E116)*2/1000,4)</f>
        <v>5.3280000000000003</v>
      </c>
      <c r="G116" s="250">
        <v>1</v>
      </c>
      <c r="H116" s="58">
        <v>2.456</v>
      </c>
      <c r="I116" s="59">
        <f>ROUND(F116*G116*H116,3)</f>
        <v>13.086</v>
      </c>
      <c r="J116" s="60">
        <f>D108</f>
        <v>900</v>
      </c>
      <c r="K116" s="61">
        <f>E108</f>
        <v>1920</v>
      </c>
      <c r="L116" s="61">
        <v>1</v>
      </c>
      <c r="M116" s="61">
        <v>1</v>
      </c>
      <c r="N116" s="76" t="s">
        <v>56</v>
      </c>
    </row>
    <row r="117" spans="2:14" ht="18" customHeight="1">
      <c r="B117" s="648"/>
      <c r="C117" s="650"/>
      <c r="D117" s="253">
        <f t="shared" si="18"/>
        <v>0</v>
      </c>
      <c r="E117" s="253">
        <f t="shared" si="18"/>
        <v>0</v>
      </c>
      <c r="F117" s="250">
        <f>ROUND((D117+E117)*2/1000,4)</f>
        <v>0</v>
      </c>
      <c r="G117" s="250">
        <v>0</v>
      </c>
      <c r="H117" s="58">
        <f>H116</f>
        <v>2.456</v>
      </c>
      <c r="I117" s="59">
        <f>ROUND(F117*G117*H117,3)</f>
        <v>0</v>
      </c>
      <c r="J117" s="60"/>
      <c r="K117" s="61"/>
      <c r="L117" s="61"/>
      <c r="M117" s="61"/>
      <c r="N117" s="76" t="s">
        <v>58</v>
      </c>
    </row>
    <row r="118" spans="2:14" ht="18" customHeight="1" thickBot="1">
      <c r="B118" s="648"/>
      <c r="C118" s="651"/>
      <c r="D118" s="253">
        <f t="shared" si="18"/>
        <v>0</v>
      </c>
      <c r="E118" s="253">
        <f t="shared" si="18"/>
        <v>0</v>
      </c>
      <c r="F118" s="250">
        <f>ROUND((D118+E118)*2/1000,4)</f>
        <v>0</v>
      </c>
      <c r="G118" s="250">
        <v>0</v>
      </c>
      <c r="H118" s="58">
        <f>H117</f>
        <v>2.456</v>
      </c>
      <c r="I118" s="59">
        <f>ROUND(F118*G118*H118,3)</f>
        <v>0</v>
      </c>
      <c r="J118" s="64"/>
      <c r="K118" s="65"/>
      <c r="L118" s="65"/>
      <c r="M118" s="65"/>
      <c r="N118" s="80" t="s">
        <v>89</v>
      </c>
    </row>
    <row r="119" spans="2:14" ht="18" customHeight="1">
      <c r="B119" s="48" t="s">
        <v>42</v>
      </c>
      <c r="C119" s="49">
        <f>SUMPRODUCT(F116:F118*G116:G118)</f>
        <v>5.3280000000000003</v>
      </c>
      <c r="D119" s="100" t="s">
        <v>43</v>
      </c>
      <c r="E119" s="100">
        <f>SUM(I116:I118)*1.1</f>
        <v>14.394600000000002</v>
      </c>
      <c r="F119" s="50" t="s">
        <v>44</v>
      </c>
      <c r="G119" s="51">
        <f>(C$218+C$219)/1000</f>
        <v>46.081499999999998</v>
      </c>
      <c r="H119" s="52" t="s">
        <v>45</v>
      </c>
      <c r="I119" s="53">
        <f>ROUND(E119*G119,2)</f>
        <v>663.32</v>
      </c>
      <c r="J119" s="243">
        <f>SUM(G116:G118)</f>
        <v>1</v>
      </c>
      <c r="K119" s="255"/>
      <c r="L119" s="255"/>
      <c r="M119" s="255"/>
    </row>
    <row r="120" spans="2:14" ht="18" customHeight="1">
      <c r="B120" s="48" t="s">
        <v>46</v>
      </c>
      <c r="C120" s="50">
        <v>350.56</v>
      </c>
      <c r="D120" s="100" t="s">
        <v>47</v>
      </c>
      <c r="E120" s="100">
        <f>ROUND(C119*(C120/1000),2)</f>
        <v>1.87</v>
      </c>
      <c r="F120" s="50" t="s">
        <v>48</v>
      </c>
      <c r="G120" s="50">
        <f>G$23</f>
        <v>10</v>
      </c>
      <c r="H120" s="52" t="s">
        <v>49</v>
      </c>
      <c r="I120" s="53">
        <f>E120*G120</f>
        <v>18.700000000000003</v>
      </c>
      <c r="J120" s="255"/>
      <c r="K120" s="255"/>
      <c r="L120" s="255"/>
      <c r="M120" s="255"/>
    </row>
    <row r="121" spans="2:14" ht="18" customHeight="1" thickBot="1">
      <c r="B121" s="48" t="s">
        <v>50</v>
      </c>
      <c r="C121" s="50">
        <v>189.03</v>
      </c>
      <c r="D121" s="100" t="s">
        <v>51</v>
      </c>
      <c r="E121" s="100">
        <f>ROUND(C119*(C121/1000),2)</f>
        <v>1.01</v>
      </c>
      <c r="F121" s="50" t="s">
        <v>48</v>
      </c>
      <c r="G121" s="50">
        <f>G$24</f>
        <v>10</v>
      </c>
      <c r="H121" s="52" t="s">
        <v>49</v>
      </c>
      <c r="I121" s="53">
        <f>E121*G121</f>
        <v>10.1</v>
      </c>
      <c r="J121" s="255"/>
    </row>
    <row r="122" spans="2:14" ht="18" customHeight="1" thickBot="1">
      <c r="B122" s="23" t="s">
        <v>36</v>
      </c>
      <c r="C122" s="252" t="s">
        <v>14</v>
      </c>
      <c r="D122" s="101" t="s">
        <v>37</v>
      </c>
      <c r="E122" s="101" t="s">
        <v>38</v>
      </c>
      <c r="F122" s="252" t="s">
        <v>39</v>
      </c>
      <c r="G122" s="252" t="s">
        <v>8</v>
      </c>
      <c r="H122" s="252" t="s">
        <v>22</v>
      </c>
      <c r="I122" s="25" t="s">
        <v>40</v>
      </c>
      <c r="J122" s="54" t="s">
        <v>2</v>
      </c>
      <c r="K122" s="55" t="s">
        <v>3</v>
      </c>
      <c r="L122" s="55" t="s">
        <v>61</v>
      </c>
      <c r="M122" s="55" t="s">
        <v>62</v>
      </c>
      <c r="N122" s="70" t="s">
        <v>14</v>
      </c>
    </row>
    <row r="123" spans="2:14" ht="18" customHeight="1">
      <c r="B123" s="648" t="s">
        <v>90</v>
      </c>
      <c r="C123" s="649" t="s">
        <v>91</v>
      </c>
      <c r="D123" s="253">
        <f t="shared" ref="D123:E125" si="19">J123-IF(L123=1,78,IF(L123=2,55.5,IF(L123=3,41,0)))</f>
        <v>0</v>
      </c>
      <c r="E123" s="253">
        <f t="shared" si="19"/>
        <v>0</v>
      </c>
      <c r="F123" s="250">
        <f>ROUND((D123+E123)*2/1000,4)</f>
        <v>0</v>
      </c>
      <c r="G123" s="250"/>
      <c r="H123" s="58">
        <v>2.4710000000000001</v>
      </c>
      <c r="I123" s="59">
        <f>ROUND(F123*G123*H123,3)</f>
        <v>0</v>
      </c>
      <c r="J123" s="60"/>
      <c r="K123" s="61"/>
      <c r="L123" s="61"/>
      <c r="M123" s="61"/>
      <c r="N123" s="76" t="s">
        <v>56</v>
      </c>
    </row>
    <row r="124" spans="2:14" ht="18" customHeight="1">
      <c r="B124" s="648"/>
      <c r="C124" s="650"/>
      <c r="D124" s="253">
        <f t="shared" si="19"/>
        <v>0</v>
      </c>
      <c r="E124" s="253">
        <f t="shared" si="19"/>
        <v>0</v>
      </c>
      <c r="F124" s="250">
        <f>ROUND((D124+E124)*2/1000,4)</f>
        <v>0</v>
      </c>
      <c r="G124" s="250"/>
      <c r="H124" s="58">
        <f>H123</f>
        <v>2.4710000000000001</v>
      </c>
      <c r="I124" s="59">
        <f>ROUND(F124*G124*H124,3)</f>
        <v>0</v>
      </c>
      <c r="J124" s="60"/>
      <c r="K124" s="61"/>
      <c r="L124" s="61"/>
      <c r="M124" s="61"/>
      <c r="N124" s="76" t="s">
        <v>58</v>
      </c>
    </row>
    <row r="125" spans="2:14" ht="18" customHeight="1" thickBot="1">
      <c r="B125" s="648"/>
      <c r="C125" s="651"/>
      <c r="D125" s="253">
        <f t="shared" si="19"/>
        <v>0</v>
      </c>
      <c r="E125" s="253">
        <f t="shared" si="19"/>
        <v>0</v>
      </c>
      <c r="F125" s="250">
        <f>ROUND((D125+E125)*2/1000,4)</f>
        <v>0</v>
      </c>
      <c r="G125" s="250"/>
      <c r="H125" s="58">
        <f>H124</f>
        <v>2.4710000000000001</v>
      </c>
      <c r="I125" s="59">
        <f>ROUND(F125*G125*H125,3)</f>
        <v>0</v>
      </c>
      <c r="J125" s="64"/>
      <c r="K125" s="65"/>
      <c r="L125" s="65"/>
      <c r="M125" s="65"/>
      <c r="N125" s="80" t="s">
        <v>89</v>
      </c>
    </row>
    <row r="126" spans="2:14" ht="18" customHeight="1">
      <c r="B126" s="48" t="s">
        <v>42</v>
      </c>
      <c r="C126" s="49">
        <f>SUMPRODUCT(F123:F125*G123:G125)</f>
        <v>0</v>
      </c>
      <c r="D126" s="50" t="s">
        <v>43</v>
      </c>
      <c r="E126" s="49">
        <f>SUM(I123:I125)*1.1</f>
        <v>0</v>
      </c>
      <c r="F126" s="50" t="s">
        <v>44</v>
      </c>
      <c r="G126" s="51">
        <f>(C$218+C$221)/1000</f>
        <v>46.081499999999998</v>
      </c>
      <c r="H126" s="52" t="s">
        <v>45</v>
      </c>
      <c r="I126" s="53">
        <f>ROUND(E126*G126,2)</f>
        <v>0</v>
      </c>
      <c r="J126" s="243">
        <f>SUM(G123:G125)</f>
        <v>0</v>
      </c>
      <c r="K126" s="255"/>
      <c r="L126" s="255"/>
      <c r="M126" s="255"/>
    </row>
    <row r="127" spans="2:14" ht="18" customHeight="1">
      <c r="B127" s="48" t="s">
        <v>46</v>
      </c>
      <c r="C127" s="50">
        <v>236.53</v>
      </c>
      <c r="D127" s="50" t="s">
        <v>47</v>
      </c>
      <c r="E127" s="49">
        <f>ROUND(C126*(C127/1000),2)</f>
        <v>0</v>
      </c>
      <c r="F127" s="50" t="s">
        <v>48</v>
      </c>
      <c r="G127" s="50">
        <f>G$23</f>
        <v>10</v>
      </c>
      <c r="H127" s="52" t="s">
        <v>49</v>
      </c>
      <c r="I127" s="53">
        <f>E127*G127</f>
        <v>0</v>
      </c>
      <c r="J127" s="255"/>
      <c r="K127" s="255"/>
      <c r="L127" s="255"/>
      <c r="M127" s="255"/>
    </row>
    <row r="128" spans="2:14" ht="18" customHeight="1" thickBot="1">
      <c r="B128" s="48" t="s">
        <v>50</v>
      </c>
      <c r="C128" s="50">
        <v>311.02999999999997</v>
      </c>
      <c r="D128" s="50" t="s">
        <v>51</v>
      </c>
      <c r="E128" s="49">
        <f>ROUND(C126*(C128/1000),2)</f>
        <v>0</v>
      </c>
      <c r="F128" s="50" t="s">
        <v>48</v>
      </c>
      <c r="G128" s="50">
        <f>G$24</f>
        <v>10</v>
      </c>
      <c r="H128" s="52" t="s">
        <v>49</v>
      </c>
      <c r="I128" s="53">
        <f>E128*G128</f>
        <v>0</v>
      </c>
      <c r="J128" s="255"/>
    </row>
    <row r="129" spans="2:14" ht="18" customHeight="1" thickBot="1">
      <c r="B129" s="23" t="s">
        <v>36</v>
      </c>
      <c r="C129" s="252" t="s">
        <v>14</v>
      </c>
      <c r="D129" s="252" t="s">
        <v>37</v>
      </c>
      <c r="E129" s="252" t="s">
        <v>71</v>
      </c>
      <c r="F129" s="252" t="s">
        <v>38</v>
      </c>
      <c r="G129" s="252" t="s">
        <v>72</v>
      </c>
      <c r="H129" s="252" t="s">
        <v>22</v>
      </c>
      <c r="I129" s="25" t="s">
        <v>40</v>
      </c>
      <c r="J129" s="54" t="s">
        <v>2</v>
      </c>
      <c r="K129" s="55" t="s">
        <v>3</v>
      </c>
      <c r="L129" s="55" t="s">
        <v>61</v>
      </c>
      <c r="M129" s="55" t="s">
        <v>62</v>
      </c>
      <c r="N129" s="70" t="s">
        <v>14</v>
      </c>
    </row>
    <row r="130" spans="2:14" ht="18" customHeight="1">
      <c r="B130" s="648" t="s">
        <v>92</v>
      </c>
      <c r="C130" s="649" t="s">
        <v>93</v>
      </c>
      <c r="D130" s="253">
        <f>J130-IF(L130=1,81,IF(L130=2,58.5,IF(L130=3,36,0)))</f>
        <v>0</v>
      </c>
      <c r="E130" s="253">
        <v>0</v>
      </c>
      <c r="F130" s="253">
        <f>K130-IF(M130=1,81,IF(M130=2,58.5,IF(M130=3,36,0)))</f>
        <v>0</v>
      </c>
      <c r="G130" s="250">
        <v>0</v>
      </c>
      <c r="H130" s="250">
        <v>2.0489999999999999</v>
      </c>
      <c r="I130" s="59">
        <f>ROUND((D130*E130+F130*G130)/1000*H130,3)</f>
        <v>0</v>
      </c>
      <c r="J130" s="60"/>
      <c r="K130" s="61"/>
      <c r="L130" s="61"/>
      <c r="M130" s="61"/>
      <c r="N130" s="76" t="s">
        <v>56</v>
      </c>
    </row>
    <row r="131" spans="2:14" ht="18" customHeight="1">
      <c r="B131" s="648"/>
      <c r="C131" s="650"/>
      <c r="D131" s="253">
        <f>J131-IF(L131=1,81,IF(L131=2,58.5,IF(L131=3,36,0)))</f>
        <v>0</v>
      </c>
      <c r="E131" s="253">
        <v>0</v>
      </c>
      <c r="F131" s="253">
        <f>K131-IF(M131=1,81,IF(M131=2,58.5,IF(M131=3,36,0)))</f>
        <v>0</v>
      </c>
      <c r="G131" s="250"/>
      <c r="H131" s="250">
        <f>H130</f>
        <v>2.0489999999999999</v>
      </c>
      <c r="I131" s="59">
        <f>ROUND((D131*E131+F131*G131)/1000*H131,3)</f>
        <v>0</v>
      </c>
      <c r="J131" s="60"/>
      <c r="K131" s="61"/>
      <c r="L131" s="61"/>
      <c r="M131" s="61"/>
      <c r="N131" s="76" t="s">
        <v>58</v>
      </c>
    </row>
    <row r="132" spans="2:14" ht="18" customHeight="1" thickBot="1">
      <c r="B132" s="648"/>
      <c r="C132" s="651"/>
      <c r="D132" s="253">
        <f>J132-IF(L132=1,81,IF(L132=2,58.5,IF(L132=3,36,0)))</f>
        <v>0</v>
      </c>
      <c r="E132" s="253"/>
      <c r="F132" s="253">
        <f>K132-IF(M132=1,81,IF(M132=2,58.5,IF(M132=3,36,0)))</f>
        <v>0</v>
      </c>
      <c r="G132" s="250"/>
      <c r="H132" s="250">
        <f>H131</f>
        <v>2.0489999999999999</v>
      </c>
      <c r="I132" s="59">
        <f>ROUND((D132*E132+F132*G132)/1000*H132,3)</f>
        <v>0</v>
      </c>
      <c r="J132" s="64"/>
      <c r="K132" s="65"/>
      <c r="L132" s="65"/>
      <c r="M132" s="65"/>
      <c r="N132" s="80" t="s">
        <v>89</v>
      </c>
    </row>
    <row r="133" spans="2:14" ht="18" customHeight="1">
      <c r="B133" s="48" t="s">
        <v>42</v>
      </c>
      <c r="C133" s="49">
        <f>SUMPRODUCT(D130:D132*E130:E132+F130:F132*G130:G132)/1000</f>
        <v>0</v>
      </c>
      <c r="D133" s="50" t="s">
        <v>43</v>
      </c>
      <c r="E133" s="49">
        <f>SUM(I130:I132)*1.1</f>
        <v>0</v>
      </c>
      <c r="F133" s="50" t="s">
        <v>44</v>
      </c>
      <c r="G133" s="51">
        <f>(C$218+C$219)/1000</f>
        <v>46.081499999999998</v>
      </c>
      <c r="H133" s="52" t="s">
        <v>45</v>
      </c>
      <c r="I133" s="53">
        <f>ROUND(E133*G133,2)</f>
        <v>0</v>
      </c>
      <c r="J133" s="243">
        <f>SUM(G130:G132)+SUM(E130:E132)</f>
        <v>0</v>
      </c>
    </row>
    <row r="134" spans="2:14" ht="18" customHeight="1">
      <c r="B134" s="48" t="s">
        <v>46</v>
      </c>
      <c r="C134" s="50">
        <v>298.42</v>
      </c>
      <c r="D134" s="50" t="s">
        <v>47</v>
      </c>
      <c r="E134" s="49">
        <f>ROUND(C133*(C134/1000),2)</f>
        <v>0</v>
      </c>
      <c r="F134" s="50" t="s">
        <v>48</v>
      </c>
      <c r="G134" s="50">
        <f>G$23</f>
        <v>10</v>
      </c>
      <c r="H134" s="52" t="s">
        <v>49</v>
      </c>
      <c r="I134" s="53">
        <f>ROUND(E134*G134,2)</f>
        <v>0</v>
      </c>
    </row>
    <row r="135" spans="2:14" ht="18" customHeight="1">
      <c r="B135" s="48" t="s">
        <v>50</v>
      </c>
      <c r="C135" s="50">
        <v>208.08</v>
      </c>
      <c r="D135" s="50" t="s">
        <v>51</v>
      </c>
      <c r="E135" s="49">
        <f>ROUND(C133*(C135/1000),2)</f>
        <v>0</v>
      </c>
      <c r="F135" s="50" t="s">
        <v>48</v>
      </c>
      <c r="G135" s="50">
        <f>G$24</f>
        <v>10</v>
      </c>
      <c r="H135" s="52" t="s">
        <v>49</v>
      </c>
      <c r="I135" s="53">
        <f>ROUND(E135*G135,2)</f>
        <v>0</v>
      </c>
    </row>
    <row r="136" spans="2:14" ht="18" customHeight="1">
      <c r="B136" s="23" t="s">
        <v>36</v>
      </c>
      <c r="C136" s="252" t="s">
        <v>14</v>
      </c>
      <c r="D136" s="652" t="s">
        <v>38</v>
      </c>
      <c r="E136" s="652"/>
      <c r="F136" s="652"/>
      <c r="G136" s="252" t="s">
        <v>72</v>
      </c>
      <c r="H136" s="252" t="s">
        <v>22</v>
      </c>
      <c r="I136" s="25" t="s">
        <v>40</v>
      </c>
    </row>
    <row r="137" spans="2:14" ht="18" customHeight="1">
      <c r="B137" s="648" t="s">
        <v>94</v>
      </c>
      <c r="C137" s="649" t="s">
        <v>95</v>
      </c>
      <c r="D137" s="654">
        <f>E116</f>
        <v>1842</v>
      </c>
      <c r="E137" s="646"/>
      <c r="F137" s="646"/>
      <c r="G137" s="250"/>
      <c r="H137" s="250">
        <v>1.3360000000000001</v>
      </c>
      <c r="I137" s="59">
        <f>ROUND(D137*H137*G137/1000,3)</f>
        <v>0</v>
      </c>
    </row>
    <row r="138" spans="2:14" ht="18" customHeight="1">
      <c r="B138" s="648"/>
      <c r="C138" s="651"/>
      <c r="D138" s="654"/>
      <c r="E138" s="646"/>
      <c r="F138" s="646"/>
      <c r="G138" s="250"/>
      <c r="H138" s="250">
        <f>H137</f>
        <v>1.3360000000000001</v>
      </c>
      <c r="I138" s="59">
        <f>ROUND(D138*H138*G138/1000,3)</f>
        <v>0</v>
      </c>
    </row>
    <row r="139" spans="2:14" ht="18" customHeight="1">
      <c r="B139" s="48" t="s">
        <v>42</v>
      </c>
      <c r="C139" s="49">
        <f>SUMPRODUCT(D137:F138*G137:G138)/1000</f>
        <v>0</v>
      </c>
      <c r="D139" s="50" t="s">
        <v>43</v>
      </c>
      <c r="E139" s="49">
        <f>SUM(I137:I138)*1.1</f>
        <v>0</v>
      </c>
      <c r="F139" s="50" t="s">
        <v>44</v>
      </c>
      <c r="G139" s="51">
        <f>(C$218+C$219)/1000</f>
        <v>46.081499999999998</v>
      </c>
      <c r="H139" s="52" t="s">
        <v>45</v>
      </c>
      <c r="I139" s="53">
        <f>ROUND(E139*G139,2)</f>
        <v>0</v>
      </c>
    </row>
    <row r="140" spans="2:14" ht="18" customHeight="1">
      <c r="B140" s="48" t="s">
        <v>46</v>
      </c>
      <c r="C140" s="50">
        <v>143.24</v>
      </c>
      <c r="D140" s="50" t="s">
        <v>47</v>
      </c>
      <c r="E140" s="49">
        <f>ROUND(C139*(C140/1000),2)</f>
        <v>0</v>
      </c>
      <c r="F140" s="50" t="s">
        <v>48</v>
      </c>
      <c r="G140" s="50">
        <f>G$23</f>
        <v>10</v>
      </c>
      <c r="H140" s="52" t="s">
        <v>49</v>
      </c>
      <c r="I140" s="53">
        <f>E140*G140</f>
        <v>0</v>
      </c>
    </row>
    <row r="141" spans="2:14" ht="18" customHeight="1">
      <c r="B141" s="48" t="s">
        <v>50</v>
      </c>
      <c r="C141" s="50">
        <v>85.04</v>
      </c>
      <c r="D141" s="50" t="s">
        <v>51</v>
      </c>
      <c r="E141" s="49">
        <f>ROUND(C139*(C141/1000),2)</f>
        <v>0</v>
      </c>
      <c r="F141" s="50" t="s">
        <v>48</v>
      </c>
      <c r="G141" s="50">
        <f>G$24</f>
        <v>10</v>
      </c>
      <c r="H141" s="52" t="s">
        <v>49</v>
      </c>
      <c r="I141" s="53">
        <f>E141*G141</f>
        <v>0</v>
      </c>
    </row>
    <row r="142" spans="2:14" ht="18" customHeight="1">
      <c r="B142" s="23" t="s">
        <v>36</v>
      </c>
      <c r="C142" s="252" t="s">
        <v>14</v>
      </c>
      <c r="D142" s="252" t="s">
        <v>37</v>
      </c>
      <c r="E142" s="252" t="s">
        <v>38</v>
      </c>
      <c r="F142" s="252" t="s">
        <v>39</v>
      </c>
      <c r="G142" s="252" t="s">
        <v>8</v>
      </c>
      <c r="H142" s="252" t="s">
        <v>22</v>
      </c>
      <c r="I142" s="25" t="s">
        <v>40</v>
      </c>
    </row>
    <row r="143" spans="2:14" ht="18" customHeight="1">
      <c r="B143" s="648" t="s">
        <v>96</v>
      </c>
      <c r="C143" s="653" t="s">
        <v>83</v>
      </c>
      <c r="D143" s="253">
        <f t="shared" ref="D143:E145" si="20">D116-154</f>
        <v>668</v>
      </c>
      <c r="E143" s="253">
        <f t="shared" si="20"/>
        <v>1688</v>
      </c>
      <c r="F143" s="253">
        <f>(D143+E143)*2/1000</f>
        <v>4.7119999999999997</v>
      </c>
      <c r="G143" s="250">
        <f>G116</f>
        <v>1</v>
      </c>
      <c r="H143" s="250">
        <v>0.27100000000000002</v>
      </c>
      <c r="I143" s="59">
        <f>ROUND((F143*G143)*H143,3)</f>
        <v>1.2769999999999999</v>
      </c>
    </row>
    <row r="144" spans="2:14" ht="18" customHeight="1">
      <c r="B144" s="648"/>
      <c r="C144" s="650"/>
      <c r="D144" s="253">
        <f t="shared" si="20"/>
        <v>-154</v>
      </c>
      <c r="E144" s="253">
        <f t="shared" si="20"/>
        <v>-154</v>
      </c>
      <c r="F144" s="253">
        <f>(D144+E144)*2/1000</f>
        <v>-0.61599999999999999</v>
      </c>
      <c r="G144" s="250">
        <f>G117</f>
        <v>0</v>
      </c>
      <c r="H144" s="250">
        <f>H143</f>
        <v>0.27100000000000002</v>
      </c>
      <c r="I144" s="59">
        <f>ROUND((F144*G144)*H144,3)</f>
        <v>0</v>
      </c>
    </row>
    <row r="145" spans="2:14" ht="18" customHeight="1">
      <c r="B145" s="648"/>
      <c r="C145" s="651"/>
      <c r="D145" s="253">
        <f t="shared" si="20"/>
        <v>-154</v>
      </c>
      <c r="E145" s="253">
        <f t="shared" si="20"/>
        <v>-154</v>
      </c>
      <c r="F145" s="253">
        <f>(D145+E145)*2/1000</f>
        <v>-0.61599999999999999</v>
      </c>
      <c r="G145" s="250">
        <f>G118</f>
        <v>0</v>
      </c>
      <c r="H145" s="250">
        <f>H144</f>
        <v>0.27100000000000002</v>
      </c>
      <c r="I145" s="59">
        <f>ROUND((F145*G145)*H145,3)</f>
        <v>0</v>
      </c>
    </row>
    <row r="146" spans="2:14" ht="18" customHeight="1">
      <c r="B146" s="48" t="s">
        <v>42</v>
      </c>
      <c r="C146" s="49">
        <f>SUMPRODUCT(F143:F145*G143:G145)</f>
        <v>4.7119999999999997</v>
      </c>
      <c r="D146" s="50" t="s">
        <v>43</v>
      </c>
      <c r="E146" s="49">
        <f>SUM(I143:I145)*1.1</f>
        <v>1.4047000000000001</v>
      </c>
      <c r="F146" s="50" t="s">
        <v>44</v>
      </c>
      <c r="G146" s="51">
        <f>(C$218+C$222)/1000</f>
        <v>39.781500000000001</v>
      </c>
      <c r="H146" s="52" t="s">
        <v>45</v>
      </c>
      <c r="I146" s="53">
        <f>ROUND(E146*G146,2)</f>
        <v>55.88</v>
      </c>
    </row>
    <row r="147" spans="2:14" ht="18" customHeight="1">
      <c r="B147" s="48" t="s">
        <v>46</v>
      </c>
      <c r="C147" s="50">
        <v>186.72</v>
      </c>
      <c r="D147" s="50" t="s">
        <v>47</v>
      </c>
      <c r="E147" s="49">
        <f>ROUND(C146*(C147/1000),2)</f>
        <v>0.88</v>
      </c>
      <c r="F147" s="50" t="s">
        <v>48</v>
      </c>
      <c r="G147" s="50">
        <f>G$23</f>
        <v>10</v>
      </c>
      <c r="H147" s="52" t="s">
        <v>49</v>
      </c>
      <c r="I147" s="53">
        <f>E147*G147</f>
        <v>8.8000000000000007</v>
      </c>
      <c r="K147" s="42"/>
      <c r="L147" s="42"/>
      <c r="M147" s="42"/>
    </row>
    <row r="148" spans="2:14" ht="18" customHeight="1">
      <c r="B148" s="48" t="s">
        <v>50</v>
      </c>
      <c r="C148" s="50">
        <v>0</v>
      </c>
      <c r="D148" s="50" t="s">
        <v>51</v>
      </c>
      <c r="E148" s="49">
        <f>ROUND(C146*(C148/1000),2)</f>
        <v>0</v>
      </c>
      <c r="F148" s="50" t="s">
        <v>48</v>
      </c>
      <c r="G148" s="50">
        <f>G$24</f>
        <v>10</v>
      </c>
      <c r="H148" s="52" t="s">
        <v>49</v>
      </c>
      <c r="I148" s="53">
        <f>E148*G148</f>
        <v>0</v>
      </c>
      <c r="K148" s="42"/>
      <c r="L148" s="42"/>
      <c r="M148" s="42"/>
    </row>
    <row r="149" spans="2:14" ht="18" customHeight="1">
      <c r="B149" s="23" t="s">
        <v>36</v>
      </c>
      <c r="C149" s="252" t="s">
        <v>14</v>
      </c>
      <c r="D149" s="252" t="s">
        <v>37</v>
      </c>
      <c r="E149" s="252" t="s">
        <v>38</v>
      </c>
      <c r="F149" s="252" t="s">
        <v>39</v>
      </c>
      <c r="G149" s="252" t="s">
        <v>8</v>
      </c>
      <c r="H149" s="252" t="s">
        <v>22</v>
      </c>
      <c r="I149" s="25" t="s">
        <v>40</v>
      </c>
      <c r="K149" s="42"/>
      <c r="L149" s="42"/>
      <c r="M149" s="42"/>
    </row>
    <row r="150" spans="2:14" ht="18" customHeight="1">
      <c r="B150" s="648" t="s">
        <v>97</v>
      </c>
      <c r="C150" s="653" t="s">
        <v>83</v>
      </c>
      <c r="D150" s="253">
        <f t="shared" ref="D150:E152" si="21">D123-160</f>
        <v>-160</v>
      </c>
      <c r="E150" s="253">
        <f t="shared" si="21"/>
        <v>-160</v>
      </c>
      <c r="F150" s="253">
        <f>(D150+E150)*2/1000</f>
        <v>-0.64</v>
      </c>
      <c r="G150" s="250">
        <f>G123</f>
        <v>0</v>
      </c>
      <c r="H150" s="250">
        <f>H145</f>
        <v>0.27100000000000002</v>
      </c>
      <c r="I150" s="59">
        <f>ROUND((F150*G150)*H150,3)</f>
        <v>0</v>
      </c>
      <c r="K150" s="42"/>
      <c r="L150" s="42"/>
      <c r="M150" s="42"/>
    </row>
    <row r="151" spans="2:14" ht="18" customHeight="1">
      <c r="B151" s="648"/>
      <c r="C151" s="650"/>
      <c r="D151" s="253">
        <f t="shared" si="21"/>
        <v>-160</v>
      </c>
      <c r="E151" s="253">
        <f t="shared" si="21"/>
        <v>-160</v>
      </c>
      <c r="F151" s="253">
        <f>(D151+E151)*2/1000</f>
        <v>-0.64</v>
      </c>
      <c r="G151" s="250">
        <f>G124</f>
        <v>0</v>
      </c>
      <c r="H151" s="250">
        <f>H150</f>
        <v>0.27100000000000002</v>
      </c>
      <c r="I151" s="59">
        <f>ROUND((F151*G151)*H151,3)</f>
        <v>0</v>
      </c>
      <c r="K151" s="42"/>
      <c r="L151" s="42"/>
      <c r="M151" s="42"/>
    </row>
    <row r="152" spans="2:14" ht="18" customHeight="1">
      <c r="B152" s="648"/>
      <c r="C152" s="651"/>
      <c r="D152" s="253">
        <f t="shared" si="21"/>
        <v>-160</v>
      </c>
      <c r="E152" s="253">
        <f t="shared" si="21"/>
        <v>-160</v>
      </c>
      <c r="F152" s="253">
        <f>(D152+E152)*2/1000</f>
        <v>-0.64</v>
      </c>
      <c r="G152" s="250">
        <f>G125</f>
        <v>0</v>
      </c>
      <c r="H152" s="250">
        <f>H151</f>
        <v>0.27100000000000002</v>
      </c>
      <c r="I152" s="59">
        <f>ROUND((F152*G152)*H152,3)</f>
        <v>0</v>
      </c>
      <c r="K152" s="42"/>
      <c r="L152" s="42"/>
      <c r="M152" s="42"/>
    </row>
    <row r="153" spans="2:14" ht="18" customHeight="1">
      <c r="B153" s="48" t="s">
        <v>42</v>
      </c>
      <c r="C153" s="49">
        <f>SUMPRODUCT(F150:F152*G150:G152)</f>
        <v>0</v>
      </c>
      <c r="D153" s="50" t="s">
        <v>43</v>
      </c>
      <c r="E153" s="49">
        <f>SUM(I150:I152)*1.1</f>
        <v>0</v>
      </c>
      <c r="F153" s="50" t="s">
        <v>44</v>
      </c>
      <c r="G153" s="51">
        <f>(C$218+C$222)/1000</f>
        <v>39.781500000000001</v>
      </c>
      <c r="H153" s="52" t="s">
        <v>45</v>
      </c>
      <c r="I153" s="53">
        <f>ROUND(E153*G153,2)</f>
        <v>0</v>
      </c>
      <c r="K153" s="42"/>
      <c r="L153" s="42"/>
      <c r="M153" s="42"/>
    </row>
    <row r="154" spans="2:14" ht="18" customHeight="1">
      <c r="B154" s="48" t="s">
        <v>46</v>
      </c>
      <c r="C154" s="50">
        <v>186.72</v>
      </c>
      <c r="D154" s="50" t="s">
        <v>47</v>
      </c>
      <c r="E154" s="49">
        <f>ROUND(C153*(C154/1000),2)</f>
        <v>0</v>
      </c>
      <c r="F154" s="50" t="s">
        <v>48</v>
      </c>
      <c r="G154" s="50">
        <f>G$23</f>
        <v>10</v>
      </c>
      <c r="H154" s="52" t="s">
        <v>49</v>
      </c>
      <c r="I154" s="53">
        <f>E154*G154</f>
        <v>0</v>
      </c>
    </row>
    <row r="155" spans="2:14" ht="18" customHeight="1" thickBot="1">
      <c r="B155" s="48" t="s">
        <v>50</v>
      </c>
      <c r="C155" s="50">
        <v>0</v>
      </c>
      <c r="D155" s="50" t="s">
        <v>51</v>
      </c>
      <c r="E155" s="49">
        <f>ROUND(C153*(C155/1000),2)</f>
        <v>0</v>
      </c>
      <c r="F155" s="50" t="s">
        <v>48</v>
      </c>
      <c r="G155" s="50">
        <f>G$24</f>
        <v>10</v>
      </c>
      <c r="H155" s="52" t="s">
        <v>49</v>
      </c>
      <c r="I155" s="53">
        <f>E155*G155</f>
        <v>0</v>
      </c>
    </row>
    <row r="156" spans="2:14" ht="18" customHeight="1" thickBot="1">
      <c r="B156" s="23" t="s">
        <v>36</v>
      </c>
      <c r="C156" s="252" t="s">
        <v>14</v>
      </c>
      <c r="D156" s="252" t="s">
        <v>37</v>
      </c>
      <c r="E156" s="252" t="s">
        <v>38</v>
      </c>
      <c r="F156" s="252" t="s">
        <v>39</v>
      </c>
      <c r="G156" s="252" t="s">
        <v>8</v>
      </c>
      <c r="H156" s="252" t="s">
        <v>22</v>
      </c>
      <c r="I156" s="25" t="s">
        <v>40</v>
      </c>
      <c r="J156" s="54" t="s">
        <v>2</v>
      </c>
      <c r="K156" s="55" t="s">
        <v>3</v>
      </c>
      <c r="L156" s="55" t="s">
        <v>61</v>
      </c>
      <c r="M156" s="55" t="s">
        <v>62</v>
      </c>
      <c r="N156" s="70" t="s">
        <v>14</v>
      </c>
    </row>
    <row r="157" spans="2:14" ht="18" customHeight="1">
      <c r="B157" s="648" t="s">
        <v>98</v>
      </c>
      <c r="C157" s="649" t="s">
        <v>99</v>
      </c>
      <c r="D157" s="253">
        <f t="shared" ref="D157:E162" si="22">J157-IF(L157=1,90,IF(L157=2,67.5,IF(L157=3,45,0)))</f>
        <v>0</v>
      </c>
      <c r="E157" s="253">
        <f t="shared" si="22"/>
        <v>0</v>
      </c>
      <c r="F157" s="253">
        <f t="shared" ref="F157:F162" si="23">2*(D157+E157)/1000</f>
        <v>0</v>
      </c>
      <c r="G157" s="250">
        <v>0</v>
      </c>
      <c r="H157" s="250">
        <f>H68</f>
        <v>0.224</v>
      </c>
      <c r="I157" s="59">
        <f t="shared" ref="I157:I162" si="24">ROUND((F157*G157)*H157,3)</f>
        <v>0</v>
      </c>
      <c r="J157" s="60"/>
      <c r="K157" s="61"/>
      <c r="L157" s="61"/>
      <c r="M157" s="61"/>
      <c r="N157" s="76" t="s">
        <v>56</v>
      </c>
    </row>
    <row r="158" spans="2:14" ht="18" customHeight="1">
      <c r="B158" s="648"/>
      <c r="C158" s="650"/>
      <c r="D158" s="253">
        <f t="shared" si="22"/>
        <v>0</v>
      </c>
      <c r="E158" s="253">
        <f t="shared" si="22"/>
        <v>0</v>
      </c>
      <c r="F158" s="253">
        <f t="shared" si="23"/>
        <v>0</v>
      </c>
      <c r="G158" s="250"/>
      <c r="H158" s="250">
        <f>H157</f>
        <v>0.224</v>
      </c>
      <c r="I158" s="59">
        <f t="shared" si="24"/>
        <v>0</v>
      </c>
      <c r="J158" s="60"/>
      <c r="K158" s="61"/>
      <c r="L158" s="61"/>
      <c r="M158" s="61"/>
      <c r="N158" s="76" t="s">
        <v>58</v>
      </c>
    </row>
    <row r="159" spans="2:14" ht="18" customHeight="1">
      <c r="B159" s="648"/>
      <c r="C159" s="650"/>
      <c r="D159" s="253">
        <f t="shared" si="22"/>
        <v>0</v>
      </c>
      <c r="E159" s="253">
        <f t="shared" si="22"/>
        <v>0</v>
      </c>
      <c r="F159" s="253">
        <f t="shared" si="23"/>
        <v>0</v>
      </c>
      <c r="G159" s="250"/>
      <c r="H159" s="250">
        <f>H158</f>
        <v>0.224</v>
      </c>
      <c r="I159" s="59">
        <f t="shared" si="24"/>
        <v>0</v>
      </c>
      <c r="J159" s="60"/>
      <c r="K159" s="61"/>
      <c r="L159" s="61"/>
      <c r="M159" s="61"/>
      <c r="N159" s="76" t="s">
        <v>60</v>
      </c>
    </row>
    <row r="160" spans="2:14" ht="18" customHeight="1">
      <c r="B160" s="648"/>
      <c r="C160" s="650"/>
      <c r="D160" s="253">
        <f t="shared" si="22"/>
        <v>0</v>
      </c>
      <c r="E160" s="253">
        <f t="shared" si="22"/>
        <v>0</v>
      </c>
      <c r="F160" s="253">
        <f t="shared" si="23"/>
        <v>0</v>
      </c>
      <c r="G160" s="250">
        <v>0</v>
      </c>
      <c r="H160" s="77">
        <f>H159</f>
        <v>0.224</v>
      </c>
      <c r="I160" s="59">
        <f t="shared" si="24"/>
        <v>0</v>
      </c>
      <c r="J160" s="60"/>
      <c r="K160" s="61"/>
      <c r="L160" s="61"/>
      <c r="M160" s="61"/>
      <c r="N160" s="76"/>
    </row>
    <row r="161" spans="2:16" ht="18" customHeight="1">
      <c r="B161" s="648"/>
      <c r="C161" s="650"/>
      <c r="D161" s="253">
        <f t="shared" si="22"/>
        <v>0</v>
      </c>
      <c r="E161" s="253">
        <f t="shared" si="22"/>
        <v>0</v>
      </c>
      <c r="F161" s="253">
        <f t="shared" si="23"/>
        <v>0</v>
      </c>
      <c r="G161" s="250"/>
      <c r="H161" s="250">
        <f>H160</f>
        <v>0.224</v>
      </c>
      <c r="I161" s="59">
        <f t="shared" si="24"/>
        <v>0</v>
      </c>
      <c r="J161" s="60"/>
      <c r="K161" s="61"/>
      <c r="L161" s="61"/>
      <c r="M161" s="61"/>
      <c r="N161" s="76"/>
    </row>
    <row r="162" spans="2:16" ht="18" customHeight="1" thickBot="1">
      <c r="B162" s="648"/>
      <c r="C162" s="651"/>
      <c r="D162" s="253">
        <f t="shared" si="22"/>
        <v>0</v>
      </c>
      <c r="E162" s="253">
        <f t="shared" si="22"/>
        <v>0</v>
      </c>
      <c r="F162" s="253">
        <f t="shared" si="23"/>
        <v>0</v>
      </c>
      <c r="G162" s="250"/>
      <c r="H162" s="250">
        <f>H160</f>
        <v>0.224</v>
      </c>
      <c r="I162" s="59">
        <f t="shared" si="24"/>
        <v>0</v>
      </c>
      <c r="J162" s="64"/>
      <c r="K162" s="65"/>
      <c r="L162" s="65"/>
      <c r="M162" s="65"/>
      <c r="N162" s="80"/>
    </row>
    <row r="163" spans="2:16" ht="18" customHeight="1">
      <c r="B163" s="48" t="s">
        <v>42</v>
      </c>
      <c r="C163" s="49">
        <f>SUMPRODUCT(F157:F162*G157:G162)</f>
        <v>0</v>
      </c>
      <c r="D163" s="50" t="s">
        <v>43</v>
      </c>
      <c r="E163" s="49">
        <f>SUM(I157:I162)*1.1</f>
        <v>0</v>
      </c>
      <c r="F163" s="50" t="s">
        <v>44</v>
      </c>
      <c r="G163" s="51">
        <f>(C$218+C$222)/1000</f>
        <v>39.781500000000001</v>
      </c>
      <c r="H163" s="52" t="s">
        <v>45</v>
      </c>
      <c r="I163" s="53">
        <f>ROUND(E163*G163,2)</f>
        <v>0</v>
      </c>
      <c r="J163" s="102"/>
      <c r="K163" s="102"/>
      <c r="L163" s="102"/>
      <c r="M163" s="102"/>
      <c r="O163" s="102"/>
      <c r="P163" s="102"/>
    </row>
    <row r="164" spans="2:16" ht="18" customHeight="1">
      <c r="B164" s="48" t="s">
        <v>46</v>
      </c>
      <c r="C164" s="50">
        <v>181.72</v>
      </c>
      <c r="D164" s="50" t="s">
        <v>47</v>
      </c>
      <c r="E164" s="49">
        <f>ROUND(C163*(C164/1000),2)</f>
        <v>0</v>
      </c>
      <c r="F164" s="50" t="s">
        <v>48</v>
      </c>
      <c r="G164" s="50">
        <f>G$23</f>
        <v>10</v>
      </c>
      <c r="H164" s="52" t="s">
        <v>49</v>
      </c>
      <c r="I164" s="53">
        <f>E164*G164</f>
        <v>0</v>
      </c>
      <c r="J164" s="102"/>
      <c r="K164" s="102"/>
      <c r="L164" s="102"/>
      <c r="M164" s="102"/>
      <c r="O164" s="102"/>
      <c r="P164" s="102"/>
    </row>
    <row r="165" spans="2:16" ht="18" customHeight="1">
      <c r="B165" s="48" t="s">
        <v>50</v>
      </c>
      <c r="C165" s="50"/>
      <c r="D165" s="50" t="s">
        <v>51</v>
      </c>
      <c r="E165" s="49">
        <f>ROUND(C163*(C165/1000),2)</f>
        <v>0</v>
      </c>
      <c r="F165" s="50" t="s">
        <v>48</v>
      </c>
      <c r="G165" s="50">
        <f>G$24</f>
        <v>10</v>
      </c>
      <c r="H165" s="52" t="s">
        <v>49</v>
      </c>
      <c r="I165" s="53">
        <f>E165*G165</f>
        <v>0</v>
      </c>
      <c r="K165" s="43">
        <f>J165*E165</f>
        <v>0</v>
      </c>
    </row>
    <row r="166" spans="2:16" ht="18" customHeight="1">
      <c r="B166" s="23" t="s">
        <v>36</v>
      </c>
      <c r="C166" s="252" t="s">
        <v>14</v>
      </c>
      <c r="D166" s="252" t="s">
        <v>37</v>
      </c>
      <c r="E166" s="252" t="s">
        <v>71</v>
      </c>
      <c r="F166" s="252" t="s">
        <v>38</v>
      </c>
      <c r="G166" s="252" t="s">
        <v>72</v>
      </c>
      <c r="H166" s="252" t="s">
        <v>22</v>
      </c>
      <c r="I166" s="25" t="s">
        <v>40</v>
      </c>
    </row>
    <row r="167" spans="2:16" ht="18" customHeight="1">
      <c r="B167" s="648" t="s">
        <v>100</v>
      </c>
      <c r="C167" s="649" t="s">
        <v>101</v>
      </c>
      <c r="D167" s="250"/>
      <c r="E167" s="250"/>
      <c r="F167" s="250"/>
      <c r="G167" s="250"/>
      <c r="H167" s="28">
        <v>6.3E-2</v>
      </c>
      <c r="I167" s="59">
        <f>ROUND((D167*E167+F167*G167)/1000*H167,3)</f>
        <v>0</v>
      </c>
    </row>
    <row r="168" spans="2:16" ht="18" customHeight="1">
      <c r="B168" s="648"/>
      <c r="C168" s="650"/>
      <c r="D168" s="250"/>
      <c r="E168" s="250"/>
      <c r="F168" s="250"/>
      <c r="G168" s="250"/>
      <c r="H168" s="28">
        <f>H167</f>
        <v>6.3E-2</v>
      </c>
      <c r="I168" s="59">
        <f>ROUND((D168*E168+F168*G168)/1000*H168,3)</f>
        <v>0</v>
      </c>
    </row>
    <row r="169" spans="2:16" ht="18" customHeight="1">
      <c r="B169" s="648"/>
      <c r="C169" s="651"/>
      <c r="D169" s="250"/>
      <c r="E169" s="250"/>
      <c r="F169" s="250"/>
      <c r="G169" s="250"/>
      <c r="H169" s="28">
        <f>H168</f>
        <v>6.3E-2</v>
      </c>
      <c r="I169" s="59">
        <f>ROUND((D169*E169+F169*G169)/1000*H169,3)</f>
        <v>0</v>
      </c>
    </row>
    <row r="170" spans="2:16" ht="18" customHeight="1">
      <c r="B170" s="48" t="s">
        <v>42</v>
      </c>
      <c r="C170" s="49">
        <f>SUMPRODUCT(D167:D169*E167:E169+F167:F169*G167:G169)/1000</f>
        <v>0</v>
      </c>
      <c r="D170" s="50" t="s">
        <v>43</v>
      </c>
      <c r="E170" s="49">
        <f>SUM(I167:I169)*1.1</f>
        <v>0</v>
      </c>
      <c r="F170" s="50" t="s">
        <v>44</v>
      </c>
      <c r="G170" s="51">
        <f>(C$218+$C$222)/1000</f>
        <v>39.781500000000001</v>
      </c>
      <c r="H170" s="52" t="s">
        <v>45</v>
      </c>
      <c r="I170" s="53">
        <f>ROUND(E170*G170,2)</f>
        <v>0</v>
      </c>
    </row>
    <row r="171" spans="2:16" ht="18" customHeight="1">
      <c r="B171" s="48" t="s">
        <v>46</v>
      </c>
      <c r="C171" s="50">
        <v>105.66</v>
      </c>
      <c r="D171" s="50" t="s">
        <v>47</v>
      </c>
      <c r="E171" s="49">
        <f>ROUND(C170*(C171/1000),2)</f>
        <v>0</v>
      </c>
      <c r="F171" s="50" t="s">
        <v>48</v>
      </c>
      <c r="G171" s="50">
        <f>G$23</f>
        <v>10</v>
      </c>
      <c r="H171" s="52" t="s">
        <v>49</v>
      </c>
      <c r="I171" s="53">
        <f>E171*G171</f>
        <v>0</v>
      </c>
    </row>
    <row r="172" spans="2:16" ht="18" customHeight="1">
      <c r="B172" s="48" t="s">
        <v>50</v>
      </c>
      <c r="C172" s="50">
        <v>125.66</v>
      </c>
      <c r="D172" s="50" t="s">
        <v>51</v>
      </c>
      <c r="E172" s="49">
        <f>ROUND(C170*(C172/1000),2)</f>
        <v>0</v>
      </c>
      <c r="F172" s="50" t="s">
        <v>48</v>
      </c>
      <c r="G172" s="50">
        <f>G$24</f>
        <v>10</v>
      </c>
      <c r="H172" s="52" t="s">
        <v>49</v>
      </c>
      <c r="I172" s="53">
        <f>E172*G172</f>
        <v>0</v>
      </c>
    </row>
    <row r="173" spans="2:16" ht="18" customHeight="1">
      <c r="B173" s="23" t="s">
        <v>36</v>
      </c>
      <c r="C173" s="252" t="s">
        <v>14</v>
      </c>
      <c r="D173" s="252" t="s">
        <v>37</v>
      </c>
      <c r="E173" s="252" t="s">
        <v>71</v>
      </c>
      <c r="F173" s="252" t="s">
        <v>38</v>
      </c>
      <c r="G173" s="252" t="s">
        <v>72</v>
      </c>
      <c r="H173" s="252" t="s">
        <v>22</v>
      </c>
      <c r="I173" s="25" t="s">
        <v>40</v>
      </c>
    </row>
    <row r="174" spans="2:16" ht="18" customHeight="1">
      <c r="B174" s="648" t="s">
        <v>102</v>
      </c>
      <c r="C174" s="649" t="s">
        <v>103</v>
      </c>
      <c r="D174" s="250"/>
      <c r="E174" s="250"/>
      <c r="F174" s="250"/>
      <c r="G174" s="250"/>
      <c r="H174" s="28">
        <v>1.0980000000000001</v>
      </c>
      <c r="I174" s="59">
        <f>ROUND((D174*E174+F174*G174)/1000*H174,3)</f>
        <v>0</v>
      </c>
    </row>
    <row r="175" spans="2:16" ht="18" customHeight="1">
      <c r="B175" s="648"/>
      <c r="C175" s="650"/>
      <c r="D175" s="250"/>
      <c r="E175" s="250"/>
      <c r="F175" s="250"/>
      <c r="G175" s="250"/>
      <c r="H175" s="28">
        <f>H174</f>
        <v>1.0980000000000001</v>
      </c>
      <c r="I175" s="59">
        <f>ROUND((D175*E175+F175*G175)/1000*H175,3)</f>
        <v>0</v>
      </c>
    </row>
    <row r="176" spans="2:16" ht="18" customHeight="1">
      <c r="B176" s="648"/>
      <c r="C176" s="651"/>
      <c r="D176" s="250"/>
      <c r="E176" s="250"/>
      <c r="F176" s="250"/>
      <c r="G176" s="250"/>
      <c r="H176" s="28">
        <f>H175</f>
        <v>1.0980000000000001</v>
      </c>
      <c r="I176" s="59">
        <f>ROUND((D176*E176+F176*G176)/1000*H176,3)</f>
        <v>0</v>
      </c>
    </row>
    <row r="177" spans="2:9" ht="18" customHeight="1">
      <c r="B177" s="48" t="s">
        <v>42</v>
      </c>
      <c r="C177" s="49">
        <f>SUMPRODUCT(D174:D176*E174:E176+F174:F176*G174:G176)/1000</f>
        <v>0</v>
      </c>
      <c r="D177" s="50" t="s">
        <v>43</v>
      </c>
      <c r="E177" s="49">
        <f>SUM(I174:I176)*1.1</f>
        <v>0</v>
      </c>
      <c r="F177" s="50" t="s">
        <v>44</v>
      </c>
      <c r="G177" s="51">
        <f>(C$218+C$219)/1000</f>
        <v>46.081499999999998</v>
      </c>
      <c r="H177" s="52" t="s">
        <v>45</v>
      </c>
      <c r="I177" s="53">
        <f>ROUND(E177*G177,2)</f>
        <v>0</v>
      </c>
    </row>
    <row r="178" spans="2:9" ht="18" customHeight="1">
      <c r="B178" s="48" t="s">
        <v>46</v>
      </c>
      <c r="C178" s="50">
        <v>105.66</v>
      </c>
      <c r="D178" s="50" t="s">
        <v>47</v>
      </c>
      <c r="E178" s="49">
        <f>ROUND(C177*(C178/1000),2)</f>
        <v>0</v>
      </c>
      <c r="F178" s="50" t="s">
        <v>48</v>
      </c>
      <c r="G178" s="50">
        <f>G$23</f>
        <v>10</v>
      </c>
      <c r="H178" s="52" t="s">
        <v>49</v>
      </c>
      <c r="I178" s="53">
        <f>E178*G178</f>
        <v>0</v>
      </c>
    </row>
    <row r="179" spans="2:9" ht="18" customHeight="1">
      <c r="B179" s="48" t="s">
        <v>50</v>
      </c>
      <c r="C179" s="50">
        <v>125.66</v>
      </c>
      <c r="D179" s="50" t="s">
        <v>51</v>
      </c>
      <c r="E179" s="49">
        <f>ROUND(C177*(C179/1000),2)</f>
        <v>0</v>
      </c>
      <c r="F179" s="50" t="s">
        <v>48</v>
      </c>
      <c r="G179" s="50">
        <f>G$24</f>
        <v>10</v>
      </c>
      <c r="H179" s="52" t="s">
        <v>49</v>
      </c>
      <c r="I179" s="53">
        <f>E179*G179</f>
        <v>0</v>
      </c>
    </row>
    <row r="180" spans="2:9" ht="18" customHeight="1">
      <c r="B180" s="23" t="s">
        <v>36</v>
      </c>
      <c r="C180" s="252" t="s">
        <v>14</v>
      </c>
      <c r="D180" s="252" t="s">
        <v>37</v>
      </c>
      <c r="E180" s="252" t="s">
        <v>71</v>
      </c>
      <c r="F180" s="252" t="s">
        <v>38</v>
      </c>
      <c r="G180" s="252" t="s">
        <v>72</v>
      </c>
      <c r="H180" s="252" t="s">
        <v>22</v>
      </c>
      <c r="I180" s="25" t="s">
        <v>40</v>
      </c>
    </row>
    <row r="181" spans="2:9" ht="18" customHeight="1">
      <c r="B181" s="648" t="s">
        <v>104</v>
      </c>
      <c r="C181" s="649" t="s">
        <v>105</v>
      </c>
      <c r="D181" s="250">
        <f>D6</f>
        <v>1920</v>
      </c>
      <c r="E181" s="250">
        <v>1</v>
      </c>
      <c r="F181" s="250">
        <f>E15</f>
        <v>1920</v>
      </c>
      <c r="G181" s="250">
        <v>2</v>
      </c>
      <c r="H181" s="28">
        <v>1.5629999999999999</v>
      </c>
      <c r="I181" s="59">
        <f>ROUND((D181*E181+F181*G181)/1000*H181,3)</f>
        <v>9.0030000000000001</v>
      </c>
    </row>
    <row r="182" spans="2:9" ht="18" customHeight="1">
      <c r="B182" s="648"/>
      <c r="C182" s="650"/>
      <c r="D182" s="250"/>
      <c r="E182" s="250"/>
      <c r="F182" s="250"/>
      <c r="G182" s="250"/>
      <c r="H182" s="28">
        <f>H181</f>
        <v>1.5629999999999999</v>
      </c>
      <c r="I182" s="59">
        <f>ROUND((D182*E182+F182*G182)/1000*H182,3)</f>
        <v>0</v>
      </c>
    </row>
    <row r="183" spans="2:9" ht="18" customHeight="1">
      <c r="B183" s="648"/>
      <c r="C183" s="651"/>
      <c r="D183" s="250"/>
      <c r="E183" s="250"/>
      <c r="F183" s="250"/>
      <c r="G183" s="250"/>
      <c r="H183" s="28">
        <f>H182</f>
        <v>1.5629999999999999</v>
      </c>
      <c r="I183" s="59">
        <f>ROUND((D183*E183+F183*G183)/1000*H183,3)</f>
        <v>0</v>
      </c>
    </row>
    <row r="184" spans="2:9" ht="18" customHeight="1">
      <c r="B184" s="48" t="s">
        <v>42</v>
      </c>
      <c r="C184" s="49">
        <f>SUMPRODUCT(D181:D183*E181:E183+F181:F183*G181:G183)/1000</f>
        <v>5.76</v>
      </c>
      <c r="D184" s="50" t="s">
        <v>43</v>
      </c>
      <c r="E184" s="49">
        <f>SUM(I181:I183)*1.1</f>
        <v>9.9033000000000015</v>
      </c>
      <c r="F184" s="50" t="s">
        <v>44</v>
      </c>
      <c r="G184" s="51">
        <f>(C$218+C$219)/1000</f>
        <v>46.081499999999998</v>
      </c>
      <c r="H184" s="52" t="s">
        <v>45</v>
      </c>
      <c r="I184" s="53">
        <f>ROUND(E184*G184,2)</f>
        <v>456.36</v>
      </c>
    </row>
    <row r="185" spans="2:9" ht="18" customHeight="1">
      <c r="B185" s="48" t="s">
        <v>46</v>
      </c>
      <c r="C185" s="50">
        <v>105.66</v>
      </c>
      <c r="D185" s="50" t="s">
        <v>47</v>
      </c>
      <c r="E185" s="49">
        <f>ROUND(C184*(C185/1000),2)</f>
        <v>0.61</v>
      </c>
      <c r="F185" s="50" t="s">
        <v>48</v>
      </c>
      <c r="G185" s="50">
        <f>G$23</f>
        <v>10</v>
      </c>
      <c r="H185" s="52" t="s">
        <v>49</v>
      </c>
      <c r="I185" s="53">
        <f>E185*G185</f>
        <v>6.1</v>
      </c>
    </row>
    <row r="186" spans="2:9" ht="18" customHeight="1">
      <c r="B186" s="48" t="s">
        <v>50</v>
      </c>
      <c r="C186" s="50">
        <v>125.66</v>
      </c>
      <c r="D186" s="50" t="s">
        <v>51</v>
      </c>
      <c r="E186" s="49">
        <f>ROUND(C184*(C186/1000),2)</f>
        <v>0.72</v>
      </c>
      <c r="F186" s="50" t="s">
        <v>48</v>
      </c>
      <c r="G186" s="50">
        <f>G$24</f>
        <v>10</v>
      </c>
      <c r="H186" s="52" t="s">
        <v>49</v>
      </c>
      <c r="I186" s="53">
        <f>E186*G186</f>
        <v>7.1999999999999993</v>
      </c>
    </row>
    <row r="187" spans="2:9" ht="18" customHeight="1">
      <c r="B187" s="23" t="s">
        <v>36</v>
      </c>
      <c r="C187" s="252" t="s">
        <v>14</v>
      </c>
      <c r="D187" s="252" t="s">
        <v>37</v>
      </c>
      <c r="E187" s="252" t="s">
        <v>71</v>
      </c>
      <c r="F187" s="252" t="s">
        <v>38</v>
      </c>
      <c r="G187" s="252" t="s">
        <v>72</v>
      </c>
      <c r="H187" s="252" t="s">
        <v>22</v>
      </c>
      <c r="I187" s="25" t="s">
        <v>40</v>
      </c>
    </row>
    <row r="188" spans="2:9" ht="18" customHeight="1">
      <c r="B188" s="648" t="s">
        <v>106</v>
      </c>
      <c r="C188" s="649" t="s">
        <v>107</v>
      </c>
      <c r="D188" s="250"/>
      <c r="E188" s="250"/>
      <c r="F188" s="250"/>
      <c r="G188" s="250"/>
      <c r="H188" s="28">
        <v>1.732</v>
      </c>
      <c r="I188" s="59">
        <f>ROUND((D188*E188+F188*G188)/1000*H188,3)</f>
        <v>0</v>
      </c>
    </row>
    <row r="189" spans="2:9" ht="18" customHeight="1">
      <c r="B189" s="648"/>
      <c r="C189" s="650"/>
      <c r="D189" s="250"/>
      <c r="E189" s="250"/>
      <c r="F189" s="250"/>
      <c r="G189" s="250"/>
      <c r="H189" s="28">
        <f>H188</f>
        <v>1.732</v>
      </c>
      <c r="I189" s="59">
        <f>ROUND((D189*E189+F189*G189)/1000*H189,3)</f>
        <v>0</v>
      </c>
    </row>
    <row r="190" spans="2:9" ht="18" customHeight="1">
      <c r="B190" s="648"/>
      <c r="C190" s="651"/>
      <c r="D190" s="250"/>
      <c r="E190" s="250"/>
      <c r="F190" s="250">
        <f>E6</f>
        <v>2920</v>
      </c>
      <c r="G190" s="250"/>
      <c r="H190" s="28">
        <f>H189</f>
        <v>1.732</v>
      </c>
      <c r="I190" s="59">
        <f>ROUND((D190*E190+F190*G190)/1000*H190,3)</f>
        <v>0</v>
      </c>
    </row>
    <row r="191" spans="2:9" ht="18" customHeight="1">
      <c r="B191" s="48" t="s">
        <v>42</v>
      </c>
      <c r="C191" s="49">
        <f>SUMPRODUCT(D188:D190*E188:E190+F188:F190*G188:G190)/1000</f>
        <v>0</v>
      </c>
      <c r="D191" s="50" t="s">
        <v>43</v>
      </c>
      <c r="E191" s="49">
        <f>SUM(I188:I190)*1.1</f>
        <v>0</v>
      </c>
      <c r="F191" s="50" t="s">
        <v>44</v>
      </c>
      <c r="G191" s="51">
        <f>(C$218+C$219)/1000</f>
        <v>46.081499999999998</v>
      </c>
      <c r="H191" s="52" t="s">
        <v>45</v>
      </c>
      <c r="I191" s="53">
        <f>ROUND(E191*G191,2)</f>
        <v>0</v>
      </c>
    </row>
    <row r="192" spans="2:9" ht="18" customHeight="1">
      <c r="B192" s="48" t="s">
        <v>46</v>
      </c>
      <c r="C192" s="50">
        <v>105.66</v>
      </c>
      <c r="D192" s="50" t="s">
        <v>47</v>
      </c>
      <c r="E192" s="49">
        <f>ROUND(C191*(C192/1000),2)</f>
        <v>0</v>
      </c>
      <c r="F192" s="50" t="s">
        <v>48</v>
      </c>
      <c r="G192" s="50">
        <f>G$23</f>
        <v>10</v>
      </c>
      <c r="H192" s="52" t="s">
        <v>49</v>
      </c>
      <c r="I192" s="53">
        <f>E192*G192</f>
        <v>0</v>
      </c>
    </row>
    <row r="193" spans="2:15" ht="18" customHeight="1">
      <c r="B193" s="48" t="s">
        <v>50</v>
      </c>
      <c r="C193" s="50">
        <v>125.66</v>
      </c>
      <c r="D193" s="50" t="s">
        <v>51</v>
      </c>
      <c r="E193" s="49">
        <f>ROUND(C191*(C193/1000),2)</f>
        <v>0</v>
      </c>
      <c r="F193" s="50" t="s">
        <v>48</v>
      </c>
      <c r="G193" s="50">
        <f>G$24</f>
        <v>10</v>
      </c>
      <c r="H193" s="52" t="s">
        <v>49</v>
      </c>
      <c r="I193" s="53">
        <f>E193*G193</f>
        <v>0</v>
      </c>
    </row>
    <row r="194" spans="2:15" ht="18" customHeight="1">
      <c r="B194" s="23" t="s">
        <v>36</v>
      </c>
      <c r="C194" s="252" t="s">
        <v>14</v>
      </c>
      <c r="D194" s="652" t="s">
        <v>38</v>
      </c>
      <c r="E194" s="652"/>
      <c r="F194" s="652"/>
      <c r="G194" s="252" t="s">
        <v>72</v>
      </c>
      <c r="H194" s="252" t="s">
        <v>22</v>
      </c>
      <c r="I194" s="25" t="s">
        <v>40</v>
      </c>
    </row>
    <row r="195" spans="2:15" ht="18" customHeight="1">
      <c r="B195" s="643" t="s">
        <v>108</v>
      </c>
      <c r="C195" s="645" t="s">
        <v>109</v>
      </c>
      <c r="D195" s="646"/>
      <c r="E195" s="646"/>
      <c r="F195" s="646"/>
      <c r="G195" s="250"/>
      <c r="H195" s="250">
        <v>1.796</v>
      </c>
      <c r="I195" s="59">
        <f>ROUND((D195*G195*H195)/1000,3)</f>
        <v>0</v>
      </c>
    </row>
    <row r="196" spans="2:15" ht="18" customHeight="1">
      <c r="B196" s="644"/>
      <c r="C196" s="640"/>
      <c r="D196" s="646"/>
      <c r="E196" s="646"/>
      <c r="F196" s="646"/>
      <c r="G196" s="250"/>
      <c r="H196" s="250">
        <f>H195</f>
        <v>1.796</v>
      </c>
      <c r="I196" s="59">
        <f>ROUND((D196*G196*H196)/1000,3)</f>
        <v>0</v>
      </c>
    </row>
    <row r="197" spans="2:15" ht="18" customHeight="1">
      <c r="B197" s="643" t="s">
        <v>110</v>
      </c>
      <c r="C197" s="645" t="s">
        <v>111</v>
      </c>
      <c r="D197" s="646"/>
      <c r="E197" s="646"/>
      <c r="F197" s="646"/>
      <c r="G197" s="250"/>
      <c r="H197" s="250">
        <v>1.355</v>
      </c>
      <c r="I197" s="59"/>
    </row>
    <row r="198" spans="2:15" ht="18" customHeight="1">
      <c r="B198" s="644"/>
      <c r="C198" s="640"/>
      <c r="D198" s="646"/>
      <c r="E198" s="646"/>
      <c r="F198" s="646"/>
      <c r="G198" s="250"/>
      <c r="H198" s="250">
        <f>H197</f>
        <v>1.355</v>
      </c>
      <c r="I198" s="59"/>
    </row>
    <row r="199" spans="2:15" ht="18" customHeight="1">
      <c r="B199" s="48" t="s">
        <v>42</v>
      </c>
      <c r="C199" s="49">
        <f>SUMPRODUCT(D195:F198*G195:G198)/1000</f>
        <v>0</v>
      </c>
      <c r="D199" s="50" t="s">
        <v>43</v>
      </c>
      <c r="E199" s="49">
        <f>SUM(I195:I198)*1.1</f>
        <v>0</v>
      </c>
      <c r="F199" s="50" t="s">
        <v>44</v>
      </c>
      <c r="G199" s="51">
        <f>(C$218+C$219)/1000</f>
        <v>46.081499999999998</v>
      </c>
      <c r="H199" s="52" t="s">
        <v>45</v>
      </c>
      <c r="I199" s="53">
        <f>ROUND(E199*G199,2)</f>
        <v>0</v>
      </c>
    </row>
    <row r="200" spans="2:15" ht="18" customHeight="1">
      <c r="B200" s="48" t="s">
        <v>46</v>
      </c>
      <c r="C200" s="50">
        <v>267.77999999999997</v>
      </c>
      <c r="D200" s="50" t="s">
        <v>47</v>
      </c>
      <c r="E200" s="49">
        <f>ROUND(C199*(C200/1000),2)</f>
        <v>0</v>
      </c>
      <c r="F200" s="50" t="s">
        <v>48</v>
      </c>
      <c r="G200" s="50">
        <f>G$23</f>
        <v>10</v>
      </c>
      <c r="H200" s="52" t="s">
        <v>49</v>
      </c>
      <c r="I200" s="53">
        <f>E200*G200</f>
        <v>0</v>
      </c>
    </row>
    <row r="201" spans="2:15" ht="18" customHeight="1">
      <c r="B201" s="48" t="s">
        <v>50</v>
      </c>
      <c r="C201" s="50">
        <v>104.29</v>
      </c>
      <c r="D201" s="50" t="s">
        <v>51</v>
      </c>
      <c r="E201" s="49">
        <f>ROUND(C199*(C201/1000),2)</f>
        <v>0</v>
      </c>
      <c r="F201" s="50" t="s">
        <v>48</v>
      </c>
      <c r="G201" s="50">
        <f>G$24</f>
        <v>10</v>
      </c>
      <c r="H201" s="52" t="s">
        <v>49</v>
      </c>
      <c r="I201" s="53">
        <f>E201*G201</f>
        <v>0</v>
      </c>
    </row>
    <row r="202" spans="2:15" ht="18" customHeight="1">
      <c r="B202" s="103" t="s">
        <v>112</v>
      </c>
      <c r="C202" s="104" t="s">
        <v>113</v>
      </c>
      <c r="D202" s="104" t="s">
        <v>28</v>
      </c>
      <c r="E202" s="104" t="s">
        <v>8</v>
      </c>
      <c r="F202" s="104" t="s">
        <v>112</v>
      </c>
      <c r="G202" s="104" t="s">
        <v>113</v>
      </c>
      <c r="H202" s="104" t="s">
        <v>28</v>
      </c>
      <c r="I202" s="105" t="s">
        <v>8</v>
      </c>
      <c r="N202" s="106"/>
      <c r="O202" s="102"/>
    </row>
    <row r="203" spans="2:15" ht="18" customHeight="1">
      <c r="B203" s="251" t="s">
        <v>327</v>
      </c>
      <c r="C203" s="107" t="s">
        <v>114</v>
      </c>
      <c r="D203" s="108">
        <v>2.15</v>
      </c>
      <c r="E203" s="253">
        <f>SUM(G14:G21)*4</f>
        <v>12</v>
      </c>
      <c r="F203" s="647" t="s">
        <v>115</v>
      </c>
      <c r="G203" s="107" t="s">
        <v>116</v>
      </c>
      <c r="H203" s="108">
        <v>2.46</v>
      </c>
      <c r="I203" s="247">
        <f>SUM(G108:G111)*4</f>
        <v>4</v>
      </c>
      <c r="J203" s="42"/>
      <c r="N203" s="106"/>
      <c r="O203" s="102"/>
    </row>
    <row r="204" spans="2:15" ht="18" customHeight="1">
      <c r="B204" s="251" t="s">
        <v>328</v>
      </c>
      <c r="C204" s="107" t="s">
        <v>117</v>
      </c>
      <c r="D204" s="108">
        <v>1.72</v>
      </c>
      <c r="E204" s="253">
        <f>E203</f>
        <v>12</v>
      </c>
      <c r="F204" s="646"/>
      <c r="G204" s="107" t="s">
        <v>118</v>
      </c>
      <c r="H204" s="108">
        <v>3.11</v>
      </c>
      <c r="I204" s="247">
        <f>I203</f>
        <v>4</v>
      </c>
      <c r="J204" s="42"/>
      <c r="N204" s="106"/>
      <c r="O204" s="102"/>
    </row>
    <row r="205" spans="2:15" ht="18" customHeight="1">
      <c r="B205" s="109" t="s">
        <v>330</v>
      </c>
      <c r="C205" s="107" t="s">
        <v>119</v>
      </c>
      <c r="D205" s="108">
        <v>2.68</v>
      </c>
      <c r="E205" s="253">
        <f>SUM(G26:G30)*4</f>
        <v>0</v>
      </c>
      <c r="F205" s="110" t="s">
        <v>120</v>
      </c>
      <c r="G205" s="107" t="s">
        <v>121</v>
      </c>
      <c r="H205" s="111">
        <v>4.76</v>
      </c>
      <c r="I205" s="247">
        <f>SUM(G123:G125)*4</f>
        <v>0</v>
      </c>
      <c r="J205" s="42"/>
      <c r="N205" s="106"/>
      <c r="O205" s="102"/>
    </row>
    <row r="206" spans="2:15" ht="18" customHeight="1">
      <c r="B206" s="109" t="s">
        <v>329</v>
      </c>
      <c r="C206" s="107" t="s">
        <v>122</v>
      </c>
      <c r="D206" s="108">
        <v>1.27</v>
      </c>
      <c r="E206" s="253">
        <f>E205</f>
        <v>0</v>
      </c>
      <c r="F206" s="110" t="s">
        <v>123</v>
      </c>
      <c r="G206" s="107" t="s">
        <v>124</v>
      </c>
      <c r="H206" s="111">
        <v>3.85</v>
      </c>
      <c r="I206" s="247">
        <f>I205</f>
        <v>0</v>
      </c>
      <c r="J206" s="42"/>
      <c r="N206" s="106"/>
      <c r="O206" s="102"/>
    </row>
    <row r="207" spans="2:15" ht="18" customHeight="1">
      <c r="B207" s="109" t="s">
        <v>331</v>
      </c>
      <c r="C207" s="107" t="s">
        <v>125</v>
      </c>
      <c r="D207" s="111" t="s">
        <v>126</v>
      </c>
      <c r="E207" s="253">
        <f>SUM(G35:G37)*4</f>
        <v>8</v>
      </c>
      <c r="F207" s="110" t="s">
        <v>127</v>
      </c>
      <c r="G207" s="107" t="s">
        <v>128</v>
      </c>
      <c r="H207" s="111">
        <v>4.29</v>
      </c>
      <c r="I207" s="247">
        <f>SUM(G116:G118)*4</f>
        <v>4</v>
      </c>
      <c r="J207" s="42"/>
      <c r="N207" s="106"/>
      <c r="O207" s="102"/>
    </row>
    <row r="208" spans="2:15" ht="18" customHeight="1">
      <c r="B208" s="109" t="s">
        <v>332</v>
      </c>
      <c r="C208" s="107" t="s">
        <v>129</v>
      </c>
      <c r="D208" s="111" t="s">
        <v>130</v>
      </c>
      <c r="E208" s="253">
        <f>E207</f>
        <v>8</v>
      </c>
      <c r="F208" s="110" t="s">
        <v>131</v>
      </c>
      <c r="G208" s="107" t="s">
        <v>132</v>
      </c>
      <c r="H208" s="111">
        <v>4.5</v>
      </c>
      <c r="I208" s="247">
        <f>I207</f>
        <v>4</v>
      </c>
      <c r="J208" s="42"/>
      <c r="N208" s="106"/>
      <c r="O208" s="102"/>
    </row>
    <row r="209" spans="2:15" ht="18" customHeight="1">
      <c r="B209" s="249" t="s">
        <v>333</v>
      </c>
      <c r="C209" s="250">
        <v>12.6</v>
      </c>
      <c r="D209" s="111">
        <v>1.32</v>
      </c>
      <c r="E209" s="253">
        <f>SUM(G42:G47)*4</f>
        <v>8</v>
      </c>
      <c r="F209" s="639"/>
      <c r="G209" s="107"/>
      <c r="H209" s="28"/>
      <c r="I209" s="247"/>
      <c r="N209" s="106"/>
      <c r="O209" s="102"/>
    </row>
    <row r="210" spans="2:15" ht="18" customHeight="1">
      <c r="B210" s="249" t="s">
        <v>334</v>
      </c>
      <c r="C210" s="250">
        <v>15.8</v>
      </c>
      <c r="D210" s="111">
        <v>1.18</v>
      </c>
      <c r="E210" s="253">
        <f>E209</f>
        <v>8</v>
      </c>
      <c r="F210" s="640"/>
      <c r="G210" s="107"/>
      <c r="H210" s="28"/>
      <c r="I210" s="231"/>
      <c r="N210" s="106"/>
      <c r="O210" s="102"/>
    </row>
    <row r="211" spans="2:15" ht="18" customHeight="1">
      <c r="B211" s="251" t="s">
        <v>335</v>
      </c>
      <c r="C211" s="107" t="s">
        <v>337</v>
      </c>
      <c r="D211" s="111">
        <v>2.81</v>
      </c>
      <c r="E211" s="250">
        <f>SUM(E52+E53+E54+E55+G52+G53+G54+G55+G60+G61+G62+G63)*2</f>
        <v>4</v>
      </c>
      <c r="F211" s="641" t="s">
        <v>133</v>
      </c>
      <c r="G211" s="111">
        <f>SUMPRODUCT(D35:D37,G35:G37)/1000</f>
        <v>0.86399999999999999</v>
      </c>
      <c r="H211" s="28">
        <v>0.16</v>
      </c>
      <c r="I211" s="232">
        <f>G211*H211</f>
        <v>0.13824</v>
      </c>
      <c r="N211" s="106"/>
      <c r="O211" s="102"/>
    </row>
    <row r="212" spans="2:15" ht="18" customHeight="1">
      <c r="B212" s="251" t="s">
        <v>336</v>
      </c>
      <c r="C212" s="107" t="s">
        <v>338</v>
      </c>
      <c r="D212" s="111">
        <v>3.51</v>
      </c>
      <c r="E212" s="250">
        <f>E211</f>
        <v>4</v>
      </c>
      <c r="F212" s="641"/>
      <c r="G212" s="111">
        <f>SUMPRODUCT(D26:D30,G26:G30)/1000</f>
        <v>0</v>
      </c>
      <c r="H212" s="28">
        <v>0.16</v>
      </c>
      <c r="I212" s="232">
        <f>G212*H212</f>
        <v>0</v>
      </c>
      <c r="N212" s="106"/>
      <c r="O212" s="102"/>
    </row>
    <row r="213" spans="2:15" ht="18" customHeight="1">
      <c r="B213" s="251" t="s">
        <v>134</v>
      </c>
      <c r="C213" s="250">
        <v>30.6</v>
      </c>
      <c r="D213" s="111">
        <v>2.81</v>
      </c>
      <c r="E213" s="253">
        <f>SUM(+E130+E131+E132+G130+G131+G132)*2</f>
        <v>0</v>
      </c>
      <c r="F213" s="641" t="s">
        <v>135</v>
      </c>
      <c r="G213" s="111">
        <f>SUMPRODUCT(E26:E30,G26:G30)/1000</f>
        <v>0</v>
      </c>
      <c r="H213" s="28">
        <v>0.16</v>
      </c>
      <c r="I213" s="232">
        <f>G213*H213</f>
        <v>0</v>
      </c>
      <c r="N213" s="106"/>
      <c r="O213" s="102"/>
    </row>
    <row r="214" spans="2:15" ht="18" customHeight="1">
      <c r="B214" s="251" t="s">
        <v>136</v>
      </c>
      <c r="C214" s="250">
        <v>30.6</v>
      </c>
      <c r="D214" s="111">
        <v>3.51</v>
      </c>
      <c r="E214" s="253">
        <f>E213</f>
        <v>0</v>
      </c>
      <c r="F214" s="641"/>
      <c r="G214" s="111">
        <f>SUMPRODUCT(E35:E37,G35:G37)/1000</f>
        <v>1.8</v>
      </c>
      <c r="H214" s="28">
        <v>0.16</v>
      </c>
      <c r="I214" s="232">
        <f>G214*H214</f>
        <v>0.28800000000000003</v>
      </c>
      <c r="N214" s="106"/>
      <c r="O214" s="102"/>
    </row>
    <row r="215" spans="2:15" ht="18" customHeight="1">
      <c r="B215" s="52" t="s">
        <v>137</v>
      </c>
      <c r="C215" s="112" cm="1">
        <f t="array" ref="C215">SUMPRODUCT(D203:D214*E203:E214)+SUMPRODUCT(H203:H210*I203:I210)</f>
        <v>189.48</v>
      </c>
      <c r="D215" s="52"/>
      <c r="E215" s="52"/>
      <c r="F215" s="52"/>
      <c r="G215" s="52" t="s">
        <v>138</v>
      </c>
      <c r="H215" s="52" cm="1">
        <f t="array" ref="H215">SUMPRODUCT(G211:G214*H211:H214)</f>
        <v>0.42624000000000006</v>
      </c>
      <c r="I215" s="233">
        <f>H215*1.08</f>
        <v>0.46033920000000011</v>
      </c>
      <c r="N215" s="106"/>
      <c r="O215" s="102"/>
    </row>
    <row r="216" spans="2:15" ht="18" customHeight="1">
      <c r="B216" s="23" t="s">
        <v>139</v>
      </c>
      <c r="C216" s="252" t="s">
        <v>14</v>
      </c>
      <c r="D216" s="252" t="s">
        <v>22</v>
      </c>
      <c r="E216" s="252" t="s">
        <v>8</v>
      </c>
      <c r="F216" s="252" t="s">
        <v>113</v>
      </c>
      <c r="G216" s="252" t="s">
        <v>40</v>
      </c>
      <c r="H216" s="252" t="s">
        <v>28</v>
      </c>
      <c r="I216" s="25" t="s">
        <v>29</v>
      </c>
      <c r="N216" s="106"/>
      <c r="O216" s="102"/>
    </row>
    <row r="217" spans="2:15" ht="18" customHeight="1">
      <c r="B217" s="48" t="s">
        <v>140</v>
      </c>
      <c r="C217" s="52" t="s">
        <v>141</v>
      </c>
      <c r="D217" s="50">
        <v>0.14199999999999999</v>
      </c>
      <c r="E217" s="50">
        <v>1</v>
      </c>
      <c r="F217" s="50">
        <f>D6</f>
        <v>1920</v>
      </c>
      <c r="G217" s="128">
        <f>D217*F217*E217/1000*1.1</f>
        <v>0.299904</v>
      </c>
      <c r="H217" s="52">
        <f>(C218+C222)/1000</f>
        <v>39.781500000000001</v>
      </c>
      <c r="I217" s="193">
        <f>G217*H217</f>
        <v>11.930630976</v>
      </c>
      <c r="N217" s="106"/>
      <c r="O217" s="102"/>
    </row>
    <row r="218" spans="2:15" ht="18" customHeight="1">
      <c r="B218" s="37" t="s">
        <v>142</v>
      </c>
      <c r="C218" s="113">
        <f>材料价格!B4</f>
        <v>22081.5</v>
      </c>
      <c r="D218" s="39" t="s">
        <v>143</v>
      </c>
      <c r="E218" s="114">
        <f>E139+E133+E126+E119+E112+E199+E177+E64+E56+E48+E38+E31+E22+E184+E191</f>
        <v>86.110749999999996</v>
      </c>
      <c r="F218" s="39" t="s">
        <v>144</v>
      </c>
      <c r="G218" s="115">
        <f>I218/E218-C218/1000</f>
        <v>23.999970664231824</v>
      </c>
      <c r="H218" s="39" t="s">
        <v>145</v>
      </c>
      <c r="I218" s="116">
        <f>I22+I31+I38+I48+I56+I64+I199+I112+I119+I126+I133+I139+I177+I184+I191</f>
        <v>3968.11</v>
      </c>
      <c r="N218" s="106"/>
      <c r="O218" s="102"/>
    </row>
    <row r="219" spans="2:15" ht="18" customHeight="1">
      <c r="B219" s="117" t="s">
        <v>146</v>
      </c>
      <c r="C219" s="118">
        <f>材料价格!B5</f>
        <v>24000</v>
      </c>
      <c r="D219" s="39" t="s">
        <v>147</v>
      </c>
      <c r="E219" s="114">
        <f>E163+E153+E146+E104+E97+E88+G217+E170</f>
        <v>6.4082040000000005</v>
      </c>
      <c r="F219" s="39" t="s">
        <v>148</v>
      </c>
      <c r="G219" s="119">
        <f>I219/E219-C218/1000</f>
        <v>17.698855147245624</v>
      </c>
      <c r="H219" s="39" t="s">
        <v>149</v>
      </c>
      <c r="I219" s="116">
        <f>I88+I97+I104+I146+I153+I163+I217+I170</f>
        <v>254.92063097600001</v>
      </c>
      <c r="N219" s="106"/>
      <c r="O219" s="102"/>
    </row>
    <row r="220" spans="2:15" ht="18" customHeight="1">
      <c r="B220" s="117" t="s">
        <v>150</v>
      </c>
      <c r="C220" s="118">
        <f>C219</f>
        <v>24000</v>
      </c>
      <c r="D220" s="39" t="s">
        <v>151</v>
      </c>
      <c r="E220" s="120">
        <f>I215</f>
        <v>0.46033920000000011</v>
      </c>
      <c r="F220" s="39" t="s">
        <v>152</v>
      </c>
      <c r="G220" s="119">
        <f>I220/E220-C218/1000</f>
        <v>2.9000788010232412</v>
      </c>
      <c r="H220" s="39" t="s">
        <v>153</v>
      </c>
      <c r="I220" s="116">
        <f>ROUND(E220*(C218+C223)/1000,2)</f>
        <v>11.5</v>
      </c>
      <c r="N220" s="106"/>
      <c r="O220" s="102"/>
    </row>
    <row r="221" spans="2:15" ht="18" customHeight="1">
      <c r="B221" s="117" t="s">
        <v>154</v>
      </c>
      <c r="C221" s="121">
        <f>C220</f>
        <v>24000</v>
      </c>
      <c r="D221" s="39" t="s">
        <v>155</v>
      </c>
      <c r="E221" s="39"/>
      <c r="F221" s="39" t="s">
        <v>156</v>
      </c>
      <c r="G221" s="39"/>
      <c r="H221" s="39" t="s">
        <v>49</v>
      </c>
      <c r="I221" s="116">
        <f>E221*G221</f>
        <v>0</v>
      </c>
      <c r="J221" s="42"/>
      <c r="K221" s="255"/>
    </row>
    <row r="222" spans="2:15" ht="18" customHeight="1">
      <c r="B222" s="117" t="s">
        <v>148</v>
      </c>
      <c r="C222" s="122">
        <f>材料价格!B6</f>
        <v>17700</v>
      </c>
      <c r="D222" s="39" t="s">
        <v>157</v>
      </c>
      <c r="E222" s="39"/>
      <c r="F222" s="39" t="s">
        <v>156</v>
      </c>
      <c r="G222" s="39"/>
      <c r="H222" s="39" t="s">
        <v>49</v>
      </c>
      <c r="I222" s="116">
        <f>E222*G222</f>
        <v>0</v>
      </c>
      <c r="J222" s="123"/>
      <c r="K222" s="123"/>
      <c r="L222" s="123"/>
    </row>
    <row r="223" spans="2:15" ht="18" customHeight="1">
      <c r="B223" s="117" t="s">
        <v>152</v>
      </c>
      <c r="C223" s="122">
        <f>材料价格!B9</f>
        <v>2900</v>
      </c>
      <c r="D223" s="39" t="s">
        <v>158</v>
      </c>
      <c r="E223" s="114">
        <f>SUM(E218:E220)</f>
        <v>92.979293200000001</v>
      </c>
      <c r="F223" s="39"/>
      <c r="G223" s="39" t="s">
        <v>339</v>
      </c>
      <c r="H223" s="39"/>
      <c r="I223" s="234">
        <f>SUM(I218:I222)+C215</f>
        <v>4424.0106309759994</v>
      </c>
      <c r="J223" s="123"/>
      <c r="K223" s="123"/>
      <c r="L223" s="123"/>
    </row>
    <row r="224" spans="2:15" ht="18" customHeight="1">
      <c r="B224" s="23" t="s">
        <v>159</v>
      </c>
      <c r="C224" s="252" t="s">
        <v>113</v>
      </c>
      <c r="D224" s="252" t="s">
        <v>16</v>
      </c>
      <c r="E224" s="252" t="s">
        <v>7</v>
      </c>
      <c r="F224" s="252" t="s">
        <v>8</v>
      </c>
      <c r="G224" s="252" t="s">
        <v>28</v>
      </c>
      <c r="H224" s="252" t="s">
        <v>160</v>
      </c>
      <c r="I224" s="25" t="s">
        <v>1</v>
      </c>
      <c r="J224" s="255"/>
      <c r="K224" s="255"/>
      <c r="L224" s="255"/>
      <c r="M224" s="255"/>
    </row>
    <row r="225" spans="2:13" ht="18" customHeight="1">
      <c r="B225" s="124" t="str">
        <f>材料价格!A10</f>
        <v>6单银Low-E+12A+6</v>
      </c>
      <c r="C225" s="253">
        <f t="shared" ref="C225:D229" si="25">D92</f>
        <v>-90</v>
      </c>
      <c r="D225" s="253">
        <f t="shared" si="25"/>
        <v>-90</v>
      </c>
      <c r="E225" s="32">
        <f>C225*D225/10^6</f>
        <v>8.0999999999999996E-3</v>
      </c>
      <c r="F225" s="250">
        <f>G26</f>
        <v>0</v>
      </c>
      <c r="G225" s="125">
        <f>材料价格!B10</f>
        <v>148</v>
      </c>
      <c r="H225" s="250">
        <f>ROUND(E225*G225*F225,2)</f>
        <v>0</v>
      </c>
      <c r="I225" s="247" t="s">
        <v>161</v>
      </c>
      <c r="J225" s="255"/>
      <c r="K225" s="255"/>
      <c r="L225" s="255"/>
      <c r="M225" s="255"/>
    </row>
    <row r="226" spans="2:13" ht="18" customHeight="1">
      <c r="B226" s="124" t="str">
        <f t="shared" ref="B226:B232" si="26">B225</f>
        <v>6单银Low-E+12A+6</v>
      </c>
      <c r="C226" s="253">
        <f t="shared" si="25"/>
        <v>-90</v>
      </c>
      <c r="D226" s="253">
        <f t="shared" si="25"/>
        <v>-90</v>
      </c>
      <c r="E226" s="32">
        <f t="shared" ref="E226:E284" si="27">C226*D226/10^6</f>
        <v>8.0999999999999996E-3</v>
      </c>
      <c r="F226" s="250">
        <f>G27</f>
        <v>0</v>
      </c>
      <c r="G226" s="126">
        <f t="shared" ref="G226:G232" si="28">G225</f>
        <v>148</v>
      </c>
      <c r="H226" s="250">
        <f t="shared" ref="H226:H241" si="29">ROUND(E226*G226*F226,2)</f>
        <v>0</v>
      </c>
      <c r="I226" s="247" t="s">
        <v>162</v>
      </c>
      <c r="J226" s="255"/>
      <c r="K226" s="255"/>
      <c r="L226" s="255"/>
      <c r="M226" s="255"/>
    </row>
    <row r="227" spans="2:13" ht="18" customHeight="1">
      <c r="B227" s="124" t="str">
        <f t="shared" si="26"/>
        <v>6单银Low-E+12A+6</v>
      </c>
      <c r="C227" s="253">
        <f t="shared" si="25"/>
        <v>-90</v>
      </c>
      <c r="D227" s="253">
        <f t="shared" si="25"/>
        <v>-90</v>
      </c>
      <c r="E227" s="32">
        <f t="shared" si="27"/>
        <v>8.0999999999999996E-3</v>
      </c>
      <c r="F227" s="250">
        <f>G28</f>
        <v>0</v>
      </c>
      <c r="G227" s="126">
        <f t="shared" si="28"/>
        <v>148</v>
      </c>
      <c r="H227" s="250">
        <f t="shared" si="29"/>
        <v>0</v>
      </c>
      <c r="I227" s="247" t="s">
        <v>162</v>
      </c>
      <c r="J227" s="255"/>
      <c r="K227" s="255"/>
      <c r="L227" s="255"/>
      <c r="M227" s="255"/>
    </row>
    <row r="228" spans="2:13" ht="18" customHeight="1">
      <c r="B228" s="124" t="str">
        <f t="shared" si="26"/>
        <v>6单银Low-E+12A+6</v>
      </c>
      <c r="C228" s="253">
        <f t="shared" si="25"/>
        <v>-90</v>
      </c>
      <c r="D228" s="253">
        <f t="shared" si="25"/>
        <v>-90</v>
      </c>
      <c r="E228" s="32">
        <f t="shared" si="27"/>
        <v>8.0999999999999996E-3</v>
      </c>
      <c r="F228" s="250">
        <f>G29</f>
        <v>0</v>
      </c>
      <c r="G228" s="126">
        <f t="shared" si="28"/>
        <v>148</v>
      </c>
      <c r="H228" s="250">
        <f t="shared" si="29"/>
        <v>0</v>
      </c>
      <c r="I228" s="247" t="s">
        <v>162</v>
      </c>
      <c r="J228" s="255"/>
      <c r="K228" s="255"/>
      <c r="L228" s="255"/>
      <c r="M228" s="255"/>
    </row>
    <row r="229" spans="2:13" ht="18" customHeight="1">
      <c r="B229" s="124" t="str">
        <f t="shared" si="26"/>
        <v>6单银Low-E+12A+6</v>
      </c>
      <c r="C229" s="253">
        <f t="shared" si="25"/>
        <v>-90</v>
      </c>
      <c r="D229" s="253">
        <f t="shared" si="25"/>
        <v>-90</v>
      </c>
      <c r="E229" s="32">
        <f t="shared" si="27"/>
        <v>8.0999999999999996E-3</v>
      </c>
      <c r="F229" s="250">
        <f>G30</f>
        <v>0</v>
      </c>
      <c r="G229" s="126">
        <f t="shared" si="28"/>
        <v>148</v>
      </c>
      <c r="H229" s="250">
        <f t="shared" si="29"/>
        <v>0</v>
      </c>
      <c r="I229" s="247" t="s">
        <v>162</v>
      </c>
      <c r="J229" s="123"/>
      <c r="K229" s="123"/>
      <c r="L229" s="123"/>
    </row>
    <row r="230" spans="2:13" ht="18" customHeight="1">
      <c r="B230" s="124" t="str">
        <f t="shared" si="26"/>
        <v>6单银Low-E+12A+6</v>
      </c>
      <c r="C230" s="253">
        <f t="shared" ref="C230:D232" si="30">D101</f>
        <v>310</v>
      </c>
      <c r="D230" s="253">
        <f t="shared" si="30"/>
        <v>778</v>
      </c>
      <c r="E230" s="32">
        <f t="shared" si="27"/>
        <v>0.24118000000000001</v>
      </c>
      <c r="F230" s="250">
        <f>G101</f>
        <v>2</v>
      </c>
      <c r="G230" s="126">
        <f t="shared" si="28"/>
        <v>148</v>
      </c>
      <c r="H230" s="250">
        <f t="shared" si="29"/>
        <v>71.39</v>
      </c>
      <c r="I230" s="127" t="s">
        <v>163</v>
      </c>
      <c r="J230" s="123"/>
      <c r="K230" s="123"/>
      <c r="L230" s="123"/>
    </row>
    <row r="231" spans="2:13" ht="18" customHeight="1">
      <c r="B231" s="124" t="str">
        <f t="shared" si="26"/>
        <v>6单银Low-E+12A+6</v>
      </c>
      <c r="C231" s="253">
        <f t="shared" si="30"/>
        <v>-122</v>
      </c>
      <c r="D231" s="253">
        <f t="shared" si="30"/>
        <v>-122</v>
      </c>
      <c r="E231" s="32">
        <f t="shared" si="27"/>
        <v>1.4884E-2</v>
      </c>
      <c r="F231" s="250">
        <f>G102</f>
        <v>0</v>
      </c>
      <c r="G231" s="126">
        <f t="shared" si="28"/>
        <v>148</v>
      </c>
      <c r="H231" s="250">
        <f t="shared" si="29"/>
        <v>0</v>
      </c>
      <c r="I231" s="127" t="s">
        <v>163</v>
      </c>
    </row>
    <row r="232" spans="2:13" ht="18" customHeight="1">
      <c r="B232" s="124" t="str">
        <f t="shared" si="26"/>
        <v>6单银Low-E+12A+6</v>
      </c>
      <c r="C232" s="253">
        <f t="shared" si="30"/>
        <v>-122</v>
      </c>
      <c r="D232" s="253">
        <f t="shared" si="30"/>
        <v>-122</v>
      </c>
      <c r="E232" s="32">
        <f t="shared" si="27"/>
        <v>1.4884E-2</v>
      </c>
      <c r="F232" s="250">
        <f>G103</f>
        <v>0</v>
      </c>
      <c r="G232" s="126">
        <f t="shared" si="28"/>
        <v>148</v>
      </c>
      <c r="H232" s="250">
        <f t="shared" si="29"/>
        <v>0</v>
      </c>
      <c r="I232" s="127" t="s">
        <v>163</v>
      </c>
    </row>
    <row r="233" spans="2:13" ht="18" customHeight="1">
      <c r="B233" s="48" t="s">
        <v>164</v>
      </c>
      <c r="C233" s="52"/>
      <c r="D233" s="50"/>
      <c r="E233" s="128"/>
      <c r="F233" s="50">
        <f>SUM(F225:F232)</f>
        <v>2</v>
      </c>
      <c r="G233" s="50"/>
      <c r="H233" s="52">
        <f>SUM(H225:H232)</f>
        <v>71.39</v>
      </c>
      <c r="I233" s="53">
        <f>ROUND((E225*F225+E226*F226+E227*F227+E228*F228+E229*F229+E230*F230+E231*F231+E232*F232),2)</f>
        <v>0.48</v>
      </c>
    </row>
    <row r="234" spans="2:13" ht="18" customHeight="1">
      <c r="B234" s="124" t="str">
        <f>B232</f>
        <v>6单银Low-E+12A+6</v>
      </c>
      <c r="C234" s="253">
        <f>C225</f>
        <v>-90</v>
      </c>
      <c r="D234" s="253">
        <f>D225</f>
        <v>-90</v>
      </c>
      <c r="E234" s="32">
        <f t="shared" si="27"/>
        <v>8.0999999999999996E-3</v>
      </c>
      <c r="F234" s="250">
        <f>IF(F225=0,G26,0)</f>
        <v>0</v>
      </c>
      <c r="G234" s="126">
        <f>G232</f>
        <v>148</v>
      </c>
      <c r="H234" s="250">
        <f t="shared" si="29"/>
        <v>0</v>
      </c>
      <c r="I234" s="247" t="s">
        <v>165</v>
      </c>
      <c r="J234" s="129"/>
    </row>
    <row r="235" spans="2:13" ht="18" customHeight="1">
      <c r="B235" s="124" t="str">
        <f t="shared" ref="B235:B241" si="31">B234</f>
        <v>6单银Low-E+12A+6</v>
      </c>
      <c r="C235" s="253">
        <f t="shared" ref="C235:D241" si="32">C226</f>
        <v>-90</v>
      </c>
      <c r="D235" s="253">
        <f t="shared" si="32"/>
        <v>-90</v>
      </c>
      <c r="E235" s="32">
        <f t="shared" si="27"/>
        <v>8.0999999999999996E-3</v>
      </c>
      <c r="F235" s="250">
        <f>IF(F226=0,G27,0)</f>
        <v>0</v>
      </c>
      <c r="G235" s="126">
        <f>G234</f>
        <v>148</v>
      </c>
      <c r="H235" s="250">
        <f t="shared" si="29"/>
        <v>0</v>
      </c>
      <c r="I235" s="247" t="s">
        <v>165</v>
      </c>
      <c r="J235" s="129"/>
    </row>
    <row r="236" spans="2:13" ht="18" customHeight="1">
      <c r="B236" s="124" t="str">
        <f t="shared" si="31"/>
        <v>6单银Low-E+12A+6</v>
      </c>
      <c r="C236" s="253">
        <f t="shared" si="32"/>
        <v>-90</v>
      </c>
      <c r="D236" s="253">
        <f t="shared" si="32"/>
        <v>-90</v>
      </c>
      <c r="E236" s="32">
        <f t="shared" si="27"/>
        <v>8.0999999999999996E-3</v>
      </c>
      <c r="F236" s="250">
        <f>IF(F227=0,G28,0)</f>
        <v>0</v>
      </c>
      <c r="G236" s="126">
        <f t="shared" ref="G236:G241" si="33">G234</f>
        <v>148</v>
      </c>
      <c r="H236" s="250">
        <f t="shared" si="29"/>
        <v>0</v>
      </c>
      <c r="I236" s="247" t="s">
        <v>165</v>
      </c>
      <c r="J236" s="129"/>
    </row>
    <row r="237" spans="2:13" ht="18" customHeight="1">
      <c r="B237" s="124" t="str">
        <f t="shared" si="31"/>
        <v>6单银Low-E+12A+6</v>
      </c>
      <c r="C237" s="253">
        <f t="shared" si="32"/>
        <v>-90</v>
      </c>
      <c r="D237" s="253">
        <f t="shared" si="32"/>
        <v>-90</v>
      </c>
      <c r="E237" s="32">
        <f t="shared" si="27"/>
        <v>8.0999999999999996E-3</v>
      </c>
      <c r="F237" s="250">
        <f>IF(F228=0,G29,0)</f>
        <v>0</v>
      </c>
      <c r="G237" s="126">
        <f t="shared" si="33"/>
        <v>148</v>
      </c>
      <c r="H237" s="250">
        <f t="shared" si="29"/>
        <v>0</v>
      </c>
      <c r="I237" s="247" t="s">
        <v>165</v>
      </c>
      <c r="J237" s="129"/>
    </row>
    <row r="238" spans="2:13" ht="18" customHeight="1">
      <c r="B238" s="124" t="str">
        <f t="shared" si="31"/>
        <v>6单银Low-E+12A+6</v>
      </c>
      <c r="C238" s="253">
        <f t="shared" si="32"/>
        <v>-90</v>
      </c>
      <c r="D238" s="253">
        <f t="shared" si="32"/>
        <v>-90</v>
      </c>
      <c r="E238" s="32">
        <f t="shared" si="27"/>
        <v>8.0999999999999996E-3</v>
      </c>
      <c r="F238" s="250">
        <f>IF(F229=0,G30,0)</f>
        <v>0</v>
      </c>
      <c r="G238" s="126">
        <f t="shared" si="33"/>
        <v>148</v>
      </c>
      <c r="H238" s="250">
        <f t="shared" si="29"/>
        <v>0</v>
      </c>
      <c r="I238" s="247" t="s">
        <v>165</v>
      </c>
      <c r="J238" s="129"/>
    </row>
    <row r="239" spans="2:13" ht="18" customHeight="1">
      <c r="B239" s="124" t="str">
        <f t="shared" si="31"/>
        <v>6单银Low-E+12A+6</v>
      </c>
      <c r="C239" s="253">
        <f t="shared" si="32"/>
        <v>310</v>
      </c>
      <c r="D239" s="253">
        <f t="shared" si="32"/>
        <v>778</v>
      </c>
      <c r="E239" s="32">
        <f t="shared" si="27"/>
        <v>0.24118000000000001</v>
      </c>
      <c r="F239" s="250">
        <f>IF(F230=0,G35,0)</f>
        <v>0</v>
      </c>
      <c r="G239" s="126">
        <f t="shared" si="33"/>
        <v>148</v>
      </c>
      <c r="H239" s="250">
        <f t="shared" si="29"/>
        <v>0</v>
      </c>
      <c r="I239" s="127" t="s">
        <v>166</v>
      </c>
      <c r="J239" s="129"/>
    </row>
    <row r="240" spans="2:13" ht="18" customHeight="1">
      <c r="B240" s="124" t="str">
        <f t="shared" si="31"/>
        <v>6单银Low-E+12A+6</v>
      </c>
      <c r="C240" s="253">
        <f t="shared" si="32"/>
        <v>-122</v>
      </c>
      <c r="D240" s="253">
        <f t="shared" si="32"/>
        <v>-122</v>
      </c>
      <c r="E240" s="32">
        <f t="shared" si="27"/>
        <v>1.4884E-2</v>
      </c>
      <c r="F240" s="250">
        <f>IF(F231=0,G36,0)</f>
        <v>0</v>
      </c>
      <c r="G240" s="126">
        <f t="shared" si="33"/>
        <v>148</v>
      </c>
      <c r="H240" s="250">
        <f t="shared" si="29"/>
        <v>0</v>
      </c>
      <c r="I240" s="127" t="s">
        <v>166</v>
      </c>
      <c r="J240" s="129"/>
    </row>
    <row r="241" spans="1:16" ht="18" customHeight="1">
      <c r="B241" s="124" t="str">
        <f t="shared" si="31"/>
        <v>6单银Low-E+12A+6</v>
      </c>
      <c r="C241" s="253">
        <f t="shared" si="32"/>
        <v>-122</v>
      </c>
      <c r="D241" s="253">
        <f t="shared" si="32"/>
        <v>-122</v>
      </c>
      <c r="E241" s="32">
        <f t="shared" si="27"/>
        <v>1.4884E-2</v>
      </c>
      <c r="F241" s="250">
        <f>IF(F232=0,G37,0)</f>
        <v>0</v>
      </c>
      <c r="G241" s="126">
        <f t="shared" si="33"/>
        <v>148</v>
      </c>
      <c r="H241" s="250">
        <f t="shared" si="29"/>
        <v>0</v>
      </c>
      <c r="I241" s="127" t="s">
        <v>166</v>
      </c>
      <c r="J241" s="129"/>
    </row>
    <row r="242" spans="1:16" s="43" customFormat="1" ht="18" customHeight="1">
      <c r="A242" s="1"/>
      <c r="B242" s="48" t="s">
        <v>167</v>
      </c>
      <c r="C242" s="52"/>
      <c r="D242" s="50"/>
      <c r="E242" s="128"/>
      <c r="F242" s="50">
        <f>SUM(F234:F241)</f>
        <v>0</v>
      </c>
      <c r="G242" s="50"/>
      <c r="H242" s="52">
        <f>SUM(H234:H241)</f>
        <v>0</v>
      </c>
      <c r="I242" s="53">
        <f>ROUND(SUMPRODUCT(E234:E241*F234:F241),2)</f>
        <v>0</v>
      </c>
      <c r="J242" s="129"/>
      <c r="N242" s="255"/>
      <c r="O242" s="255"/>
      <c r="P242" s="255"/>
    </row>
    <row r="243" spans="1:16" s="43" customFormat="1" ht="18" customHeight="1">
      <c r="A243" s="1"/>
      <c r="B243" s="124" t="str">
        <f>B240</f>
        <v>6单银Low-E+12A+6</v>
      </c>
      <c r="C243" s="253">
        <f t="shared" ref="C243:D249" si="34">D68-12</f>
        <v>1836</v>
      </c>
      <c r="D243" s="253">
        <f t="shared" si="34"/>
        <v>916</v>
      </c>
      <c r="E243" s="32">
        <f t="shared" si="27"/>
        <v>1.6817759999999999</v>
      </c>
      <c r="F243" s="82">
        <f t="shared" ref="F243:F249" si="35">G68</f>
        <v>1</v>
      </c>
      <c r="G243" s="130">
        <f>G241</f>
        <v>148</v>
      </c>
      <c r="H243" s="250">
        <f t="shared" ref="H243:H249" si="36">ROUND(E243*G243*F243,2)</f>
        <v>248.9</v>
      </c>
      <c r="I243" s="247" t="s">
        <v>168</v>
      </c>
      <c r="J243" s="129"/>
      <c r="N243" s="255"/>
      <c r="O243" s="255"/>
      <c r="P243" s="255"/>
    </row>
    <row r="244" spans="1:16" s="43" customFormat="1" ht="18" customHeight="1">
      <c r="A244" s="1"/>
      <c r="B244" s="124" t="str">
        <f t="shared" ref="B244:B249" si="37">B243</f>
        <v>6单银Low-E+12A+6</v>
      </c>
      <c r="C244" s="253">
        <f t="shared" si="34"/>
        <v>466</v>
      </c>
      <c r="D244" s="253">
        <f t="shared" si="34"/>
        <v>884</v>
      </c>
      <c r="E244" s="32">
        <f t="shared" si="27"/>
        <v>0.41194399999999998</v>
      </c>
      <c r="F244" s="82">
        <f t="shared" si="35"/>
        <v>2</v>
      </c>
      <c r="G244" s="130">
        <f t="shared" ref="G244:G249" si="38">G243</f>
        <v>148</v>
      </c>
      <c r="H244" s="250">
        <f t="shared" si="36"/>
        <v>121.94</v>
      </c>
      <c r="I244" s="247" t="s">
        <v>168</v>
      </c>
      <c r="J244" s="129"/>
      <c r="N244" s="255"/>
      <c r="O244" s="255"/>
      <c r="P244" s="255"/>
    </row>
    <row r="245" spans="1:16" s="43" customFormat="1" ht="18" customHeight="1">
      <c r="A245" s="1"/>
      <c r="B245" s="124" t="str">
        <f t="shared" si="37"/>
        <v>6单银Low-E+12A+6</v>
      </c>
      <c r="C245" s="253">
        <f t="shared" si="34"/>
        <v>-12</v>
      </c>
      <c r="D245" s="253">
        <f t="shared" si="34"/>
        <v>-12</v>
      </c>
      <c r="E245" s="32">
        <f t="shared" si="27"/>
        <v>1.44E-4</v>
      </c>
      <c r="F245" s="82">
        <f t="shared" si="35"/>
        <v>0</v>
      </c>
      <c r="G245" s="130">
        <f t="shared" si="38"/>
        <v>148</v>
      </c>
      <c r="H245" s="250">
        <f t="shared" si="36"/>
        <v>0</v>
      </c>
      <c r="I245" s="247" t="s">
        <v>168</v>
      </c>
      <c r="J245" s="129"/>
      <c r="N245" s="255"/>
      <c r="O245" s="255"/>
      <c r="P245" s="255"/>
    </row>
    <row r="246" spans="1:16" s="43" customFormat="1" ht="18" customHeight="1">
      <c r="A246" s="1"/>
      <c r="B246" s="124" t="str">
        <f t="shared" si="37"/>
        <v>6单银Low-E+12A+6</v>
      </c>
      <c r="C246" s="253">
        <f t="shared" si="34"/>
        <v>-12</v>
      </c>
      <c r="D246" s="253">
        <f t="shared" si="34"/>
        <v>-12</v>
      </c>
      <c r="E246" s="32">
        <f t="shared" si="27"/>
        <v>1.44E-4</v>
      </c>
      <c r="F246" s="82">
        <f t="shared" si="35"/>
        <v>0</v>
      </c>
      <c r="G246" s="130">
        <f t="shared" si="38"/>
        <v>148</v>
      </c>
      <c r="H246" s="250">
        <f t="shared" si="36"/>
        <v>0</v>
      </c>
      <c r="I246" s="247" t="s">
        <v>168</v>
      </c>
      <c r="J246" s="129"/>
      <c r="N246" s="255"/>
      <c r="O246" s="255"/>
      <c r="P246" s="255"/>
    </row>
    <row r="247" spans="1:16" s="43" customFormat="1" ht="18" customHeight="1">
      <c r="A247" s="1"/>
      <c r="B247" s="124" t="str">
        <f t="shared" si="37"/>
        <v>6单银Low-E+12A+6</v>
      </c>
      <c r="C247" s="253">
        <f t="shared" si="34"/>
        <v>-12</v>
      </c>
      <c r="D247" s="253">
        <f t="shared" si="34"/>
        <v>-12</v>
      </c>
      <c r="E247" s="32">
        <f t="shared" si="27"/>
        <v>1.44E-4</v>
      </c>
      <c r="F247" s="82">
        <f t="shared" si="35"/>
        <v>0</v>
      </c>
      <c r="G247" s="130">
        <f t="shared" si="38"/>
        <v>148</v>
      </c>
      <c r="H247" s="250">
        <f t="shared" si="36"/>
        <v>0</v>
      </c>
      <c r="I247" s="247" t="s">
        <v>168</v>
      </c>
      <c r="J247" s="129"/>
      <c r="N247" s="255"/>
      <c r="O247" s="255"/>
      <c r="P247" s="255"/>
    </row>
    <row r="248" spans="1:16" s="43" customFormat="1" ht="18" customHeight="1">
      <c r="A248" s="1"/>
      <c r="B248" s="124" t="str">
        <f t="shared" si="37"/>
        <v>6单银Low-E+12A+6</v>
      </c>
      <c r="C248" s="253">
        <f t="shared" si="34"/>
        <v>-12</v>
      </c>
      <c r="D248" s="253">
        <f t="shared" si="34"/>
        <v>-12</v>
      </c>
      <c r="E248" s="32">
        <f t="shared" si="27"/>
        <v>1.44E-4</v>
      </c>
      <c r="F248" s="82">
        <f t="shared" si="35"/>
        <v>0</v>
      </c>
      <c r="G248" s="130">
        <f t="shared" si="38"/>
        <v>148</v>
      </c>
      <c r="H248" s="250">
        <f t="shared" si="36"/>
        <v>0</v>
      </c>
      <c r="I248" s="247" t="s">
        <v>168</v>
      </c>
      <c r="J248" s="129"/>
      <c r="N248" s="255"/>
      <c r="O248" s="255"/>
      <c r="P248" s="255"/>
    </row>
    <row r="249" spans="1:16" s="43" customFormat="1" ht="18" customHeight="1">
      <c r="A249" s="1"/>
      <c r="B249" s="124" t="str">
        <f t="shared" si="37"/>
        <v>6单银Low-E+12A+6</v>
      </c>
      <c r="C249" s="253">
        <f t="shared" si="34"/>
        <v>-12</v>
      </c>
      <c r="D249" s="253">
        <f t="shared" si="34"/>
        <v>-12</v>
      </c>
      <c r="E249" s="32">
        <f t="shared" si="27"/>
        <v>1.44E-4</v>
      </c>
      <c r="F249" s="82">
        <f t="shared" si="35"/>
        <v>0</v>
      </c>
      <c r="G249" s="130">
        <f t="shared" si="38"/>
        <v>148</v>
      </c>
      <c r="H249" s="250">
        <f t="shared" si="36"/>
        <v>0</v>
      </c>
      <c r="I249" s="247" t="s">
        <v>168</v>
      </c>
      <c r="J249" s="129"/>
      <c r="N249" s="255"/>
      <c r="O249" s="255"/>
      <c r="P249" s="255"/>
    </row>
    <row r="250" spans="1:16" s="43" customFormat="1" ht="18" customHeight="1">
      <c r="A250" s="1"/>
      <c r="B250" s="131" t="str">
        <f>B246</f>
        <v>6单银Low-E+12A+6</v>
      </c>
      <c r="C250" s="52"/>
      <c r="D250" s="50"/>
      <c r="E250" s="128"/>
      <c r="F250" s="50">
        <f>SUM(F243:F249)</f>
        <v>3</v>
      </c>
      <c r="G250" s="50"/>
      <c r="H250" s="52">
        <f>SUM(H243:H249)</f>
        <v>370.84000000000003</v>
      </c>
      <c r="I250" s="53">
        <f>ROUND((E243*F243+E244*F244+E245*F245+E246*F246+E247*F247+E248*F248+E249*F249),2)</f>
        <v>2.5099999999999998</v>
      </c>
      <c r="J250" s="43">
        <f>(I242+I258+I273+I280)</f>
        <v>0</v>
      </c>
      <c r="N250" s="255"/>
      <c r="O250" s="255"/>
      <c r="P250" s="255"/>
    </row>
    <row r="251" spans="1:16" s="43" customFormat="1" ht="18" customHeight="1">
      <c r="A251" s="1"/>
      <c r="B251" s="124" t="str">
        <f>B249</f>
        <v>6单银Low-E+12A+6</v>
      </c>
      <c r="C251" s="253">
        <f t="shared" ref="C251:D257" si="39">D75-12</f>
        <v>-12</v>
      </c>
      <c r="D251" s="253">
        <f t="shared" si="39"/>
        <v>-12</v>
      </c>
      <c r="E251" s="32">
        <f t="shared" si="27"/>
        <v>1.44E-4</v>
      </c>
      <c r="F251" s="82">
        <f t="shared" ref="F251:F257" si="40">G75</f>
        <v>0</v>
      </c>
      <c r="G251" s="130">
        <f>G249</f>
        <v>148</v>
      </c>
      <c r="H251" s="250">
        <f>ROUND(E251*G251*F251,2)</f>
        <v>0</v>
      </c>
      <c r="I251" s="132" t="s">
        <v>169</v>
      </c>
      <c r="N251" s="255"/>
      <c r="O251" s="255"/>
      <c r="P251" s="255"/>
    </row>
    <row r="252" spans="1:16" s="43" customFormat="1" ht="18" customHeight="1">
      <c r="A252" s="1"/>
      <c r="B252" s="124" t="str">
        <f t="shared" ref="B252:B257" si="41">B251</f>
        <v>6单银Low-E+12A+6</v>
      </c>
      <c r="C252" s="253">
        <f t="shared" si="39"/>
        <v>-12</v>
      </c>
      <c r="D252" s="253">
        <f t="shared" si="39"/>
        <v>-12</v>
      </c>
      <c r="E252" s="32">
        <f t="shared" si="27"/>
        <v>1.44E-4</v>
      </c>
      <c r="F252" s="82">
        <f t="shared" si="40"/>
        <v>0</v>
      </c>
      <c r="G252" s="130">
        <f t="shared" ref="G252:G257" si="42">G251</f>
        <v>148</v>
      </c>
      <c r="H252" s="250">
        <f t="shared" ref="H252:H264" si="43">ROUND(E252*G252*F252,2)</f>
        <v>0</v>
      </c>
      <c r="I252" s="132" t="str">
        <f t="shared" ref="I252:I257" si="44">I251</f>
        <v>固定钢化中空</v>
      </c>
      <c r="N252" s="255"/>
      <c r="O252" s="255"/>
      <c r="P252" s="255"/>
    </row>
    <row r="253" spans="1:16" s="43" customFormat="1" ht="18" customHeight="1">
      <c r="A253" s="1"/>
      <c r="B253" s="124" t="str">
        <f t="shared" si="41"/>
        <v>6单银Low-E+12A+6</v>
      </c>
      <c r="C253" s="253">
        <f t="shared" si="39"/>
        <v>-12</v>
      </c>
      <c r="D253" s="253">
        <f t="shared" si="39"/>
        <v>-12</v>
      </c>
      <c r="E253" s="32">
        <f t="shared" si="27"/>
        <v>1.44E-4</v>
      </c>
      <c r="F253" s="82">
        <f t="shared" si="40"/>
        <v>0</v>
      </c>
      <c r="G253" s="130">
        <f t="shared" si="42"/>
        <v>148</v>
      </c>
      <c r="H253" s="250">
        <f t="shared" si="43"/>
        <v>0</v>
      </c>
      <c r="I253" s="132" t="str">
        <f t="shared" si="44"/>
        <v>固定钢化中空</v>
      </c>
      <c r="N253" s="255"/>
      <c r="O253" s="255"/>
      <c r="P253" s="255"/>
    </row>
    <row r="254" spans="1:16" s="43" customFormat="1" ht="18" customHeight="1">
      <c r="A254" s="1"/>
      <c r="B254" s="124" t="str">
        <f t="shared" si="41"/>
        <v>6单银Low-E+12A+6</v>
      </c>
      <c r="C254" s="253">
        <f t="shared" si="39"/>
        <v>-12</v>
      </c>
      <c r="D254" s="253">
        <f t="shared" si="39"/>
        <v>-12</v>
      </c>
      <c r="E254" s="32">
        <f t="shared" si="27"/>
        <v>1.44E-4</v>
      </c>
      <c r="F254" s="82">
        <f t="shared" si="40"/>
        <v>0</v>
      </c>
      <c r="G254" s="130">
        <f t="shared" si="42"/>
        <v>148</v>
      </c>
      <c r="H254" s="250">
        <f t="shared" si="43"/>
        <v>0</v>
      </c>
      <c r="I254" s="132" t="str">
        <f t="shared" si="44"/>
        <v>固定钢化中空</v>
      </c>
      <c r="J254" s="42"/>
      <c r="N254" s="255"/>
      <c r="O254" s="255"/>
      <c r="P254" s="255"/>
    </row>
    <row r="255" spans="1:16" s="43" customFormat="1" ht="18" customHeight="1">
      <c r="A255" s="1"/>
      <c r="B255" s="124" t="str">
        <f t="shared" si="41"/>
        <v>6单银Low-E+12A+6</v>
      </c>
      <c r="C255" s="253">
        <f t="shared" si="39"/>
        <v>-12</v>
      </c>
      <c r="D255" s="253">
        <f t="shared" si="39"/>
        <v>-12</v>
      </c>
      <c r="E255" s="32">
        <f t="shared" si="27"/>
        <v>1.44E-4</v>
      </c>
      <c r="F255" s="82">
        <f t="shared" si="40"/>
        <v>0</v>
      </c>
      <c r="G255" s="130">
        <f t="shared" si="42"/>
        <v>148</v>
      </c>
      <c r="H255" s="250">
        <f t="shared" si="43"/>
        <v>0</v>
      </c>
      <c r="I255" s="132" t="str">
        <f t="shared" si="44"/>
        <v>固定钢化中空</v>
      </c>
      <c r="N255" s="255"/>
      <c r="O255" s="255"/>
      <c r="P255" s="255"/>
    </row>
    <row r="256" spans="1:16" s="43" customFormat="1" ht="18" customHeight="1">
      <c r="A256" s="1"/>
      <c r="B256" s="124" t="str">
        <f t="shared" si="41"/>
        <v>6单银Low-E+12A+6</v>
      </c>
      <c r="C256" s="253">
        <f t="shared" si="39"/>
        <v>-12</v>
      </c>
      <c r="D256" s="253">
        <f t="shared" si="39"/>
        <v>-12</v>
      </c>
      <c r="E256" s="32">
        <f t="shared" si="27"/>
        <v>1.44E-4</v>
      </c>
      <c r="F256" s="82">
        <f t="shared" si="40"/>
        <v>0</v>
      </c>
      <c r="G256" s="130">
        <f t="shared" si="42"/>
        <v>148</v>
      </c>
      <c r="H256" s="250">
        <f t="shared" si="43"/>
        <v>0</v>
      </c>
      <c r="I256" s="132" t="str">
        <f t="shared" si="44"/>
        <v>固定钢化中空</v>
      </c>
      <c r="N256" s="255"/>
      <c r="O256" s="255"/>
      <c r="P256" s="255"/>
    </row>
    <row r="257" spans="1:16" s="43" customFormat="1" ht="18" customHeight="1">
      <c r="A257" s="1"/>
      <c r="B257" s="124" t="str">
        <f t="shared" si="41"/>
        <v>6单银Low-E+12A+6</v>
      </c>
      <c r="C257" s="253">
        <f t="shared" si="39"/>
        <v>-12</v>
      </c>
      <c r="D257" s="253">
        <f t="shared" si="39"/>
        <v>-12</v>
      </c>
      <c r="E257" s="32">
        <f t="shared" si="27"/>
        <v>1.44E-4</v>
      </c>
      <c r="F257" s="82">
        <f t="shared" si="40"/>
        <v>0</v>
      </c>
      <c r="G257" s="130">
        <f t="shared" si="42"/>
        <v>148</v>
      </c>
      <c r="H257" s="250">
        <f t="shared" si="43"/>
        <v>0</v>
      </c>
      <c r="I257" s="132" t="str">
        <f t="shared" si="44"/>
        <v>固定钢化中空</v>
      </c>
      <c r="N257" s="255"/>
      <c r="O257" s="255"/>
      <c r="P257" s="255"/>
    </row>
    <row r="258" spans="1:16" s="43" customFormat="1" ht="18" customHeight="1">
      <c r="A258" s="1"/>
      <c r="B258" s="48" t="s">
        <v>170</v>
      </c>
      <c r="C258" s="52"/>
      <c r="D258" s="50"/>
      <c r="E258" s="128"/>
      <c r="F258" s="50">
        <f>SUM(F251:F257)</f>
        <v>0</v>
      </c>
      <c r="G258" s="50"/>
      <c r="H258" s="52">
        <f>SUM(H251:H257)</f>
        <v>0</v>
      </c>
      <c r="I258" s="53">
        <f>ROUND((E251*F251+E252*F252+E253*F253+E254*F254+E255*F255+E256*F256+E257*F257),2)</f>
        <v>0</v>
      </c>
      <c r="N258" s="255"/>
      <c r="O258" s="255"/>
      <c r="P258" s="255"/>
    </row>
    <row r="259" spans="1:16" s="43" customFormat="1" ht="18" customHeight="1">
      <c r="A259" s="1"/>
      <c r="B259" s="124" t="str">
        <f>B257</f>
        <v>6单银Low-E+12A+6</v>
      </c>
      <c r="C259" s="253">
        <f t="shared" ref="C259:D264" si="45">D82-12</f>
        <v>-12</v>
      </c>
      <c r="D259" s="253">
        <f t="shared" si="45"/>
        <v>-12</v>
      </c>
      <c r="E259" s="32">
        <f t="shared" si="27"/>
        <v>1.44E-4</v>
      </c>
      <c r="F259" s="82">
        <f t="shared" ref="F259:F264" si="46">G82</f>
        <v>0</v>
      </c>
      <c r="G259" s="130">
        <f>G257</f>
        <v>148</v>
      </c>
      <c r="H259" s="250">
        <f t="shared" si="43"/>
        <v>0</v>
      </c>
      <c r="I259" s="247" t="s">
        <v>171</v>
      </c>
      <c r="N259" s="255"/>
      <c r="O259" s="255"/>
      <c r="P259" s="255"/>
    </row>
    <row r="260" spans="1:16" s="43" customFormat="1" ht="18" customHeight="1">
      <c r="A260" s="1"/>
      <c r="B260" s="124" t="str">
        <f>B259</f>
        <v>6单银Low-E+12A+6</v>
      </c>
      <c r="C260" s="253">
        <f t="shared" si="45"/>
        <v>-12</v>
      </c>
      <c r="D260" s="253">
        <f t="shared" si="45"/>
        <v>-12</v>
      </c>
      <c r="E260" s="32">
        <f t="shared" si="27"/>
        <v>1.44E-4</v>
      </c>
      <c r="F260" s="82">
        <f t="shared" si="46"/>
        <v>0</v>
      </c>
      <c r="G260" s="130">
        <f>G259</f>
        <v>148</v>
      </c>
      <c r="H260" s="250">
        <f t="shared" si="43"/>
        <v>0</v>
      </c>
      <c r="I260" s="247" t="s">
        <v>171</v>
      </c>
      <c r="N260" s="255"/>
      <c r="O260" s="255"/>
      <c r="P260" s="255"/>
    </row>
    <row r="261" spans="1:16" s="43" customFormat="1" ht="18" customHeight="1">
      <c r="A261" s="1"/>
      <c r="B261" s="124" t="str">
        <f>B260</f>
        <v>6单银Low-E+12A+6</v>
      </c>
      <c r="C261" s="253">
        <f t="shared" si="45"/>
        <v>-12</v>
      </c>
      <c r="D261" s="253">
        <f t="shared" si="45"/>
        <v>-12</v>
      </c>
      <c r="E261" s="32">
        <f t="shared" si="27"/>
        <v>1.44E-4</v>
      </c>
      <c r="F261" s="82">
        <f t="shared" si="46"/>
        <v>0</v>
      </c>
      <c r="G261" s="130">
        <f>G260</f>
        <v>148</v>
      </c>
      <c r="H261" s="250">
        <f t="shared" si="43"/>
        <v>0</v>
      </c>
      <c r="I261" s="247" t="s">
        <v>171</v>
      </c>
      <c r="N261" s="255"/>
      <c r="O261" s="255"/>
      <c r="P261" s="255"/>
    </row>
    <row r="262" spans="1:16" s="43" customFormat="1" ht="18" customHeight="1">
      <c r="A262" s="1"/>
      <c r="B262" s="124" t="str">
        <f>B261</f>
        <v>6单银Low-E+12A+6</v>
      </c>
      <c r="C262" s="253">
        <f t="shared" si="45"/>
        <v>-12</v>
      </c>
      <c r="D262" s="253">
        <f t="shared" si="45"/>
        <v>-12</v>
      </c>
      <c r="E262" s="32">
        <f t="shared" si="27"/>
        <v>1.44E-4</v>
      </c>
      <c r="F262" s="82">
        <f t="shared" si="46"/>
        <v>0</v>
      </c>
      <c r="G262" s="130">
        <f>G261</f>
        <v>148</v>
      </c>
      <c r="H262" s="250">
        <f t="shared" si="43"/>
        <v>0</v>
      </c>
      <c r="I262" s="247" t="s">
        <v>171</v>
      </c>
      <c r="N262" s="255"/>
      <c r="O262" s="255"/>
      <c r="P262" s="255"/>
    </row>
    <row r="263" spans="1:16" s="43" customFormat="1" ht="18" customHeight="1">
      <c r="A263" s="1"/>
      <c r="B263" s="124" t="str">
        <f>B262</f>
        <v>6单银Low-E+12A+6</v>
      </c>
      <c r="C263" s="253">
        <f t="shared" si="45"/>
        <v>-12</v>
      </c>
      <c r="D263" s="253">
        <f t="shared" si="45"/>
        <v>-12</v>
      </c>
      <c r="E263" s="32">
        <f t="shared" si="27"/>
        <v>1.44E-4</v>
      </c>
      <c r="F263" s="82">
        <f t="shared" si="46"/>
        <v>0</v>
      </c>
      <c r="G263" s="130">
        <f>G262</f>
        <v>148</v>
      </c>
      <c r="H263" s="250">
        <f t="shared" si="43"/>
        <v>0</v>
      </c>
      <c r="I263" s="247" t="s">
        <v>171</v>
      </c>
      <c r="N263" s="255"/>
      <c r="O263" s="255"/>
      <c r="P263" s="255"/>
    </row>
    <row r="264" spans="1:16" s="43" customFormat="1" ht="18" customHeight="1">
      <c r="A264" s="1"/>
      <c r="B264" s="124" t="str">
        <f>B263</f>
        <v>6单银Low-E+12A+6</v>
      </c>
      <c r="C264" s="253">
        <f t="shared" si="45"/>
        <v>-12</v>
      </c>
      <c r="D264" s="253">
        <f t="shared" si="45"/>
        <v>-12</v>
      </c>
      <c r="E264" s="32">
        <f t="shared" si="27"/>
        <v>1.44E-4</v>
      </c>
      <c r="F264" s="82">
        <f t="shared" si="46"/>
        <v>0</v>
      </c>
      <c r="G264" s="130">
        <f>G263</f>
        <v>148</v>
      </c>
      <c r="H264" s="250">
        <f t="shared" si="43"/>
        <v>0</v>
      </c>
      <c r="I264" s="247" t="s">
        <v>171</v>
      </c>
      <c r="N264" s="255"/>
      <c r="O264" s="255"/>
      <c r="P264" s="255"/>
    </row>
    <row r="265" spans="1:16" s="43" customFormat="1" ht="18" customHeight="1">
      <c r="A265" s="1"/>
      <c r="B265" s="48" t="s">
        <v>172</v>
      </c>
      <c r="C265" s="52"/>
      <c r="D265" s="50"/>
      <c r="E265" s="128"/>
      <c r="F265" s="50">
        <f>SUM(F259:F264)</f>
        <v>0</v>
      </c>
      <c r="G265" s="50"/>
      <c r="H265" s="52">
        <f>SUM(H259:H264)</f>
        <v>0</v>
      </c>
      <c r="I265" s="53">
        <f>ROUND(SUMPRODUCT(E259:E264*F259:F264),2)</f>
        <v>0</v>
      </c>
      <c r="N265" s="255"/>
      <c r="O265" s="255"/>
      <c r="P265" s="255"/>
    </row>
    <row r="266" spans="1:16" s="43" customFormat="1" ht="18" customHeight="1">
      <c r="A266" s="1"/>
      <c r="B266" s="124" t="str">
        <f>B264</f>
        <v>6单银Low-E+12A+6</v>
      </c>
      <c r="C266" s="133">
        <f t="shared" ref="C266:D268" si="47">D143</f>
        <v>668</v>
      </c>
      <c r="D266" s="133">
        <f t="shared" si="47"/>
        <v>1688</v>
      </c>
      <c r="E266" s="32">
        <f t="shared" si="27"/>
        <v>1.1275839999999999</v>
      </c>
      <c r="F266" s="134">
        <f>G143</f>
        <v>1</v>
      </c>
      <c r="G266" s="135">
        <f>G264</f>
        <v>148</v>
      </c>
      <c r="H266" s="134">
        <f>ROUND(E266*G266*F266,2)</f>
        <v>166.88</v>
      </c>
      <c r="I266" s="136" t="s">
        <v>173</v>
      </c>
      <c r="N266" s="255"/>
      <c r="O266" s="255"/>
      <c r="P266" s="255"/>
    </row>
    <row r="267" spans="1:16" s="43" customFormat="1" ht="18" customHeight="1">
      <c r="A267" s="1"/>
      <c r="B267" s="124" t="str">
        <f>B264</f>
        <v>6单银Low-E+12A+6</v>
      </c>
      <c r="C267" s="133">
        <f t="shared" si="47"/>
        <v>-154</v>
      </c>
      <c r="D267" s="133">
        <f t="shared" si="47"/>
        <v>-154</v>
      </c>
      <c r="E267" s="32">
        <f t="shared" si="27"/>
        <v>2.3716000000000001E-2</v>
      </c>
      <c r="F267" s="134">
        <f>G144</f>
        <v>0</v>
      </c>
      <c r="G267" s="135">
        <f>G266</f>
        <v>148</v>
      </c>
      <c r="H267" s="134">
        <f>ROUND(E267*G267*F267,2)</f>
        <v>0</v>
      </c>
      <c r="I267" s="136" t="s">
        <v>173</v>
      </c>
      <c r="N267" s="255"/>
      <c r="O267" s="255"/>
      <c r="P267" s="255"/>
    </row>
    <row r="268" spans="1:16" s="43" customFormat="1" ht="18" customHeight="1">
      <c r="A268" s="1"/>
      <c r="B268" s="124" t="str">
        <f>B267</f>
        <v>6单银Low-E+12A+6</v>
      </c>
      <c r="C268" s="133">
        <f t="shared" si="47"/>
        <v>-154</v>
      </c>
      <c r="D268" s="133">
        <f t="shared" si="47"/>
        <v>-154</v>
      </c>
      <c r="E268" s="32">
        <f t="shared" si="27"/>
        <v>2.3716000000000001E-2</v>
      </c>
      <c r="F268" s="134">
        <f>G145</f>
        <v>0</v>
      </c>
      <c r="G268" s="135">
        <f>G267</f>
        <v>148</v>
      </c>
      <c r="H268" s="134">
        <f>ROUND(E268*G268*F268,2)</f>
        <v>0</v>
      </c>
      <c r="I268" s="136" t="s">
        <v>173</v>
      </c>
      <c r="N268" s="255"/>
      <c r="O268" s="255"/>
      <c r="P268" s="255"/>
    </row>
    <row r="269" spans="1:16" s="43" customFormat="1" ht="18" customHeight="1">
      <c r="A269" s="1"/>
      <c r="B269" s="48" t="s">
        <v>174</v>
      </c>
      <c r="C269" s="52"/>
      <c r="D269" s="50"/>
      <c r="E269" s="128"/>
      <c r="F269" s="50">
        <f>SUM(F266:F268)</f>
        <v>1</v>
      </c>
      <c r="G269" s="50"/>
      <c r="H269" s="52">
        <f>SUM(H266:H268)</f>
        <v>166.88</v>
      </c>
      <c r="I269" s="53">
        <f>ROUND((E266*F266+E267*F267+E268*F268),2)</f>
        <v>1.1299999999999999</v>
      </c>
      <c r="N269" s="255"/>
      <c r="O269" s="255"/>
      <c r="P269" s="255"/>
    </row>
    <row r="270" spans="1:16" s="43" customFormat="1" ht="18" customHeight="1">
      <c r="A270" s="1"/>
      <c r="B270" s="124" t="str">
        <f>B268</f>
        <v>6单银Low-E+12A+6</v>
      </c>
      <c r="C270" s="133">
        <f t="shared" ref="C270:D272" si="48">D150</f>
        <v>-160</v>
      </c>
      <c r="D270" s="133">
        <f t="shared" si="48"/>
        <v>-160</v>
      </c>
      <c r="E270" s="32">
        <f t="shared" si="27"/>
        <v>2.5600000000000001E-2</v>
      </c>
      <c r="F270" s="134">
        <f>G150</f>
        <v>0</v>
      </c>
      <c r="G270" s="135">
        <f>G268</f>
        <v>148</v>
      </c>
      <c r="H270" s="134">
        <f>ROUND(E270*G270*F270,2)</f>
        <v>0</v>
      </c>
      <c r="I270" s="136" t="s">
        <v>173</v>
      </c>
      <c r="N270" s="255"/>
      <c r="O270" s="255"/>
      <c r="P270" s="255"/>
    </row>
    <row r="271" spans="1:16" s="43" customFormat="1" ht="18" customHeight="1">
      <c r="A271" s="1"/>
      <c r="B271" s="124" t="str">
        <f>B270</f>
        <v>6单银Low-E+12A+6</v>
      </c>
      <c r="C271" s="133">
        <f t="shared" si="48"/>
        <v>-160</v>
      </c>
      <c r="D271" s="133">
        <f t="shared" si="48"/>
        <v>-160</v>
      </c>
      <c r="E271" s="32">
        <f t="shared" si="27"/>
        <v>2.5600000000000001E-2</v>
      </c>
      <c r="F271" s="134">
        <f>G151</f>
        <v>0</v>
      </c>
      <c r="G271" s="135">
        <f>G270</f>
        <v>148</v>
      </c>
      <c r="H271" s="134">
        <f>ROUND(E271*G271*F271,2)</f>
        <v>0</v>
      </c>
      <c r="I271" s="136" t="s">
        <v>173</v>
      </c>
      <c r="N271" s="255"/>
      <c r="O271" s="255"/>
      <c r="P271" s="255"/>
    </row>
    <row r="272" spans="1:16" s="43" customFormat="1" ht="18" customHeight="1">
      <c r="A272" s="1"/>
      <c r="B272" s="124" t="str">
        <f>B271</f>
        <v>6单银Low-E+12A+6</v>
      </c>
      <c r="C272" s="133">
        <f t="shared" si="48"/>
        <v>-160</v>
      </c>
      <c r="D272" s="133">
        <f t="shared" si="48"/>
        <v>-160</v>
      </c>
      <c r="E272" s="32">
        <f t="shared" si="27"/>
        <v>2.5600000000000001E-2</v>
      </c>
      <c r="F272" s="134">
        <f>G152</f>
        <v>0</v>
      </c>
      <c r="G272" s="135">
        <f>G271</f>
        <v>148</v>
      </c>
      <c r="H272" s="134">
        <f>ROUND(E272*G272*F272,2)</f>
        <v>0</v>
      </c>
      <c r="I272" s="136" t="s">
        <v>173</v>
      </c>
      <c r="N272" s="255"/>
      <c r="O272" s="255"/>
      <c r="P272" s="255"/>
    </row>
    <row r="273" spans="1:16" s="43" customFormat="1" ht="18" customHeight="1">
      <c r="A273" s="1"/>
      <c r="B273" s="48" t="s">
        <v>175</v>
      </c>
      <c r="C273" s="52"/>
      <c r="D273" s="50"/>
      <c r="E273" s="128"/>
      <c r="F273" s="50">
        <f>SUM(F270:F272)</f>
        <v>0</v>
      </c>
      <c r="G273" s="50"/>
      <c r="H273" s="52">
        <f>SUM(H270:H272)</f>
        <v>0</v>
      </c>
      <c r="I273" s="53">
        <f>ROUND((E270*F270+E271*F271+E272*F272),2)</f>
        <v>0</v>
      </c>
      <c r="N273" s="255"/>
      <c r="O273" s="255"/>
      <c r="P273" s="255"/>
    </row>
    <row r="274" spans="1:16" ht="18" customHeight="1">
      <c r="B274" s="124" t="str">
        <f>B272</f>
        <v>6单银Low-E+12A+6</v>
      </c>
      <c r="C274" s="133">
        <f t="shared" ref="C274:D279" si="49">D157-12</f>
        <v>-12</v>
      </c>
      <c r="D274" s="133">
        <f t="shared" si="49"/>
        <v>-12</v>
      </c>
      <c r="E274" s="32">
        <f t="shared" si="27"/>
        <v>1.44E-4</v>
      </c>
      <c r="F274" s="134">
        <f t="shared" ref="F274:F279" si="50">G157</f>
        <v>0</v>
      </c>
      <c r="G274" s="135">
        <f>G272</f>
        <v>148</v>
      </c>
      <c r="H274" s="134">
        <f t="shared" ref="H274:H279" si="51">ROUND(E274*G274*F274,2)</f>
        <v>0</v>
      </c>
      <c r="I274" s="136" t="s">
        <v>176</v>
      </c>
    </row>
    <row r="275" spans="1:16" ht="18" customHeight="1">
      <c r="B275" s="124" t="str">
        <f>B274</f>
        <v>6单银Low-E+12A+6</v>
      </c>
      <c r="C275" s="133">
        <f t="shared" si="49"/>
        <v>-12</v>
      </c>
      <c r="D275" s="133">
        <f t="shared" si="49"/>
        <v>-12</v>
      </c>
      <c r="E275" s="32">
        <f t="shared" si="27"/>
        <v>1.44E-4</v>
      </c>
      <c r="F275" s="134">
        <f t="shared" si="50"/>
        <v>0</v>
      </c>
      <c r="G275" s="135">
        <f>G274</f>
        <v>148</v>
      </c>
      <c r="H275" s="134">
        <f t="shared" si="51"/>
        <v>0</v>
      </c>
      <c r="I275" s="136" t="str">
        <f>I274</f>
        <v>门钢化中空玻璃</v>
      </c>
      <c r="K275" s="43" t="s">
        <v>177</v>
      </c>
    </row>
    <row r="276" spans="1:16" ht="18" customHeight="1">
      <c r="B276" s="124" t="str">
        <f>B275</f>
        <v>6单银Low-E+12A+6</v>
      </c>
      <c r="C276" s="133">
        <f t="shared" si="49"/>
        <v>-12</v>
      </c>
      <c r="D276" s="133">
        <f t="shared" si="49"/>
        <v>-12</v>
      </c>
      <c r="E276" s="32">
        <f t="shared" si="27"/>
        <v>1.44E-4</v>
      </c>
      <c r="F276" s="134">
        <f t="shared" si="50"/>
        <v>0</v>
      </c>
      <c r="G276" s="135">
        <f>G275</f>
        <v>148</v>
      </c>
      <c r="H276" s="134">
        <f t="shared" si="51"/>
        <v>0</v>
      </c>
      <c r="I276" s="136" t="str">
        <f>I275</f>
        <v>门钢化中空玻璃</v>
      </c>
    </row>
    <row r="277" spans="1:16" ht="18" customHeight="1">
      <c r="B277" s="124" t="str">
        <f>B276</f>
        <v>6单银Low-E+12A+6</v>
      </c>
      <c r="C277" s="133">
        <f t="shared" si="49"/>
        <v>-12</v>
      </c>
      <c r="D277" s="133">
        <f t="shared" si="49"/>
        <v>-12</v>
      </c>
      <c r="E277" s="32">
        <f t="shared" si="27"/>
        <v>1.44E-4</v>
      </c>
      <c r="F277" s="134">
        <f t="shared" si="50"/>
        <v>0</v>
      </c>
      <c r="G277" s="135">
        <f>G276</f>
        <v>148</v>
      </c>
      <c r="H277" s="134">
        <f t="shared" si="51"/>
        <v>0</v>
      </c>
      <c r="I277" s="136" t="str">
        <f>I276</f>
        <v>门钢化中空玻璃</v>
      </c>
    </row>
    <row r="278" spans="1:16" ht="18" customHeight="1">
      <c r="B278" s="124" t="str">
        <f>B277</f>
        <v>6单银Low-E+12A+6</v>
      </c>
      <c r="C278" s="133">
        <f t="shared" si="49"/>
        <v>-12</v>
      </c>
      <c r="D278" s="133">
        <f t="shared" si="49"/>
        <v>-12</v>
      </c>
      <c r="E278" s="32">
        <f t="shared" si="27"/>
        <v>1.44E-4</v>
      </c>
      <c r="F278" s="134">
        <f t="shared" si="50"/>
        <v>0</v>
      </c>
      <c r="G278" s="135">
        <f>G277</f>
        <v>148</v>
      </c>
      <c r="H278" s="134">
        <f t="shared" si="51"/>
        <v>0</v>
      </c>
      <c r="I278" s="136" t="str">
        <f>I277</f>
        <v>门钢化中空玻璃</v>
      </c>
    </row>
    <row r="279" spans="1:16" ht="18" customHeight="1">
      <c r="B279" s="124" t="str">
        <f>B278</f>
        <v>6单银Low-E+12A+6</v>
      </c>
      <c r="C279" s="133">
        <f t="shared" si="49"/>
        <v>-12</v>
      </c>
      <c r="D279" s="133">
        <f t="shared" si="49"/>
        <v>-12</v>
      </c>
      <c r="E279" s="32">
        <f t="shared" si="27"/>
        <v>1.44E-4</v>
      </c>
      <c r="F279" s="134">
        <f t="shared" si="50"/>
        <v>0</v>
      </c>
      <c r="G279" s="135">
        <f>G278</f>
        <v>148</v>
      </c>
      <c r="H279" s="134">
        <f t="shared" si="51"/>
        <v>0</v>
      </c>
      <c r="I279" s="136" t="str">
        <f>I278</f>
        <v>门钢化中空玻璃</v>
      </c>
    </row>
    <row r="280" spans="1:16" ht="18" customHeight="1">
      <c r="B280" s="48" t="s">
        <v>178</v>
      </c>
      <c r="C280" s="52"/>
      <c r="D280" s="50"/>
      <c r="E280" s="128"/>
      <c r="F280" s="50">
        <f>SUM(F274:F279)</f>
        <v>0</v>
      </c>
      <c r="G280" s="50"/>
      <c r="H280" s="52">
        <f>SUM(H274:H279)</f>
        <v>0</v>
      </c>
      <c r="I280" s="53">
        <f>ROUND(SUMPRODUCT(E274:E279*F274:F279),2)</f>
        <v>0</v>
      </c>
    </row>
    <row r="281" spans="1:16" ht="18" customHeight="1">
      <c r="B281" s="124" t="str">
        <f>材料价格!A10</f>
        <v>6单银Low-E+12A+6</v>
      </c>
      <c r="C281" s="133">
        <f>C252</f>
        <v>-12</v>
      </c>
      <c r="D281" s="133">
        <f>D252</f>
        <v>-12</v>
      </c>
      <c r="E281" s="32">
        <f t="shared" si="27"/>
        <v>1.44E-4</v>
      </c>
      <c r="F281" s="134"/>
      <c r="G281" s="137">
        <f>材料价格!B10</f>
        <v>148</v>
      </c>
      <c r="H281" s="134">
        <f>ROUND(E281*G281*F281,2)</f>
        <v>0</v>
      </c>
      <c r="I281" s="247" t="s">
        <v>179</v>
      </c>
    </row>
    <row r="282" spans="1:16" ht="18" customHeight="1">
      <c r="B282" s="124" t="str">
        <f>B281</f>
        <v>6单银Low-E+12A+6</v>
      </c>
      <c r="C282" s="133">
        <f>C253</f>
        <v>-12</v>
      </c>
      <c r="D282" s="133">
        <f>D253</f>
        <v>-12</v>
      </c>
      <c r="E282" s="32">
        <f t="shared" si="27"/>
        <v>1.44E-4</v>
      </c>
      <c r="F282" s="134"/>
      <c r="G282" s="135">
        <f>G281</f>
        <v>148</v>
      </c>
      <c r="H282" s="134">
        <f>ROUND(E282*G282*F282,2)</f>
        <v>0</v>
      </c>
      <c r="I282" s="247" t="s">
        <v>179</v>
      </c>
      <c r="J282" s="255"/>
      <c r="K282" s="255"/>
      <c r="L282" s="255"/>
      <c r="M282" s="255"/>
    </row>
    <row r="283" spans="1:16" ht="18" customHeight="1">
      <c r="B283" s="124" t="str">
        <f>B282</f>
        <v>6单银Low-E+12A+6</v>
      </c>
      <c r="C283" s="133">
        <f>D84-12</f>
        <v>-12</v>
      </c>
      <c r="D283" s="133">
        <f>E84-12</f>
        <v>-12</v>
      </c>
      <c r="E283" s="32">
        <f t="shared" si="27"/>
        <v>1.44E-4</v>
      </c>
      <c r="F283" s="134">
        <f>G84</f>
        <v>0</v>
      </c>
      <c r="G283" s="135">
        <f>G282</f>
        <v>148</v>
      </c>
      <c r="H283" s="134">
        <f>ROUND(E283*G283*F283,2)</f>
        <v>0</v>
      </c>
      <c r="I283" s="247" t="s">
        <v>179</v>
      </c>
      <c r="J283" s="255"/>
      <c r="K283" s="255"/>
      <c r="L283" s="255"/>
      <c r="M283" s="255"/>
    </row>
    <row r="284" spans="1:16" ht="18" customHeight="1">
      <c r="B284" s="124" t="str">
        <f>B283</f>
        <v>6单银Low-E+12A+6</v>
      </c>
      <c r="C284" s="133">
        <f>D85-12</f>
        <v>-12</v>
      </c>
      <c r="D284" s="133">
        <f>E85-12</f>
        <v>-12</v>
      </c>
      <c r="E284" s="32">
        <f t="shared" si="27"/>
        <v>1.44E-4</v>
      </c>
      <c r="F284" s="134">
        <f>G85</f>
        <v>0</v>
      </c>
      <c r="G284" s="135">
        <f>G283</f>
        <v>148</v>
      </c>
      <c r="H284" s="134">
        <f>ROUND(E284*G284*F284,2)</f>
        <v>0</v>
      </c>
      <c r="I284" s="247" t="s">
        <v>179</v>
      </c>
      <c r="J284" s="255"/>
      <c r="K284" s="255"/>
      <c r="L284" s="255"/>
      <c r="M284" s="255"/>
    </row>
    <row r="285" spans="1:16" ht="18" customHeight="1">
      <c r="B285" s="48" t="s">
        <v>180</v>
      </c>
      <c r="C285" s="52"/>
      <c r="D285" s="50"/>
      <c r="E285" s="50"/>
      <c r="F285" s="50">
        <f>SUM(F281:F284)</f>
        <v>0</v>
      </c>
      <c r="G285" s="50"/>
      <c r="H285" s="52">
        <f>SUM(H281:H284)</f>
        <v>0</v>
      </c>
      <c r="I285" s="53">
        <f>ROUND((E281*F281+E282*F282+E283*F283+E284*F284),2)</f>
        <v>0</v>
      </c>
      <c r="J285" s="255"/>
      <c r="K285" s="255"/>
      <c r="L285" s="255"/>
      <c r="M285" s="255"/>
    </row>
    <row r="286" spans="1:16" ht="18" customHeight="1">
      <c r="B286" s="124" t="str">
        <f>材料价格!A11</f>
        <v>8单银Low-E+12Ar+8+12A+8mm</v>
      </c>
      <c r="C286" s="133"/>
      <c r="D286" s="133"/>
      <c r="E286" s="32">
        <f>C286*D286/10^6</f>
        <v>0</v>
      </c>
      <c r="F286" s="134"/>
      <c r="G286" s="137">
        <f>材料价格!B11</f>
        <v>312</v>
      </c>
      <c r="H286" s="134">
        <f>ROUND(E286*G286*F286,2)</f>
        <v>0</v>
      </c>
      <c r="I286" s="247" t="s">
        <v>181</v>
      </c>
      <c r="J286" s="255"/>
      <c r="K286" s="255"/>
      <c r="L286" s="255"/>
      <c r="M286" s="255"/>
    </row>
    <row r="287" spans="1:16" ht="18" customHeight="1">
      <c r="B287" s="124" t="str">
        <f>B286</f>
        <v>8单银Low-E+12Ar+8+12A+8mm</v>
      </c>
      <c r="C287" s="133"/>
      <c r="D287" s="133"/>
      <c r="E287" s="32">
        <f>C287*D287/10^6</f>
        <v>0</v>
      </c>
      <c r="F287" s="134"/>
      <c r="G287" s="135">
        <f>G286</f>
        <v>312</v>
      </c>
      <c r="H287" s="134">
        <f>ROUND(E287*G287*F287,2)</f>
        <v>0</v>
      </c>
      <c r="I287" s="247" t="s">
        <v>181</v>
      </c>
      <c r="J287" s="255"/>
      <c r="K287" s="255"/>
      <c r="L287" s="255"/>
      <c r="M287" s="255"/>
    </row>
    <row r="288" spans="1:16" ht="18" customHeight="1">
      <c r="B288" s="138" t="str">
        <f>材料价格!A12</f>
        <v>10单银Low-E+12Ar+10+12A+10mm</v>
      </c>
      <c r="C288" s="139"/>
      <c r="D288" s="139"/>
      <c r="E288" s="140">
        <f>C288*D288/10^6</f>
        <v>0</v>
      </c>
      <c r="F288" s="141"/>
      <c r="G288" s="142">
        <f>材料价格!B12</f>
        <v>395</v>
      </c>
      <c r="H288" s="141">
        <f>ROUND(E288*G288*F288,2)</f>
        <v>0</v>
      </c>
      <c r="I288" s="143" t="s">
        <v>181</v>
      </c>
      <c r="J288" s="255"/>
      <c r="K288" s="255"/>
      <c r="L288" s="255"/>
      <c r="M288" s="255"/>
    </row>
    <row r="289" spans="2:13" ht="18" customHeight="1">
      <c r="B289" s="138" t="str">
        <f>B288</f>
        <v>10单银Low-E+12Ar+10+12A+10mm</v>
      </c>
      <c r="C289" s="139"/>
      <c r="D289" s="139"/>
      <c r="E289" s="140">
        <f>C289*D289/10^6</f>
        <v>0</v>
      </c>
      <c r="F289" s="141"/>
      <c r="G289" s="142">
        <f>G288</f>
        <v>395</v>
      </c>
      <c r="H289" s="141">
        <f>ROUND(E289*G289*F289,2)</f>
        <v>0</v>
      </c>
      <c r="I289" s="143" t="s">
        <v>181</v>
      </c>
      <c r="J289" s="255"/>
      <c r="K289" s="255"/>
      <c r="L289" s="255"/>
      <c r="M289" s="255"/>
    </row>
    <row r="290" spans="2:13" ht="18" customHeight="1">
      <c r="B290" s="48" t="s">
        <v>180</v>
      </c>
      <c r="C290" s="52"/>
      <c r="D290" s="50"/>
      <c r="E290" s="50"/>
      <c r="F290" s="50">
        <f>SUM(F286:F289)</f>
        <v>0</v>
      </c>
      <c r="G290" s="50"/>
      <c r="H290" s="52">
        <f>SUM(H286:H289)</f>
        <v>0</v>
      </c>
      <c r="I290" s="53">
        <f>ROUND((E286*F286+E287*F287+E288*F288+E289*F289),2)</f>
        <v>0</v>
      </c>
      <c r="J290" s="255"/>
      <c r="K290" s="255"/>
      <c r="L290" s="255"/>
      <c r="M290" s="255"/>
    </row>
    <row r="291" spans="2:13" ht="18" customHeight="1">
      <c r="B291" s="642" t="s">
        <v>182</v>
      </c>
      <c r="C291" s="144" t="s">
        <v>183</v>
      </c>
      <c r="D291" s="144" cm="1">
        <f t="array" ref="D291">SUMPRODUCT(E225:E232*F225:F232)+SUMPRODUCT(E243:E249*F243:F249)</f>
        <v>2.9880239999999998</v>
      </c>
      <c r="E291" s="144" t="s">
        <v>184</v>
      </c>
      <c r="F291" s="145">
        <f>F233+F250</f>
        <v>5</v>
      </c>
      <c r="G291" s="145" t="s">
        <v>185</v>
      </c>
      <c r="H291" s="144">
        <f>H233+H250</f>
        <v>442.23</v>
      </c>
      <c r="I291" s="146">
        <f>H291/F366</f>
        <v>78.202974411572271</v>
      </c>
      <c r="J291" s="255"/>
      <c r="K291" s="255"/>
      <c r="L291" s="255"/>
      <c r="M291" s="255"/>
    </row>
    <row r="292" spans="2:13" ht="18" customHeight="1">
      <c r="B292" s="642"/>
      <c r="C292" s="144" t="s">
        <v>186</v>
      </c>
      <c r="D292" s="144">
        <f>SUMPRODUCT(E234:E241*F234:F241)+SUMPRODUCT(E251:E257*F251:F257)+SUMPRODUCT(E259:E264*F259:F264)+SUMPRODUCT(E266:E268*F266:F268)+SUMPRODUCT(E270:E272*F270:F272)+SUMPRODUCT(E281:E284*F281:F284)+SUMPRODUCT(E286:E289*F286:F289)+SUMPRODUCT(E274:E279*F274:F279)</f>
        <v>1.1275839999999999</v>
      </c>
      <c r="E292" s="144" t="s">
        <v>186</v>
      </c>
      <c r="F292" s="145">
        <f>F242+F258+F265+F269+F273+F285+F290+F280</f>
        <v>1</v>
      </c>
      <c r="G292" s="145" t="s">
        <v>185</v>
      </c>
      <c r="H292" s="144">
        <f>H242+H258+H265+H269+H273+H280+H285+H290</f>
        <v>166.88</v>
      </c>
      <c r="I292" s="146">
        <f>H292/F366</f>
        <v>29.51068984420591</v>
      </c>
      <c r="J292" s="255"/>
      <c r="K292" s="255"/>
      <c r="L292" s="255"/>
      <c r="M292" s="255"/>
    </row>
    <row r="293" spans="2:13" ht="18" customHeight="1">
      <c r="B293" s="23" t="s">
        <v>187</v>
      </c>
      <c r="C293" s="252" t="s">
        <v>188</v>
      </c>
      <c r="D293" s="68" t="s">
        <v>189</v>
      </c>
      <c r="E293" s="252" t="s">
        <v>8</v>
      </c>
      <c r="F293" s="252" t="s">
        <v>190</v>
      </c>
      <c r="G293" s="252" t="s">
        <v>191</v>
      </c>
      <c r="H293" s="252" t="s">
        <v>160</v>
      </c>
      <c r="I293" s="25" t="s">
        <v>1</v>
      </c>
      <c r="J293" s="255"/>
      <c r="K293" s="255"/>
      <c r="L293" s="255"/>
      <c r="M293" s="255"/>
    </row>
    <row r="294" spans="2:13" ht="18" customHeight="1">
      <c r="B294" s="629" t="s">
        <v>192</v>
      </c>
      <c r="C294" s="253">
        <f>D26</f>
        <v>0</v>
      </c>
      <c r="D294" s="250"/>
      <c r="E294" s="250"/>
      <c r="F294" s="250" t="s">
        <v>193</v>
      </c>
      <c r="G294" s="108">
        <f>材料价格!B14</f>
        <v>153</v>
      </c>
      <c r="H294" s="147">
        <f>E294*G294</f>
        <v>0</v>
      </c>
      <c r="I294" s="632" t="s">
        <v>194</v>
      </c>
      <c r="J294" s="255"/>
      <c r="K294" s="255"/>
      <c r="L294" s="255"/>
      <c r="M294" s="255"/>
    </row>
    <row r="295" spans="2:13" ht="18" customHeight="1">
      <c r="B295" s="629"/>
      <c r="C295" s="253"/>
      <c r="D295" s="250"/>
      <c r="E295" s="250"/>
      <c r="F295" s="250"/>
      <c r="G295" s="108"/>
      <c r="H295" s="147">
        <f t="shared" ref="H295:H303" si="52">E295*G295</f>
        <v>0</v>
      </c>
      <c r="I295" s="633"/>
      <c r="J295" s="255"/>
      <c r="K295" s="255"/>
      <c r="L295" s="255"/>
      <c r="M295" s="255"/>
    </row>
    <row r="296" spans="2:13" ht="18" customHeight="1">
      <c r="B296" s="629" t="s">
        <v>195</v>
      </c>
      <c r="C296" s="253"/>
      <c r="D296" s="148"/>
      <c r="E296" s="250"/>
      <c r="F296" s="250" t="str">
        <f>F294</f>
        <v>坚朗</v>
      </c>
      <c r="G296" s="108">
        <f>材料价格!B15</f>
        <v>80</v>
      </c>
      <c r="H296" s="147">
        <f t="shared" si="52"/>
        <v>0</v>
      </c>
      <c r="I296" s="632" t="s">
        <v>196</v>
      </c>
      <c r="J296" s="255"/>
      <c r="K296" s="255"/>
      <c r="L296" s="255"/>
      <c r="M296" s="255"/>
    </row>
    <row r="297" spans="2:13" ht="18" customHeight="1">
      <c r="B297" s="629"/>
      <c r="C297" s="253"/>
      <c r="D297" s="148"/>
      <c r="E297" s="250"/>
      <c r="F297" s="250"/>
      <c r="G297" s="108"/>
      <c r="H297" s="147">
        <f t="shared" si="52"/>
        <v>0</v>
      </c>
      <c r="I297" s="633"/>
      <c r="J297" s="255"/>
      <c r="K297" s="255"/>
      <c r="L297" s="255"/>
      <c r="M297" s="255"/>
    </row>
    <row r="298" spans="2:13" ht="18" customHeight="1">
      <c r="B298" s="629" t="s">
        <v>197</v>
      </c>
      <c r="C298" s="253"/>
      <c r="D298" s="148"/>
      <c r="E298" s="250">
        <v>2</v>
      </c>
      <c r="F298" s="250" t="str">
        <f>F296</f>
        <v>坚朗</v>
      </c>
      <c r="G298" s="108">
        <f>材料价格!B16</f>
        <v>88</v>
      </c>
      <c r="H298" s="147">
        <f t="shared" si="52"/>
        <v>176</v>
      </c>
      <c r="I298" s="633"/>
      <c r="J298" s="255"/>
      <c r="K298" s="255"/>
      <c r="L298" s="255"/>
      <c r="M298" s="255"/>
    </row>
    <row r="299" spans="2:13" ht="18" customHeight="1">
      <c r="B299" s="629"/>
      <c r="C299" s="253"/>
      <c r="D299" s="148"/>
      <c r="E299" s="250"/>
      <c r="F299" s="250"/>
      <c r="G299" s="108"/>
      <c r="H299" s="147">
        <f t="shared" si="52"/>
        <v>0</v>
      </c>
      <c r="I299" s="633"/>
      <c r="J299" s="255"/>
      <c r="K299" s="255"/>
      <c r="L299" s="255"/>
      <c r="M299" s="255"/>
    </row>
    <row r="300" spans="2:13" ht="18" customHeight="1">
      <c r="B300" s="629" t="s">
        <v>198</v>
      </c>
      <c r="C300" s="253">
        <f>D35</f>
        <v>432</v>
      </c>
      <c r="D300" s="148"/>
      <c r="E300" s="250"/>
      <c r="F300" s="250" t="str">
        <f>F298</f>
        <v>坚朗</v>
      </c>
      <c r="G300" s="108">
        <f>材料价格!B17</f>
        <v>115</v>
      </c>
      <c r="H300" s="147">
        <f t="shared" si="52"/>
        <v>0</v>
      </c>
      <c r="I300" s="149"/>
      <c r="J300" s="255"/>
      <c r="K300" s="255"/>
      <c r="L300" s="255"/>
      <c r="M300" s="255"/>
    </row>
    <row r="301" spans="2:13" ht="18" customHeight="1">
      <c r="B301" s="629"/>
      <c r="C301" s="253"/>
      <c r="D301" s="148"/>
      <c r="E301" s="250"/>
      <c r="F301" s="250"/>
      <c r="G301" s="108"/>
      <c r="H301" s="147">
        <f t="shared" si="52"/>
        <v>0</v>
      </c>
      <c r="I301" s="149"/>
      <c r="J301" s="255"/>
      <c r="K301" s="255"/>
      <c r="L301" s="255"/>
      <c r="M301" s="255"/>
    </row>
    <row r="302" spans="2:13" ht="18" customHeight="1">
      <c r="B302" s="629" t="s">
        <v>199</v>
      </c>
      <c r="C302" s="250" t="s">
        <v>200</v>
      </c>
      <c r="D302" s="148"/>
      <c r="E302" s="250">
        <v>1</v>
      </c>
      <c r="F302" s="250" t="str">
        <f>F300</f>
        <v>坚朗</v>
      </c>
      <c r="G302" s="108">
        <f>材料价格!B19</f>
        <v>230</v>
      </c>
      <c r="H302" s="147">
        <f t="shared" si="52"/>
        <v>230</v>
      </c>
      <c r="I302" s="247"/>
      <c r="J302" s="255"/>
      <c r="K302" s="255"/>
      <c r="L302" s="255"/>
      <c r="M302" s="255"/>
    </row>
    <row r="303" spans="2:13" ht="18" customHeight="1">
      <c r="B303" s="629"/>
      <c r="C303" s="250" t="s">
        <v>201</v>
      </c>
      <c r="D303" s="148"/>
      <c r="E303" s="250"/>
      <c r="F303" s="250" t="str">
        <f>F302</f>
        <v>坚朗</v>
      </c>
      <c r="G303" s="108">
        <f>材料价格!B20</f>
        <v>335</v>
      </c>
      <c r="H303" s="147">
        <f t="shared" si="52"/>
        <v>0</v>
      </c>
      <c r="I303" s="247"/>
      <c r="J303" s="255"/>
      <c r="K303" s="255"/>
      <c r="L303" s="255"/>
      <c r="M303" s="255"/>
    </row>
    <row r="304" spans="2:13" ht="18" customHeight="1">
      <c r="B304" s="150" t="s">
        <v>202</v>
      </c>
      <c r="C304" s="50"/>
      <c r="D304" s="50"/>
      <c r="E304" s="50">
        <f>SUM(E294:E303)</f>
        <v>3</v>
      </c>
      <c r="F304" s="50"/>
      <c r="G304" s="166"/>
      <c r="H304" s="151">
        <f>SUM(H294:H303)</f>
        <v>406</v>
      </c>
      <c r="I304" s="152"/>
      <c r="J304" s="42"/>
    </row>
    <row r="305" spans="1:16" ht="18" customHeight="1">
      <c r="B305" s="246" t="s">
        <v>300</v>
      </c>
      <c r="C305" s="250"/>
      <c r="D305" s="148"/>
      <c r="E305" s="253">
        <f>E294+E296</f>
        <v>0</v>
      </c>
      <c r="F305" s="148"/>
      <c r="G305" s="148">
        <f>材料价格!B27</f>
        <v>0</v>
      </c>
      <c r="H305" s="154">
        <f>E305*G305</f>
        <v>0</v>
      </c>
      <c r="I305" s="247" t="s">
        <v>203</v>
      </c>
    </row>
    <row r="306" spans="1:16" s="16" customFormat="1" ht="18" customHeight="1">
      <c r="A306" s="1"/>
      <c r="B306" s="246" t="s">
        <v>204</v>
      </c>
      <c r="C306" s="250"/>
      <c r="D306" s="148"/>
      <c r="E306" s="253">
        <f>E298+E299+E300+E301</f>
        <v>2</v>
      </c>
      <c r="F306" s="148"/>
      <c r="G306" s="148">
        <f>材料价格!B28</f>
        <v>118</v>
      </c>
      <c r="H306" s="154">
        <f>E306*G306</f>
        <v>236</v>
      </c>
      <c r="I306" s="247" t="s">
        <v>205</v>
      </c>
      <c r="J306" s="43"/>
      <c r="K306" s="43"/>
      <c r="L306" s="43"/>
      <c r="M306" s="43"/>
      <c r="N306" s="255"/>
      <c r="O306" s="255"/>
      <c r="P306" s="255"/>
    </row>
    <row r="307" spans="1:16" s="16" customFormat="1" ht="18" customHeight="1">
      <c r="A307" s="1"/>
      <c r="B307" s="246" t="s">
        <v>206</v>
      </c>
      <c r="C307" s="250"/>
      <c r="D307" s="148"/>
      <c r="E307" s="253"/>
      <c r="F307" s="148"/>
      <c r="G307" s="148"/>
      <c r="H307" s="154">
        <f>E307*G307</f>
        <v>0</v>
      </c>
      <c r="I307" s="247" t="s">
        <v>207</v>
      </c>
      <c r="J307" s="43"/>
      <c r="K307" s="43"/>
      <c r="L307" s="43"/>
      <c r="M307" s="43"/>
      <c r="N307" s="255"/>
      <c r="O307" s="255"/>
      <c r="P307" s="255"/>
    </row>
    <row r="308" spans="1:16" s="16" customFormat="1" ht="18" customHeight="1">
      <c r="A308" s="1"/>
      <c r="B308" s="150" t="s">
        <v>208</v>
      </c>
      <c r="C308" s="50"/>
      <c r="D308" s="50"/>
      <c r="E308" s="100">
        <f>SUM(E305:E307)</f>
        <v>2</v>
      </c>
      <c r="F308" s="50"/>
      <c r="G308" s="166"/>
      <c r="H308" s="155">
        <f>SUM(H305:H307)</f>
        <v>236</v>
      </c>
      <c r="I308" s="152"/>
      <c r="J308" s="43"/>
      <c r="K308" s="43"/>
      <c r="L308" s="43"/>
      <c r="M308" s="43"/>
      <c r="N308" s="255"/>
      <c r="O308" s="255"/>
      <c r="P308" s="255"/>
    </row>
    <row r="309" spans="1:16" s="16" customFormat="1" ht="18" customHeight="1">
      <c r="A309" s="1"/>
      <c r="B309" s="156" t="s">
        <v>209</v>
      </c>
      <c r="C309" s="157">
        <f>ROUND(IF(D4&lt;=200,4,0)+IF(D4&gt;200,(D4/200+1))+IF(E4&lt;=200,4,0)+IF(E4&gt;200,(E4/200+1)),0)</f>
        <v>27</v>
      </c>
      <c r="D309" s="148"/>
      <c r="E309" s="148"/>
      <c r="F309" s="148"/>
      <c r="G309" s="158">
        <v>0.5</v>
      </c>
      <c r="H309" s="159">
        <f>ROUND(C309*G309,2)</f>
        <v>13.5</v>
      </c>
      <c r="I309" s="247" t="s">
        <v>210</v>
      </c>
      <c r="J309" s="43"/>
      <c r="K309" s="43"/>
      <c r="L309" s="43"/>
      <c r="M309" s="43"/>
      <c r="N309" s="255"/>
      <c r="O309" s="255"/>
      <c r="P309" s="255"/>
    </row>
    <row r="310" spans="1:16" s="16" customFormat="1" ht="18" customHeight="1">
      <c r="A310" s="1"/>
      <c r="B310" s="156" t="s">
        <v>211</v>
      </c>
      <c r="C310" s="157">
        <f>C309*2</f>
        <v>54</v>
      </c>
      <c r="D310" s="148">
        <f>D309*2</f>
        <v>0</v>
      </c>
      <c r="E310" s="148"/>
      <c r="F310" s="148"/>
      <c r="G310" s="158">
        <v>0.3</v>
      </c>
      <c r="H310" s="159">
        <f>ROUND(C310*G310,2)</f>
        <v>16.2</v>
      </c>
      <c r="I310" s="247" t="s">
        <v>212</v>
      </c>
      <c r="J310" s="43"/>
      <c r="K310" s="43"/>
      <c r="L310" s="255"/>
      <c r="M310" s="255"/>
      <c r="N310" s="255"/>
      <c r="O310" s="255"/>
      <c r="P310" s="255"/>
    </row>
    <row r="311" spans="1:16" s="16" customFormat="1" ht="18" customHeight="1">
      <c r="A311" s="1"/>
      <c r="B311" s="160" t="s">
        <v>213</v>
      </c>
      <c r="C311" s="161">
        <f>F6</f>
        <v>5.6063999999999998</v>
      </c>
      <c r="D311" s="162"/>
      <c r="E311" s="162"/>
      <c r="F311" s="162"/>
      <c r="G311" s="163">
        <v>5</v>
      </c>
      <c r="H311" s="159">
        <f>ROUND(C311*G311,2)</f>
        <v>28.03</v>
      </c>
      <c r="I311" s="247"/>
      <c r="J311" s="43"/>
      <c r="K311" s="43"/>
      <c r="L311" s="255"/>
      <c r="M311" s="255"/>
      <c r="N311" s="255"/>
      <c r="O311" s="255"/>
      <c r="P311" s="255"/>
    </row>
    <row r="312" spans="1:16" s="16" customFormat="1" ht="18" customHeight="1">
      <c r="A312" s="1"/>
      <c r="B312" s="160" t="s">
        <v>214</v>
      </c>
      <c r="C312" s="161"/>
      <c r="D312" s="162"/>
      <c r="E312" s="162"/>
      <c r="F312" s="162"/>
      <c r="G312" s="163"/>
      <c r="H312" s="159">
        <f>ROUND(C312*G312,2)</f>
        <v>0</v>
      </c>
      <c r="I312" s="247"/>
      <c r="J312" s="43"/>
      <c r="K312" s="43"/>
      <c r="L312" s="255"/>
      <c r="M312" s="255"/>
      <c r="N312" s="255"/>
      <c r="O312" s="255"/>
      <c r="P312" s="255"/>
    </row>
    <row r="313" spans="1:16" s="16" customFormat="1" ht="18" customHeight="1">
      <c r="A313" s="1"/>
      <c r="B313" s="164" t="s">
        <v>397</v>
      </c>
      <c r="C313" s="161">
        <f>D291+D292</f>
        <v>4.1156079999999999</v>
      </c>
      <c r="D313" s="162"/>
      <c r="E313" s="162"/>
      <c r="F313" s="162"/>
      <c r="G313" s="163">
        <f>10+5</f>
        <v>15</v>
      </c>
      <c r="H313" s="159">
        <f>ROUND(C313*G313,2)</f>
        <v>61.73</v>
      </c>
      <c r="I313" s="247"/>
      <c r="J313" s="43"/>
      <c r="K313" s="43"/>
      <c r="L313" s="255"/>
      <c r="M313" s="255"/>
      <c r="N313" s="255"/>
      <c r="O313" s="255"/>
      <c r="P313" s="255"/>
    </row>
    <row r="314" spans="1:16" s="16" customFormat="1" ht="18" customHeight="1">
      <c r="A314" s="1"/>
      <c r="B314" s="150" t="s">
        <v>215</v>
      </c>
      <c r="C314" s="165"/>
      <c r="D314" s="50"/>
      <c r="E314" s="50"/>
      <c r="F314" s="50"/>
      <c r="G314" s="166"/>
      <c r="H314" s="155">
        <f>SUM(H309:H313)</f>
        <v>119.46000000000001</v>
      </c>
      <c r="I314" s="152"/>
      <c r="J314" s="43"/>
      <c r="K314" s="43"/>
      <c r="L314" s="255"/>
      <c r="M314" s="255"/>
      <c r="N314" s="255"/>
      <c r="O314" s="255"/>
      <c r="P314" s="255"/>
    </row>
    <row r="315" spans="1:16" s="16" customFormat="1" ht="18" customHeight="1">
      <c r="A315" s="1"/>
      <c r="B315" s="156" t="s">
        <v>216</v>
      </c>
      <c r="C315" s="167">
        <f>E203+E205+E207+I203+I205+E209+I207</f>
        <v>36</v>
      </c>
      <c r="D315" s="148"/>
      <c r="E315" s="148"/>
      <c r="F315" s="148"/>
      <c r="G315" s="168">
        <v>1.9</v>
      </c>
      <c r="H315" s="154">
        <f t="shared" ref="H315:H318" si="53">ROUND(C315*G315,2)</f>
        <v>68.400000000000006</v>
      </c>
      <c r="I315" s="224" t="s">
        <v>340</v>
      </c>
      <c r="J315" s="255"/>
      <c r="K315" s="43"/>
      <c r="L315" s="255"/>
      <c r="M315" s="255"/>
      <c r="N315" s="255"/>
      <c r="O315" s="255"/>
      <c r="P315" s="255"/>
    </row>
    <row r="316" spans="1:16" s="16" customFormat="1" ht="18" customHeight="1">
      <c r="A316" s="1"/>
      <c r="B316" s="156" t="s">
        <v>217</v>
      </c>
      <c r="C316" s="167">
        <f>ROUND((D4+E4)*2/1000,2)</f>
        <v>10</v>
      </c>
      <c r="D316" s="148"/>
      <c r="E316" s="238">
        <v>4</v>
      </c>
      <c r="F316" s="235">
        <f>材料价格!B25</f>
        <v>8.52</v>
      </c>
      <c r="G316" s="168">
        <f t="shared" ref="G316:G321" si="54">F316/E316</f>
        <v>2.13</v>
      </c>
      <c r="H316" s="154">
        <f t="shared" si="53"/>
        <v>21.3</v>
      </c>
      <c r="I316" s="169" t="s">
        <v>218</v>
      </c>
      <c r="J316" s="255"/>
      <c r="K316" s="43"/>
      <c r="L316" s="255"/>
      <c r="M316" s="255"/>
      <c r="N316" s="255"/>
      <c r="O316" s="255"/>
      <c r="P316" s="255"/>
    </row>
    <row r="317" spans="1:16" s="16" customFormat="1" ht="18" customHeight="1">
      <c r="A317" s="1"/>
      <c r="B317" s="156" t="s">
        <v>219</v>
      </c>
      <c r="C317" s="167">
        <f>C316</f>
        <v>10</v>
      </c>
      <c r="D317" s="148"/>
      <c r="E317" s="238">
        <v>3</v>
      </c>
      <c r="F317" s="235">
        <f>F316</f>
        <v>8.52</v>
      </c>
      <c r="G317" s="168">
        <f t="shared" si="54"/>
        <v>2.84</v>
      </c>
      <c r="H317" s="154">
        <f t="shared" si="53"/>
        <v>28.4</v>
      </c>
      <c r="I317" s="169" t="s">
        <v>220</v>
      </c>
      <c r="J317" s="255"/>
      <c r="K317" s="43"/>
      <c r="L317" s="255"/>
      <c r="M317" s="255"/>
      <c r="N317" s="255"/>
      <c r="O317" s="255"/>
      <c r="P317" s="255"/>
    </row>
    <row r="318" spans="1:16" s="16" customFormat="1" ht="18" customHeight="1">
      <c r="A318" s="1"/>
      <c r="B318" s="156" t="s">
        <v>221</v>
      </c>
      <c r="C318" s="167">
        <f>C316</f>
        <v>10</v>
      </c>
      <c r="D318" s="148"/>
      <c r="E318" s="238">
        <v>6.5</v>
      </c>
      <c r="F318" s="235">
        <f>材料价格!B26</f>
        <v>23</v>
      </c>
      <c r="G318" s="168">
        <f t="shared" si="54"/>
        <v>3.5384615384615383</v>
      </c>
      <c r="H318" s="154">
        <f t="shared" si="53"/>
        <v>35.380000000000003</v>
      </c>
      <c r="I318" s="224" t="s">
        <v>222</v>
      </c>
      <c r="J318" s="255"/>
      <c r="K318" s="43"/>
      <c r="L318" s="255"/>
      <c r="M318" s="255"/>
      <c r="N318" s="255"/>
      <c r="O318" s="255"/>
      <c r="P318" s="255"/>
    </row>
    <row r="319" spans="1:16" s="16" customFormat="1" ht="18" customHeight="1">
      <c r="A319" s="1"/>
      <c r="B319" s="156" t="s">
        <v>341</v>
      </c>
      <c r="C319" s="167">
        <f>ROUND((C97+C104+C88+C146+C153+C163)*1,2)</f>
        <v>20.11</v>
      </c>
      <c r="D319" s="77">
        <v>1</v>
      </c>
      <c r="E319" s="238">
        <f>10</f>
        <v>10</v>
      </c>
      <c r="F319" s="235">
        <f>F317</f>
        <v>8.52</v>
      </c>
      <c r="G319" s="168">
        <f>F319/E319</f>
        <v>0.85199999999999998</v>
      </c>
      <c r="H319" s="154">
        <f>ROUND(C319*G319,2)</f>
        <v>17.13</v>
      </c>
      <c r="I319" s="247" t="s">
        <v>223</v>
      </c>
      <c r="J319" s="255"/>
      <c r="K319" s="43"/>
      <c r="L319" s="255"/>
      <c r="M319" s="255"/>
      <c r="N319" s="255"/>
      <c r="O319" s="255"/>
      <c r="P319" s="255"/>
    </row>
    <row r="320" spans="1:16" s="16" customFormat="1" ht="18" customHeight="1">
      <c r="A320" s="1"/>
      <c r="B320" s="156" t="s">
        <v>342</v>
      </c>
      <c r="C320" s="167">
        <f>C319</f>
        <v>20.11</v>
      </c>
      <c r="D320" s="77">
        <v>1</v>
      </c>
      <c r="E320" s="238">
        <v>6</v>
      </c>
      <c r="F320" s="235">
        <f>F319</f>
        <v>8.52</v>
      </c>
      <c r="G320" s="168">
        <f t="shared" si="54"/>
        <v>1.42</v>
      </c>
      <c r="H320" s="154">
        <f>ROUND(C320*G320,2)</f>
        <v>28.56</v>
      </c>
      <c r="I320" s="247" t="s">
        <v>224</v>
      </c>
      <c r="J320" s="255"/>
      <c r="K320" s="170"/>
      <c r="L320" s="170"/>
      <c r="M320" s="170"/>
      <c r="N320" s="170"/>
      <c r="O320" s="170"/>
      <c r="P320" s="170"/>
    </row>
    <row r="321" spans="1:16" s="16" customFormat="1" ht="18" customHeight="1">
      <c r="A321" s="1"/>
      <c r="B321" s="156" t="s">
        <v>225</v>
      </c>
      <c r="C321" s="167">
        <f>C334*D334+C324*D324+C327*D327</f>
        <v>3.7039999999999997</v>
      </c>
      <c r="D321" s="77">
        <v>1</v>
      </c>
      <c r="E321" s="238">
        <f>10</f>
        <v>10</v>
      </c>
      <c r="F321" s="235">
        <f>F317</f>
        <v>8.52</v>
      </c>
      <c r="G321" s="168">
        <f t="shared" si="54"/>
        <v>0.85199999999999998</v>
      </c>
      <c r="H321" s="154">
        <f>ROUND(C321*G321,2)</f>
        <v>3.16</v>
      </c>
      <c r="I321" s="247" t="s">
        <v>226</v>
      </c>
      <c r="J321" s="255"/>
      <c r="K321" s="170"/>
      <c r="L321" s="170"/>
      <c r="M321" s="170"/>
      <c r="N321" s="170"/>
      <c r="O321" s="170"/>
      <c r="P321" s="170"/>
    </row>
    <row r="322" spans="1:16" s="16" customFormat="1" ht="18" customHeight="1">
      <c r="A322" s="1"/>
      <c r="B322" s="150" t="s">
        <v>227</v>
      </c>
      <c r="C322" s="165"/>
      <c r="D322" s="50"/>
      <c r="E322" s="50"/>
      <c r="F322" s="50"/>
      <c r="G322" s="166" t="s">
        <v>396</v>
      </c>
      <c r="H322" s="155">
        <f>SUM(H315:H321)</f>
        <v>202.32999999999998</v>
      </c>
      <c r="I322" s="152"/>
      <c r="J322" s="244" t="s">
        <v>399</v>
      </c>
      <c r="K322" s="245" t="s">
        <v>379</v>
      </c>
      <c r="L322" s="170"/>
      <c r="M322" s="170"/>
      <c r="N322" s="170"/>
      <c r="O322" s="170"/>
      <c r="P322" s="170"/>
    </row>
    <row r="323" spans="1:16" s="16" customFormat="1" ht="18" customHeight="1">
      <c r="A323" s="1"/>
      <c r="B323" s="156" t="s">
        <v>356</v>
      </c>
      <c r="C323" s="167">
        <f>C31</f>
        <v>0</v>
      </c>
      <c r="D323" s="239">
        <v>1</v>
      </c>
      <c r="E323" s="148"/>
      <c r="F323" s="148"/>
      <c r="G323" s="236">
        <f>0.45+0.85</f>
        <v>1.3</v>
      </c>
      <c r="H323" s="154">
        <f>ROUND(C323*D323*G323,2)</f>
        <v>0</v>
      </c>
      <c r="I323" s="247" t="s">
        <v>345</v>
      </c>
      <c r="J323" s="244">
        <v>1.76</v>
      </c>
      <c r="K323" s="245" t="s">
        <v>400</v>
      </c>
      <c r="L323" s="170"/>
      <c r="M323" s="171"/>
      <c r="N323" s="170"/>
      <c r="O323" s="170"/>
      <c r="P323" s="170"/>
    </row>
    <row r="324" spans="1:16" s="16" customFormat="1" ht="18" customHeight="1">
      <c r="A324" s="1"/>
      <c r="B324" s="156" t="s">
        <v>347</v>
      </c>
      <c r="C324" s="167">
        <f>C323</f>
        <v>0</v>
      </c>
      <c r="D324" s="239">
        <v>1</v>
      </c>
      <c r="E324" s="148"/>
      <c r="F324" s="148"/>
      <c r="G324" s="236">
        <v>6.89</v>
      </c>
      <c r="H324" s="154">
        <f t="shared" ref="H324:H329" si="55">ROUND(C324*D324*G324,2)</f>
        <v>0</v>
      </c>
      <c r="I324" s="247" t="s">
        <v>346</v>
      </c>
      <c r="J324" s="244">
        <v>12.25</v>
      </c>
      <c r="K324" s="245" t="s">
        <v>376</v>
      </c>
      <c r="L324" s="170"/>
      <c r="M324" s="171"/>
      <c r="N324" s="170"/>
      <c r="O324" s="170"/>
      <c r="P324" s="170"/>
    </row>
    <row r="325" spans="1:16" s="16" customFormat="1" ht="18" customHeight="1">
      <c r="A325" s="1"/>
      <c r="B325" s="156" t="s">
        <v>357</v>
      </c>
      <c r="C325" s="167">
        <f>C38</f>
        <v>5.3280000000000003</v>
      </c>
      <c r="D325" s="239">
        <v>1</v>
      </c>
      <c r="E325" s="148"/>
      <c r="F325" s="148"/>
      <c r="G325" s="236">
        <f>0.85+0.61</f>
        <v>1.46</v>
      </c>
      <c r="H325" s="154">
        <f t="shared" si="55"/>
        <v>7.78</v>
      </c>
      <c r="I325" s="247" t="s">
        <v>354</v>
      </c>
      <c r="J325" s="244">
        <v>1.76</v>
      </c>
      <c r="K325" s="245" t="s">
        <v>378</v>
      </c>
      <c r="L325" s="170"/>
      <c r="M325" s="171"/>
      <c r="N325" s="170"/>
      <c r="O325" s="170"/>
      <c r="P325" s="170"/>
    </row>
    <row r="326" spans="1:16" s="16" customFormat="1" ht="18" customHeight="1">
      <c r="A326" s="1"/>
      <c r="B326" s="156" t="s">
        <v>355</v>
      </c>
      <c r="C326" s="167">
        <f>C325</f>
        <v>5.3280000000000003</v>
      </c>
      <c r="D326" s="239">
        <v>1</v>
      </c>
      <c r="E326" s="148"/>
      <c r="F326" s="148"/>
      <c r="G326" s="236">
        <v>3.27</v>
      </c>
      <c r="H326" s="154">
        <f>ROUND(C326*D326*G326,2)</f>
        <v>17.420000000000002</v>
      </c>
      <c r="I326" s="247" t="s">
        <v>358</v>
      </c>
      <c r="J326" s="244">
        <v>3.27</v>
      </c>
      <c r="K326" s="245" t="s">
        <v>358</v>
      </c>
      <c r="L326" s="170"/>
      <c r="M326" s="171"/>
      <c r="N326" s="170"/>
      <c r="O326" s="170"/>
      <c r="P326" s="170"/>
    </row>
    <row r="327" spans="1:16" s="16" customFormat="1" ht="18" customHeight="1">
      <c r="A327" s="1"/>
      <c r="B327" s="156" t="s">
        <v>228</v>
      </c>
      <c r="C327" s="167">
        <f>C126</f>
        <v>0</v>
      </c>
      <c r="D327" s="239">
        <v>1</v>
      </c>
      <c r="E327" s="110"/>
      <c r="F327" s="148"/>
      <c r="G327" s="236">
        <v>6.89</v>
      </c>
      <c r="H327" s="154">
        <f t="shared" si="55"/>
        <v>0</v>
      </c>
      <c r="I327" s="247" t="s">
        <v>346</v>
      </c>
      <c r="J327" s="244">
        <v>12.25</v>
      </c>
      <c r="K327" s="245" t="s">
        <v>346</v>
      </c>
      <c r="L327" s="170"/>
      <c r="M327" s="171"/>
      <c r="N327" s="170"/>
      <c r="O327" s="170"/>
      <c r="P327" s="170"/>
    </row>
    <row r="328" spans="1:16" s="16" customFormat="1" ht="18" customHeight="1">
      <c r="A328" s="1"/>
      <c r="B328" s="156" t="s">
        <v>229</v>
      </c>
      <c r="C328" s="167">
        <f>C327</f>
        <v>0</v>
      </c>
      <c r="D328" s="239">
        <v>1</v>
      </c>
      <c r="E328" s="110"/>
      <c r="F328" s="148"/>
      <c r="G328" s="236">
        <f>G3233</f>
        <v>0</v>
      </c>
      <c r="H328" s="154">
        <f t="shared" si="55"/>
        <v>0</v>
      </c>
      <c r="I328" s="247" t="s">
        <v>345</v>
      </c>
      <c r="J328" s="244">
        <v>0</v>
      </c>
      <c r="K328" s="245" t="s">
        <v>400</v>
      </c>
      <c r="L328" s="170"/>
      <c r="M328" s="171"/>
      <c r="N328" s="170"/>
      <c r="O328" s="170"/>
      <c r="P328" s="170"/>
    </row>
    <row r="329" spans="1:16" s="16" customFormat="1" ht="18" customHeight="1">
      <c r="A329" s="1"/>
      <c r="B329" s="156" t="s">
        <v>230</v>
      </c>
      <c r="C329" s="167">
        <f>C119</f>
        <v>5.3280000000000003</v>
      </c>
      <c r="D329" s="239">
        <v>1</v>
      </c>
      <c r="E329" s="148"/>
      <c r="F329" s="148"/>
      <c r="G329" s="236">
        <f>G3253</f>
        <v>0</v>
      </c>
      <c r="H329" s="154">
        <f t="shared" si="55"/>
        <v>0</v>
      </c>
      <c r="I329" s="247" t="s">
        <v>354</v>
      </c>
      <c r="J329" s="244">
        <v>0</v>
      </c>
      <c r="K329" s="245" t="s">
        <v>378</v>
      </c>
      <c r="L329" s="170"/>
      <c r="M329" s="171"/>
      <c r="N329" s="170"/>
      <c r="O329" s="170"/>
      <c r="P329" s="170"/>
    </row>
    <row r="330" spans="1:16" s="16" customFormat="1" ht="18" customHeight="1">
      <c r="A330" s="1"/>
      <c r="B330" s="156" t="s">
        <v>362</v>
      </c>
      <c r="C330" s="167">
        <f>C329</f>
        <v>5.3280000000000003</v>
      </c>
      <c r="D330" s="239">
        <v>1</v>
      </c>
      <c r="E330" s="148"/>
      <c r="F330" s="148"/>
      <c r="G330" s="236">
        <v>3.27</v>
      </c>
      <c r="H330" s="154">
        <f>ROUND(C330*D330*G330,2)</f>
        <v>17.420000000000002</v>
      </c>
      <c r="I330" s="247" t="s">
        <v>358</v>
      </c>
      <c r="J330" s="244">
        <v>3.27</v>
      </c>
      <c r="K330" s="245" t="s">
        <v>358</v>
      </c>
      <c r="L330" s="170"/>
      <c r="M330" s="171"/>
      <c r="N330" s="170"/>
      <c r="O330" s="170"/>
      <c r="P330" s="170"/>
    </row>
    <row r="331" spans="1:16" s="16" customFormat="1" ht="18" customHeight="1">
      <c r="A331" s="1"/>
      <c r="B331" s="156" t="s">
        <v>343</v>
      </c>
      <c r="C331" s="167">
        <f>C319</f>
        <v>20.11</v>
      </c>
      <c r="D331" s="239">
        <v>1</v>
      </c>
      <c r="E331" s="148"/>
      <c r="F331" s="148"/>
      <c r="G331" s="236">
        <v>1.25</v>
      </c>
      <c r="H331" s="154">
        <f>C331*D331*G331</f>
        <v>25.137499999999999</v>
      </c>
      <c r="I331" s="247" t="s">
        <v>344</v>
      </c>
      <c r="J331" s="244">
        <v>1.25</v>
      </c>
      <c r="K331" s="245" t="s">
        <v>344</v>
      </c>
      <c r="L331" s="170"/>
      <c r="M331" s="171"/>
      <c r="N331" s="170"/>
      <c r="O331" s="170"/>
      <c r="P331" s="170"/>
    </row>
    <row r="332" spans="1:16" s="16" customFormat="1" ht="18" customHeight="1">
      <c r="A332" s="1"/>
      <c r="B332" s="156" t="s">
        <v>350</v>
      </c>
      <c r="C332" s="167" cm="1">
        <f t="array" ref="C332">SUMPRODUCT(D26:D30*G26:G30)/1000</f>
        <v>0</v>
      </c>
      <c r="D332" s="239">
        <v>1</v>
      </c>
      <c r="E332" s="148"/>
      <c r="F332" s="148"/>
      <c r="G332" s="236">
        <v>0.41</v>
      </c>
      <c r="H332" s="154">
        <f>C332*D332*G332</f>
        <v>0</v>
      </c>
      <c r="I332" s="247" t="s">
        <v>348</v>
      </c>
      <c r="J332" s="244">
        <v>0.41</v>
      </c>
      <c r="K332" s="245" t="s">
        <v>348</v>
      </c>
      <c r="L332" s="170"/>
      <c r="M332" s="171"/>
      <c r="N332" s="170"/>
      <c r="O332" s="170"/>
      <c r="P332" s="170"/>
    </row>
    <row r="333" spans="1:16" s="16" customFormat="1" ht="18" customHeight="1">
      <c r="A333" s="1"/>
      <c r="B333" s="156" t="s">
        <v>349</v>
      </c>
      <c r="C333" s="167">
        <f>C88+C97+C104+C153+C163+C146</f>
        <v>20.112000000000002</v>
      </c>
      <c r="D333" s="239">
        <v>1</v>
      </c>
      <c r="E333" s="148"/>
      <c r="F333" s="148"/>
      <c r="G333" s="236">
        <v>0.49</v>
      </c>
      <c r="H333" s="154">
        <f>C333*D333*G333</f>
        <v>9.8548800000000014</v>
      </c>
      <c r="I333" s="247" t="s">
        <v>351</v>
      </c>
      <c r="J333" s="244">
        <v>0.49</v>
      </c>
      <c r="K333" s="245" t="s">
        <v>351</v>
      </c>
      <c r="L333" s="170"/>
      <c r="M333" s="171"/>
      <c r="N333" s="170"/>
      <c r="O333" s="170"/>
      <c r="P333" s="170"/>
    </row>
    <row r="334" spans="1:16" s="16" customFormat="1" ht="18" customHeight="1">
      <c r="A334" s="1"/>
      <c r="B334" s="156" t="s">
        <v>353</v>
      </c>
      <c r="C334" s="167">
        <f t="array" ref="C334">SUMPRODUCT(D157:D162*G157:G162)/1000+SUM(G157:G162)*0.3+SUMPRODUCT(D68:D87*G68:G87)/1000+SUM(G68:G87)*0.3</f>
        <v>3.7039999999999997</v>
      </c>
      <c r="D334" s="239">
        <v>1</v>
      </c>
      <c r="E334" s="148"/>
      <c r="F334" s="148"/>
      <c r="G334" s="237">
        <v>5.36</v>
      </c>
      <c r="H334" s="154">
        <f>C334*G334</f>
        <v>19.853439999999999</v>
      </c>
      <c r="I334" s="247" t="s">
        <v>352</v>
      </c>
      <c r="J334" s="244">
        <v>9.5500000000000007</v>
      </c>
      <c r="K334" s="245" t="s">
        <v>377</v>
      </c>
      <c r="L334" s="170"/>
      <c r="M334" s="171"/>
      <c r="N334" s="170"/>
      <c r="O334" s="170"/>
      <c r="P334" s="170"/>
    </row>
    <row r="335" spans="1:16" s="16" customFormat="1" ht="18" customHeight="1">
      <c r="A335" s="1"/>
      <c r="B335" s="156" t="s">
        <v>364</v>
      </c>
      <c r="C335" s="167">
        <f>C319</f>
        <v>20.11</v>
      </c>
      <c r="D335" s="239">
        <v>1</v>
      </c>
      <c r="E335" s="148"/>
      <c r="F335" s="148"/>
      <c r="G335" s="237">
        <v>1.25</v>
      </c>
      <c r="H335" s="154"/>
      <c r="I335" s="149" t="s">
        <v>363</v>
      </c>
      <c r="J335" s="244">
        <v>1.25</v>
      </c>
      <c r="K335" s="245" t="s">
        <v>363</v>
      </c>
      <c r="L335" s="170"/>
      <c r="M335" s="171"/>
      <c r="N335" s="170"/>
      <c r="O335" s="170"/>
      <c r="P335" s="170"/>
    </row>
    <row r="336" spans="1:16" s="16" customFormat="1" ht="18" customHeight="1">
      <c r="A336" s="1"/>
      <c r="B336" s="156" t="s">
        <v>365</v>
      </c>
      <c r="C336" s="167">
        <f>C320</f>
        <v>20.11</v>
      </c>
      <c r="D336" s="239">
        <v>1</v>
      </c>
      <c r="E336" s="148"/>
      <c r="F336" s="148"/>
      <c r="G336" s="237">
        <v>1.63</v>
      </c>
      <c r="H336" s="154"/>
      <c r="I336" s="149" t="s">
        <v>363</v>
      </c>
      <c r="J336" s="244">
        <v>1.63</v>
      </c>
      <c r="K336" s="245" t="s">
        <v>363</v>
      </c>
      <c r="L336" s="170"/>
      <c r="M336" s="171"/>
      <c r="N336" s="170"/>
      <c r="O336" s="170"/>
      <c r="P336" s="170"/>
    </row>
    <row r="337" spans="1:16" s="16" customFormat="1" ht="18" customHeight="1">
      <c r="A337" s="1"/>
      <c r="B337" s="150" t="s">
        <v>231</v>
      </c>
      <c r="C337" s="165"/>
      <c r="D337" s="50"/>
      <c r="E337" s="50"/>
      <c r="F337" s="50"/>
      <c r="G337" s="166"/>
      <c r="H337" s="155">
        <f>SUM(H323:H336)*1.05</f>
        <v>102.33911100000002</v>
      </c>
      <c r="I337" s="152"/>
      <c r="J337" s="172"/>
      <c r="K337" s="170"/>
      <c r="L337" s="170"/>
      <c r="M337" s="170"/>
      <c r="N337" s="170"/>
      <c r="O337" s="170"/>
      <c r="P337" s="170"/>
    </row>
    <row r="338" spans="1:16" s="16" customFormat="1" ht="18" customHeight="1">
      <c r="A338" s="1"/>
      <c r="B338" s="173" t="s">
        <v>366</v>
      </c>
      <c r="C338" s="174">
        <f>F250+F258+F265+F280+F285+F290</f>
        <v>3</v>
      </c>
      <c r="D338" s="175">
        <v>2</v>
      </c>
      <c r="E338" s="176"/>
      <c r="F338" s="176"/>
      <c r="G338" s="240">
        <v>0.5</v>
      </c>
      <c r="H338" s="177">
        <f t="shared" ref="H338:H343" si="56">D338*G338*C338</f>
        <v>3</v>
      </c>
      <c r="I338" s="178" t="s">
        <v>233</v>
      </c>
      <c r="J338" s="172"/>
      <c r="K338" s="170"/>
      <c r="L338" s="170"/>
      <c r="M338" s="170"/>
      <c r="N338" s="170"/>
      <c r="O338" s="170"/>
      <c r="P338" s="170"/>
    </row>
    <row r="339" spans="1:16" s="16" customFormat="1" ht="18" customHeight="1">
      <c r="A339" s="1"/>
      <c r="B339" s="173" t="s">
        <v>367</v>
      </c>
      <c r="C339" s="174">
        <f>F233+F242+F269+F273</f>
        <v>3</v>
      </c>
      <c r="D339" s="175">
        <v>4</v>
      </c>
      <c r="E339" s="176"/>
      <c r="F339" s="176"/>
      <c r="G339" s="240">
        <v>0.63</v>
      </c>
      <c r="H339" s="177">
        <f t="shared" si="56"/>
        <v>7.5600000000000005</v>
      </c>
      <c r="I339" s="178" t="s">
        <v>234</v>
      </c>
      <c r="J339" s="172"/>
      <c r="K339" s="170"/>
      <c r="L339" s="170"/>
      <c r="M339" s="170"/>
      <c r="N339" s="170"/>
      <c r="O339" s="170"/>
      <c r="P339" s="170"/>
    </row>
    <row r="340" spans="1:16" s="16" customFormat="1" ht="18" customHeight="1">
      <c r="A340" s="1"/>
      <c r="B340" s="173" t="s">
        <v>366</v>
      </c>
      <c r="C340" s="174">
        <f>SUM(G157:G162)</f>
        <v>0</v>
      </c>
      <c r="D340" s="175">
        <f>IF(E113&gt;2200,2,0)</f>
        <v>0</v>
      </c>
      <c r="E340" s="176"/>
      <c r="F340" s="176"/>
      <c r="G340" s="240">
        <v>0.5</v>
      </c>
      <c r="H340" s="177">
        <f t="shared" si="56"/>
        <v>0</v>
      </c>
      <c r="I340" s="178" t="s">
        <v>235</v>
      </c>
      <c r="J340" s="172"/>
      <c r="K340" s="170"/>
      <c r="L340" s="170"/>
      <c r="M340" s="170"/>
      <c r="N340" s="170"/>
      <c r="O340" s="170"/>
      <c r="P340" s="170"/>
    </row>
    <row r="341" spans="1:16" s="16" customFormat="1" ht="18" customHeight="1">
      <c r="A341" s="1"/>
      <c r="B341" s="173" t="s">
        <v>367</v>
      </c>
      <c r="C341" s="174">
        <f>SUM(G116:G118)</f>
        <v>1</v>
      </c>
      <c r="D341" s="175">
        <v>4</v>
      </c>
      <c r="E341" s="176"/>
      <c r="F341" s="176"/>
      <c r="G341" s="240">
        <v>0.63</v>
      </c>
      <c r="H341" s="177">
        <f t="shared" si="56"/>
        <v>2.52</v>
      </c>
      <c r="I341" s="178" t="s">
        <v>236</v>
      </c>
      <c r="J341" s="172"/>
      <c r="K341" s="170"/>
      <c r="L341" s="170"/>
      <c r="M341" s="170"/>
      <c r="N341" s="170"/>
      <c r="O341" s="170"/>
      <c r="P341" s="170"/>
    </row>
    <row r="342" spans="1:16" ht="18" customHeight="1">
      <c r="B342" s="173" t="s">
        <v>237</v>
      </c>
      <c r="C342" s="174">
        <v>1</v>
      </c>
      <c r="D342" s="175">
        <f>(F291+F292)*10</f>
        <v>60</v>
      </c>
      <c r="E342" s="176"/>
      <c r="F342" s="176"/>
      <c r="G342" s="240">
        <v>0.37</v>
      </c>
      <c r="H342" s="177">
        <f t="shared" si="56"/>
        <v>22.2</v>
      </c>
      <c r="I342" s="178"/>
      <c r="J342" s="172"/>
      <c r="K342" s="172"/>
      <c r="L342" s="172"/>
      <c r="N342" s="43"/>
    </row>
    <row r="343" spans="1:16" ht="18" customHeight="1">
      <c r="B343" s="173" t="s">
        <v>232</v>
      </c>
      <c r="C343" s="174">
        <f>C338</f>
        <v>3</v>
      </c>
      <c r="D343" s="175">
        <v>0</v>
      </c>
      <c r="E343" s="176"/>
      <c r="F343" s="176"/>
      <c r="G343" s="240">
        <v>0.49</v>
      </c>
      <c r="H343" s="177">
        <f t="shared" si="56"/>
        <v>0</v>
      </c>
      <c r="I343" s="178" t="s">
        <v>238</v>
      </c>
      <c r="J343" s="172"/>
      <c r="K343" s="172"/>
      <c r="L343" s="172"/>
      <c r="N343" s="43"/>
    </row>
    <row r="344" spans="1:16" ht="18" customHeight="1">
      <c r="B344" s="156" t="s">
        <v>239</v>
      </c>
      <c r="C344" s="157"/>
      <c r="D344" s="250">
        <f>E203+E205*2+E207*2+I203+I205*2+I207*2</f>
        <v>40</v>
      </c>
      <c r="E344" s="148"/>
      <c r="F344" s="148"/>
      <c r="G344" s="148">
        <v>0.2</v>
      </c>
      <c r="H344" s="179">
        <f>D344*G344</f>
        <v>8</v>
      </c>
      <c r="I344" s="247" t="s">
        <v>368</v>
      </c>
      <c r="J344" s="172"/>
      <c r="K344" s="172"/>
      <c r="L344" s="172"/>
    </row>
    <row r="345" spans="1:16" ht="18" customHeight="1">
      <c r="B345" s="156" t="s">
        <v>240</v>
      </c>
      <c r="C345" s="157"/>
      <c r="D345" s="250">
        <f>4*(E52+E53+E54+E55+G52+G53+G54+G55+G60+G61+G62+G63+E130+E131+E132+G130+G131+G132+G137+G138)</f>
        <v>8</v>
      </c>
      <c r="E345" s="148"/>
      <c r="F345" s="148"/>
      <c r="G345" s="148">
        <v>0.22</v>
      </c>
      <c r="H345" s="179">
        <f>D345*G345</f>
        <v>1.76</v>
      </c>
      <c r="I345" s="247" t="s">
        <v>241</v>
      </c>
      <c r="J345" s="172"/>
      <c r="K345" s="172"/>
      <c r="L345" s="172"/>
    </row>
    <row r="346" spans="1:16" ht="18" customHeight="1">
      <c r="B346" s="156" t="s">
        <v>242</v>
      </c>
      <c r="C346" s="157"/>
      <c r="D346" s="250">
        <f>D345/2</f>
        <v>4</v>
      </c>
      <c r="E346" s="148"/>
      <c r="F346" s="148"/>
      <c r="G346" s="148">
        <v>0.22</v>
      </c>
      <c r="H346" s="179">
        <f>ROUND(D346*G346,2)</f>
        <v>0.88</v>
      </c>
      <c r="I346" s="247" t="s">
        <v>243</v>
      </c>
      <c r="J346" s="172"/>
      <c r="K346" s="172"/>
      <c r="L346" s="172"/>
    </row>
    <row r="347" spans="1:16" ht="18" customHeight="1">
      <c r="B347" s="156" t="s">
        <v>369</v>
      </c>
      <c r="C347" s="157"/>
      <c r="D347" s="250">
        <f>D346</f>
        <v>4</v>
      </c>
      <c r="E347" s="148"/>
      <c r="F347" s="148"/>
      <c r="G347" s="148">
        <v>1.37</v>
      </c>
      <c r="H347" s="179">
        <f>ROUND(D347*G347,2)</f>
        <v>5.48</v>
      </c>
      <c r="I347" s="247" t="s">
        <v>370</v>
      </c>
      <c r="J347" s="172"/>
      <c r="K347" s="172"/>
      <c r="L347" s="172"/>
    </row>
    <row r="348" spans="1:16" ht="18" customHeight="1">
      <c r="B348" s="156" t="s">
        <v>244</v>
      </c>
      <c r="C348" s="157"/>
      <c r="D348" s="250">
        <f>(F291+F292)*2</f>
        <v>12</v>
      </c>
      <c r="E348" s="148"/>
      <c r="F348" s="148"/>
      <c r="G348" s="148">
        <v>0.48</v>
      </c>
      <c r="H348" s="179">
        <f>ROUND(D348*G348,2)</f>
        <v>5.76</v>
      </c>
      <c r="I348" s="247" t="s">
        <v>245</v>
      </c>
      <c r="J348" s="255"/>
    </row>
    <row r="349" spans="1:16" ht="18" customHeight="1">
      <c r="B349" s="156" t="s">
        <v>246</v>
      </c>
      <c r="C349" s="157"/>
      <c r="D349" s="250">
        <f>ROUND((D4+E4-240)*2/200+E217*F217/200,0)</f>
        <v>57</v>
      </c>
      <c r="E349" s="148"/>
      <c r="F349" s="148"/>
      <c r="G349" s="148">
        <v>0.05</v>
      </c>
      <c r="H349" s="179">
        <f>ROUND(D349*G349,2)</f>
        <v>2.85</v>
      </c>
      <c r="I349" s="247" t="s">
        <v>247</v>
      </c>
      <c r="J349" s="255"/>
    </row>
    <row r="350" spans="1:16" ht="18" customHeight="1">
      <c r="B350" s="150" t="s">
        <v>248</v>
      </c>
      <c r="C350" s="165"/>
      <c r="D350" s="50"/>
      <c r="E350" s="50"/>
      <c r="F350" s="50"/>
      <c r="G350" s="166"/>
      <c r="H350" s="155">
        <f>SUM(H338:H349)</f>
        <v>60.010000000000005</v>
      </c>
      <c r="I350" s="152"/>
    </row>
    <row r="351" spans="1:16" ht="18" customHeight="1">
      <c r="B351" s="156" t="s">
        <v>359</v>
      </c>
      <c r="C351" s="157"/>
      <c r="D351" s="250">
        <f>SUMPRODUCT(G26:G30)*8+SUMPRODUCT(G35:G37)*8+SUMPRODUCT(G116:G118)*8+SUMPRODUCT(G123:G125)*8</f>
        <v>24</v>
      </c>
      <c r="E351" s="148"/>
      <c r="F351" s="148"/>
      <c r="G351" s="148">
        <v>1.26</v>
      </c>
      <c r="H351" s="154">
        <f>ROUND(D351*G351,2)</f>
        <v>30.24</v>
      </c>
      <c r="I351" s="247" t="s">
        <v>386</v>
      </c>
    </row>
    <row r="352" spans="1:16" ht="18" customHeight="1">
      <c r="B352" s="156" t="s">
        <v>360</v>
      </c>
      <c r="C352" s="157"/>
      <c r="D352" s="250">
        <f>G26*4+G27*4+G28*4+G29*4+G30*4</f>
        <v>0</v>
      </c>
      <c r="E352" s="148"/>
      <c r="F352" s="148"/>
      <c r="G352" s="148">
        <v>2</v>
      </c>
      <c r="H352" s="154">
        <f>ROUND(D352*G352,2)</f>
        <v>0</v>
      </c>
      <c r="I352" s="247" t="s">
        <v>361</v>
      </c>
    </row>
    <row r="353" spans="1:22" ht="18" customHeight="1">
      <c r="B353" s="156" t="s">
        <v>249</v>
      </c>
      <c r="C353" s="157"/>
      <c r="D353" s="250"/>
      <c r="E353" s="148"/>
      <c r="F353" s="148"/>
      <c r="G353" s="148">
        <v>1.6</v>
      </c>
      <c r="H353" s="154"/>
      <c r="I353" s="247"/>
    </row>
    <row r="354" spans="1:22" ht="18" customHeight="1">
      <c r="B354" s="156" t="s">
        <v>250</v>
      </c>
      <c r="C354" s="157"/>
      <c r="D354" s="44">
        <f>C22+C31+C38+C48+C56+C64+C112+C119+C126+C133+C139+C199</f>
        <v>38.582000000000001</v>
      </c>
      <c r="E354" s="148"/>
      <c r="F354" s="148"/>
      <c r="G354" s="179">
        <v>4</v>
      </c>
      <c r="H354" s="154">
        <f t="shared" ref="H354:H356" si="57">ROUND(D354*G354,2)</f>
        <v>154.33000000000001</v>
      </c>
      <c r="I354" s="247"/>
    </row>
    <row r="355" spans="1:22" ht="18" customHeight="1">
      <c r="B355" s="156" t="s">
        <v>251</v>
      </c>
      <c r="C355" s="157" t="s">
        <v>252</v>
      </c>
      <c r="D355" s="44">
        <f>C88+C163</f>
        <v>11.048</v>
      </c>
      <c r="E355" s="148"/>
      <c r="F355" s="148"/>
      <c r="G355" s="179">
        <v>3.15</v>
      </c>
      <c r="H355" s="154">
        <f t="shared" si="57"/>
        <v>34.799999999999997</v>
      </c>
      <c r="I355" s="247"/>
    </row>
    <row r="356" spans="1:22" ht="18" customHeight="1">
      <c r="B356" s="156" t="s">
        <v>253</v>
      </c>
      <c r="C356" s="157" t="s">
        <v>254</v>
      </c>
      <c r="D356" s="44">
        <f>C97+C104+C146+C153</f>
        <v>9.0640000000000001</v>
      </c>
      <c r="E356" s="148"/>
      <c r="F356" s="148"/>
      <c r="G356" s="179">
        <v>3.65</v>
      </c>
      <c r="H356" s="154">
        <f t="shared" si="57"/>
        <v>33.08</v>
      </c>
      <c r="I356" s="247"/>
    </row>
    <row r="357" spans="1:22" ht="18" customHeight="1">
      <c r="B357" s="156" t="s">
        <v>387</v>
      </c>
      <c r="C357" s="157"/>
      <c r="D357" s="44">
        <f>F291+F292</f>
        <v>6</v>
      </c>
      <c r="E357" s="148"/>
      <c r="F357" s="148"/>
      <c r="G357" s="179">
        <v>6</v>
      </c>
      <c r="H357" s="154"/>
      <c r="I357" s="247"/>
    </row>
    <row r="358" spans="1:22" ht="18" customHeight="1">
      <c r="B358" s="156" t="s">
        <v>255</v>
      </c>
      <c r="C358" s="157"/>
      <c r="D358" s="180">
        <f>D14*1.5/1000</f>
        <v>2.88</v>
      </c>
      <c r="E358" s="148"/>
      <c r="F358" s="148"/>
      <c r="G358" s="148">
        <v>70</v>
      </c>
      <c r="H358" s="154">
        <f>D358*G358</f>
        <v>201.6</v>
      </c>
      <c r="I358" s="247"/>
    </row>
    <row r="359" spans="1:22" ht="18" customHeight="1">
      <c r="B359" s="156" t="s">
        <v>858</v>
      </c>
      <c r="C359" s="157"/>
      <c r="D359" s="180">
        <f>D4/1000*3.5</f>
        <v>7</v>
      </c>
      <c r="E359" s="148"/>
      <c r="F359" s="148"/>
      <c r="G359" s="148">
        <v>180</v>
      </c>
      <c r="H359" s="154">
        <f>D359*G359</f>
        <v>1260</v>
      </c>
      <c r="I359" s="247"/>
    </row>
    <row r="360" spans="1:22" ht="18" customHeight="1">
      <c r="B360" s="156" t="s">
        <v>388</v>
      </c>
      <c r="C360" s="157"/>
      <c r="D360" s="250">
        <v>1</v>
      </c>
      <c r="E360" s="148"/>
      <c r="F360" s="148"/>
      <c r="G360" s="148">
        <v>9.6</v>
      </c>
      <c r="H360" s="154">
        <f>ROUND(D360*G360,2)</f>
        <v>9.6</v>
      </c>
      <c r="I360" s="247"/>
    </row>
    <row r="361" spans="1:22" ht="18" customHeight="1">
      <c r="B361" s="156" t="s">
        <v>901</v>
      </c>
      <c r="C361" s="157"/>
      <c r="D361" s="463">
        <f>(D4+E4)*2/1000</f>
        <v>10</v>
      </c>
      <c r="E361" s="148"/>
      <c r="F361" s="148"/>
      <c r="G361" s="148">
        <v>45</v>
      </c>
      <c r="H361" s="154">
        <f>ROUND(D361*G361,2)</f>
        <v>450</v>
      </c>
      <c r="I361" s="468"/>
    </row>
    <row r="362" spans="1:22" ht="18" customHeight="1">
      <c r="B362" s="181" t="s">
        <v>398</v>
      </c>
      <c r="C362" s="157"/>
      <c r="D362" s="182">
        <f>F366</f>
        <v>5.6548999999999996</v>
      </c>
      <c r="E362" s="148"/>
      <c r="F362" s="148"/>
      <c r="G362" s="148">
        <v>3</v>
      </c>
      <c r="H362" s="154">
        <f>D362*G362</f>
        <v>16.964700000000001</v>
      </c>
      <c r="I362" s="247"/>
    </row>
    <row r="363" spans="1:22" ht="18" customHeight="1">
      <c r="B363" s="150" t="s">
        <v>256</v>
      </c>
      <c r="C363" s="50"/>
      <c r="D363" s="50"/>
      <c r="E363" s="50"/>
      <c r="F363" s="50"/>
      <c r="G363" s="166"/>
      <c r="H363" s="155">
        <f>SUM(H351:H362)</f>
        <v>2190.6146999999996</v>
      </c>
      <c r="I363" s="183"/>
    </row>
    <row r="364" spans="1:22" ht="18" customHeight="1">
      <c r="B364" s="248" t="s">
        <v>257</v>
      </c>
      <c r="C364" s="185"/>
      <c r="D364" s="186"/>
      <c r="E364" s="185"/>
      <c r="F364" s="186"/>
      <c r="G364" s="186"/>
      <c r="H364" s="187">
        <f>SUM(H363,H350,H337,H322,H314,H308,H304)</f>
        <v>3316.753811</v>
      </c>
      <c r="I364" s="188"/>
    </row>
    <row r="365" spans="1:22" ht="18" customHeight="1">
      <c r="A365" s="189"/>
      <c r="B365" s="190" t="s">
        <v>258</v>
      </c>
      <c r="C365" s="10" t="s">
        <v>14</v>
      </c>
      <c r="D365" s="10" t="s">
        <v>16</v>
      </c>
      <c r="E365" s="10" t="s">
        <v>17</v>
      </c>
      <c r="F365" s="10" t="s">
        <v>7</v>
      </c>
      <c r="G365" s="10" t="s">
        <v>5</v>
      </c>
      <c r="H365" s="10" t="s">
        <v>18</v>
      </c>
      <c r="I365" s="191" t="s">
        <v>259</v>
      </c>
      <c r="L365" s="192"/>
      <c r="M365" s="192"/>
    </row>
    <row r="366" spans="1:22" ht="18" customHeight="1">
      <c r="B366" s="48">
        <f>ROUND(I366/F366,2)</f>
        <v>1501.76</v>
      </c>
      <c r="C366" s="50" t="s">
        <v>299</v>
      </c>
      <c r="D366" s="50">
        <f>D5</f>
        <v>1930</v>
      </c>
      <c r="E366" s="50">
        <f>E5</f>
        <v>2930</v>
      </c>
      <c r="F366" s="49">
        <f>E366*D366/1000000</f>
        <v>5.6548999999999996</v>
      </c>
      <c r="G366" s="50">
        <f>G4</f>
        <v>1</v>
      </c>
      <c r="H366" s="49">
        <f>F366</f>
        <v>5.6548999999999996</v>
      </c>
      <c r="I366" s="193">
        <f>H364+H291+H292+I223+I12</f>
        <v>8492.2744419760002</v>
      </c>
      <c r="K366" s="192"/>
    </row>
    <row r="367" spans="1:22" ht="18" customHeight="1">
      <c r="B367" s="194" t="s">
        <v>258</v>
      </c>
      <c r="C367" s="195" t="s">
        <v>260</v>
      </c>
      <c r="D367" s="195" t="s">
        <v>261</v>
      </c>
      <c r="E367" s="195" t="s">
        <v>262</v>
      </c>
      <c r="F367" s="195" t="s">
        <v>263</v>
      </c>
      <c r="G367" s="195" t="s">
        <v>264</v>
      </c>
      <c r="H367" s="195" t="s">
        <v>265</v>
      </c>
      <c r="I367" s="196" t="s">
        <v>266</v>
      </c>
    </row>
    <row r="368" spans="1:22" ht="30" customHeight="1" thickBot="1">
      <c r="B368" s="197">
        <f>ROUND(I366/H366,2)</f>
        <v>1501.76</v>
      </c>
      <c r="C368" s="198">
        <f>E294+E296+E298+E300+E302+E303+E297+E299</f>
        <v>3</v>
      </c>
      <c r="D368" s="199"/>
      <c r="E368" s="199"/>
      <c r="F368" s="200"/>
      <c r="G368" s="200"/>
      <c r="H368" s="200"/>
      <c r="I368" s="201"/>
      <c r="O368" s="631" t="s">
        <v>603</v>
      </c>
      <c r="P368" s="631"/>
      <c r="Q368" s="631"/>
      <c r="R368" s="631"/>
      <c r="S368" s="631"/>
      <c r="T368" s="631"/>
      <c r="U368" s="631"/>
      <c r="V368" s="631"/>
    </row>
    <row r="369" spans="2:22" ht="20.100000000000001" customHeight="1">
      <c r="B369" s="42"/>
      <c r="L369" s="202"/>
      <c r="M369" s="202"/>
      <c r="N369" s="202"/>
      <c r="O369" s="634" t="s">
        <v>604</v>
      </c>
      <c r="P369" s="634"/>
      <c r="Q369" s="634"/>
      <c r="R369" s="634"/>
      <c r="S369" s="634"/>
      <c r="T369" s="634"/>
      <c r="U369" s="634"/>
      <c r="V369" s="634"/>
    </row>
    <row r="370" spans="2:22" ht="20.100000000000001" customHeight="1">
      <c r="B370" s="102" t="s">
        <v>862</v>
      </c>
      <c r="C370" s="203"/>
      <c r="D370" s="203" t="s">
        <v>267</v>
      </c>
      <c r="E370" s="203"/>
      <c r="J370" s="102"/>
      <c r="O370" s="285" t="s">
        <v>279</v>
      </c>
      <c r="P370" s="624" t="s">
        <v>629</v>
      </c>
      <c r="Q370" s="625"/>
      <c r="R370" s="312" t="str">
        <f ca="1">B4</f>
        <v>MLC2030</v>
      </c>
      <c r="S370" s="312"/>
      <c r="T370" s="313"/>
      <c r="U370" s="287" t="s">
        <v>605</v>
      </c>
      <c r="V370" s="288"/>
    </row>
    <row r="371" spans="2:22" ht="24.95" customHeight="1">
      <c r="B371" s="102">
        <f>ROUND(I366/F6,2)</f>
        <v>1514.75</v>
      </c>
      <c r="C371" s="203">
        <f>U392</f>
        <v>1876.5833592766967</v>
      </c>
      <c r="D371" s="203">
        <f>E304</f>
        <v>3</v>
      </c>
      <c r="E371" s="203"/>
      <c r="J371" s="102"/>
      <c r="O371" s="635" t="s">
        <v>606</v>
      </c>
      <c r="P371" s="623" t="s">
        <v>626</v>
      </c>
      <c r="Q371" s="623"/>
      <c r="R371" s="623"/>
      <c r="S371" s="623"/>
      <c r="T371" s="637"/>
      <c r="U371" s="291" t="s">
        <v>607</v>
      </c>
      <c r="V371" s="292" t="s">
        <v>313</v>
      </c>
    </row>
    <row r="372" spans="2:22" ht="24.95" customHeight="1">
      <c r="L372" s="102"/>
      <c r="M372" s="102"/>
      <c r="N372" s="102"/>
      <c r="O372" s="636"/>
      <c r="P372" s="638"/>
      <c r="Q372" s="638"/>
      <c r="R372" s="638"/>
      <c r="S372" s="638"/>
      <c r="T372" s="638"/>
      <c r="U372" s="291" t="s">
        <v>268</v>
      </c>
      <c r="V372" s="293">
        <f>F4</f>
        <v>5.57</v>
      </c>
    </row>
    <row r="373" spans="2:22" ht="24.95" customHeight="1">
      <c r="J373" s="102"/>
      <c r="K373" s="102"/>
      <c r="L373" s="102"/>
      <c r="M373" s="102"/>
      <c r="N373" s="102"/>
      <c r="O373" s="311" t="s">
        <v>0</v>
      </c>
      <c r="P373" s="289" t="s">
        <v>608</v>
      </c>
      <c r="Q373" s="289" t="s">
        <v>627</v>
      </c>
      <c r="R373" s="289" t="s">
        <v>269</v>
      </c>
      <c r="S373" s="294" t="s">
        <v>8</v>
      </c>
      <c r="T373" s="295" t="s">
        <v>609</v>
      </c>
      <c r="U373" s="296" t="s">
        <v>270</v>
      </c>
      <c r="V373" s="295" t="s">
        <v>610</v>
      </c>
    </row>
    <row r="374" spans="2:22" ht="20.100000000000001" customHeight="1">
      <c r="J374" s="102"/>
      <c r="K374" s="102"/>
      <c r="L374" s="102"/>
      <c r="M374" s="102"/>
      <c r="N374" s="102"/>
      <c r="O374" s="297" t="s">
        <v>305</v>
      </c>
      <c r="P374" s="298" t="s">
        <v>611</v>
      </c>
      <c r="Q374" s="298"/>
      <c r="R374" s="286"/>
      <c r="S374" s="299"/>
      <c r="T374" s="300"/>
      <c r="U374" s="301">
        <f>SUM(U375:U383)</f>
        <v>7707.8744259760006</v>
      </c>
      <c r="V374" s="286"/>
    </row>
    <row r="375" spans="2:22" ht="20.100000000000001" customHeight="1">
      <c r="J375" s="102"/>
      <c r="K375" s="102"/>
      <c r="L375" s="102"/>
      <c r="M375" s="102"/>
      <c r="N375" s="102"/>
      <c r="O375" s="286">
        <v>1</v>
      </c>
      <c r="P375" s="302" t="s">
        <v>612</v>
      </c>
      <c r="Q375" s="307"/>
      <c r="R375" s="286" t="s">
        <v>271</v>
      </c>
      <c r="S375" s="303">
        <f>E223</f>
        <v>92.979293200000001</v>
      </c>
      <c r="T375" s="304">
        <f>I223/E223</f>
        <v>47.580600784519618</v>
      </c>
      <c r="U375" s="305">
        <f t="shared" ref="U375:U383" si="58">T375*S375</f>
        <v>4424.0106309759994</v>
      </c>
      <c r="V375" s="306"/>
    </row>
    <row r="376" spans="2:22" ht="20.100000000000001" customHeight="1">
      <c r="J376" s="102"/>
      <c r="K376" s="102"/>
      <c r="L376" s="102"/>
      <c r="M376" s="102"/>
      <c r="N376" s="102"/>
      <c r="O376" s="286">
        <v>2</v>
      </c>
      <c r="P376" s="290" t="s">
        <v>613</v>
      </c>
      <c r="Q376" s="307"/>
      <c r="R376" s="286" t="s">
        <v>276</v>
      </c>
      <c r="S376" s="303">
        <f>D358</f>
        <v>2.88</v>
      </c>
      <c r="T376" s="304">
        <f>G358</f>
        <v>70</v>
      </c>
      <c r="U376" s="305">
        <f t="shared" si="58"/>
        <v>201.6</v>
      </c>
      <c r="V376" s="306"/>
    </row>
    <row r="377" spans="2:22" ht="20.100000000000001" customHeight="1">
      <c r="J377" s="102"/>
      <c r="K377" s="102"/>
      <c r="L377" s="102"/>
      <c r="M377" s="102"/>
      <c r="N377" s="102"/>
      <c r="O377" s="286">
        <v>3</v>
      </c>
      <c r="P377" s="302" t="s">
        <v>614</v>
      </c>
      <c r="Q377" s="302"/>
      <c r="R377" s="286" t="s">
        <v>312</v>
      </c>
      <c r="S377" s="303">
        <f>D291+D292</f>
        <v>4.1156079999999999</v>
      </c>
      <c r="T377" s="304">
        <f>材料价格!B10</f>
        <v>148</v>
      </c>
      <c r="U377" s="305">
        <f t="shared" si="58"/>
        <v>609.10998399999994</v>
      </c>
      <c r="V377" s="306"/>
    </row>
    <row r="378" spans="2:22" ht="20.100000000000001" customHeight="1">
      <c r="B378" s="630" t="s">
        <v>277</v>
      </c>
      <c r="C378" s="630"/>
      <c r="D378" s="630"/>
      <c r="E378" s="630"/>
      <c r="F378" s="630"/>
      <c r="G378" s="630"/>
      <c r="H378" s="630"/>
      <c r="I378" s="630"/>
      <c r="J378" s="102"/>
      <c r="K378" s="102"/>
      <c r="L378" s="102"/>
      <c r="M378" s="102"/>
      <c r="N378" s="102"/>
      <c r="O378" s="286">
        <v>4</v>
      </c>
      <c r="P378" s="302" t="s">
        <v>615</v>
      </c>
      <c r="Q378" s="306"/>
      <c r="R378" s="286" t="s">
        <v>278</v>
      </c>
      <c r="S378" s="303">
        <f>(H316+H317+H319+H320+H321)/F316</f>
        <v>11.566901408450704</v>
      </c>
      <c r="T378" s="304">
        <f>材料价格!B25</f>
        <v>8.52</v>
      </c>
      <c r="U378" s="305">
        <f t="shared" si="58"/>
        <v>98.55</v>
      </c>
      <c r="V378" s="306"/>
    </row>
    <row r="379" spans="2:22" ht="20.100000000000001" customHeight="1">
      <c r="B379" s="204" t="s">
        <v>279</v>
      </c>
      <c r="C379" s="205" t="s">
        <v>280</v>
      </c>
      <c r="D379" s="205" t="s">
        <v>281</v>
      </c>
      <c r="E379" s="205" t="s">
        <v>282</v>
      </c>
      <c r="F379" s="205" t="s">
        <v>379</v>
      </c>
      <c r="G379" s="205"/>
      <c r="H379" s="205" t="s">
        <v>28</v>
      </c>
      <c r="I379" s="205" t="s">
        <v>259</v>
      </c>
      <c r="J379" s="102"/>
      <c r="K379" s="102"/>
      <c r="L379" s="102"/>
      <c r="M379" s="102"/>
      <c r="N379" s="102"/>
      <c r="O379" s="286">
        <v>5</v>
      </c>
      <c r="P379" s="306" t="s">
        <v>616</v>
      </c>
      <c r="Q379" s="302"/>
      <c r="R379" s="286" t="s">
        <v>628</v>
      </c>
      <c r="S379" s="303">
        <f>H337/21</f>
        <v>4.8732910000000009</v>
      </c>
      <c r="T379" s="304">
        <v>21</v>
      </c>
      <c r="U379" s="305">
        <f t="shared" si="58"/>
        <v>102.33911100000002</v>
      </c>
      <c r="V379" s="306"/>
    </row>
    <row r="380" spans="2:22" ht="20.100000000000001" customHeight="1">
      <c r="B380" s="206" t="s">
        <v>284</v>
      </c>
      <c r="C380" s="208" t="s">
        <v>384</v>
      </c>
      <c r="D380" s="207">
        <f>C22+C31+C38+C48+C56+C112+C119+C126+C133+C139+C177+C184+C191+C199</f>
        <v>44.341999999999999</v>
      </c>
      <c r="E380" s="207" t="s">
        <v>383</v>
      </c>
      <c r="F380" s="206"/>
      <c r="G380" s="206"/>
      <c r="H380" s="241">
        <v>2.4</v>
      </c>
      <c r="I380" s="207"/>
      <c r="J380" s="102"/>
      <c r="K380" s="102"/>
      <c r="L380" s="102"/>
      <c r="M380" s="102"/>
      <c r="N380" s="102"/>
      <c r="O380" s="286">
        <v>6</v>
      </c>
      <c r="P380" s="302" t="s">
        <v>319</v>
      </c>
      <c r="Q380" s="302"/>
      <c r="R380" s="286" t="s">
        <v>273</v>
      </c>
      <c r="S380" s="303"/>
      <c r="T380" s="304"/>
      <c r="U380" s="305">
        <f t="shared" si="58"/>
        <v>0</v>
      </c>
      <c r="V380" s="306"/>
    </row>
    <row r="381" spans="2:22" ht="20.100000000000001" customHeight="1">
      <c r="B381" s="206" t="s">
        <v>286</v>
      </c>
      <c r="C381" s="206" t="s">
        <v>287</v>
      </c>
      <c r="D381" s="209">
        <f>(J22+J31+J38+J48+J112+J119+J126)*4+(J56+J133)*2</f>
        <v>40</v>
      </c>
      <c r="E381" s="207" t="s">
        <v>285</v>
      </c>
      <c r="F381" s="206"/>
      <c r="G381" s="206"/>
      <c r="H381" s="241">
        <v>0.5</v>
      </c>
      <c r="I381" s="207">
        <f>H381*D381</f>
        <v>20</v>
      </c>
      <c r="J381" s="102"/>
      <c r="K381" s="102"/>
      <c r="L381" s="102"/>
      <c r="M381" s="102"/>
      <c r="N381" s="102"/>
      <c r="O381" s="286">
        <v>7</v>
      </c>
      <c r="P381" s="302" t="s">
        <v>295</v>
      </c>
      <c r="Q381" s="302"/>
      <c r="R381" s="286" t="s">
        <v>273</v>
      </c>
      <c r="S381" s="303"/>
      <c r="T381" s="304">
        <f>材料价格!B19</f>
        <v>230</v>
      </c>
      <c r="U381" s="305">
        <f t="shared" si="58"/>
        <v>0</v>
      </c>
      <c r="V381" s="306"/>
    </row>
    <row r="382" spans="2:22" ht="20.100000000000001" customHeight="1">
      <c r="B382" s="206" t="s">
        <v>289</v>
      </c>
      <c r="C382" s="206"/>
      <c r="D382" s="210">
        <f>ROUND((C22+C56*2+C64*2+C112+C133*2+C139*2)/0.3,0)+2</f>
        <v>80</v>
      </c>
      <c r="E382" s="207" t="s">
        <v>285</v>
      </c>
      <c r="F382" s="206"/>
      <c r="G382" s="206"/>
      <c r="H382" s="241">
        <v>0.3</v>
      </c>
      <c r="I382" s="207">
        <f t="shared" ref="I382:I387" si="59">H382*D382</f>
        <v>24</v>
      </c>
      <c r="J382" s="102"/>
      <c r="K382" s="102"/>
      <c r="L382" s="102"/>
      <c r="M382" s="102"/>
      <c r="N382" s="102"/>
      <c r="O382" s="286">
        <v>8</v>
      </c>
      <c r="P382" s="302" t="s">
        <v>296</v>
      </c>
      <c r="Q382" s="302"/>
      <c r="R382" s="286" t="s">
        <v>273</v>
      </c>
      <c r="S382" s="303">
        <f>E303</f>
        <v>0</v>
      </c>
      <c r="T382" s="304">
        <f>材料价格!B20</f>
        <v>335</v>
      </c>
      <c r="U382" s="305">
        <f t="shared" si="58"/>
        <v>0</v>
      </c>
      <c r="V382" s="306"/>
    </row>
    <row r="383" spans="2:22" ht="20.100000000000001" customHeight="1">
      <c r="B383" s="206" t="s">
        <v>381</v>
      </c>
      <c r="C383" s="206" t="s">
        <v>389</v>
      </c>
      <c r="D383" s="211">
        <f>C22+C31+C38+C56*2+C64*2+C112+C119+C126+C133*2</f>
        <v>34.032000000000004</v>
      </c>
      <c r="E383" s="207" t="s">
        <v>285</v>
      </c>
      <c r="F383" s="206" t="s">
        <v>380</v>
      </c>
      <c r="G383" s="206"/>
      <c r="H383" s="241">
        <v>2.81</v>
      </c>
      <c r="I383" s="207">
        <f>H383*D383</f>
        <v>95.629920000000013</v>
      </c>
      <c r="J383" s="102"/>
      <c r="K383" s="102"/>
      <c r="L383" s="102"/>
      <c r="M383" s="102"/>
      <c r="N383" s="102"/>
      <c r="O383" s="286">
        <v>9</v>
      </c>
      <c r="P383" s="302" t="s">
        <v>617</v>
      </c>
      <c r="Q383" s="302"/>
      <c r="R383" s="286" t="s">
        <v>618</v>
      </c>
      <c r="S383" s="296">
        <v>1</v>
      </c>
      <c r="T383" s="304">
        <f>H363-H358+H350+H318+H315+H314</f>
        <v>2272.2647000000002</v>
      </c>
      <c r="U383" s="305">
        <f t="shared" si="58"/>
        <v>2272.2647000000002</v>
      </c>
      <c r="V383" s="306"/>
    </row>
    <row r="384" spans="2:22" ht="20.100000000000001" customHeight="1">
      <c r="B384" s="206" t="s">
        <v>390</v>
      </c>
      <c r="C384" s="206" t="s">
        <v>392</v>
      </c>
      <c r="D384" s="211">
        <f>C22+C88+C112+C163</f>
        <v>32.408000000000001</v>
      </c>
      <c r="E384" s="207" t="s">
        <v>285</v>
      </c>
      <c r="F384" s="206" t="s">
        <v>394</v>
      </c>
      <c r="G384" s="206"/>
      <c r="H384" s="241">
        <v>3.27</v>
      </c>
      <c r="I384" s="207">
        <f t="shared" ref="I384" si="60">H384*D384</f>
        <v>105.97416</v>
      </c>
      <c r="J384" s="102"/>
      <c r="K384" s="102"/>
      <c r="L384" s="102"/>
      <c r="M384" s="102"/>
      <c r="N384" s="102"/>
      <c r="O384" s="297" t="s">
        <v>306</v>
      </c>
      <c r="P384" s="308" t="s">
        <v>314</v>
      </c>
      <c r="Q384" s="298"/>
      <c r="R384" s="286"/>
      <c r="S384" s="296"/>
      <c r="T384" s="309"/>
      <c r="U384" s="301">
        <f>SUM(U385:U386)</f>
        <v>891.2</v>
      </c>
      <c r="V384" s="286"/>
    </row>
    <row r="385" spans="2:22" ht="20.100000000000001" customHeight="1">
      <c r="B385" s="206" t="s">
        <v>391</v>
      </c>
      <c r="C385" s="206" t="s">
        <v>393</v>
      </c>
      <c r="D385" s="211">
        <f>(C97+C104+C119+C126)*2</f>
        <v>19.36</v>
      </c>
      <c r="E385" s="207" t="s">
        <v>285</v>
      </c>
      <c r="F385" s="206" t="s">
        <v>395</v>
      </c>
      <c r="G385" s="206"/>
      <c r="H385" s="241">
        <v>1.74</v>
      </c>
      <c r="I385" s="207">
        <f t="shared" si="59"/>
        <v>33.686399999999999</v>
      </c>
      <c r="J385" s="102"/>
      <c r="K385" s="102"/>
      <c r="L385" s="102"/>
      <c r="M385" s="102"/>
      <c r="N385" s="102"/>
      <c r="O385" s="286">
        <v>1</v>
      </c>
      <c r="P385" s="307" t="s">
        <v>619</v>
      </c>
      <c r="Q385" s="307"/>
      <c r="R385" s="300" t="s">
        <v>312</v>
      </c>
      <c r="S385" s="296">
        <f>V372</f>
        <v>5.57</v>
      </c>
      <c r="T385" s="310">
        <v>60</v>
      </c>
      <c r="U385" s="305">
        <f>T385*S385</f>
        <v>334.20000000000005</v>
      </c>
      <c r="V385" s="286"/>
    </row>
    <row r="386" spans="2:22" ht="20.100000000000001" customHeight="1">
      <c r="B386" s="208" t="s">
        <v>382</v>
      </c>
      <c r="C386" s="206" t="s">
        <v>291</v>
      </c>
      <c r="D386" s="211">
        <f>D338+D339+D341</f>
        <v>10</v>
      </c>
      <c r="E386" s="207" t="s">
        <v>285</v>
      </c>
      <c r="F386" s="206"/>
      <c r="G386" s="206"/>
      <c r="H386" s="241">
        <v>0.56999999999999995</v>
      </c>
      <c r="I386" s="207">
        <f>H386*D386</f>
        <v>5.6999999999999993</v>
      </c>
      <c r="J386" s="102"/>
      <c r="K386" s="102"/>
      <c r="L386" s="102"/>
      <c r="M386" s="102"/>
      <c r="N386" s="102"/>
      <c r="O386" s="286">
        <v>2</v>
      </c>
      <c r="P386" s="307" t="s">
        <v>288</v>
      </c>
      <c r="Q386" s="307"/>
      <c r="R386" s="300" t="s">
        <v>312</v>
      </c>
      <c r="S386" s="296">
        <f>V372</f>
        <v>5.57</v>
      </c>
      <c r="T386" s="310">
        <v>100</v>
      </c>
      <c r="U386" s="305">
        <f>T386*S386</f>
        <v>557</v>
      </c>
      <c r="V386" s="286"/>
    </row>
    <row r="387" spans="2:22" ht="20.100000000000001" customHeight="1">
      <c r="B387" s="206" t="s">
        <v>292</v>
      </c>
      <c r="C387" s="206"/>
      <c r="D387" s="211">
        <f>H366</f>
        <v>5.6548999999999996</v>
      </c>
      <c r="E387" s="207" t="s">
        <v>285</v>
      </c>
      <c r="F387" s="206"/>
      <c r="G387" s="206"/>
      <c r="H387" s="241">
        <v>20</v>
      </c>
      <c r="I387" s="207">
        <f t="shared" si="59"/>
        <v>113.09799999999998</v>
      </c>
      <c r="J387" s="102"/>
      <c r="K387" s="102"/>
      <c r="L387" s="102"/>
      <c r="M387" s="102"/>
      <c r="N387" s="102"/>
      <c r="O387" s="297" t="s">
        <v>307</v>
      </c>
      <c r="P387" s="308" t="s">
        <v>290</v>
      </c>
      <c r="Q387" s="298"/>
      <c r="R387" s="286"/>
      <c r="S387" s="296"/>
      <c r="T387" s="309"/>
      <c r="U387" s="301">
        <f>SUM(U388)</f>
        <v>111.4</v>
      </c>
      <c r="V387" s="286"/>
    </row>
    <row r="388" spans="2:22" ht="20.100000000000001" customHeight="1">
      <c r="B388" s="212" t="s">
        <v>4</v>
      </c>
      <c r="C388" s="213"/>
      <c r="D388" s="212"/>
      <c r="E388" s="212"/>
      <c r="F388" s="212"/>
      <c r="G388" s="212"/>
      <c r="H388" s="212"/>
      <c r="I388" s="213">
        <f>SUM(I380:I387)</f>
        <v>398.08848</v>
      </c>
      <c r="J388" s="242"/>
      <c r="K388" s="102"/>
      <c r="L388" s="102"/>
      <c r="M388" s="102"/>
      <c r="N388" s="102"/>
      <c r="O388" s="286">
        <v>1</v>
      </c>
      <c r="P388" s="307" t="s">
        <v>290</v>
      </c>
      <c r="Q388" s="307"/>
      <c r="R388" s="300" t="s">
        <v>312</v>
      </c>
      <c r="S388" s="296">
        <f>V372</f>
        <v>5.57</v>
      </c>
      <c r="T388" s="310">
        <v>20</v>
      </c>
      <c r="U388" s="305">
        <f>T388*S388</f>
        <v>111.4</v>
      </c>
      <c r="V388" s="286"/>
    </row>
    <row r="389" spans="2:22" ht="20.100000000000001" customHeight="1">
      <c r="J389" s="102"/>
      <c r="K389" s="102"/>
      <c r="L389" s="102"/>
      <c r="M389" s="102"/>
      <c r="N389" s="102"/>
      <c r="O389" s="286" t="s">
        <v>308</v>
      </c>
      <c r="P389" s="618" t="s">
        <v>620</v>
      </c>
      <c r="Q389" s="619"/>
      <c r="R389" s="620"/>
      <c r="S389" s="621"/>
      <c r="T389" s="622"/>
      <c r="U389" s="301">
        <f>U374+U384+U387</f>
        <v>8710.4744259760009</v>
      </c>
      <c r="V389" s="286"/>
    </row>
    <row r="390" spans="2:22" ht="20.100000000000001" customHeight="1">
      <c r="J390" s="102"/>
      <c r="K390" s="102"/>
      <c r="L390" s="102"/>
      <c r="M390" s="102"/>
      <c r="N390" s="102"/>
      <c r="O390" s="286" t="s">
        <v>309</v>
      </c>
      <c r="P390" s="618" t="s">
        <v>621</v>
      </c>
      <c r="Q390" s="619"/>
      <c r="R390" s="626">
        <v>0.2</v>
      </c>
      <c r="S390" s="627"/>
      <c r="T390" s="628"/>
      <c r="U390" s="301">
        <f>U389*R390</f>
        <v>1742.0948851952003</v>
      </c>
      <c r="V390" s="286"/>
    </row>
    <row r="391" spans="2:22" ht="20.100000000000001" customHeight="1">
      <c r="J391" s="102"/>
      <c r="K391" s="102"/>
      <c r="L391" s="102"/>
      <c r="M391" s="102"/>
      <c r="N391" s="102"/>
      <c r="O391" s="286" t="s">
        <v>310</v>
      </c>
      <c r="P391" s="618" t="s">
        <v>622</v>
      </c>
      <c r="Q391" s="619"/>
      <c r="R391" s="620"/>
      <c r="S391" s="621"/>
      <c r="T391" s="622"/>
      <c r="U391" s="301">
        <f>U389+U390</f>
        <v>10452.569311171201</v>
      </c>
      <c r="V391" s="286"/>
    </row>
    <row r="392" spans="2:22" ht="30" customHeight="1">
      <c r="L392" s="102"/>
      <c r="M392" s="102"/>
      <c r="N392" s="102"/>
      <c r="O392" s="297" t="s">
        <v>311</v>
      </c>
      <c r="P392" s="618" t="s">
        <v>623</v>
      </c>
      <c r="Q392" s="619"/>
      <c r="R392" s="620"/>
      <c r="S392" s="621"/>
      <c r="T392" s="622"/>
      <c r="U392" s="301">
        <f>U391/V372</f>
        <v>1876.5833592766967</v>
      </c>
      <c r="V392" s="286" t="s">
        <v>624</v>
      </c>
    </row>
    <row r="393" spans="2:22" ht="45" customHeight="1">
      <c r="L393" s="102"/>
      <c r="M393" s="102"/>
      <c r="N393" s="102"/>
      <c r="O393" s="623" t="s">
        <v>625</v>
      </c>
      <c r="P393" s="623"/>
      <c r="Q393" s="623"/>
      <c r="R393" s="623"/>
      <c r="S393" s="623"/>
      <c r="T393" s="623"/>
      <c r="U393" s="623"/>
      <c r="V393" s="623"/>
    </row>
    <row r="394" spans="2:22" ht="18" customHeight="1">
      <c r="L394" s="102"/>
      <c r="M394" s="102"/>
      <c r="N394" s="102"/>
      <c r="O394" s="102"/>
      <c r="P394" s="102"/>
    </row>
    <row r="395" spans="2:22">
      <c r="L395" s="102"/>
      <c r="M395" s="102"/>
      <c r="N395" s="102"/>
      <c r="O395" s="102"/>
      <c r="P395" s="102"/>
    </row>
    <row r="396" spans="2:22">
      <c r="L396" s="102"/>
      <c r="M396" s="102"/>
      <c r="N396" s="102"/>
      <c r="O396" s="102"/>
      <c r="P396" s="102"/>
    </row>
    <row r="397" spans="2:22">
      <c r="L397" s="102"/>
      <c r="M397" s="102"/>
      <c r="N397" s="102"/>
      <c r="O397" s="102"/>
      <c r="P397" s="102"/>
    </row>
    <row r="398" spans="2:22">
      <c r="L398" s="102"/>
      <c r="M398" s="102"/>
      <c r="N398" s="102"/>
      <c r="O398" s="102"/>
      <c r="P398" s="102"/>
    </row>
    <row r="399" spans="2:22">
      <c r="L399" s="102"/>
      <c r="M399" s="102"/>
      <c r="N399" s="102"/>
      <c r="O399" s="102"/>
      <c r="P399" s="102"/>
    </row>
    <row r="400" spans="2:22">
      <c r="L400" s="102"/>
      <c r="M400" s="102"/>
      <c r="N400" s="102"/>
      <c r="O400" s="102"/>
      <c r="P400" s="102"/>
    </row>
    <row r="401" spans="12:16">
      <c r="L401" s="102"/>
      <c r="M401" s="102"/>
      <c r="N401" s="102"/>
      <c r="O401" s="102"/>
      <c r="P401" s="102"/>
    </row>
    <row r="402" spans="12:16">
      <c r="L402" s="102"/>
      <c r="M402" s="102"/>
      <c r="N402" s="102"/>
      <c r="O402" s="102"/>
      <c r="P402" s="102"/>
    </row>
    <row r="403" spans="12:16">
      <c r="L403" s="102"/>
      <c r="M403" s="102"/>
      <c r="N403" s="102"/>
      <c r="O403" s="102"/>
      <c r="P403" s="102"/>
    </row>
    <row r="404" spans="12:16">
      <c r="L404" s="102"/>
      <c r="M404" s="102"/>
      <c r="N404" s="102"/>
      <c r="O404" s="102"/>
      <c r="P404" s="102"/>
    </row>
    <row r="405" spans="12:16">
      <c r="L405" s="102"/>
      <c r="M405" s="102"/>
      <c r="N405" s="102"/>
      <c r="O405" s="102"/>
      <c r="P405" s="102"/>
    </row>
    <row r="406" spans="12:16">
      <c r="L406" s="102"/>
      <c r="M406" s="102"/>
      <c r="N406" s="102"/>
      <c r="O406" s="102"/>
      <c r="P406" s="102"/>
    </row>
    <row r="407" spans="12:16">
      <c r="L407" s="102"/>
      <c r="M407" s="102"/>
      <c r="N407" s="102"/>
      <c r="O407" s="102"/>
      <c r="P407" s="102"/>
    </row>
    <row r="408" spans="12:16">
      <c r="L408" s="102"/>
      <c r="M408" s="102"/>
      <c r="N408" s="102"/>
      <c r="O408" s="102"/>
      <c r="P408" s="102"/>
    </row>
    <row r="409" spans="12:16">
      <c r="L409" s="102"/>
      <c r="M409" s="102"/>
      <c r="N409" s="102"/>
      <c r="O409" s="102"/>
      <c r="P409" s="102"/>
    </row>
    <row r="410" spans="12:16">
      <c r="L410" s="102"/>
      <c r="M410" s="102"/>
      <c r="N410" s="102"/>
      <c r="O410" s="102"/>
      <c r="P410" s="102"/>
    </row>
    <row r="411" spans="12:16">
      <c r="L411" s="102"/>
      <c r="M411" s="102"/>
      <c r="N411" s="102"/>
      <c r="O411" s="102"/>
      <c r="P411" s="102"/>
    </row>
    <row r="412" spans="12:16">
      <c r="L412" s="102"/>
      <c r="M412" s="102"/>
      <c r="N412" s="102"/>
      <c r="O412" s="102"/>
      <c r="P412" s="102"/>
    </row>
    <row r="413" spans="12:16">
      <c r="L413" s="102"/>
      <c r="M413" s="102"/>
      <c r="N413" s="102"/>
      <c r="O413" s="102"/>
      <c r="P413" s="102"/>
    </row>
    <row r="414" spans="12:16">
      <c r="L414" s="102"/>
      <c r="M414" s="102"/>
      <c r="N414" s="102"/>
      <c r="O414" s="102"/>
      <c r="P414" s="102"/>
    </row>
    <row r="415" spans="12:16">
      <c r="L415" s="102"/>
      <c r="M415" s="102"/>
      <c r="N415" s="102"/>
      <c r="O415" s="102"/>
      <c r="P415" s="102"/>
    </row>
    <row r="416" spans="12:16">
      <c r="L416" s="102"/>
      <c r="M416" s="102"/>
      <c r="N416" s="102"/>
      <c r="O416" s="102"/>
      <c r="P416" s="102"/>
    </row>
    <row r="417" spans="10:16">
      <c r="L417" s="102"/>
      <c r="M417" s="102"/>
      <c r="N417" s="102"/>
      <c r="O417" s="102"/>
      <c r="P417" s="102"/>
    </row>
    <row r="418" spans="10:16">
      <c r="L418" s="102"/>
      <c r="M418" s="102"/>
      <c r="N418" s="102"/>
      <c r="O418" s="102"/>
      <c r="P418" s="102"/>
    </row>
    <row r="419" spans="10:16">
      <c r="L419" s="102"/>
      <c r="M419" s="102"/>
      <c r="N419" s="102"/>
      <c r="O419" s="102"/>
      <c r="P419" s="102"/>
    </row>
    <row r="420" spans="10:16">
      <c r="L420" s="102"/>
      <c r="M420" s="102"/>
      <c r="N420" s="102"/>
      <c r="O420" s="102"/>
      <c r="P420" s="102"/>
    </row>
    <row r="421" spans="10:16">
      <c r="L421" s="102"/>
      <c r="M421" s="102"/>
      <c r="N421" s="102"/>
      <c r="O421" s="102"/>
      <c r="P421" s="102"/>
    </row>
    <row r="422" spans="10:16">
      <c r="L422" s="102"/>
      <c r="M422" s="102"/>
      <c r="N422" s="102"/>
      <c r="O422" s="102"/>
      <c r="P422" s="102"/>
    </row>
    <row r="423" spans="10:16">
      <c r="L423" s="102"/>
      <c r="M423" s="102"/>
      <c r="N423" s="102"/>
      <c r="O423" s="102"/>
      <c r="P423" s="102"/>
    </row>
    <row r="424" spans="10:16">
      <c r="L424" s="102"/>
      <c r="M424" s="102"/>
      <c r="N424" s="102"/>
      <c r="O424" s="102"/>
      <c r="P424" s="102"/>
    </row>
    <row r="425" spans="10:16">
      <c r="L425" s="102"/>
      <c r="M425" s="102"/>
      <c r="N425" s="102"/>
      <c r="O425" s="102"/>
      <c r="P425" s="102"/>
    </row>
    <row r="426" spans="10:16">
      <c r="L426" s="102"/>
      <c r="M426" s="102"/>
      <c r="N426" s="102"/>
      <c r="O426" s="102"/>
      <c r="P426" s="102"/>
    </row>
    <row r="427" spans="10:16">
      <c r="J427" s="102"/>
      <c r="K427" s="102"/>
      <c r="L427" s="102"/>
      <c r="M427" s="102"/>
      <c r="N427" s="102"/>
      <c r="O427" s="102"/>
      <c r="P427" s="102"/>
    </row>
    <row r="428" spans="10:16">
      <c r="J428" s="102"/>
      <c r="K428" s="102"/>
      <c r="L428" s="102"/>
      <c r="M428" s="102"/>
      <c r="N428" s="102"/>
      <c r="O428" s="102"/>
      <c r="P428" s="102"/>
    </row>
    <row r="429" spans="10:16">
      <c r="J429" s="102"/>
      <c r="K429" s="102"/>
      <c r="L429" s="102"/>
      <c r="M429" s="102"/>
      <c r="N429" s="102"/>
      <c r="O429" s="102"/>
      <c r="P429" s="102"/>
    </row>
    <row r="430" spans="10:16">
      <c r="J430" s="102"/>
      <c r="K430" s="102"/>
      <c r="L430" s="102"/>
      <c r="M430" s="102"/>
      <c r="N430" s="102"/>
      <c r="O430" s="102"/>
      <c r="P430" s="102"/>
    </row>
    <row r="431" spans="10:16">
      <c r="J431" s="102"/>
      <c r="K431" s="102"/>
      <c r="L431" s="102"/>
      <c r="M431" s="102"/>
      <c r="N431" s="102"/>
      <c r="O431" s="102"/>
      <c r="P431" s="102"/>
    </row>
    <row r="432" spans="10:16">
      <c r="J432" s="102"/>
      <c r="K432" s="102"/>
      <c r="L432" s="102"/>
      <c r="M432" s="102"/>
      <c r="N432" s="102"/>
      <c r="O432" s="102"/>
      <c r="P432" s="102"/>
    </row>
    <row r="433" spans="10:16">
      <c r="J433" s="102"/>
      <c r="K433" s="102"/>
      <c r="L433" s="102"/>
      <c r="M433" s="102"/>
      <c r="N433" s="102"/>
      <c r="O433" s="102"/>
      <c r="P433" s="102"/>
    </row>
    <row r="434" spans="10:16">
      <c r="J434" s="102"/>
      <c r="K434" s="102"/>
      <c r="L434" s="102"/>
      <c r="M434" s="102"/>
      <c r="N434" s="102"/>
      <c r="O434" s="102"/>
      <c r="P434" s="102"/>
    </row>
    <row r="435" spans="10:16">
      <c r="J435" s="102"/>
      <c r="K435" s="102"/>
      <c r="L435" s="102"/>
      <c r="M435" s="102"/>
      <c r="N435" s="102"/>
      <c r="O435" s="102"/>
      <c r="P435" s="102"/>
    </row>
    <row r="436" spans="10:16">
      <c r="J436" s="102"/>
      <c r="K436" s="102"/>
      <c r="L436" s="102"/>
      <c r="M436" s="102"/>
      <c r="N436" s="102"/>
      <c r="O436" s="102"/>
      <c r="P436" s="102"/>
    </row>
    <row r="437" spans="10:16">
      <c r="J437" s="102"/>
      <c r="K437" s="102"/>
      <c r="L437" s="102"/>
      <c r="M437" s="102"/>
      <c r="N437" s="102"/>
      <c r="O437" s="102"/>
      <c r="P437" s="102"/>
    </row>
    <row r="438" spans="10:16">
      <c r="J438" s="102"/>
      <c r="K438" s="102"/>
      <c r="L438" s="102"/>
      <c r="M438" s="102"/>
      <c r="N438" s="102"/>
      <c r="O438" s="102"/>
      <c r="P438" s="102"/>
    </row>
    <row r="439" spans="10:16">
      <c r="J439" s="102"/>
      <c r="K439" s="102"/>
      <c r="L439" s="102"/>
      <c r="M439" s="102"/>
      <c r="N439" s="102"/>
      <c r="O439" s="102"/>
      <c r="P439" s="102"/>
    </row>
    <row r="440" spans="10:16">
      <c r="J440" s="102"/>
      <c r="K440" s="102"/>
      <c r="L440" s="102"/>
      <c r="M440" s="102"/>
      <c r="N440" s="102"/>
      <c r="O440" s="102"/>
      <c r="P440" s="102"/>
    </row>
    <row r="441" spans="10:16">
      <c r="J441" s="102"/>
      <c r="K441" s="102"/>
      <c r="L441" s="102"/>
      <c r="M441" s="102"/>
      <c r="N441" s="102"/>
      <c r="O441" s="102"/>
      <c r="P441" s="102"/>
    </row>
    <row r="442" spans="10:16">
      <c r="J442" s="102"/>
      <c r="K442" s="102"/>
      <c r="L442" s="102"/>
      <c r="M442" s="102"/>
      <c r="N442" s="102"/>
      <c r="O442" s="102"/>
      <c r="P442" s="102"/>
    </row>
    <row r="443" spans="10:16">
      <c r="J443" s="102"/>
      <c r="K443" s="102"/>
      <c r="L443" s="102"/>
      <c r="M443" s="102"/>
      <c r="N443" s="102"/>
      <c r="O443" s="102"/>
      <c r="P443" s="102"/>
    </row>
    <row r="444" spans="10:16">
      <c r="J444" s="102"/>
      <c r="K444" s="102"/>
      <c r="L444" s="102"/>
      <c r="M444" s="102"/>
      <c r="N444" s="102"/>
      <c r="O444" s="102"/>
      <c r="P444" s="102"/>
    </row>
    <row r="445" spans="10:16">
      <c r="J445" s="102"/>
      <c r="K445" s="102"/>
      <c r="L445" s="102"/>
      <c r="M445" s="102"/>
      <c r="N445" s="102"/>
      <c r="O445" s="102"/>
      <c r="P445" s="102"/>
    </row>
    <row r="446" spans="10:16">
      <c r="J446" s="102"/>
      <c r="K446" s="102"/>
      <c r="L446" s="102"/>
      <c r="M446" s="102"/>
      <c r="N446" s="102"/>
      <c r="O446" s="102"/>
      <c r="P446" s="102"/>
    </row>
    <row r="447" spans="10:16">
      <c r="J447" s="102"/>
      <c r="K447" s="102"/>
      <c r="L447" s="102"/>
      <c r="M447" s="102"/>
      <c r="N447" s="102"/>
      <c r="O447" s="102"/>
      <c r="P447" s="102"/>
    </row>
    <row r="448" spans="10:16">
      <c r="J448" s="102"/>
      <c r="K448" s="102"/>
      <c r="L448" s="102"/>
      <c r="M448" s="102"/>
      <c r="N448" s="102"/>
      <c r="O448" s="102"/>
      <c r="P448" s="102"/>
    </row>
    <row r="449" spans="10:16">
      <c r="J449" s="102"/>
      <c r="K449" s="102"/>
      <c r="L449" s="102"/>
      <c r="M449" s="102"/>
      <c r="N449" s="102"/>
      <c r="O449" s="102"/>
      <c r="P449" s="102"/>
    </row>
    <row r="450" spans="10:16">
      <c r="J450" s="102"/>
      <c r="K450" s="102"/>
      <c r="L450" s="102"/>
      <c r="M450" s="102"/>
      <c r="N450" s="102"/>
      <c r="O450" s="102"/>
      <c r="P450" s="102"/>
    </row>
    <row r="451" spans="10:16">
      <c r="J451" s="102"/>
      <c r="K451" s="102"/>
      <c r="L451" s="102"/>
      <c r="M451" s="102"/>
      <c r="N451" s="102"/>
      <c r="O451" s="102"/>
      <c r="P451" s="102"/>
    </row>
    <row r="452" spans="10:16">
      <c r="J452" s="102"/>
      <c r="K452" s="102"/>
      <c r="L452" s="102"/>
      <c r="M452" s="102"/>
      <c r="N452" s="102"/>
      <c r="O452" s="102"/>
      <c r="P452" s="102"/>
    </row>
    <row r="453" spans="10:16">
      <c r="J453" s="102"/>
      <c r="K453" s="102"/>
      <c r="L453" s="102"/>
      <c r="M453" s="102"/>
      <c r="N453" s="102"/>
      <c r="O453" s="102"/>
      <c r="P453" s="102"/>
    </row>
    <row r="454" spans="10:16">
      <c r="J454" s="102"/>
      <c r="K454" s="102"/>
      <c r="L454" s="102"/>
      <c r="M454" s="102"/>
      <c r="N454" s="102"/>
      <c r="O454" s="102"/>
      <c r="P454" s="102"/>
    </row>
    <row r="455" spans="10:16">
      <c r="J455" s="102"/>
      <c r="K455" s="102"/>
      <c r="L455" s="102"/>
      <c r="M455" s="102"/>
      <c r="N455" s="102"/>
      <c r="O455" s="102"/>
      <c r="P455" s="102"/>
    </row>
    <row r="456" spans="10:16">
      <c r="J456" s="102"/>
      <c r="K456" s="102"/>
      <c r="L456" s="102"/>
      <c r="M456" s="102"/>
      <c r="N456" s="102"/>
      <c r="O456" s="102"/>
      <c r="P456" s="102"/>
    </row>
    <row r="457" spans="10:16">
      <c r="J457" s="102"/>
      <c r="K457" s="102"/>
      <c r="L457" s="102"/>
      <c r="M457" s="102"/>
      <c r="N457" s="102"/>
      <c r="O457" s="102"/>
      <c r="P457" s="102"/>
    </row>
    <row r="458" spans="10:16">
      <c r="J458" s="102"/>
      <c r="K458" s="102"/>
      <c r="L458" s="102"/>
      <c r="M458" s="102"/>
      <c r="N458" s="102"/>
      <c r="O458" s="102"/>
      <c r="P458" s="102"/>
    </row>
    <row r="459" spans="10:16">
      <c r="J459" s="102"/>
      <c r="K459" s="102"/>
      <c r="L459" s="102"/>
      <c r="M459" s="102"/>
      <c r="N459" s="102"/>
      <c r="O459" s="102"/>
      <c r="P459" s="102"/>
    </row>
    <row r="460" spans="10:16">
      <c r="J460" s="102"/>
      <c r="K460" s="102"/>
      <c r="L460" s="102"/>
      <c r="M460" s="102"/>
      <c r="N460" s="102"/>
      <c r="O460" s="102"/>
      <c r="P460" s="102"/>
    </row>
    <row r="461" spans="10:16">
      <c r="J461" s="102"/>
      <c r="K461" s="102"/>
      <c r="L461" s="102"/>
      <c r="M461" s="102"/>
      <c r="N461" s="102"/>
      <c r="O461" s="102"/>
      <c r="P461" s="102"/>
    </row>
    <row r="462" spans="10:16">
      <c r="J462" s="102"/>
      <c r="K462" s="102"/>
      <c r="L462" s="102"/>
      <c r="M462" s="102"/>
      <c r="N462" s="102"/>
      <c r="O462" s="102"/>
      <c r="P462" s="102"/>
    </row>
    <row r="463" spans="10:16">
      <c r="J463" s="102"/>
      <c r="K463" s="102"/>
      <c r="L463" s="102"/>
      <c r="M463" s="102"/>
      <c r="N463" s="102"/>
      <c r="O463" s="102"/>
      <c r="P463" s="102"/>
    </row>
    <row r="464" spans="10:16">
      <c r="J464" s="102"/>
      <c r="K464" s="102"/>
      <c r="L464" s="102"/>
      <c r="M464" s="102"/>
      <c r="N464" s="102"/>
      <c r="O464" s="102"/>
      <c r="P464" s="102"/>
    </row>
  </sheetData>
  <mergeCells count="95">
    <mergeCell ref="F2:H2"/>
    <mergeCell ref="I2:I6"/>
    <mergeCell ref="J2:M2"/>
    <mergeCell ref="B4:B6"/>
    <mergeCell ref="B14:B21"/>
    <mergeCell ref="C14:C21"/>
    <mergeCell ref="B26:B30"/>
    <mergeCell ref="C26:C30"/>
    <mergeCell ref="B35:B37"/>
    <mergeCell ref="C35:C37"/>
    <mergeCell ref="B42:B47"/>
    <mergeCell ref="C42:C44"/>
    <mergeCell ref="C45:C47"/>
    <mergeCell ref="B52:B55"/>
    <mergeCell ref="C52:C55"/>
    <mergeCell ref="D59:F59"/>
    <mergeCell ref="B60:B63"/>
    <mergeCell ref="C60:C61"/>
    <mergeCell ref="D60:F60"/>
    <mergeCell ref="D61:F61"/>
    <mergeCell ref="C62:C63"/>
    <mergeCell ref="D62:F62"/>
    <mergeCell ref="D63:F63"/>
    <mergeCell ref="B68:B87"/>
    <mergeCell ref="C68:C74"/>
    <mergeCell ref="C75:C81"/>
    <mergeCell ref="C82:C87"/>
    <mergeCell ref="B92:B96"/>
    <mergeCell ref="C92:C96"/>
    <mergeCell ref="B137:B138"/>
    <mergeCell ref="C137:C138"/>
    <mergeCell ref="D137:F137"/>
    <mergeCell ref="D138:F138"/>
    <mergeCell ref="B101:B103"/>
    <mergeCell ref="C101:C103"/>
    <mergeCell ref="B108:B111"/>
    <mergeCell ref="C108:C111"/>
    <mergeCell ref="B116:B118"/>
    <mergeCell ref="C116:C118"/>
    <mergeCell ref="B123:B125"/>
    <mergeCell ref="C123:C125"/>
    <mergeCell ref="B130:B132"/>
    <mergeCell ref="C130:C132"/>
    <mergeCell ref="D136:F136"/>
    <mergeCell ref="B143:B145"/>
    <mergeCell ref="C143:C145"/>
    <mergeCell ref="B150:B152"/>
    <mergeCell ref="C150:C152"/>
    <mergeCell ref="B157:B162"/>
    <mergeCell ref="C157:C162"/>
    <mergeCell ref="B167:B169"/>
    <mergeCell ref="C167:C169"/>
    <mergeCell ref="B174:B176"/>
    <mergeCell ref="C174:C176"/>
    <mergeCell ref="B181:B183"/>
    <mergeCell ref="C181:C183"/>
    <mergeCell ref="F209:F210"/>
    <mergeCell ref="B188:B190"/>
    <mergeCell ref="C188:C190"/>
    <mergeCell ref="D194:F194"/>
    <mergeCell ref="B195:B196"/>
    <mergeCell ref="C195:C196"/>
    <mergeCell ref="D195:F195"/>
    <mergeCell ref="D196:F196"/>
    <mergeCell ref="B197:B198"/>
    <mergeCell ref="C197:C198"/>
    <mergeCell ref="D197:F197"/>
    <mergeCell ref="D198:F198"/>
    <mergeCell ref="F203:F204"/>
    <mergeCell ref="O369:V369"/>
    <mergeCell ref="F211:F212"/>
    <mergeCell ref="F213:F214"/>
    <mergeCell ref="B291:B292"/>
    <mergeCell ref="B294:B295"/>
    <mergeCell ref="I294:I295"/>
    <mergeCell ref="B296:B297"/>
    <mergeCell ref="I296:I297"/>
    <mergeCell ref="B298:B299"/>
    <mergeCell ref="I298:I299"/>
    <mergeCell ref="B300:B301"/>
    <mergeCell ref="B302:B303"/>
    <mergeCell ref="O368:V368"/>
    <mergeCell ref="P370:Q370"/>
    <mergeCell ref="O371:O372"/>
    <mergeCell ref="P371:T372"/>
    <mergeCell ref="B378:I378"/>
    <mergeCell ref="P389:Q389"/>
    <mergeCell ref="R389:T389"/>
    <mergeCell ref="O393:V393"/>
    <mergeCell ref="P390:Q390"/>
    <mergeCell ref="R390:T390"/>
    <mergeCell ref="P391:Q391"/>
    <mergeCell ref="R391:T391"/>
    <mergeCell ref="P392:Q392"/>
    <mergeCell ref="R392:T392"/>
  </mergeCells>
  <phoneticPr fontId="5" type="noConversion"/>
  <pageMargins left="0.19685039370078741" right="0.19685039370078741" top="0.74803149606299213" bottom="0.74803149606299213" header="0.31496062992125984" footer="0.31496062992125984"/>
  <pageSetup paperSize="9" scale="78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F6D6B-324B-45F1-B458-874E9D30F59B}">
  <sheetPr>
    <tabColor rgb="FF7030A0"/>
    <pageSetUpPr fitToPage="1"/>
  </sheetPr>
  <dimension ref="A1:V464"/>
  <sheetViews>
    <sheetView showZeros="0" topLeftCell="A348" zoomScaleNormal="100" workbookViewId="0">
      <selection activeCell="C372" sqref="C372"/>
    </sheetView>
  </sheetViews>
  <sheetFormatPr defaultColWidth="25.25" defaultRowHeight="13.5"/>
  <cols>
    <col min="1" max="1" width="0.5" style="1" customWidth="1"/>
    <col min="2" max="2" width="25.25" style="102" customWidth="1"/>
    <col min="3" max="3" width="14.75" style="102" customWidth="1"/>
    <col min="4" max="4" width="11.5" style="102" customWidth="1"/>
    <col min="5" max="5" width="11.25" style="102" customWidth="1"/>
    <col min="6" max="6" width="12.25" style="102" customWidth="1"/>
    <col min="7" max="7" width="10" style="102" customWidth="1"/>
    <col min="8" max="8" width="9.875" style="102" customWidth="1"/>
    <col min="9" max="9" width="26.875" style="102" customWidth="1"/>
    <col min="10" max="10" width="11.125" style="43" customWidth="1"/>
    <col min="11" max="11" width="7.875" style="43" customWidth="1"/>
    <col min="12" max="12" width="7.25" style="43" customWidth="1"/>
    <col min="13" max="13" width="9.125" style="43" customWidth="1"/>
    <col min="14" max="14" width="15.125" style="255" customWidth="1"/>
    <col min="15" max="15" width="13.125" style="255" customWidth="1"/>
    <col min="16" max="16" width="24.375" style="255" customWidth="1"/>
    <col min="17" max="17" width="13.75" style="255" customWidth="1"/>
    <col min="18" max="18" width="11.25" style="255" customWidth="1"/>
    <col min="19" max="19" width="10.75" style="255" customWidth="1"/>
    <col min="20" max="20" width="10" style="255" customWidth="1"/>
    <col min="21" max="21" width="9.875" style="255" customWidth="1"/>
    <col min="22" max="22" width="26.125" style="255" customWidth="1"/>
    <col min="23" max="23" width="11.125" style="255" customWidth="1"/>
    <col min="24" max="24" width="7.875" style="255" customWidth="1"/>
    <col min="25" max="25" width="7.25" style="255" customWidth="1"/>
    <col min="26" max="26" width="9.125" style="255" customWidth="1"/>
    <col min="27" max="27" width="15.125" style="255" customWidth="1"/>
    <col min="28" max="28" width="7.75" style="255" customWidth="1"/>
    <col min="29" max="29" width="7.125" style="255" customWidth="1"/>
    <col min="30" max="30" width="12.125" style="255" customWidth="1"/>
    <col min="31" max="31" width="8.25" style="255" customWidth="1"/>
    <col min="32" max="33" width="10.375" style="255" customWidth="1"/>
    <col min="34" max="34" width="15.625" style="255" customWidth="1"/>
    <col min="35" max="35" width="15.875" style="255" customWidth="1"/>
    <col min="36" max="36" width="8.125" style="255" customWidth="1"/>
    <col min="37" max="40" width="10.375" style="255" customWidth="1"/>
    <col min="41" max="41" width="7.25" style="255" customWidth="1"/>
    <col min="42" max="42" width="7.125" style="255" customWidth="1"/>
    <col min="43" max="43" width="9.5" style="255" customWidth="1"/>
    <col min="44" max="45" width="9" style="255" customWidth="1"/>
    <col min="46" max="46" width="16.125" style="255" customWidth="1"/>
    <col min="47" max="77" width="9" style="255" customWidth="1"/>
    <col min="78" max="237" width="25.25" style="255"/>
    <col min="238" max="267" width="9" style="255" customWidth="1"/>
    <col min="268" max="268" width="0.5" style="255" customWidth="1"/>
    <col min="269" max="269" width="25.25" style="255"/>
    <col min="270" max="270" width="0.5" style="255" customWidth="1"/>
    <col min="271" max="271" width="25.25" style="255"/>
    <col min="272" max="272" width="14.75" style="255" customWidth="1"/>
    <col min="273" max="273" width="11.5" style="255" customWidth="1"/>
    <col min="274" max="274" width="11.25" style="255" customWidth="1"/>
    <col min="275" max="275" width="10.75" style="255" customWidth="1"/>
    <col min="276" max="276" width="10" style="255" customWidth="1"/>
    <col min="277" max="277" width="9.875" style="255" customWidth="1"/>
    <col min="278" max="278" width="26.125" style="255" customWidth="1"/>
    <col min="279" max="279" width="11.125" style="255" customWidth="1"/>
    <col min="280" max="280" width="7.875" style="255" customWidth="1"/>
    <col min="281" max="281" width="7.25" style="255" customWidth="1"/>
    <col min="282" max="282" width="9.125" style="255" customWidth="1"/>
    <col min="283" max="283" width="15.125" style="255" customWidth="1"/>
    <col min="284" max="284" width="7.75" style="255" customWidth="1"/>
    <col min="285" max="285" width="7.125" style="255" customWidth="1"/>
    <col min="286" max="286" width="12.125" style="255" customWidth="1"/>
    <col min="287" max="287" width="8.25" style="255" customWidth="1"/>
    <col min="288" max="289" width="10.375" style="255" customWidth="1"/>
    <col min="290" max="290" width="15.625" style="255" customWidth="1"/>
    <col min="291" max="291" width="15.875" style="255" customWidth="1"/>
    <col min="292" max="292" width="8.125" style="255" customWidth="1"/>
    <col min="293" max="296" width="10.375" style="255" customWidth="1"/>
    <col min="297" max="297" width="7.25" style="255" customWidth="1"/>
    <col min="298" max="298" width="7.125" style="255" customWidth="1"/>
    <col min="299" max="299" width="9.5" style="255" customWidth="1"/>
    <col min="300" max="301" width="9" style="255" customWidth="1"/>
    <col min="302" max="302" width="16.125" style="255" customWidth="1"/>
    <col min="303" max="333" width="9" style="255" customWidth="1"/>
    <col min="334" max="493" width="25.25" style="255"/>
    <col min="494" max="523" width="9" style="255" customWidth="1"/>
    <col min="524" max="524" width="0.5" style="255" customWidth="1"/>
    <col min="525" max="525" width="25.25" style="255"/>
    <col min="526" max="526" width="0.5" style="255" customWidth="1"/>
    <col min="527" max="527" width="25.25" style="255"/>
    <col min="528" max="528" width="14.75" style="255" customWidth="1"/>
    <col min="529" max="529" width="11.5" style="255" customWidth="1"/>
    <col min="530" max="530" width="11.25" style="255" customWidth="1"/>
    <col min="531" max="531" width="10.75" style="255" customWidth="1"/>
    <col min="532" max="532" width="10" style="255" customWidth="1"/>
    <col min="533" max="533" width="9.875" style="255" customWidth="1"/>
    <col min="534" max="534" width="26.125" style="255" customWidth="1"/>
    <col min="535" max="535" width="11.125" style="255" customWidth="1"/>
    <col min="536" max="536" width="7.875" style="255" customWidth="1"/>
    <col min="537" max="537" width="7.25" style="255" customWidth="1"/>
    <col min="538" max="538" width="9.125" style="255" customWidth="1"/>
    <col min="539" max="539" width="15.125" style="255" customWidth="1"/>
    <col min="540" max="540" width="7.75" style="255" customWidth="1"/>
    <col min="541" max="541" width="7.125" style="255" customWidth="1"/>
    <col min="542" max="542" width="12.125" style="255" customWidth="1"/>
    <col min="543" max="543" width="8.25" style="255" customWidth="1"/>
    <col min="544" max="545" width="10.375" style="255" customWidth="1"/>
    <col min="546" max="546" width="15.625" style="255" customWidth="1"/>
    <col min="547" max="547" width="15.875" style="255" customWidth="1"/>
    <col min="548" max="548" width="8.125" style="255" customWidth="1"/>
    <col min="549" max="552" width="10.375" style="255" customWidth="1"/>
    <col min="553" max="553" width="7.25" style="255" customWidth="1"/>
    <col min="554" max="554" width="7.125" style="255" customWidth="1"/>
    <col min="555" max="555" width="9.5" style="255" customWidth="1"/>
    <col min="556" max="557" width="9" style="255" customWidth="1"/>
    <col min="558" max="558" width="16.125" style="255" customWidth="1"/>
    <col min="559" max="589" width="9" style="255" customWidth="1"/>
    <col min="590" max="749" width="25.25" style="255"/>
    <col min="750" max="779" width="9" style="255" customWidth="1"/>
    <col min="780" max="780" width="0.5" style="255" customWidth="1"/>
    <col min="781" max="781" width="25.25" style="255"/>
    <col min="782" max="782" width="0.5" style="255" customWidth="1"/>
    <col min="783" max="783" width="25.25" style="255"/>
    <col min="784" max="784" width="14.75" style="255" customWidth="1"/>
    <col min="785" max="785" width="11.5" style="255" customWidth="1"/>
    <col min="786" max="786" width="11.25" style="255" customWidth="1"/>
    <col min="787" max="787" width="10.75" style="255" customWidth="1"/>
    <col min="788" max="788" width="10" style="255" customWidth="1"/>
    <col min="789" max="789" width="9.875" style="255" customWidth="1"/>
    <col min="790" max="790" width="26.125" style="255" customWidth="1"/>
    <col min="791" max="791" width="11.125" style="255" customWidth="1"/>
    <col min="792" max="792" width="7.875" style="255" customWidth="1"/>
    <col min="793" max="793" width="7.25" style="255" customWidth="1"/>
    <col min="794" max="794" width="9.125" style="255" customWidth="1"/>
    <col min="795" max="795" width="15.125" style="255" customWidth="1"/>
    <col min="796" max="796" width="7.75" style="255" customWidth="1"/>
    <col min="797" max="797" width="7.125" style="255" customWidth="1"/>
    <col min="798" max="798" width="12.125" style="255" customWidth="1"/>
    <col min="799" max="799" width="8.25" style="255" customWidth="1"/>
    <col min="800" max="801" width="10.375" style="255" customWidth="1"/>
    <col min="802" max="802" width="15.625" style="255" customWidth="1"/>
    <col min="803" max="803" width="15.875" style="255" customWidth="1"/>
    <col min="804" max="804" width="8.125" style="255" customWidth="1"/>
    <col min="805" max="808" width="10.375" style="255" customWidth="1"/>
    <col min="809" max="809" width="7.25" style="255" customWidth="1"/>
    <col min="810" max="810" width="7.125" style="255" customWidth="1"/>
    <col min="811" max="811" width="9.5" style="255" customWidth="1"/>
    <col min="812" max="813" width="9" style="255" customWidth="1"/>
    <col min="814" max="814" width="16.125" style="255" customWidth="1"/>
    <col min="815" max="845" width="9" style="255" customWidth="1"/>
    <col min="846" max="1005" width="25.25" style="255"/>
    <col min="1006" max="1035" width="9" style="255" customWidth="1"/>
    <col min="1036" max="1036" width="0.5" style="255" customWidth="1"/>
    <col min="1037" max="1037" width="25.25" style="255"/>
    <col min="1038" max="1038" width="0.5" style="255" customWidth="1"/>
    <col min="1039" max="1039" width="25.25" style="255"/>
    <col min="1040" max="1040" width="14.75" style="255" customWidth="1"/>
    <col min="1041" max="1041" width="11.5" style="255" customWidth="1"/>
    <col min="1042" max="1042" width="11.25" style="255" customWidth="1"/>
    <col min="1043" max="1043" width="10.75" style="255" customWidth="1"/>
    <col min="1044" max="1044" width="10" style="255" customWidth="1"/>
    <col min="1045" max="1045" width="9.875" style="255" customWidth="1"/>
    <col min="1046" max="1046" width="26.125" style="255" customWidth="1"/>
    <col min="1047" max="1047" width="11.125" style="255" customWidth="1"/>
    <col min="1048" max="1048" width="7.875" style="255" customWidth="1"/>
    <col min="1049" max="1049" width="7.25" style="255" customWidth="1"/>
    <col min="1050" max="1050" width="9.125" style="255" customWidth="1"/>
    <col min="1051" max="1051" width="15.125" style="255" customWidth="1"/>
    <col min="1052" max="1052" width="7.75" style="255" customWidth="1"/>
    <col min="1053" max="1053" width="7.125" style="255" customWidth="1"/>
    <col min="1054" max="1054" width="12.125" style="255" customWidth="1"/>
    <col min="1055" max="1055" width="8.25" style="255" customWidth="1"/>
    <col min="1056" max="1057" width="10.375" style="255" customWidth="1"/>
    <col min="1058" max="1058" width="15.625" style="255" customWidth="1"/>
    <col min="1059" max="1059" width="15.875" style="255" customWidth="1"/>
    <col min="1060" max="1060" width="8.125" style="255" customWidth="1"/>
    <col min="1061" max="1064" width="10.375" style="255" customWidth="1"/>
    <col min="1065" max="1065" width="7.25" style="255" customWidth="1"/>
    <col min="1066" max="1066" width="7.125" style="255" customWidth="1"/>
    <col min="1067" max="1067" width="9.5" style="255" customWidth="1"/>
    <col min="1068" max="1069" width="9" style="255" customWidth="1"/>
    <col min="1070" max="1070" width="16.125" style="255" customWidth="1"/>
    <col min="1071" max="1101" width="9" style="255" customWidth="1"/>
    <col min="1102" max="1261" width="25.25" style="255"/>
    <col min="1262" max="1291" width="9" style="255" customWidth="1"/>
    <col min="1292" max="1292" width="0.5" style="255" customWidth="1"/>
    <col min="1293" max="1293" width="25.25" style="255"/>
    <col min="1294" max="1294" width="0.5" style="255" customWidth="1"/>
    <col min="1295" max="1295" width="25.25" style="255"/>
    <col min="1296" max="1296" width="14.75" style="255" customWidth="1"/>
    <col min="1297" max="1297" width="11.5" style="255" customWidth="1"/>
    <col min="1298" max="1298" width="11.25" style="255" customWidth="1"/>
    <col min="1299" max="1299" width="10.75" style="255" customWidth="1"/>
    <col min="1300" max="1300" width="10" style="255" customWidth="1"/>
    <col min="1301" max="1301" width="9.875" style="255" customWidth="1"/>
    <col min="1302" max="1302" width="26.125" style="255" customWidth="1"/>
    <col min="1303" max="1303" width="11.125" style="255" customWidth="1"/>
    <col min="1304" max="1304" width="7.875" style="255" customWidth="1"/>
    <col min="1305" max="1305" width="7.25" style="255" customWidth="1"/>
    <col min="1306" max="1306" width="9.125" style="255" customWidth="1"/>
    <col min="1307" max="1307" width="15.125" style="255" customWidth="1"/>
    <col min="1308" max="1308" width="7.75" style="255" customWidth="1"/>
    <col min="1309" max="1309" width="7.125" style="255" customWidth="1"/>
    <col min="1310" max="1310" width="12.125" style="255" customWidth="1"/>
    <col min="1311" max="1311" width="8.25" style="255" customWidth="1"/>
    <col min="1312" max="1313" width="10.375" style="255" customWidth="1"/>
    <col min="1314" max="1314" width="15.625" style="255" customWidth="1"/>
    <col min="1315" max="1315" width="15.875" style="255" customWidth="1"/>
    <col min="1316" max="1316" width="8.125" style="255" customWidth="1"/>
    <col min="1317" max="1320" width="10.375" style="255" customWidth="1"/>
    <col min="1321" max="1321" width="7.25" style="255" customWidth="1"/>
    <col min="1322" max="1322" width="7.125" style="255" customWidth="1"/>
    <col min="1323" max="1323" width="9.5" style="255" customWidth="1"/>
    <col min="1324" max="1325" width="9" style="255" customWidth="1"/>
    <col min="1326" max="1326" width="16.125" style="255" customWidth="1"/>
    <col min="1327" max="1357" width="9" style="255" customWidth="1"/>
    <col min="1358" max="1517" width="25.25" style="255"/>
    <col min="1518" max="1547" width="9" style="255" customWidth="1"/>
    <col min="1548" max="1548" width="0.5" style="255" customWidth="1"/>
    <col min="1549" max="1549" width="25.25" style="255"/>
    <col min="1550" max="1550" width="0.5" style="255" customWidth="1"/>
    <col min="1551" max="1551" width="25.25" style="255"/>
    <col min="1552" max="1552" width="14.75" style="255" customWidth="1"/>
    <col min="1553" max="1553" width="11.5" style="255" customWidth="1"/>
    <col min="1554" max="1554" width="11.25" style="255" customWidth="1"/>
    <col min="1555" max="1555" width="10.75" style="255" customWidth="1"/>
    <col min="1556" max="1556" width="10" style="255" customWidth="1"/>
    <col min="1557" max="1557" width="9.875" style="255" customWidth="1"/>
    <col min="1558" max="1558" width="26.125" style="255" customWidth="1"/>
    <col min="1559" max="1559" width="11.125" style="255" customWidth="1"/>
    <col min="1560" max="1560" width="7.875" style="255" customWidth="1"/>
    <col min="1561" max="1561" width="7.25" style="255" customWidth="1"/>
    <col min="1562" max="1562" width="9.125" style="255" customWidth="1"/>
    <col min="1563" max="1563" width="15.125" style="255" customWidth="1"/>
    <col min="1564" max="1564" width="7.75" style="255" customWidth="1"/>
    <col min="1565" max="1565" width="7.125" style="255" customWidth="1"/>
    <col min="1566" max="1566" width="12.125" style="255" customWidth="1"/>
    <col min="1567" max="1567" width="8.25" style="255" customWidth="1"/>
    <col min="1568" max="1569" width="10.375" style="255" customWidth="1"/>
    <col min="1570" max="1570" width="15.625" style="255" customWidth="1"/>
    <col min="1571" max="1571" width="15.875" style="255" customWidth="1"/>
    <col min="1572" max="1572" width="8.125" style="255" customWidth="1"/>
    <col min="1573" max="1576" width="10.375" style="255" customWidth="1"/>
    <col min="1577" max="1577" width="7.25" style="255" customWidth="1"/>
    <col min="1578" max="1578" width="7.125" style="255" customWidth="1"/>
    <col min="1579" max="1579" width="9.5" style="255" customWidth="1"/>
    <col min="1580" max="1581" width="9" style="255" customWidth="1"/>
    <col min="1582" max="1582" width="16.125" style="255" customWidth="1"/>
    <col min="1583" max="1613" width="9" style="255" customWidth="1"/>
    <col min="1614" max="1773" width="25.25" style="255"/>
    <col min="1774" max="1803" width="9" style="255" customWidth="1"/>
    <col min="1804" max="1804" width="0.5" style="255" customWidth="1"/>
    <col min="1805" max="1805" width="25.25" style="255"/>
    <col min="1806" max="1806" width="0.5" style="255" customWidth="1"/>
    <col min="1807" max="1807" width="25.25" style="255"/>
    <col min="1808" max="1808" width="14.75" style="255" customWidth="1"/>
    <col min="1809" max="1809" width="11.5" style="255" customWidth="1"/>
    <col min="1810" max="1810" width="11.25" style="255" customWidth="1"/>
    <col min="1811" max="1811" width="10.75" style="255" customWidth="1"/>
    <col min="1812" max="1812" width="10" style="255" customWidth="1"/>
    <col min="1813" max="1813" width="9.875" style="255" customWidth="1"/>
    <col min="1814" max="1814" width="26.125" style="255" customWidth="1"/>
    <col min="1815" max="1815" width="11.125" style="255" customWidth="1"/>
    <col min="1816" max="1816" width="7.875" style="255" customWidth="1"/>
    <col min="1817" max="1817" width="7.25" style="255" customWidth="1"/>
    <col min="1818" max="1818" width="9.125" style="255" customWidth="1"/>
    <col min="1819" max="1819" width="15.125" style="255" customWidth="1"/>
    <col min="1820" max="1820" width="7.75" style="255" customWidth="1"/>
    <col min="1821" max="1821" width="7.125" style="255" customWidth="1"/>
    <col min="1822" max="1822" width="12.125" style="255" customWidth="1"/>
    <col min="1823" max="1823" width="8.25" style="255" customWidth="1"/>
    <col min="1824" max="1825" width="10.375" style="255" customWidth="1"/>
    <col min="1826" max="1826" width="15.625" style="255" customWidth="1"/>
    <col min="1827" max="1827" width="15.875" style="255" customWidth="1"/>
    <col min="1828" max="1828" width="8.125" style="255" customWidth="1"/>
    <col min="1829" max="1832" width="10.375" style="255" customWidth="1"/>
    <col min="1833" max="1833" width="7.25" style="255" customWidth="1"/>
    <col min="1834" max="1834" width="7.125" style="255" customWidth="1"/>
    <col min="1835" max="1835" width="9.5" style="255" customWidth="1"/>
    <col min="1836" max="1837" width="9" style="255" customWidth="1"/>
    <col min="1838" max="1838" width="16.125" style="255" customWidth="1"/>
    <col min="1839" max="1869" width="9" style="255" customWidth="1"/>
    <col min="1870" max="2029" width="25.25" style="255"/>
    <col min="2030" max="2059" width="9" style="255" customWidth="1"/>
    <col min="2060" max="2060" width="0.5" style="255" customWidth="1"/>
    <col min="2061" max="2061" width="25.25" style="255"/>
    <col min="2062" max="2062" width="0.5" style="255" customWidth="1"/>
    <col min="2063" max="2063" width="25.25" style="255"/>
    <col min="2064" max="2064" width="14.75" style="255" customWidth="1"/>
    <col min="2065" max="2065" width="11.5" style="255" customWidth="1"/>
    <col min="2066" max="2066" width="11.25" style="255" customWidth="1"/>
    <col min="2067" max="2067" width="10.75" style="255" customWidth="1"/>
    <col min="2068" max="2068" width="10" style="255" customWidth="1"/>
    <col min="2069" max="2069" width="9.875" style="255" customWidth="1"/>
    <col min="2070" max="2070" width="26.125" style="255" customWidth="1"/>
    <col min="2071" max="2071" width="11.125" style="255" customWidth="1"/>
    <col min="2072" max="2072" width="7.875" style="255" customWidth="1"/>
    <col min="2073" max="2073" width="7.25" style="255" customWidth="1"/>
    <col min="2074" max="2074" width="9.125" style="255" customWidth="1"/>
    <col min="2075" max="2075" width="15.125" style="255" customWidth="1"/>
    <col min="2076" max="2076" width="7.75" style="255" customWidth="1"/>
    <col min="2077" max="2077" width="7.125" style="255" customWidth="1"/>
    <col min="2078" max="2078" width="12.125" style="255" customWidth="1"/>
    <col min="2079" max="2079" width="8.25" style="255" customWidth="1"/>
    <col min="2080" max="2081" width="10.375" style="255" customWidth="1"/>
    <col min="2082" max="2082" width="15.625" style="255" customWidth="1"/>
    <col min="2083" max="2083" width="15.875" style="255" customWidth="1"/>
    <col min="2084" max="2084" width="8.125" style="255" customWidth="1"/>
    <col min="2085" max="2088" width="10.375" style="255" customWidth="1"/>
    <col min="2089" max="2089" width="7.25" style="255" customWidth="1"/>
    <col min="2090" max="2090" width="7.125" style="255" customWidth="1"/>
    <col min="2091" max="2091" width="9.5" style="255" customWidth="1"/>
    <col min="2092" max="2093" width="9" style="255" customWidth="1"/>
    <col min="2094" max="2094" width="16.125" style="255" customWidth="1"/>
    <col min="2095" max="2125" width="9" style="255" customWidth="1"/>
    <col min="2126" max="2285" width="25.25" style="255"/>
    <col min="2286" max="2315" width="9" style="255" customWidth="1"/>
    <col min="2316" max="2316" width="0.5" style="255" customWidth="1"/>
    <col min="2317" max="2317" width="25.25" style="255"/>
    <col min="2318" max="2318" width="0.5" style="255" customWidth="1"/>
    <col min="2319" max="2319" width="25.25" style="255"/>
    <col min="2320" max="2320" width="14.75" style="255" customWidth="1"/>
    <col min="2321" max="2321" width="11.5" style="255" customWidth="1"/>
    <col min="2322" max="2322" width="11.25" style="255" customWidth="1"/>
    <col min="2323" max="2323" width="10.75" style="255" customWidth="1"/>
    <col min="2324" max="2324" width="10" style="255" customWidth="1"/>
    <col min="2325" max="2325" width="9.875" style="255" customWidth="1"/>
    <col min="2326" max="2326" width="26.125" style="255" customWidth="1"/>
    <col min="2327" max="2327" width="11.125" style="255" customWidth="1"/>
    <col min="2328" max="2328" width="7.875" style="255" customWidth="1"/>
    <col min="2329" max="2329" width="7.25" style="255" customWidth="1"/>
    <col min="2330" max="2330" width="9.125" style="255" customWidth="1"/>
    <col min="2331" max="2331" width="15.125" style="255" customWidth="1"/>
    <col min="2332" max="2332" width="7.75" style="255" customWidth="1"/>
    <col min="2333" max="2333" width="7.125" style="255" customWidth="1"/>
    <col min="2334" max="2334" width="12.125" style="255" customWidth="1"/>
    <col min="2335" max="2335" width="8.25" style="255" customWidth="1"/>
    <col min="2336" max="2337" width="10.375" style="255" customWidth="1"/>
    <col min="2338" max="2338" width="15.625" style="255" customWidth="1"/>
    <col min="2339" max="2339" width="15.875" style="255" customWidth="1"/>
    <col min="2340" max="2340" width="8.125" style="255" customWidth="1"/>
    <col min="2341" max="2344" width="10.375" style="255" customWidth="1"/>
    <col min="2345" max="2345" width="7.25" style="255" customWidth="1"/>
    <col min="2346" max="2346" width="7.125" style="255" customWidth="1"/>
    <col min="2347" max="2347" width="9.5" style="255" customWidth="1"/>
    <col min="2348" max="2349" width="9" style="255" customWidth="1"/>
    <col min="2350" max="2350" width="16.125" style="255" customWidth="1"/>
    <col min="2351" max="2381" width="9" style="255" customWidth="1"/>
    <col min="2382" max="2541" width="25.25" style="255"/>
    <col min="2542" max="2571" width="9" style="255" customWidth="1"/>
    <col min="2572" max="2572" width="0.5" style="255" customWidth="1"/>
    <col min="2573" max="2573" width="25.25" style="255"/>
    <col min="2574" max="2574" width="0.5" style="255" customWidth="1"/>
    <col min="2575" max="2575" width="25.25" style="255"/>
    <col min="2576" max="2576" width="14.75" style="255" customWidth="1"/>
    <col min="2577" max="2577" width="11.5" style="255" customWidth="1"/>
    <col min="2578" max="2578" width="11.25" style="255" customWidth="1"/>
    <col min="2579" max="2579" width="10.75" style="255" customWidth="1"/>
    <col min="2580" max="2580" width="10" style="255" customWidth="1"/>
    <col min="2581" max="2581" width="9.875" style="255" customWidth="1"/>
    <col min="2582" max="2582" width="26.125" style="255" customWidth="1"/>
    <col min="2583" max="2583" width="11.125" style="255" customWidth="1"/>
    <col min="2584" max="2584" width="7.875" style="255" customWidth="1"/>
    <col min="2585" max="2585" width="7.25" style="255" customWidth="1"/>
    <col min="2586" max="2586" width="9.125" style="255" customWidth="1"/>
    <col min="2587" max="2587" width="15.125" style="255" customWidth="1"/>
    <col min="2588" max="2588" width="7.75" style="255" customWidth="1"/>
    <col min="2589" max="2589" width="7.125" style="255" customWidth="1"/>
    <col min="2590" max="2590" width="12.125" style="255" customWidth="1"/>
    <col min="2591" max="2591" width="8.25" style="255" customWidth="1"/>
    <col min="2592" max="2593" width="10.375" style="255" customWidth="1"/>
    <col min="2594" max="2594" width="15.625" style="255" customWidth="1"/>
    <col min="2595" max="2595" width="15.875" style="255" customWidth="1"/>
    <col min="2596" max="2596" width="8.125" style="255" customWidth="1"/>
    <col min="2597" max="2600" width="10.375" style="255" customWidth="1"/>
    <col min="2601" max="2601" width="7.25" style="255" customWidth="1"/>
    <col min="2602" max="2602" width="7.125" style="255" customWidth="1"/>
    <col min="2603" max="2603" width="9.5" style="255" customWidth="1"/>
    <col min="2604" max="2605" width="9" style="255" customWidth="1"/>
    <col min="2606" max="2606" width="16.125" style="255" customWidth="1"/>
    <col min="2607" max="2637" width="9" style="255" customWidth="1"/>
    <col min="2638" max="2797" width="25.25" style="255"/>
    <col min="2798" max="2827" width="9" style="255" customWidth="1"/>
    <col min="2828" max="2828" width="0.5" style="255" customWidth="1"/>
    <col min="2829" max="2829" width="25.25" style="255"/>
    <col min="2830" max="2830" width="0.5" style="255" customWidth="1"/>
    <col min="2831" max="2831" width="25.25" style="255"/>
    <col min="2832" max="2832" width="14.75" style="255" customWidth="1"/>
    <col min="2833" max="2833" width="11.5" style="255" customWidth="1"/>
    <col min="2834" max="2834" width="11.25" style="255" customWidth="1"/>
    <col min="2835" max="2835" width="10.75" style="255" customWidth="1"/>
    <col min="2836" max="2836" width="10" style="255" customWidth="1"/>
    <col min="2837" max="2837" width="9.875" style="255" customWidth="1"/>
    <col min="2838" max="2838" width="26.125" style="255" customWidth="1"/>
    <col min="2839" max="2839" width="11.125" style="255" customWidth="1"/>
    <col min="2840" max="2840" width="7.875" style="255" customWidth="1"/>
    <col min="2841" max="2841" width="7.25" style="255" customWidth="1"/>
    <col min="2842" max="2842" width="9.125" style="255" customWidth="1"/>
    <col min="2843" max="2843" width="15.125" style="255" customWidth="1"/>
    <col min="2844" max="2844" width="7.75" style="255" customWidth="1"/>
    <col min="2845" max="2845" width="7.125" style="255" customWidth="1"/>
    <col min="2846" max="2846" width="12.125" style="255" customWidth="1"/>
    <col min="2847" max="2847" width="8.25" style="255" customWidth="1"/>
    <col min="2848" max="2849" width="10.375" style="255" customWidth="1"/>
    <col min="2850" max="2850" width="15.625" style="255" customWidth="1"/>
    <col min="2851" max="2851" width="15.875" style="255" customWidth="1"/>
    <col min="2852" max="2852" width="8.125" style="255" customWidth="1"/>
    <col min="2853" max="2856" width="10.375" style="255" customWidth="1"/>
    <col min="2857" max="2857" width="7.25" style="255" customWidth="1"/>
    <col min="2858" max="2858" width="7.125" style="255" customWidth="1"/>
    <col min="2859" max="2859" width="9.5" style="255" customWidth="1"/>
    <col min="2860" max="2861" width="9" style="255" customWidth="1"/>
    <col min="2862" max="2862" width="16.125" style="255" customWidth="1"/>
    <col min="2863" max="2893" width="9" style="255" customWidth="1"/>
    <col min="2894" max="3053" width="25.25" style="255"/>
    <col min="3054" max="3083" width="9" style="255" customWidth="1"/>
    <col min="3084" max="3084" width="0.5" style="255" customWidth="1"/>
    <col min="3085" max="3085" width="25.25" style="255"/>
    <col min="3086" max="3086" width="0.5" style="255" customWidth="1"/>
    <col min="3087" max="3087" width="25.25" style="255"/>
    <col min="3088" max="3088" width="14.75" style="255" customWidth="1"/>
    <col min="3089" max="3089" width="11.5" style="255" customWidth="1"/>
    <col min="3090" max="3090" width="11.25" style="255" customWidth="1"/>
    <col min="3091" max="3091" width="10.75" style="255" customWidth="1"/>
    <col min="3092" max="3092" width="10" style="255" customWidth="1"/>
    <col min="3093" max="3093" width="9.875" style="255" customWidth="1"/>
    <col min="3094" max="3094" width="26.125" style="255" customWidth="1"/>
    <col min="3095" max="3095" width="11.125" style="255" customWidth="1"/>
    <col min="3096" max="3096" width="7.875" style="255" customWidth="1"/>
    <col min="3097" max="3097" width="7.25" style="255" customWidth="1"/>
    <col min="3098" max="3098" width="9.125" style="255" customWidth="1"/>
    <col min="3099" max="3099" width="15.125" style="255" customWidth="1"/>
    <col min="3100" max="3100" width="7.75" style="255" customWidth="1"/>
    <col min="3101" max="3101" width="7.125" style="255" customWidth="1"/>
    <col min="3102" max="3102" width="12.125" style="255" customWidth="1"/>
    <col min="3103" max="3103" width="8.25" style="255" customWidth="1"/>
    <col min="3104" max="3105" width="10.375" style="255" customWidth="1"/>
    <col min="3106" max="3106" width="15.625" style="255" customWidth="1"/>
    <col min="3107" max="3107" width="15.875" style="255" customWidth="1"/>
    <col min="3108" max="3108" width="8.125" style="255" customWidth="1"/>
    <col min="3109" max="3112" width="10.375" style="255" customWidth="1"/>
    <col min="3113" max="3113" width="7.25" style="255" customWidth="1"/>
    <col min="3114" max="3114" width="7.125" style="255" customWidth="1"/>
    <col min="3115" max="3115" width="9.5" style="255" customWidth="1"/>
    <col min="3116" max="3117" width="9" style="255" customWidth="1"/>
    <col min="3118" max="3118" width="16.125" style="255" customWidth="1"/>
    <col min="3119" max="3149" width="9" style="255" customWidth="1"/>
    <col min="3150" max="3309" width="25.25" style="255"/>
    <col min="3310" max="3339" width="9" style="255" customWidth="1"/>
    <col min="3340" max="3340" width="0.5" style="255" customWidth="1"/>
    <col min="3341" max="3341" width="25.25" style="255"/>
    <col min="3342" max="3342" width="0.5" style="255" customWidth="1"/>
    <col min="3343" max="3343" width="25.25" style="255"/>
    <col min="3344" max="3344" width="14.75" style="255" customWidth="1"/>
    <col min="3345" max="3345" width="11.5" style="255" customWidth="1"/>
    <col min="3346" max="3346" width="11.25" style="255" customWidth="1"/>
    <col min="3347" max="3347" width="10.75" style="255" customWidth="1"/>
    <col min="3348" max="3348" width="10" style="255" customWidth="1"/>
    <col min="3349" max="3349" width="9.875" style="255" customWidth="1"/>
    <col min="3350" max="3350" width="26.125" style="255" customWidth="1"/>
    <col min="3351" max="3351" width="11.125" style="255" customWidth="1"/>
    <col min="3352" max="3352" width="7.875" style="255" customWidth="1"/>
    <col min="3353" max="3353" width="7.25" style="255" customWidth="1"/>
    <col min="3354" max="3354" width="9.125" style="255" customWidth="1"/>
    <col min="3355" max="3355" width="15.125" style="255" customWidth="1"/>
    <col min="3356" max="3356" width="7.75" style="255" customWidth="1"/>
    <col min="3357" max="3357" width="7.125" style="255" customWidth="1"/>
    <col min="3358" max="3358" width="12.125" style="255" customWidth="1"/>
    <col min="3359" max="3359" width="8.25" style="255" customWidth="1"/>
    <col min="3360" max="3361" width="10.375" style="255" customWidth="1"/>
    <col min="3362" max="3362" width="15.625" style="255" customWidth="1"/>
    <col min="3363" max="3363" width="15.875" style="255" customWidth="1"/>
    <col min="3364" max="3364" width="8.125" style="255" customWidth="1"/>
    <col min="3365" max="3368" width="10.375" style="255" customWidth="1"/>
    <col min="3369" max="3369" width="7.25" style="255" customWidth="1"/>
    <col min="3370" max="3370" width="7.125" style="255" customWidth="1"/>
    <col min="3371" max="3371" width="9.5" style="255" customWidth="1"/>
    <col min="3372" max="3373" width="9" style="255" customWidth="1"/>
    <col min="3374" max="3374" width="16.125" style="255" customWidth="1"/>
    <col min="3375" max="3405" width="9" style="255" customWidth="1"/>
    <col min="3406" max="3565" width="25.25" style="255"/>
    <col min="3566" max="3595" width="9" style="255" customWidth="1"/>
    <col min="3596" max="3596" width="0.5" style="255" customWidth="1"/>
    <col min="3597" max="3597" width="25.25" style="255"/>
    <col min="3598" max="3598" width="0.5" style="255" customWidth="1"/>
    <col min="3599" max="3599" width="25.25" style="255"/>
    <col min="3600" max="3600" width="14.75" style="255" customWidth="1"/>
    <col min="3601" max="3601" width="11.5" style="255" customWidth="1"/>
    <col min="3602" max="3602" width="11.25" style="255" customWidth="1"/>
    <col min="3603" max="3603" width="10.75" style="255" customWidth="1"/>
    <col min="3604" max="3604" width="10" style="255" customWidth="1"/>
    <col min="3605" max="3605" width="9.875" style="255" customWidth="1"/>
    <col min="3606" max="3606" width="26.125" style="255" customWidth="1"/>
    <col min="3607" max="3607" width="11.125" style="255" customWidth="1"/>
    <col min="3608" max="3608" width="7.875" style="255" customWidth="1"/>
    <col min="3609" max="3609" width="7.25" style="255" customWidth="1"/>
    <col min="3610" max="3610" width="9.125" style="255" customWidth="1"/>
    <col min="3611" max="3611" width="15.125" style="255" customWidth="1"/>
    <col min="3612" max="3612" width="7.75" style="255" customWidth="1"/>
    <col min="3613" max="3613" width="7.125" style="255" customWidth="1"/>
    <col min="3614" max="3614" width="12.125" style="255" customWidth="1"/>
    <col min="3615" max="3615" width="8.25" style="255" customWidth="1"/>
    <col min="3616" max="3617" width="10.375" style="255" customWidth="1"/>
    <col min="3618" max="3618" width="15.625" style="255" customWidth="1"/>
    <col min="3619" max="3619" width="15.875" style="255" customWidth="1"/>
    <col min="3620" max="3620" width="8.125" style="255" customWidth="1"/>
    <col min="3621" max="3624" width="10.375" style="255" customWidth="1"/>
    <col min="3625" max="3625" width="7.25" style="255" customWidth="1"/>
    <col min="3626" max="3626" width="7.125" style="255" customWidth="1"/>
    <col min="3627" max="3627" width="9.5" style="255" customWidth="1"/>
    <col min="3628" max="3629" width="9" style="255" customWidth="1"/>
    <col min="3630" max="3630" width="16.125" style="255" customWidth="1"/>
    <col min="3631" max="3661" width="9" style="255" customWidth="1"/>
    <col min="3662" max="3821" width="25.25" style="255"/>
    <col min="3822" max="3851" width="9" style="255" customWidth="1"/>
    <col min="3852" max="3852" width="0.5" style="255" customWidth="1"/>
    <col min="3853" max="3853" width="25.25" style="255"/>
    <col min="3854" max="3854" width="0.5" style="255" customWidth="1"/>
    <col min="3855" max="3855" width="25.25" style="255"/>
    <col min="3856" max="3856" width="14.75" style="255" customWidth="1"/>
    <col min="3857" max="3857" width="11.5" style="255" customWidth="1"/>
    <col min="3858" max="3858" width="11.25" style="255" customWidth="1"/>
    <col min="3859" max="3859" width="10.75" style="255" customWidth="1"/>
    <col min="3860" max="3860" width="10" style="255" customWidth="1"/>
    <col min="3861" max="3861" width="9.875" style="255" customWidth="1"/>
    <col min="3862" max="3862" width="26.125" style="255" customWidth="1"/>
    <col min="3863" max="3863" width="11.125" style="255" customWidth="1"/>
    <col min="3864" max="3864" width="7.875" style="255" customWidth="1"/>
    <col min="3865" max="3865" width="7.25" style="255" customWidth="1"/>
    <col min="3866" max="3866" width="9.125" style="255" customWidth="1"/>
    <col min="3867" max="3867" width="15.125" style="255" customWidth="1"/>
    <col min="3868" max="3868" width="7.75" style="255" customWidth="1"/>
    <col min="3869" max="3869" width="7.125" style="255" customWidth="1"/>
    <col min="3870" max="3870" width="12.125" style="255" customWidth="1"/>
    <col min="3871" max="3871" width="8.25" style="255" customWidth="1"/>
    <col min="3872" max="3873" width="10.375" style="255" customWidth="1"/>
    <col min="3874" max="3874" width="15.625" style="255" customWidth="1"/>
    <col min="3875" max="3875" width="15.875" style="255" customWidth="1"/>
    <col min="3876" max="3876" width="8.125" style="255" customWidth="1"/>
    <col min="3877" max="3880" width="10.375" style="255" customWidth="1"/>
    <col min="3881" max="3881" width="7.25" style="255" customWidth="1"/>
    <col min="3882" max="3882" width="7.125" style="255" customWidth="1"/>
    <col min="3883" max="3883" width="9.5" style="255" customWidth="1"/>
    <col min="3884" max="3885" width="9" style="255" customWidth="1"/>
    <col min="3886" max="3886" width="16.125" style="255" customWidth="1"/>
    <col min="3887" max="3917" width="9" style="255" customWidth="1"/>
    <col min="3918" max="4077" width="25.25" style="255"/>
    <col min="4078" max="4107" width="9" style="255" customWidth="1"/>
    <col min="4108" max="4108" width="0.5" style="255" customWidth="1"/>
    <col min="4109" max="4109" width="25.25" style="255"/>
    <col min="4110" max="4110" width="0.5" style="255" customWidth="1"/>
    <col min="4111" max="4111" width="25.25" style="255"/>
    <col min="4112" max="4112" width="14.75" style="255" customWidth="1"/>
    <col min="4113" max="4113" width="11.5" style="255" customWidth="1"/>
    <col min="4114" max="4114" width="11.25" style="255" customWidth="1"/>
    <col min="4115" max="4115" width="10.75" style="255" customWidth="1"/>
    <col min="4116" max="4116" width="10" style="255" customWidth="1"/>
    <col min="4117" max="4117" width="9.875" style="255" customWidth="1"/>
    <col min="4118" max="4118" width="26.125" style="255" customWidth="1"/>
    <col min="4119" max="4119" width="11.125" style="255" customWidth="1"/>
    <col min="4120" max="4120" width="7.875" style="255" customWidth="1"/>
    <col min="4121" max="4121" width="7.25" style="255" customWidth="1"/>
    <col min="4122" max="4122" width="9.125" style="255" customWidth="1"/>
    <col min="4123" max="4123" width="15.125" style="255" customWidth="1"/>
    <col min="4124" max="4124" width="7.75" style="255" customWidth="1"/>
    <col min="4125" max="4125" width="7.125" style="255" customWidth="1"/>
    <col min="4126" max="4126" width="12.125" style="255" customWidth="1"/>
    <col min="4127" max="4127" width="8.25" style="255" customWidth="1"/>
    <col min="4128" max="4129" width="10.375" style="255" customWidth="1"/>
    <col min="4130" max="4130" width="15.625" style="255" customWidth="1"/>
    <col min="4131" max="4131" width="15.875" style="255" customWidth="1"/>
    <col min="4132" max="4132" width="8.125" style="255" customWidth="1"/>
    <col min="4133" max="4136" width="10.375" style="255" customWidth="1"/>
    <col min="4137" max="4137" width="7.25" style="255" customWidth="1"/>
    <col min="4138" max="4138" width="7.125" style="255" customWidth="1"/>
    <col min="4139" max="4139" width="9.5" style="255" customWidth="1"/>
    <col min="4140" max="4141" width="9" style="255" customWidth="1"/>
    <col min="4142" max="4142" width="16.125" style="255" customWidth="1"/>
    <col min="4143" max="4173" width="9" style="255" customWidth="1"/>
    <col min="4174" max="4333" width="25.25" style="255"/>
    <col min="4334" max="4363" width="9" style="255" customWidth="1"/>
    <col min="4364" max="4364" width="0.5" style="255" customWidth="1"/>
    <col min="4365" max="4365" width="25.25" style="255"/>
    <col min="4366" max="4366" width="0.5" style="255" customWidth="1"/>
    <col min="4367" max="4367" width="25.25" style="255"/>
    <col min="4368" max="4368" width="14.75" style="255" customWidth="1"/>
    <col min="4369" max="4369" width="11.5" style="255" customWidth="1"/>
    <col min="4370" max="4370" width="11.25" style="255" customWidth="1"/>
    <col min="4371" max="4371" width="10.75" style="255" customWidth="1"/>
    <col min="4372" max="4372" width="10" style="255" customWidth="1"/>
    <col min="4373" max="4373" width="9.875" style="255" customWidth="1"/>
    <col min="4374" max="4374" width="26.125" style="255" customWidth="1"/>
    <col min="4375" max="4375" width="11.125" style="255" customWidth="1"/>
    <col min="4376" max="4376" width="7.875" style="255" customWidth="1"/>
    <col min="4377" max="4377" width="7.25" style="255" customWidth="1"/>
    <col min="4378" max="4378" width="9.125" style="255" customWidth="1"/>
    <col min="4379" max="4379" width="15.125" style="255" customWidth="1"/>
    <col min="4380" max="4380" width="7.75" style="255" customWidth="1"/>
    <col min="4381" max="4381" width="7.125" style="255" customWidth="1"/>
    <col min="4382" max="4382" width="12.125" style="255" customWidth="1"/>
    <col min="4383" max="4383" width="8.25" style="255" customWidth="1"/>
    <col min="4384" max="4385" width="10.375" style="255" customWidth="1"/>
    <col min="4386" max="4386" width="15.625" style="255" customWidth="1"/>
    <col min="4387" max="4387" width="15.875" style="255" customWidth="1"/>
    <col min="4388" max="4388" width="8.125" style="255" customWidth="1"/>
    <col min="4389" max="4392" width="10.375" style="255" customWidth="1"/>
    <col min="4393" max="4393" width="7.25" style="255" customWidth="1"/>
    <col min="4394" max="4394" width="7.125" style="255" customWidth="1"/>
    <col min="4395" max="4395" width="9.5" style="255" customWidth="1"/>
    <col min="4396" max="4397" width="9" style="255" customWidth="1"/>
    <col min="4398" max="4398" width="16.125" style="255" customWidth="1"/>
    <col min="4399" max="4429" width="9" style="255" customWidth="1"/>
    <col min="4430" max="4589" width="25.25" style="255"/>
    <col min="4590" max="4619" width="9" style="255" customWidth="1"/>
    <col min="4620" max="4620" width="0.5" style="255" customWidth="1"/>
    <col min="4621" max="4621" width="25.25" style="255"/>
    <col min="4622" max="4622" width="0.5" style="255" customWidth="1"/>
    <col min="4623" max="4623" width="25.25" style="255"/>
    <col min="4624" max="4624" width="14.75" style="255" customWidth="1"/>
    <col min="4625" max="4625" width="11.5" style="255" customWidth="1"/>
    <col min="4626" max="4626" width="11.25" style="255" customWidth="1"/>
    <col min="4627" max="4627" width="10.75" style="255" customWidth="1"/>
    <col min="4628" max="4628" width="10" style="255" customWidth="1"/>
    <col min="4629" max="4629" width="9.875" style="255" customWidth="1"/>
    <col min="4630" max="4630" width="26.125" style="255" customWidth="1"/>
    <col min="4631" max="4631" width="11.125" style="255" customWidth="1"/>
    <col min="4632" max="4632" width="7.875" style="255" customWidth="1"/>
    <col min="4633" max="4633" width="7.25" style="255" customWidth="1"/>
    <col min="4634" max="4634" width="9.125" style="255" customWidth="1"/>
    <col min="4635" max="4635" width="15.125" style="255" customWidth="1"/>
    <col min="4636" max="4636" width="7.75" style="255" customWidth="1"/>
    <col min="4637" max="4637" width="7.125" style="255" customWidth="1"/>
    <col min="4638" max="4638" width="12.125" style="255" customWidth="1"/>
    <col min="4639" max="4639" width="8.25" style="255" customWidth="1"/>
    <col min="4640" max="4641" width="10.375" style="255" customWidth="1"/>
    <col min="4642" max="4642" width="15.625" style="255" customWidth="1"/>
    <col min="4643" max="4643" width="15.875" style="255" customWidth="1"/>
    <col min="4644" max="4644" width="8.125" style="255" customWidth="1"/>
    <col min="4645" max="4648" width="10.375" style="255" customWidth="1"/>
    <col min="4649" max="4649" width="7.25" style="255" customWidth="1"/>
    <col min="4650" max="4650" width="7.125" style="255" customWidth="1"/>
    <col min="4651" max="4651" width="9.5" style="255" customWidth="1"/>
    <col min="4652" max="4653" width="9" style="255" customWidth="1"/>
    <col min="4654" max="4654" width="16.125" style="255" customWidth="1"/>
    <col min="4655" max="4685" width="9" style="255" customWidth="1"/>
    <col min="4686" max="4845" width="25.25" style="255"/>
    <col min="4846" max="4875" width="9" style="255" customWidth="1"/>
    <col min="4876" max="4876" width="0.5" style="255" customWidth="1"/>
    <col min="4877" max="4877" width="25.25" style="255"/>
    <col min="4878" max="4878" width="0.5" style="255" customWidth="1"/>
    <col min="4879" max="4879" width="25.25" style="255"/>
    <col min="4880" max="4880" width="14.75" style="255" customWidth="1"/>
    <col min="4881" max="4881" width="11.5" style="255" customWidth="1"/>
    <col min="4882" max="4882" width="11.25" style="255" customWidth="1"/>
    <col min="4883" max="4883" width="10.75" style="255" customWidth="1"/>
    <col min="4884" max="4884" width="10" style="255" customWidth="1"/>
    <col min="4885" max="4885" width="9.875" style="255" customWidth="1"/>
    <col min="4886" max="4886" width="26.125" style="255" customWidth="1"/>
    <col min="4887" max="4887" width="11.125" style="255" customWidth="1"/>
    <col min="4888" max="4888" width="7.875" style="255" customWidth="1"/>
    <col min="4889" max="4889" width="7.25" style="255" customWidth="1"/>
    <col min="4890" max="4890" width="9.125" style="255" customWidth="1"/>
    <col min="4891" max="4891" width="15.125" style="255" customWidth="1"/>
    <col min="4892" max="4892" width="7.75" style="255" customWidth="1"/>
    <col min="4893" max="4893" width="7.125" style="255" customWidth="1"/>
    <col min="4894" max="4894" width="12.125" style="255" customWidth="1"/>
    <col min="4895" max="4895" width="8.25" style="255" customWidth="1"/>
    <col min="4896" max="4897" width="10.375" style="255" customWidth="1"/>
    <col min="4898" max="4898" width="15.625" style="255" customWidth="1"/>
    <col min="4899" max="4899" width="15.875" style="255" customWidth="1"/>
    <col min="4900" max="4900" width="8.125" style="255" customWidth="1"/>
    <col min="4901" max="4904" width="10.375" style="255" customWidth="1"/>
    <col min="4905" max="4905" width="7.25" style="255" customWidth="1"/>
    <col min="4906" max="4906" width="7.125" style="255" customWidth="1"/>
    <col min="4907" max="4907" width="9.5" style="255" customWidth="1"/>
    <col min="4908" max="4909" width="9" style="255" customWidth="1"/>
    <col min="4910" max="4910" width="16.125" style="255" customWidth="1"/>
    <col min="4911" max="4941" width="9" style="255" customWidth="1"/>
    <col min="4942" max="5101" width="25.25" style="255"/>
    <col min="5102" max="5131" width="9" style="255" customWidth="1"/>
    <col min="5132" max="5132" width="0.5" style="255" customWidth="1"/>
    <col min="5133" max="5133" width="25.25" style="255"/>
    <col min="5134" max="5134" width="0.5" style="255" customWidth="1"/>
    <col min="5135" max="5135" width="25.25" style="255"/>
    <col min="5136" max="5136" width="14.75" style="255" customWidth="1"/>
    <col min="5137" max="5137" width="11.5" style="255" customWidth="1"/>
    <col min="5138" max="5138" width="11.25" style="255" customWidth="1"/>
    <col min="5139" max="5139" width="10.75" style="255" customWidth="1"/>
    <col min="5140" max="5140" width="10" style="255" customWidth="1"/>
    <col min="5141" max="5141" width="9.875" style="255" customWidth="1"/>
    <col min="5142" max="5142" width="26.125" style="255" customWidth="1"/>
    <col min="5143" max="5143" width="11.125" style="255" customWidth="1"/>
    <col min="5144" max="5144" width="7.875" style="255" customWidth="1"/>
    <col min="5145" max="5145" width="7.25" style="255" customWidth="1"/>
    <col min="5146" max="5146" width="9.125" style="255" customWidth="1"/>
    <col min="5147" max="5147" width="15.125" style="255" customWidth="1"/>
    <col min="5148" max="5148" width="7.75" style="255" customWidth="1"/>
    <col min="5149" max="5149" width="7.125" style="255" customWidth="1"/>
    <col min="5150" max="5150" width="12.125" style="255" customWidth="1"/>
    <col min="5151" max="5151" width="8.25" style="255" customWidth="1"/>
    <col min="5152" max="5153" width="10.375" style="255" customWidth="1"/>
    <col min="5154" max="5154" width="15.625" style="255" customWidth="1"/>
    <col min="5155" max="5155" width="15.875" style="255" customWidth="1"/>
    <col min="5156" max="5156" width="8.125" style="255" customWidth="1"/>
    <col min="5157" max="5160" width="10.375" style="255" customWidth="1"/>
    <col min="5161" max="5161" width="7.25" style="255" customWidth="1"/>
    <col min="5162" max="5162" width="7.125" style="255" customWidth="1"/>
    <col min="5163" max="5163" width="9.5" style="255" customWidth="1"/>
    <col min="5164" max="5165" width="9" style="255" customWidth="1"/>
    <col min="5166" max="5166" width="16.125" style="255" customWidth="1"/>
    <col min="5167" max="5197" width="9" style="255" customWidth="1"/>
    <col min="5198" max="5357" width="25.25" style="255"/>
    <col min="5358" max="5387" width="9" style="255" customWidth="1"/>
    <col min="5388" max="5388" width="0.5" style="255" customWidth="1"/>
    <col min="5389" max="5389" width="25.25" style="255"/>
    <col min="5390" max="5390" width="0.5" style="255" customWidth="1"/>
    <col min="5391" max="5391" width="25.25" style="255"/>
    <col min="5392" max="5392" width="14.75" style="255" customWidth="1"/>
    <col min="5393" max="5393" width="11.5" style="255" customWidth="1"/>
    <col min="5394" max="5394" width="11.25" style="255" customWidth="1"/>
    <col min="5395" max="5395" width="10.75" style="255" customWidth="1"/>
    <col min="5396" max="5396" width="10" style="255" customWidth="1"/>
    <col min="5397" max="5397" width="9.875" style="255" customWidth="1"/>
    <col min="5398" max="5398" width="26.125" style="255" customWidth="1"/>
    <col min="5399" max="5399" width="11.125" style="255" customWidth="1"/>
    <col min="5400" max="5400" width="7.875" style="255" customWidth="1"/>
    <col min="5401" max="5401" width="7.25" style="255" customWidth="1"/>
    <col min="5402" max="5402" width="9.125" style="255" customWidth="1"/>
    <col min="5403" max="5403" width="15.125" style="255" customWidth="1"/>
    <col min="5404" max="5404" width="7.75" style="255" customWidth="1"/>
    <col min="5405" max="5405" width="7.125" style="255" customWidth="1"/>
    <col min="5406" max="5406" width="12.125" style="255" customWidth="1"/>
    <col min="5407" max="5407" width="8.25" style="255" customWidth="1"/>
    <col min="5408" max="5409" width="10.375" style="255" customWidth="1"/>
    <col min="5410" max="5410" width="15.625" style="255" customWidth="1"/>
    <col min="5411" max="5411" width="15.875" style="255" customWidth="1"/>
    <col min="5412" max="5412" width="8.125" style="255" customWidth="1"/>
    <col min="5413" max="5416" width="10.375" style="255" customWidth="1"/>
    <col min="5417" max="5417" width="7.25" style="255" customWidth="1"/>
    <col min="5418" max="5418" width="7.125" style="255" customWidth="1"/>
    <col min="5419" max="5419" width="9.5" style="255" customWidth="1"/>
    <col min="5420" max="5421" width="9" style="255" customWidth="1"/>
    <col min="5422" max="5422" width="16.125" style="255" customWidth="1"/>
    <col min="5423" max="5453" width="9" style="255" customWidth="1"/>
    <col min="5454" max="5613" width="25.25" style="255"/>
    <col min="5614" max="5643" width="9" style="255" customWidth="1"/>
    <col min="5644" max="5644" width="0.5" style="255" customWidth="1"/>
    <col min="5645" max="5645" width="25.25" style="255"/>
    <col min="5646" max="5646" width="0.5" style="255" customWidth="1"/>
    <col min="5647" max="5647" width="25.25" style="255"/>
    <col min="5648" max="5648" width="14.75" style="255" customWidth="1"/>
    <col min="5649" max="5649" width="11.5" style="255" customWidth="1"/>
    <col min="5650" max="5650" width="11.25" style="255" customWidth="1"/>
    <col min="5651" max="5651" width="10.75" style="255" customWidth="1"/>
    <col min="5652" max="5652" width="10" style="255" customWidth="1"/>
    <col min="5653" max="5653" width="9.875" style="255" customWidth="1"/>
    <col min="5654" max="5654" width="26.125" style="255" customWidth="1"/>
    <col min="5655" max="5655" width="11.125" style="255" customWidth="1"/>
    <col min="5656" max="5656" width="7.875" style="255" customWidth="1"/>
    <col min="5657" max="5657" width="7.25" style="255" customWidth="1"/>
    <col min="5658" max="5658" width="9.125" style="255" customWidth="1"/>
    <col min="5659" max="5659" width="15.125" style="255" customWidth="1"/>
    <col min="5660" max="5660" width="7.75" style="255" customWidth="1"/>
    <col min="5661" max="5661" width="7.125" style="255" customWidth="1"/>
    <col min="5662" max="5662" width="12.125" style="255" customWidth="1"/>
    <col min="5663" max="5663" width="8.25" style="255" customWidth="1"/>
    <col min="5664" max="5665" width="10.375" style="255" customWidth="1"/>
    <col min="5666" max="5666" width="15.625" style="255" customWidth="1"/>
    <col min="5667" max="5667" width="15.875" style="255" customWidth="1"/>
    <col min="5668" max="5668" width="8.125" style="255" customWidth="1"/>
    <col min="5669" max="5672" width="10.375" style="255" customWidth="1"/>
    <col min="5673" max="5673" width="7.25" style="255" customWidth="1"/>
    <col min="5674" max="5674" width="7.125" style="255" customWidth="1"/>
    <col min="5675" max="5675" width="9.5" style="255" customWidth="1"/>
    <col min="5676" max="5677" width="9" style="255" customWidth="1"/>
    <col min="5678" max="5678" width="16.125" style="255" customWidth="1"/>
    <col min="5679" max="5709" width="9" style="255" customWidth="1"/>
    <col min="5710" max="5869" width="25.25" style="255"/>
    <col min="5870" max="5899" width="9" style="255" customWidth="1"/>
    <col min="5900" max="5900" width="0.5" style="255" customWidth="1"/>
    <col min="5901" max="5901" width="25.25" style="255"/>
    <col min="5902" max="5902" width="0.5" style="255" customWidth="1"/>
    <col min="5903" max="5903" width="25.25" style="255"/>
    <col min="5904" max="5904" width="14.75" style="255" customWidth="1"/>
    <col min="5905" max="5905" width="11.5" style="255" customWidth="1"/>
    <col min="5906" max="5906" width="11.25" style="255" customWidth="1"/>
    <col min="5907" max="5907" width="10.75" style="255" customWidth="1"/>
    <col min="5908" max="5908" width="10" style="255" customWidth="1"/>
    <col min="5909" max="5909" width="9.875" style="255" customWidth="1"/>
    <col min="5910" max="5910" width="26.125" style="255" customWidth="1"/>
    <col min="5911" max="5911" width="11.125" style="255" customWidth="1"/>
    <col min="5912" max="5912" width="7.875" style="255" customWidth="1"/>
    <col min="5913" max="5913" width="7.25" style="255" customWidth="1"/>
    <col min="5914" max="5914" width="9.125" style="255" customWidth="1"/>
    <col min="5915" max="5915" width="15.125" style="255" customWidth="1"/>
    <col min="5916" max="5916" width="7.75" style="255" customWidth="1"/>
    <col min="5917" max="5917" width="7.125" style="255" customWidth="1"/>
    <col min="5918" max="5918" width="12.125" style="255" customWidth="1"/>
    <col min="5919" max="5919" width="8.25" style="255" customWidth="1"/>
    <col min="5920" max="5921" width="10.375" style="255" customWidth="1"/>
    <col min="5922" max="5922" width="15.625" style="255" customWidth="1"/>
    <col min="5923" max="5923" width="15.875" style="255" customWidth="1"/>
    <col min="5924" max="5924" width="8.125" style="255" customWidth="1"/>
    <col min="5925" max="5928" width="10.375" style="255" customWidth="1"/>
    <col min="5929" max="5929" width="7.25" style="255" customWidth="1"/>
    <col min="5930" max="5930" width="7.125" style="255" customWidth="1"/>
    <col min="5931" max="5931" width="9.5" style="255" customWidth="1"/>
    <col min="5932" max="5933" width="9" style="255" customWidth="1"/>
    <col min="5934" max="5934" width="16.125" style="255" customWidth="1"/>
    <col min="5935" max="5965" width="9" style="255" customWidth="1"/>
    <col min="5966" max="6125" width="25.25" style="255"/>
    <col min="6126" max="6155" width="9" style="255" customWidth="1"/>
    <col min="6156" max="6156" width="0.5" style="255" customWidth="1"/>
    <col min="6157" max="6157" width="25.25" style="255"/>
    <col min="6158" max="6158" width="0.5" style="255" customWidth="1"/>
    <col min="6159" max="6159" width="25.25" style="255"/>
    <col min="6160" max="6160" width="14.75" style="255" customWidth="1"/>
    <col min="6161" max="6161" width="11.5" style="255" customWidth="1"/>
    <col min="6162" max="6162" width="11.25" style="255" customWidth="1"/>
    <col min="6163" max="6163" width="10.75" style="255" customWidth="1"/>
    <col min="6164" max="6164" width="10" style="255" customWidth="1"/>
    <col min="6165" max="6165" width="9.875" style="255" customWidth="1"/>
    <col min="6166" max="6166" width="26.125" style="255" customWidth="1"/>
    <col min="6167" max="6167" width="11.125" style="255" customWidth="1"/>
    <col min="6168" max="6168" width="7.875" style="255" customWidth="1"/>
    <col min="6169" max="6169" width="7.25" style="255" customWidth="1"/>
    <col min="6170" max="6170" width="9.125" style="255" customWidth="1"/>
    <col min="6171" max="6171" width="15.125" style="255" customWidth="1"/>
    <col min="6172" max="6172" width="7.75" style="255" customWidth="1"/>
    <col min="6173" max="6173" width="7.125" style="255" customWidth="1"/>
    <col min="6174" max="6174" width="12.125" style="255" customWidth="1"/>
    <col min="6175" max="6175" width="8.25" style="255" customWidth="1"/>
    <col min="6176" max="6177" width="10.375" style="255" customWidth="1"/>
    <col min="6178" max="6178" width="15.625" style="255" customWidth="1"/>
    <col min="6179" max="6179" width="15.875" style="255" customWidth="1"/>
    <col min="6180" max="6180" width="8.125" style="255" customWidth="1"/>
    <col min="6181" max="6184" width="10.375" style="255" customWidth="1"/>
    <col min="6185" max="6185" width="7.25" style="255" customWidth="1"/>
    <col min="6186" max="6186" width="7.125" style="255" customWidth="1"/>
    <col min="6187" max="6187" width="9.5" style="255" customWidth="1"/>
    <col min="6188" max="6189" width="9" style="255" customWidth="1"/>
    <col min="6190" max="6190" width="16.125" style="255" customWidth="1"/>
    <col min="6191" max="6221" width="9" style="255" customWidth="1"/>
    <col min="6222" max="6381" width="25.25" style="255"/>
    <col min="6382" max="6411" width="9" style="255" customWidth="1"/>
    <col min="6412" max="6412" width="0.5" style="255" customWidth="1"/>
    <col min="6413" max="6413" width="25.25" style="255"/>
    <col min="6414" max="6414" width="0.5" style="255" customWidth="1"/>
    <col min="6415" max="6415" width="25.25" style="255"/>
    <col min="6416" max="6416" width="14.75" style="255" customWidth="1"/>
    <col min="6417" max="6417" width="11.5" style="255" customWidth="1"/>
    <col min="6418" max="6418" width="11.25" style="255" customWidth="1"/>
    <col min="6419" max="6419" width="10.75" style="255" customWidth="1"/>
    <col min="6420" max="6420" width="10" style="255" customWidth="1"/>
    <col min="6421" max="6421" width="9.875" style="255" customWidth="1"/>
    <col min="6422" max="6422" width="26.125" style="255" customWidth="1"/>
    <col min="6423" max="6423" width="11.125" style="255" customWidth="1"/>
    <col min="6424" max="6424" width="7.875" style="255" customWidth="1"/>
    <col min="6425" max="6425" width="7.25" style="255" customWidth="1"/>
    <col min="6426" max="6426" width="9.125" style="255" customWidth="1"/>
    <col min="6427" max="6427" width="15.125" style="255" customWidth="1"/>
    <col min="6428" max="6428" width="7.75" style="255" customWidth="1"/>
    <col min="6429" max="6429" width="7.125" style="255" customWidth="1"/>
    <col min="6430" max="6430" width="12.125" style="255" customWidth="1"/>
    <col min="6431" max="6431" width="8.25" style="255" customWidth="1"/>
    <col min="6432" max="6433" width="10.375" style="255" customWidth="1"/>
    <col min="6434" max="6434" width="15.625" style="255" customWidth="1"/>
    <col min="6435" max="6435" width="15.875" style="255" customWidth="1"/>
    <col min="6436" max="6436" width="8.125" style="255" customWidth="1"/>
    <col min="6437" max="6440" width="10.375" style="255" customWidth="1"/>
    <col min="6441" max="6441" width="7.25" style="255" customWidth="1"/>
    <col min="6442" max="6442" width="7.125" style="255" customWidth="1"/>
    <col min="6443" max="6443" width="9.5" style="255" customWidth="1"/>
    <col min="6444" max="6445" width="9" style="255" customWidth="1"/>
    <col min="6446" max="6446" width="16.125" style="255" customWidth="1"/>
    <col min="6447" max="6477" width="9" style="255" customWidth="1"/>
    <col min="6478" max="6637" width="25.25" style="255"/>
    <col min="6638" max="6667" width="9" style="255" customWidth="1"/>
    <col min="6668" max="6668" width="0.5" style="255" customWidth="1"/>
    <col min="6669" max="6669" width="25.25" style="255"/>
    <col min="6670" max="6670" width="0.5" style="255" customWidth="1"/>
    <col min="6671" max="6671" width="25.25" style="255"/>
    <col min="6672" max="6672" width="14.75" style="255" customWidth="1"/>
    <col min="6673" max="6673" width="11.5" style="255" customWidth="1"/>
    <col min="6674" max="6674" width="11.25" style="255" customWidth="1"/>
    <col min="6675" max="6675" width="10.75" style="255" customWidth="1"/>
    <col min="6676" max="6676" width="10" style="255" customWidth="1"/>
    <col min="6677" max="6677" width="9.875" style="255" customWidth="1"/>
    <col min="6678" max="6678" width="26.125" style="255" customWidth="1"/>
    <col min="6679" max="6679" width="11.125" style="255" customWidth="1"/>
    <col min="6680" max="6680" width="7.875" style="255" customWidth="1"/>
    <col min="6681" max="6681" width="7.25" style="255" customWidth="1"/>
    <col min="6682" max="6682" width="9.125" style="255" customWidth="1"/>
    <col min="6683" max="6683" width="15.125" style="255" customWidth="1"/>
    <col min="6684" max="6684" width="7.75" style="255" customWidth="1"/>
    <col min="6685" max="6685" width="7.125" style="255" customWidth="1"/>
    <col min="6686" max="6686" width="12.125" style="255" customWidth="1"/>
    <col min="6687" max="6687" width="8.25" style="255" customWidth="1"/>
    <col min="6688" max="6689" width="10.375" style="255" customWidth="1"/>
    <col min="6690" max="6690" width="15.625" style="255" customWidth="1"/>
    <col min="6691" max="6691" width="15.875" style="255" customWidth="1"/>
    <col min="6692" max="6692" width="8.125" style="255" customWidth="1"/>
    <col min="6693" max="6696" width="10.375" style="255" customWidth="1"/>
    <col min="6697" max="6697" width="7.25" style="255" customWidth="1"/>
    <col min="6698" max="6698" width="7.125" style="255" customWidth="1"/>
    <col min="6699" max="6699" width="9.5" style="255" customWidth="1"/>
    <col min="6700" max="6701" width="9" style="255" customWidth="1"/>
    <col min="6702" max="6702" width="16.125" style="255" customWidth="1"/>
    <col min="6703" max="6733" width="9" style="255" customWidth="1"/>
    <col min="6734" max="6893" width="25.25" style="255"/>
    <col min="6894" max="6923" width="9" style="255" customWidth="1"/>
    <col min="6924" max="6924" width="0.5" style="255" customWidth="1"/>
    <col min="6925" max="6925" width="25.25" style="255"/>
    <col min="6926" max="6926" width="0.5" style="255" customWidth="1"/>
    <col min="6927" max="6927" width="25.25" style="255"/>
    <col min="6928" max="6928" width="14.75" style="255" customWidth="1"/>
    <col min="6929" max="6929" width="11.5" style="255" customWidth="1"/>
    <col min="6930" max="6930" width="11.25" style="255" customWidth="1"/>
    <col min="6931" max="6931" width="10.75" style="255" customWidth="1"/>
    <col min="6932" max="6932" width="10" style="255" customWidth="1"/>
    <col min="6933" max="6933" width="9.875" style="255" customWidth="1"/>
    <col min="6934" max="6934" width="26.125" style="255" customWidth="1"/>
    <col min="6935" max="6935" width="11.125" style="255" customWidth="1"/>
    <col min="6936" max="6936" width="7.875" style="255" customWidth="1"/>
    <col min="6937" max="6937" width="7.25" style="255" customWidth="1"/>
    <col min="6938" max="6938" width="9.125" style="255" customWidth="1"/>
    <col min="6939" max="6939" width="15.125" style="255" customWidth="1"/>
    <col min="6940" max="6940" width="7.75" style="255" customWidth="1"/>
    <col min="6941" max="6941" width="7.125" style="255" customWidth="1"/>
    <col min="6942" max="6942" width="12.125" style="255" customWidth="1"/>
    <col min="6943" max="6943" width="8.25" style="255" customWidth="1"/>
    <col min="6944" max="6945" width="10.375" style="255" customWidth="1"/>
    <col min="6946" max="6946" width="15.625" style="255" customWidth="1"/>
    <col min="6947" max="6947" width="15.875" style="255" customWidth="1"/>
    <col min="6948" max="6948" width="8.125" style="255" customWidth="1"/>
    <col min="6949" max="6952" width="10.375" style="255" customWidth="1"/>
    <col min="6953" max="6953" width="7.25" style="255" customWidth="1"/>
    <col min="6954" max="6954" width="7.125" style="255" customWidth="1"/>
    <col min="6955" max="6955" width="9.5" style="255" customWidth="1"/>
    <col min="6956" max="6957" width="9" style="255" customWidth="1"/>
    <col min="6958" max="6958" width="16.125" style="255" customWidth="1"/>
    <col min="6959" max="6989" width="9" style="255" customWidth="1"/>
    <col min="6990" max="7149" width="25.25" style="255"/>
    <col min="7150" max="7179" width="9" style="255" customWidth="1"/>
    <col min="7180" max="7180" width="0.5" style="255" customWidth="1"/>
    <col min="7181" max="7181" width="25.25" style="255"/>
    <col min="7182" max="7182" width="0.5" style="255" customWidth="1"/>
    <col min="7183" max="7183" width="25.25" style="255"/>
    <col min="7184" max="7184" width="14.75" style="255" customWidth="1"/>
    <col min="7185" max="7185" width="11.5" style="255" customWidth="1"/>
    <col min="7186" max="7186" width="11.25" style="255" customWidth="1"/>
    <col min="7187" max="7187" width="10.75" style="255" customWidth="1"/>
    <col min="7188" max="7188" width="10" style="255" customWidth="1"/>
    <col min="7189" max="7189" width="9.875" style="255" customWidth="1"/>
    <col min="7190" max="7190" width="26.125" style="255" customWidth="1"/>
    <col min="7191" max="7191" width="11.125" style="255" customWidth="1"/>
    <col min="7192" max="7192" width="7.875" style="255" customWidth="1"/>
    <col min="7193" max="7193" width="7.25" style="255" customWidth="1"/>
    <col min="7194" max="7194" width="9.125" style="255" customWidth="1"/>
    <col min="7195" max="7195" width="15.125" style="255" customWidth="1"/>
    <col min="7196" max="7196" width="7.75" style="255" customWidth="1"/>
    <col min="7197" max="7197" width="7.125" style="255" customWidth="1"/>
    <col min="7198" max="7198" width="12.125" style="255" customWidth="1"/>
    <col min="7199" max="7199" width="8.25" style="255" customWidth="1"/>
    <col min="7200" max="7201" width="10.375" style="255" customWidth="1"/>
    <col min="7202" max="7202" width="15.625" style="255" customWidth="1"/>
    <col min="7203" max="7203" width="15.875" style="255" customWidth="1"/>
    <col min="7204" max="7204" width="8.125" style="255" customWidth="1"/>
    <col min="7205" max="7208" width="10.375" style="255" customWidth="1"/>
    <col min="7209" max="7209" width="7.25" style="255" customWidth="1"/>
    <col min="7210" max="7210" width="7.125" style="255" customWidth="1"/>
    <col min="7211" max="7211" width="9.5" style="255" customWidth="1"/>
    <col min="7212" max="7213" width="9" style="255" customWidth="1"/>
    <col min="7214" max="7214" width="16.125" style="255" customWidth="1"/>
    <col min="7215" max="7245" width="9" style="255" customWidth="1"/>
    <col min="7246" max="7405" width="25.25" style="255"/>
    <col min="7406" max="7435" width="9" style="255" customWidth="1"/>
    <col min="7436" max="7436" width="0.5" style="255" customWidth="1"/>
    <col min="7437" max="7437" width="25.25" style="255"/>
    <col min="7438" max="7438" width="0.5" style="255" customWidth="1"/>
    <col min="7439" max="7439" width="25.25" style="255"/>
    <col min="7440" max="7440" width="14.75" style="255" customWidth="1"/>
    <col min="7441" max="7441" width="11.5" style="255" customWidth="1"/>
    <col min="7442" max="7442" width="11.25" style="255" customWidth="1"/>
    <col min="7443" max="7443" width="10.75" style="255" customWidth="1"/>
    <col min="7444" max="7444" width="10" style="255" customWidth="1"/>
    <col min="7445" max="7445" width="9.875" style="255" customWidth="1"/>
    <col min="7446" max="7446" width="26.125" style="255" customWidth="1"/>
    <col min="7447" max="7447" width="11.125" style="255" customWidth="1"/>
    <col min="7448" max="7448" width="7.875" style="255" customWidth="1"/>
    <col min="7449" max="7449" width="7.25" style="255" customWidth="1"/>
    <col min="7450" max="7450" width="9.125" style="255" customWidth="1"/>
    <col min="7451" max="7451" width="15.125" style="255" customWidth="1"/>
    <col min="7452" max="7452" width="7.75" style="255" customWidth="1"/>
    <col min="7453" max="7453" width="7.125" style="255" customWidth="1"/>
    <col min="7454" max="7454" width="12.125" style="255" customWidth="1"/>
    <col min="7455" max="7455" width="8.25" style="255" customWidth="1"/>
    <col min="7456" max="7457" width="10.375" style="255" customWidth="1"/>
    <col min="7458" max="7458" width="15.625" style="255" customWidth="1"/>
    <col min="7459" max="7459" width="15.875" style="255" customWidth="1"/>
    <col min="7460" max="7460" width="8.125" style="255" customWidth="1"/>
    <col min="7461" max="7464" width="10.375" style="255" customWidth="1"/>
    <col min="7465" max="7465" width="7.25" style="255" customWidth="1"/>
    <col min="7466" max="7466" width="7.125" style="255" customWidth="1"/>
    <col min="7467" max="7467" width="9.5" style="255" customWidth="1"/>
    <col min="7468" max="7469" width="9" style="255" customWidth="1"/>
    <col min="7470" max="7470" width="16.125" style="255" customWidth="1"/>
    <col min="7471" max="7501" width="9" style="255" customWidth="1"/>
    <col min="7502" max="7661" width="25.25" style="255"/>
    <col min="7662" max="7691" width="9" style="255" customWidth="1"/>
    <col min="7692" max="7692" width="0.5" style="255" customWidth="1"/>
    <col min="7693" max="7693" width="25.25" style="255"/>
    <col min="7694" max="7694" width="0.5" style="255" customWidth="1"/>
    <col min="7695" max="7695" width="25.25" style="255"/>
    <col min="7696" max="7696" width="14.75" style="255" customWidth="1"/>
    <col min="7697" max="7697" width="11.5" style="255" customWidth="1"/>
    <col min="7698" max="7698" width="11.25" style="255" customWidth="1"/>
    <col min="7699" max="7699" width="10.75" style="255" customWidth="1"/>
    <col min="7700" max="7700" width="10" style="255" customWidth="1"/>
    <col min="7701" max="7701" width="9.875" style="255" customWidth="1"/>
    <col min="7702" max="7702" width="26.125" style="255" customWidth="1"/>
    <col min="7703" max="7703" width="11.125" style="255" customWidth="1"/>
    <col min="7704" max="7704" width="7.875" style="255" customWidth="1"/>
    <col min="7705" max="7705" width="7.25" style="255" customWidth="1"/>
    <col min="7706" max="7706" width="9.125" style="255" customWidth="1"/>
    <col min="7707" max="7707" width="15.125" style="255" customWidth="1"/>
    <col min="7708" max="7708" width="7.75" style="255" customWidth="1"/>
    <col min="7709" max="7709" width="7.125" style="255" customWidth="1"/>
    <col min="7710" max="7710" width="12.125" style="255" customWidth="1"/>
    <col min="7711" max="7711" width="8.25" style="255" customWidth="1"/>
    <col min="7712" max="7713" width="10.375" style="255" customWidth="1"/>
    <col min="7714" max="7714" width="15.625" style="255" customWidth="1"/>
    <col min="7715" max="7715" width="15.875" style="255" customWidth="1"/>
    <col min="7716" max="7716" width="8.125" style="255" customWidth="1"/>
    <col min="7717" max="7720" width="10.375" style="255" customWidth="1"/>
    <col min="7721" max="7721" width="7.25" style="255" customWidth="1"/>
    <col min="7722" max="7722" width="7.125" style="255" customWidth="1"/>
    <col min="7723" max="7723" width="9.5" style="255" customWidth="1"/>
    <col min="7724" max="7725" width="9" style="255" customWidth="1"/>
    <col min="7726" max="7726" width="16.125" style="255" customWidth="1"/>
    <col min="7727" max="7757" width="9" style="255" customWidth="1"/>
    <col min="7758" max="7917" width="25.25" style="255"/>
    <col min="7918" max="7947" width="9" style="255" customWidth="1"/>
    <col min="7948" max="7948" width="0.5" style="255" customWidth="1"/>
    <col min="7949" max="7949" width="25.25" style="255"/>
    <col min="7950" max="7950" width="0.5" style="255" customWidth="1"/>
    <col min="7951" max="7951" width="25.25" style="255"/>
    <col min="7952" max="7952" width="14.75" style="255" customWidth="1"/>
    <col min="7953" max="7953" width="11.5" style="255" customWidth="1"/>
    <col min="7954" max="7954" width="11.25" style="255" customWidth="1"/>
    <col min="7955" max="7955" width="10.75" style="255" customWidth="1"/>
    <col min="7956" max="7956" width="10" style="255" customWidth="1"/>
    <col min="7957" max="7957" width="9.875" style="255" customWidth="1"/>
    <col min="7958" max="7958" width="26.125" style="255" customWidth="1"/>
    <col min="7959" max="7959" width="11.125" style="255" customWidth="1"/>
    <col min="7960" max="7960" width="7.875" style="255" customWidth="1"/>
    <col min="7961" max="7961" width="7.25" style="255" customWidth="1"/>
    <col min="7962" max="7962" width="9.125" style="255" customWidth="1"/>
    <col min="7963" max="7963" width="15.125" style="255" customWidth="1"/>
    <col min="7964" max="7964" width="7.75" style="255" customWidth="1"/>
    <col min="7965" max="7965" width="7.125" style="255" customWidth="1"/>
    <col min="7966" max="7966" width="12.125" style="255" customWidth="1"/>
    <col min="7967" max="7967" width="8.25" style="255" customWidth="1"/>
    <col min="7968" max="7969" width="10.375" style="255" customWidth="1"/>
    <col min="7970" max="7970" width="15.625" style="255" customWidth="1"/>
    <col min="7971" max="7971" width="15.875" style="255" customWidth="1"/>
    <col min="7972" max="7972" width="8.125" style="255" customWidth="1"/>
    <col min="7973" max="7976" width="10.375" style="255" customWidth="1"/>
    <col min="7977" max="7977" width="7.25" style="255" customWidth="1"/>
    <col min="7978" max="7978" width="7.125" style="255" customWidth="1"/>
    <col min="7979" max="7979" width="9.5" style="255" customWidth="1"/>
    <col min="7980" max="7981" width="9" style="255" customWidth="1"/>
    <col min="7982" max="7982" width="16.125" style="255" customWidth="1"/>
    <col min="7983" max="8013" width="9" style="255" customWidth="1"/>
    <col min="8014" max="8173" width="25.25" style="255"/>
    <col min="8174" max="8203" width="9" style="255" customWidth="1"/>
    <col min="8204" max="8204" width="0.5" style="255" customWidth="1"/>
    <col min="8205" max="8205" width="25.25" style="255"/>
    <col min="8206" max="8206" width="0.5" style="255" customWidth="1"/>
    <col min="8207" max="8207" width="25.25" style="255"/>
    <col min="8208" max="8208" width="14.75" style="255" customWidth="1"/>
    <col min="8209" max="8209" width="11.5" style="255" customWidth="1"/>
    <col min="8210" max="8210" width="11.25" style="255" customWidth="1"/>
    <col min="8211" max="8211" width="10.75" style="255" customWidth="1"/>
    <col min="8212" max="8212" width="10" style="255" customWidth="1"/>
    <col min="8213" max="8213" width="9.875" style="255" customWidth="1"/>
    <col min="8214" max="8214" width="26.125" style="255" customWidth="1"/>
    <col min="8215" max="8215" width="11.125" style="255" customWidth="1"/>
    <col min="8216" max="8216" width="7.875" style="255" customWidth="1"/>
    <col min="8217" max="8217" width="7.25" style="255" customWidth="1"/>
    <col min="8218" max="8218" width="9.125" style="255" customWidth="1"/>
    <col min="8219" max="8219" width="15.125" style="255" customWidth="1"/>
    <col min="8220" max="8220" width="7.75" style="255" customWidth="1"/>
    <col min="8221" max="8221" width="7.125" style="255" customWidth="1"/>
    <col min="8222" max="8222" width="12.125" style="255" customWidth="1"/>
    <col min="8223" max="8223" width="8.25" style="255" customWidth="1"/>
    <col min="8224" max="8225" width="10.375" style="255" customWidth="1"/>
    <col min="8226" max="8226" width="15.625" style="255" customWidth="1"/>
    <col min="8227" max="8227" width="15.875" style="255" customWidth="1"/>
    <col min="8228" max="8228" width="8.125" style="255" customWidth="1"/>
    <col min="8229" max="8232" width="10.375" style="255" customWidth="1"/>
    <col min="8233" max="8233" width="7.25" style="255" customWidth="1"/>
    <col min="8234" max="8234" width="7.125" style="255" customWidth="1"/>
    <col min="8235" max="8235" width="9.5" style="255" customWidth="1"/>
    <col min="8236" max="8237" width="9" style="255" customWidth="1"/>
    <col min="8238" max="8238" width="16.125" style="255" customWidth="1"/>
    <col min="8239" max="8269" width="9" style="255" customWidth="1"/>
    <col min="8270" max="8429" width="25.25" style="255"/>
    <col min="8430" max="8459" width="9" style="255" customWidth="1"/>
    <col min="8460" max="8460" width="0.5" style="255" customWidth="1"/>
    <col min="8461" max="8461" width="25.25" style="255"/>
    <col min="8462" max="8462" width="0.5" style="255" customWidth="1"/>
    <col min="8463" max="8463" width="25.25" style="255"/>
    <col min="8464" max="8464" width="14.75" style="255" customWidth="1"/>
    <col min="8465" max="8465" width="11.5" style="255" customWidth="1"/>
    <col min="8466" max="8466" width="11.25" style="255" customWidth="1"/>
    <col min="8467" max="8467" width="10.75" style="255" customWidth="1"/>
    <col min="8468" max="8468" width="10" style="255" customWidth="1"/>
    <col min="8469" max="8469" width="9.875" style="255" customWidth="1"/>
    <col min="8470" max="8470" width="26.125" style="255" customWidth="1"/>
    <col min="8471" max="8471" width="11.125" style="255" customWidth="1"/>
    <col min="8472" max="8472" width="7.875" style="255" customWidth="1"/>
    <col min="8473" max="8473" width="7.25" style="255" customWidth="1"/>
    <col min="8474" max="8474" width="9.125" style="255" customWidth="1"/>
    <col min="8475" max="8475" width="15.125" style="255" customWidth="1"/>
    <col min="8476" max="8476" width="7.75" style="255" customWidth="1"/>
    <col min="8477" max="8477" width="7.125" style="255" customWidth="1"/>
    <col min="8478" max="8478" width="12.125" style="255" customWidth="1"/>
    <col min="8479" max="8479" width="8.25" style="255" customWidth="1"/>
    <col min="8480" max="8481" width="10.375" style="255" customWidth="1"/>
    <col min="8482" max="8482" width="15.625" style="255" customWidth="1"/>
    <col min="8483" max="8483" width="15.875" style="255" customWidth="1"/>
    <col min="8484" max="8484" width="8.125" style="255" customWidth="1"/>
    <col min="8485" max="8488" width="10.375" style="255" customWidth="1"/>
    <col min="8489" max="8489" width="7.25" style="255" customWidth="1"/>
    <col min="8490" max="8490" width="7.125" style="255" customWidth="1"/>
    <col min="8491" max="8491" width="9.5" style="255" customWidth="1"/>
    <col min="8492" max="8493" width="9" style="255" customWidth="1"/>
    <col min="8494" max="8494" width="16.125" style="255" customWidth="1"/>
    <col min="8495" max="8525" width="9" style="255" customWidth="1"/>
    <col min="8526" max="8685" width="25.25" style="255"/>
    <col min="8686" max="8715" width="9" style="255" customWidth="1"/>
    <col min="8716" max="8716" width="0.5" style="255" customWidth="1"/>
    <col min="8717" max="8717" width="25.25" style="255"/>
    <col min="8718" max="8718" width="0.5" style="255" customWidth="1"/>
    <col min="8719" max="8719" width="25.25" style="255"/>
    <col min="8720" max="8720" width="14.75" style="255" customWidth="1"/>
    <col min="8721" max="8721" width="11.5" style="255" customWidth="1"/>
    <col min="8722" max="8722" width="11.25" style="255" customWidth="1"/>
    <col min="8723" max="8723" width="10.75" style="255" customWidth="1"/>
    <col min="8724" max="8724" width="10" style="255" customWidth="1"/>
    <col min="8725" max="8725" width="9.875" style="255" customWidth="1"/>
    <col min="8726" max="8726" width="26.125" style="255" customWidth="1"/>
    <col min="8727" max="8727" width="11.125" style="255" customWidth="1"/>
    <col min="8728" max="8728" width="7.875" style="255" customWidth="1"/>
    <col min="8729" max="8729" width="7.25" style="255" customWidth="1"/>
    <col min="8730" max="8730" width="9.125" style="255" customWidth="1"/>
    <col min="8731" max="8731" width="15.125" style="255" customWidth="1"/>
    <col min="8732" max="8732" width="7.75" style="255" customWidth="1"/>
    <col min="8733" max="8733" width="7.125" style="255" customWidth="1"/>
    <col min="8734" max="8734" width="12.125" style="255" customWidth="1"/>
    <col min="8735" max="8735" width="8.25" style="255" customWidth="1"/>
    <col min="8736" max="8737" width="10.375" style="255" customWidth="1"/>
    <col min="8738" max="8738" width="15.625" style="255" customWidth="1"/>
    <col min="8739" max="8739" width="15.875" style="255" customWidth="1"/>
    <col min="8740" max="8740" width="8.125" style="255" customWidth="1"/>
    <col min="8741" max="8744" width="10.375" style="255" customWidth="1"/>
    <col min="8745" max="8745" width="7.25" style="255" customWidth="1"/>
    <col min="8746" max="8746" width="7.125" style="255" customWidth="1"/>
    <col min="8747" max="8747" width="9.5" style="255" customWidth="1"/>
    <col min="8748" max="8749" width="9" style="255" customWidth="1"/>
    <col min="8750" max="8750" width="16.125" style="255" customWidth="1"/>
    <col min="8751" max="8781" width="9" style="255" customWidth="1"/>
    <col min="8782" max="8941" width="25.25" style="255"/>
    <col min="8942" max="8971" width="9" style="255" customWidth="1"/>
    <col min="8972" max="8972" width="0.5" style="255" customWidth="1"/>
    <col min="8973" max="8973" width="25.25" style="255"/>
    <col min="8974" max="8974" width="0.5" style="255" customWidth="1"/>
    <col min="8975" max="8975" width="25.25" style="255"/>
    <col min="8976" max="8976" width="14.75" style="255" customWidth="1"/>
    <col min="8977" max="8977" width="11.5" style="255" customWidth="1"/>
    <col min="8978" max="8978" width="11.25" style="255" customWidth="1"/>
    <col min="8979" max="8979" width="10.75" style="255" customWidth="1"/>
    <col min="8980" max="8980" width="10" style="255" customWidth="1"/>
    <col min="8981" max="8981" width="9.875" style="255" customWidth="1"/>
    <col min="8982" max="8982" width="26.125" style="255" customWidth="1"/>
    <col min="8983" max="8983" width="11.125" style="255" customWidth="1"/>
    <col min="8984" max="8984" width="7.875" style="255" customWidth="1"/>
    <col min="8985" max="8985" width="7.25" style="255" customWidth="1"/>
    <col min="8986" max="8986" width="9.125" style="255" customWidth="1"/>
    <col min="8987" max="8987" width="15.125" style="255" customWidth="1"/>
    <col min="8988" max="8988" width="7.75" style="255" customWidth="1"/>
    <col min="8989" max="8989" width="7.125" style="255" customWidth="1"/>
    <col min="8990" max="8990" width="12.125" style="255" customWidth="1"/>
    <col min="8991" max="8991" width="8.25" style="255" customWidth="1"/>
    <col min="8992" max="8993" width="10.375" style="255" customWidth="1"/>
    <col min="8994" max="8994" width="15.625" style="255" customWidth="1"/>
    <col min="8995" max="8995" width="15.875" style="255" customWidth="1"/>
    <col min="8996" max="8996" width="8.125" style="255" customWidth="1"/>
    <col min="8997" max="9000" width="10.375" style="255" customWidth="1"/>
    <col min="9001" max="9001" width="7.25" style="255" customWidth="1"/>
    <col min="9002" max="9002" width="7.125" style="255" customWidth="1"/>
    <col min="9003" max="9003" width="9.5" style="255" customWidth="1"/>
    <col min="9004" max="9005" width="9" style="255" customWidth="1"/>
    <col min="9006" max="9006" width="16.125" style="255" customWidth="1"/>
    <col min="9007" max="9037" width="9" style="255" customWidth="1"/>
    <col min="9038" max="9197" width="25.25" style="255"/>
    <col min="9198" max="9227" width="9" style="255" customWidth="1"/>
    <col min="9228" max="9228" width="0.5" style="255" customWidth="1"/>
    <col min="9229" max="9229" width="25.25" style="255"/>
    <col min="9230" max="9230" width="0.5" style="255" customWidth="1"/>
    <col min="9231" max="9231" width="25.25" style="255"/>
    <col min="9232" max="9232" width="14.75" style="255" customWidth="1"/>
    <col min="9233" max="9233" width="11.5" style="255" customWidth="1"/>
    <col min="9234" max="9234" width="11.25" style="255" customWidth="1"/>
    <col min="9235" max="9235" width="10.75" style="255" customWidth="1"/>
    <col min="9236" max="9236" width="10" style="255" customWidth="1"/>
    <col min="9237" max="9237" width="9.875" style="255" customWidth="1"/>
    <col min="9238" max="9238" width="26.125" style="255" customWidth="1"/>
    <col min="9239" max="9239" width="11.125" style="255" customWidth="1"/>
    <col min="9240" max="9240" width="7.875" style="255" customWidth="1"/>
    <col min="9241" max="9241" width="7.25" style="255" customWidth="1"/>
    <col min="9242" max="9242" width="9.125" style="255" customWidth="1"/>
    <col min="9243" max="9243" width="15.125" style="255" customWidth="1"/>
    <col min="9244" max="9244" width="7.75" style="255" customWidth="1"/>
    <col min="9245" max="9245" width="7.125" style="255" customWidth="1"/>
    <col min="9246" max="9246" width="12.125" style="255" customWidth="1"/>
    <col min="9247" max="9247" width="8.25" style="255" customWidth="1"/>
    <col min="9248" max="9249" width="10.375" style="255" customWidth="1"/>
    <col min="9250" max="9250" width="15.625" style="255" customWidth="1"/>
    <col min="9251" max="9251" width="15.875" style="255" customWidth="1"/>
    <col min="9252" max="9252" width="8.125" style="255" customWidth="1"/>
    <col min="9253" max="9256" width="10.375" style="255" customWidth="1"/>
    <col min="9257" max="9257" width="7.25" style="255" customWidth="1"/>
    <col min="9258" max="9258" width="7.125" style="255" customWidth="1"/>
    <col min="9259" max="9259" width="9.5" style="255" customWidth="1"/>
    <col min="9260" max="9261" width="9" style="255" customWidth="1"/>
    <col min="9262" max="9262" width="16.125" style="255" customWidth="1"/>
    <col min="9263" max="9293" width="9" style="255" customWidth="1"/>
    <col min="9294" max="9453" width="25.25" style="255"/>
    <col min="9454" max="9483" width="9" style="255" customWidth="1"/>
    <col min="9484" max="9484" width="0.5" style="255" customWidth="1"/>
    <col min="9485" max="9485" width="25.25" style="255"/>
    <col min="9486" max="9486" width="0.5" style="255" customWidth="1"/>
    <col min="9487" max="9487" width="25.25" style="255"/>
    <col min="9488" max="9488" width="14.75" style="255" customWidth="1"/>
    <col min="9489" max="9489" width="11.5" style="255" customWidth="1"/>
    <col min="9490" max="9490" width="11.25" style="255" customWidth="1"/>
    <col min="9491" max="9491" width="10.75" style="255" customWidth="1"/>
    <col min="9492" max="9492" width="10" style="255" customWidth="1"/>
    <col min="9493" max="9493" width="9.875" style="255" customWidth="1"/>
    <col min="9494" max="9494" width="26.125" style="255" customWidth="1"/>
    <col min="9495" max="9495" width="11.125" style="255" customWidth="1"/>
    <col min="9496" max="9496" width="7.875" style="255" customWidth="1"/>
    <col min="9497" max="9497" width="7.25" style="255" customWidth="1"/>
    <col min="9498" max="9498" width="9.125" style="255" customWidth="1"/>
    <col min="9499" max="9499" width="15.125" style="255" customWidth="1"/>
    <col min="9500" max="9500" width="7.75" style="255" customWidth="1"/>
    <col min="9501" max="9501" width="7.125" style="255" customWidth="1"/>
    <col min="9502" max="9502" width="12.125" style="255" customWidth="1"/>
    <col min="9503" max="9503" width="8.25" style="255" customWidth="1"/>
    <col min="9504" max="9505" width="10.375" style="255" customWidth="1"/>
    <col min="9506" max="9506" width="15.625" style="255" customWidth="1"/>
    <col min="9507" max="9507" width="15.875" style="255" customWidth="1"/>
    <col min="9508" max="9508" width="8.125" style="255" customWidth="1"/>
    <col min="9509" max="9512" width="10.375" style="255" customWidth="1"/>
    <col min="9513" max="9513" width="7.25" style="255" customWidth="1"/>
    <col min="9514" max="9514" width="7.125" style="255" customWidth="1"/>
    <col min="9515" max="9515" width="9.5" style="255" customWidth="1"/>
    <col min="9516" max="9517" width="9" style="255" customWidth="1"/>
    <col min="9518" max="9518" width="16.125" style="255" customWidth="1"/>
    <col min="9519" max="9549" width="9" style="255" customWidth="1"/>
    <col min="9550" max="9709" width="25.25" style="255"/>
    <col min="9710" max="9739" width="9" style="255" customWidth="1"/>
    <col min="9740" max="9740" width="0.5" style="255" customWidth="1"/>
    <col min="9741" max="9741" width="25.25" style="255"/>
    <col min="9742" max="9742" width="0.5" style="255" customWidth="1"/>
    <col min="9743" max="9743" width="25.25" style="255"/>
    <col min="9744" max="9744" width="14.75" style="255" customWidth="1"/>
    <col min="9745" max="9745" width="11.5" style="255" customWidth="1"/>
    <col min="9746" max="9746" width="11.25" style="255" customWidth="1"/>
    <col min="9747" max="9747" width="10.75" style="255" customWidth="1"/>
    <col min="9748" max="9748" width="10" style="255" customWidth="1"/>
    <col min="9749" max="9749" width="9.875" style="255" customWidth="1"/>
    <col min="9750" max="9750" width="26.125" style="255" customWidth="1"/>
    <col min="9751" max="9751" width="11.125" style="255" customWidth="1"/>
    <col min="9752" max="9752" width="7.875" style="255" customWidth="1"/>
    <col min="9753" max="9753" width="7.25" style="255" customWidth="1"/>
    <col min="9754" max="9754" width="9.125" style="255" customWidth="1"/>
    <col min="9755" max="9755" width="15.125" style="255" customWidth="1"/>
    <col min="9756" max="9756" width="7.75" style="255" customWidth="1"/>
    <col min="9757" max="9757" width="7.125" style="255" customWidth="1"/>
    <col min="9758" max="9758" width="12.125" style="255" customWidth="1"/>
    <col min="9759" max="9759" width="8.25" style="255" customWidth="1"/>
    <col min="9760" max="9761" width="10.375" style="255" customWidth="1"/>
    <col min="9762" max="9762" width="15.625" style="255" customWidth="1"/>
    <col min="9763" max="9763" width="15.875" style="255" customWidth="1"/>
    <col min="9764" max="9764" width="8.125" style="255" customWidth="1"/>
    <col min="9765" max="9768" width="10.375" style="255" customWidth="1"/>
    <col min="9769" max="9769" width="7.25" style="255" customWidth="1"/>
    <col min="9770" max="9770" width="7.125" style="255" customWidth="1"/>
    <col min="9771" max="9771" width="9.5" style="255" customWidth="1"/>
    <col min="9772" max="9773" width="9" style="255" customWidth="1"/>
    <col min="9774" max="9774" width="16.125" style="255" customWidth="1"/>
    <col min="9775" max="9805" width="9" style="255" customWidth="1"/>
    <col min="9806" max="9965" width="25.25" style="255"/>
    <col min="9966" max="9995" width="9" style="255" customWidth="1"/>
    <col min="9996" max="9996" width="0.5" style="255" customWidth="1"/>
    <col min="9997" max="9997" width="25.25" style="255"/>
    <col min="9998" max="9998" width="0.5" style="255" customWidth="1"/>
    <col min="9999" max="9999" width="25.25" style="255"/>
    <col min="10000" max="10000" width="14.75" style="255" customWidth="1"/>
    <col min="10001" max="10001" width="11.5" style="255" customWidth="1"/>
    <col min="10002" max="10002" width="11.25" style="255" customWidth="1"/>
    <col min="10003" max="10003" width="10.75" style="255" customWidth="1"/>
    <col min="10004" max="10004" width="10" style="255" customWidth="1"/>
    <col min="10005" max="10005" width="9.875" style="255" customWidth="1"/>
    <col min="10006" max="10006" width="26.125" style="255" customWidth="1"/>
    <col min="10007" max="10007" width="11.125" style="255" customWidth="1"/>
    <col min="10008" max="10008" width="7.875" style="255" customWidth="1"/>
    <col min="10009" max="10009" width="7.25" style="255" customWidth="1"/>
    <col min="10010" max="10010" width="9.125" style="255" customWidth="1"/>
    <col min="10011" max="10011" width="15.125" style="255" customWidth="1"/>
    <col min="10012" max="10012" width="7.75" style="255" customWidth="1"/>
    <col min="10013" max="10013" width="7.125" style="255" customWidth="1"/>
    <col min="10014" max="10014" width="12.125" style="255" customWidth="1"/>
    <col min="10015" max="10015" width="8.25" style="255" customWidth="1"/>
    <col min="10016" max="10017" width="10.375" style="255" customWidth="1"/>
    <col min="10018" max="10018" width="15.625" style="255" customWidth="1"/>
    <col min="10019" max="10019" width="15.875" style="255" customWidth="1"/>
    <col min="10020" max="10020" width="8.125" style="255" customWidth="1"/>
    <col min="10021" max="10024" width="10.375" style="255" customWidth="1"/>
    <col min="10025" max="10025" width="7.25" style="255" customWidth="1"/>
    <col min="10026" max="10026" width="7.125" style="255" customWidth="1"/>
    <col min="10027" max="10027" width="9.5" style="255" customWidth="1"/>
    <col min="10028" max="10029" width="9" style="255" customWidth="1"/>
    <col min="10030" max="10030" width="16.125" style="255" customWidth="1"/>
    <col min="10031" max="10061" width="9" style="255" customWidth="1"/>
    <col min="10062" max="10221" width="25.25" style="255"/>
    <col min="10222" max="10251" width="9" style="255" customWidth="1"/>
    <col min="10252" max="10252" width="0.5" style="255" customWidth="1"/>
    <col min="10253" max="10253" width="25.25" style="255"/>
    <col min="10254" max="10254" width="0.5" style="255" customWidth="1"/>
    <col min="10255" max="10255" width="25.25" style="255"/>
    <col min="10256" max="10256" width="14.75" style="255" customWidth="1"/>
    <col min="10257" max="10257" width="11.5" style="255" customWidth="1"/>
    <col min="10258" max="10258" width="11.25" style="255" customWidth="1"/>
    <col min="10259" max="10259" width="10.75" style="255" customWidth="1"/>
    <col min="10260" max="10260" width="10" style="255" customWidth="1"/>
    <col min="10261" max="10261" width="9.875" style="255" customWidth="1"/>
    <col min="10262" max="10262" width="26.125" style="255" customWidth="1"/>
    <col min="10263" max="10263" width="11.125" style="255" customWidth="1"/>
    <col min="10264" max="10264" width="7.875" style="255" customWidth="1"/>
    <col min="10265" max="10265" width="7.25" style="255" customWidth="1"/>
    <col min="10266" max="10266" width="9.125" style="255" customWidth="1"/>
    <col min="10267" max="10267" width="15.125" style="255" customWidth="1"/>
    <col min="10268" max="10268" width="7.75" style="255" customWidth="1"/>
    <col min="10269" max="10269" width="7.125" style="255" customWidth="1"/>
    <col min="10270" max="10270" width="12.125" style="255" customWidth="1"/>
    <col min="10271" max="10271" width="8.25" style="255" customWidth="1"/>
    <col min="10272" max="10273" width="10.375" style="255" customWidth="1"/>
    <col min="10274" max="10274" width="15.625" style="255" customWidth="1"/>
    <col min="10275" max="10275" width="15.875" style="255" customWidth="1"/>
    <col min="10276" max="10276" width="8.125" style="255" customWidth="1"/>
    <col min="10277" max="10280" width="10.375" style="255" customWidth="1"/>
    <col min="10281" max="10281" width="7.25" style="255" customWidth="1"/>
    <col min="10282" max="10282" width="7.125" style="255" customWidth="1"/>
    <col min="10283" max="10283" width="9.5" style="255" customWidth="1"/>
    <col min="10284" max="10285" width="9" style="255" customWidth="1"/>
    <col min="10286" max="10286" width="16.125" style="255" customWidth="1"/>
    <col min="10287" max="10317" width="9" style="255" customWidth="1"/>
    <col min="10318" max="10477" width="25.25" style="255"/>
    <col min="10478" max="10507" width="9" style="255" customWidth="1"/>
    <col min="10508" max="10508" width="0.5" style="255" customWidth="1"/>
    <col min="10509" max="10509" width="25.25" style="255"/>
    <col min="10510" max="10510" width="0.5" style="255" customWidth="1"/>
    <col min="10511" max="10511" width="25.25" style="255"/>
    <col min="10512" max="10512" width="14.75" style="255" customWidth="1"/>
    <col min="10513" max="10513" width="11.5" style="255" customWidth="1"/>
    <col min="10514" max="10514" width="11.25" style="255" customWidth="1"/>
    <col min="10515" max="10515" width="10.75" style="255" customWidth="1"/>
    <col min="10516" max="10516" width="10" style="255" customWidth="1"/>
    <col min="10517" max="10517" width="9.875" style="255" customWidth="1"/>
    <col min="10518" max="10518" width="26.125" style="255" customWidth="1"/>
    <col min="10519" max="10519" width="11.125" style="255" customWidth="1"/>
    <col min="10520" max="10520" width="7.875" style="255" customWidth="1"/>
    <col min="10521" max="10521" width="7.25" style="255" customWidth="1"/>
    <col min="10522" max="10522" width="9.125" style="255" customWidth="1"/>
    <col min="10523" max="10523" width="15.125" style="255" customWidth="1"/>
    <col min="10524" max="10524" width="7.75" style="255" customWidth="1"/>
    <col min="10525" max="10525" width="7.125" style="255" customWidth="1"/>
    <col min="10526" max="10526" width="12.125" style="255" customWidth="1"/>
    <col min="10527" max="10527" width="8.25" style="255" customWidth="1"/>
    <col min="10528" max="10529" width="10.375" style="255" customWidth="1"/>
    <col min="10530" max="10530" width="15.625" style="255" customWidth="1"/>
    <col min="10531" max="10531" width="15.875" style="255" customWidth="1"/>
    <col min="10532" max="10532" width="8.125" style="255" customWidth="1"/>
    <col min="10533" max="10536" width="10.375" style="255" customWidth="1"/>
    <col min="10537" max="10537" width="7.25" style="255" customWidth="1"/>
    <col min="10538" max="10538" width="7.125" style="255" customWidth="1"/>
    <col min="10539" max="10539" width="9.5" style="255" customWidth="1"/>
    <col min="10540" max="10541" width="9" style="255" customWidth="1"/>
    <col min="10542" max="10542" width="16.125" style="255" customWidth="1"/>
    <col min="10543" max="10573" width="9" style="255" customWidth="1"/>
    <col min="10574" max="10733" width="25.25" style="255"/>
    <col min="10734" max="10763" width="9" style="255" customWidth="1"/>
    <col min="10764" max="10764" width="0.5" style="255" customWidth="1"/>
    <col min="10765" max="10765" width="25.25" style="255"/>
    <col min="10766" max="10766" width="0.5" style="255" customWidth="1"/>
    <col min="10767" max="10767" width="25.25" style="255"/>
    <col min="10768" max="10768" width="14.75" style="255" customWidth="1"/>
    <col min="10769" max="10769" width="11.5" style="255" customWidth="1"/>
    <col min="10770" max="10770" width="11.25" style="255" customWidth="1"/>
    <col min="10771" max="10771" width="10.75" style="255" customWidth="1"/>
    <col min="10772" max="10772" width="10" style="255" customWidth="1"/>
    <col min="10773" max="10773" width="9.875" style="255" customWidth="1"/>
    <col min="10774" max="10774" width="26.125" style="255" customWidth="1"/>
    <col min="10775" max="10775" width="11.125" style="255" customWidth="1"/>
    <col min="10776" max="10776" width="7.875" style="255" customWidth="1"/>
    <col min="10777" max="10777" width="7.25" style="255" customWidth="1"/>
    <col min="10778" max="10778" width="9.125" style="255" customWidth="1"/>
    <col min="10779" max="10779" width="15.125" style="255" customWidth="1"/>
    <col min="10780" max="10780" width="7.75" style="255" customWidth="1"/>
    <col min="10781" max="10781" width="7.125" style="255" customWidth="1"/>
    <col min="10782" max="10782" width="12.125" style="255" customWidth="1"/>
    <col min="10783" max="10783" width="8.25" style="255" customWidth="1"/>
    <col min="10784" max="10785" width="10.375" style="255" customWidth="1"/>
    <col min="10786" max="10786" width="15.625" style="255" customWidth="1"/>
    <col min="10787" max="10787" width="15.875" style="255" customWidth="1"/>
    <col min="10788" max="10788" width="8.125" style="255" customWidth="1"/>
    <col min="10789" max="10792" width="10.375" style="255" customWidth="1"/>
    <col min="10793" max="10793" width="7.25" style="255" customWidth="1"/>
    <col min="10794" max="10794" width="7.125" style="255" customWidth="1"/>
    <col min="10795" max="10795" width="9.5" style="255" customWidth="1"/>
    <col min="10796" max="10797" width="9" style="255" customWidth="1"/>
    <col min="10798" max="10798" width="16.125" style="255" customWidth="1"/>
    <col min="10799" max="10829" width="9" style="255" customWidth="1"/>
    <col min="10830" max="10989" width="25.25" style="255"/>
    <col min="10990" max="11019" width="9" style="255" customWidth="1"/>
    <col min="11020" max="11020" width="0.5" style="255" customWidth="1"/>
    <col min="11021" max="11021" width="25.25" style="255"/>
    <col min="11022" max="11022" width="0.5" style="255" customWidth="1"/>
    <col min="11023" max="11023" width="25.25" style="255"/>
    <col min="11024" max="11024" width="14.75" style="255" customWidth="1"/>
    <col min="11025" max="11025" width="11.5" style="255" customWidth="1"/>
    <col min="11026" max="11026" width="11.25" style="255" customWidth="1"/>
    <col min="11027" max="11027" width="10.75" style="255" customWidth="1"/>
    <col min="11028" max="11028" width="10" style="255" customWidth="1"/>
    <col min="11029" max="11029" width="9.875" style="255" customWidth="1"/>
    <col min="11030" max="11030" width="26.125" style="255" customWidth="1"/>
    <col min="11031" max="11031" width="11.125" style="255" customWidth="1"/>
    <col min="11032" max="11032" width="7.875" style="255" customWidth="1"/>
    <col min="11033" max="11033" width="7.25" style="255" customWidth="1"/>
    <col min="11034" max="11034" width="9.125" style="255" customWidth="1"/>
    <col min="11035" max="11035" width="15.125" style="255" customWidth="1"/>
    <col min="11036" max="11036" width="7.75" style="255" customWidth="1"/>
    <col min="11037" max="11037" width="7.125" style="255" customWidth="1"/>
    <col min="11038" max="11038" width="12.125" style="255" customWidth="1"/>
    <col min="11039" max="11039" width="8.25" style="255" customWidth="1"/>
    <col min="11040" max="11041" width="10.375" style="255" customWidth="1"/>
    <col min="11042" max="11042" width="15.625" style="255" customWidth="1"/>
    <col min="11043" max="11043" width="15.875" style="255" customWidth="1"/>
    <col min="11044" max="11044" width="8.125" style="255" customWidth="1"/>
    <col min="11045" max="11048" width="10.375" style="255" customWidth="1"/>
    <col min="11049" max="11049" width="7.25" style="255" customWidth="1"/>
    <col min="11050" max="11050" width="7.125" style="255" customWidth="1"/>
    <col min="11051" max="11051" width="9.5" style="255" customWidth="1"/>
    <col min="11052" max="11053" width="9" style="255" customWidth="1"/>
    <col min="11054" max="11054" width="16.125" style="255" customWidth="1"/>
    <col min="11055" max="11085" width="9" style="255" customWidth="1"/>
    <col min="11086" max="11245" width="25.25" style="255"/>
    <col min="11246" max="11275" width="9" style="255" customWidth="1"/>
    <col min="11276" max="11276" width="0.5" style="255" customWidth="1"/>
    <col min="11277" max="11277" width="25.25" style="255"/>
    <col min="11278" max="11278" width="0.5" style="255" customWidth="1"/>
    <col min="11279" max="11279" width="25.25" style="255"/>
    <col min="11280" max="11280" width="14.75" style="255" customWidth="1"/>
    <col min="11281" max="11281" width="11.5" style="255" customWidth="1"/>
    <col min="11282" max="11282" width="11.25" style="255" customWidth="1"/>
    <col min="11283" max="11283" width="10.75" style="255" customWidth="1"/>
    <col min="11284" max="11284" width="10" style="255" customWidth="1"/>
    <col min="11285" max="11285" width="9.875" style="255" customWidth="1"/>
    <col min="11286" max="11286" width="26.125" style="255" customWidth="1"/>
    <col min="11287" max="11287" width="11.125" style="255" customWidth="1"/>
    <col min="11288" max="11288" width="7.875" style="255" customWidth="1"/>
    <col min="11289" max="11289" width="7.25" style="255" customWidth="1"/>
    <col min="11290" max="11290" width="9.125" style="255" customWidth="1"/>
    <col min="11291" max="11291" width="15.125" style="255" customWidth="1"/>
    <col min="11292" max="11292" width="7.75" style="255" customWidth="1"/>
    <col min="11293" max="11293" width="7.125" style="255" customWidth="1"/>
    <col min="11294" max="11294" width="12.125" style="255" customWidth="1"/>
    <col min="11295" max="11295" width="8.25" style="255" customWidth="1"/>
    <col min="11296" max="11297" width="10.375" style="255" customWidth="1"/>
    <col min="11298" max="11298" width="15.625" style="255" customWidth="1"/>
    <col min="11299" max="11299" width="15.875" style="255" customWidth="1"/>
    <col min="11300" max="11300" width="8.125" style="255" customWidth="1"/>
    <col min="11301" max="11304" width="10.375" style="255" customWidth="1"/>
    <col min="11305" max="11305" width="7.25" style="255" customWidth="1"/>
    <col min="11306" max="11306" width="7.125" style="255" customWidth="1"/>
    <col min="11307" max="11307" width="9.5" style="255" customWidth="1"/>
    <col min="11308" max="11309" width="9" style="255" customWidth="1"/>
    <col min="11310" max="11310" width="16.125" style="255" customWidth="1"/>
    <col min="11311" max="11341" width="9" style="255" customWidth="1"/>
    <col min="11342" max="11501" width="25.25" style="255"/>
    <col min="11502" max="11531" width="9" style="255" customWidth="1"/>
    <col min="11532" max="11532" width="0.5" style="255" customWidth="1"/>
    <col min="11533" max="11533" width="25.25" style="255"/>
    <col min="11534" max="11534" width="0.5" style="255" customWidth="1"/>
    <col min="11535" max="11535" width="25.25" style="255"/>
    <col min="11536" max="11536" width="14.75" style="255" customWidth="1"/>
    <col min="11537" max="11537" width="11.5" style="255" customWidth="1"/>
    <col min="11538" max="11538" width="11.25" style="255" customWidth="1"/>
    <col min="11539" max="11539" width="10.75" style="255" customWidth="1"/>
    <col min="11540" max="11540" width="10" style="255" customWidth="1"/>
    <col min="11541" max="11541" width="9.875" style="255" customWidth="1"/>
    <col min="11542" max="11542" width="26.125" style="255" customWidth="1"/>
    <col min="11543" max="11543" width="11.125" style="255" customWidth="1"/>
    <col min="11544" max="11544" width="7.875" style="255" customWidth="1"/>
    <col min="11545" max="11545" width="7.25" style="255" customWidth="1"/>
    <col min="11546" max="11546" width="9.125" style="255" customWidth="1"/>
    <col min="11547" max="11547" width="15.125" style="255" customWidth="1"/>
    <col min="11548" max="11548" width="7.75" style="255" customWidth="1"/>
    <col min="11549" max="11549" width="7.125" style="255" customWidth="1"/>
    <col min="11550" max="11550" width="12.125" style="255" customWidth="1"/>
    <col min="11551" max="11551" width="8.25" style="255" customWidth="1"/>
    <col min="11552" max="11553" width="10.375" style="255" customWidth="1"/>
    <col min="11554" max="11554" width="15.625" style="255" customWidth="1"/>
    <col min="11555" max="11555" width="15.875" style="255" customWidth="1"/>
    <col min="11556" max="11556" width="8.125" style="255" customWidth="1"/>
    <col min="11557" max="11560" width="10.375" style="255" customWidth="1"/>
    <col min="11561" max="11561" width="7.25" style="255" customWidth="1"/>
    <col min="11562" max="11562" width="7.125" style="255" customWidth="1"/>
    <col min="11563" max="11563" width="9.5" style="255" customWidth="1"/>
    <col min="11564" max="11565" width="9" style="255" customWidth="1"/>
    <col min="11566" max="11566" width="16.125" style="255" customWidth="1"/>
    <col min="11567" max="11597" width="9" style="255" customWidth="1"/>
    <col min="11598" max="11757" width="25.25" style="255"/>
    <col min="11758" max="11787" width="9" style="255" customWidth="1"/>
    <col min="11788" max="11788" width="0.5" style="255" customWidth="1"/>
    <col min="11789" max="11789" width="25.25" style="255"/>
    <col min="11790" max="11790" width="0.5" style="255" customWidth="1"/>
    <col min="11791" max="11791" width="25.25" style="255"/>
    <col min="11792" max="11792" width="14.75" style="255" customWidth="1"/>
    <col min="11793" max="11793" width="11.5" style="255" customWidth="1"/>
    <col min="11794" max="11794" width="11.25" style="255" customWidth="1"/>
    <col min="11795" max="11795" width="10.75" style="255" customWidth="1"/>
    <col min="11796" max="11796" width="10" style="255" customWidth="1"/>
    <col min="11797" max="11797" width="9.875" style="255" customWidth="1"/>
    <col min="11798" max="11798" width="26.125" style="255" customWidth="1"/>
    <col min="11799" max="11799" width="11.125" style="255" customWidth="1"/>
    <col min="11800" max="11800" width="7.875" style="255" customWidth="1"/>
    <col min="11801" max="11801" width="7.25" style="255" customWidth="1"/>
    <col min="11802" max="11802" width="9.125" style="255" customWidth="1"/>
    <col min="11803" max="11803" width="15.125" style="255" customWidth="1"/>
    <col min="11804" max="11804" width="7.75" style="255" customWidth="1"/>
    <col min="11805" max="11805" width="7.125" style="255" customWidth="1"/>
    <col min="11806" max="11806" width="12.125" style="255" customWidth="1"/>
    <col min="11807" max="11807" width="8.25" style="255" customWidth="1"/>
    <col min="11808" max="11809" width="10.375" style="255" customWidth="1"/>
    <col min="11810" max="11810" width="15.625" style="255" customWidth="1"/>
    <col min="11811" max="11811" width="15.875" style="255" customWidth="1"/>
    <col min="11812" max="11812" width="8.125" style="255" customWidth="1"/>
    <col min="11813" max="11816" width="10.375" style="255" customWidth="1"/>
    <col min="11817" max="11817" width="7.25" style="255" customWidth="1"/>
    <col min="11818" max="11818" width="7.125" style="255" customWidth="1"/>
    <col min="11819" max="11819" width="9.5" style="255" customWidth="1"/>
    <col min="11820" max="11821" width="9" style="255" customWidth="1"/>
    <col min="11822" max="11822" width="16.125" style="255" customWidth="1"/>
    <col min="11823" max="11853" width="9" style="255" customWidth="1"/>
    <col min="11854" max="12013" width="25.25" style="255"/>
    <col min="12014" max="12043" width="9" style="255" customWidth="1"/>
    <col min="12044" max="12044" width="0.5" style="255" customWidth="1"/>
    <col min="12045" max="12045" width="25.25" style="255"/>
    <col min="12046" max="12046" width="0.5" style="255" customWidth="1"/>
    <col min="12047" max="12047" width="25.25" style="255"/>
    <col min="12048" max="12048" width="14.75" style="255" customWidth="1"/>
    <col min="12049" max="12049" width="11.5" style="255" customWidth="1"/>
    <col min="12050" max="12050" width="11.25" style="255" customWidth="1"/>
    <col min="12051" max="12051" width="10.75" style="255" customWidth="1"/>
    <col min="12052" max="12052" width="10" style="255" customWidth="1"/>
    <col min="12053" max="12053" width="9.875" style="255" customWidth="1"/>
    <col min="12054" max="12054" width="26.125" style="255" customWidth="1"/>
    <col min="12055" max="12055" width="11.125" style="255" customWidth="1"/>
    <col min="12056" max="12056" width="7.875" style="255" customWidth="1"/>
    <col min="12057" max="12057" width="7.25" style="255" customWidth="1"/>
    <col min="12058" max="12058" width="9.125" style="255" customWidth="1"/>
    <col min="12059" max="12059" width="15.125" style="255" customWidth="1"/>
    <col min="12060" max="12060" width="7.75" style="255" customWidth="1"/>
    <col min="12061" max="12061" width="7.125" style="255" customWidth="1"/>
    <col min="12062" max="12062" width="12.125" style="255" customWidth="1"/>
    <col min="12063" max="12063" width="8.25" style="255" customWidth="1"/>
    <col min="12064" max="12065" width="10.375" style="255" customWidth="1"/>
    <col min="12066" max="12066" width="15.625" style="255" customWidth="1"/>
    <col min="12067" max="12067" width="15.875" style="255" customWidth="1"/>
    <col min="12068" max="12068" width="8.125" style="255" customWidth="1"/>
    <col min="12069" max="12072" width="10.375" style="255" customWidth="1"/>
    <col min="12073" max="12073" width="7.25" style="255" customWidth="1"/>
    <col min="12074" max="12074" width="7.125" style="255" customWidth="1"/>
    <col min="12075" max="12075" width="9.5" style="255" customWidth="1"/>
    <col min="12076" max="12077" width="9" style="255" customWidth="1"/>
    <col min="12078" max="12078" width="16.125" style="255" customWidth="1"/>
    <col min="12079" max="12109" width="9" style="255" customWidth="1"/>
    <col min="12110" max="12269" width="25.25" style="255"/>
    <col min="12270" max="12299" width="9" style="255" customWidth="1"/>
    <col min="12300" max="12300" width="0.5" style="255" customWidth="1"/>
    <col min="12301" max="12301" width="25.25" style="255"/>
    <col min="12302" max="12302" width="0.5" style="255" customWidth="1"/>
    <col min="12303" max="12303" width="25.25" style="255"/>
    <col min="12304" max="12304" width="14.75" style="255" customWidth="1"/>
    <col min="12305" max="12305" width="11.5" style="255" customWidth="1"/>
    <col min="12306" max="12306" width="11.25" style="255" customWidth="1"/>
    <col min="12307" max="12307" width="10.75" style="255" customWidth="1"/>
    <col min="12308" max="12308" width="10" style="255" customWidth="1"/>
    <col min="12309" max="12309" width="9.875" style="255" customWidth="1"/>
    <col min="12310" max="12310" width="26.125" style="255" customWidth="1"/>
    <col min="12311" max="12311" width="11.125" style="255" customWidth="1"/>
    <col min="12312" max="12312" width="7.875" style="255" customWidth="1"/>
    <col min="12313" max="12313" width="7.25" style="255" customWidth="1"/>
    <col min="12314" max="12314" width="9.125" style="255" customWidth="1"/>
    <col min="12315" max="12315" width="15.125" style="255" customWidth="1"/>
    <col min="12316" max="12316" width="7.75" style="255" customWidth="1"/>
    <col min="12317" max="12317" width="7.125" style="255" customWidth="1"/>
    <col min="12318" max="12318" width="12.125" style="255" customWidth="1"/>
    <col min="12319" max="12319" width="8.25" style="255" customWidth="1"/>
    <col min="12320" max="12321" width="10.375" style="255" customWidth="1"/>
    <col min="12322" max="12322" width="15.625" style="255" customWidth="1"/>
    <col min="12323" max="12323" width="15.875" style="255" customWidth="1"/>
    <col min="12324" max="12324" width="8.125" style="255" customWidth="1"/>
    <col min="12325" max="12328" width="10.375" style="255" customWidth="1"/>
    <col min="12329" max="12329" width="7.25" style="255" customWidth="1"/>
    <col min="12330" max="12330" width="7.125" style="255" customWidth="1"/>
    <col min="12331" max="12331" width="9.5" style="255" customWidth="1"/>
    <col min="12332" max="12333" width="9" style="255" customWidth="1"/>
    <col min="12334" max="12334" width="16.125" style="255" customWidth="1"/>
    <col min="12335" max="12365" width="9" style="255" customWidth="1"/>
    <col min="12366" max="12525" width="25.25" style="255"/>
    <col min="12526" max="12555" width="9" style="255" customWidth="1"/>
    <col min="12556" max="12556" width="0.5" style="255" customWidth="1"/>
    <col min="12557" max="12557" width="25.25" style="255"/>
    <col min="12558" max="12558" width="0.5" style="255" customWidth="1"/>
    <col min="12559" max="12559" width="25.25" style="255"/>
    <col min="12560" max="12560" width="14.75" style="255" customWidth="1"/>
    <col min="12561" max="12561" width="11.5" style="255" customWidth="1"/>
    <col min="12562" max="12562" width="11.25" style="255" customWidth="1"/>
    <col min="12563" max="12563" width="10.75" style="255" customWidth="1"/>
    <col min="12564" max="12564" width="10" style="255" customWidth="1"/>
    <col min="12565" max="12565" width="9.875" style="255" customWidth="1"/>
    <col min="12566" max="12566" width="26.125" style="255" customWidth="1"/>
    <col min="12567" max="12567" width="11.125" style="255" customWidth="1"/>
    <col min="12568" max="12568" width="7.875" style="255" customWidth="1"/>
    <col min="12569" max="12569" width="7.25" style="255" customWidth="1"/>
    <col min="12570" max="12570" width="9.125" style="255" customWidth="1"/>
    <col min="12571" max="12571" width="15.125" style="255" customWidth="1"/>
    <col min="12572" max="12572" width="7.75" style="255" customWidth="1"/>
    <col min="12573" max="12573" width="7.125" style="255" customWidth="1"/>
    <col min="12574" max="12574" width="12.125" style="255" customWidth="1"/>
    <col min="12575" max="12575" width="8.25" style="255" customWidth="1"/>
    <col min="12576" max="12577" width="10.375" style="255" customWidth="1"/>
    <col min="12578" max="12578" width="15.625" style="255" customWidth="1"/>
    <col min="12579" max="12579" width="15.875" style="255" customWidth="1"/>
    <col min="12580" max="12580" width="8.125" style="255" customWidth="1"/>
    <col min="12581" max="12584" width="10.375" style="255" customWidth="1"/>
    <col min="12585" max="12585" width="7.25" style="255" customWidth="1"/>
    <col min="12586" max="12586" width="7.125" style="255" customWidth="1"/>
    <col min="12587" max="12587" width="9.5" style="255" customWidth="1"/>
    <col min="12588" max="12589" width="9" style="255" customWidth="1"/>
    <col min="12590" max="12590" width="16.125" style="255" customWidth="1"/>
    <col min="12591" max="12621" width="9" style="255" customWidth="1"/>
    <col min="12622" max="12781" width="25.25" style="255"/>
    <col min="12782" max="12811" width="9" style="255" customWidth="1"/>
    <col min="12812" max="12812" width="0.5" style="255" customWidth="1"/>
    <col min="12813" max="12813" width="25.25" style="255"/>
    <col min="12814" max="12814" width="0.5" style="255" customWidth="1"/>
    <col min="12815" max="12815" width="25.25" style="255"/>
    <col min="12816" max="12816" width="14.75" style="255" customWidth="1"/>
    <col min="12817" max="12817" width="11.5" style="255" customWidth="1"/>
    <col min="12818" max="12818" width="11.25" style="255" customWidth="1"/>
    <col min="12819" max="12819" width="10.75" style="255" customWidth="1"/>
    <col min="12820" max="12820" width="10" style="255" customWidth="1"/>
    <col min="12821" max="12821" width="9.875" style="255" customWidth="1"/>
    <col min="12822" max="12822" width="26.125" style="255" customWidth="1"/>
    <col min="12823" max="12823" width="11.125" style="255" customWidth="1"/>
    <col min="12824" max="12824" width="7.875" style="255" customWidth="1"/>
    <col min="12825" max="12825" width="7.25" style="255" customWidth="1"/>
    <col min="12826" max="12826" width="9.125" style="255" customWidth="1"/>
    <col min="12827" max="12827" width="15.125" style="255" customWidth="1"/>
    <col min="12828" max="12828" width="7.75" style="255" customWidth="1"/>
    <col min="12829" max="12829" width="7.125" style="255" customWidth="1"/>
    <col min="12830" max="12830" width="12.125" style="255" customWidth="1"/>
    <col min="12831" max="12831" width="8.25" style="255" customWidth="1"/>
    <col min="12832" max="12833" width="10.375" style="255" customWidth="1"/>
    <col min="12834" max="12834" width="15.625" style="255" customWidth="1"/>
    <col min="12835" max="12835" width="15.875" style="255" customWidth="1"/>
    <col min="12836" max="12836" width="8.125" style="255" customWidth="1"/>
    <col min="12837" max="12840" width="10.375" style="255" customWidth="1"/>
    <col min="12841" max="12841" width="7.25" style="255" customWidth="1"/>
    <col min="12842" max="12842" width="7.125" style="255" customWidth="1"/>
    <col min="12843" max="12843" width="9.5" style="255" customWidth="1"/>
    <col min="12844" max="12845" width="9" style="255" customWidth="1"/>
    <col min="12846" max="12846" width="16.125" style="255" customWidth="1"/>
    <col min="12847" max="12877" width="9" style="255" customWidth="1"/>
    <col min="12878" max="13037" width="25.25" style="255"/>
    <col min="13038" max="13067" width="9" style="255" customWidth="1"/>
    <col min="13068" max="13068" width="0.5" style="255" customWidth="1"/>
    <col min="13069" max="13069" width="25.25" style="255"/>
    <col min="13070" max="13070" width="0.5" style="255" customWidth="1"/>
    <col min="13071" max="13071" width="25.25" style="255"/>
    <col min="13072" max="13072" width="14.75" style="255" customWidth="1"/>
    <col min="13073" max="13073" width="11.5" style="255" customWidth="1"/>
    <col min="13074" max="13074" width="11.25" style="255" customWidth="1"/>
    <col min="13075" max="13075" width="10.75" style="255" customWidth="1"/>
    <col min="13076" max="13076" width="10" style="255" customWidth="1"/>
    <col min="13077" max="13077" width="9.875" style="255" customWidth="1"/>
    <col min="13078" max="13078" width="26.125" style="255" customWidth="1"/>
    <col min="13079" max="13079" width="11.125" style="255" customWidth="1"/>
    <col min="13080" max="13080" width="7.875" style="255" customWidth="1"/>
    <col min="13081" max="13081" width="7.25" style="255" customWidth="1"/>
    <col min="13082" max="13082" width="9.125" style="255" customWidth="1"/>
    <col min="13083" max="13083" width="15.125" style="255" customWidth="1"/>
    <col min="13084" max="13084" width="7.75" style="255" customWidth="1"/>
    <col min="13085" max="13085" width="7.125" style="255" customWidth="1"/>
    <col min="13086" max="13086" width="12.125" style="255" customWidth="1"/>
    <col min="13087" max="13087" width="8.25" style="255" customWidth="1"/>
    <col min="13088" max="13089" width="10.375" style="255" customWidth="1"/>
    <col min="13090" max="13090" width="15.625" style="255" customWidth="1"/>
    <col min="13091" max="13091" width="15.875" style="255" customWidth="1"/>
    <col min="13092" max="13092" width="8.125" style="255" customWidth="1"/>
    <col min="13093" max="13096" width="10.375" style="255" customWidth="1"/>
    <col min="13097" max="13097" width="7.25" style="255" customWidth="1"/>
    <col min="13098" max="13098" width="7.125" style="255" customWidth="1"/>
    <col min="13099" max="13099" width="9.5" style="255" customWidth="1"/>
    <col min="13100" max="13101" width="9" style="255" customWidth="1"/>
    <col min="13102" max="13102" width="16.125" style="255" customWidth="1"/>
    <col min="13103" max="13133" width="9" style="255" customWidth="1"/>
    <col min="13134" max="13293" width="25.25" style="255"/>
    <col min="13294" max="13323" width="9" style="255" customWidth="1"/>
    <col min="13324" max="13324" width="0.5" style="255" customWidth="1"/>
    <col min="13325" max="13325" width="25.25" style="255"/>
    <col min="13326" max="13326" width="0.5" style="255" customWidth="1"/>
    <col min="13327" max="13327" width="25.25" style="255"/>
    <col min="13328" max="13328" width="14.75" style="255" customWidth="1"/>
    <col min="13329" max="13329" width="11.5" style="255" customWidth="1"/>
    <col min="13330" max="13330" width="11.25" style="255" customWidth="1"/>
    <col min="13331" max="13331" width="10.75" style="255" customWidth="1"/>
    <col min="13332" max="13332" width="10" style="255" customWidth="1"/>
    <col min="13333" max="13333" width="9.875" style="255" customWidth="1"/>
    <col min="13334" max="13334" width="26.125" style="255" customWidth="1"/>
    <col min="13335" max="13335" width="11.125" style="255" customWidth="1"/>
    <col min="13336" max="13336" width="7.875" style="255" customWidth="1"/>
    <col min="13337" max="13337" width="7.25" style="255" customWidth="1"/>
    <col min="13338" max="13338" width="9.125" style="255" customWidth="1"/>
    <col min="13339" max="13339" width="15.125" style="255" customWidth="1"/>
    <col min="13340" max="13340" width="7.75" style="255" customWidth="1"/>
    <col min="13341" max="13341" width="7.125" style="255" customWidth="1"/>
    <col min="13342" max="13342" width="12.125" style="255" customWidth="1"/>
    <col min="13343" max="13343" width="8.25" style="255" customWidth="1"/>
    <col min="13344" max="13345" width="10.375" style="255" customWidth="1"/>
    <col min="13346" max="13346" width="15.625" style="255" customWidth="1"/>
    <col min="13347" max="13347" width="15.875" style="255" customWidth="1"/>
    <col min="13348" max="13348" width="8.125" style="255" customWidth="1"/>
    <col min="13349" max="13352" width="10.375" style="255" customWidth="1"/>
    <col min="13353" max="13353" width="7.25" style="255" customWidth="1"/>
    <col min="13354" max="13354" width="7.125" style="255" customWidth="1"/>
    <col min="13355" max="13355" width="9.5" style="255" customWidth="1"/>
    <col min="13356" max="13357" width="9" style="255" customWidth="1"/>
    <col min="13358" max="13358" width="16.125" style="255" customWidth="1"/>
    <col min="13359" max="13389" width="9" style="255" customWidth="1"/>
    <col min="13390" max="13549" width="25.25" style="255"/>
    <col min="13550" max="13579" width="9" style="255" customWidth="1"/>
    <col min="13580" max="13580" width="0.5" style="255" customWidth="1"/>
    <col min="13581" max="13581" width="25.25" style="255"/>
    <col min="13582" max="13582" width="0.5" style="255" customWidth="1"/>
    <col min="13583" max="13583" width="25.25" style="255"/>
    <col min="13584" max="13584" width="14.75" style="255" customWidth="1"/>
    <col min="13585" max="13585" width="11.5" style="255" customWidth="1"/>
    <col min="13586" max="13586" width="11.25" style="255" customWidth="1"/>
    <col min="13587" max="13587" width="10.75" style="255" customWidth="1"/>
    <col min="13588" max="13588" width="10" style="255" customWidth="1"/>
    <col min="13589" max="13589" width="9.875" style="255" customWidth="1"/>
    <col min="13590" max="13590" width="26.125" style="255" customWidth="1"/>
    <col min="13591" max="13591" width="11.125" style="255" customWidth="1"/>
    <col min="13592" max="13592" width="7.875" style="255" customWidth="1"/>
    <col min="13593" max="13593" width="7.25" style="255" customWidth="1"/>
    <col min="13594" max="13594" width="9.125" style="255" customWidth="1"/>
    <col min="13595" max="13595" width="15.125" style="255" customWidth="1"/>
    <col min="13596" max="13596" width="7.75" style="255" customWidth="1"/>
    <col min="13597" max="13597" width="7.125" style="255" customWidth="1"/>
    <col min="13598" max="13598" width="12.125" style="255" customWidth="1"/>
    <col min="13599" max="13599" width="8.25" style="255" customWidth="1"/>
    <col min="13600" max="13601" width="10.375" style="255" customWidth="1"/>
    <col min="13602" max="13602" width="15.625" style="255" customWidth="1"/>
    <col min="13603" max="13603" width="15.875" style="255" customWidth="1"/>
    <col min="13604" max="13604" width="8.125" style="255" customWidth="1"/>
    <col min="13605" max="13608" width="10.375" style="255" customWidth="1"/>
    <col min="13609" max="13609" width="7.25" style="255" customWidth="1"/>
    <col min="13610" max="13610" width="7.125" style="255" customWidth="1"/>
    <col min="13611" max="13611" width="9.5" style="255" customWidth="1"/>
    <col min="13612" max="13613" width="9" style="255" customWidth="1"/>
    <col min="13614" max="13614" width="16.125" style="255" customWidth="1"/>
    <col min="13615" max="13645" width="9" style="255" customWidth="1"/>
    <col min="13646" max="13805" width="25.25" style="255"/>
    <col min="13806" max="13835" width="9" style="255" customWidth="1"/>
    <col min="13836" max="13836" width="0.5" style="255" customWidth="1"/>
    <col min="13837" max="13837" width="25.25" style="255"/>
    <col min="13838" max="13838" width="0.5" style="255" customWidth="1"/>
    <col min="13839" max="13839" width="25.25" style="255"/>
    <col min="13840" max="13840" width="14.75" style="255" customWidth="1"/>
    <col min="13841" max="13841" width="11.5" style="255" customWidth="1"/>
    <col min="13842" max="13842" width="11.25" style="255" customWidth="1"/>
    <col min="13843" max="13843" width="10.75" style="255" customWidth="1"/>
    <col min="13844" max="13844" width="10" style="255" customWidth="1"/>
    <col min="13845" max="13845" width="9.875" style="255" customWidth="1"/>
    <col min="13846" max="13846" width="26.125" style="255" customWidth="1"/>
    <col min="13847" max="13847" width="11.125" style="255" customWidth="1"/>
    <col min="13848" max="13848" width="7.875" style="255" customWidth="1"/>
    <col min="13849" max="13849" width="7.25" style="255" customWidth="1"/>
    <col min="13850" max="13850" width="9.125" style="255" customWidth="1"/>
    <col min="13851" max="13851" width="15.125" style="255" customWidth="1"/>
    <col min="13852" max="13852" width="7.75" style="255" customWidth="1"/>
    <col min="13853" max="13853" width="7.125" style="255" customWidth="1"/>
    <col min="13854" max="13854" width="12.125" style="255" customWidth="1"/>
    <col min="13855" max="13855" width="8.25" style="255" customWidth="1"/>
    <col min="13856" max="13857" width="10.375" style="255" customWidth="1"/>
    <col min="13858" max="13858" width="15.625" style="255" customWidth="1"/>
    <col min="13859" max="13859" width="15.875" style="255" customWidth="1"/>
    <col min="13860" max="13860" width="8.125" style="255" customWidth="1"/>
    <col min="13861" max="13864" width="10.375" style="255" customWidth="1"/>
    <col min="13865" max="13865" width="7.25" style="255" customWidth="1"/>
    <col min="13866" max="13866" width="7.125" style="255" customWidth="1"/>
    <col min="13867" max="13867" width="9.5" style="255" customWidth="1"/>
    <col min="13868" max="13869" width="9" style="255" customWidth="1"/>
    <col min="13870" max="13870" width="16.125" style="255" customWidth="1"/>
    <col min="13871" max="13901" width="9" style="255" customWidth="1"/>
    <col min="13902" max="14061" width="25.25" style="255"/>
    <col min="14062" max="14091" width="9" style="255" customWidth="1"/>
    <col min="14092" max="14092" width="0.5" style="255" customWidth="1"/>
    <col min="14093" max="14093" width="25.25" style="255"/>
    <col min="14094" max="14094" width="0.5" style="255" customWidth="1"/>
    <col min="14095" max="14095" width="25.25" style="255"/>
    <col min="14096" max="14096" width="14.75" style="255" customWidth="1"/>
    <col min="14097" max="14097" width="11.5" style="255" customWidth="1"/>
    <col min="14098" max="14098" width="11.25" style="255" customWidth="1"/>
    <col min="14099" max="14099" width="10.75" style="255" customWidth="1"/>
    <col min="14100" max="14100" width="10" style="255" customWidth="1"/>
    <col min="14101" max="14101" width="9.875" style="255" customWidth="1"/>
    <col min="14102" max="14102" width="26.125" style="255" customWidth="1"/>
    <col min="14103" max="14103" width="11.125" style="255" customWidth="1"/>
    <col min="14104" max="14104" width="7.875" style="255" customWidth="1"/>
    <col min="14105" max="14105" width="7.25" style="255" customWidth="1"/>
    <col min="14106" max="14106" width="9.125" style="255" customWidth="1"/>
    <col min="14107" max="14107" width="15.125" style="255" customWidth="1"/>
    <col min="14108" max="14108" width="7.75" style="255" customWidth="1"/>
    <col min="14109" max="14109" width="7.125" style="255" customWidth="1"/>
    <col min="14110" max="14110" width="12.125" style="255" customWidth="1"/>
    <col min="14111" max="14111" width="8.25" style="255" customWidth="1"/>
    <col min="14112" max="14113" width="10.375" style="255" customWidth="1"/>
    <col min="14114" max="14114" width="15.625" style="255" customWidth="1"/>
    <col min="14115" max="14115" width="15.875" style="255" customWidth="1"/>
    <col min="14116" max="14116" width="8.125" style="255" customWidth="1"/>
    <col min="14117" max="14120" width="10.375" style="255" customWidth="1"/>
    <col min="14121" max="14121" width="7.25" style="255" customWidth="1"/>
    <col min="14122" max="14122" width="7.125" style="255" customWidth="1"/>
    <col min="14123" max="14123" width="9.5" style="255" customWidth="1"/>
    <col min="14124" max="14125" width="9" style="255" customWidth="1"/>
    <col min="14126" max="14126" width="16.125" style="255" customWidth="1"/>
    <col min="14127" max="14157" width="9" style="255" customWidth="1"/>
    <col min="14158" max="14317" width="25.25" style="255"/>
    <col min="14318" max="14347" width="9" style="255" customWidth="1"/>
    <col min="14348" max="14348" width="0.5" style="255" customWidth="1"/>
    <col min="14349" max="14349" width="25.25" style="255"/>
    <col min="14350" max="14350" width="0.5" style="255" customWidth="1"/>
    <col min="14351" max="14351" width="25.25" style="255"/>
    <col min="14352" max="14352" width="14.75" style="255" customWidth="1"/>
    <col min="14353" max="14353" width="11.5" style="255" customWidth="1"/>
    <col min="14354" max="14354" width="11.25" style="255" customWidth="1"/>
    <col min="14355" max="14355" width="10.75" style="255" customWidth="1"/>
    <col min="14356" max="14356" width="10" style="255" customWidth="1"/>
    <col min="14357" max="14357" width="9.875" style="255" customWidth="1"/>
    <col min="14358" max="14358" width="26.125" style="255" customWidth="1"/>
    <col min="14359" max="14359" width="11.125" style="255" customWidth="1"/>
    <col min="14360" max="14360" width="7.875" style="255" customWidth="1"/>
    <col min="14361" max="14361" width="7.25" style="255" customWidth="1"/>
    <col min="14362" max="14362" width="9.125" style="255" customWidth="1"/>
    <col min="14363" max="14363" width="15.125" style="255" customWidth="1"/>
    <col min="14364" max="14364" width="7.75" style="255" customWidth="1"/>
    <col min="14365" max="14365" width="7.125" style="255" customWidth="1"/>
    <col min="14366" max="14366" width="12.125" style="255" customWidth="1"/>
    <col min="14367" max="14367" width="8.25" style="255" customWidth="1"/>
    <col min="14368" max="14369" width="10.375" style="255" customWidth="1"/>
    <col min="14370" max="14370" width="15.625" style="255" customWidth="1"/>
    <col min="14371" max="14371" width="15.875" style="255" customWidth="1"/>
    <col min="14372" max="14372" width="8.125" style="255" customWidth="1"/>
    <col min="14373" max="14376" width="10.375" style="255" customWidth="1"/>
    <col min="14377" max="14377" width="7.25" style="255" customWidth="1"/>
    <col min="14378" max="14378" width="7.125" style="255" customWidth="1"/>
    <col min="14379" max="14379" width="9.5" style="255" customWidth="1"/>
    <col min="14380" max="14381" width="9" style="255" customWidth="1"/>
    <col min="14382" max="14382" width="16.125" style="255" customWidth="1"/>
    <col min="14383" max="14413" width="9" style="255" customWidth="1"/>
    <col min="14414" max="14573" width="25.25" style="255"/>
    <col min="14574" max="14603" width="9" style="255" customWidth="1"/>
    <col min="14604" max="14604" width="0.5" style="255" customWidth="1"/>
    <col min="14605" max="14605" width="25.25" style="255"/>
    <col min="14606" max="14606" width="0.5" style="255" customWidth="1"/>
    <col min="14607" max="14607" width="25.25" style="255"/>
    <col min="14608" max="14608" width="14.75" style="255" customWidth="1"/>
    <col min="14609" max="14609" width="11.5" style="255" customWidth="1"/>
    <col min="14610" max="14610" width="11.25" style="255" customWidth="1"/>
    <col min="14611" max="14611" width="10.75" style="255" customWidth="1"/>
    <col min="14612" max="14612" width="10" style="255" customWidth="1"/>
    <col min="14613" max="14613" width="9.875" style="255" customWidth="1"/>
    <col min="14614" max="14614" width="26.125" style="255" customWidth="1"/>
    <col min="14615" max="14615" width="11.125" style="255" customWidth="1"/>
    <col min="14616" max="14616" width="7.875" style="255" customWidth="1"/>
    <col min="14617" max="14617" width="7.25" style="255" customWidth="1"/>
    <col min="14618" max="14618" width="9.125" style="255" customWidth="1"/>
    <col min="14619" max="14619" width="15.125" style="255" customWidth="1"/>
    <col min="14620" max="14620" width="7.75" style="255" customWidth="1"/>
    <col min="14621" max="14621" width="7.125" style="255" customWidth="1"/>
    <col min="14622" max="14622" width="12.125" style="255" customWidth="1"/>
    <col min="14623" max="14623" width="8.25" style="255" customWidth="1"/>
    <col min="14624" max="14625" width="10.375" style="255" customWidth="1"/>
    <col min="14626" max="14626" width="15.625" style="255" customWidth="1"/>
    <col min="14627" max="14627" width="15.875" style="255" customWidth="1"/>
    <col min="14628" max="14628" width="8.125" style="255" customWidth="1"/>
    <col min="14629" max="14632" width="10.375" style="255" customWidth="1"/>
    <col min="14633" max="14633" width="7.25" style="255" customWidth="1"/>
    <col min="14634" max="14634" width="7.125" style="255" customWidth="1"/>
    <col min="14635" max="14635" width="9.5" style="255" customWidth="1"/>
    <col min="14636" max="14637" width="9" style="255" customWidth="1"/>
    <col min="14638" max="14638" width="16.125" style="255" customWidth="1"/>
    <col min="14639" max="14669" width="9" style="255" customWidth="1"/>
    <col min="14670" max="14829" width="25.25" style="255"/>
    <col min="14830" max="14859" width="9" style="255" customWidth="1"/>
    <col min="14860" max="14860" width="0.5" style="255" customWidth="1"/>
    <col min="14861" max="14861" width="25.25" style="255"/>
    <col min="14862" max="14862" width="0.5" style="255" customWidth="1"/>
    <col min="14863" max="14863" width="25.25" style="255"/>
    <col min="14864" max="14864" width="14.75" style="255" customWidth="1"/>
    <col min="14865" max="14865" width="11.5" style="255" customWidth="1"/>
    <col min="14866" max="14866" width="11.25" style="255" customWidth="1"/>
    <col min="14867" max="14867" width="10.75" style="255" customWidth="1"/>
    <col min="14868" max="14868" width="10" style="255" customWidth="1"/>
    <col min="14869" max="14869" width="9.875" style="255" customWidth="1"/>
    <col min="14870" max="14870" width="26.125" style="255" customWidth="1"/>
    <col min="14871" max="14871" width="11.125" style="255" customWidth="1"/>
    <col min="14872" max="14872" width="7.875" style="255" customWidth="1"/>
    <col min="14873" max="14873" width="7.25" style="255" customWidth="1"/>
    <col min="14874" max="14874" width="9.125" style="255" customWidth="1"/>
    <col min="14875" max="14875" width="15.125" style="255" customWidth="1"/>
    <col min="14876" max="14876" width="7.75" style="255" customWidth="1"/>
    <col min="14877" max="14877" width="7.125" style="255" customWidth="1"/>
    <col min="14878" max="14878" width="12.125" style="255" customWidth="1"/>
    <col min="14879" max="14879" width="8.25" style="255" customWidth="1"/>
    <col min="14880" max="14881" width="10.375" style="255" customWidth="1"/>
    <col min="14882" max="14882" width="15.625" style="255" customWidth="1"/>
    <col min="14883" max="14883" width="15.875" style="255" customWidth="1"/>
    <col min="14884" max="14884" width="8.125" style="255" customWidth="1"/>
    <col min="14885" max="14888" width="10.375" style="255" customWidth="1"/>
    <col min="14889" max="14889" width="7.25" style="255" customWidth="1"/>
    <col min="14890" max="14890" width="7.125" style="255" customWidth="1"/>
    <col min="14891" max="14891" width="9.5" style="255" customWidth="1"/>
    <col min="14892" max="14893" width="9" style="255" customWidth="1"/>
    <col min="14894" max="14894" width="16.125" style="255" customWidth="1"/>
    <col min="14895" max="14925" width="9" style="255" customWidth="1"/>
    <col min="14926" max="15085" width="25.25" style="255"/>
    <col min="15086" max="15115" width="9" style="255" customWidth="1"/>
    <col min="15116" max="15116" width="0.5" style="255" customWidth="1"/>
    <col min="15117" max="15117" width="25.25" style="255"/>
    <col min="15118" max="15118" width="0.5" style="255" customWidth="1"/>
    <col min="15119" max="15119" width="25.25" style="255"/>
    <col min="15120" max="15120" width="14.75" style="255" customWidth="1"/>
    <col min="15121" max="15121" width="11.5" style="255" customWidth="1"/>
    <col min="15122" max="15122" width="11.25" style="255" customWidth="1"/>
    <col min="15123" max="15123" width="10.75" style="255" customWidth="1"/>
    <col min="15124" max="15124" width="10" style="255" customWidth="1"/>
    <col min="15125" max="15125" width="9.875" style="255" customWidth="1"/>
    <col min="15126" max="15126" width="26.125" style="255" customWidth="1"/>
    <col min="15127" max="15127" width="11.125" style="255" customWidth="1"/>
    <col min="15128" max="15128" width="7.875" style="255" customWidth="1"/>
    <col min="15129" max="15129" width="7.25" style="255" customWidth="1"/>
    <col min="15130" max="15130" width="9.125" style="255" customWidth="1"/>
    <col min="15131" max="15131" width="15.125" style="255" customWidth="1"/>
    <col min="15132" max="15132" width="7.75" style="255" customWidth="1"/>
    <col min="15133" max="15133" width="7.125" style="255" customWidth="1"/>
    <col min="15134" max="15134" width="12.125" style="255" customWidth="1"/>
    <col min="15135" max="15135" width="8.25" style="255" customWidth="1"/>
    <col min="15136" max="15137" width="10.375" style="255" customWidth="1"/>
    <col min="15138" max="15138" width="15.625" style="255" customWidth="1"/>
    <col min="15139" max="15139" width="15.875" style="255" customWidth="1"/>
    <col min="15140" max="15140" width="8.125" style="255" customWidth="1"/>
    <col min="15141" max="15144" width="10.375" style="255" customWidth="1"/>
    <col min="15145" max="15145" width="7.25" style="255" customWidth="1"/>
    <col min="15146" max="15146" width="7.125" style="255" customWidth="1"/>
    <col min="15147" max="15147" width="9.5" style="255" customWidth="1"/>
    <col min="15148" max="15149" width="9" style="255" customWidth="1"/>
    <col min="15150" max="15150" width="16.125" style="255" customWidth="1"/>
    <col min="15151" max="15181" width="9" style="255" customWidth="1"/>
    <col min="15182" max="15341" width="25.25" style="255"/>
    <col min="15342" max="15371" width="9" style="255" customWidth="1"/>
    <col min="15372" max="15372" width="0.5" style="255" customWidth="1"/>
    <col min="15373" max="15373" width="25.25" style="255"/>
    <col min="15374" max="15374" width="0.5" style="255" customWidth="1"/>
    <col min="15375" max="15375" width="25.25" style="255"/>
    <col min="15376" max="15376" width="14.75" style="255" customWidth="1"/>
    <col min="15377" max="15377" width="11.5" style="255" customWidth="1"/>
    <col min="15378" max="15378" width="11.25" style="255" customWidth="1"/>
    <col min="15379" max="15379" width="10.75" style="255" customWidth="1"/>
    <col min="15380" max="15380" width="10" style="255" customWidth="1"/>
    <col min="15381" max="15381" width="9.875" style="255" customWidth="1"/>
    <col min="15382" max="15382" width="26.125" style="255" customWidth="1"/>
    <col min="15383" max="15383" width="11.125" style="255" customWidth="1"/>
    <col min="15384" max="15384" width="7.875" style="255" customWidth="1"/>
    <col min="15385" max="15385" width="7.25" style="255" customWidth="1"/>
    <col min="15386" max="15386" width="9.125" style="255" customWidth="1"/>
    <col min="15387" max="15387" width="15.125" style="255" customWidth="1"/>
    <col min="15388" max="15388" width="7.75" style="255" customWidth="1"/>
    <col min="15389" max="15389" width="7.125" style="255" customWidth="1"/>
    <col min="15390" max="15390" width="12.125" style="255" customWidth="1"/>
    <col min="15391" max="15391" width="8.25" style="255" customWidth="1"/>
    <col min="15392" max="15393" width="10.375" style="255" customWidth="1"/>
    <col min="15394" max="15394" width="15.625" style="255" customWidth="1"/>
    <col min="15395" max="15395" width="15.875" style="255" customWidth="1"/>
    <col min="15396" max="15396" width="8.125" style="255" customWidth="1"/>
    <col min="15397" max="15400" width="10.375" style="255" customWidth="1"/>
    <col min="15401" max="15401" width="7.25" style="255" customWidth="1"/>
    <col min="15402" max="15402" width="7.125" style="255" customWidth="1"/>
    <col min="15403" max="15403" width="9.5" style="255" customWidth="1"/>
    <col min="15404" max="15405" width="9" style="255" customWidth="1"/>
    <col min="15406" max="15406" width="16.125" style="255" customWidth="1"/>
    <col min="15407" max="15437" width="9" style="255" customWidth="1"/>
    <col min="15438" max="15597" width="25.25" style="255"/>
    <col min="15598" max="15627" width="9" style="255" customWidth="1"/>
    <col min="15628" max="15628" width="0.5" style="255" customWidth="1"/>
    <col min="15629" max="15629" width="25.25" style="255"/>
    <col min="15630" max="15630" width="0.5" style="255" customWidth="1"/>
    <col min="15631" max="15631" width="25.25" style="255"/>
    <col min="15632" max="15632" width="14.75" style="255" customWidth="1"/>
    <col min="15633" max="15633" width="11.5" style="255" customWidth="1"/>
    <col min="15634" max="15634" width="11.25" style="255" customWidth="1"/>
    <col min="15635" max="15635" width="10.75" style="255" customWidth="1"/>
    <col min="15636" max="15636" width="10" style="255" customWidth="1"/>
    <col min="15637" max="15637" width="9.875" style="255" customWidth="1"/>
    <col min="15638" max="15638" width="26.125" style="255" customWidth="1"/>
    <col min="15639" max="15639" width="11.125" style="255" customWidth="1"/>
    <col min="15640" max="15640" width="7.875" style="255" customWidth="1"/>
    <col min="15641" max="15641" width="7.25" style="255" customWidth="1"/>
    <col min="15642" max="15642" width="9.125" style="255" customWidth="1"/>
    <col min="15643" max="15643" width="15.125" style="255" customWidth="1"/>
    <col min="15644" max="15644" width="7.75" style="255" customWidth="1"/>
    <col min="15645" max="15645" width="7.125" style="255" customWidth="1"/>
    <col min="15646" max="15646" width="12.125" style="255" customWidth="1"/>
    <col min="15647" max="15647" width="8.25" style="255" customWidth="1"/>
    <col min="15648" max="15649" width="10.375" style="255" customWidth="1"/>
    <col min="15650" max="15650" width="15.625" style="255" customWidth="1"/>
    <col min="15651" max="15651" width="15.875" style="255" customWidth="1"/>
    <col min="15652" max="15652" width="8.125" style="255" customWidth="1"/>
    <col min="15653" max="15656" width="10.375" style="255" customWidth="1"/>
    <col min="15657" max="15657" width="7.25" style="255" customWidth="1"/>
    <col min="15658" max="15658" width="7.125" style="255" customWidth="1"/>
    <col min="15659" max="15659" width="9.5" style="255" customWidth="1"/>
    <col min="15660" max="15661" width="9" style="255" customWidth="1"/>
    <col min="15662" max="15662" width="16.125" style="255" customWidth="1"/>
    <col min="15663" max="15693" width="9" style="255" customWidth="1"/>
    <col min="15694" max="15853" width="25.25" style="255"/>
    <col min="15854" max="15883" width="9" style="255" customWidth="1"/>
    <col min="15884" max="15884" width="0.5" style="255" customWidth="1"/>
    <col min="15885" max="15885" width="25.25" style="255"/>
    <col min="15886" max="15886" width="0.5" style="255" customWidth="1"/>
    <col min="15887" max="15887" width="25.25" style="255"/>
    <col min="15888" max="15888" width="14.75" style="255" customWidth="1"/>
    <col min="15889" max="15889" width="11.5" style="255" customWidth="1"/>
    <col min="15890" max="15890" width="11.25" style="255" customWidth="1"/>
    <col min="15891" max="15891" width="10.75" style="255" customWidth="1"/>
    <col min="15892" max="15892" width="10" style="255" customWidth="1"/>
    <col min="15893" max="15893" width="9.875" style="255" customWidth="1"/>
    <col min="15894" max="15894" width="26.125" style="255" customWidth="1"/>
    <col min="15895" max="15895" width="11.125" style="255" customWidth="1"/>
    <col min="15896" max="15896" width="7.875" style="255" customWidth="1"/>
    <col min="15897" max="15897" width="7.25" style="255" customWidth="1"/>
    <col min="15898" max="15898" width="9.125" style="255" customWidth="1"/>
    <col min="15899" max="15899" width="15.125" style="255" customWidth="1"/>
    <col min="15900" max="15900" width="7.75" style="255" customWidth="1"/>
    <col min="15901" max="15901" width="7.125" style="255" customWidth="1"/>
    <col min="15902" max="15902" width="12.125" style="255" customWidth="1"/>
    <col min="15903" max="15903" width="8.25" style="255" customWidth="1"/>
    <col min="15904" max="15905" width="10.375" style="255" customWidth="1"/>
    <col min="15906" max="15906" width="15.625" style="255" customWidth="1"/>
    <col min="15907" max="15907" width="15.875" style="255" customWidth="1"/>
    <col min="15908" max="15908" width="8.125" style="255" customWidth="1"/>
    <col min="15909" max="15912" width="10.375" style="255" customWidth="1"/>
    <col min="15913" max="15913" width="7.25" style="255" customWidth="1"/>
    <col min="15914" max="15914" width="7.125" style="255" customWidth="1"/>
    <col min="15915" max="15915" width="9.5" style="255" customWidth="1"/>
    <col min="15916" max="15917" width="9" style="255" customWidth="1"/>
    <col min="15918" max="15918" width="16.125" style="255" customWidth="1"/>
    <col min="15919" max="15949" width="9" style="255" customWidth="1"/>
    <col min="15950" max="16109" width="25.25" style="255"/>
    <col min="16110" max="16139" width="9" style="255" customWidth="1"/>
    <col min="16140" max="16140" width="0.5" style="255" customWidth="1"/>
    <col min="16141" max="16384" width="25.25" style="255"/>
  </cols>
  <sheetData>
    <row r="1" spans="1:16" ht="14.25" thickBot="1"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1"/>
      <c r="O1" s="1"/>
      <c r="P1" s="1"/>
    </row>
    <row r="2" spans="1:16" ht="18" customHeight="1">
      <c r="A2" s="5"/>
      <c r="B2" s="6" t="s">
        <v>402</v>
      </c>
      <c r="C2" s="254"/>
      <c r="D2" s="254" t="s">
        <v>9</v>
      </c>
      <c r="E2" s="254" t="s">
        <v>10</v>
      </c>
      <c r="F2" s="661" t="s">
        <v>11</v>
      </c>
      <c r="G2" s="661"/>
      <c r="H2" s="661"/>
      <c r="I2" s="662" t="s">
        <v>12</v>
      </c>
      <c r="J2" s="664" t="s">
        <v>13</v>
      </c>
      <c r="K2" s="665"/>
      <c r="L2" s="665"/>
      <c r="M2" s="666"/>
      <c r="N2" s="8"/>
      <c r="O2" s="8"/>
      <c r="P2" s="8"/>
    </row>
    <row r="3" spans="1:16" ht="18" customHeight="1">
      <c r="B3" s="9" t="s">
        <v>14</v>
      </c>
      <c r="C3" s="10" t="s">
        <v>15</v>
      </c>
      <c r="D3" s="10" t="s">
        <v>16</v>
      </c>
      <c r="E3" s="10" t="s">
        <v>17</v>
      </c>
      <c r="F3" s="10" t="s">
        <v>7</v>
      </c>
      <c r="G3" s="10" t="s">
        <v>5</v>
      </c>
      <c r="H3" s="10" t="s">
        <v>18</v>
      </c>
      <c r="I3" s="663"/>
      <c r="J3" s="11" t="s">
        <v>19</v>
      </c>
      <c r="K3" s="12" t="s">
        <v>20</v>
      </c>
      <c r="L3" s="12" t="s">
        <v>21</v>
      </c>
      <c r="M3" s="13" t="s">
        <v>22</v>
      </c>
      <c r="N3" s="14"/>
      <c r="P3" s="15"/>
    </row>
    <row r="4" spans="1:16" ht="18" customHeight="1">
      <c r="B4" s="667" t="str">
        <f ca="1">MID(CELL("filename",Q13),FIND("]",CELL("filename",Q13))+1,30)</f>
        <v>MLC2522</v>
      </c>
      <c r="C4" s="17" t="s">
        <v>23</v>
      </c>
      <c r="D4" s="17">
        <v>2500</v>
      </c>
      <c r="E4" s="17">
        <v>2200</v>
      </c>
      <c r="F4" s="18">
        <v>4.5999999999999996</v>
      </c>
      <c r="G4" s="17">
        <v>1</v>
      </c>
      <c r="H4" s="17">
        <f>F4*G4</f>
        <v>4.5999999999999996</v>
      </c>
      <c r="I4" s="663"/>
      <c r="J4" s="19">
        <v>40</v>
      </c>
      <c r="K4" s="20">
        <v>20</v>
      </c>
      <c r="L4" s="21">
        <v>1.5</v>
      </c>
      <c r="M4" s="22">
        <f t="shared" ref="M4:M11" si="0">ROUND(((J4*K4)-(J4-2*L4)*(K4-2*L4))*7.8/1000,3)</f>
        <v>1.3340000000000001</v>
      </c>
    </row>
    <row r="5" spans="1:16" ht="18" customHeight="1">
      <c r="B5" s="668"/>
      <c r="C5" s="221" t="s">
        <v>299</v>
      </c>
      <c r="D5" s="221">
        <f>D4-70</f>
        <v>2430</v>
      </c>
      <c r="E5" s="221">
        <f>E4-70</f>
        <v>2130</v>
      </c>
      <c r="F5" s="222">
        <f>D5*E5/10^6</f>
        <v>5.1759000000000004</v>
      </c>
      <c r="G5" s="221">
        <v>1</v>
      </c>
      <c r="H5" s="222">
        <f>F5*G5</f>
        <v>5.1759000000000004</v>
      </c>
      <c r="I5" s="663"/>
      <c r="J5" s="19">
        <v>40</v>
      </c>
      <c r="K5" s="20">
        <v>20</v>
      </c>
      <c r="L5" s="21">
        <v>2</v>
      </c>
      <c r="M5" s="22">
        <f t="shared" si="0"/>
        <v>1.7470000000000001</v>
      </c>
    </row>
    <row r="6" spans="1:16" ht="18" customHeight="1">
      <c r="B6" s="669"/>
      <c r="C6" s="17" t="s">
        <v>24</v>
      </c>
      <c r="D6" s="17">
        <f>D4-80</f>
        <v>2420</v>
      </c>
      <c r="E6" s="17">
        <f>E4-80</f>
        <v>2120</v>
      </c>
      <c r="F6" s="18">
        <f>D6*E6/10^6</f>
        <v>5.1303999999999998</v>
      </c>
      <c r="G6" s="17">
        <v>1</v>
      </c>
      <c r="H6" s="18">
        <f>F6*G6</f>
        <v>5.1303999999999998</v>
      </c>
      <c r="I6" s="663"/>
      <c r="J6" s="19">
        <v>40</v>
      </c>
      <c r="K6" s="20">
        <v>20</v>
      </c>
      <c r="L6" s="21">
        <v>2</v>
      </c>
      <c r="M6" s="22">
        <f t="shared" si="0"/>
        <v>1.7470000000000001</v>
      </c>
    </row>
    <row r="7" spans="1:16" ht="18" customHeight="1">
      <c r="B7" s="23" t="s">
        <v>25</v>
      </c>
      <c r="C7" s="252" t="s">
        <v>16</v>
      </c>
      <c r="D7" s="252" t="s">
        <v>26</v>
      </c>
      <c r="E7" s="252" t="s">
        <v>17</v>
      </c>
      <c r="F7" s="252" t="s">
        <v>27</v>
      </c>
      <c r="G7" s="252" t="s">
        <v>22</v>
      </c>
      <c r="H7" s="252" t="s">
        <v>28</v>
      </c>
      <c r="I7" s="25" t="s">
        <v>29</v>
      </c>
      <c r="J7" s="19">
        <v>80</v>
      </c>
      <c r="K7" s="20">
        <v>40</v>
      </c>
      <c r="L7" s="21">
        <v>2</v>
      </c>
      <c r="M7" s="22">
        <f t="shared" si="0"/>
        <v>3.6190000000000002</v>
      </c>
    </row>
    <row r="8" spans="1:16" ht="18" customHeight="1">
      <c r="B8" s="251" t="s">
        <v>30</v>
      </c>
      <c r="C8" s="27">
        <f>D4-30</f>
        <v>2470</v>
      </c>
      <c r="D8" s="27">
        <v>2</v>
      </c>
      <c r="E8" s="27">
        <f>E4-30</f>
        <v>2170</v>
      </c>
      <c r="F8" s="27">
        <v>2</v>
      </c>
      <c r="G8" s="28">
        <v>1.7470000000000001</v>
      </c>
      <c r="H8" s="29">
        <f>材料价格!B3</f>
        <v>7.5</v>
      </c>
      <c r="I8" s="30">
        <f>ROUND((C8*D8+E8*F8)*G8*H8/1000*1.1,2)</f>
        <v>133.75</v>
      </c>
      <c r="J8" s="19">
        <v>40</v>
      </c>
      <c r="K8" s="20">
        <v>20</v>
      </c>
      <c r="L8" s="21">
        <v>1.4</v>
      </c>
      <c r="M8" s="22">
        <f>ROUND(((J8*K8)-(J8-2*L8)*(K8-2*L8))*2.71/1000,3)</f>
        <v>0.434</v>
      </c>
    </row>
    <row r="9" spans="1:16" ht="18" customHeight="1">
      <c r="B9" s="251" t="s">
        <v>30</v>
      </c>
      <c r="C9" s="250"/>
      <c r="D9" s="250"/>
      <c r="E9" s="250"/>
      <c r="F9" s="250"/>
      <c r="G9" s="28">
        <v>1.7470000000000001</v>
      </c>
      <c r="H9" s="32">
        <f>H8</f>
        <v>7.5</v>
      </c>
      <c r="I9" s="30">
        <f>ROUND((C9*D9+E9*F9)*G9*H9/1000*1.1,2)</f>
        <v>0</v>
      </c>
      <c r="J9" s="19"/>
      <c r="K9" s="20"/>
      <c r="L9" s="21"/>
      <c r="M9" s="22">
        <f t="shared" si="0"/>
        <v>0</v>
      </c>
    </row>
    <row r="10" spans="1:16" ht="18" customHeight="1">
      <c r="B10" s="251" t="s">
        <v>31</v>
      </c>
      <c r="C10" s="250"/>
      <c r="D10" s="250"/>
      <c r="E10" s="250"/>
      <c r="F10" s="250"/>
      <c r="G10" s="28">
        <v>3.6190000000000002</v>
      </c>
      <c r="H10" s="32">
        <f>H9</f>
        <v>7.5</v>
      </c>
      <c r="I10" s="30">
        <f>ROUND((C10*D10+E10*F10)*G10*H10/1000*1.1,2)</f>
        <v>0</v>
      </c>
      <c r="J10" s="19"/>
      <c r="K10" s="20"/>
      <c r="L10" s="12"/>
      <c r="M10" s="22">
        <f t="shared" si="0"/>
        <v>0</v>
      </c>
    </row>
    <row r="11" spans="1:16" ht="18" customHeight="1" thickBot="1">
      <c r="B11" s="251" t="s">
        <v>32</v>
      </c>
      <c r="C11" s="250"/>
      <c r="D11" s="250"/>
      <c r="E11" s="250"/>
      <c r="F11" s="250"/>
      <c r="G11" s="28">
        <v>2.9950000000000001</v>
      </c>
      <c r="H11" s="32">
        <f>H10</f>
        <v>7.5</v>
      </c>
      <c r="I11" s="30">
        <f>ROUND((C11*D11+E11*F11)*G11*H11/1000*1.1,2)</f>
        <v>0</v>
      </c>
      <c r="J11" s="33"/>
      <c r="K11" s="34"/>
      <c r="L11" s="35"/>
      <c r="M11" s="36">
        <f t="shared" si="0"/>
        <v>0</v>
      </c>
    </row>
    <row r="12" spans="1:16" ht="18" customHeight="1">
      <c r="B12" s="37" t="s">
        <v>33</v>
      </c>
      <c r="C12" s="38">
        <f>((I9+I10+I8+I11)/H8)/F4</f>
        <v>3.8768115942028984</v>
      </c>
      <c r="D12" s="39" t="s">
        <v>34</v>
      </c>
      <c r="E12" s="38">
        <f>(I9+I10+I8+I11)/F4</f>
        <v>29.076086956521742</v>
      </c>
      <c r="F12" s="40" t="s">
        <v>35</v>
      </c>
      <c r="G12" s="39"/>
      <c r="H12" s="39">
        <f>ROUND(SUM(I8:I11)/H8,2)</f>
        <v>17.829999999999998</v>
      </c>
      <c r="I12" s="41">
        <f>SUM(I8:I11)</f>
        <v>133.75</v>
      </c>
      <c r="J12" s="42"/>
    </row>
    <row r="13" spans="1:16" ht="18" customHeight="1">
      <c r="B13" s="23" t="s">
        <v>36</v>
      </c>
      <c r="C13" s="252" t="s">
        <v>14</v>
      </c>
      <c r="D13" s="252" t="s">
        <v>37</v>
      </c>
      <c r="E13" s="252" t="s">
        <v>38</v>
      </c>
      <c r="F13" s="252" t="s">
        <v>39</v>
      </c>
      <c r="G13" s="252" t="s">
        <v>8</v>
      </c>
      <c r="H13" s="252" t="s">
        <v>22</v>
      </c>
      <c r="I13" s="25" t="s">
        <v>40</v>
      </c>
    </row>
    <row r="14" spans="1:16" ht="18" customHeight="1">
      <c r="B14" s="648" t="s">
        <v>41</v>
      </c>
      <c r="C14" s="649" t="s">
        <v>404</v>
      </c>
      <c r="D14" s="250">
        <v>1000</v>
      </c>
      <c r="E14" s="250">
        <v>1300</v>
      </c>
      <c r="F14" s="44">
        <f>ROUND((D14+E14)*2/1000,4)</f>
        <v>4.5999999999999996</v>
      </c>
      <c r="G14" s="250">
        <v>1</v>
      </c>
      <c r="H14" s="250">
        <v>1.47</v>
      </c>
      <c r="I14" s="284">
        <f>ROUND(F14*G14*H14,3)*1.5</f>
        <v>10.142999999999999</v>
      </c>
      <c r="J14" s="42"/>
      <c r="K14" s="46"/>
      <c r="L14" s="46"/>
      <c r="M14" s="42"/>
    </row>
    <row r="15" spans="1:16" ht="18" customHeight="1">
      <c r="B15" s="648"/>
      <c r="C15" s="650"/>
      <c r="D15" s="250"/>
      <c r="E15" s="250"/>
      <c r="F15" s="44">
        <f t="shared" ref="F15:F21" si="1">ROUND((D15+E15)*2/1000,4)</f>
        <v>0</v>
      </c>
      <c r="G15" s="250"/>
      <c r="H15" s="250">
        <f t="shared" ref="H15:H21" si="2">H14</f>
        <v>1.47</v>
      </c>
      <c r="I15" s="247">
        <f t="shared" ref="I15:I21" si="3">ROUND(F15*G15*H15,3)</f>
        <v>0</v>
      </c>
      <c r="K15" s="47"/>
      <c r="M15" s="255"/>
    </row>
    <row r="16" spans="1:16" ht="18" customHeight="1">
      <c r="B16" s="648"/>
      <c r="C16" s="650"/>
      <c r="D16" s="250"/>
      <c r="E16" s="250"/>
      <c r="F16" s="44">
        <f t="shared" si="1"/>
        <v>0</v>
      </c>
      <c r="G16" s="250"/>
      <c r="H16" s="250">
        <f t="shared" si="2"/>
        <v>1.47</v>
      </c>
      <c r="I16" s="247">
        <f t="shared" si="3"/>
        <v>0</v>
      </c>
      <c r="K16" s="47"/>
      <c r="L16" s="46"/>
      <c r="M16" s="42"/>
    </row>
    <row r="17" spans="2:15" ht="18" customHeight="1">
      <c r="B17" s="648"/>
      <c r="C17" s="650"/>
      <c r="D17" s="250"/>
      <c r="E17" s="250"/>
      <c r="F17" s="44">
        <f t="shared" si="1"/>
        <v>0</v>
      </c>
      <c r="G17" s="250"/>
      <c r="H17" s="250">
        <f t="shared" si="2"/>
        <v>1.47</v>
      </c>
      <c r="I17" s="247">
        <f t="shared" si="3"/>
        <v>0</v>
      </c>
      <c r="K17" s="47"/>
      <c r="M17" s="42"/>
    </row>
    <row r="18" spans="2:15" ht="18" customHeight="1">
      <c r="B18" s="648"/>
      <c r="C18" s="650"/>
      <c r="D18" s="250"/>
      <c r="E18" s="250"/>
      <c r="F18" s="44">
        <f t="shared" si="1"/>
        <v>0</v>
      </c>
      <c r="G18" s="250"/>
      <c r="H18" s="250">
        <f t="shared" si="2"/>
        <v>1.47</v>
      </c>
      <c r="I18" s="247">
        <f t="shared" si="3"/>
        <v>0</v>
      </c>
      <c r="M18" s="42"/>
    </row>
    <row r="19" spans="2:15" ht="18" customHeight="1">
      <c r="B19" s="648"/>
      <c r="C19" s="650"/>
      <c r="D19" s="250"/>
      <c r="E19" s="250"/>
      <c r="F19" s="44">
        <f t="shared" si="1"/>
        <v>0</v>
      </c>
      <c r="G19" s="250"/>
      <c r="H19" s="250">
        <f t="shared" si="2"/>
        <v>1.47</v>
      </c>
      <c r="I19" s="247">
        <f t="shared" si="3"/>
        <v>0</v>
      </c>
      <c r="M19" s="42"/>
    </row>
    <row r="20" spans="2:15" ht="18" customHeight="1">
      <c r="B20" s="648"/>
      <c r="C20" s="650"/>
      <c r="D20" s="250"/>
      <c r="E20" s="250"/>
      <c r="F20" s="44">
        <f t="shared" si="1"/>
        <v>0</v>
      </c>
      <c r="G20" s="250"/>
      <c r="H20" s="250">
        <f t="shared" si="2"/>
        <v>1.47</v>
      </c>
      <c r="I20" s="247">
        <f t="shared" si="3"/>
        <v>0</v>
      </c>
      <c r="K20" s="47"/>
      <c r="M20" s="42"/>
    </row>
    <row r="21" spans="2:15" ht="18" customHeight="1">
      <c r="B21" s="648"/>
      <c r="C21" s="651"/>
      <c r="D21" s="250"/>
      <c r="E21" s="250"/>
      <c r="F21" s="44">
        <f t="shared" si="1"/>
        <v>0</v>
      </c>
      <c r="G21" s="250"/>
      <c r="H21" s="250">
        <f t="shared" si="2"/>
        <v>1.47</v>
      </c>
      <c r="I21" s="247">
        <f t="shared" si="3"/>
        <v>0</v>
      </c>
    </row>
    <row r="22" spans="2:15" ht="18" customHeight="1">
      <c r="B22" s="48" t="s">
        <v>42</v>
      </c>
      <c r="C22" s="49">
        <f>SUMPRODUCT(F14:F21*G14:G21)</f>
        <v>4.5999999999999996</v>
      </c>
      <c r="D22" s="50" t="s">
        <v>43</v>
      </c>
      <c r="E22" s="49">
        <f>SUM(I14:I21)*1.1</f>
        <v>11.157299999999999</v>
      </c>
      <c r="F22" s="50" t="s">
        <v>44</v>
      </c>
      <c r="G22" s="51">
        <f>(C$218+C$219)/1000</f>
        <v>46.081499999999998</v>
      </c>
      <c r="H22" s="52" t="s">
        <v>45</v>
      </c>
      <c r="I22" s="53">
        <f>ROUND(E22*G22,2)</f>
        <v>514.15</v>
      </c>
      <c r="J22" s="243">
        <f>SUM(G14:G21)</f>
        <v>1</v>
      </c>
    </row>
    <row r="23" spans="2:15" ht="18" customHeight="1">
      <c r="B23" s="48" t="s">
        <v>46</v>
      </c>
      <c r="C23" s="50">
        <v>207.36</v>
      </c>
      <c r="D23" s="50" t="s">
        <v>47</v>
      </c>
      <c r="E23" s="49">
        <f>ROUND(C22*(C23/1000),2)</f>
        <v>0.95</v>
      </c>
      <c r="F23" s="50" t="s">
        <v>48</v>
      </c>
      <c r="G23" s="50">
        <v>10</v>
      </c>
      <c r="H23" s="52" t="s">
        <v>49</v>
      </c>
      <c r="I23" s="53">
        <f>E23*G23</f>
        <v>9.5</v>
      </c>
    </row>
    <row r="24" spans="2:15" ht="18" customHeight="1" thickBot="1">
      <c r="B24" s="48" t="s">
        <v>50</v>
      </c>
      <c r="C24" s="50">
        <v>169.96</v>
      </c>
      <c r="D24" s="50" t="s">
        <v>51</v>
      </c>
      <c r="E24" s="49">
        <f>ROUND(C22*(C24/1000),2)</f>
        <v>0.78</v>
      </c>
      <c r="F24" s="50" t="s">
        <v>48</v>
      </c>
      <c r="G24" s="50">
        <v>10</v>
      </c>
      <c r="H24" s="52" t="s">
        <v>49</v>
      </c>
      <c r="I24" s="53">
        <f>E24*G24</f>
        <v>7.8000000000000007</v>
      </c>
    </row>
    <row r="25" spans="2:15" ht="18" customHeight="1">
      <c r="B25" s="23" t="s">
        <v>36</v>
      </c>
      <c r="C25" s="252" t="s">
        <v>14</v>
      </c>
      <c r="D25" s="252" t="s">
        <v>37</v>
      </c>
      <c r="E25" s="252" t="s">
        <v>38</v>
      </c>
      <c r="F25" s="252" t="s">
        <v>39</v>
      </c>
      <c r="G25" s="252" t="s">
        <v>8</v>
      </c>
      <c r="H25" s="252" t="s">
        <v>22</v>
      </c>
      <c r="I25" s="25" t="s">
        <v>40</v>
      </c>
      <c r="J25" s="54" t="s">
        <v>2</v>
      </c>
      <c r="K25" s="55" t="s">
        <v>3</v>
      </c>
      <c r="L25" s="55" t="s">
        <v>52</v>
      </c>
      <c r="M25" s="55" t="s">
        <v>53</v>
      </c>
      <c r="N25" s="56" t="s">
        <v>14</v>
      </c>
    </row>
    <row r="26" spans="2:15" ht="18" customHeight="1">
      <c r="B26" s="648" t="s">
        <v>54</v>
      </c>
      <c r="C26" s="649" t="s">
        <v>55</v>
      </c>
      <c r="D26" s="253">
        <f>J26-IF(L26=1,44,IF(L26=2,30,IF(L26=3,16,0)))</f>
        <v>0</v>
      </c>
      <c r="E26" s="253">
        <f>K26-IF(M26=1,44,IF(M26=2,30,IF(M26=3,16,0)))</f>
        <v>0</v>
      </c>
      <c r="F26" s="44">
        <f>ROUND((D26+E26)*2/1000,4)</f>
        <v>0</v>
      </c>
      <c r="G26" s="250"/>
      <c r="H26" s="58">
        <v>1.62</v>
      </c>
      <c r="I26" s="59">
        <f>IF(AND(D26&gt;0,E26&gt;0,F26&gt;0),F26*G26*H26,0)</f>
        <v>0</v>
      </c>
      <c r="J26" s="60"/>
      <c r="K26" s="61"/>
      <c r="L26" s="61"/>
      <c r="M26" s="61"/>
      <c r="N26" s="62" t="s">
        <v>56</v>
      </c>
      <c r="O26" s="63" t="s">
        <v>57</v>
      </c>
    </row>
    <row r="27" spans="2:15" ht="18" customHeight="1">
      <c r="B27" s="648"/>
      <c r="C27" s="650"/>
      <c r="D27" s="253">
        <f t="shared" ref="D27:E30" si="4">J27-IF(L27=1,44,IF(L27=2,30,IF(L27=3,16,0)))</f>
        <v>0</v>
      </c>
      <c r="E27" s="253">
        <f t="shared" si="4"/>
        <v>0</v>
      </c>
      <c r="F27" s="44">
        <f>ROUND((D27+E27)*2/1000,4)</f>
        <v>0</v>
      </c>
      <c r="G27" s="250"/>
      <c r="H27" s="58">
        <f>H26</f>
        <v>1.62</v>
      </c>
      <c r="I27" s="59">
        <f>IF(AND(D27&gt;0,E27&gt;0,F27&gt;0),F27*G27*H27,0)</f>
        <v>0</v>
      </c>
      <c r="J27" s="60"/>
      <c r="K27" s="61"/>
      <c r="L27" s="61"/>
      <c r="M27" s="61"/>
      <c r="N27" s="62" t="s">
        <v>58</v>
      </c>
      <c r="O27" s="63" t="s">
        <v>59</v>
      </c>
    </row>
    <row r="28" spans="2:15" ht="18" customHeight="1">
      <c r="B28" s="648"/>
      <c r="C28" s="650"/>
      <c r="D28" s="253">
        <f t="shared" si="4"/>
        <v>0</v>
      </c>
      <c r="E28" s="253">
        <f t="shared" si="4"/>
        <v>0</v>
      </c>
      <c r="F28" s="44">
        <f>ROUND((D28+E28)*2/1000,4)</f>
        <v>0</v>
      </c>
      <c r="G28" s="250"/>
      <c r="H28" s="58">
        <f>H27</f>
        <v>1.62</v>
      </c>
      <c r="I28" s="59">
        <f>IF(AND(D28&gt;0,E28&gt;0,F28&gt;0),F28*G28*H28,0)</f>
        <v>0</v>
      </c>
      <c r="J28" s="60"/>
      <c r="K28" s="61"/>
      <c r="L28" s="61"/>
      <c r="M28" s="61"/>
      <c r="N28" s="62" t="s">
        <v>60</v>
      </c>
      <c r="O28" s="63" t="s">
        <v>59</v>
      </c>
    </row>
    <row r="29" spans="2:15" ht="18" customHeight="1">
      <c r="B29" s="648"/>
      <c r="C29" s="650"/>
      <c r="D29" s="253">
        <f t="shared" si="4"/>
        <v>0</v>
      </c>
      <c r="E29" s="253">
        <f t="shared" si="4"/>
        <v>0</v>
      </c>
      <c r="F29" s="44">
        <f>ROUND((D29+E29)*2/1000,4)</f>
        <v>0</v>
      </c>
      <c r="G29" s="250"/>
      <c r="H29" s="58">
        <f>H28</f>
        <v>1.62</v>
      </c>
      <c r="I29" s="59">
        <f>IF(AND(D29&gt;0,E29&gt;0,F29&gt;0),F29*G29*H29,0)</f>
        <v>0</v>
      </c>
      <c r="J29" s="60"/>
      <c r="K29" s="61"/>
      <c r="L29" s="61"/>
      <c r="M29" s="61"/>
      <c r="N29" s="62"/>
    </row>
    <row r="30" spans="2:15" ht="18" customHeight="1" thickBot="1">
      <c r="B30" s="648"/>
      <c r="C30" s="651"/>
      <c r="D30" s="253">
        <f t="shared" si="4"/>
        <v>0</v>
      </c>
      <c r="E30" s="253">
        <f t="shared" si="4"/>
        <v>0</v>
      </c>
      <c r="F30" s="44">
        <f>ROUND((D30+E30)*2/1000,4)</f>
        <v>0</v>
      </c>
      <c r="G30" s="250"/>
      <c r="H30" s="58">
        <f>H29</f>
        <v>1.62</v>
      </c>
      <c r="I30" s="59">
        <f>IF(AND(D30&gt;0,E30&gt;0,F30&gt;0),F30*G30*H30,0)</f>
        <v>0</v>
      </c>
      <c r="J30" s="64"/>
      <c r="K30" s="65"/>
      <c r="L30" s="65"/>
      <c r="M30" s="65"/>
      <c r="N30" s="66"/>
    </row>
    <row r="31" spans="2:15" ht="18" customHeight="1">
      <c r="B31" s="48" t="s">
        <v>42</v>
      </c>
      <c r="C31" s="49">
        <f>SUMPRODUCT(F26:F30*G26:G30)</f>
        <v>0</v>
      </c>
      <c r="D31" s="50" t="s">
        <v>43</v>
      </c>
      <c r="E31" s="49">
        <f>SUM(I26:I30)*1.1</f>
        <v>0</v>
      </c>
      <c r="F31" s="50" t="s">
        <v>44</v>
      </c>
      <c r="G31" s="51">
        <f>(C$218+C$221)/1000</f>
        <v>46.081499999999998</v>
      </c>
      <c r="H31" s="52" t="s">
        <v>45</v>
      </c>
      <c r="I31" s="53">
        <f>ROUND(E31*G31,2)</f>
        <v>0</v>
      </c>
      <c r="J31" s="243">
        <f>SUM(G26:G30)</f>
        <v>0</v>
      </c>
    </row>
    <row r="32" spans="2:15" ht="18" customHeight="1">
      <c r="B32" s="48" t="s">
        <v>46</v>
      </c>
      <c r="C32" s="50">
        <v>183.32</v>
      </c>
      <c r="D32" s="50" t="s">
        <v>47</v>
      </c>
      <c r="E32" s="49">
        <f>ROUND(C31*(C32/1000),2)</f>
        <v>0</v>
      </c>
      <c r="F32" s="50" t="s">
        <v>48</v>
      </c>
      <c r="G32" s="50">
        <f>G$23</f>
        <v>10</v>
      </c>
      <c r="H32" s="52" t="s">
        <v>49</v>
      </c>
      <c r="I32" s="53">
        <f>E32*G32</f>
        <v>0</v>
      </c>
    </row>
    <row r="33" spans="2:14" ht="18" customHeight="1" thickBot="1">
      <c r="B33" s="48" t="s">
        <v>50</v>
      </c>
      <c r="C33" s="50">
        <v>257.82</v>
      </c>
      <c r="D33" s="50" t="s">
        <v>51</v>
      </c>
      <c r="E33" s="49">
        <f>ROUND(C31*(C33/1000),2)</f>
        <v>0</v>
      </c>
      <c r="F33" s="50" t="s">
        <v>48</v>
      </c>
      <c r="G33" s="50">
        <f>G$24</f>
        <v>10</v>
      </c>
      <c r="H33" s="52" t="s">
        <v>49</v>
      </c>
      <c r="I33" s="53">
        <f>E33*G33</f>
        <v>0</v>
      </c>
    </row>
    <row r="34" spans="2:14" ht="18" customHeight="1" thickBot="1">
      <c r="B34" s="67" t="s">
        <v>36</v>
      </c>
      <c r="C34" s="68" t="s">
        <v>14</v>
      </c>
      <c r="D34" s="68" t="s">
        <v>37</v>
      </c>
      <c r="E34" s="68" t="s">
        <v>38</v>
      </c>
      <c r="F34" s="68" t="s">
        <v>39</v>
      </c>
      <c r="G34" s="68" t="s">
        <v>8</v>
      </c>
      <c r="H34" s="68" t="s">
        <v>22</v>
      </c>
      <c r="I34" s="69" t="s">
        <v>40</v>
      </c>
      <c r="J34" s="54" t="s">
        <v>2</v>
      </c>
      <c r="K34" s="55" t="s">
        <v>3</v>
      </c>
      <c r="L34" s="55" t="s">
        <v>61</v>
      </c>
      <c r="M34" s="55" t="s">
        <v>62</v>
      </c>
      <c r="N34" s="70" t="s">
        <v>14</v>
      </c>
    </row>
    <row r="35" spans="2:14" ht="18" customHeight="1">
      <c r="B35" s="648" t="s">
        <v>63</v>
      </c>
      <c r="C35" s="649" t="s">
        <v>64</v>
      </c>
      <c r="D35" s="253">
        <f t="shared" ref="D35:E37" si="5">J35-IF(L35=1,44,IF(L35=2,30,IF(L35=3,16,IF(L35=11,118,IF(L35=12,100,IF(L35=13,76.8,0))))))</f>
        <v>470</v>
      </c>
      <c r="E35" s="253">
        <f t="shared" si="5"/>
        <v>1256</v>
      </c>
      <c r="F35" s="250">
        <f>ROUND((D35+E35)*2/1000,4)</f>
        <v>3.452</v>
      </c>
      <c r="G35" s="250">
        <v>2</v>
      </c>
      <c r="H35" s="58">
        <v>1.8140000000000001</v>
      </c>
      <c r="I35" s="59">
        <f>ROUND(F35*G35*H35,3)</f>
        <v>12.523999999999999</v>
      </c>
      <c r="J35" s="60">
        <f>D14/2</f>
        <v>500</v>
      </c>
      <c r="K35" s="61">
        <f>E14</f>
        <v>1300</v>
      </c>
      <c r="L35" s="61">
        <v>2</v>
      </c>
      <c r="M35" s="61">
        <v>1</v>
      </c>
      <c r="N35" s="71" t="s">
        <v>56</v>
      </c>
    </row>
    <row r="36" spans="2:14" ht="18" customHeight="1">
      <c r="B36" s="660"/>
      <c r="C36" s="650"/>
      <c r="D36" s="253">
        <f t="shared" si="5"/>
        <v>0</v>
      </c>
      <c r="E36" s="253">
        <f t="shared" si="5"/>
        <v>0</v>
      </c>
      <c r="F36" s="250">
        <f>ROUND((D36+E36)*2/1000,4)</f>
        <v>0</v>
      </c>
      <c r="G36" s="250"/>
      <c r="H36" s="58">
        <f>H35</f>
        <v>1.8140000000000001</v>
      </c>
      <c r="I36" s="59">
        <f>ROUND(F36*G36*H36,3)</f>
        <v>0</v>
      </c>
      <c r="J36" s="60"/>
      <c r="K36" s="61"/>
      <c r="L36" s="61"/>
      <c r="M36" s="61"/>
      <c r="N36" s="72" t="s">
        <v>58</v>
      </c>
    </row>
    <row r="37" spans="2:14" ht="18" customHeight="1">
      <c r="B37" s="660"/>
      <c r="C37" s="651"/>
      <c r="D37" s="253">
        <f t="shared" si="5"/>
        <v>0</v>
      </c>
      <c r="E37" s="253">
        <f t="shared" si="5"/>
        <v>0</v>
      </c>
      <c r="F37" s="250">
        <f>ROUND((D37+E37)*2/1000,4)</f>
        <v>0</v>
      </c>
      <c r="G37" s="250"/>
      <c r="H37" s="58">
        <f>H36</f>
        <v>1.8140000000000001</v>
      </c>
      <c r="I37" s="59">
        <f>ROUND(F37*G37*H37,3)</f>
        <v>0</v>
      </c>
      <c r="J37" s="60"/>
      <c r="K37" s="61"/>
      <c r="L37" s="61"/>
      <c r="M37" s="61"/>
      <c r="N37" s="72" t="s">
        <v>60</v>
      </c>
    </row>
    <row r="38" spans="2:14" ht="18" customHeight="1">
      <c r="B38" s="48" t="s">
        <v>42</v>
      </c>
      <c r="C38" s="49">
        <f>SUMPRODUCT(F35:F37*G35:G37)</f>
        <v>6.9039999999999999</v>
      </c>
      <c r="D38" s="50" t="s">
        <v>43</v>
      </c>
      <c r="E38" s="49">
        <f>SUM(I35:I37)*1.1</f>
        <v>13.776400000000001</v>
      </c>
      <c r="F38" s="50" t="s">
        <v>44</v>
      </c>
      <c r="G38" s="51">
        <f>(C$218+C$219)/1000</f>
        <v>46.081499999999998</v>
      </c>
      <c r="H38" s="52" t="s">
        <v>45</v>
      </c>
      <c r="I38" s="53">
        <f>ROUND(E38*G38,2)</f>
        <v>634.84</v>
      </c>
      <c r="J38" s="243">
        <f>SUM(G35:G37)</f>
        <v>2</v>
      </c>
      <c r="K38" s="255"/>
      <c r="L38" s="255"/>
      <c r="M38" s="255"/>
      <c r="N38" s="73" t="s">
        <v>65</v>
      </c>
    </row>
    <row r="39" spans="2:14" ht="18" customHeight="1">
      <c r="B39" s="48" t="s">
        <v>46</v>
      </c>
      <c r="C39" s="50">
        <v>320.14</v>
      </c>
      <c r="D39" s="50" t="s">
        <v>47</v>
      </c>
      <c r="E39" s="49">
        <f>ROUND(C38*(C39/1000),2)</f>
        <v>2.21</v>
      </c>
      <c r="F39" s="50" t="s">
        <v>48</v>
      </c>
      <c r="G39" s="50">
        <f>G$23</f>
        <v>10</v>
      </c>
      <c r="H39" s="52" t="s">
        <v>49</v>
      </c>
      <c r="I39" s="53">
        <f>E39*G39</f>
        <v>22.1</v>
      </c>
      <c r="J39" s="255"/>
      <c r="K39" s="255"/>
      <c r="L39" s="255"/>
      <c r="M39" s="255"/>
      <c r="N39" s="73" t="s">
        <v>66</v>
      </c>
    </row>
    <row r="40" spans="2:14" ht="18" customHeight="1" thickBot="1">
      <c r="B40" s="48" t="s">
        <v>50</v>
      </c>
      <c r="C40" s="50">
        <v>156.99</v>
      </c>
      <c r="D40" s="50" t="s">
        <v>51</v>
      </c>
      <c r="E40" s="49">
        <f>ROUND(C38*(C40/1000),2)</f>
        <v>1.08</v>
      </c>
      <c r="F40" s="50" t="s">
        <v>48</v>
      </c>
      <c r="G40" s="50">
        <f>G$24</f>
        <v>10</v>
      </c>
      <c r="H40" s="52" t="s">
        <v>49</v>
      </c>
      <c r="I40" s="53">
        <f>E40*G40</f>
        <v>10.8</v>
      </c>
      <c r="J40" s="255"/>
      <c r="K40" s="255"/>
      <c r="L40" s="255"/>
      <c r="M40" s="255"/>
      <c r="N40" s="74" t="s">
        <v>67</v>
      </c>
    </row>
    <row r="41" spans="2:14" ht="18" customHeight="1" thickBot="1">
      <c r="B41" s="23" t="s">
        <v>36</v>
      </c>
      <c r="C41" s="252" t="s">
        <v>14</v>
      </c>
      <c r="D41" s="252" t="s">
        <v>37</v>
      </c>
      <c r="E41" s="252" t="s">
        <v>38</v>
      </c>
      <c r="F41" s="252" t="s">
        <v>39</v>
      </c>
      <c r="G41" s="252" t="s">
        <v>8</v>
      </c>
      <c r="H41" s="252" t="s">
        <v>22</v>
      </c>
      <c r="I41" s="25" t="s">
        <v>40</v>
      </c>
      <c r="J41" s="54" t="s">
        <v>2</v>
      </c>
      <c r="K41" s="55" t="s">
        <v>3</v>
      </c>
      <c r="L41" s="55" t="s">
        <v>61</v>
      </c>
      <c r="M41" s="55" t="s">
        <v>62</v>
      </c>
      <c r="N41" s="70" t="s">
        <v>14</v>
      </c>
    </row>
    <row r="42" spans="2:14" ht="18" customHeight="1">
      <c r="B42" s="648" t="s">
        <v>68</v>
      </c>
      <c r="C42" s="649" t="s">
        <v>69</v>
      </c>
      <c r="D42" s="253">
        <f>J42-IF(L42=1,46,IF(L42=2,34.5,IF(L42=3,23)))</f>
        <v>0</v>
      </c>
      <c r="E42" s="253">
        <f>K42-IF(M42=1,46,IF(M42=2,34.5,IF(M42=3,23)))</f>
        <v>0</v>
      </c>
      <c r="F42" s="250">
        <f t="shared" ref="F42:F47" si="6">ROUND((D42+E42)*2/1000,4)</f>
        <v>0</v>
      </c>
      <c r="G42" s="250"/>
      <c r="H42" s="250">
        <v>1.26</v>
      </c>
      <c r="I42" s="59">
        <f t="shared" ref="I42:I47" si="7">ROUND(F42*G42*H42,3)</f>
        <v>0</v>
      </c>
      <c r="J42" s="60"/>
      <c r="K42" s="61"/>
      <c r="L42" s="61"/>
      <c r="M42" s="61"/>
      <c r="N42" s="71" t="s">
        <v>56</v>
      </c>
    </row>
    <row r="43" spans="2:14" ht="18" customHeight="1">
      <c r="B43" s="648"/>
      <c r="C43" s="650"/>
      <c r="D43" s="253">
        <f t="shared" ref="D43:E47" si="8">J43-IF(L43=1,46,IF(L43=2,34.5,IF(L43=3,23)))</f>
        <v>0</v>
      </c>
      <c r="E43" s="253">
        <f t="shared" si="8"/>
        <v>0</v>
      </c>
      <c r="F43" s="250">
        <f t="shared" si="6"/>
        <v>0</v>
      </c>
      <c r="G43" s="250"/>
      <c r="H43" s="250">
        <f>H42</f>
        <v>1.26</v>
      </c>
      <c r="I43" s="59">
        <f t="shared" si="7"/>
        <v>0</v>
      </c>
      <c r="J43" s="60"/>
      <c r="K43" s="61"/>
      <c r="L43" s="61"/>
      <c r="M43" s="61"/>
      <c r="N43" s="72" t="s">
        <v>58</v>
      </c>
    </row>
    <row r="44" spans="2:14" ht="18" customHeight="1">
      <c r="B44" s="648"/>
      <c r="C44" s="651"/>
      <c r="D44" s="253">
        <f t="shared" si="8"/>
        <v>0</v>
      </c>
      <c r="E44" s="253">
        <f t="shared" si="8"/>
        <v>0</v>
      </c>
      <c r="F44" s="250">
        <f t="shared" si="6"/>
        <v>0</v>
      </c>
      <c r="G44" s="250"/>
      <c r="H44" s="250">
        <f>H43</f>
        <v>1.26</v>
      </c>
      <c r="I44" s="59">
        <f t="shared" si="7"/>
        <v>0</v>
      </c>
      <c r="J44" s="60"/>
      <c r="K44" s="61"/>
      <c r="L44" s="61"/>
      <c r="M44" s="61"/>
      <c r="N44" s="72" t="s">
        <v>60</v>
      </c>
    </row>
    <row r="45" spans="2:14" ht="18" customHeight="1">
      <c r="B45" s="648"/>
      <c r="C45" s="649" t="s">
        <v>70</v>
      </c>
      <c r="D45" s="253">
        <f t="shared" si="8"/>
        <v>0</v>
      </c>
      <c r="E45" s="253">
        <f t="shared" si="8"/>
        <v>0</v>
      </c>
      <c r="F45" s="250">
        <f t="shared" si="6"/>
        <v>0</v>
      </c>
      <c r="G45" s="250"/>
      <c r="H45" s="250">
        <f>H44</f>
        <v>1.26</v>
      </c>
      <c r="I45" s="59">
        <f t="shared" si="7"/>
        <v>0</v>
      </c>
      <c r="J45" s="60"/>
      <c r="K45" s="61"/>
      <c r="L45" s="61"/>
      <c r="M45" s="61"/>
      <c r="N45" s="71" t="s">
        <v>56</v>
      </c>
    </row>
    <row r="46" spans="2:14" ht="18" customHeight="1">
      <c r="B46" s="648"/>
      <c r="C46" s="650"/>
      <c r="D46" s="253">
        <f t="shared" si="8"/>
        <v>0</v>
      </c>
      <c r="E46" s="253">
        <f t="shared" si="8"/>
        <v>0</v>
      </c>
      <c r="F46" s="250">
        <f t="shared" si="6"/>
        <v>0</v>
      </c>
      <c r="G46" s="250"/>
      <c r="H46" s="250">
        <f>H45</f>
        <v>1.26</v>
      </c>
      <c r="I46" s="59">
        <f t="shared" si="7"/>
        <v>0</v>
      </c>
      <c r="J46" s="60"/>
      <c r="K46" s="61"/>
      <c r="L46" s="61"/>
      <c r="M46" s="61"/>
      <c r="N46" s="72" t="s">
        <v>58</v>
      </c>
    </row>
    <row r="47" spans="2:14" ht="18" customHeight="1" thickBot="1">
      <c r="B47" s="648"/>
      <c r="C47" s="651"/>
      <c r="D47" s="253">
        <f t="shared" si="8"/>
        <v>0</v>
      </c>
      <c r="E47" s="253">
        <f t="shared" si="8"/>
        <v>0</v>
      </c>
      <c r="F47" s="250">
        <f t="shared" si="6"/>
        <v>0</v>
      </c>
      <c r="G47" s="250"/>
      <c r="H47" s="250">
        <f>H46</f>
        <v>1.26</v>
      </c>
      <c r="I47" s="59">
        <f t="shared" si="7"/>
        <v>0</v>
      </c>
      <c r="J47" s="64"/>
      <c r="K47" s="65"/>
      <c r="L47" s="65"/>
      <c r="M47" s="65"/>
      <c r="N47" s="75" t="s">
        <v>60</v>
      </c>
    </row>
    <row r="48" spans="2:14" ht="18" customHeight="1">
      <c r="B48" s="48" t="s">
        <v>42</v>
      </c>
      <c r="C48" s="49">
        <f>SUMPRODUCT(F42:F47*G42:G47)</f>
        <v>0</v>
      </c>
      <c r="D48" s="50" t="s">
        <v>43</v>
      </c>
      <c r="E48" s="49">
        <f>SUM(I42:I47)*1.1</f>
        <v>0</v>
      </c>
      <c r="F48" s="50" t="s">
        <v>44</v>
      </c>
      <c r="G48" s="51">
        <f>(C$218+C$219)/1000</f>
        <v>46.081499999999998</v>
      </c>
      <c r="H48" s="52" t="s">
        <v>45</v>
      </c>
      <c r="I48" s="53">
        <f>ROUND(E48*G48,2)</f>
        <v>0</v>
      </c>
      <c r="J48" s="243">
        <f>SUM(G42:G47)</f>
        <v>0</v>
      </c>
      <c r="K48" s="255"/>
      <c r="L48" s="255"/>
      <c r="M48" s="255"/>
    </row>
    <row r="49" spans="2:14" ht="18" customHeight="1">
      <c r="B49" s="48" t="s">
        <v>46</v>
      </c>
      <c r="C49" s="50">
        <v>132.47999999999999</v>
      </c>
      <c r="D49" s="50" t="s">
        <v>47</v>
      </c>
      <c r="E49" s="49">
        <f>ROUND(C48*(C49/1000),2)</f>
        <v>0</v>
      </c>
      <c r="F49" s="50" t="s">
        <v>48</v>
      </c>
      <c r="G49" s="50">
        <f>G$23</f>
        <v>10</v>
      </c>
      <c r="H49" s="52" t="s">
        <v>49</v>
      </c>
      <c r="I49" s="53">
        <f>E49*G49</f>
        <v>0</v>
      </c>
      <c r="J49" s="255"/>
      <c r="K49" s="255"/>
      <c r="L49" s="255"/>
      <c r="M49" s="255"/>
    </row>
    <row r="50" spans="2:14" ht="18" customHeight="1" thickBot="1">
      <c r="B50" s="48" t="s">
        <v>50</v>
      </c>
      <c r="C50" s="50">
        <v>202.06</v>
      </c>
      <c r="D50" s="50" t="s">
        <v>51</v>
      </c>
      <c r="E50" s="49">
        <f>ROUND(C48*(C50/1000),2)</f>
        <v>0</v>
      </c>
      <c r="F50" s="50" t="s">
        <v>48</v>
      </c>
      <c r="G50" s="50">
        <f>G$24</f>
        <v>10</v>
      </c>
      <c r="H50" s="52" t="s">
        <v>49</v>
      </c>
      <c r="I50" s="53">
        <f>E50*G50</f>
        <v>0</v>
      </c>
      <c r="J50" s="255"/>
    </row>
    <row r="51" spans="2:14" ht="18" customHeight="1" thickBot="1">
      <c r="B51" s="23" t="s">
        <v>36</v>
      </c>
      <c r="C51" s="252" t="s">
        <v>14</v>
      </c>
      <c r="D51" s="252" t="s">
        <v>37</v>
      </c>
      <c r="E51" s="252" t="s">
        <v>71</v>
      </c>
      <c r="F51" s="252" t="s">
        <v>38</v>
      </c>
      <c r="G51" s="252" t="s">
        <v>72</v>
      </c>
      <c r="H51" s="252" t="s">
        <v>22</v>
      </c>
      <c r="I51" s="25" t="s">
        <v>40</v>
      </c>
      <c r="J51" s="54" t="s">
        <v>2</v>
      </c>
      <c r="K51" s="55" t="s">
        <v>3</v>
      </c>
      <c r="L51" s="55" t="s">
        <v>61</v>
      </c>
      <c r="M51" s="55" t="s">
        <v>62</v>
      </c>
      <c r="N51" s="70" t="s">
        <v>14</v>
      </c>
    </row>
    <row r="52" spans="2:14" ht="18" customHeight="1">
      <c r="B52" s="648" t="s">
        <v>73</v>
      </c>
      <c r="C52" s="649" t="s">
        <v>405</v>
      </c>
      <c r="D52" s="253">
        <f>J52-IF(L52=1,46,IF(L52=2,32,IF(L52=3,18,0)))</f>
        <v>0</v>
      </c>
      <c r="E52" s="253"/>
      <c r="F52" s="253">
        <f>K52-IF(M52=1,46,IF(M52=2,32,IF(M52=3,118,0)))</f>
        <v>0</v>
      </c>
      <c r="G52" s="250"/>
      <c r="H52" s="250">
        <v>1.6379999999999999</v>
      </c>
      <c r="I52" s="59">
        <f>ROUND((D52*E52+F52*G52)/1000*H52,3)</f>
        <v>0</v>
      </c>
      <c r="J52" s="60"/>
      <c r="K52" s="61"/>
      <c r="L52" s="61"/>
      <c r="M52" s="61"/>
      <c r="N52" s="76" t="s">
        <v>56</v>
      </c>
    </row>
    <row r="53" spans="2:14" ht="18" customHeight="1">
      <c r="B53" s="648"/>
      <c r="C53" s="650"/>
      <c r="D53" s="253">
        <f t="shared" ref="D53:D55" si="9">J53-IF(L53=1,46,IF(L53=2,32,IF(L53=3,18,0)))</f>
        <v>0</v>
      </c>
      <c r="E53" s="253"/>
      <c r="F53" s="253">
        <f t="shared" ref="F53:F55" si="10">K53-IF(M53=1,46,IF(M53=2,32,IF(M53=3,118,0)))</f>
        <v>0</v>
      </c>
      <c r="G53" s="250"/>
      <c r="H53" s="250">
        <f>H52</f>
        <v>1.6379999999999999</v>
      </c>
      <c r="I53" s="59">
        <f>ROUND((D53*E53+F53*G53)/1000*H53,3)</f>
        <v>0</v>
      </c>
      <c r="J53" s="60"/>
      <c r="K53" s="61"/>
      <c r="L53" s="61"/>
      <c r="M53" s="61"/>
      <c r="N53" s="76" t="s">
        <v>58</v>
      </c>
    </row>
    <row r="54" spans="2:14" ht="18" customHeight="1">
      <c r="B54" s="648"/>
      <c r="C54" s="650"/>
      <c r="D54" s="253">
        <f t="shared" si="9"/>
        <v>0</v>
      </c>
      <c r="E54" s="253"/>
      <c r="F54" s="253">
        <f t="shared" si="10"/>
        <v>0</v>
      </c>
      <c r="G54" s="250"/>
      <c r="H54" s="250">
        <f>H53</f>
        <v>1.6379999999999999</v>
      </c>
      <c r="I54" s="59">
        <f>ROUND((D54*E54+F54*G54)/1000*H54,3)</f>
        <v>0</v>
      </c>
      <c r="J54" s="60"/>
      <c r="K54" s="61"/>
      <c r="L54" s="61"/>
      <c r="M54" s="61"/>
      <c r="N54" s="76" t="s">
        <v>60</v>
      </c>
    </row>
    <row r="55" spans="2:14" ht="18" customHeight="1" thickBot="1">
      <c r="B55" s="648"/>
      <c r="C55" s="651"/>
      <c r="D55" s="253">
        <f t="shared" si="9"/>
        <v>0</v>
      </c>
      <c r="E55" s="253"/>
      <c r="F55" s="253">
        <f t="shared" si="10"/>
        <v>0</v>
      </c>
      <c r="G55" s="250"/>
      <c r="H55" s="77">
        <f>H54</f>
        <v>1.6379999999999999</v>
      </c>
      <c r="I55" s="59">
        <f>ROUND((D55*E55+F55*G55)/1000*H55,3)</f>
        <v>0</v>
      </c>
      <c r="J55" s="78"/>
      <c r="K55" s="79"/>
      <c r="L55" s="79"/>
      <c r="M55" s="79"/>
      <c r="N55" s="80"/>
    </row>
    <row r="56" spans="2:14" ht="18" customHeight="1">
      <c r="B56" s="48" t="s">
        <v>42</v>
      </c>
      <c r="C56" s="49">
        <f>SUMPRODUCT(D52:D55*E52:E55+F52:F55*G52:G55)/1000</f>
        <v>0</v>
      </c>
      <c r="D56" s="50" t="s">
        <v>43</v>
      </c>
      <c r="E56" s="49">
        <f>SUM(I52:I55)*1.1</f>
        <v>0</v>
      </c>
      <c r="F56" s="50" t="s">
        <v>44</v>
      </c>
      <c r="G56" s="51">
        <f>(C$218+C$219)/1000</f>
        <v>46.081499999999998</v>
      </c>
      <c r="H56" s="52" t="s">
        <v>45</v>
      </c>
      <c r="I56" s="53">
        <f>ROUND(E56*G56,2)</f>
        <v>0</v>
      </c>
      <c r="J56" s="243">
        <f>SUM(E52:E55)+SUM(G52:G55)</f>
        <v>0</v>
      </c>
    </row>
    <row r="57" spans="2:14" ht="18" customHeight="1">
      <c r="B57" s="48" t="s">
        <v>46</v>
      </c>
      <c r="C57" s="50">
        <v>265.52999999999997</v>
      </c>
      <c r="D57" s="50" t="s">
        <v>47</v>
      </c>
      <c r="E57" s="49">
        <f>ROUND(C56*(C57/1000),2)</f>
        <v>0</v>
      </c>
      <c r="F57" s="50" t="s">
        <v>48</v>
      </c>
      <c r="G57" s="50">
        <f>G$23</f>
        <v>10</v>
      </c>
      <c r="H57" s="52" t="s">
        <v>49</v>
      </c>
      <c r="I57" s="53">
        <f>E57*G57</f>
        <v>0</v>
      </c>
      <c r="L57" s="47"/>
    </row>
    <row r="58" spans="2:14" ht="18" customHeight="1">
      <c r="B58" s="48" t="s">
        <v>50</v>
      </c>
      <c r="C58" s="50">
        <v>173.62</v>
      </c>
      <c r="D58" s="50" t="s">
        <v>51</v>
      </c>
      <c r="E58" s="49">
        <f>ROUND(C56*(C58/1000),2)</f>
        <v>0</v>
      </c>
      <c r="F58" s="50" t="s">
        <v>48</v>
      </c>
      <c r="G58" s="50">
        <f>G$24</f>
        <v>10</v>
      </c>
      <c r="H58" s="52" t="s">
        <v>49</v>
      </c>
      <c r="I58" s="53">
        <f>E58*G58</f>
        <v>0</v>
      </c>
      <c r="L58" s="47"/>
    </row>
    <row r="59" spans="2:14" ht="18" customHeight="1">
      <c r="B59" s="23" t="s">
        <v>36</v>
      </c>
      <c r="C59" s="252" t="s">
        <v>14</v>
      </c>
      <c r="D59" s="652" t="s">
        <v>74</v>
      </c>
      <c r="E59" s="652"/>
      <c r="F59" s="652"/>
      <c r="G59" s="252" t="s">
        <v>75</v>
      </c>
      <c r="H59" s="252" t="s">
        <v>22</v>
      </c>
      <c r="I59" s="25" t="s">
        <v>40</v>
      </c>
      <c r="L59" s="47"/>
    </row>
    <row r="60" spans="2:14" ht="18" customHeight="1">
      <c r="B60" s="648" t="s">
        <v>76</v>
      </c>
      <c r="C60" s="649" t="s">
        <v>77</v>
      </c>
      <c r="D60" s="646"/>
      <c r="E60" s="646"/>
      <c r="F60" s="646"/>
      <c r="G60" s="250"/>
      <c r="H60" s="250">
        <v>1.9339999999999999</v>
      </c>
      <c r="I60" s="59">
        <f>ROUND(D60*G60*H60/1000,3)</f>
        <v>0</v>
      </c>
      <c r="L60" s="47"/>
    </row>
    <row r="61" spans="2:14" ht="18" customHeight="1">
      <c r="B61" s="648"/>
      <c r="C61" s="651"/>
      <c r="D61" s="646"/>
      <c r="E61" s="646"/>
      <c r="F61" s="646"/>
      <c r="G61" s="250"/>
      <c r="H61" s="250">
        <v>1.9339999999999999</v>
      </c>
      <c r="I61" s="59">
        <f>ROUND(D61*G61*H61/1000,3)</f>
        <v>0</v>
      </c>
    </row>
    <row r="62" spans="2:14" ht="18" customHeight="1">
      <c r="B62" s="648"/>
      <c r="C62" s="649" t="s">
        <v>78</v>
      </c>
      <c r="D62" s="646"/>
      <c r="E62" s="646"/>
      <c r="F62" s="646"/>
      <c r="G62" s="250"/>
      <c r="H62" s="250">
        <v>2.3130000000000002</v>
      </c>
      <c r="I62" s="59">
        <f>ROUND(D62*G62*H62/1000,3)</f>
        <v>0</v>
      </c>
    </row>
    <row r="63" spans="2:14" ht="18" customHeight="1">
      <c r="B63" s="648"/>
      <c r="C63" s="651"/>
      <c r="D63" s="646"/>
      <c r="E63" s="646"/>
      <c r="F63" s="646"/>
      <c r="G63" s="250"/>
      <c r="H63" s="250">
        <v>2.3130000000000002</v>
      </c>
      <c r="I63" s="59">
        <f>ROUND(D63*G63*H63/1000,3)</f>
        <v>0</v>
      </c>
    </row>
    <row r="64" spans="2:14" ht="18" customHeight="1">
      <c r="B64" s="48" t="s">
        <v>42</v>
      </c>
      <c r="C64" s="49">
        <f>SUMPRODUCT(D60:F63*G60:G63)/1000</f>
        <v>0</v>
      </c>
      <c r="D64" s="50" t="s">
        <v>43</v>
      </c>
      <c r="E64" s="49">
        <f>SUM(I60:I63)*1.1</f>
        <v>0</v>
      </c>
      <c r="F64" s="50" t="s">
        <v>44</v>
      </c>
      <c r="G64" s="51">
        <f>(C$218+C$219)/1000</f>
        <v>46.081499999999998</v>
      </c>
      <c r="H64" s="52" t="s">
        <v>45</v>
      </c>
      <c r="I64" s="53">
        <f>ROUND(E64*G64,2)</f>
        <v>0</v>
      </c>
      <c r="J64" s="43">
        <f>SUM(G60:G63)</f>
        <v>0</v>
      </c>
    </row>
    <row r="65" spans="2:14" ht="18" customHeight="1">
      <c r="B65" s="48" t="s">
        <v>46</v>
      </c>
      <c r="C65" s="50">
        <v>337.92</v>
      </c>
      <c r="D65" s="50" t="s">
        <v>47</v>
      </c>
      <c r="E65" s="49">
        <f>ROUND(C64*(C65/1000),2)</f>
        <v>0</v>
      </c>
      <c r="F65" s="50" t="s">
        <v>48</v>
      </c>
      <c r="G65" s="50">
        <f>G$23</f>
        <v>10</v>
      </c>
      <c r="H65" s="52" t="s">
        <v>49</v>
      </c>
      <c r="I65" s="53">
        <f>E65*G65</f>
        <v>0</v>
      </c>
    </row>
    <row r="66" spans="2:14" ht="18" customHeight="1" thickBot="1">
      <c r="B66" s="48" t="s">
        <v>50</v>
      </c>
      <c r="C66" s="50">
        <v>175.93</v>
      </c>
      <c r="D66" s="50" t="s">
        <v>51</v>
      </c>
      <c r="E66" s="49">
        <f>ROUND(C64*(C66/1000),2)</f>
        <v>0</v>
      </c>
      <c r="F66" s="50" t="s">
        <v>48</v>
      </c>
      <c r="G66" s="50">
        <f>G$24</f>
        <v>10</v>
      </c>
      <c r="H66" s="52" t="s">
        <v>49</v>
      </c>
      <c r="I66" s="53">
        <f>E66*G66</f>
        <v>0</v>
      </c>
    </row>
    <row r="67" spans="2:14" ht="18" customHeight="1" thickBot="1">
      <c r="B67" s="23" t="s">
        <v>36</v>
      </c>
      <c r="C67" s="252" t="s">
        <v>14</v>
      </c>
      <c r="D67" s="252" t="s">
        <v>37</v>
      </c>
      <c r="E67" s="252" t="s">
        <v>38</v>
      </c>
      <c r="F67" s="252" t="s">
        <v>39</v>
      </c>
      <c r="G67" s="252" t="s">
        <v>8</v>
      </c>
      <c r="H67" s="252" t="s">
        <v>22</v>
      </c>
      <c r="I67" s="25" t="s">
        <v>40</v>
      </c>
      <c r="J67" s="54" t="s">
        <v>2</v>
      </c>
      <c r="K67" s="55" t="s">
        <v>3</v>
      </c>
      <c r="L67" s="55" t="s">
        <v>52</v>
      </c>
      <c r="M67" s="55" t="s">
        <v>53</v>
      </c>
      <c r="N67" s="70" t="s">
        <v>14</v>
      </c>
    </row>
    <row r="68" spans="2:14" ht="18" customHeight="1">
      <c r="B68" s="648" t="s">
        <v>79</v>
      </c>
      <c r="C68" s="649" t="s">
        <v>323</v>
      </c>
      <c r="D68" s="81">
        <f>J68-IF(L68=1,72,IF(L68=2,54,IF(L68=3,26,IF(L68=11,102.8,IF(L68=12,88.8,IF(L68=13,74.8,0))))))</f>
        <v>0</v>
      </c>
      <c r="E68" s="81">
        <f>K68-IF(M68=1,72,IF(M68=2,24,IF(M68=3,26,IF(M68=11,102.8,IF(M68=12,88.8,IF(M68=13,74.8,0))))))</f>
        <v>0</v>
      </c>
      <c r="F68" s="81">
        <f>2*(D68+E68)/1000</f>
        <v>0</v>
      </c>
      <c r="G68" s="82"/>
      <c r="H68" s="250">
        <v>0.224</v>
      </c>
      <c r="I68" s="283">
        <f>ROUND(F68*G68*H68,3)*1.5</f>
        <v>0</v>
      </c>
      <c r="J68" s="83"/>
      <c r="K68" s="83"/>
      <c r="L68" s="84"/>
      <c r="M68" s="84"/>
      <c r="N68" s="71" t="s">
        <v>56</v>
      </c>
    </row>
    <row r="69" spans="2:14" ht="18" customHeight="1">
      <c r="B69" s="648"/>
      <c r="C69" s="650"/>
      <c r="D69" s="81">
        <f t="shared" ref="D69:D87" si="11">J69-IF(L69=1,72,IF(L69=2,54,IF(L69=3,26,IF(L69=11,102.8,IF(L69=12,88.8,IF(L69=13,74.8,0))))))</f>
        <v>0</v>
      </c>
      <c r="E69" s="81">
        <f t="shared" ref="E69:E87" si="12">K69-IF(M69=1,72,IF(M69=2,24,IF(M69=3,26,IF(M69=11,102.8,IF(M69=12,88.8,IF(M69=13,74.8,0))))))</f>
        <v>0</v>
      </c>
      <c r="F69" s="81">
        <f t="shared" ref="F69:F87" si="13">2*(D69+E69)/1000</f>
        <v>0</v>
      </c>
      <c r="G69" s="82"/>
      <c r="H69" s="250">
        <f>H68</f>
        <v>0.224</v>
      </c>
      <c r="I69" s="59">
        <f t="shared" ref="I69:I87" si="14">ROUND(F69*G69*H69,3)</f>
        <v>0</v>
      </c>
      <c r="J69" s="83"/>
      <c r="K69" s="84"/>
      <c r="L69" s="84"/>
      <c r="M69" s="84"/>
      <c r="N69" s="72" t="s">
        <v>58</v>
      </c>
    </row>
    <row r="70" spans="2:14" ht="18" customHeight="1">
      <c r="B70" s="648"/>
      <c r="C70" s="650"/>
      <c r="D70" s="81">
        <f t="shared" si="11"/>
        <v>0</v>
      </c>
      <c r="E70" s="81">
        <f t="shared" si="12"/>
        <v>0</v>
      </c>
      <c r="F70" s="81">
        <f t="shared" si="13"/>
        <v>0</v>
      </c>
      <c r="G70" s="82"/>
      <c r="H70" s="250">
        <f>H69</f>
        <v>0.224</v>
      </c>
      <c r="I70" s="59">
        <f t="shared" si="14"/>
        <v>0</v>
      </c>
      <c r="J70" s="83"/>
      <c r="K70" s="84"/>
      <c r="L70" s="84"/>
      <c r="M70" s="84"/>
      <c r="N70" s="72" t="s">
        <v>60</v>
      </c>
    </row>
    <row r="71" spans="2:14" ht="18" customHeight="1">
      <c r="B71" s="648"/>
      <c r="C71" s="650"/>
      <c r="D71" s="81">
        <f t="shared" si="11"/>
        <v>0</v>
      </c>
      <c r="E71" s="81">
        <f t="shared" si="12"/>
        <v>0</v>
      </c>
      <c r="F71" s="81">
        <f t="shared" si="13"/>
        <v>0</v>
      </c>
      <c r="G71" s="82"/>
      <c r="H71" s="77">
        <f>H70</f>
        <v>0.224</v>
      </c>
      <c r="I71" s="59">
        <f t="shared" si="14"/>
        <v>0</v>
      </c>
      <c r="J71" s="85"/>
      <c r="K71" s="86"/>
      <c r="L71" s="86"/>
      <c r="M71" s="86"/>
      <c r="N71" s="72" t="s">
        <v>65</v>
      </c>
    </row>
    <row r="72" spans="2:14" ht="18" customHeight="1">
      <c r="B72" s="648"/>
      <c r="C72" s="650"/>
      <c r="D72" s="81">
        <f t="shared" si="11"/>
        <v>0</v>
      </c>
      <c r="E72" s="81">
        <f t="shared" si="12"/>
        <v>0</v>
      </c>
      <c r="F72" s="81">
        <f t="shared" si="13"/>
        <v>0</v>
      </c>
      <c r="G72" s="82"/>
      <c r="H72" s="77">
        <f>H71</f>
        <v>0.224</v>
      </c>
      <c r="I72" s="87">
        <f t="shared" si="14"/>
        <v>0</v>
      </c>
      <c r="J72" s="85"/>
      <c r="K72" s="86"/>
      <c r="L72" s="86"/>
      <c r="M72" s="86"/>
      <c r="N72" s="72" t="s">
        <v>66</v>
      </c>
    </row>
    <row r="73" spans="2:14" ht="18" customHeight="1">
      <c r="B73" s="648"/>
      <c r="C73" s="650"/>
      <c r="D73" s="81">
        <f t="shared" si="11"/>
        <v>0</v>
      </c>
      <c r="E73" s="81">
        <f t="shared" si="12"/>
        <v>0</v>
      </c>
      <c r="F73" s="81">
        <f t="shared" si="13"/>
        <v>0</v>
      </c>
      <c r="G73" s="82"/>
      <c r="H73" s="250">
        <f>H70</f>
        <v>0.224</v>
      </c>
      <c r="I73" s="87">
        <f t="shared" si="14"/>
        <v>0</v>
      </c>
      <c r="J73" s="83"/>
      <c r="K73" s="84"/>
      <c r="L73" s="84"/>
      <c r="M73" s="84"/>
      <c r="N73" s="72" t="s">
        <v>67</v>
      </c>
    </row>
    <row r="74" spans="2:14" ht="18" customHeight="1">
      <c r="B74" s="648"/>
      <c r="C74" s="651"/>
      <c r="D74" s="81">
        <f t="shared" si="11"/>
        <v>0</v>
      </c>
      <c r="E74" s="81">
        <f t="shared" si="12"/>
        <v>0</v>
      </c>
      <c r="F74" s="81">
        <f t="shared" si="13"/>
        <v>0</v>
      </c>
      <c r="G74" s="82"/>
      <c r="H74" s="250">
        <f>H73</f>
        <v>0.224</v>
      </c>
      <c r="I74" s="87">
        <f t="shared" si="14"/>
        <v>0</v>
      </c>
      <c r="J74" s="83"/>
      <c r="K74" s="84"/>
      <c r="L74" s="84"/>
      <c r="M74" s="84"/>
      <c r="N74" s="88"/>
    </row>
    <row r="75" spans="2:14" ht="18" customHeight="1">
      <c r="B75" s="648"/>
      <c r="C75" s="649" t="s">
        <v>324</v>
      </c>
      <c r="D75" s="89">
        <f t="shared" si="11"/>
        <v>0</v>
      </c>
      <c r="E75" s="89">
        <f t="shared" si="12"/>
        <v>0</v>
      </c>
      <c r="F75" s="89">
        <f t="shared" si="13"/>
        <v>0</v>
      </c>
      <c r="G75" s="90"/>
      <c r="H75" s="91">
        <f>H74</f>
        <v>0.224</v>
      </c>
      <c r="I75" s="92">
        <f t="shared" si="14"/>
        <v>0</v>
      </c>
      <c r="J75" s="83"/>
      <c r="K75" s="84"/>
      <c r="L75" s="84"/>
      <c r="M75" s="84"/>
      <c r="N75" s="93" t="s">
        <v>80</v>
      </c>
    </row>
    <row r="76" spans="2:14" ht="18" customHeight="1">
      <c r="B76" s="648"/>
      <c r="C76" s="650"/>
      <c r="D76" s="89">
        <f t="shared" si="11"/>
        <v>0</v>
      </c>
      <c r="E76" s="89">
        <f t="shared" si="12"/>
        <v>0</v>
      </c>
      <c r="F76" s="89">
        <f t="shared" si="13"/>
        <v>0</v>
      </c>
      <c r="G76" s="90"/>
      <c r="H76" s="91">
        <f>H72</f>
        <v>0.224</v>
      </c>
      <c r="I76" s="92">
        <f t="shared" si="14"/>
        <v>0</v>
      </c>
      <c r="J76" s="83"/>
      <c r="K76" s="84"/>
      <c r="L76" s="84"/>
      <c r="M76" s="84"/>
      <c r="N76" s="93" t="s">
        <v>80</v>
      </c>
    </row>
    <row r="77" spans="2:14" ht="18" customHeight="1">
      <c r="B77" s="648"/>
      <c r="C77" s="650"/>
      <c r="D77" s="89">
        <f t="shared" si="11"/>
        <v>0</v>
      </c>
      <c r="E77" s="89">
        <f t="shared" si="12"/>
        <v>0</v>
      </c>
      <c r="F77" s="89">
        <f t="shared" si="13"/>
        <v>0</v>
      </c>
      <c r="G77" s="90"/>
      <c r="H77" s="91">
        <f t="shared" ref="H77:H87" si="15">H76</f>
        <v>0.224</v>
      </c>
      <c r="I77" s="92">
        <f t="shared" si="14"/>
        <v>0</v>
      </c>
      <c r="J77" s="83"/>
      <c r="K77" s="84"/>
      <c r="L77" s="84"/>
      <c r="M77" s="84"/>
      <c r="N77" s="93" t="s">
        <v>80</v>
      </c>
    </row>
    <row r="78" spans="2:14" ht="18" customHeight="1">
      <c r="B78" s="648"/>
      <c r="C78" s="650"/>
      <c r="D78" s="89">
        <f t="shared" si="11"/>
        <v>0</v>
      </c>
      <c r="E78" s="89">
        <f t="shared" si="12"/>
        <v>0</v>
      </c>
      <c r="F78" s="89">
        <f t="shared" si="13"/>
        <v>0</v>
      </c>
      <c r="G78" s="90"/>
      <c r="H78" s="91">
        <f t="shared" si="15"/>
        <v>0.224</v>
      </c>
      <c r="I78" s="92">
        <f t="shared" si="14"/>
        <v>0</v>
      </c>
      <c r="J78" s="83"/>
      <c r="K78" s="84"/>
      <c r="L78" s="84"/>
      <c r="M78" s="84"/>
      <c r="N78" s="93" t="s">
        <v>80</v>
      </c>
    </row>
    <row r="79" spans="2:14" ht="18" customHeight="1">
      <c r="B79" s="648"/>
      <c r="C79" s="650"/>
      <c r="D79" s="89">
        <f t="shared" si="11"/>
        <v>0</v>
      </c>
      <c r="E79" s="89">
        <f t="shared" si="12"/>
        <v>0</v>
      </c>
      <c r="F79" s="89">
        <f t="shared" si="13"/>
        <v>0</v>
      </c>
      <c r="G79" s="90"/>
      <c r="H79" s="91">
        <f t="shared" si="15"/>
        <v>0.224</v>
      </c>
      <c r="I79" s="94">
        <f t="shared" si="14"/>
        <v>0</v>
      </c>
      <c r="J79" s="83"/>
      <c r="K79" s="84"/>
      <c r="L79" s="84"/>
      <c r="M79" s="84"/>
      <c r="N79" s="93" t="s">
        <v>80</v>
      </c>
    </row>
    <row r="80" spans="2:14" ht="18" customHeight="1">
      <c r="B80" s="648"/>
      <c r="C80" s="650"/>
      <c r="D80" s="89">
        <f t="shared" si="11"/>
        <v>0</v>
      </c>
      <c r="E80" s="89">
        <f t="shared" si="12"/>
        <v>0</v>
      </c>
      <c r="F80" s="89">
        <f t="shared" si="13"/>
        <v>0</v>
      </c>
      <c r="G80" s="90"/>
      <c r="H80" s="91">
        <f t="shared" si="15"/>
        <v>0.224</v>
      </c>
      <c r="I80" s="94">
        <f t="shared" si="14"/>
        <v>0</v>
      </c>
      <c r="J80" s="83"/>
      <c r="K80" s="84"/>
      <c r="L80" s="84"/>
      <c r="M80" s="84"/>
      <c r="N80" s="93" t="s">
        <v>80</v>
      </c>
    </row>
    <row r="81" spans="2:14" ht="18" customHeight="1">
      <c r="B81" s="648"/>
      <c r="C81" s="651"/>
      <c r="D81" s="89">
        <f t="shared" si="11"/>
        <v>0</v>
      </c>
      <c r="E81" s="89">
        <f t="shared" si="12"/>
        <v>0</v>
      </c>
      <c r="F81" s="89">
        <f t="shared" si="13"/>
        <v>0</v>
      </c>
      <c r="G81" s="90"/>
      <c r="H81" s="91">
        <f t="shared" si="15"/>
        <v>0.224</v>
      </c>
      <c r="I81" s="94">
        <f t="shared" si="14"/>
        <v>0</v>
      </c>
      <c r="J81" s="95"/>
      <c r="K81" s="96"/>
      <c r="L81" s="96"/>
      <c r="M81" s="96"/>
      <c r="N81" s="93" t="s">
        <v>81</v>
      </c>
    </row>
    <row r="82" spans="2:14" ht="18" customHeight="1">
      <c r="B82" s="648"/>
      <c r="C82" s="639" t="s">
        <v>325</v>
      </c>
      <c r="D82" s="81">
        <f t="shared" si="11"/>
        <v>0</v>
      </c>
      <c r="E82" s="81">
        <f t="shared" si="12"/>
        <v>0</v>
      </c>
      <c r="F82" s="81">
        <f t="shared" si="13"/>
        <v>0</v>
      </c>
      <c r="G82" s="82"/>
      <c r="H82" s="250">
        <f t="shared" si="15"/>
        <v>0.224</v>
      </c>
      <c r="I82" s="59">
        <f t="shared" si="14"/>
        <v>0</v>
      </c>
      <c r="J82" s="83"/>
      <c r="K82" s="84"/>
      <c r="L82" s="84"/>
      <c r="M82" s="84"/>
      <c r="N82" s="88"/>
    </row>
    <row r="83" spans="2:14" ht="18" customHeight="1">
      <c r="B83" s="648"/>
      <c r="C83" s="645"/>
      <c r="D83" s="81">
        <f t="shared" si="11"/>
        <v>0</v>
      </c>
      <c r="E83" s="81">
        <f t="shared" si="12"/>
        <v>0</v>
      </c>
      <c r="F83" s="81">
        <f t="shared" si="13"/>
        <v>0</v>
      </c>
      <c r="G83" s="82"/>
      <c r="H83" s="250">
        <f t="shared" si="15"/>
        <v>0.224</v>
      </c>
      <c r="I83" s="59">
        <f t="shared" si="14"/>
        <v>0</v>
      </c>
      <c r="J83" s="83"/>
      <c r="K83" s="84"/>
      <c r="L83" s="84"/>
      <c r="M83" s="84"/>
      <c r="N83" s="88"/>
    </row>
    <row r="84" spans="2:14" ht="18" customHeight="1">
      <c r="B84" s="648"/>
      <c r="C84" s="645"/>
      <c r="D84" s="81">
        <f t="shared" si="11"/>
        <v>0</v>
      </c>
      <c r="E84" s="81">
        <f t="shared" si="12"/>
        <v>0</v>
      </c>
      <c r="F84" s="81">
        <f t="shared" si="13"/>
        <v>0</v>
      </c>
      <c r="G84" s="82"/>
      <c r="H84" s="250">
        <f t="shared" si="15"/>
        <v>0.224</v>
      </c>
      <c r="I84" s="59">
        <f t="shared" si="14"/>
        <v>0</v>
      </c>
      <c r="J84" s="83"/>
      <c r="K84" s="84"/>
      <c r="L84" s="84"/>
      <c r="M84" s="84"/>
      <c r="N84" s="76"/>
    </row>
    <row r="85" spans="2:14" ht="18" customHeight="1">
      <c r="B85" s="648"/>
      <c r="C85" s="645"/>
      <c r="D85" s="81">
        <f t="shared" si="11"/>
        <v>0</v>
      </c>
      <c r="E85" s="81">
        <f t="shared" si="12"/>
        <v>0</v>
      </c>
      <c r="F85" s="81">
        <f t="shared" si="13"/>
        <v>0</v>
      </c>
      <c r="G85" s="82"/>
      <c r="H85" s="250">
        <f t="shared" si="15"/>
        <v>0.224</v>
      </c>
      <c r="I85" s="59">
        <f t="shared" si="14"/>
        <v>0</v>
      </c>
      <c r="J85" s="83"/>
      <c r="K85" s="84"/>
      <c r="L85" s="84"/>
      <c r="M85" s="84"/>
      <c r="N85" s="76"/>
    </row>
    <row r="86" spans="2:14" ht="18" customHeight="1">
      <c r="B86" s="648"/>
      <c r="C86" s="645"/>
      <c r="D86" s="81">
        <f t="shared" si="11"/>
        <v>0</v>
      </c>
      <c r="E86" s="81">
        <f t="shared" si="12"/>
        <v>0</v>
      </c>
      <c r="F86" s="81">
        <f t="shared" si="13"/>
        <v>0</v>
      </c>
      <c r="G86" s="82"/>
      <c r="H86" s="250">
        <f t="shared" si="15"/>
        <v>0.224</v>
      </c>
      <c r="I86" s="59">
        <f t="shared" si="14"/>
        <v>0</v>
      </c>
      <c r="J86" s="85"/>
      <c r="K86" s="86"/>
      <c r="L86" s="86"/>
      <c r="M86" s="86"/>
      <c r="N86" s="76"/>
    </row>
    <row r="87" spans="2:14" ht="18" customHeight="1" thickBot="1">
      <c r="B87" s="648"/>
      <c r="C87" s="640"/>
      <c r="D87" s="81">
        <f t="shared" si="11"/>
        <v>0</v>
      </c>
      <c r="E87" s="81">
        <f t="shared" si="12"/>
        <v>0</v>
      </c>
      <c r="F87" s="81">
        <f t="shared" si="13"/>
        <v>0</v>
      </c>
      <c r="G87" s="82"/>
      <c r="H87" s="250">
        <f t="shared" si="15"/>
        <v>0.224</v>
      </c>
      <c r="I87" s="59">
        <f t="shared" si="14"/>
        <v>0</v>
      </c>
      <c r="J87" s="97"/>
      <c r="K87" s="98"/>
      <c r="L87" s="98"/>
      <c r="M87" s="98"/>
      <c r="N87" s="80"/>
    </row>
    <row r="88" spans="2:14" ht="18" customHeight="1">
      <c r="B88" s="48" t="s">
        <v>42</v>
      </c>
      <c r="C88" s="49">
        <f>SUMPRODUCT(F68:F87*G68:G87)</f>
        <v>0</v>
      </c>
      <c r="D88" s="50" t="s">
        <v>43</v>
      </c>
      <c r="E88" s="49">
        <f>SUM(I68:I87)*1.1</f>
        <v>0</v>
      </c>
      <c r="F88" s="50" t="s">
        <v>44</v>
      </c>
      <c r="G88" s="51">
        <f>(C$218+C$222)/1000</f>
        <v>39.781500000000001</v>
      </c>
      <c r="H88" s="52" t="s">
        <v>45</v>
      </c>
      <c r="I88" s="53">
        <f>ROUND(E88*G88,2)</f>
        <v>0</v>
      </c>
      <c r="J88" s="255"/>
      <c r="K88" s="255"/>
      <c r="L88" s="255"/>
      <c r="M88" s="255"/>
    </row>
    <row r="89" spans="2:14" ht="18" customHeight="1">
      <c r="B89" s="48" t="s">
        <v>46</v>
      </c>
      <c r="C89" s="50">
        <v>181.72</v>
      </c>
      <c r="D89" s="50" t="s">
        <v>47</v>
      </c>
      <c r="E89" s="49">
        <f>ROUND(C88*(C89/1000),2)</f>
        <v>0</v>
      </c>
      <c r="F89" s="50" t="s">
        <v>48</v>
      </c>
      <c r="G89" s="50">
        <f>G$23</f>
        <v>10</v>
      </c>
      <c r="H89" s="52" t="s">
        <v>49</v>
      </c>
      <c r="I89" s="53">
        <f>E89*G89</f>
        <v>0</v>
      </c>
      <c r="J89" s="255"/>
      <c r="K89" s="255"/>
      <c r="L89" s="255"/>
      <c r="M89" s="255"/>
    </row>
    <row r="90" spans="2:14" ht="18" customHeight="1">
      <c r="B90" s="48" t="s">
        <v>50</v>
      </c>
      <c r="C90" s="50"/>
      <c r="D90" s="50" t="s">
        <v>51</v>
      </c>
      <c r="E90" s="49">
        <f>ROUND(C88*(C90/1000),2)</f>
        <v>0</v>
      </c>
      <c r="F90" s="50" t="s">
        <v>48</v>
      </c>
      <c r="G90" s="50">
        <f>G$24</f>
        <v>10</v>
      </c>
      <c r="H90" s="52" t="s">
        <v>49</v>
      </c>
      <c r="I90" s="53">
        <f>E90*G90</f>
        <v>0</v>
      </c>
      <c r="J90" s="255"/>
      <c r="K90" s="255"/>
      <c r="L90" s="255"/>
      <c r="M90" s="255"/>
    </row>
    <row r="91" spans="2:14" ht="18" customHeight="1">
      <c r="B91" s="23" t="s">
        <v>36</v>
      </c>
      <c r="C91" s="252" t="s">
        <v>14</v>
      </c>
      <c r="D91" s="252" t="s">
        <v>37</v>
      </c>
      <c r="E91" s="252" t="s">
        <v>38</v>
      </c>
      <c r="F91" s="252" t="s">
        <v>39</v>
      </c>
      <c r="G91" s="252" t="s">
        <v>8</v>
      </c>
      <c r="H91" s="252" t="s">
        <v>22</v>
      </c>
      <c r="I91" s="25" t="s">
        <v>40</v>
      </c>
      <c r="J91" s="255"/>
      <c r="K91" s="255"/>
      <c r="L91" s="255"/>
      <c r="M91" s="255"/>
    </row>
    <row r="92" spans="2:14" ht="18" customHeight="1">
      <c r="B92" s="648" t="s">
        <v>82</v>
      </c>
      <c r="C92" s="653" t="s">
        <v>326</v>
      </c>
      <c r="D92" s="253">
        <f>D26-90</f>
        <v>-90</v>
      </c>
      <c r="E92" s="253">
        <f>E26-90</f>
        <v>-90</v>
      </c>
      <c r="F92" s="253">
        <f>2*(D92+E92)/1000</f>
        <v>-0.36</v>
      </c>
      <c r="G92" s="250">
        <f>G26</f>
        <v>0</v>
      </c>
      <c r="H92" s="250">
        <v>0.27100000000000002</v>
      </c>
      <c r="I92" s="59">
        <f>ROUND(F92*G92*H92,3)</f>
        <v>0</v>
      </c>
    </row>
    <row r="93" spans="2:14" ht="18" customHeight="1">
      <c r="B93" s="648"/>
      <c r="C93" s="658"/>
      <c r="D93" s="253">
        <f t="shared" ref="D93:E96" si="16">D27-90</f>
        <v>-90</v>
      </c>
      <c r="E93" s="253">
        <f t="shared" si="16"/>
        <v>-90</v>
      </c>
      <c r="F93" s="253">
        <f>2*(D93+E93)/1000</f>
        <v>-0.36</v>
      </c>
      <c r="G93" s="250">
        <f>G27</f>
        <v>0</v>
      </c>
      <c r="H93" s="250">
        <f>H92</f>
        <v>0.27100000000000002</v>
      </c>
      <c r="I93" s="59">
        <f>ROUND(F93*G93*H93,3)</f>
        <v>0</v>
      </c>
      <c r="M93" s="42"/>
    </row>
    <row r="94" spans="2:14" ht="18" customHeight="1">
      <c r="B94" s="648"/>
      <c r="C94" s="658"/>
      <c r="D94" s="253">
        <f t="shared" si="16"/>
        <v>-90</v>
      </c>
      <c r="E94" s="253">
        <f t="shared" si="16"/>
        <v>-90</v>
      </c>
      <c r="F94" s="253">
        <f>2*(D94+E94)/1000</f>
        <v>-0.36</v>
      </c>
      <c r="G94" s="250">
        <f>G28</f>
        <v>0</v>
      </c>
      <c r="H94" s="250">
        <f>H93</f>
        <v>0.27100000000000002</v>
      </c>
      <c r="I94" s="59">
        <f>ROUND(F94*G94*H94,3)</f>
        <v>0</v>
      </c>
    </row>
    <row r="95" spans="2:14" ht="18" customHeight="1">
      <c r="B95" s="648"/>
      <c r="C95" s="658"/>
      <c r="D95" s="253">
        <f t="shared" si="16"/>
        <v>-90</v>
      </c>
      <c r="E95" s="253">
        <f t="shared" si="16"/>
        <v>-90</v>
      </c>
      <c r="F95" s="253">
        <f>2*(D95+E95)/1000</f>
        <v>-0.36</v>
      </c>
      <c r="G95" s="250">
        <f>G29</f>
        <v>0</v>
      </c>
      <c r="H95" s="250">
        <f>H94</f>
        <v>0.27100000000000002</v>
      </c>
      <c r="I95" s="59">
        <f>ROUND(F95*G95*H95,3)</f>
        <v>0</v>
      </c>
    </row>
    <row r="96" spans="2:14" ht="18" customHeight="1">
      <c r="B96" s="648"/>
      <c r="C96" s="659"/>
      <c r="D96" s="253">
        <f t="shared" si="16"/>
        <v>-90</v>
      </c>
      <c r="E96" s="253">
        <f t="shared" si="16"/>
        <v>-90</v>
      </c>
      <c r="F96" s="253">
        <f>2*(D96+E96)/1000</f>
        <v>-0.36</v>
      </c>
      <c r="G96" s="250">
        <f>G30</f>
        <v>0</v>
      </c>
      <c r="H96" s="250">
        <f>H95</f>
        <v>0.27100000000000002</v>
      </c>
      <c r="I96" s="59">
        <f>ROUND(F96*G96*H96,3)</f>
        <v>0</v>
      </c>
    </row>
    <row r="97" spans="2:13" ht="18" customHeight="1">
      <c r="B97" s="48" t="s">
        <v>42</v>
      </c>
      <c r="C97" s="49">
        <f>SUMPRODUCT(F92:F96*G92:G96)</f>
        <v>0</v>
      </c>
      <c r="D97" s="50" t="s">
        <v>43</v>
      </c>
      <c r="E97" s="49">
        <f>SUM(I92:I96)*1.1</f>
        <v>0</v>
      </c>
      <c r="F97" s="50" t="s">
        <v>44</v>
      </c>
      <c r="G97" s="51">
        <f>(C$218+C$222)/1000</f>
        <v>39.781500000000001</v>
      </c>
      <c r="H97" s="52" t="s">
        <v>45</v>
      </c>
      <c r="I97" s="53">
        <f>ROUND(E97*G97,2)</f>
        <v>0</v>
      </c>
    </row>
    <row r="98" spans="2:13" ht="18" customHeight="1">
      <c r="B98" s="48" t="s">
        <v>46</v>
      </c>
      <c r="C98" s="50">
        <v>186.72</v>
      </c>
      <c r="D98" s="50" t="s">
        <v>47</v>
      </c>
      <c r="E98" s="49">
        <f>ROUND(C97*(C98/1000),2)</f>
        <v>0</v>
      </c>
      <c r="F98" s="50" t="s">
        <v>48</v>
      </c>
      <c r="G98" s="50">
        <f>G$23</f>
        <v>10</v>
      </c>
      <c r="H98" s="52" t="s">
        <v>49</v>
      </c>
      <c r="I98" s="53">
        <f>E98*G98</f>
        <v>0</v>
      </c>
    </row>
    <row r="99" spans="2:13" ht="18" customHeight="1">
      <c r="B99" s="48" t="s">
        <v>50</v>
      </c>
      <c r="C99" s="50">
        <v>0</v>
      </c>
      <c r="D99" s="50" t="s">
        <v>51</v>
      </c>
      <c r="E99" s="49">
        <f>ROUND(C97*(C99/1000),2)</f>
        <v>0</v>
      </c>
      <c r="F99" s="50" t="s">
        <v>48</v>
      </c>
      <c r="G99" s="50">
        <f>G$24</f>
        <v>10</v>
      </c>
      <c r="H99" s="52" t="s">
        <v>49</v>
      </c>
      <c r="I99" s="53">
        <f>E99*G99</f>
        <v>0</v>
      </c>
    </row>
    <row r="100" spans="2:13" ht="18" customHeight="1">
      <c r="B100" s="23" t="s">
        <v>36</v>
      </c>
      <c r="C100" s="252" t="s">
        <v>14</v>
      </c>
      <c r="D100" s="252" t="s">
        <v>37</v>
      </c>
      <c r="E100" s="252" t="s">
        <v>38</v>
      </c>
      <c r="F100" s="252" t="s">
        <v>39</v>
      </c>
      <c r="G100" s="252" t="s">
        <v>8</v>
      </c>
      <c r="H100" s="252" t="s">
        <v>22</v>
      </c>
      <c r="I100" s="25" t="s">
        <v>40</v>
      </c>
    </row>
    <row r="101" spans="2:13" ht="18" customHeight="1">
      <c r="B101" s="648" t="s">
        <v>84</v>
      </c>
      <c r="C101" s="653" t="str">
        <f>C92</f>
        <v>SDL2281</v>
      </c>
      <c r="D101" s="253">
        <f>D35-122</f>
        <v>348</v>
      </c>
      <c r="E101" s="253">
        <f t="shared" ref="D101:E103" si="17">E35-122</f>
        <v>1134</v>
      </c>
      <c r="F101" s="253">
        <f>2*(D101+E101)/1000</f>
        <v>2.964</v>
      </c>
      <c r="G101" s="250">
        <f>G35</f>
        <v>2</v>
      </c>
      <c r="H101" s="250">
        <f>H96</f>
        <v>0.27100000000000002</v>
      </c>
      <c r="I101" s="59">
        <f>ROUND(F101*G101*H101,3)</f>
        <v>1.6060000000000001</v>
      </c>
    </row>
    <row r="102" spans="2:13" ht="18" customHeight="1">
      <c r="B102" s="648"/>
      <c r="C102" s="650"/>
      <c r="D102" s="253">
        <f t="shared" si="17"/>
        <v>-122</v>
      </c>
      <c r="E102" s="253">
        <f t="shared" si="17"/>
        <v>-122</v>
      </c>
      <c r="F102" s="253">
        <f>2*(D102+E102)/1000</f>
        <v>-0.48799999999999999</v>
      </c>
      <c r="G102" s="250">
        <f>G36</f>
        <v>0</v>
      </c>
      <c r="H102" s="250">
        <f>H101</f>
        <v>0.27100000000000002</v>
      </c>
      <c r="I102" s="59">
        <f>ROUND(F102*G102*H102,3)</f>
        <v>0</v>
      </c>
      <c r="K102" s="99"/>
      <c r="M102" s="99"/>
    </row>
    <row r="103" spans="2:13" ht="18" customHeight="1">
      <c r="B103" s="648"/>
      <c r="C103" s="651"/>
      <c r="D103" s="253">
        <f t="shared" si="17"/>
        <v>-122</v>
      </c>
      <c r="E103" s="253">
        <f t="shared" si="17"/>
        <v>-122</v>
      </c>
      <c r="F103" s="253">
        <f>2*(D103+E103)/1000</f>
        <v>-0.48799999999999999</v>
      </c>
      <c r="G103" s="250">
        <f>G37</f>
        <v>0</v>
      </c>
      <c r="H103" s="250">
        <f>H102</f>
        <v>0.27100000000000002</v>
      </c>
      <c r="I103" s="59">
        <f>ROUND(F103*G103*H103,3)</f>
        <v>0</v>
      </c>
      <c r="M103" s="99"/>
    </row>
    <row r="104" spans="2:13" ht="18" customHeight="1">
      <c r="B104" s="48" t="s">
        <v>42</v>
      </c>
      <c r="C104" s="49">
        <f>SUMPRODUCT(F101:F103*G101:G103)</f>
        <v>5.9279999999999999</v>
      </c>
      <c r="D104" s="50" t="s">
        <v>43</v>
      </c>
      <c r="E104" s="49">
        <f>SUM(I101:I103)*1.1</f>
        <v>1.7666000000000002</v>
      </c>
      <c r="F104" s="50" t="s">
        <v>44</v>
      </c>
      <c r="G104" s="51">
        <f>(C$218+C$222)/1000</f>
        <v>39.781500000000001</v>
      </c>
      <c r="H104" s="52" t="s">
        <v>45</v>
      </c>
      <c r="I104" s="53">
        <f>ROUND(E104*G104,2)</f>
        <v>70.28</v>
      </c>
    </row>
    <row r="105" spans="2:13" ht="18" customHeight="1">
      <c r="B105" s="48" t="s">
        <v>46</v>
      </c>
      <c r="C105" s="50">
        <v>186.72</v>
      </c>
      <c r="D105" s="50" t="s">
        <v>47</v>
      </c>
      <c r="E105" s="49">
        <f>ROUND(C104*(C105/1000),2)</f>
        <v>1.1100000000000001</v>
      </c>
      <c r="F105" s="50" t="s">
        <v>48</v>
      </c>
      <c r="G105" s="50">
        <f>G$23</f>
        <v>10</v>
      </c>
      <c r="H105" s="52" t="s">
        <v>49</v>
      </c>
      <c r="I105" s="53">
        <f>ROUND(E105*G105,2)</f>
        <v>11.1</v>
      </c>
    </row>
    <row r="106" spans="2:13" ht="18" customHeight="1">
      <c r="B106" s="48" t="s">
        <v>50</v>
      </c>
      <c r="C106" s="50">
        <v>0</v>
      </c>
      <c r="D106" s="50" t="s">
        <v>51</v>
      </c>
      <c r="E106" s="49">
        <f>ROUND(C104*(C106/1000),2)</f>
        <v>0</v>
      </c>
      <c r="F106" s="50" t="s">
        <v>48</v>
      </c>
      <c r="G106" s="50">
        <f>G$24</f>
        <v>10</v>
      </c>
      <c r="H106" s="52" t="s">
        <v>49</v>
      </c>
      <c r="I106" s="53">
        <f>ROUND(E106*G106,2)</f>
        <v>0</v>
      </c>
    </row>
    <row r="107" spans="2:13" ht="18" customHeight="1">
      <c r="B107" s="23" t="s">
        <v>36</v>
      </c>
      <c r="C107" s="252" t="s">
        <v>14</v>
      </c>
      <c r="D107" s="252" t="s">
        <v>37</v>
      </c>
      <c r="E107" s="252" t="s">
        <v>38</v>
      </c>
      <c r="F107" s="252" t="s">
        <v>39</v>
      </c>
      <c r="G107" s="252" t="s">
        <v>8</v>
      </c>
      <c r="H107" s="252" t="s">
        <v>22</v>
      </c>
      <c r="I107" s="25" t="s">
        <v>40</v>
      </c>
    </row>
    <row r="108" spans="2:13" ht="18" customHeight="1">
      <c r="B108" s="648" t="s">
        <v>85</v>
      </c>
      <c r="C108" s="655" t="s">
        <v>86</v>
      </c>
      <c r="D108" s="250">
        <v>1500</v>
      </c>
      <c r="E108" s="250">
        <v>2200</v>
      </c>
      <c r="F108" s="250">
        <f>ROUND((D108+E108)*2/1000,4)</f>
        <v>7.4</v>
      </c>
      <c r="G108" s="250">
        <v>1</v>
      </c>
      <c r="H108" s="250">
        <v>1.857</v>
      </c>
      <c r="I108" s="59">
        <f>ROUND(F108*G108*H108,3)</f>
        <v>13.742000000000001</v>
      </c>
    </row>
    <row r="109" spans="2:13" ht="18" customHeight="1">
      <c r="B109" s="648"/>
      <c r="C109" s="656"/>
      <c r="D109" s="250"/>
      <c r="E109" s="250"/>
      <c r="F109" s="250">
        <f>ROUND((D109+E109)*2/1000,4)</f>
        <v>0</v>
      </c>
      <c r="G109" s="250"/>
      <c r="H109" s="250">
        <f>H108</f>
        <v>1.857</v>
      </c>
      <c r="I109" s="59">
        <f>ROUND(F109*G109*H109,3)</f>
        <v>0</v>
      </c>
      <c r="K109" s="42"/>
      <c r="L109" s="42"/>
      <c r="M109" s="42"/>
    </row>
    <row r="110" spans="2:13" ht="18" customHeight="1">
      <c r="B110" s="648"/>
      <c r="C110" s="656"/>
      <c r="D110" s="250"/>
      <c r="E110" s="250"/>
      <c r="F110" s="250">
        <f>ROUND((D110+E110)*2/1000,4)</f>
        <v>0</v>
      </c>
      <c r="G110" s="250"/>
      <c r="H110" s="250">
        <f>H109</f>
        <v>1.857</v>
      </c>
      <c r="I110" s="59">
        <f>ROUND(F110*G110*H110,3)</f>
        <v>0</v>
      </c>
      <c r="K110" s="42"/>
      <c r="L110" s="42"/>
      <c r="M110" s="42"/>
    </row>
    <row r="111" spans="2:13" ht="18" customHeight="1">
      <c r="B111" s="648"/>
      <c r="C111" s="657"/>
      <c r="D111" s="250"/>
      <c r="E111" s="250"/>
      <c r="F111" s="250">
        <f>ROUND((D111+E111)*2/1000,4)</f>
        <v>0</v>
      </c>
      <c r="G111" s="250"/>
      <c r="H111" s="250">
        <f>H110</f>
        <v>1.857</v>
      </c>
      <c r="I111" s="59">
        <f>ROUND(F111*G111*H111,3)</f>
        <v>0</v>
      </c>
      <c r="K111" s="42"/>
      <c r="L111" s="42"/>
      <c r="M111" s="42"/>
    </row>
    <row r="112" spans="2:13" ht="18" customHeight="1">
      <c r="B112" s="48" t="s">
        <v>42</v>
      </c>
      <c r="C112" s="49">
        <f>SUMPRODUCT(F108:F111*G108:G111)</f>
        <v>7.4</v>
      </c>
      <c r="D112" s="50" t="s">
        <v>43</v>
      </c>
      <c r="E112" s="49">
        <f>SUM(I108:I111)*1.1</f>
        <v>15.116200000000003</v>
      </c>
      <c r="F112" s="50" t="s">
        <v>44</v>
      </c>
      <c r="G112" s="51">
        <f>(C$218+C$219)/1000</f>
        <v>46.081499999999998</v>
      </c>
      <c r="H112" s="52" t="s">
        <v>45</v>
      </c>
      <c r="I112" s="53">
        <f>ROUND(E112*G112,2)</f>
        <v>696.58</v>
      </c>
      <c r="J112" s="243">
        <f>SUM(G108:G111)</f>
        <v>1</v>
      </c>
      <c r="K112" s="42"/>
      <c r="L112" s="42"/>
      <c r="M112" s="42"/>
    </row>
    <row r="113" spans="2:14" ht="18" customHeight="1">
      <c r="B113" s="48" t="s">
        <v>46</v>
      </c>
      <c r="C113" s="50">
        <v>241.03</v>
      </c>
      <c r="D113" s="50" t="s">
        <v>47</v>
      </c>
      <c r="E113" s="49">
        <f>ROUND(C112*(C113/1000),2)</f>
        <v>1.78</v>
      </c>
      <c r="F113" s="50" t="s">
        <v>48</v>
      </c>
      <c r="G113" s="50">
        <f>G$23</f>
        <v>10</v>
      </c>
      <c r="H113" s="52" t="s">
        <v>49</v>
      </c>
      <c r="I113" s="53">
        <f>E113*G113</f>
        <v>17.8</v>
      </c>
      <c r="K113" s="42"/>
      <c r="L113" s="42"/>
      <c r="M113" s="42"/>
    </row>
    <row r="114" spans="2:14" ht="18" customHeight="1" thickBot="1">
      <c r="B114" s="48" t="s">
        <v>50</v>
      </c>
      <c r="C114" s="50">
        <v>204.38</v>
      </c>
      <c r="D114" s="50" t="s">
        <v>51</v>
      </c>
      <c r="E114" s="49">
        <f>ROUND(C112*(C114/1000),2)</f>
        <v>1.51</v>
      </c>
      <c r="F114" s="50" t="s">
        <v>48</v>
      </c>
      <c r="G114" s="50">
        <f>G$24</f>
        <v>10</v>
      </c>
      <c r="H114" s="52" t="s">
        <v>49</v>
      </c>
      <c r="I114" s="53">
        <f>E114*G114</f>
        <v>15.1</v>
      </c>
    </row>
    <row r="115" spans="2:14" ht="18" customHeight="1" thickBot="1">
      <c r="B115" s="23" t="s">
        <v>36</v>
      </c>
      <c r="C115" s="252" t="s">
        <v>14</v>
      </c>
      <c r="D115" s="252" t="s">
        <v>37</v>
      </c>
      <c r="E115" s="252" t="s">
        <v>38</v>
      </c>
      <c r="F115" s="252" t="s">
        <v>39</v>
      </c>
      <c r="G115" s="252" t="s">
        <v>8</v>
      </c>
      <c r="H115" s="252" t="s">
        <v>22</v>
      </c>
      <c r="I115" s="25" t="s">
        <v>40</v>
      </c>
      <c r="J115" s="54" t="s">
        <v>2</v>
      </c>
      <c r="K115" s="55" t="s">
        <v>3</v>
      </c>
      <c r="L115" s="55" t="s">
        <v>61</v>
      </c>
      <c r="M115" s="55" t="s">
        <v>62</v>
      </c>
      <c r="N115" s="70" t="s">
        <v>14</v>
      </c>
    </row>
    <row r="116" spans="2:14" ht="18" customHeight="1">
      <c r="B116" s="648" t="s">
        <v>87</v>
      </c>
      <c r="C116" s="649" t="s">
        <v>88</v>
      </c>
      <c r="D116" s="253">
        <f t="shared" ref="D116:E118" si="18">J116-IF(L116=1,78,IF(L116=2,55.5,IF(L116=3,41,0)))</f>
        <v>709</v>
      </c>
      <c r="E116" s="253">
        <f t="shared" si="18"/>
        <v>2122</v>
      </c>
      <c r="F116" s="250">
        <f>ROUND((D116+E116)*2/1000,4)</f>
        <v>5.6619999999999999</v>
      </c>
      <c r="G116" s="250">
        <v>2</v>
      </c>
      <c r="H116" s="58">
        <v>2.456</v>
      </c>
      <c r="I116" s="59">
        <f>ROUND(F116*G116*H116,3)</f>
        <v>27.812000000000001</v>
      </c>
      <c r="J116" s="60">
        <f>D108/2</f>
        <v>750</v>
      </c>
      <c r="K116" s="61">
        <f>E108</f>
        <v>2200</v>
      </c>
      <c r="L116" s="61">
        <v>3</v>
      </c>
      <c r="M116" s="61">
        <v>1</v>
      </c>
      <c r="N116" s="76" t="s">
        <v>56</v>
      </c>
    </row>
    <row r="117" spans="2:14" ht="18" customHeight="1">
      <c r="B117" s="648"/>
      <c r="C117" s="650"/>
      <c r="D117" s="253">
        <f t="shared" si="18"/>
        <v>0</v>
      </c>
      <c r="E117" s="253">
        <f t="shared" si="18"/>
        <v>0</v>
      </c>
      <c r="F117" s="250">
        <f>ROUND((D117+E117)*2/1000,4)</f>
        <v>0</v>
      </c>
      <c r="G117" s="250">
        <v>0</v>
      </c>
      <c r="H117" s="58">
        <f>H116</f>
        <v>2.456</v>
      </c>
      <c r="I117" s="59">
        <f>ROUND(F117*G117*H117,3)</f>
        <v>0</v>
      </c>
      <c r="J117" s="60"/>
      <c r="K117" s="61"/>
      <c r="L117" s="61"/>
      <c r="M117" s="61"/>
      <c r="N117" s="76" t="s">
        <v>58</v>
      </c>
    </row>
    <row r="118" spans="2:14" ht="18" customHeight="1" thickBot="1">
      <c r="B118" s="648"/>
      <c r="C118" s="651"/>
      <c r="D118" s="253">
        <f t="shared" si="18"/>
        <v>0</v>
      </c>
      <c r="E118" s="253">
        <f t="shared" si="18"/>
        <v>0</v>
      </c>
      <c r="F118" s="250">
        <f>ROUND((D118+E118)*2/1000,4)</f>
        <v>0</v>
      </c>
      <c r="G118" s="250">
        <v>0</v>
      </c>
      <c r="H118" s="58">
        <f>H117</f>
        <v>2.456</v>
      </c>
      <c r="I118" s="59">
        <f>ROUND(F118*G118*H118,3)</f>
        <v>0</v>
      </c>
      <c r="J118" s="64"/>
      <c r="K118" s="65"/>
      <c r="L118" s="65"/>
      <c r="M118" s="65"/>
      <c r="N118" s="80" t="s">
        <v>89</v>
      </c>
    </row>
    <row r="119" spans="2:14" ht="18" customHeight="1">
      <c r="B119" s="48" t="s">
        <v>42</v>
      </c>
      <c r="C119" s="49">
        <f>SUMPRODUCT(F116:F118*G116:G118)</f>
        <v>11.324</v>
      </c>
      <c r="D119" s="100" t="s">
        <v>43</v>
      </c>
      <c r="E119" s="100">
        <f>SUM(I116:I118)*1.1</f>
        <v>30.593200000000003</v>
      </c>
      <c r="F119" s="50" t="s">
        <v>44</v>
      </c>
      <c r="G119" s="51">
        <f>(C$218+C$219)/1000</f>
        <v>46.081499999999998</v>
      </c>
      <c r="H119" s="52" t="s">
        <v>45</v>
      </c>
      <c r="I119" s="53">
        <f>ROUND(E119*G119,2)</f>
        <v>1409.78</v>
      </c>
      <c r="J119" s="243">
        <f>SUM(G116:G118)</f>
        <v>2</v>
      </c>
      <c r="K119" s="255"/>
      <c r="L119" s="255"/>
      <c r="M119" s="255"/>
    </row>
    <row r="120" spans="2:14" ht="18" customHeight="1">
      <c r="B120" s="48" t="s">
        <v>46</v>
      </c>
      <c r="C120" s="50">
        <v>350.56</v>
      </c>
      <c r="D120" s="100" t="s">
        <v>47</v>
      </c>
      <c r="E120" s="100">
        <f>ROUND(C119*(C120/1000),2)</f>
        <v>3.97</v>
      </c>
      <c r="F120" s="50" t="s">
        <v>48</v>
      </c>
      <c r="G120" s="50">
        <f>G$23</f>
        <v>10</v>
      </c>
      <c r="H120" s="52" t="s">
        <v>49</v>
      </c>
      <c r="I120" s="53">
        <f>E120*G120</f>
        <v>39.700000000000003</v>
      </c>
      <c r="J120" s="255"/>
      <c r="K120" s="255"/>
      <c r="L120" s="255"/>
      <c r="M120" s="255"/>
    </row>
    <row r="121" spans="2:14" ht="18" customHeight="1" thickBot="1">
      <c r="B121" s="48" t="s">
        <v>50</v>
      </c>
      <c r="C121" s="50">
        <v>189.03</v>
      </c>
      <c r="D121" s="100" t="s">
        <v>51</v>
      </c>
      <c r="E121" s="100">
        <f>ROUND(C119*(C121/1000),2)</f>
        <v>2.14</v>
      </c>
      <c r="F121" s="50" t="s">
        <v>48</v>
      </c>
      <c r="G121" s="50">
        <f>G$24</f>
        <v>10</v>
      </c>
      <c r="H121" s="52" t="s">
        <v>49</v>
      </c>
      <c r="I121" s="53">
        <f>E121*G121</f>
        <v>21.400000000000002</v>
      </c>
      <c r="J121" s="255"/>
    </row>
    <row r="122" spans="2:14" ht="18" customHeight="1" thickBot="1">
      <c r="B122" s="23" t="s">
        <v>36</v>
      </c>
      <c r="C122" s="252" t="s">
        <v>14</v>
      </c>
      <c r="D122" s="101" t="s">
        <v>37</v>
      </c>
      <c r="E122" s="101" t="s">
        <v>38</v>
      </c>
      <c r="F122" s="252" t="s">
        <v>39</v>
      </c>
      <c r="G122" s="252" t="s">
        <v>8</v>
      </c>
      <c r="H122" s="252" t="s">
        <v>22</v>
      </c>
      <c r="I122" s="25" t="s">
        <v>40</v>
      </c>
      <c r="J122" s="54" t="s">
        <v>2</v>
      </c>
      <c r="K122" s="55" t="s">
        <v>3</v>
      </c>
      <c r="L122" s="55" t="s">
        <v>61</v>
      </c>
      <c r="M122" s="55" t="s">
        <v>62</v>
      </c>
      <c r="N122" s="70" t="s">
        <v>14</v>
      </c>
    </row>
    <row r="123" spans="2:14" ht="18" customHeight="1">
      <c r="B123" s="648" t="s">
        <v>90</v>
      </c>
      <c r="C123" s="649" t="s">
        <v>91</v>
      </c>
      <c r="D123" s="253">
        <f t="shared" ref="D123:E125" si="19">J123-IF(L123=1,78,IF(L123=2,55.5,IF(L123=3,41,0)))</f>
        <v>0</v>
      </c>
      <c r="E123" s="253">
        <f t="shared" si="19"/>
        <v>0</v>
      </c>
      <c r="F123" s="250">
        <f>ROUND((D123+E123)*2/1000,4)</f>
        <v>0</v>
      </c>
      <c r="G123" s="250"/>
      <c r="H123" s="58">
        <v>2.4710000000000001</v>
      </c>
      <c r="I123" s="59">
        <f>ROUND(F123*G123*H123,3)</f>
        <v>0</v>
      </c>
      <c r="J123" s="60"/>
      <c r="K123" s="61"/>
      <c r="L123" s="61"/>
      <c r="M123" s="61"/>
      <c r="N123" s="76" t="s">
        <v>56</v>
      </c>
    </row>
    <row r="124" spans="2:14" ht="18" customHeight="1">
      <c r="B124" s="648"/>
      <c r="C124" s="650"/>
      <c r="D124" s="253">
        <f t="shared" si="19"/>
        <v>0</v>
      </c>
      <c r="E124" s="253">
        <f t="shared" si="19"/>
        <v>0</v>
      </c>
      <c r="F124" s="250">
        <f>ROUND((D124+E124)*2/1000,4)</f>
        <v>0</v>
      </c>
      <c r="G124" s="250"/>
      <c r="H124" s="58">
        <f>H123</f>
        <v>2.4710000000000001</v>
      </c>
      <c r="I124" s="59">
        <f>ROUND(F124*G124*H124,3)</f>
        <v>0</v>
      </c>
      <c r="J124" s="60"/>
      <c r="K124" s="61"/>
      <c r="L124" s="61"/>
      <c r="M124" s="61"/>
      <c r="N124" s="76" t="s">
        <v>58</v>
      </c>
    </row>
    <row r="125" spans="2:14" ht="18" customHeight="1" thickBot="1">
      <c r="B125" s="648"/>
      <c r="C125" s="651"/>
      <c r="D125" s="253">
        <f t="shared" si="19"/>
        <v>0</v>
      </c>
      <c r="E125" s="253">
        <f t="shared" si="19"/>
        <v>0</v>
      </c>
      <c r="F125" s="250">
        <f>ROUND((D125+E125)*2/1000,4)</f>
        <v>0</v>
      </c>
      <c r="G125" s="250"/>
      <c r="H125" s="58">
        <f>H124</f>
        <v>2.4710000000000001</v>
      </c>
      <c r="I125" s="59">
        <f>ROUND(F125*G125*H125,3)</f>
        <v>0</v>
      </c>
      <c r="J125" s="64"/>
      <c r="K125" s="65"/>
      <c r="L125" s="65"/>
      <c r="M125" s="65"/>
      <c r="N125" s="80" t="s">
        <v>89</v>
      </c>
    </row>
    <row r="126" spans="2:14" ht="18" customHeight="1">
      <c r="B126" s="48" t="s">
        <v>42</v>
      </c>
      <c r="C126" s="49">
        <f>SUMPRODUCT(F123:F125*G123:G125)</f>
        <v>0</v>
      </c>
      <c r="D126" s="50" t="s">
        <v>43</v>
      </c>
      <c r="E126" s="49">
        <f>SUM(I123:I125)*1.1</f>
        <v>0</v>
      </c>
      <c r="F126" s="50" t="s">
        <v>44</v>
      </c>
      <c r="G126" s="51">
        <f>(C$218+C$221)/1000</f>
        <v>46.081499999999998</v>
      </c>
      <c r="H126" s="52" t="s">
        <v>45</v>
      </c>
      <c r="I126" s="53">
        <f>ROUND(E126*G126,2)</f>
        <v>0</v>
      </c>
      <c r="J126" s="243">
        <f>SUM(G123:G125)</f>
        <v>0</v>
      </c>
      <c r="K126" s="255"/>
      <c r="L126" s="255"/>
      <c r="M126" s="255"/>
    </row>
    <row r="127" spans="2:14" ht="18" customHeight="1">
      <c r="B127" s="48" t="s">
        <v>46</v>
      </c>
      <c r="C127" s="50">
        <v>236.53</v>
      </c>
      <c r="D127" s="50" t="s">
        <v>47</v>
      </c>
      <c r="E127" s="49">
        <f>ROUND(C126*(C127/1000),2)</f>
        <v>0</v>
      </c>
      <c r="F127" s="50" t="s">
        <v>48</v>
      </c>
      <c r="G127" s="50">
        <f>G$23</f>
        <v>10</v>
      </c>
      <c r="H127" s="52" t="s">
        <v>49</v>
      </c>
      <c r="I127" s="53">
        <f>E127*G127</f>
        <v>0</v>
      </c>
      <c r="J127" s="255"/>
      <c r="K127" s="255"/>
      <c r="L127" s="255"/>
      <c r="M127" s="255"/>
    </row>
    <row r="128" spans="2:14" ht="18" customHeight="1" thickBot="1">
      <c r="B128" s="48" t="s">
        <v>50</v>
      </c>
      <c r="C128" s="50">
        <v>311.02999999999997</v>
      </c>
      <c r="D128" s="50" t="s">
        <v>51</v>
      </c>
      <c r="E128" s="49">
        <f>ROUND(C126*(C128/1000),2)</f>
        <v>0</v>
      </c>
      <c r="F128" s="50" t="s">
        <v>48</v>
      </c>
      <c r="G128" s="50">
        <f>G$24</f>
        <v>10</v>
      </c>
      <c r="H128" s="52" t="s">
        <v>49</v>
      </c>
      <c r="I128" s="53">
        <f>E128*G128</f>
        <v>0</v>
      </c>
      <c r="J128" s="255"/>
    </row>
    <row r="129" spans="2:14" ht="18" customHeight="1" thickBot="1">
      <c r="B129" s="23" t="s">
        <v>36</v>
      </c>
      <c r="C129" s="252" t="s">
        <v>14</v>
      </c>
      <c r="D129" s="252" t="s">
        <v>37</v>
      </c>
      <c r="E129" s="252" t="s">
        <v>71</v>
      </c>
      <c r="F129" s="252" t="s">
        <v>38</v>
      </c>
      <c r="G129" s="252" t="s">
        <v>72</v>
      </c>
      <c r="H129" s="252" t="s">
        <v>22</v>
      </c>
      <c r="I129" s="25" t="s">
        <v>40</v>
      </c>
      <c r="J129" s="54" t="s">
        <v>2</v>
      </c>
      <c r="K129" s="55" t="s">
        <v>3</v>
      </c>
      <c r="L129" s="55" t="s">
        <v>61</v>
      </c>
      <c r="M129" s="55" t="s">
        <v>62</v>
      </c>
      <c r="N129" s="70" t="s">
        <v>14</v>
      </c>
    </row>
    <row r="130" spans="2:14" ht="18" customHeight="1">
      <c r="B130" s="648" t="s">
        <v>92</v>
      </c>
      <c r="C130" s="649" t="s">
        <v>93</v>
      </c>
      <c r="D130" s="253">
        <f>J130-IF(L130=1,81,IF(L130=2,58.5,IF(L130=3,36,0)))</f>
        <v>0</v>
      </c>
      <c r="E130" s="253">
        <v>0</v>
      </c>
      <c r="F130" s="253">
        <f>K130-IF(M130=1,81,IF(M130=2,58.5,IF(M130=3,36,0)))</f>
        <v>0</v>
      </c>
      <c r="G130" s="250">
        <v>0</v>
      </c>
      <c r="H130" s="250">
        <v>2.0489999999999999</v>
      </c>
      <c r="I130" s="59">
        <f>ROUND((D130*E130+F130*G130)/1000*H130,3)</f>
        <v>0</v>
      </c>
      <c r="J130" s="60"/>
      <c r="K130" s="61"/>
      <c r="L130" s="61"/>
      <c r="M130" s="61"/>
      <c r="N130" s="76" t="s">
        <v>56</v>
      </c>
    </row>
    <row r="131" spans="2:14" ht="18" customHeight="1">
      <c r="B131" s="648"/>
      <c r="C131" s="650"/>
      <c r="D131" s="253">
        <f>J131-IF(L131=1,81,IF(L131=2,58.5,IF(L131=3,36,0)))</f>
        <v>0</v>
      </c>
      <c r="E131" s="253">
        <v>0</v>
      </c>
      <c r="F131" s="253">
        <f>K131-IF(M131=1,81,IF(M131=2,58.5,IF(M131=3,36,0)))</f>
        <v>0</v>
      </c>
      <c r="G131" s="250"/>
      <c r="H131" s="250">
        <f>H130</f>
        <v>2.0489999999999999</v>
      </c>
      <c r="I131" s="59">
        <f>ROUND((D131*E131+F131*G131)/1000*H131,3)</f>
        <v>0</v>
      </c>
      <c r="J131" s="60"/>
      <c r="K131" s="61"/>
      <c r="L131" s="61"/>
      <c r="M131" s="61"/>
      <c r="N131" s="76" t="s">
        <v>58</v>
      </c>
    </row>
    <row r="132" spans="2:14" ht="18" customHeight="1" thickBot="1">
      <c r="B132" s="648"/>
      <c r="C132" s="651"/>
      <c r="D132" s="253">
        <f>J132-IF(L132=1,81,IF(L132=2,58.5,IF(L132=3,36,0)))</f>
        <v>0</v>
      </c>
      <c r="E132" s="253"/>
      <c r="F132" s="253">
        <f>K132-IF(M132=1,81,IF(M132=2,58.5,IF(M132=3,36,0)))</f>
        <v>0</v>
      </c>
      <c r="G132" s="250"/>
      <c r="H132" s="250">
        <f>H131</f>
        <v>2.0489999999999999</v>
      </c>
      <c r="I132" s="59">
        <f>ROUND((D132*E132+F132*G132)/1000*H132,3)</f>
        <v>0</v>
      </c>
      <c r="J132" s="64"/>
      <c r="K132" s="65"/>
      <c r="L132" s="65"/>
      <c r="M132" s="65"/>
      <c r="N132" s="80" t="s">
        <v>89</v>
      </c>
    </row>
    <row r="133" spans="2:14" ht="18" customHeight="1">
      <c r="B133" s="48" t="s">
        <v>42</v>
      </c>
      <c r="C133" s="49">
        <f>SUMPRODUCT(D130:D132*E130:E132+F130:F132*G130:G132)/1000</f>
        <v>0</v>
      </c>
      <c r="D133" s="50" t="s">
        <v>43</v>
      </c>
      <c r="E133" s="49">
        <f>SUM(I130:I132)*1.1</f>
        <v>0</v>
      </c>
      <c r="F133" s="50" t="s">
        <v>44</v>
      </c>
      <c r="G133" s="51">
        <f>(C$218+C$219)/1000</f>
        <v>46.081499999999998</v>
      </c>
      <c r="H133" s="52" t="s">
        <v>45</v>
      </c>
      <c r="I133" s="53">
        <f>ROUND(E133*G133,2)</f>
        <v>0</v>
      </c>
      <c r="J133" s="243">
        <f>SUM(G130:G132)+SUM(E130:E132)</f>
        <v>0</v>
      </c>
    </row>
    <row r="134" spans="2:14" ht="18" customHeight="1">
      <c r="B134" s="48" t="s">
        <v>46</v>
      </c>
      <c r="C134" s="50">
        <v>298.42</v>
      </c>
      <c r="D134" s="50" t="s">
        <v>47</v>
      </c>
      <c r="E134" s="49">
        <f>ROUND(C133*(C134/1000),2)</f>
        <v>0</v>
      </c>
      <c r="F134" s="50" t="s">
        <v>48</v>
      </c>
      <c r="G134" s="50">
        <f>G$23</f>
        <v>10</v>
      </c>
      <c r="H134" s="52" t="s">
        <v>49</v>
      </c>
      <c r="I134" s="53">
        <f>ROUND(E134*G134,2)</f>
        <v>0</v>
      </c>
    </row>
    <row r="135" spans="2:14" ht="18" customHeight="1">
      <c r="B135" s="48" t="s">
        <v>50</v>
      </c>
      <c r="C135" s="50">
        <v>208.08</v>
      </c>
      <c r="D135" s="50" t="s">
        <v>51</v>
      </c>
      <c r="E135" s="49">
        <f>ROUND(C133*(C135/1000),2)</f>
        <v>0</v>
      </c>
      <c r="F135" s="50" t="s">
        <v>48</v>
      </c>
      <c r="G135" s="50">
        <f>G$24</f>
        <v>10</v>
      </c>
      <c r="H135" s="52" t="s">
        <v>49</v>
      </c>
      <c r="I135" s="53">
        <f>ROUND(E135*G135,2)</f>
        <v>0</v>
      </c>
    </row>
    <row r="136" spans="2:14" ht="18" customHeight="1">
      <c r="B136" s="23" t="s">
        <v>36</v>
      </c>
      <c r="C136" s="252" t="s">
        <v>14</v>
      </c>
      <c r="D136" s="652" t="s">
        <v>38</v>
      </c>
      <c r="E136" s="652"/>
      <c r="F136" s="652"/>
      <c r="G136" s="252" t="s">
        <v>72</v>
      </c>
      <c r="H136" s="252" t="s">
        <v>22</v>
      </c>
      <c r="I136" s="25" t="s">
        <v>40</v>
      </c>
    </row>
    <row r="137" spans="2:14" ht="18" customHeight="1">
      <c r="B137" s="648" t="s">
        <v>94</v>
      </c>
      <c r="C137" s="649" t="s">
        <v>95</v>
      </c>
      <c r="D137" s="654">
        <f>E116</f>
        <v>2122</v>
      </c>
      <c r="E137" s="646"/>
      <c r="F137" s="646"/>
      <c r="G137" s="250">
        <v>1</v>
      </c>
      <c r="H137" s="250">
        <v>1.3360000000000001</v>
      </c>
      <c r="I137" s="59">
        <f>ROUND(D137*H137*G137/1000,3)</f>
        <v>2.835</v>
      </c>
    </row>
    <row r="138" spans="2:14" ht="18" customHeight="1">
      <c r="B138" s="648"/>
      <c r="C138" s="651"/>
      <c r="D138" s="654"/>
      <c r="E138" s="646"/>
      <c r="F138" s="646"/>
      <c r="G138" s="250"/>
      <c r="H138" s="250">
        <f>H137</f>
        <v>1.3360000000000001</v>
      </c>
      <c r="I138" s="59">
        <f>ROUND(D138*H138*G138/1000,3)</f>
        <v>0</v>
      </c>
    </row>
    <row r="139" spans="2:14" ht="18" customHeight="1">
      <c r="B139" s="48" t="s">
        <v>42</v>
      </c>
      <c r="C139" s="49">
        <f>SUMPRODUCT(D137:F138*G137:G138)/1000</f>
        <v>2.1219999999999999</v>
      </c>
      <c r="D139" s="50" t="s">
        <v>43</v>
      </c>
      <c r="E139" s="49">
        <f>SUM(I137:I138)*1.1</f>
        <v>3.1185</v>
      </c>
      <c r="F139" s="50" t="s">
        <v>44</v>
      </c>
      <c r="G139" s="51">
        <f>(C$218+C$219)/1000</f>
        <v>46.081499999999998</v>
      </c>
      <c r="H139" s="52" t="s">
        <v>45</v>
      </c>
      <c r="I139" s="53">
        <f>ROUND(E139*G139,2)</f>
        <v>143.71</v>
      </c>
    </row>
    <row r="140" spans="2:14" ht="18" customHeight="1">
      <c r="B140" s="48" t="s">
        <v>46</v>
      </c>
      <c r="C140" s="50">
        <v>143.24</v>
      </c>
      <c r="D140" s="50" t="s">
        <v>47</v>
      </c>
      <c r="E140" s="49">
        <f>ROUND(C139*(C140/1000),2)</f>
        <v>0.3</v>
      </c>
      <c r="F140" s="50" t="s">
        <v>48</v>
      </c>
      <c r="G140" s="50">
        <f>G$23</f>
        <v>10</v>
      </c>
      <c r="H140" s="52" t="s">
        <v>49</v>
      </c>
      <c r="I140" s="53">
        <f>E140*G140</f>
        <v>3</v>
      </c>
    </row>
    <row r="141" spans="2:14" ht="18" customHeight="1">
      <c r="B141" s="48" t="s">
        <v>50</v>
      </c>
      <c r="C141" s="50">
        <v>85.04</v>
      </c>
      <c r="D141" s="50" t="s">
        <v>51</v>
      </c>
      <c r="E141" s="49">
        <f>ROUND(C139*(C141/1000),2)</f>
        <v>0.18</v>
      </c>
      <c r="F141" s="50" t="s">
        <v>48</v>
      </c>
      <c r="G141" s="50">
        <f>G$24</f>
        <v>10</v>
      </c>
      <c r="H141" s="52" t="s">
        <v>49</v>
      </c>
      <c r="I141" s="53">
        <f>E141*G141</f>
        <v>1.7999999999999998</v>
      </c>
    </row>
    <row r="142" spans="2:14" ht="18" customHeight="1">
      <c r="B142" s="23" t="s">
        <v>36</v>
      </c>
      <c r="C142" s="252" t="s">
        <v>14</v>
      </c>
      <c r="D142" s="252" t="s">
        <v>37</v>
      </c>
      <c r="E142" s="252" t="s">
        <v>38</v>
      </c>
      <c r="F142" s="252" t="s">
        <v>39</v>
      </c>
      <c r="G142" s="252" t="s">
        <v>8</v>
      </c>
      <c r="H142" s="252" t="s">
        <v>22</v>
      </c>
      <c r="I142" s="25" t="s">
        <v>40</v>
      </c>
    </row>
    <row r="143" spans="2:14" ht="18" customHeight="1">
      <c r="B143" s="648" t="s">
        <v>96</v>
      </c>
      <c r="C143" s="653" t="s">
        <v>83</v>
      </c>
      <c r="D143" s="253">
        <f t="shared" ref="D143:E145" si="20">D116-154</f>
        <v>555</v>
      </c>
      <c r="E143" s="253">
        <f t="shared" si="20"/>
        <v>1968</v>
      </c>
      <c r="F143" s="253">
        <f>(D143+E143)*2/1000</f>
        <v>5.0460000000000003</v>
      </c>
      <c r="G143" s="250">
        <f>G116</f>
        <v>2</v>
      </c>
      <c r="H143" s="250">
        <v>0.27100000000000002</v>
      </c>
      <c r="I143" s="59">
        <f>ROUND((F143*G143)*H143,3)</f>
        <v>2.7349999999999999</v>
      </c>
    </row>
    <row r="144" spans="2:14" ht="18" customHeight="1">
      <c r="B144" s="648"/>
      <c r="C144" s="650"/>
      <c r="D144" s="253">
        <f t="shared" si="20"/>
        <v>-154</v>
      </c>
      <c r="E144" s="253">
        <f t="shared" si="20"/>
        <v>-154</v>
      </c>
      <c r="F144" s="253">
        <f>(D144+E144)*2/1000</f>
        <v>-0.61599999999999999</v>
      </c>
      <c r="G144" s="250">
        <f>G117</f>
        <v>0</v>
      </c>
      <c r="H144" s="250">
        <f>H143</f>
        <v>0.27100000000000002</v>
      </c>
      <c r="I144" s="59">
        <f>ROUND((F144*G144)*H144,3)</f>
        <v>0</v>
      </c>
    </row>
    <row r="145" spans="2:14" ht="18" customHeight="1">
      <c r="B145" s="648"/>
      <c r="C145" s="651"/>
      <c r="D145" s="253">
        <f t="shared" si="20"/>
        <v>-154</v>
      </c>
      <c r="E145" s="253">
        <f t="shared" si="20"/>
        <v>-154</v>
      </c>
      <c r="F145" s="253">
        <f>(D145+E145)*2/1000</f>
        <v>-0.61599999999999999</v>
      </c>
      <c r="G145" s="250">
        <f>G118</f>
        <v>0</v>
      </c>
      <c r="H145" s="250">
        <f>H144</f>
        <v>0.27100000000000002</v>
      </c>
      <c r="I145" s="59">
        <f>ROUND((F145*G145)*H145,3)</f>
        <v>0</v>
      </c>
    </row>
    <row r="146" spans="2:14" ht="18" customHeight="1">
      <c r="B146" s="48" t="s">
        <v>42</v>
      </c>
      <c r="C146" s="49">
        <f>SUMPRODUCT(F143:F145*G143:G145)</f>
        <v>10.092000000000001</v>
      </c>
      <c r="D146" s="50" t="s">
        <v>43</v>
      </c>
      <c r="E146" s="49">
        <f>SUM(I143:I145)*1.1</f>
        <v>3.0085000000000002</v>
      </c>
      <c r="F146" s="50" t="s">
        <v>44</v>
      </c>
      <c r="G146" s="51">
        <f>(C$218+C$222)/1000</f>
        <v>39.781500000000001</v>
      </c>
      <c r="H146" s="52" t="s">
        <v>45</v>
      </c>
      <c r="I146" s="53">
        <f>ROUND(E146*G146,2)</f>
        <v>119.68</v>
      </c>
    </row>
    <row r="147" spans="2:14" ht="18" customHeight="1">
      <c r="B147" s="48" t="s">
        <v>46</v>
      </c>
      <c r="C147" s="50">
        <v>186.72</v>
      </c>
      <c r="D147" s="50" t="s">
        <v>47</v>
      </c>
      <c r="E147" s="49">
        <f>ROUND(C146*(C147/1000),2)</f>
        <v>1.88</v>
      </c>
      <c r="F147" s="50" t="s">
        <v>48</v>
      </c>
      <c r="G147" s="50">
        <f>G$23</f>
        <v>10</v>
      </c>
      <c r="H147" s="52" t="s">
        <v>49</v>
      </c>
      <c r="I147" s="53">
        <f>E147*G147</f>
        <v>18.799999999999997</v>
      </c>
      <c r="K147" s="42"/>
      <c r="L147" s="42"/>
      <c r="M147" s="42"/>
    </row>
    <row r="148" spans="2:14" ht="18" customHeight="1">
      <c r="B148" s="48" t="s">
        <v>50</v>
      </c>
      <c r="C148" s="50">
        <v>0</v>
      </c>
      <c r="D148" s="50" t="s">
        <v>51</v>
      </c>
      <c r="E148" s="49">
        <f>ROUND(C146*(C148/1000),2)</f>
        <v>0</v>
      </c>
      <c r="F148" s="50" t="s">
        <v>48</v>
      </c>
      <c r="G148" s="50">
        <f>G$24</f>
        <v>10</v>
      </c>
      <c r="H148" s="52" t="s">
        <v>49</v>
      </c>
      <c r="I148" s="53">
        <f>E148*G148</f>
        <v>0</v>
      </c>
      <c r="K148" s="42"/>
      <c r="L148" s="42"/>
      <c r="M148" s="42"/>
    </row>
    <row r="149" spans="2:14" ht="18" customHeight="1">
      <c r="B149" s="23" t="s">
        <v>36</v>
      </c>
      <c r="C149" s="252" t="s">
        <v>14</v>
      </c>
      <c r="D149" s="252" t="s">
        <v>37</v>
      </c>
      <c r="E149" s="252" t="s">
        <v>38</v>
      </c>
      <c r="F149" s="252" t="s">
        <v>39</v>
      </c>
      <c r="G149" s="252" t="s">
        <v>8</v>
      </c>
      <c r="H149" s="252" t="s">
        <v>22</v>
      </c>
      <c r="I149" s="25" t="s">
        <v>40</v>
      </c>
      <c r="K149" s="42"/>
      <c r="L149" s="42"/>
      <c r="M149" s="42"/>
    </row>
    <row r="150" spans="2:14" ht="18" customHeight="1">
      <c r="B150" s="648" t="s">
        <v>97</v>
      </c>
      <c r="C150" s="653" t="s">
        <v>83</v>
      </c>
      <c r="D150" s="253">
        <f t="shared" ref="D150:E152" si="21">D123-160</f>
        <v>-160</v>
      </c>
      <c r="E150" s="253">
        <f t="shared" si="21"/>
        <v>-160</v>
      </c>
      <c r="F150" s="253">
        <f>(D150+E150)*2/1000</f>
        <v>-0.64</v>
      </c>
      <c r="G150" s="250">
        <f>G123</f>
        <v>0</v>
      </c>
      <c r="H150" s="250">
        <f>H145</f>
        <v>0.27100000000000002</v>
      </c>
      <c r="I150" s="59">
        <f>ROUND((F150*G150)*H150,3)</f>
        <v>0</v>
      </c>
      <c r="K150" s="42"/>
      <c r="L150" s="42"/>
      <c r="M150" s="42"/>
    </row>
    <row r="151" spans="2:14" ht="18" customHeight="1">
      <c r="B151" s="648"/>
      <c r="C151" s="650"/>
      <c r="D151" s="253">
        <f t="shared" si="21"/>
        <v>-160</v>
      </c>
      <c r="E151" s="253">
        <f t="shared" si="21"/>
        <v>-160</v>
      </c>
      <c r="F151" s="253">
        <f>(D151+E151)*2/1000</f>
        <v>-0.64</v>
      </c>
      <c r="G151" s="250">
        <f>G124</f>
        <v>0</v>
      </c>
      <c r="H151" s="250">
        <f>H150</f>
        <v>0.27100000000000002</v>
      </c>
      <c r="I151" s="59">
        <f>ROUND((F151*G151)*H151,3)</f>
        <v>0</v>
      </c>
      <c r="K151" s="42"/>
      <c r="L151" s="42"/>
      <c r="M151" s="42"/>
    </row>
    <row r="152" spans="2:14" ht="18" customHeight="1">
      <c r="B152" s="648"/>
      <c r="C152" s="651"/>
      <c r="D152" s="253">
        <f t="shared" si="21"/>
        <v>-160</v>
      </c>
      <c r="E152" s="253">
        <f t="shared" si="21"/>
        <v>-160</v>
      </c>
      <c r="F152" s="253">
        <f>(D152+E152)*2/1000</f>
        <v>-0.64</v>
      </c>
      <c r="G152" s="250">
        <f>G125</f>
        <v>0</v>
      </c>
      <c r="H152" s="250">
        <f>H151</f>
        <v>0.27100000000000002</v>
      </c>
      <c r="I152" s="59">
        <f>ROUND((F152*G152)*H152,3)</f>
        <v>0</v>
      </c>
      <c r="K152" s="42"/>
      <c r="L152" s="42"/>
      <c r="M152" s="42"/>
    </row>
    <row r="153" spans="2:14" ht="18" customHeight="1">
      <c r="B153" s="48" t="s">
        <v>42</v>
      </c>
      <c r="C153" s="49">
        <f>SUMPRODUCT(F150:F152*G150:G152)</f>
        <v>0</v>
      </c>
      <c r="D153" s="50" t="s">
        <v>43</v>
      </c>
      <c r="E153" s="49">
        <f>SUM(I150:I152)*1.1</f>
        <v>0</v>
      </c>
      <c r="F153" s="50" t="s">
        <v>44</v>
      </c>
      <c r="G153" s="51">
        <f>(C$218+C$222)/1000</f>
        <v>39.781500000000001</v>
      </c>
      <c r="H153" s="52" t="s">
        <v>45</v>
      </c>
      <c r="I153" s="53">
        <f>ROUND(E153*G153,2)</f>
        <v>0</v>
      </c>
      <c r="K153" s="42"/>
      <c r="L153" s="42"/>
      <c r="M153" s="42"/>
    </row>
    <row r="154" spans="2:14" ht="18" customHeight="1">
      <c r="B154" s="48" t="s">
        <v>46</v>
      </c>
      <c r="C154" s="50">
        <v>186.72</v>
      </c>
      <c r="D154" s="50" t="s">
        <v>47</v>
      </c>
      <c r="E154" s="49">
        <f>ROUND(C153*(C154/1000),2)</f>
        <v>0</v>
      </c>
      <c r="F154" s="50" t="s">
        <v>48</v>
      </c>
      <c r="G154" s="50">
        <f>G$23</f>
        <v>10</v>
      </c>
      <c r="H154" s="52" t="s">
        <v>49</v>
      </c>
      <c r="I154" s="53">
        <f>E154*G154</f>
        <v>0</v>
      </c>
    </row>
    <row r="155" spans="2:14" ht="18" customHeight="1" thickBot="1">
      <c r="B155" s="48" t="s">
        <v>50</v>
      </c>
      <c r="C155" s="50">
        <v>0</v>
      </c>
      <c r="D155" s="50" t="s">
        <v>51</v>
      </c>
      <c r="E155" s="49">
        <f>ROUND(C153*(C155/1000),2)</f>
        <v>0</v>
      </c>
      <c r="F155" s="50" t="s">
        <v>48</v>
      </c>
      <c r="G155" s="50">
        <f>G$24</f>
        <v>10</v>
      </c>
      <c r="H155" s="52" t="s">
        <v>49</v>
      </c>
      <c r="I155" s="53">
        <f>E155*G155</f>
        <v>0</v>
      </c>
    </row>
    <row r="156" spans="2:14" ht="18" customHeight="1" thickBot="1">
      <c r="B156" s="23" t="s">
        <v>36</v>
      </c>
      <c r="C156" s="252" t="s">
        <v>14</v>
      </c>
      <c r="D156" s="252" t="s">
        <v>37</v>
      </c>
      <c r="E156" s="252" t="s">
        <v>38</v>
      </c>
      <c r="F156" s="252" t="s">
        <v>39</v>
      </c>
      <c r="G156" s="252" t="s">
        <v>8</v>
      </c>
      <c r="H156" s="252" t="s">
        <v>22</v>
      </c>
      <c r="I156" s="25" t="s">
        <v>40</v>
      </c>
      <c r="J156" s="54" t="s">
        <v>2</v>
      </c>
      <c r="K156" s="55" t="s">
        <v>3</v>
      </c>
      <c r="L156" s="55" t="s">
        <v>61</v>
      </c>
      <c r="M156" s="55" t="s">
        <v>62</v>
      </c>
      <c r="N156" s="70" t="s">
        <v>14</v>
      </c>
    </row>
    <row r="157" spans="2:14" ht="18" customHeight="1">
      <c r="B157" s="648" t="s">
        <v>98</v>
      </c>
      <c r="C157" s="649" t="s">
        <v>99</v>
      </c>
      <c r="D157" s="253">
        <f t="shared" ref="D157:E162" si="22">J157-IF(L157=1,90,IF(L157=2,67.5,IF(L157=3,45,0)))</f>
        <v>0</v>
      </c>
      <c r="E157" s="253">
        <f t="shared" si="22"/>
        <v>0</v>
      </c>
      <c r="F157" s="253">
        <f t="shared" ref="F157:F162" si="23">2*(D157+E157)/1000</f>
        <v>0</v>
      </c>
      <c r="G157" s="250">
        <v>0</v>
      </c>
      <c r="H157" s="250">
        <f>H68</f>
        <v>0.224</v>
      </c>
      <c r="I157" s="59">
        <f t="shared" ref="I157:I162" si="24">ROUND((F157*G157)*H157,3)</f>
        <v>0</v>
      </c>
      <c r="J157" s="60"/>
      <c r="K157" s="61"/>
      <c r="L157" s="61"/>
      <c r="M157" s="61"/>
      <c r="N157" s="76" t="s">
        <v>56</v>
      </c>
    </row>
    <row r="158" spans="2:14" ht="18" customHeight="1">
      <c r="B158" s="648"/>
      <c r="C158" s="650"/>
      <c r="D158" s="253">
        <f t="shared" si="22"/>
        <v>0</v>
      </c>
      <c r="E158" s="253">
        <f t="shared" si="22"/>
        <v>0</v>
      </c>
      <c r="F158" s="253">
        <f t="shared" si="23"/>
        <v>0</v>
      </c>
      <c r="G158" s="250"/>
      <c r="H158" s="250">
        <f>H157</f>
        <v>0.224</v>
      </c>
      <c r="I158" s="59">
        <f t="shared" si="24"/>
        <v>0</v>
      </c>
      <c r="J158" s="60"/>
      <c r="K158" s="61"/>
      <c r="L158" s="61"/>
      <c r="M158" s="61"/>
      <c r="N158" s="76" t="s">
        <v>58</v>
      </c>
    </row>
    <row r="159" spans="2:14" ht="18" customHeight="1">
      <c r="B159" s="648"/>
      <c r="C159" s="650"/>
      <c r="D159" s="253">
        <f t="shared" si="22"/>
        <v>0</v>
      </c>
      <c r="E159" s="253">
        <f t="shared" si="22"/>
        <v>0</v>
      </c>
      <c r="F159" s="253">
        <f t="shared" si="23"/>
        <v>0</v>
      </c>
      <c r="G159" s="250"/>
      <c r="H159" s="250">
        <f>H158</f>
        <v>0.224</v>
      </c>
      <c r="I159" s="59">
        <f t="shared" si="24"/>
        <v>0</v>
      </c>
      <c r="J159" s="60"/>
      <c r="K159" s="61"/>
      <c r="L159" s="61"/>
      <c r="M159" s="61"/>
      <c r="N159" s="76" t="s">
        <v>60</v>
      </c>
    </row>
    <row r="160" spans="2:14" ht="18" customHeight="1">
      <c r="B160" s="648"/>
      <c r="C160" s="650"/>
      <c r="D160" s="253">
        <f t="shared" si="22"/>
        <v>0</v>
      </c>
      <c r="E160" s="253">
        <f t="shared" si="22"/>
        <v>0</v>
      </c>
      <c r="F160" s="253">
        <f t="shared" si="23"/>
        <v>0</v>
      </c>
      <c r="G160" s="250">
        <v>0</v>
      </c>
      <c r="H160" s="77">
        <f>H159</f>
        <v>0.224</v>
      </c>
      <c r="I160" s="59">
        <f t="shared" si="24"/>
        <v>0</v>
      </c>
      <c r="J160" s="60"/>
      <c r="K160" s="61"/>
      <c r="L160" s="61"/>
      <c r="M160" s="61"/>
      <c r="N160" s="76"/>
    </row>
    <row r="161" spans="2:16" ht="18" customHeight="1">
      <c r="B161" s="648"/>
      <c r="C161" s="650"/>
      <c r="D161" s="253">
        <f t="shared" si="22"/>
        <v>0</v>
      </c>
      <c r="E161" s="253">
        <f t="shared" si="22"/>
        <v>0</v>
      </c>
      <c r="F161" s="253">
        <f t="shared" si="23"/>
        <v>0</v>
      </c>
      <c r="G161" s="250"/>
      <c r="H161" s="250">
        <f>H160</f>
        <v>0.224</v>
      </c>
      <c r="I161" s="59">
        <f t="shared" si="24"/>
        <v>0</v>
      </c>
      <c r="J161" s="60"/>
      <c r="K161" s="61"/>
      <c r="L161" s="61"/>
      <c r="M161" s="61"/>
      <c r="N161" s="76"/>
    </row>
    <row r="162" spans="2:16" ht="18" customHeight="1" thickBot="1">
      <c r="B162" s="648"/>
      <c r="C162" s="651"/>
      <c r="D162" s="253">
        <f t="shared" si="22"/>
        <v>0</v>
      </c>
      <c r="E162" s="253">
        <f t="shared" si="22"/>
        <v>0</v>
      </c>
      <c r="F162" s="253">
        <f t="shared" si="23"/>
        <v>0</v>
      </c>
      <c r="G162" s="250"/>
      <c r="H162" s="250">
        <f>H160</f>
        <v>0.224</v>
      </c>
      <c r="I162" s="59">
        <f t="shared" si="24"/>
        <v>0</v>
      </c>
      <c r="J162" s="64"/>
      <c r="K162" s="65"/>
      <c r="L162" s="65"/>
      <c r="M162" s="65"/>
      <c r="N162" s="80"/>
    </row>
    <row r="163" spans="2:16" ht="18" customHeight="1">
      <c r="B163" s="48" t="s">
        <v>42</v>
      </c>
      <c r="C163" s="49">
        <f>SUMPRODUCT(F157:F162*G157:G162)</f>
        <v>0</v>
      </c>
      <c r="D163" s="50" t="s">
        <v>43</v>
      </c>
      <c r="E163" s="49">
        <f>SUM(I157:I162)*1.1</f>
        <v>0</v>
      </c>
      <c r="F163" s="50" t="s">
        <v>44</v>
      </c>
      <c r="G163" s="51">
        <f>(C$218+C$222)/1000</f>
        <v>39.781500000000001</v>
      </c>
      <c r="H163" s="52" t="s">
        <v>45</v>
      </c>
      <c r="I163" s="53">
        <f>ROUND(E163*G163,2)</f>
        <v>0</v>
      </c>
      <c r="J163" s="102"/>
      <c r="K163" s="102"/>
      <c r="L163" s="102"/>
      <c r="M163" s="102"/>
      <c r="O163" s="102"/>
      <c r="P163" s="102"/>
    </row>
    <row r="164" spans="2:16" ht="18" customHeight="1">
      <c r="B164" s="48" t="s">
        <v>46</v>
      </c>
      <c r="C164" s="50">
        <v>181.72</v>
      </c>
      <c r="D164" s="50" t="s">
        <v>47</v>
      </c>
      <c r="E164" s="49">
        <f>ROUND(C163*(C164/1000),2)</f>
        <v>0</v>
      </c>
      <c r="F164" s="50" t="s">
        <v>48</v>
      </c>
      <c r="G164" s="50">
        <f>G$23</f>
        <v>10</v>
      </c>
      <c r="H164" s="52" t="s">
        <v>49</v>
      </c>
      <c r="I164" s="53">
        <f>E164*G164</f>
        <v>0</v>
      </c>
      <c r="J164" s="102"/>
      <c r="K164" s="102"/>
      <c r="L164" s="102"/>
      <c r="M164" s="102"/>
      <c r="O164" s="102"/>
      <c r="P164" s="102"/>
    </row>
    <row r="165" spans="2:16" ht="18" customHeight="1">
      <c r="B165" s="48" t="s">
        <v>50</v>
      </c>
      <c r="C165" s="50"/>
      <c r="D165" s="50" t="s">
        <v>51</v>
      </c>
      <c r="E165" s="49">
        <f>ROUND(C163*(C165/1000),2)</f>
        <v>0</v>
      </c>
      <c r="F165" s="50" t="s">
        <v>48</v>
      </c>
      <c r="G165" s="50">
        <f>G$24</f>
        <v>10</v>
      </c>
      <c r="H165" s="52" t="s">
        <v>49</v>
      </c>
      <c r="I165" s="53">
        <f>E165*G165</f>
        <v>0</v>
      </c>
      <c r="K165" s="43">
        <f>J165*E165</f>
        <v>0</v>
      </c>
    </row>
    <row r="166" spans="2:16" ht="18" customHeight="1">
      <c r="B166" s="23" t="s">
        <v>36</v>
      </c>
      <c r="C166" s="252" t="s">
        <v>14</v>
      </c>
      <c r="D166" s="252" t="s">
        <v>37</v>
      </c>
      <c r="E166" s="252" t="s">
        <v>71</v>
      </c>
      <c r="F166" s="252" t="s">
        <v>38</v>
      </c>
      <c r="G166" s="252" t="s">
        <v>72</v>
      </c>
      <c r="H166" s="252" t="s">
        <v>22</v>
      </c>
      <c r="I166" s="25" t="s">
        <v>40</v>
      </c>
    </row>
    <row r="167" spans="2:16" ht="18" customHeight="1">
      <c r="B167" s="648" t="s">
        <v>100</v>
      </c>
      <c r="C167" s="649" t="s">
        <v>101</v>
      </c>
      <c r="D167" s="250"/>
      <c r="E167" s="250"/>
      <c r="F167" s="250"/>
      <c r="G167" s="250"/>
      <c r="H167" s="28">
        <v>6.3E-2</v>
      </c>
      <c r="I167" s="59">
        <f>ROUND((D167*E167+F167*G167)/1000*H167,3)</f>
        <v>0</v>
      </c>
    </row>
    <row r="168" spans="2:16" ht="18" customHeight="1">
      <c r="B168" s="648"/>
      <c r="C168" s="650"/>
      <c r="D168" s="250"/>
      <c r="E168" s="250"/>
      <c r="F168" s="250"/>
      <c r="G168" s="250"/>
      <c r="H168" s="28">
        <f>H167</f>
        <v>6.3E-2</v>
      </c>
      <c r="I168" s="59">
        <f>ROUND((D168*E168+F168*G168)/1000*H168,3)</f>
        <v>0</v>
      </c>
    </row>
    <row r="169" spans="2:16" ht="18" customHeight="1">
      <c r="B169" s="648"/>
      <c r="C169" s="651"/>
      <c r="D169" s="250"/>
      <c r="E169" s="250"/>
      <c r="F169" s="250"/>
      <c r="G169" s="250"/>
      <c r="H169" s="28">
        <f>H168</f>
        <v>6.3E-2</v>
      </c>
      <c r="I169" s="59">
        <f>ROUND((D169*E169+F169*G169)/1000*H169,3)</f>
        <v>0</v>
      </c>
    </row>
    <row r="170" spans="2:16" ht="18" customHeight="1">
      <c r="B170" s="48" t="s">
        <v>42</v>
      </c>
      <c r="C170" s="49">
        <f>SUMPRODUCT(D167:D169*E167:E169+F167:F169*G167:G169)/1000</f>
        <v>0</v>
      </c>
      <c r="D170" s="50" t="s">
        <v>43</v>
      </c>
      <c r="E170" s="49">
        <f>SUM(I167:I169)*1.1</f>
        <v>0</v>
      </c>
      <c r="F170" s="50" t="s">
        <v>44</v>
      </c>
      <c r="G170" s="51">
        <f>(C$218+$C$222)/1000</f>
        <v>39.781500000000001</v>
      </c>
      <c r="H170" s="52" t="s">
        <v>45</v>
      </c>
      <c r="I170" s="53">
        <f>ROUND(E170*G170,2)</f>
        <v>0</v>
      </c>
    </row>
    <row r="171" spans="2:16" ht="18" customHeight="1">
      <c r="B171" s="48" t="s">
        <v>46</v>
      </c>
      <c r="C171" s="50">
        <v>105.66</v>
      </c>
      <c r="D171" s="50" t="s">
        <v>47</v>
      </c>
      <c r="E171" s="49">
        <f>ROUND(C170*(C171/1000),2)</f>
        <v>0</v>
      </c>
      <c r="F171" s="50" t="s">
        <v>48</v>
      </c>
      <c r="G171" s="50">
        <f>G$23</f>
        <v>10</v>
      </c>
      <c r="H171" s="52" t="s">
        <v>49</v>
      </c>
      <c r="I171" s="53">
        <f>E171*G171</f>
        <v>0</v>
      </c>
    </row>
    <row r="172" spans="2:16" ht="18" customHeight="1">
      <c r="B172" s="48" t="s">
        <v>50</v>
      </c>
      <c r="C172" s="50">
        <v>125.66</v>
      </c>
      <c r="D172" s="50" t="s">
        <v>51</v>
      </c>
      <c r="E172" s="49">
        <f>ROUND(C170*(C172/1000),2)</f>
        <v>0</v>
      </c>
      <c r="F172" s="50" t="s">
        <v>48</v>
      </c>
      <c r="G172" s="50">
        <f>G$24</f>
        <v>10</v>
      </c>
      <c r="H172" s="52" t="s">
        <v>49</v>
      </c>
      <c r="I172" s="53">
        <f>E172*G172</f>
        <v>0</v>
      </c>
    </row>
    <row r="173" spans="2:16" ht="18" customHeight="1">
      <c r="B173" s="23" t="s">
        <v>36</v>
      </c>
      <c r="C173" s="252" t="s">
        <v>14</v>
      </c>
      <c r="D173" s="252" t="s">
        <v>37</v>
      </c>
      <c r="E173" s="252" t="s">
        <v>71</v>
      </c>
      <c r="F173" s="252" t="s">
        <v>38</v>
      </c>
      <c r="G173" s="252" t="s">
        <v>72</v>
      </c>
      <c r="H173" s="252" t="s">
        <v>22</v>
      </c>
      <c r="I173" s="25" t="s">
        <v>40</v>
      </c>
    </row>
    <row r="174" spans="2:16" ht="18" customHeight="1">
      <c r="B174" s="648" t="s">
        <v>102</v>
      </c>
      <c r="C174" s="649" t="s">
        <v>103</v>
      </c>
      <c r="D174" s="250"/>
      <c r="E174" s="250"/>
      <c r="F174" s="250"/>
      <c r="G174" s="250"/>
      <c r="H174" s="28">
        <v>1.0980000000000001</v>
      </c>
      <c r="I174" s="59">
        <f>ROUND((D174*E174+F174*G174)/1000*H174,3)</f>
        <v>0</v>
      </c>
    </row>
    <row r="175" spans="2:16" ht="18" customHeight="1">
      <c r="B175" s="648"/>
      <c r="C175" s="650"/>
      <c r="D175" s="250"/>
      <c r="E175" s="250"/>
      <c r="F175" s="250"/>
      <c r="G175" s="250"/>
      <c r="H175" s="28">
        <f>H174</f>
        <v>1.0980000000000001</v>
      </c>
      <c r="I175" s="59">
        <f>ROUND((D175*E175+F175*G175)/1000*H175,3)</f>
        <v>0</v>
      </c>
    </row>
    <row r="176" spans="2:16" ht="18" customHeight="1">
      <c r="B176" s="648"/>
      <c r="C176" s="651"/>
      <c r="D176" s="250"/>
      <c r="E176" s="250"/>
      <c r="F176" s="250"/>
      <c r="G176" s="250"/>
      <c r="H176" s="28">
        <f>H175</f>
        <v>1.0980000000000001</v>
      </c>
      <c r="I176" s="59">
        <f>ROUND((D176*E176+F176*G176)/1000*H176,3)</f>
        <v>0</v>
      </c>
    </row>
    <row r="177" spans="2:9" ht="18" customHeight="1">
      <c r="B177" s="48" t="s">
        <v>42</v>
      </c>
      <c r="C177" s="49">
        <f>SUMPRODUCT(D174:D176*E174:E176+F174:F176*G174:G176)/1000</f>
        <v>0</v>
      </c>
      <c r="D177" s="50" t="s">
        <v>43</v>
      </c>
      <c r="E177" s="49">
        <f>SUM(I174:I176)*1.1</f>
        <v>0</v>
      </c>
      <c r="F177" s="50" t="s">
        <v>44</v>
      </c>
      <c r="G177" s="51">
        <f>(C$218+C$219)/1000</f>
        <v>46.081499999999998</v>
      </c>
      <c r="H177" s="52" t="s">
        <v>45</v>
      </c>
      <c r="I177" s="53">
        <f>ROUND(E177*G177,2)</f>
        <v>0</v>
      </c>
    </row>
    <row r="178" spans="2:9" ht="18" customHeight="1">
      <c r="B178" s="48" t="s">
        <v>46</v>
      </c>
      <c r="C178" s="50">
        <v>105.66</v>
      </c>
      <c r="D178" s="50" t="s">
        <v>47</v>
      </c>
      <c r="E178" s="49">
        <f>ROUND(C177*(C178/1000),2)</f>
        <v>0</v>
      </c>
      <c r="F178" s="50" t="s">
        <v>48</v>
      </c>
      <c r="G178" s="50">
        <f>G$23</f>
        <v>10</v>
      </c>
      <c r="H178" s="52" t="s">
        <v>49</v>
      </c>
      <c r="I178" s="53">
        <f>E178*G178</f>
        <v>0</v>
      </c>
    </row>
    <row r="179" spans="2:9" ht="18" customHeight="1">
      <c r="B179" s="48" t="s">
        <v>50</v>
      </c>
      <c r="C179" s="50">
        <v>125.66</v>
      </c>
      <c r="D179" s="50" t="s">
        <v>51</v>
      </c>
      <c r="E179" s="49">
        <f>ROUND(C177*(C179/1000),2)</f>
        <v>0</v>
      </c>
      <c r="F179" s="50" t="s">
        <v>48</v>
      </c>
      <c r="G179" s="50">
        <f>G$24</f>
        <v>10</v>
      </c>
      <c r="H179" s="52" t="s">
        <v>49</v>
      </c>
      <c r="I179" s="53">
        <f>E179*G179</f>
        <v>0</v>
      </c>
    </row>
    <row r="180" spans="2:9" ht="18" customHeight="1">
      <c r="B180" s="23" t="s">
        <v>36</v>
      </c>
      <c r="C180" s="252" t="s">
        <v>14</v>
      </c>
      <c r="D180" s="252" t="s">
        <v>37</v>
      </c>
      <c r="E180" s="252" t="s">
        <v>71</v>
      </c>
      <c r="F180" s="252" t="s">
        <v>38</v>
      </c>
      <c r="G180" s="252" t="s">
        <v>72</v>
      </c>
      <c r="H180" s="252" t="s">
        <v>22</v>
      </c>
      <c r="I180" s="25" t="s">
        <v>40</v>
      </c>
    </row>
    <row r="181" spans="2:9" ht="18" customHeight="1">
      <c r="B181" s="648" t="s">
        <v>104</v>
      </c>
      <c r="C181" s="649" t="s">
        <v>105</v>
      </c>
      <c r="D181" s="250"/>
      <c r="E181" s="250"/>
      <c r="F181" s="250">
        <f>E14</f>
        <v>1300</v>
      </c>
      <c r="G181" s="250">
        <v>1</v>
      </c>
      <c r="H181" s="28">
        <v>1.5629999999999999</v>
      </c>
      <c r="I181" s="59">
        <f>ROUND((D181*E181+F181*G181)/1000*H181,3)</f>
        <v>2.032</v>
      </c>
    </row>
    <row r="182" spans="2:9" ht="18" customHeight="1">
      <c r="B182" s="648"/>
      <c r="C182" s="650"/>
      <c r="D182" s="250"/>
      <c r="E182" s="250"/>
      <c r="F182" s="250"/>
      <c r="G182" s="250"/>
      <c r="H182" s="28">
        <f>H181</f>
        <v>1.5629999999999999</v>
      </c>
      <c r="I182" s="59">
        <f>ROUND((D182*E182+F182*G182)/1000*H182,3)</f>
        <v>0</v>
      </c>
    </row>
    <row r="183" spans="2:9" ht="18" customHeight="1">
      <c r="B183" s="648"/>
      <c r="C183" s="651"/>
      <c r="D183" s="250"/>
      <c r="E183" s="250"/>
      <c r="F183" s="250"/>
      <c r="G183" s="250"/>
      <c r="H183" s="28">
        <f>H182</f>
        <v>1.5629999999999999</v>
      </c>
      <c r="I183" s="59">
        <f>ROUND((D183*E183+F183*G183)/1000*H183,3)</f>
        <v>0</v>
      </c>
    </row>
    <row r="184" spans="2:9" ht="18" customHeight="1">
      <c r="B184" s="48" t="s">
        <v>42</v>
      </c>
      <c r="C184" s="49">
        <f>SUMPRODUCT(D181:D183*E181:E183+F181:F183*G181:G183)/1000</f>
        <v>1.3</v>
      </c>
      <c r="D184" s="50" t="s">
        <v>43</v>
      </c>
      <c r="E184" s="49">
        <f>SUM(I181:I183)*1.1</f>
        <v>2.2352000000000003</v>
      </c>
      <c r="F184" s="50" t="s">
        <v>44</v>
      </c>
      <c r="G184" s="51">
        <f>(C$218+C$219)/1000</f>
        <v>46.081499999999998</v>
      </c>
      <c r="H184" s="52" t="s">
        <v>45</v>
      </c>
      <c r="I184" s="53">
        <f>ROUND(E184*G184,2)</f>
        <v>103</v>
      </c>
    </row>
    <row r="185" spans="2:9" ht="18" customHeight="1">
      <c r="B185" s="48" t="s">
        <v>46</v>
      </c>
      <c r="C185" s="50">
        <v>105.66</v>
      </c>
      <c r="D185" s="50" t="s">
        <v>47</v>
      </c>
      <c r="E185" s="49">
        <f>ROUND(C184*(C185/1000),2)</f>
        <v>0.14000000000000001</v>
      </c>
      <c r="F185" s="50" t="s">
        <v>48</v>
      </c>
      <c r="G185" s="50">
        <f>G$23</f>
        <v>10</v>
      </c>
      <c r="H185" s="52" t="s">
        <v>49</v>
      </c>
      <c r="I185" s="53">
        <f>E185*G185</f>
        <v>1.4000000000000001</v>
      </c>
    </row>
    <row r="186" spans="2:9" ht="18" customHeight="1">
      <c r="B186" s="48" t="s">
        <v>50</v>
      </c>
      <c r="C186" s="50">
        <v>125.66</v>
      </c>
      <c r="D186" s="50" t="s">
        <v>51</v>
      </c>
      <c r="E186" s="49">
        <f>ROUND(C184*(C186/1000),2)</f>
        <v>0.16</v>
      </c>
      <c r="F186" s="50" t="s">
        <v>48</v>
      </c>
      <c r="G186" s="50">
        <f>G$24</f>
        <v>10</v>
      </c>
      <c r="H186" s="52" t="s">
        <v>49</v>
      </c>
      <c r="I186" s="53">
        <f>E186*G186</f>
        <v>1.6</v>
      </c>
    </row>
    <row r="187" spans="2:9" ht="18" customHeight="1">
      <c r="B187" s="23" t="s">
        <v>36</v>
      </c>
      <c r="C187" s="252" t="s">
        <v>14</v>
      </c>
      <c r="D187" s="252" t="s">
        <v>37</v>
      </c>
      <c r="E187" s="252" t="s">
        <v>71</v>
      </c>
      <c r="F187" s="252" t="s">
        <v>38</v>
      </c>
      <c r="G187" s="252" t="s">
        <v>72</v>
      </c>
      <c r="H187" s="252" t="s">
        <v>22</v>
      </c>
      <c r="I187" s="25" t="s">
        <v>40</v>
      </c>
    </row>
    <row r="188" spans="2:9" ht="18" customHeight="1">
      <c r="B188" s="648" t="s">
        <v>106</v>
      </c>
      <c r="C188" s="649" t="s">
        <v>107</v>
      </c>
      <c r="D188" s="250"/>
      <c r="E188" s="250"/>
      <c r="F188" s="250"/>
      <c r="G188" s="250"/>
      <c r="H188" s="28">
        <v>1.732</v>
      </c>
      <c r="I188" s="59">
        <f>ROUND((D188*E188+F188*G188)/1000*H188,3)</f>
        <v>0</v>
      </c>
    </row>
    <row r="189" spans="2:9" ht="18" customHeight="1">
      <c r="B189" s="648"/>
      <c r="C189" s="650"/>
      <c r="D189" s="250"/>
      <c r="E189" s="250"/>
      <c r="F189" s="250"/>
      <c r="G189" s="250"/>
      <c r="H189" s="28">
        <f>H188</f>
        <v>1.732</v>
      </c>
      <c r="I189" s="59">
        <f>ROUND((D189*E189+F189*G189)/1000*H189,3)</f>
        <v>0</v>
      </c>
    </row>
    <row r="190" spans="2:9" ht="18" customHeight="1">
      <c r="B190" s="648"/>
      <c r="C190" s="651"/>
      <c r="D190" s="250"/>
      <c r="E190" s="250"/>
      <c r="F190" s="250">
        <f>E6</f>
        <v>2120</v>
      </c>
      <c r="G190" s="250"/>
      <c r="H190" s="28">
        <f>H189</f>
        <v>1.732</v>
      </c>
      <c r="I190" s="59">
        <f>ROUND((D190*E190+F190*G190)/1000*H190,3)</f>
        <v>0</v>
      </c>
    </row>
    <row r="191" spans="2:9" ht="18" customHeight="1">
      <c r="B191" s="48" t="s">
        <v>42</v>
      </c>
      <c r="C191" s="49">
        <f>SUMPRODUCT(D188:D190*E188:E190+F188:F190*G188:G190)/1000</f>
        <v>0</v>
      </c>
      <c r="D191" s="50" t="s">
        <v>43</v>
      </c>
      <c r="E191" s="49">
        <f>SUM(I188:I190)*1.1</f>
        <v>0</v>
      </c>
      <c r="F191" s="50" t="s">
        <v>44</v>
      </c>
      <c r="G191" s="51">
        <f>(C$218+C$219)/1000</f>
        <v>46.081499999999998</v>
      </c>
      <c r="H191" s="52" t="s">
        <v>45</v>
      </c>
      <c r="I191" s="53">
        <f>ROUND(E191*G191,2)</f>
        <v>0</v>
      </c>
    </row>
    <row r="192" spans="2:9" ht="18" customHeight="1">
      <c r="B192" s="48" t="s">
        <v>46</v>
      </c>
      <c r="C192" s="50">
        <v>105.66</v>
      </c>
      <c r="D192" s="50" t="s">
        <v>47</v>
      </c>
      <c r="E192" s="49">
        <f>ROUND(C191*(C192/1000),2)</f>
        <v>0</v>
      </c>
      <c r="F192" s="50" t="s">
        <v>48</v>
      </c>
      <c r="G192" s="50">
        <f>G$23</f>
        <v>10</v>
      </c>
      <c r="H192" s="52" t="s">
        <v>49</v>
      </c>
      <c r="I192" s="53">
        <f>E192*G192</f>
        <v>0</v>
      </c>
    </row>
    <row r="193" spans="2:15" ht="18" customHeight="1">
      <c r="B193" s="48" t="s">
        <v>50</v>
      </c>
      <c r="C193" s="50">
        <v>125.66</v>
      </c>
      <c r="D193" s="50" t="s">
        <v>51</v>
      </c>
      <c r="E193" s="49">
        <f>ROUND(C191*(C193/1000),2)</f>
        <v>0</v>
      </c>
      <c r="F193" s="50" t="s">
        <v>48</v>
      </c>
      <c r="G193" s="50">
        <f>G$24</f>
        <v>10</v>
      </c>
      <c r="H193" s="52" t="s">
        <v>49</v>
      </c>
      <c r="I193" s="53">
        <f>E193*G193</f>
        <v>0</v>
      </c>
    </row>
    <row r="194" spans="2:15" ht="18" customHeight="1">
      <c r="B194" s="23" t="s">
        <v>36</v>
      </c>
      <c r="C194" s="252" t="s">
        <v>14</v>
      </c>
      <c r="D194" s="652" t="s">
        <v>38</v>
      </c>
      <c r="E194" s="652"/>
      <c r="F194" s="652"/>
      <c r="G194" s="252" t="s">
        <v>72</v>
      </c>
      <c r="H194" s="252" t="s">
        <v>22</v>
      </c>
      <c r="I194" s="25" t="s">
        <v>40</v>
      </c>
    </row>
    <row r="195" spans="2:15" ht="18" customHeight="1">
      <c r="B195" s="643" t="s">
        <v>108</v>
      </c>
      <c r="C195" s="645" t="s">
        <v>109</v>
      </c>
      <c r="D195" s="646"/>
      <c r="E195" s="646"/>
      <c r="F195" s="646"/>
      <c r="G195" s="250"/>
      <c r="H195" s="250">
        <v>1.796</v>
      </c>
      <c r="I195" s="59">
        <f>ROUND((D195*G195*H195)/1000,3)</f>
        <v>0</v>
      </c>
    </row>
    <row r="196" spans="2:15" ht="18" customHeight="1">
      <c r="B196" s="644"/>
      <c r="C196" s="640"/>
      <c r="D196" s="646"/>
      <c r="E196" s="646"/>
      <c r="F196" s="646"/>
      <c r="G196" s="250"/>
      <c r="H196" s="250">
        <f>H195</f>
        <v>1.796</v>
      </c>
      <c r="I196" s="59">
        <f>ROUND((D196*G196*H196)/1000,3)</f>
        <v>0</v>
      </c>
    </row>
    <row r="197" spans="2:15" ht="18" customHeight="1">
      <c r="B197" s="643" t="s">
        <v>110</v>
      </c>
      <c r="C197" s="645" t="s">
        <v>111</v>
      </c>
      <c r="D197" s="646"/>
      <c r="E197" s="646"/>
      <c r="F197" s="646"/>
      <c r="G197" s="250"/>
      <c r="H197" s="250">
        <v>1.355</v>
      </c>
      <c r="I197" s="59"/>
    </row>
    <row r="198" spans="2:15" ht="18" customHeight="1">
      <c r="B198" s="644"/>
      <c r="C198" s="640"/>
      <c r="D198" s="646"/>
      <c r="E198" s="646"/>
      <c r="F198" s="646"/>
      <c r="G198" s="250"/>
      <c r="H198" s="250">
        <f>H197</f>
        <v>1.355</v>
      </c>
      <c r="I198" s="59"/>
    </row>
    <row r="199" spans="2:15" ht="18" customHeight="1">
      <c r="B199" s="48" t="s">
        <v>42</v>
      </c>
      <c r="C199" s="49">
        <f>SUMPRODUCT(D195:F198*G195:G198)/1000</f>
        <v>0</v>
      </c>
      <c r="D199" s="50" t="s">
        <v>43</v>
      </c>
      <c r="E199" s="49">
        <f>SUM(I195:I198)*1.1</f>
        <v>0</v>
      </c>
      <c r="F199" s="50" t="s">
        <v>44</v>
      </c>
      <c r="G199" s="51">
        <f>(C$218+C$219)/1000</f>
        <v>46.081499999999998</v>
      </c>
      <c r="H199" s="52" t="s">
        <v>45</v>
      </c>
      <c r="I199" s="53">
        <f>ROUND(E199*G199,2)</f>
        <v>0</v>
      </c>
    </row>
    <row r="200" spans="2:15" ht="18" customHeight="1">
      <c r="B200" s="48" t="s">
        <v>46</v>
      </c>
      <c r="C200" s="50">
        <v>267.77999999999997</v>
      </c>
      <c r="D200" s="50" t="s">
        <v>47</v>
      </c>
      <c r="E200" s="49">
        <f>ROUND(C199*(C200/1000),2)</f>
        <v>0</v>
      </c>
      <c r="F200" s="50" t="s">
        <v>48</v>
      </c>
      <c r="G200" s="50">
        <f>G$23</f>
        <v>10</v>
      </c>
      <c r="H200" s="52" t="s">
        <v>49</v>
      </c>
      <c r="I200" s="53">
        <f>E200*G200</f>
        <v>0</v>
      </c>
    </row>
    <row r="201" spans="2:15" ht="18" customHeight="1">
      <c r="B201" s="48" t="s">
        <v>50</v>
      </c>
      <c r="C201" s="50">
        <v>104.29</v>
      </c>
      <c r="D201" s="50" t="s">
        <v>51</v>
      </c>
      <c r="E201" s="49">
        <f>ROUND(C199*(C201/1000),2)</f>
        <v>0</v>
      </c>
      <c r="F201" s="50" t="s">
        <v>48</v>
      </c>
      <c r="G201" s="50">
        <f>G$24</f>
        <v>10</v>
      </c>
      <c r="H201" s="52" t="s">
        <v>49</v>
      </c>
      <c r="I201" s="53">
        <f>E201*G201</f>
        <v>0</v>
      </c>
    </row>
    <row r="202" spans="2:15" ht="18" customHeight="1">
      <c r="B202" s="103" t="s">
        <v>112</v>
      </c>
      <c r="C202" s="104" t="s">
        <v>113</v>
      </c>
      <c r="D202" s="104" t="s">
        <v>28</v>
      </c>
      <c r="E202" s="104" t="s">
        <v>8</v>
      </c>
      <c r="F202" s="104" t="s">
        <v>112</v>
      </c>
      <c r="G202" s="104" t="s">
        <v>113</v>
      </c>
      <c r="H202" s="104" t="s">
        <v>28</v>
      </c>
      <c r="I202" s="105" t="s">
        <v>8</v>
      </c>
      <c r="N202" s="106"/>
      <c r="O202" s="102"/>
    </row>
    <row r="203" spans="2:15" ht="18" customHeight="1">
      <c r="B203" s="251" t="s">
        <v>327</v>
      </c>
      <c r="C203" s="107" t="s">
        <v>114</v>
      </c>
      <c r="D203" s="108">
        <v>2.15</v>
      </c>
      <c r="E203" s="253">
        <f>SUM(G14:G21)*4</f>
        <v>4</v>
      </c>
      <c r="F203" s="647" t="s">
        <v>115</v>
      </c>
      <c r="G203" s="107" t="s">
        <v>116</v>
      </c>
      <c r="H203" s="108">
        <v>2.46</v>
      </c>
      <c r="I203" s="247">
        <f>SUM(G108:G111)*4</f>
        <v>4</v>
      </c>
      <c r="J203" s="42"/>
      <c r="N203" s="106"/>
      <c r="O203" s="102"/>
    </row>
    <row r="204" spans="2:15" ht="18" customHeight="1">
      <c r="B204" s="251" t="s">
        <v>328</v>
      </c>
      <c r="C204" s="107" t="s">
        <v>117</v>
      </c>
      <c r="D204" s="108">
        <v>1.72</v>
      </c>
      <c r="E204" s="253">
        <f>E203</f>
        <v>4</v>
      </c>
      <c r="F204" s="646"/>
      <c r="G204" s="107" t="s">
        <v>118</v>
      </c>
      <c r="H204" s="108">
        <v>3.11</v>
      </c>
      <c r="I204" s="247">
        <f>I203</f>
        <v>4</v>
      </c>
      <c r="J204" s="42"/>
      <c r="N204" s="106"/>
      <c r="O204" s="102"/>
    </row>
    <row r="205" spans="2:15" ht="18" customHeight="1">
      <c r="B205" s="109" t="s">
        <v>330</v>
      </c>
      <c r="C205" s="107" t="s">
        <v>119</v>
      </c>
      <c r="D205" s="108">
        <v>2.68</v>
      </c>
      <c r="E205" s="253">
        <f>SUM(G26:G30)*4</f>
        <v>0</v>
      </c>
      <c r="F205" s="110" t="s">
        <v>120</v>
      </c>
      <c r="G205" s="107" t="s">
        <v>121</v>
      </c>
      <c r="H205" s="111">
        <v>4.76</v>
      </c>
      <c r="I205" s="247">
        <f>SUM(G123:G125)*4</f>
        <v>0</v>
      </c>
      <c r="J205" s="42"/>
      <c r="N205" s="106"/>
      <c r="O205" s="102"/>
    </row>
    <row r="206" spans="2:15" ht="18" customHeight="1">
      <c r="B206" s="109" t="s">
        <v>329</v>
      </c>
      <c r="C206" s="107" t="s">
        <v>122</v>
      </c>
      <c r="D206" s="108">
        <v>1.27</v>
      </c>
      <c r="E206" s="253">
        <f>E205</f>
        <v>0</v>
      </c>
      <c r="F206" s="110" t="s">
        <v>123</v>
      </c>
      <c r="G206" s="107" t="s">
        <v>124</v>
      </c>
      <c r="H206" s="111">
        <v>3.85</v>
      </c>
      <c r="I206" s="247">
        <f>I205</f>
        <v>0</v>
      </c>
      <c r="J206" s="42"/>
      <c r="N206" s="106"/>
      <c r="O206" s="102"/>
    </row>
    <row r="207" spans="2:15" ht="18" customHeight="1">
      <c r="B207" s="109" t="s">
        <v>331</v>
      </c>
      <c r="C207" s="107" t="s">
        <v>125</v>
      </c>
      <c r="D207" s="111" t="s">
        <v>126</v>
      </c>
      <c r="E207" s="253">
        <f>SUM(G35:G37)*4</f>
        <v>8</v>
      </c>
      <c r="F207" s="110" t="s">
        <v>127</v>
      </c>
      <c r="G207" s="107" t="s">
        <v>128</v>
      </c>
      <c r="H207" s="111">
        <v>4.29</v>
      </c>
      <c r="I207" s="247">
        <f>SUM(G116:G118)*4</f>
        <v>8</v>
      </c>
      <c r="J207" s="42"/>
      <c r="N207" s="106"/>
      <c r="O207" s="102"/>
    </row>
    <row r="208" spans="2:15" ht="18" customHeight="1">
      <c r="B208" s="109" t="s">
        <v>332</v>
      </c>
      <c r="C208" s="107" t="s">
        <v>129</v>
      </c>
      <c r="D208" s="111" t="s">
        <v>130</v>
      </c>
      <c r="E208" s="253">
        <f>E207</f>
        <v>8</v>
      </c>
      <c r="F208" s="110" t="s">
        <v>131</v>
      </c>
      <c r="G208" s="107" t="s">
        <v>132</v>
      </c>
      <c r="H208" s="111">
        <v>4.5</v>
      </c>
      <c r="I208" s="247">
        <f>I207</f>
        <v>8</v>
      </c>
      <c r="J208" s="42"/>
      <c r="N208" s="106"/>
      <c r="O208" s="102"/>
    </row>
    <row r="209" spans="2:15" ht="18" customHeight="1">
      <c r="B209" s="249" t="s">
        <v>333</v>
      </c>
      <c r="C209" s="250">
        <v>12.6</v>
      </c>
      <c r="D209" s="111">
        <v>1.32</v>
      </c>
      <c r="E209" s="253">
        <f>SUM(G42:G47)*4</f>
        <v>0</v>
      </c>
      <c r="F209" s="639"/>
      <c r="G209" s="107"/>
      <c r="H209" s="28"/>
      <c r="I209" s="247"/>
      <c r="N209" s="106"/>
      <c r="O209" s="102"/>
    </row>
    <row r="210" spans="2:15" ht="18" customHeight="1">
      <c r="B210" s="249" t="s">
        <v>334</v>
      </c>
      <c r="C210" s="250">
        <v>15.8</v>
      </c>
      <c r="D210" s="111">
        <v>1.18</v>
      </c>
      <c r="E210" s="253">
        <f>E209</f>
        <v>0</v>
      </c>
      <c r="F210" s="640"/>
      <c r="G210" s="107"/>
      <c r="H210" s="28"/>
      <c r="I210" s="231"/>
      <c r="N210" s="106"/>
      <c r="O210" s="102"/>
    </row>
    <row r="211" spans="2:15" ht="18" customHeight="1">
      <c r="B211" s="251" t="s">
        <v>335</v>
      </c>
      <c r="C211" s="107" t="s">
        <v>337</v>
      </c>
      <c r="D211" s="111">
        <v>2.81</v>
      </c>
      <c r="E211" s="250">
        <f>SUM(E52+E53+E54+E55+G52+G53+G54+G55+G60+G61+G62+G63)*2</f>
        <v>0</v>
      </c>
      <c r="F211" s="641" t="s">
        <v>133</v>
      </c>
      <c r="G211" s="111">
        <f>SUMPRODUCT(D35:D37,G35:G37)/1000</f>
        <v>0.94</v>
      </c>
      <c r="H211" s="28">
        <v>0.16</v>
      </c>
      <c r="I211" s="232">
        <f>G211*H211</f>
        <v>0.15040000000000001</v>
      </c>
      <c r="N211" s="106"/>
      <c r="O211" s="102"/>
    </row>
    <row r="212" spans="2:15" ht="18" customHeight="1">
      <c r="B212" s="251" t="s">
        <v>336</v>
      </c>
      <c r="C212" s="107" t="s">
        <v>338</v>
      </c>
      <c r="D212" s="111">
        <v>3.51</v>
      </c>
      <c r="E212" s="250">
        <f>E211</f>
        <v>0</v>
      </c>
      <c r="F212" s="641"/>
      <c r="G212" s="111">
        <f>SUMPRODUCT(D26:D30,G26:G30)/1000</f>
        <v>0</v>
      </c>
      <c r="H212" s="28">
        <v>0.16</v>
      </c>
      <c r="I212" s="232">
        <f>G212*H212</f>
        <v>0</v>
      </c>
      <c r="N212" s="106"/>
      <c r="O212" s="102"/>
    </row>
    <row r="213" spans="2:15" ht="18" customHeight="1">
      <c r="B213" s="251" t="s">
        <v>134</v>
      </c>
      <c r="C213" s="250">
        <v>30.6</v>
      </c>
      <c r="D213" s="111">
        <v>2.81</v>
      </c>
      <c r="E213" s="253">
        <f>SUM(+E130+E131+E132+G130+G131+G132)*2</f>
        <v>0</v>
      </c>
      <c r="F213" s="641" t="s">
        <v>135</v>
      </c>
      <c r="G213" s="111">
        <f>SUMPRODUCT(E26:E30,G26:G30)/1000</f>
        <v>0</v>
      </c>
      <c r="H213" s="28">
        <v>0.16</v>
      </c>
      <c r="I213" s="232">
        <f>G213*H213</f>
        <v>0</v>
      </c>
      <c r="N213" s="106"/>
      <c r="O213" s="102"/>
    </row>
    <row r="214" spans="2:15" ht="18" customHeight="1">
      <c r="B214" s="251" t="s">
        <v>136</v>
      </c>
      <c r="C214" s="250">
        <v>30.6</v>
      </c>
      <c r="D214" s="111">
        <v>3.51</v>
      </c>
      <c r="E214" s="253">
        <f>E213</f>
        <v>0</v>
      </c>
      <c r="F214" s="641"/>
      <c r="G214" s="111">
        <f>SUMPRODUCT(E35:E37,G35:G37)/1000</f>
        <v>2.512</v>
      </c>
      <c r="H214" s="28">
        <v>0.16</v>
      </c>
      <c r="I214" s="232">
        <f>G214*H214</f>
        <v>0.40192</v>
      </c>
      <c r="N214" s="106"/>
      <c r="O214" s="102"/>
    </row>
    <row r="215" spans="2:15" ht="18" customHeight="1">
      <c r="B215" s="52" t="s">
        <v>137</v>
      </c>
      <c r="C215" s="112" cm="1">
        <f t="array" ref="C215">SUMPRODUCT(D203:D214*E203:E214)+SUMPRODUCT(H203:H210*I203:I210)</f>
        <v>148.39999999999998</v>
      </c>
      <c r="D215" s="52"/>
      <c r="E215" s="52"/>
      <c r="F215" s="52"/>
      <c r="G215" s="52" t="s">
        <v>138</v>
      </c>
      <c r="H215" s="52" cm="1">
        <f t="array" ref="H215">SUMPRODUCT(G211:G214*H211:H214)</f>
        <v>0.55232000000000003</v>
      </c>
      <c r="I215" s="233">
        <f>H215*1.08</f>
        <v>0.59650560000000008</v>
      </c>
      <c r="N215" s="106"/>
      <c r="O215" s="102"/>
    </row>
    <row r="216" spans="2:15" ht="18" customHeight="1">
      <c r="B216" s="23" t="s">
        <v>139</v>
      </c>
      <c r="C216" s="252" t="s">
        <v>14</v>
      </c>
      <c r="D216" s="252" t="s">
        <v>22</v>
      </c>
      <c r="E216" s="252" t="s">
        <v>8</v>
      </c>
      <c r="F216" s="252" t="s">
        <v>113</v>
      </c>
      <c r="G216" s="252" t="s">
        <v>40</v>
      </c>
      <c r="H216" s="252" t="s">
        <v>28</v>
      </c>
      <c r="I216" s="25" t="s">
        <v>29</v>
      </c>
      <c r="N216" s="106"/>
      <c r="O216" s="102"/>
    </row>
    <row r="217" spans="2:15" ht="18" customHeight="1">
      <c r="B217" s="48" t="s">
        <v>140</v>
      </c>
      <c r="C217" s="52" t="s">
        <v>141</v>
      </c>
      <c r="D217" s="50">
        <v>0.14199999999999999</v>
      </c>
      <c r="E217" s="50">
        <v>1</v>
      </c>
      <c r="F217" s="50">
        <f>D6</f>
        <v>2420</v>
      </c>
      <c r="G217" s="128">
        <f>D217*F217*E217/1000*1.1</f>
        <v>0.37800400000000001</v>
      </c>
      <c r="H217" s="52">
        <f>(C218+C222)/1000</f>
        <v>39.781500000000001</v>
      </c>
      <c r="I217" s="193">
        <f>G217*H217</f>
        <v>15.037566126000002</v>
      </c>
      <c r="N217" s="106"/>
      <c r="O217" s="102"/>
    </row>
    <row r="218" spans="2:15" ht="18" customHeight="1">
      <c r="B218" s="37" t="s">
        <v>142</v>
      </c>
      <c r="C218" s="113">
        <f>材料价格!B4</f>
        <v>22081.5</v>
      </c>
      <c r="D218" s="39" t="s">
        <v>143</v>
      </c>
      <c r="E218" s="114">
        <f>E139+E133+E126+E119+E112+E199+E177+E64+E56+E48+E38+E31+E22+E184+E191</f>
        <v>75.996800000000007</v>
      </c>
      <c r="F218" s="39" t="s">
        <v>144</v>
      </c>
      <c r="G218" s="115">
        <f>I218/E218-C218/1000</f>
        <v>24.000177123247298</v>
      </c>
      <c r="H218" s="39" t="s">
        <v>145</v>
      </c>
      <c r="I218" s="116">
        <f>I22+I31+I38+I48+I56+I64+I199+I112+I119+I126+I133+I139+I177+I184+I191</f>
        <v>3502.0600000000004</v>
      </c>
      <c r="N218" s="106"/>
      <c r="O218" s="102"/>
    </row>
    <row r="219" spans="2:15" ht="18" customHeight="1">
      <c r="B219" s="117" t="s">
        <v>146</v>
      </c>
      <c r="C219" s="118">
        <f>材料价格!B5</f>
        <v>24000</v>
      </c>
      <c r="D219" s="39" t="s">
        <v>147</v>
      </c>
      <c r="E219" s="114">
        <f>E163+E153+E146+E104+E97+E88+G217+E170</f>
        <v>5.1531039999999999</v>
      </c>
      <c r="F219" s="39" t="s">
        <v>148</v>
      </c>
      <c r="G219" s="119">
        <f>I219/E219-C218/1000</f>
        <v>17.699875676873596</v>
      </c>
      <c r="H219" s="39" t="s">
        <v>149</v>
      </c>
      <c r="I219" s="116">
        <f>I88+I97+I104+I146+I153+I163+I217+I170</f>
        <v>204.99756612600001</v>
      </c>
      <c r="N219" s="106"/>
      <c r="O219" s="102"/>
    </row>
    <row r="220" spans="2:15" ht="18" customHeight="1">
      <c r="B220" s="117" t="s">
        <v>150</v>
      </c>
      <c r="C220" s="118">
        <f>C219</f>
        <v>24000</v>
      </c>
      <c r="D220" s="39" t="s">
        <v>151</v>
      </c>
      <c r="E220" s="120">
        <f>I215</f>
        <v>0.59650560000000008</v>
      </c>
      <c r="F220" s="39" t="s">
        <v>152</v>
      </c>
      <c r="G220" s="119">
        <f>I220/E220-C218/1000</f>
        <v>2.8973099223209289</v>
      </c>
      <c r="H220" s="39" t="s">
        <v>153</v>
      </c>
      <c r="I220" s="116">
        <f>ROUND(E220*(C218+C223)/1000,2)</f>
        <v>14.9</v>
      </c>
      <c r="N220" s="106"/>
      <c r="O220" s="102"/>
    </row>
    <row r="221" spans="2:15" ht="18" customHeight="1">
      <c r="B221" s="117" t="s">
        <v>154</v>
      </c>
      <c r="C221" s="121">
        <f>C220</f>
        <v>24000</v>
      </c>
      <c r="D221" s="39" t="s">
        <v>155</v>
      </c>
      <c r="E221" s="39"/>
      <c r="F221" s="39" t="s">
        <v>156</v>
      </c>
      <c r="G221" s="39"/>
      <c r="H221" s="39" t="s">
        <v>49</v>
      </c>
      <c r="I221" s="116">
        <f>E221*G221</f>
        <v>0</v>
      </c>
      <c r="J221" s="42"/>
      <c r="K221" s="255"/>
    </row>
    <row r="222" spans="2:15" ht="18" customHeight="1">
      <c r="B222" s="117" t="s">
        <v>148</v>
      </c>
      <c r="C222" s="122">
        <f>材料价格!B6</f>
        <v>17700</v>
      </c>
      <c r="D222" s="39" t="s">
        <v>157</v>
      </c>
      <c r="E222" s="39"/>
      <c r="F222" s="39" t="s">
        <v>156</v>
      </c>
      <c r="G222" s="39"/>
      <c r="H222" s="39" t="s">
        <v>49</v>
      </c>
      <c r="I222" s="116">
        <f>E222*G222</f>
        <v>0</v>
      </c>
      <c r="J222" s="123"/>
      <c r="K222" s="123"/>
      <c r="L222" s="123"/>
    </row>
    <row r="223" spans="2:15" ht="18" customHeight="1">
      <c r="B223" s="117" t="s">
        <v>152</v>
      </c>
      <c r="C223" s="122">
        <f>材料价格!B9</f>
        <v>2900</v>
      </c>
      <c r="D223" s="39" t="s">
        <v>158</v>
      </c>
      <c r="E223" s="114">
        <f>SUM(E218:E220)</f>
        <v>81.746409600000007</v>
      </c>
      <c r="F223" s="39"/>
      <c r="G223" s="39" t="s">
        <v>339</v>
      </c>
      <c r="H223" s="39"/>
      <c r="I223" s="234">
        <f>SUM(I218:I222)+C215</f>
        <v>3870.3575661260006</v>
      </c>
      <c r="J223" s="123"/>
      <c r="K223" s="123"/>
      <c r="L223" s="123"/>
    </row>
    <row r="224" spans="2:15" ht="18" customHeight="1">
      <c r="B224" s="23" t="s">
        <v>159</v>
      </c>
      <c r="C224" s="252" t="s">
        <v>113</v>
      </c>
      <c r="D224" s="252" t="s">
        <v>16</v>
      </c>
      <c r="E224" s="252" t="s">
        <v>7</v>
      </c>
      <c r="F224" s="252" t="s">
        <v>8</v>
      </c>
      <c r="G224" s="252" t="s">
        <v>28</v>
      </c>
      <c r="H224" s="252" t="s">
        <v>160</v>
      </c>
      <c r="I224" s="25" t="s">
        <v>1</v>
      </c>
      <c r="J224" s="255"/>
      <c r="K224" s="255"/>
      <c r="L224" s="255"/>
      <c r="M224" s="255"/>
    </row>
    <row r="225" spans="2:13" ht="18" customHeight="1">
      <c r="B225" s="124" t="str">
        <f>材料价格!A10</f>
        <v>6单银Low-E+12A+6</v>
      </c>
      <c r="C225" s="253">
        <f t="shared" ref="C225:D229" si="25">D92</f>
        <v>-90</v>
      </c>
      <c r="D225" s="253">
        <f t="shared" si="25"/>
        <v>-90</v>
      </c>
      <c r="E225" s="32">
        <f>C225*D225/10^6</f>
        <v>8.0999999999999996E-3</v>
      </c>
      <c r="F225" s="250">
        <f>G26</f>
        <v>0</v>
      </c>
      <c r="G225" s="125">
        <f>材料价格!B10</f>
        <v>148</v>
      </c>
      <c r="H225" s="250">
        <f>ROUND(E225*G225*F225,2)</f>
        <v>0</v>
      </c>
      <c r="I225" s="247" t="s">
        <v>161</v>
      </c>
      <c r="J225" s="255"/>
      <c r="K225" s="255"/>
      <c r="L225" s="255"/>
      <c r="M225" s="255"/>
    </row>
    <row r="226" spans="2:13" ht="18" customHeight="1">
      <c r="B226" s="124" t="str">
        <f t="shared" ref="B226:B232" si="26">B225</f>
        <v>6单银Low-E+12A+6</v>
      </c>
      <c r="C226" s="253">
        <f t="shared" si="25"/>
        <v>-90</v>
      </c>
      <c r="D226" s="253">
        <f t="shared" si="25"/>
        <v>-90</v>
      </c>
      <c r="E226" s="32">
        <f t="shared" ref="E226:E284" si="27">C226*D226/10^6</f>
        <v>8.0999999999999996E-3</v>
      </c>
      <c r="F226" s="250">
        <f>G27</f>
        <v>0</v>
      </c>
      <c r="G226" s="126">
        <f t="shared" ref="G226:G232" si="28">G225</f>
        <v>148</v>
      </c>
      <c r="H226" s="250">
        <f t="shared" ref="H226:H241" si="29">ROUND(E226*G226*F226,2)</f>
        <v>0</v>
      </c>
      <c r="I226" s="247" t="s">
        <v>162</v>
      </c>
      <c r="J226" s="255"/>
      <c r="K226" s="255"/>
      <c r="L226" s="255"/>
      <c r="M226" s="255"/>
    </row>
    <row r="227" spans="2:13" ht="18" customHeight="1">
      <c r="B227" s="124" t="str">
        <f t="shared" si="26"/>
        <v>6单银Low-E+12A+6</v>
      </c>
      <c r="C227" s="253">
        <f t="shared" si="25"/>
        <v>-90</v>
      </c>
      <c r="D227" s="253">
        <f t="shared" si="25"/>
        <v>-90</v>
      </c>
      <c r="E227" s="32">
        <f t="shared" si="27"/>
        <v>8.0999999999999996E-3</v>
      </c>
      <c r="F227" s="250">
        <f>G28</f>
        <v>0</v>
      </c>
      <c r="G227" s="126">
        <f t="shared" si="28"/>
        <v>148</v>
      </c>
      <c r="H227" s="250">
        <f t="shared" si="29"/>
        <v>0</v>
      </c>
      <c r="I227" s="247" t="s">
        <v>162</v>
      </c>
      <c r="J227" s="255"/>
      <c r="K227" s="255"/>
      <c r="L227" s="255"/>
      <c r="M227" s="255"/>
    </row>
    <row r="228" spans="2:13" ht="18" customHeight="1">
      <c r="B228" s="124" t="str">
        <f t="shared" si="26"/>
        <v>6单银Low-E+12A+6</v>
      </c>
      <c r="C228" s="253">
        <f t="shared" si="25"/>
        <v>-90</v>
      </c>
      <c r="D228" s="253">
        <f t="shared" si="25"/>
        <v>-90</v>
      </c>
      <c r="E228" s="32">
        <f t="shared" si="27"/>
        <v>8.0999999999999996E-3</v>
      </c>
      <c r="F228" s="250">
        <f>G29</f>
        <v>0</v>
      </c>
      <c r="G228" s="126">
        <f t="shared" si="28"/>
        <v>148</v>
      </c>
      <c r="H228" s="250">
        <f t="shared" si="29"/>
        <v>0</v>
      </c>
      <c r="I228" s="247" t="s">
        <v>162</v>
      </c>
      <c r="J228" s="255"/>
      <c r="K228" s="255"/>
      <c r="L228" s="255"/>
      <c r="M228" s="255"/>
    </row>
    <row r="229" spans="2:13" ht="18" customHeight="1">
      <c r="B229" s="124" t="str">
        <f t="shared" si="26"/>
        <v>6单银Low-E+12A+6</v>
      </c>
      <c r="C229" s="253">
        <f t="shared" si="25"/>
        <v>-90</v>
      </c>
      <c r="D229" s="253">
        <f t="shared" si="25"/>
        <v>-90</v>
      </c>
      <c r="E229" s="32">
        <f t="shared" si="27"/>
        <v>8.0999999999999996E-3</v>
      </c>
      <c r="F229" s="250">
        <f>G30</f>
        <v>0</v>
      </c>
      <c r="G229" s="126">
        <f t="shared" si="28"/>
        <v>148</v>
      </c>
      <c r="H229" s="250">
        <f t="shared" si="29"/>
        <v>0</v>
      </c>
      <c r="I229" s="247" t="s">
        <v>162</v>
      </c>
      <c r="J229" s="123"/>
      <c r="K229" s="123"/>
      <c r="L229" s="123"/>
    </row>
    <row r="230" spans="2:13" ht="18" customHeight="1">
      <c r="B230" s="124" t="str">
        <f t="shared" si="26"/>
        <v>6单银Low-E+12A+6</v>
      </c>
      <c r="C230" s="253">
        <f t="shared" ref="C230:D232" si="30">D101</f>
        <v>348</v>
      </c>
      <c r="D230" s="253">
        <f t="shared" si="30"/>
        <v>1134</v>
      </c>
      <c r="E230" s="32">
        <f t="shared" si="27"/>
        <v>0.39463199999999998</v>
      </c>
      <c r="F230" s="250">
        <f>G101</f>
        <v>2</v>
      </c>
      <c r="G230" s="126">
        <f t="shared" si="28"/>
        <v>148</v>
      </c>
      <c r="H230" s="250">
        <f t="shared" si="29"/>
        <v>116.81</v>
      </c>
      <c r="I230" s="127" t="s">
        <v>163</v>
      </c>
      <c r="J230" s="123"/>
      <c r="K230" s="123"/>
      <c r="L230" s="123"/>
    </row>
    <row r="231" spans="2:13" ht="18" customHeight="1">
      <c r="B231" s="124" t="str">
        <f t="shared" si="26"/>
        <v>6单银Low-E+12A+6</v>
      </c>
      <c r="C231" s="253">
        <f t="shared" si="30"/>
        <v>-122</v>
      </c>
      <c r="D231" s="253">
        <f t="shared" si="30"/>
        <v>-122</v>
      </c>
      <c r="E231" s="32">
        <f t="shared" si="27"/>
        <v>1.4884E-2</v>
      </c>
      <c r="F231" s="250">
        <f>G102</f>
        <v>0</v>
      </c>
      <c r="G231" s="126">
        <f t="shared" si="28"/>
        <v>148</v>
      </c>
      <c r="H231" s="250">
        <f t="shared" si="29"/>
        <v>0</v>
      </c>
      <c r="I231" s="127" t="s">
        <v>163</v>
      </c>
    </row>
    <row r="232" spans="2:13" ht="18" customHeight="1">
      <c r="B232" s="124" t="str">
        <f t="shared" si="26"/>
        <v>6单银Low-E+12A+6</v>
      </c>
      <c r="C232" s="253">
        <f t="shared" si="30"/>
        <v>-122</v>
      </c>
      <c r="D232" s="253">
        <f t="shared" si="30"/>
        <v>-122</v>
      </c>
      <c r="E232" s="32">
        <f t="shared" si="27"/>
        <v>1.4884E-2</v>
      </c>
      <c r="F232" s="250">
        <f>G103</f>
        <v>0</v>
      </c>
      <c r="G232" s="126">
        <f t="shared" si="28"/>
        <v>148</v>
      </c>
      <c r="H232" s="250">
        <f t="shared" si="29"/>
        <v>0</v>
      </c>
      <c r="I232" s="127" t="s">
        <v>163</v>
      </c>
    </row>
    <row r="233" spans="2:13" ht="18" customHeight="1">
      <c r="B233" s="48" t="s">
        <v>164</v>
      </c>
      <c r="C233" s="52"/>
      <c r="D233" s="50"/>
      <c r="E233" s="128"/>
      <c r="F233" s="50">
        <f>SUM(F225:F232)</f>
        <v>2</v>
      </c>
      <c r="G233" s="50"/>
      <c r="H233" s="52">
        <f>SUM(H225:H232)</f>
        <v>116.81</v>
      </c>
      <c r="I233" s="53">
        <f>ROUND((E225*F225+E226*F226+E227*F227+E228*F228+E229*F229+E230*F230+E231*F231+E232*F232),2)</f>
        <v>0.79</v>
      </c>
    </row>
    <row r="234" spans="2:13" ht="18" customHeight="1">
      <c r="B234" s="124" t="str">
        <f>B232</f>
        <v>6单银Low-E+12A+6</v>
      </c>
      <c r="C234" s="253">
        <f>C225</f>
        <v>-90</v>
      </c>
      <c r="D234" s="253">
        <f>D225</f>
        <v>-90</v>
      </c>
      <c r="E234" s="32">
        <f t="shared" si="27"/>
        <v>8.0999999999999996E-3</v>
      </c>
      <c r="F234" s="250">
        <f>IF(F225=0,G26,0)</f>
        <v>0</v>
      </c>
      <c r="G234" s="126">
        <f>G232</f>
        <v>148</v>
      </c>
      <c r="H234" s="250">
        <f t="shared" si="29"/>
        <v>0</v>
      </c>
      <c r="I234" s="247" t="s">
        <v>165</v>
      </c>
      <c r="J234" s="129"/>
    </row>
    <row r="235" spans="2:13" ht="18" customHeight="1">
      <c r="B235" s="124" t="str">
        <f t="shared" ref="B235:B241" si="31">B234</f>
        <v>6单银Low-E+12A+6</v>
      </c>
      <c r="C235" s="253">
        <f t="shared" ref="C235:D241" si="32">C226</f>
        <v>-90</v>
      </c>
      <c r="D235" s="253">
        <f t="shared" si="32"/>
        <v>-90</v>
      </c>
      <c r="E235" s="32">
        <f t="shared" si="27"/>
        <v>8.0999999999999996E-3</v>
      </c>
      <c r="F235" s="250">
        <f>IF(F226=0,G27,0)</f>
        <v>0</v>
      </c>
      <c r="G235" s="126">
        <f>G234</f>
        <v>148</v>
      </c>
      <c r="H235" s="250">
        <f t="shared" si="29"/>
        <v>0</v>
      </c>
      <c r="I235" s="247" t="s">
        <v>165</v>
      </c>
      <c r="J235" s="129"/>
    </row>
    <row r="236" spans="2:13" ht="18" customHeight="1">
      <c r="B236" s="124" t="str">
        <f t="shared" si="31"/>
        <v>6单银Low-E+12A+6</v>
      </c>
      <c r="C236" s="253">
        <f t="shared" si="32"/>
        <v>-90</v>
      </c>
      <c r="D236" s="253">
        <f t="shared" si="32"/>
        <v>-90</v>
      </c>
      <c r="E236" s="32">
        <f t="shared" si="27"/>
        <v>8.0999999999999996E-3</v>
      </c>
      <c r="F236" s="250">
        <f>IF(F227=0,G28,0)</f>
        <v>0</v>
      </c>
      <c r="G236" s="126">
        <f t="shared" ref="G236:G241" si="33">G234</f>
        <v>148</v>
      </c>
      <c r="H236" s="250">
        <f t="shared" si="29"/>
        <v>0</v>
      </c>
      <c r="I236" s="247" t="s">
        <v>165</v>
      </c>
      <c r="J236" s="129"/>
    </row>
    <row r="237" spans="2:13" ht="18" customHeight="1">
      <c r="B237" s="124" t="str">
        <f t="shared" si="31"/>
        <v>6单银Low-E+12A+6</v>
      </c>
      <c r="C237" s="253">
        <f t="shared" si="32"/>
        <v>-90</v>
      </c>
      <c r="D237" s="253">
        <f t="shared" si="32"/>
        <v>-90</v>
      </c>
      <c r="E237" s="32">
        <f t="shared" si="27"/>
        <v>8.0999999999999996E-3</v>
      </c>
      <c r="F237" s="250">
        <f>IF(F228=0,G29,0)</f>
        <v>0</v>
      </c>
      <c r="G237" s="126">
        <f t="shared" si="33"/>
        <v>148</v>
      </c>
      <c r="H237" s="250">
        <f t="shared" si="29"/>
        <v>0</v>
      </c>
      <c r="I237" s="247" t="s">
        <v>165</v>
      </c>
      <c r="J237" s="129"/>
    </row>
    <row r="238" spans="2:13" ht="18" customHeight="1">
      <c r="B238" s="124" t="str">
        <f t="shared" si="31"/>
        <v>6单银Low-E+12A+6</v>
      </c>
      <c r="C238" s="253">
        <f t="shared" si="32"/>
        <v>-90</v>
      </c>
      <c r="D238" s="253">
        <f t="shared" si="32"/>
        <v>-90</v>
      </c>
      <c r="E238" s="32">
        <f t="shared" si="27"/>
        <v>8.0999999999999996E-3</v>
      </c>
      <c r="F238" s="250">
        <f>IF(F229=0,G30,0)</f>
        <v>0</v>
      </c>
      <c r="G238" s="126">
        <f t="shared" si="33"/>
        <v>148</v>
      </c>
      <c r="H238" s="250">
        <f t="shared" si="29"/>
        <v>0</v>
      </c>
      <c r="I238" s="247" t="s">
        <v>165</v>
      </c>
      <c r="J238" s="129"/>
    </row>
    <row r="239" spans="2:13" ht="18" customHeight="1">
      <c r="B239" s="124" t="str">
        <f t="shared" si="31"/>
        <v>6单银Low-E+12A+6</v>
      </c>
      <c r="C239" s="253">
        <f t="shared" si="32"/>
        <v>348</v>
      </c>
      <c r="D239" s="253">
        <f t="shared" si="32"/>
        <v>1134</v>
      </c>
      <c r="E239" s="32">
        <f t="shared" si="27"/>
        <v>0.39463199999999998</v>
      </c>
      <c r="F239" s="250">
        <f>IF(F230=0,G35,0)</f>
        <v>0</v>
      </c>
      <c r="G239" s="126">
        <f t="shared" si="33"/>
        <v>148</v>
      </c>
      <c r="H239" s="250">
        <f t="shared" si="29"/>
        <v>0</v>
      </c>
      <c r="I239" s="127" t="s">
        <v>166</v>
      </c>
      <c r="J239" s="129"/>
    </row>
    <row r="240" spans="2:13" ht="18" customHeight="1">
      <c r="B240" s="124" t="str">
        <f t="shared" si="31"/>
        <v>6单银Low-E+12A+6</v>
      </c>
      <c r="C240" s="253">
        <f t="shared" si="32"/>
        <v>-122</v>
      </c>
      <c r="D240" s="253">
        <f t="shared" si="32"/>
        <v>-122</v>
      </c>
      <c r="E240" s="32">
        <f t="shared" si="27"/>
        <v>1.4884E-2</v>
      </c>
      <c r="F240" s="250">
        <f>IF(F231=0,G36,0)</f>
        <v>0</v>
      </c>
      <c r="G240" s="126">
        <f t="shared" si="33"/>
        <v>148</v>
      </c>
      <c r="H240" s="250">
        <f t="shared" si="29"/>
        <v>0</v>
      </c>
      <c r="I240" s="127" t="s">
        <v>166</v>
      </c>
      <c r="J240" s="129"/>
    </row>
    <row r="241" spans="1:16" ht="18" customHeight="1">
      <c r="B241" s="124" t="str">
        <f t="shared" si="31"/>
        <v>6单银Low-E+12A+6</v>
      </c>
      <c r="C241" s="253">
        <f t="shared" si="32"/>
        <v>-122</v>
      </c>
      <c r="D241" s="253">
        <f t="shared" si="32"/>
        <v>-122</v>
      </c>
      <c r="E241" s="32">
        <f t="shared" si="27"/>
        <v>1.4884E-2</v>
      </c>
      <c r="F241" s="250">
        <f>IF(F232=0,G37,0)</f>
        <v>0</v>
      </c>
      <c r="G241" s="126">
        <f t="shared" si="33"/>
        <v>148</v>
      </c>
      <c r="H241" s="250">
        <f t="shared" si="29"/>
        <v>0</v>
      </c>
      <c r="I241" s="127" t="s">
        <v>166</v>
      </c>
      <c r="J241" s="129"/>
    </row>
    <row r="242" spans="1:16" s="43" customFormat="1" ht="18" customHeight="1">
      <c r="A242" s="1"/>
      <c r="B242" s="48" t="s">
        <v>167</v>
      </c>
      <c r="C242" s="52"/>
      <c r="D242" s="50"/>
      <c r="E242" s="128"/>
      <c r="F242" s="50">
        <f>SUM(F234:F241)</f>
        <v>0</v>
      </c>
      <c r="G242" s="50"/>
      <c r="H242" s="52">
        <f>SUM(H234:H241)</f>
        <v>0</v>
      </c>
      <c r="I242" s="53">
        <f>ROUND(SUMPRODUCT(E234:E241*F234:F241),2)</f>
        <v>0</v>
      </c>
      <c r="J242" s="129"/>
      <c r="N242" s="255"/>
      <c r="O242" s="255"/>
      <c r="P242" s="255"/>
    </row>
    <row r="243" spans="1:16" s="43" customFormat="1" ht="18" customHeight="1">
      <c r="A243" s="1"/>
      <c r="B243" s="124" t="str">
        <f>B240</f>
        <v>6单银Low-E+12A+6</v>
      </c>
      <c r="C243" s="253">
        <f t="shared" ref="C243:D249" si="34">D68-12</f>
        <v>-12</v>
      </c>
      <c r="D243" s="253">
        <f t="shared" si="34"/>
        <v>-12</v>
      </c>
      <c r="E243" s="32">
        <f t="shared" si="27"/>
        <v>1.44E-4</v>
      </c>
      <c r="F243" s="82">
        <f t="shared" ref="F243:F249" si="35">G68</f>
        <v>0</v>
      </c>
      <c r="G243" s="130">
        <f>G241</f>
        <v>148</v>
      </c>
      <c r="H243" s="250">
        <f t="shared" ref="H243:H249" si="36">ROUND(E243*G243*F243,2)</f>
        <v>0</v>
      </c>
      <c r="I243" s="247" t="s">
        <v>168</v>
      </c>
      <c r="J243" s="129"/>
      <c r="N243" s="255"/>
      <c r="O243" s="255"/>
      <c r="P243" s="255"/>
    </row>
    <row r="244" spans="1:16" s="43" customFormat="1" ht="18" customHeight="1">
      <c r="A244" s="1"/>
      <c r="B244" s="124" t="str">
        <f t="shared" ref="B244:B249" si="37">B243</f>
        <v>6单银Low-E+12A+6</v>
      </c>
      <c r="C244" s="253">
        <f t="shared" si="34"/>
        <v>-12</v>
      </c>
      <c r="D244" s="253">
        <f t="shared" si="34"/>
        <v>-12</v>
      </c>
      <c r="E244" s="32">
        <f t="shared" si="27"/>
        <v>1.44E-4</v>
      </c>
      <c r="F244" s="82">
        <f t="shared" si="35"/>
        <v>0</v>
      </c>
      <c r="G244" s="130">
        <f t="shared" ref="G244:G249" si="38">G243</f>
        <v>148</v>
      </c>
      <c r="H244" s="250">
        <f t="shared" si="36"/>
        <v>0</v>
      </c>
      <c r="I244" s="247" t="s">
        <v>168</v>
      </c>
      <c r="J244" s="129"/>
      <c r="N244" s="255"/>
      <c r="O244" s="255"/>
      <c r="P244" s="255"/>
    </row>
    <row r="245" spans="1:16" s="43" customFormat="1" ht="18" customHeight="1">
      <c r="A245" s="1"/>
      <c r="B245" s="124" t="str">
        <f t="shared" si="37"/>
        <v>6单银Low-E+12A+6</v>
      </c>
      <c r="C245" s="253">
        <f t="shared" si="34"/>
        <v>-12</v>
      </c>
      <c r="D245" s="253">
        <f t="shared" si="34"/>
        <v>-12</v>
      </c>
      <c r="E245" s="32">
        <f t="shared" si="27"/>
        <v>1.44E-4</v>
      </c>
      <c r="F245" s="82">
        <f t="shared" si="35"/>
        <v>0</v>
      </c>
      <c r="G245" s="130">
        <f t="shared" si="38"/>
        <v>148</v>
      </c>
      <c r="H245" s="250">
        <f t="shared" si="36"/>
        <v>0</v>
      </c>
      <c r="I245" s="247" t="s">
        <v>168</v>
      </c>
      <c r="J245" s="129"/>
      <c r="N245" s="255"/>
      <c r="O245" s="255"/>
      <c r="P245" s="255"/>
    </row>
    <row r="246" spans="1:16" s="43" customFormat="1" ht="18" customHeight="1">
      <c r="A246" s="1"/>
      <c r="B246" s="124" t="str">
        <f t="shared" si="37"/>
        <v>6单银Low-E+12A+6</v>
      </c>
      <c r="C246" s="253">
        <f t="shared" si="34"/>
        <v>-12</v>
      </c>
      <c r="D246" s="253">
        <f t="shared" si="34"/>
        <v>-12</v>
      </c>
      <c r="E246" s="32">
        <f t="shared" si="27"/>
        <v>1.44E-4</v>
      </c>
      <c r="F246" s="82">
        <f t="shared" si="35"/>
        <v>0</v>
      </c>
      <c r="G246" s="130">
        <f t="shared" si="38"/>
        <v>148</v>
      </c>
      <c r="H246" s="250">
        <f t="shared" si="36"/>
        <v>0</v>
      </c>
      <c r="I246" s="247" t="s">
        <v>168</v>
      </c>
      <c r="J246" s="129"/>
      <c r="N246" s="255"/>
      <c r="O246" s="255"/>
      <c r="P246" s="255"/>
    </row>
    <row r="247" spans="1:16" s="43" customFormat="1" ht="18" customHeight="1">
      <c r="A247" s="1"/>
      <c r="B247" s="124" t="str">
        <f t="shared" si="37"/>
        <v>6单银Low-E+12A+6</v>
      </c>
      <c r="C247" s="253">
        <f t="shared" si="34"/>
        <v>-12</v>
      </c>
      <c r="D247" s="253">
        <f t="shared" si="34"/>
        <v>-12</v>
      </c>
      <c r="E247" s="32">
        <f t="shared" si="27"/>
        <v>1.44E-4</v>
      </c>
      <c r="F247" s="82">
        <f t="shared" si="35"/>
        <v>0</v>
      </c>
      <c r="G247" s="130">
        <f t="shared" si="38"/>
        <v>148</v>
      </c>
      <c r="H247" s="250">
        <f t="shared" si="36"/>
        <v>0</v>
      </c>
      <c r="I247" s="247" t="s">
        <v>168</v>
      </c>
      <c r="J247" s="129"/>
      <c r="N247" s="255"/>
      <c r="O247" s="255"/>
      <c r="P247" s="255"/>
    </row>
    <row r="248" spans="1:16" s="43" customFormat="1" ht="18" customHeight="1">
      <c r="A248" s="1"/>
      <c r="B248" s="124" t="str">
        <f t="shared" si="37"/>
        <v>6单银Low-E+12A+6</v>
      </c>
      <c r="C248" s="253">
        <f t="shared" si="34"/>
        <v>-12</v>
      </c>
      <c r="D248" s="253">
        <f t="shared" si="34"/>
        <v>-12</v>
      </c>
      <c r="E248" s="32">
        <f t="shared" si="27"/>
        <v>1.44E-4</v>
      </c>
      <c r="F248" s="82">
        <f t="shared" si="35"/>
        <v>0</v>
      </c>
      <c r="G248" s="130">
        <f t="shared" si="38"/>
        <v>148</v>
      </c>
      <c r="H248" s="250">
        <f t="shared" si="36"/>
        <v>0</v>
      </c>
      <c r="I248" s="247" t="s">
        <v>168</v>
      </c>
      <c r="J248" s="129"/>
      <c r="N248" s="255"/>
      <c r="O248" s="255"/>
      <c r="P248" s="255"/>
    </row>
    <row r="249" spans="1:16" s="43" customFormat="1" ht="18" customHeight="1">
      <c r="A249" s="1"/>
      <c r="B249" s="124" t="str">
        <f t="shared" si="37"/>
        <v>6单银Low-E+12A+6</v>
      </c>
      <c r="C249" s="253">
        <f t="shared" si="34"/>
        <v>-12</v>
      </c>
      <c r="D249" s="253">
        <f t="shared" si="34"/>
        <v>-12</v>
      </c>
      <c r="E249" s="32">
        <f t="shared" si="27"/>
        <v>1.44E-4</v>
      </c>
      <c r="F249" s="82">
        <f t="shared" si="35"/>
        <v>0</v>
      </c>
      <c r="G249" s="130">
        <f t="shared" si="38"/>
        <v>148</v>
      </c>
      <c r="H249" s="250">
        <f t="shared" si="36"/>
        <v>0</v>
      </c>
      <c r="I249" s="247" t="s">
        <v>168</v>
      </c>
      <c r="J249" s="129"/>
      <c r="N249" s="255"/>
      <c r="O249" s="255"/>
      <c r="P249" s="255"/>
    </row>
    <row r="250" spans="1:16" s="43" customFormat="1" ht="18" customHeight="1">
      <c r="A250" s="1"/>
      <c r="B250" s="131" t="str">
        <f>B246</f>
        <v>6单银Low-E+12A+6</v>
      </c>
      <c r="C250" s="52"/>
      <c r="D250" s="50"/>
      <c r="E250" s="128"/>
      <c r="F250" s="50">
        <f>SUM(F243:F249)</f>
        <v>0</v>
      </c>
      <c r="G250" s="50"/>
      <c r="H250" s="52">
        <f>SUM(H243:H249)</f>
        <v>0</v>
      </c>
      <c r="I250" s="53">
        <f>ROUND((E243*F243+E244*F244+E245*F245+E246*F246+E247*F247+E248*F248+E249*F249),2)</f>
        <v>0</v>
      </c>
      <c r="J250" s="43">
        <f>(I242+I258+I273+I280)</f>
        <v>0</v>
      </c>
      <c r="N250" s="255"/>
      <c r="O250" s="255"/>
      <c r="P250" s="255"/>
    </row>
    <row r="251" spans="1:16" s="43" customFormat="1" ht="18" customHeight="1">
      <c r="A251" s="1"/>
      <c r="B251" s="124" t="str">
        <f>B249</f>
        <v>6单银Low-E+12A+6</v>
      </c>
      <c r="C251" s="253">
        <f t="shared" ref="C251:D257" si="39">D75-12</f>
        <v>-12</v>
      </c>
      <c r="D251" s="253">
        <f t="shared" si="39"/>
        <v>-12</v>
      </c>
      <c r="E251" s="32">
        <f t="shared" si="27"/>
        <v>1.44E-4</v>
      </c>
      <c r="F251" s="82">
        <f t="shared" ref="F251:F257" si="40">G75</f>
        <v>0</v>
      </c>
      <c r="G251" s="130">
        <f>G249</f>
        <v>148</v>
      </c>
      <c r="H251" s="250">
        <f>ROUND(E251*G251*F251,2)</f>
        <v>0</v>
      </c>
      <c r="I251" s="132" t="s">
        <v>169</v>
      </c>
      <c r="N251" s="255"/>
      <c r="O251" s="255"/>
      <c r="P251" s="255"/>
    </row>
    <row r="252" spans="1:16" s="43" customFormat="1" ht="18" customHeight="1">
      <c r="A252" s="1"/>
      <c r="B252" s="124" t="str">
        <f t="shared" ref="B252:B257" si="41">B251</f>
        <v>6单银Low-E+12A+6</v>
      </c>
      <c r="C252" s="253">
        <f t="shared" si="39"/>
        <v>-12</v>
      </c>
      <c r="D252" s="253">
        <f t="shared" si="39"/>
        <v>-12</v>
      </c>
      <c r="E252" s="32">
        <f t="shared" si="27"/>
        <v>1.44E-4</v>
      </c>
      <c r="F252" s="82">
        <f t="shared" si="40"/>
        <v>0</v>
      </c>
      <c r="G252" s="130">
        <f t="shared" ref="G252:G257" si="42">G251</f>
        <v>148</v>
      </c>
      <c r="H252" s="250">
        <f t="shared" ref="H252:H264" si="43">ROUND(E252*G252*F252,2)</f>
        <v>0</v>
      </c>
      <c r="I252" s="132" t="str">
        <f t="shared" ref="I252:I257" si="44">I251</f>
        <v>固定钢化中空</v>
      </c>
      <c r="N252" s="255"/>
      <c r="O252" s="255"/>
      <c r="P252" s="255"/>
    </row>
    <row r="253" spans="1:16" s="43" customFormat="1" ht="18" customHeight="1">
      <c r="A253" s="1"/>
      <c r="B253" s="124" t="str">
        <f t="shared" si="41"/>
        <v>6单银Low-E+12A+6</v>
      </c>
      <c r="C253" s="253">
        <f t="shared" si="39"/>
        <v>-12</v>
      </c>
      <c r="D253" s="253">
        <f t="shared" si="39"/>
        <v>-12</v>
      </c>
      <c r="E253" s="32">
        <f t="shared" si="27"/>
        <v>1.44E-4</v>
      </c>
      <c r="F253" s="82">
        <f t="shared" si="40"/>
        <v>0</v>
      </c>
      <c r="G253" s="130">
        <f t="shared" si="42"/>
        <v>148</v>
      </c>
      <c r="H253" s="250">
        <f t="shared" si="43"/>
        <v>0</v>
      </c>
      <c r="I253" s="132" t="str">
        <f t="shared" si="44"/>
        <v>固定钢化中空</v>
      </c>
      <c r="N253" s="255"/>
      <c r="O253" s="255"/>
      <c r="P253" s="255"/>
    </row>
    <row r="254" spans="1:16" s="43" customFormat="1" ht="18" customHeight="1">
      <c r="A254" s="1"/>
      <c r="B254" s="124" t="str">
        <f t="shared" si="41"/>
        <v>6单银Low-E+12A+6</v>
      </c>
      <c r="C254" s="253">
        <f t="shared" si="39"/>
        <v>-12</v>
      </c>
      <c r="D254" s="253">
        <f t="shared" si="39"/>
        <v>-12</v>
      </c>
      <c r="E254" s="32">
        <f t="shared" si="27"/>
        <v>1.44E-4</v>
      </c>
      <c r="F254" s="82">
        <f t="shared" si="40"/>
        <v>0</v>
      </c>
      <c r="G254" s="130">
        <f t="shared" si="42"/>
        <v>148</v>
      </c>
      <c r="H254" s="250">
        <f t="shared" si="43"/>
        <v>0</v>
      </c>
      <c r="I254" s="132" t="str">
        <f t="shared" si="44"/>
        <v>固定钢化中空</v>
      </c>
      <c r="J254" s="42"/>
      <c r="N254" s="255"/>
      <c r="O254" s="255"/>
      <c r="P254" s="255"/>
    </row>
    <row r="255" spans="1:16" s="43" customFormat="1" ht="18" customHeight="1">
      <c r="A255" s="1"/>
      <c r="B255" s="124" t="str">
        <f t="shared" si="41"/>
        <v>6单银Low-E+12A+6</v>
      </c>
      <c r="C255" s="253">
        <f t="shared" si="39"/>
        <v>-12</v>
      </c>
      <c r="D255" s="253">
        <f t="shared" si="39"/>
        <v>-12</v>
      </c>
      <c r="E255" s="32">
        <f t="shared" si="27"/>
        <v>1.44E-4</v>
      </c>
      <c r="F255" s="82">
        <f t="shared" si="40"/>
        <v>0</v>
      </c>
      <c r="G255" s="130">
        <f t="shared" si="42"/>
        <v>148</v>
      </c>
      <c r="H255" s="250">
        <f t="shared" si="43"/>
        <v>0</v>
      </c>
      <c r="I255" s="132" t="str">
        <f t="shared" si="44"/>
        <v>固定钢化中空</v>
      </c>
      <c r="N255" s="255"/>
      <c r="O255" s="255"/>
      <c r="P255" s="255"/>
    </row>
    <row r="256" spans="1:16" s="43" customFormat="1" ht="18" customHeight="1">
      <c r="A256" s="1"/>
      <c r="B256" s="124" t="str">
        <f t="shared" si="41"/>
        <v>6单银Low-E+12A+6</v>
      </c>
      <c r="C256" s="253">
        <f t="shared" si="39"/>
        <v>-12</v>
      </c>
      <c r="D256" s="253">
        <f t="shared" si="39"/>
        <v>-12</v>
      </c>
      <c r="E256" s="32">
        <f t="shared" si="27"/>
        <v>1.44E-4</v>
      </c>
      <c r="F256" s="82">
        <f t="shared" si="40"/>
        <v>0</v>
      </c>
      <c r="G256" s="130">
        <f t="shared" si="42"/>
        <v>148</v>
      </c>
      <c r="H256" s="250">
        <f t="shared" si="43"/>
        <v>0</v>
      </c>
      <c r="I256" s="132" t="str">
        <f t="shared" si="44"/>
        <v>固定钢化中空</v>
      </c>
      <c r="N256" s="255"/>
      <c r="O256" s="255"/>
      <c r="P256" s="255"/>
    </row>
    <row r="257" spans="1:16" s="43" customFormat="1" ht="18" customHeight="1">
      <c r="A257" s="1"/>
      <c r="B257" s="124" t="str">
        <f t="shared" si="41"/>
        <v>6单银Low-E+12A+6</v>
      </c>
      <c r="C257" s="253">
        <f t="shared" si="39"/>
        <v>-12</v>
      </c>
      <c r="D257" s="253">
        <f t="shared" si="39"/>
        <v>-12</v>
      </c>
      <c r="E257" s="32">
        <f t="shared" si="27"/>
        <v>1.44E-4</v>
      </c>
      <c r="F257" s="82">
        <f t="shared" si="40"/>
        <v>0</v>
      </c>
      <c r="G257" s="130">
        <f t="shared" si="42"/>
        <v>148</v>
      </c>
      <c r="H257" s="250">
        <f t="shared" si="43"/>
        <v>0</v>
      </c>
      <c r="I257" s="132" t="str">
        <f t="shared" si="44"/>
        <v>固定钢化中空</v>
      </c>
      <c r="N257" s="255"/>
      <c r="O257" s="255"/>
      <c r="P257" s="255"/>
    </row>
    <row r="258" spans="1:16" s="43" customFormat="1" ht="18" customHeight="1">
      <c r="A258" s="1"/>
      <c r="B258" s="48" t="s">
        <v>170</v>
      </c>
      <c r="C258" s="52"/>
      <c r="D258" s="50"/>
      <c r="E258" s="128"/>
      <c r="F258" s="50">
        <f>SUM(F251:F257)</f>
        <v>0</v>
      </c>
      <c r="G258" s="50"/>
      <c r="H258" s="52">
        <f>SUM(H251:H257)</f>
        <v>0</v>
      </c>
      <c r="I258" s="53">
        <f>ROUND((E251*F251+E252*F252+E253*F253+E254*F254+E255*F255+E256*F256+E257*F257),2)</f>
        <v>0</v>
      </c>
      <c r="N258" s="255"/>
      <c r="O258" s="255"/>
      <c r="P258" s="255"/>
    </row>
    <row r="259" spans="1:16" s="43" customFormat="1" ht="18" customHeight="1">
      <c r="A259" s="1"/>
      <c r="B259" s="124" t="str">
        <f>B257</f>
        <v>6单银Low-E+12A+6</v>
      </c>
      <c r="C259" s="253">
        <f t="shared" ref="C259:D264" si="45">D82-12</f>
        <v>-12</v>
      </c>
      <c r="D259" s="253">
        <f t="shared" si="45"/>
        <v>-12</v>
      </c>
      <c r="E259" s="32">
        <f t="shared" si="27"/>
        <v>1.44E-4</v>
      </c>
      <c r="F259" s="82">
        <f t="shared" ref="F259:F264" si="46">G82</f>
        <v>0</v>
      </c>
      <c r="G259" s="130">
        <f>G257</f>
        <v>148</v>
      </c>
      <c r="H259" s="250">
        <f t="shared" si="43"/>
        <v>0</v>
      </c>
      <c r="I259" s="247" t="s">
        <v>171</v>
      </c>
      <c r="N259" s="255"/>
      <c r="O259" s="255"/>
      <c r="P259" s="255"/>
    </row>
    <row r="260" spans="1:16" s="43" customFormat="1" ht="18" customHeight="1">
      <c r="A260" s="1"/>
      <c r="B260" s="124" t="str">
        <f>B259</f>
        <v>6单银Low-E+12A+6</v>
      </c>
      <c r="C260" s="253">
        <f t="shared" si="45"/>
        <v>-12</v>
      </c>
      <c r="D260" s="253">
        <f t="shared" si="45"/>
        <v>-12</v>
      </c>
      <c r="E260" s="32">
        <f t="shared" si="27"/>
        <v>1.44E-4</v>
      </c>
      <c r="F260" s="82">
        <f t="shared" si="46"/>
        <v>0</v>
      </c>
      <c r="G260" s="130">
        <f>G259</f>
        <v>148</v>
      </c>
      <c r="H260" s="250">
        <f t="shared" si="43"/>
        <v>0</v>
      </c>
      <c r="I260" s="247" t="s">
        <v>171</v>
      </c>
      <c r="N260" s="255"/>
      <c r="O260" s="255"/>
      <c r="P260" s="255"/>
    </row>
    <row r="261" spans="1:16" s="43" customFormat="1" ht="18" customHeight="1">
      <c r="A261" s="1"/>
      <c r="B261" s="124" t="str">
        <f>B260</f>
        <v>6单银Low-E+12A+6</v>
      </c>
      <c r="C261" s="253">
        <f t="shared" si="45"/>
        <v>-12</v>
      </c>
      <c r="D261" s="253">
        <f t="shared" si="45"/>
        <v>-12</v>
      </c>
      <c r="E261" s="32">
        <f t="shared" si="27"/>
        <v>1.44E-4</v>
      </c>
      <c r="F261" s="82">
        <f t="shared" si="46"/>
        <v>0</v>
      </c>
      <c r="G261" s="130">
        <f>G260</f>
        <v>148</v>
      </c>
      <c r="H261" s="250">
        <f t="shared" si="43"/>
        <v>0</v>
      </c>
      <c r="I261" s="247" t="s">
        <v>171</v>
      </c>
      <c r="N261" s="255"/>
      <c r="O261" s="255"/>
      <c r="P261" s="255"/>
    </row>
    <row r="262" spans="1:16" s="43" customFormat="1" ht="18" customHeight="1">
      <c r="A262" s="1"/>
      <c r="B262" s="124" t="str">
        <f>B261</f>
        <v>6单银Low-E+12A+6</v>
      </c>
      <c r="C262" s="253">
        <f t="shared" si="45"/>
        <v>-12</v>
      </c>
      <c r="D262" s="253">
        <f t="shared" si="45"/>
        <v>-12</v>
      </c>
      <c r="E262" s="32">
        <f t="shared" si="27"/>
        <v>1.44E-4</v>
      </c>
      <c r="F262" s="82">
        <f t="shared" si="46"/>
        <v>0</v>
      </c>
      <c r="G262" s="130">
        <f>G261</f>
        <v>148</v>
      </c>
      <c r="H262" s="250">
        <f t="shared" si="43"/>
        <v>0</v>
      </c>
      <c r="I262" s="247" t="s">
        <v>171</v>
      </c>
      <c r="N262" s="255"/>
      <c r="O262" s="255"/>
      <c r="P262" s="255"/>
    </row>
    <row r="263" spans="1:16" s="43" customFormat="1" ht="18" customHeight="1">
      <c r="A263" s="1"/>
      <c r="B263" s="124" t="str">
        <f>B262</f>
        <v>6单银Low-E+12A+6</v>
      </c>
      <c r="C263" s="253">
        <f t="shared" si="45"/>
        <v>-12</v>
      </c>
      <c r="D263" s="253">
        <f t="shared" si="45"/>
        <v>-12</v>
      </c>
      <c r="E263" s="32">
        <f t="shared" si="27"/>
        <v>1.44E-4</v>
      </c>
      <c r="F263" s="82">
        <f t="shared" si="46"/>
        <v>0</v>
      </c>
      <c r="G263" s="130">
        <f>G262</f>
        <v>148</v>
      </c>
      <c r="H263" s="250">
        <f t="shared" si="43"/>
        <v>0</v>
      </c>
      <c r="I263" s="247" t="s">
        <v>171</v>
      </c>
      <c r="N263" s="255"/>
      <c r="O263" s="255"/>
      <c r="P263" s="255"/>
    </row>
    <row r="264" spans="1:16" s="43" customFormat="1" ht="18" customHeight="1">
      <c r="A264" s="1"/>
      <c r="B264" s="124" t="str">
        <f>B263</f>
        <v>6单银Low-E+12A+6</v>
      </c>
      <c r="C264" s="253">
        <f t="shared" si="45"/>
        <v>-12</v>
      </c>
      <c r="D264" s="253">
        <f t="shared" si="45"/>
        <v>-12</v>
      </c>
      <c r="E264" s="32">
        <f t="shared" si="27"/>
        <v>1.44E-4</v>
      </c>
      <c r="F264" s="82">
        <f t="shared" si="46"/>
        <v>0</v>
      </c>
      <c r="G264" s="130">
        <f>G263</f>
        <v>148</v>
      </c>
      <c r="H264" s="250">
        <f t="shared" si="43"/>
        <v>0</v>
      </c>
      <c r="I264" s="247" t="s">
        <v>171</v>
      </c>
      <c r="N264" s="255"/>
      <c r="O264" s="255"/>
      <c r="P264" s="255"/>
    </row>
    <row r="265" spans="1:16" s="43" customFormat="1" ht="18" customHeight="1">
      <c r="A265" s="1"/>
      <c r="B265" s="48" t="s">
        <v>172</v>
      </c>
      <c r="C265" s="52"/>
      <c r="D265" s="50"/>
      <c r="E265" s="128"/>
      <c r="F265" s="50">
        <f>SUM(F259:F264)</f>
        <v>0</v>
      </c>
      <c r="G265" s="50"/>
      <c r="H265" s="52">
        <f>SUM(H259:H264)</f>
        <v>0</v>
      </c>
      <c r="I265" s="53">
        <f>ROUND(SUMPRODUCT(E259:E264*F259:F264),2)</f>
        <v>0</v>
      </c>
      <c r="N265" s="255"/>
      <c r="O265" s="255"/>
      <c r="P265" s="255"/>
    </row>
    <row r="266" spans="1:16" s="43" customFormat="1" ht="18" customHeight="1">
      <c r="A266" s="1"/>
      <c r="B266" s="124" t="str">
        <f>B264</f>
        <v>6单银Low-E+12A+6</v>
      </c>
      <c r="C266" s="133">
        <f t="shared" ref="C266:D268" si="47">D143</f>
        <v>555</v>
      </c>
      <c r="D266" s="133">
        <f t="shared" si="47"/>
        <v>1968</v>
      </c>
      <c r="E266" s="32">
        <f t="shared" si="27"/>
        <v>1.0922400000000001</v>
      </c>
      <c r="F266" s="134">
        <f>G143</f>
        <v>2</v>
      </c>
      <c r="G266" s="135">
        <f>G264</f>
        <v>148</v>
      </c>
      <c r="H266" s="134">
        <f>ROUND(E266*G266*F266,2)</f>
        <v>323.3</v>
      </c>
      <c r="I266" s="136" t="s">
        <v>173</v>
      </c>
      <c r="N266" s="255"/>
      <c r="O266" s="255"/>
      <c r="P266" s="255"/>
    </row>
    <row r="267" spans="1:16" s="43" customFormat="1" ht="18" customHeight="1">
      <c r="A267" s="1"/>
      <c r="B267" s="124" t="str">
        <f>B264</f>
        <v>6单银Low-E+12A+6</v>
      </c>
      <c r="C267" s="133">
        <f t="shared" si="47"/>
        <v>-154</v>
      </c>
      <c r="D267" s="133">
        <f t="shared" si="47"/>
        <v>-154</v>
      </c>
      <c r="E267" s="32">
        <f t="shared" si="27"/>
        <v>2.3716000000000001E-2</v>
      </c>
      <c r="F267" s="134">
        <f>G144</f>
        <v>0</v>
      </c>
      <c r="G267" s="135">
        <f>G266</f>
        <v>148</v>
      </c>
      <c r="H267" s="134">
        <f>ROUND(E267*G267*F267,2)</f>
        <v>0</v>
      </c>
      <c r="I267" s="136" t="s">
        <v>173</v>
      </c>
      <c r="N267" s="255"/>
      <c r="O267" s="255"/>
      <c r="P267" s="255"/>
    </row>
    <row r="268" spans="1:16" s="43" customFormat="1" ht="18" customHeight="1">
      <c r="A268" s="1"/>
      <c r="B268" s="124" t="str">
        <f>B267</f>
        <v>6单银Low-E+12A+6</v>
      </c>
      <c r="C268" s="133">
        <f t="shared" si="47"/>
        <v>-154</v>
      </c>
      <c r="D268" s="133">
        <f t="shared" si="47"/>
        <v>-154</v>
      </c>
      <c r="E268" s="32">
        <f t="shared" si="27"/>
        <v>2.3716000000000001E-2</v>
      </c>
      <c r="F268" s="134">
        <f>G145</f>
        <v>0</v>
      </c>
      <c r="G268" s="135">
        <f>G267</f>
        <v>148</v>
      </c>
      <c r="H268" s="134">
        <f>ROUND(E268*G268*F268,2)</f>
        <v>0</v>
      </c>
      <c r="I268" s="136" t="s">
        <v>173</v>
      </c>
      <c r="N268" s="255"/>
      <c r="O268" s="255"/>
      <c r="P268" s="255"/>
    </row>
    <row r="269" spans="1:16" s="43" customFormat="1" ht="18" customHeight="1">
      <c r="A269" s="1"/>
      <c r="B269" s="48" t="s">
        <v>174</v>
      </c>
      <c r="C269" s="52"/>
      <c r="D269" s="50"/>
      <c r="E269" s="128"/>
      <c r="F269" s="50">
        <f>SUM(F266:F268)</f>
        <v>2</v>
      </c>
      <c r="G269" s="50"/>
      <c r="H269" s="52">
        <f>SUM(H266:H268)</f>
        <v>323.3</v>
      </c>
      <c r="I269" s="53">
        <f>ROUND((E266*F266+E267*F267+E268*F268),2)</f>
        <v>2.1800000000000002</v>
      </c>
      <c r="N269" s="255"/>
      <c r="O269" s="255"/>
      <c r="P269" s="255"/>
    </row>
    <row r="270" spans="1:16" s="43" customFormat="1" ht="18" customHeight="1">
      <c r="A270" s="1"/>
      <c r="B270" s="124" t="str">
        <f>B268</f>
        <v>6单银Low-E+12A+6</v>
      </c>
      <c r="C270" s="133">
        <f t="shared" ref="C270:D272" si="48">D150</f>
        <v>-160</v>
      </c>
      <c r="D270" s="133">
        <f t="shared" si="48"/>
        <v>-160</v>
      </c>
      <c r="E270" s="32">
        <f t="shared" si="27"/>
        <v>2.5600000000000001E-2</v>
      </c>
      <c r="F270" s="134">
        <f>G150</f>
        <v>0</v>
      </c>
      <c r="G270" s="135">
        <f>G268</f>
        <v>148</v>
      </c>
      <c r="H270" s="134">
        <f>ROUND(E270*G270*F270,2)</f>
        <v>0</v>
      </c>
      <c r="I270" s="136" t="s">
        <v>173</v>
      </c>
      <c r="N270" s="255"/>
      <c r="O270" s="255"/>
      <c r="P270" s="255"/>
    </row>
    <row r="271" spans="1:16" s="43" customFormat="1" ht="18" customHeight="1">
      <c r="A271" s="1"/>
      <c r="B271" s="124" t="str">
        <f>B270</f>
        <v>6单银Low-E+12A+6</v>
      </c>
      <c r="C271" s="133">
        <f t="shared" si="48"/>
        <v>-160</v>
      </c>
      <c r="D271" s="133">
        <f t="shared" si="48"/>
        <v>-160</v>
      </c>
      <c r="E271" s="32">
        <f t="shared" si="27"/>
        <v>2.5600000000000001E-2</v>
      </c>
      <c r="F271" s="134">
        <f>G151</f>
        <v>0</v>
      </c>
      <c r="G271" s="135">
        <f>G270</f>
        <v>148</v>
      </c>
      <c r="H271" s="134">
        <f>ROUND(E271*G271*F271,2)</f>
        <v>0</v>
      </c>
      <c r="I271" s="136" t="s">
        <v>173</v>
      </c>
      <c r="N271" s="255"/>
      <c r="O271" s="255"/>
      <c r="P271" s="255"/>
    </row>
    <row r="272" spans="1:16" s="43" customFormat="1" ht="18" customHeight="1">
      <c r="A272" s="1"/>
      <c r="B272" s="124" t="str">
        <f>B271</f>
        <v>6单银Low-E+12A+6</v>
      </c>
      <c r="C272" s="133">
        <f t="shared" si="48"/>
        <v>-160</v>
      </c>
      <c r="D272" s="133">
        <f t="shared" si="48"/>
        <v>-160</v>
      </c>
      <c r="E272" s="32">
        <f t="shared" si="27"/>
        <v>2.5600000000000001E-2</v>
      </c>
      <c r="F272" s="134">
        <f>G152</f>
        <v>0</v>
      </c>
      <c r="G272" s="135">
        <f>G271</f>
        <v>148</v>
      </c>
      <c r="H272" s="134">
        <f>ROUND(E272*G272*F272,2)</f>
        <v>0</v>
      </c>
      <c r="I272" s="136" t="s">
        <v>173</v>
      </c>
      <c r="N272" s="255"/>
      <c r="O272" s="255"/>
      <c r="P272" s="255"/>
    </row>
    <row r="273" spans="1:16" s="43" customFormat="1" ht="18" customHeight="1">
      <c r="A273" s="1"/>
      <c r="B273" s="48" t="s">
        <v>175</v>
      </c>
      <c r="C273" s="52"/>
      <c r="D273" s="50"/>
      <c r="E273" s="128"/>
      <c r="F273" s="50">
        <f>SUM(F270:F272)</f>
        <v>0</v>
      </c>
      <c r="G273" s="50"/>
      <c r="H273" s="52">
        <f>SUM(H270:H272)</f>
        <v>0</v>
      </c>
      <c r="I273" s="53">
        <f>ROUND((E270*F270+E271*F271+E272*F272),2)</f>
        <v>0</v>
      </c>
      <c r="N273" s="255"/>
      <c r="O273" s="255"/>
      <c r="P273" s="255"/>
    </row>
    <row r="274" spans="1:16" ht="18" customHeight="1">
      <c r="B274" s="124" t="str">
        <f>B272</f>
        <v>6单银Low-E+12A+6</v>
      </c>
      <c r="C274" s="133">
        <f t="shared" ref="C274:D279" si="49">D157-12</f>
        <v>-12</v>
      </c>
      <c r="D274" s="133">
        <f t="shared" si="49"/>
        <v>-12</v>
      </c>
      <c r="E274" s="32">
        <f t="shared" si="27"/>
        <v>1.44E-4</v>
      </c>
      <c r="F274" s="134">
        <f t="shared" ref="F274:F279" si="50">G157</f>
        <v>0</v>
      </c>
      <c r="G274" s="135">
        <f>G272</f>
        <v>148</v>
      </c>
      <c r="H274" s="134">
        <f t="shared" ref="H274:H279" si="51">ROUND(E274*G274*F274,2)</f>
        <v>0</v>
      </c>
      <c r="I274" s="136" t="s">
        <v>176</v>
      </c>
    </row>
    <row r="275" spans="1:16" ht="18" customHeight="1">
      <c r="B275" s="124" t="str">
        <f>B274</f>
        <v>6单银Low-E+12A+6</v>
      </c>
      <c r="C275" s="133">
        <f t="shared" si="49"/>
        <v>-12</v>
      </c>
      <c r="D275" s="133">
        <f t="shared" si="49"/>
        <v>-12</v>
      </c>
      <c r="E275" s="32">
        <f t="shared" si="27"/>
        <v>1.44E-4</v>
      </c>
      <c r="F275" s="134">
        <f t="shared" si="50"/>
        <v>0</v>
      </c>
      <c r="G275" s="135">
        <f>G274</f>
        <v>148</v>
      </c>
      <c r="H275" s="134">
        <f t="shared" si="51"/>
        <v>0</v>
      </c>
      <c r="I275" s="136" t="str">
        <f>I274</f>
        <v>门钢化中空玻璃</v>
      </c>
      <c r="K275" s="43" t="s">
        <v>177</v>
      </c>
    </row>
    <row r="276" spans="1:16" ht="18" customHeight="1">
      <c r="B276" s="124" t="str">
        <f>B275</f>
        <v>6单银Low-E+12A+6</v>
      </c>
      <c r="C276" s="133">
        <f t="shared" si="49"/>
        <v>-12</v>
      </c>
      <c r="D276" s="133">
        <f t="shared" si="49"/>
        <v>-12</v>
      </c>
      <c r="E276" s="32">
        <f t="shared" si="27"/>
        <v>1.44E-4</v>
      </c>
      <c r="F276" s="134">
        <f t="shared" si="50"/>
        <v>0</v>
      </c>
      <c r="G276" s="135">
        <f>G275</f>
        <v>148</v>
      </c>
      <c r="H276" s="134">
        <f t="shared" si="51"/>
        <v>0</v>
      </c>
      <c r="I276" s="136" t="str">
        <f>I275</f>
        <v>门钢化中空玻璃</v>
      </c>
    </row>
    <row r="277" spans="1:16" ht="18" customHeight="1">
      <c r="B277" s="124" t="str">
        <f>B276</f>
        <v>6单银Low-E+12A+6</v>
      </c>
      <c r="C277" s="133">
        <f t="shared" si="49"/>
        <v>-12</v>
      </c>
      <c r="D277" s="133">
        <f t="shared" si="49"/>
        <v>-12</v>
      </c>
      <c r="E277" s="32">
        <f t="shared" si="27"/>
        <v>1.44E-4</v>
      </c>
      <c r="F277" s="134">
        <f t="shared" si="50"/>
        <v>0</v>
      </c>
      <c r="G277" s="135">
        <f>G276</f>
        <v>148</v>
      </c>
      <c r="H277" s="134">
        <f t="shared" si="51"/>
        <v>0</v>
      </c>
      <c r="I277" s="136" t="str">
        <f>I276</f>
        <v>门钢化中空玻璃</v>
      </c>
    </row>
    <row r="278" spans="1:16" ht="18" customHeight="1">
      <c r="B278" s="124" t="str">
        <f>B277</f>
        <v>6单银Low-E+12A+6</v>
      </c>
      <c r="C278" s="133">
        <f t="shared" si="49"/>
        <v>-12</v>
      </c>
      <c r="D278" s="133">
        <f t="shared" si="49"/>
        <v>-12</v>
      </c>
      <c r="E278" s="32">
        <f t="shared" si="27"/>
        <v>1.44E-4</v>
      </c>
      <c r="F278" s="134">
        <f t="shared" si="50"/>
        <v>0</v>
      </c>
      <c r="G278" s="135">
        <f>G277</f>
        <v>148</v>
      </c>
      <c r="H278" s="134">
        <f t="shared" si="51"/>
        <v>0</v>
      </c>
      <c r="I278" s="136" t="str">
        <f>I277</f>
        <v>门钢化中空玻璃</v>
      </c>
    </row>
    <row r="279" spans="1:16" ht="18" customHeight="1">
      <c r="B279" s="124" t="str">
        <f>B278</f>
        <v>6单银Low-E+12A+6</v>
      </c>
      <c r="C279" s="133">
        <f t="shared" si="49"/>
        <v>-12</v>
      </c>
      <c r="D279" s="133">
        <f t="shared" si="49"/>
        <v>-12</v>
      </c>
      <c r="E279" s="32">
        <f t="shared" si="27"/>
        <v>1.44E-4</v>
      </c>
      <c r="F279" s="134">
        <f t="shared" si="50"/>
        <v>0</v>
      </c>
      <c r="G279" s="135">
        <f>G278</f>
        <v>148</v>
      </c>
      <c r="H279" s="134">
        <f t="shared" si="51"/>
        <v>0</v>
      </c>
      <c r="I279" s="136" t="str">
        <f>I278</f>
        <v>门钢化中空玻璃</v>
      </c>
    </row>
    <row r="280" spans="1:16" ht="18" customHeight="1">
      <c r="B280" s="48" t="s">
        <v>178</v>
      </c>
      <c r="C280" s="52"/>
      <c r="D280" s="50"/>
      <c r="E280" s="128"/>
      <c r="F280" s="50">
        <f>SUM(F274:F279)</f>
        <v>0</v>
      </c>
      <c r="G280" s="50"/>
      <c r="H280" s="52">
        <f>SUM(H274:H279)</f>
        <v>0</v>
      </c>
      <c r="I280" s="53">
        <f>ROUND(SUMPRODUCT(E274:E279*F274:F279),2)</f>
        <v>0</v>
      </c>
    </row>
    <row r="281" spans="1:16" ht="18" customHeight="1">
      <c r="B281" s="124" t="str">
        <f>材料价格!A10</f>
        <v>6单银Low-E+12A+6</v>
      </c>
      <c r="C281" s="133">
        <f>C252</f>
        <v>-12</v>
      </c>
      <c r="D281" s="133">
        <f>D252</f>
        <v>-12</v>
      </c>
      <c r="E281" s="32">
        <f t="shared" si="27"/>
        <v>1.44E-4</v>
      </c>
      <c r="F281" s="134"/>
      <c r="G281" s="137">
        <f>材料价格!B10</f>
        <v>148</v>
      </c>
      <c r="H281" s="134">
        <f>ROUND(E281*G281*F281,2)</f>
        <v>0</v>
      </c>
      <c r="I281" s="247" t="s">
        <v>179</v>
      </c>
    </row>
    <row r="282" spans="1:16" ht="18" customHeight="1">
      <c r="B282" s="124" t="str">
        <f>B281</f>
        <v>6单银Low-E+12A+6</v>
      </c>
      <c r="C282" s="133">
        <f>C253</f>
        <v>-12</v>
      </c>
      <c r="D282" s="133">
        <f>D253</f>
        <v>-12</v>
      </c>
      <c r="E282" s="32">
        <f t="shared" si="27"/>
        <v>1.44E-4</v>
      </c>
      <c r="F282" s="134"/>
      <c r="G282" s="135">
        <f>G281</f>
        <v>148</v>
      </c>
      <c r="H282" s="134">
        <f>ROUND(E282*G282*F282,2)</f>
        <v>0</v>
      </c>
      <c r="I282" s="247" t="s">
        <v>179</v>
      </c>
      <c r="J282" s="255"/>
      <c r="K282" s="255"/>
      <c r="L282" s="255"/>
      <c r="M282" s="255"/>
    </row>
    <row r="283" spans="1:16" ht="18" customHeight="1">
      <c r="B283" s="124" t="str">
        <f>B282</f>
        <v>6单银Low-E+12A+6</v>
      </c>
      <c r="C283" s="133">
        <f>D84-12</f>
        <v>-12</v>
      </c>
      <c r="D283" s="133">
        <f>E84-12</f>
        <v>-12</v>
      </c>
      <c r="E283" s="32">
        <f t="shared" si="27"/>
        <v>1.44E-4</v>
      </c>
      <c r="F283" s="134">
        <f>G84</f>
        <v>0</v>
      </c>
      <c r="G283" s="135">
        <f>G282</f>
        <v>148</v>
      </c>
      <c r="H283" s="134">
        <f>ROUND(E283*G283*F283,2)</f>
        <v>0</v>
      </c>
      <c r="I283" s="247" t="s">
        <v>179</v>
      </c>
      <c r="J283" s="255"/>
      <c r="K283" s="255"/>
      <c r="L283" s="255"/>
      <c r="M283" s="255"/>
    </row>
    <row r="284" spans="1:16" ht="18" customHeight="1">
      <c r="B284" s="124" t="str">
        <f>B283</f>
        <v>6单银Low-E+12A+6</v>
      </c>
      <c r="C284" s="133">
        <f>D85-12</f>
        <v>-12</v>
      </c>
      <c r="D284" s="133">
        <f>E85-12</f>
        <v>-12</v>
      </c>
      <c r="E284" s="32">
        <f t="shared" si="27"/>
        <v>1.44E-4</v>
      </c>
      <c r="F284" s="134">
        <f>G85</f>
        <v>0</v>
      </c>
      <c r="G284" s="135">
        <f>G283</f>
        <v>148</v>
      </c>
      <c r="H284" s="134">
        <f>ROUND(E284*G284*F284,2)</f>
        <v>0</v>
      </c>
      <c r="I284" s="247" t="s">
        <v>179</v>
      </c>
      <c r="J284" s="255"/>
      <c r="K284" s="255"/>
      <c r="L284" s="255"/>
      <c r="M284" s="255"/>
    </row>
    <row r="285" spans="1:16" ht="18" customHeight="1">
      <c r="B285" s="48" t="s">
        <v>180</v>
      </c>
      <c r="C285" s="52"/>
      <c r="D285" s="50"/>
      <c r="E285" s="50"/>
      <c r="F285" s="50">
        <f>SUM(F281:F284)</f>
        <v>0</v>
      </c>
      <c r="G285" s="50"/>
      <c r="H285" s="52">
        <f>SUM(H281:H284)</f>
        <v>0</v>
      </c>
      <c r="I285" s="53">
        <f>ROUND((E281*F281+E282*F282+E283*F283+E284*F284),2)</f>
        <v>0</v>
      </c>
      <c r="J285" s="255"/>
      <c r="K285" s="255"/>
      <c r="L285" s="255"/>
      <c r="M285" s="255"/>
    </row>
    <row r="286" spans="1:16" ht="18" customHeight="1">
      <c r="B286" s="124" t="str">
        <f>材料价格!A11</f>
        <v>8单银Low-E+12Ar+8+12A+8mm</v>
      </c>
      <c r="C286" s="133"/>
      <c r="D286" s="133"/>
      <c r="E286" s="32">
        <f>C286*D286/10^6</f>
        <v>0</v>
      </c>
      <c r="F286" s="134"/>
      <c r="G286" s="137">
        <f>材料价格!B11</f>
        <v>312</v>
      </c>
      <c r="H286" s="134">
        <f>ROUND(E286*G286*F286,2)</f>
        <v>0</v>
      </c>
      <c r="I286" s="247" t="s">
        <v>181</v>
      </c>
      <c r="J286" s="255"/>
      <c r="K286" s="255"/>
      <c r="L286" s="255"/>
      <c r="M286" s="255"/>
    </row>
    <row r="287" spans="1:16" ht="18" customHeight="1">
      <c r="B287" s="124" t="str">
        <f>B286</f>
        <v>8单银Low-E+12Ar+8+12A+8mm</v>
      </c>
      <c r="C287" s="133"/>
      <c r="D287" s="133"/>
      <c r="E287" s="32">
        <f>C287*D287/10^6</f>
        <v>0</v>
      </c>
      <c r="F287" s="134"/>
      <c r="G287" s="135">
        <f>G286</f>
        <v>312</v>
      </c>
      <c r="H287" s="134">
        <f>ROUND(E287*G287*F287,2)</f>
        <v>0</v>
      </c>
      <c r="I287" s="247" t="s">
        <v>181</v>
      </c>
      <c r="J287" s="255"/>
      <c r="K287" s="255"/>
      <c r="L287" s="255"/>
      <c r="M287" s="255"/>
    </row>
    <row r="288" spans="1:16" ht="18" customHeight="1">
      <c r="B288" s="138" t="str">
        <f>材料价格!A12</f>
        <v>10单银Low-E+12Ar+10+12A+10mm</v>
      </c>
      <c r="C288" s="139"/>
      <c r="D288" s="139"/>
      <c r="E288" s="140">
        <f>C288*D288/10^6</f>
        <v>0</v>
      </c>
      <c r="F288" s="141"/>
      <c r="G288" s="142">
        <f>材料价格!B12</f>
        <v>395</v>
      </c>
      <c r="H288" s="141">
        <f>ROUND(E288*G288*F288,2)</f>
        <v>0</v>
      </c>
      <c r="I288" s="143" t="s">
        <v>181</v>
      </c>
      <c r="J288" s="255"/>
      <c r="K288" s="255"/>
      <c r="L288" s="255"/>
      <c r="M288" s="255"/>
    </row>
    <row r="289" spans="2:13" ht="18" customHeight="1">
      <c r="B289" s="138" t="str">
        <f>B288</f>
        <v>10单银Low-E+12Ar+10+12A+10mm</v>
      </c>
      <c r="C289" s="139"/>
      <c r="D289" s="139"/>
      <c r="E289" s="140">
        <f>C289*D289/10^6</f>
        <v>0</v>
      </c>
      <c r="F289" s="141"/>
      <c r="G289" s="142">
        <f>G288</f>
        <v>395</v>
      </c>
      <c r="H289" s="141">
        <f>ROUND(E289*G289*F289,2)</f>
        <v>0</v>
      </c>
      <c r="I289" s="143" t="s">
        <v>181</v>
      </c>
      <c r="J289" s="255"/>
      <c r="K289" s="255"/>
      <c r="L289" s="255"/>
      <c r="M289" s="255"/>
    </row>
    <row r="290" spans="2:13" ht="18" customHeight="1">
      <c r="B290" s="48" t="s">
        <v>180</v>
      </c>
      <c r="C290" s="52"/>
      <c r="D290" s="50"/>
      <c r="E290" s="50"/>
      <c r="F290" s="50">
        <f>SUM(F286:F289)</f>
        <v>0</v>
      </c>
      <c r="G290" s="50"/>
      <c r="H290" s="52">
        <f>SUM(H286:H289)</f>
        <v>0</v>
      </c>
      <c r="I290" s="53">
        <f>ROUND((E286*F286+E287*F287+E288*F288+E289*F289),2)</f>
        <v>0</v>
      </c>
      <c r="J290" s="255"/>
      <c r="K290" s="255"/>
      <c r="L290" s="255"/>
      <c r="M290" s="255"/>
    </row>
    <row r="291" spans="2:13" ht="18" customHeight="1">
      <c r="B291" s="642" t="s">
        <v>182</v>
      </c>
      <c r="C291" s="144" t="s">
        <v>183</v>
      </c>
      <c r="D291" s="144" cm="1">
        <f t="array" ref="D291">SUMPRODUCT(E225:E232*F225:F232)+SUMPRODUCT(E243:E249*F243:F249)</f>
        <v>0.78926399999999997</v>
      </c>
      <c r="E291" s="144" t="s">
        <v>184</v>
      </c>
      <c r="F291" s="145">
        <f>F233+F250</f>
        <v>2</v>
      </c>
      <c r="G291" s="145" t="s">
        <v>185</v>
      </c>
      <c r="H291" s="144">
        <f>H233+H250</f>
        <v>116.81</v>
      </c>
      <c r="I291" s="146">
        <f>H291/F366</f>
        <v>22.568055797059447</v>
      </c>
      <c r="J291" s="255"/>
      <c r="K291" s="255"/>
      <c r="L291" s="255"/>
      <c r="M291" s="255"/>
    </row>
    <row r="292" spans="2:13" ht="18" customHeight="1">
      <c r="B292" s="642"/>
      <c r="C292" s="144" t="s">
        <v>186</v>
      </c>
      <c r="D292" s="144">
        <f>SUMPRODUCT(E234:E241*F234:F241)+SUMPRODUCT(E251:E257*F251:F257)+SUMPRODUCT(E259:E264*F259:F264)+SUMPRODUCT(E266:E268*F266:F268)+SUMPRODUCT(E270:E272*F270:F272)+SUMPRODUCT(E281:E284*F281:F284)+SUMPRODUCT(E286:E289*F286:F289)+SUMPRODUCT(E274:E279*F274:F279)</f>
        <v>2.1844800000000002</v>
      </c>
      <c r="E292" s="144" t="s">
        <v>186</v>
      </c>
      <c r="F292" s="145">
        <f>F242+F258+F265+F269+F273+F285+F290+F280</f>
        <v>2</v>
      </c>
      <c r="G292" s="145" t="s">
        <v>185</v>
      </c>
      <c r="H292" s="144">
        <f>H242+H258+H265+H269+H273+H280+H285+H290</f>
        <v>323.3</v>
      </c>
      <c r="I292" s="146">
        <f>H292/F366</f>
        <v>62.462566896578373</v>
      </c>
      <c r="J292" s="255"/>
      <c r="K292" s="255"/>
      <c r="L292" s="255"/>
      <c r="M292" s="255"/>
    </row>
    <row r="293" spans="2:13" ht="18" customHeight="1">
      <c r="B293" s="23" t="s">
        <v>187</v>
      </c>
      <c r="C293" s="252" t="s">
        <v>188</v>
      </c>
      <c r="D293" s="68" t="s">
        <v>189</v>
      </c>
      <c r="E293" s="252" t="s">
        <v>8</v>
      </c>
      <c r="F293" s="252" t="s">
        <v>190</v>
      </c>
      <c r="G293" s="252" t="s">
        <v>191</v>
      </c>
      <c r="H293" s="252" t="s">
        <v>160</v>
      </c>
      <c r="I293" s="25" t="s">
        <v>1</v>
      </c>
      <c r="J293" s="255"/>
      <c r="K293" s="255"/>
      <c r="L293" s="255"/>
      <c r="M293" s="255"/>
    </row>
    <row r="294" spans="2:13" ht="18" customHeight="1">
      <c r="B294" s="629" t="s">
        <v>192</v>
      </c>
      <c r="C294" s="253">
        <f>D26</f>
        <v>0</v>
      </c>
      <c r="D294" s="250"/>
      <c r="E294" s="250"/>
      <c r="F294" s="250" t="s">
        <v>193</v>
      </c>
      <c r="G294" s="108">
        <f>材料价格!B14</f>
        <v>153</v>
      </c>
      <c r="H294" s="147">
        <f>E294*G294</f>
        <v>0</v>
      </c>
      <c r="I294" s="632" t="s">
        <v>194</v>
      </c>
      <c r="J294" s="255"/>
      <c r="K294" s="255"/>
      <c r="L294" s="255"/>
      <c r="M294" s="255"/>
    </row>
    <row r="295" spans="2:13" ht="18" customHeight="1">
      <c r="B295" s="629"/>
      <c r="C295" s="253"/>
      <c r="D295" s="250"/>
      <c r="E295" s="250"/>
      <c r="F295" s="250"/>
      <c r="G295" s="108"/>
      <c r="H295" s="147">
        <f t="shared" ref="H295:H303" si="52">E295*G295</f>
        <v>0</v>
      </c>
      <c r="I295" s="633"/>
      <c r="J295" s="255"/>
      <c r="K295" s="255"/>
      <c r="L295" s="255"/>
      <c r="M295" s="255"/>
    </row>
    <row r="296" spans="2:13" ht="18" customHeight="1">
      <c r="B296" s="629" t="s">
        <v>195</v>
      </c>
      <c r="C296" s="253"/>
      <c r="D296" s="148"/>
      <c r="E296" s="250"/>
      <c r="F296" s="250" t="str">
        <f>F294</f>
        <v>坚朗</v>
      </c>
      <c r="G296" s="108">
        <f>材料价格!B15</f>
        <v>80</v>
      </c>
      <c r="H296" s="147">
        <f t="shared" si="52"/>
        <v>0</v>
      </c>
      <c r="I296" s="632" t="s">
        <v>196</v>
      </c>
      <c r="J296" s="255"/>
      <c r="K296" s="255"/>
      <c r="L296" s="255"/>
      <c r="M296" s="255"/>
    </row>
    <row r="297" spans="2:13" ht="18" customHeight="1">
      <c r="B297" s="629"/>
      <c r="C297" s="253"/>
      <c r="D297" s="148"/>
      <c r="E297" s="250"/>
      <c r="F297" s="250"/>
      <c r="G297" s="108"/>
      <c r="H297" s="147">
        <f t="shared" si="52"/>
        <v>0</v>
      </c>
      <c r="I297" s="633"/>
      <c r="J297" s="255"/>
      <c r="K297" s="255"/>
      <c r="L297" s="255"/>
      <c r="M297" s="255"/>
    </row>
    <row r="298" spans="2:13" ht="18" customHeight="1">
      <c r="B298" s="629" t="s">
        <v>197</v>
      </c>
      <c r="C298" s="253"/>
      <c r="D298" s="148"/>
      <c r="E298" s="250">
        <v>2</v>
      </c>
      <c r="F298" s="250" t="str">
        <f>F296</f>
        <v>坚朗</v>
      </c>
      <c r="G298" s="108">
        <f>材料价格!B16</f>
        <v>88</v>
      </c>
      <c r="H298" s="147">
        <f t="shared" si="52"/>
        <v>176</v>
      </c>
      <c r="I298" s="633"/>
      <c r="J298" s="255"/>
      <c r="K298" s="255"/>
      <c r="L298" s="255"/>
      <c r="M298" s="255"/>
    </row>
    <row r="299" spans="2:13" ht="18" customHeight="1">
      <c r="B299" s="629"/>
      <c r="C299" s="253"/>
      <c r="D299" s="148"/>
      <c r="E299" s="250"/>
      <c r="F299" s="250"/>
      <c r="G299" s="108"/>
      <c r="H299" s="147">
        <f t="shared" si="52"/>
        <v>0</v>
      </c>
      <c r="I299" s="633"/>
      <c r="J299" s="255"/>
      <c r="K299" s="255"/>
      <c r="L299" s="255"/>
      <c r="M299" s="255"/>
    </row>
    <row r="300" spans="2:13" ht="18" customHeight="1">
      <c r="B300" s="629" t="s">
        <v>198</v>
      </c>
      <c r="C300" s="253">
        <f>D35</f>
        <v>470</v>
      </c>
      <c r="D300" s="148"/>
      <c r="E300" s="250"/>
      <c r="F300" s="250" t="str">
        <f>F298</f>
        <v>坚朗</v>
      </c>
      <c r="G300" s="108">
        <f>材料价格!B17</f>
        <v>115</v>
      </c>
      <c r="H300" s="147">
        <f t="shared" si="52"/>
        <v>0</v>
      </c>
      <c r="I300" s="149"/>
      <c r="J300" s="255"/>
      <c r="K300" s="255"/>
      <c r="L300" s="255"/>
      <c r="M300" s="255"/>
    </row>
    <row r="301" spans="2:13" ht="18" customHeight="1">
      <c r="B301" s="629"/>
      <c r="C301" s="253"/>
      <c r="D301" s="148"/>
      <c r="E301" s="250"/>
      <c r="F301" s="250"/>
      <c r="G301" s="108"/>
      <c r="H301" s="147">
        <f t="shared" si="52"/>
        <v>0</v>
      </c>
      <c r="I301" s="149"/>
      <c r="J301" s="255"/>
      <c r="K301" s="255"/>
      <c r="L301" s="255"/>
      <c r="M301" s="255"/>
    </row>
    <row r="302" spans="2:13" ht="18" customHeight="1">
      <c r="B302" s="629" t="s">
        <v>199</v>
      </c>
      <c r="C302" s="250" t="s">
        <v>200</v>
      </c>
      <c r="D302" s="148"/>
      <c r="E302" s="250"/>
      <c r="F302" s="250" t="str">
        <f>F300</f>
        <v>坚朗</v>
      </c>
      <c r="G302" s="108">
        <f>材料价格!B19</f>
        <v>230</v>
      </c>
      <c r="H302" s="147">
        <f t="shared" si="52"/>
        <v>0</v>
      </c>
      <c r="I302" s="247"/>
      <c r="J302" s="255"/>
      <c r="K302" s="255"/>
      <c r="L302" s="255"/>
      <c r="M302" s="255"/>
    </row>
    <row r="303" spans="2:13" ht="18" customHeight="1">
      <c r="B303" s="629"/>
      <c r="C303" s="250" t="s">
        <v>201</v>
      </c>
      <c r="D303" s="148"/>
      <c r="E303" s="250">
        <v>1</v>
      </c>
      <c r="F303" s="250" t="str">
        <f>F302</f>
        <v>坚朗</v>
      </c>
      <c r="G303" s="108">
        <f>材料价格!B20</f>
        <v>335</v>
      </c>
      <c r="H303" s="147">
        <f t="shared" si="52"/>
        <v>335</v>
      </c>
      <c r="I303" s="247"/>
      <c r="J303" s="255"/>
      <c r="K303" s="255"/>
      <c r="L303" s="255"/>
      <c r="M303" s="255"/>
    </row>
    <row r="304" spans="2:13" ht="18" customHeight="1">
      <c r="B304" s="150" t="s">
        <v>202</v>
      </c>
      <c r="C304" s="50"/>
      <c r="D304" s="50"/>
      <c r="E304" s="50">
        <f>SUM(E294:E303)</f>
        <v>3</v>
      </c>
      <c r="F304" s="50"/>
      <c r="G304" s="166"/>
      <c r="H304" s="151">
        <f>SUM(H294:H303)</f>
        <v>511</v>
      </c>
      <c r="I304" s="152"/>
      <c r="J304" s="42"/>
    </row>
    <row r="305" spans="1:16" ht="18" customHeight="1">
      <c r="B305" s="246" t="s">
        <v>300</v>
      </c>
      <c r="C305" s="250"/>
      <c r="D305" s="148"/>
      <c r="E305" s="253">
        <f>E294+E296</f>
        <v>0</v>
      </c>
      <c r="F305" s="148"/>
      <c r="G305" s="148">
        <f>材料价格!B27</f>
        <v>0</v>
      </c>
      <c r="H305" s="154">
        <f>E305*G305</f>
        <v>0</v>
      </c>
      <c r="I305" s="247" t="s">
        <v>203</v>
      </c>
    </row>
    <row r="306" spans="1:16" s="16" customFormat="1" ht="18" customHeight="1">
      <c r="A306" s="1"/>
      <c r="B306" s="246" t="s">
        <v>204</v>
      </c>
      <c r="C306" s="250"/>
      <c r="D306" s="148"/>
      <c r="E306" s="253">
        <f>E298+E299+E300+E301</f>
        <v>2</v>
      </c>
      <c r="F306" s="148"/>
      <c r="G306" s="148">
        <f>材料价格!B28</f>
        <v>118</v>
      </c>
      <c r="H306" s="154">
        <f>E306*G306</f>
        <v>236</v>
      </c>
      <c r="I306" s="247" t="s">
        <v>205</v>
      </c>
      <c r="J306" s="43"/>
      <c r="K306" s="43"/>
      <c r="L306" s="43"/>
      <c r="M306" s="43"/>
      <c r="N306" s="255"/>
      <c r="O306" s="255"/>
      <c r="P306" s="255"/>
    </row>
    <row r="307" spans="1:16" s="16" customFormat="1" ht="18" customHeight="1">
      <c r="A307" s="1"/>
      <c r="B307" s="246" t="s">
        <v>206</v>
      </c>
      <c r="C307" s="250"/>
      <c r="D307" s="148"/>
      <c r="E307" s="253"/>
      <c r="F307" s="148"/>
      <c r="G307" s="148"/>
      <c r="H307" s="154">
        <f>E307*G307</f>
        <v>0</v>
      </c>
      <c r="I307" s="247" t="s">
        <v>207</v>
      </c>
      <c r="J307" s="43"/>
      <c r="K307" s="43"/>
      <c r="L307" s="43"/>
      <c r="M307" s="43"/>
      <c r="N307" s="255"/>
      <c r="O307" s="255"/>
      <c r="P307" s="255"/>
    </row>
    <row r="308" spans="1:16" s="16" customFormat="1" ht="18" customHeight="1">
      <c r="A308" s="1"/>
      <c r="B308" s="150" t="s">
        <v>208</v>
      </c>
      <c r="C308" s="50"/>
      <c r="D308" s="50"/>
      <c r="E308" s="100">
        <f>SUM(E305:E307)</f>
        <v>2</v>
      </c>
      <c r="F308" s="50"/>
      <c r="G308" s="166"/>
      <c r="H308" s="155">
        <f>SUM(H305:H307)</f>
        <v>236</v>
      </c>
      <c r="I308" s="152"/>
      <c r="J308" s="43"/>
      <c r="K308" s="43"/>
      <c r="L308" s="43"/>
      <c r="M308" s="43"/>
      <c r="N308" s="255"/>
      <c r="O308" s="255"/>
      <c r="P308" s="255"/>
    </row>
    <row r="309" spans="1:16" s="16" customFormat="1" ht="18" customHeight="1">
      <c r="A309" s="1"/>
      <c r="B309" s="156" t="s">
        <v>209</v>
      </c>
      <c r="C309" s="157">
        <f>ROUND(IF(D4&lt;=200,4,0)+IF(D4&gt;200,(D4/200+1))+IF(E4&lt;=200,4,0)+IF(E4&gt;200,(E4/200+1)),0)</f>
        <v>26</v>
      </c>
      <c r="D309" s="148"/>
      <c r="E309" s="148"/>
      <c r="F309" s="148"/>
      <c r="G309" s="158">
        <v>0.5</v>
      </c>
      <c r="H309" s="159">
        <f>ROUND(C309*G309,2)</f>
        <v>13</v>
      </c>
      <c r="I309" s="247" t="s">
        <v>210</v>
      </c>
      <c r="J309" s="43"/>
      <c r="K309" s="43"/>
      <c r="L309" s="43"/>
      <c r="M309" s="43"/>
      <c r="N309" s="255"/>
      <c r="O309" s="255"/>
      <c r="P309" s="255"/>
    </row>
    <row r="310" spans="1:16" s="16" customFormat="1" ht="18" customHeight="1">
      <c r="A310" s="1"/>
      <c r="B310" s="156" t="s">
        <v>211</v>
      </c>
      <c r="C310" s="157">
        <f>C309*2</f>
        <v>52</v>
      </c>
      <c r="D310" s="148">
        <f>D309*2</f>
        <v>0</v>
      </c>
      <c r="E310" s="148"/>
      <c r="F310" s="148"/>
      <c r="G310" s="158">
        <v>0.3</v>
      </c>
      <c r="H310" s="159">
        <f>ROUND(C310*G310,2)</f>
        <v>15.6</v>
      </c>
      <c r="I310" s="247" t="s">
        <v>212</v>
      </c>
      <c r="J310" s="43"/>
      <c r="K310" s="43"/>
      <c r="L310" s="255"/>
      <c r="M310" s="255"/>
      <c r="N310" s="255"/>
      <c r="O310" s="255"/>
      <c r="P310" s="255"/>
    </row>
    <row r="311" spans="1:16" s="16" customFormat="1" ht="18" customHeight="1">
      <c r="A311" s="1"/>
      <c r="B311" s="160" t="s">
        <v>213</v>
      </c>
      <c r="C311" s="161">
        <f>F6</f>
        <v>5.1303999999999998</v>
      </c>
      <c r="D311" s="162"/>
      <c r="E311" s="162"/>
      <c r="F311" s="162"/>
      <c r="G311" s="163">
        <v>5</v>
      </c>
      <c r="H311" s="159">
        <f>ROUND(C311*G311,2)</f>
        <v>25.65</v>
      </c>
      <c r="I311" s="247"/>
      <c r="J311" s="43"/>
      <c r="K311" s="43"/>
      <c r="L311" s="255"/>
      <c r="M311" s="255"/>
      <c r="N311" s="255"/>
      <c r="O311" s="255"/>
      <c r="P311" s="255"/>
    </row>
    <row r="312" spans="1:16" s="16" customFormat="1" ht="18" customHeight="1">
      <c r="A312" s="1"/>
      <c r="B312" s="160" t="s">
        <v>214</v>
      </c>
      <c r="C312" s="161"/>
      <c r="D312" s="162"/>
      <c r="E312" s="162"/>
      <c r="F312" s="162"/>
      <c r="G312" s="163"/>
      <c r="H312" s="159">
        <f>ROUND(C312*G312,2)</f>
        <v>0</v>
      </c>
      <c r="I312" s="247"/>
      <c r="J312" s="43"/>
      <c r="K312" s="43"/>
      <c r="L312" s="255"/>
      <c r="M312" s="255"/>
      <c r="N312" s="255"/>
      <c r="O312" s="255"/>
      <c r="P312" s="255"/>
    </row>
    <row r="313" spans="1:16" s="16" customFormat="1" ht="18" customHeight="1">
      <c r="A313" s="1"/>
      <c r="B313" s="164" t="s">
        <v>397</v>
      </c>
      <c r="C313" s="161">
        <f>D291+D292</f>
        <v>2.9737439999999999</v>
      </c>
      <c r="D313" s="162"/>
      <c r="E313" s="162"/>
      <c r="F313" s="162"/>
      <c r="G313" s="163">
        <f>10+5</f>
        <v>15</v>
      </c>
      <c r="H313" s="159">
        <f>ROUND(C313*G313,2)</f>
        <v>44.61</v>
      </c>
      <c r="I313" s="247"/>
      <c r="J313" s="43"/>
      <c r="K313" s="43"/>
      <c r="L313" s="255"/>
      <c r="M313" s="255"/>
      <c r="N313" s="255"/>
      <c r="O313" s="255"/>
      <c r="P313" s="255"/>
    </row>
    <row r="314" spans="1:16" s="16" customFormat="1" ht="18" customHeight="1">
      <c r="A314" s="1"/>
      <c r="B314" s="150" t="s">
        <v>215</v>
      </c>
      <c r="C314" s="165"/>
      <c r="D314" s="50"/>
      <c r="E314" s="50"/>
      <c r="F314" s="50"/>
      <c r="G314" s="166"/>
      <c r="H314" s="155">
        <f>SUM(H309:H313)</f>
        <v>98.86</v>
      </c>
      <c r="I314" s="152"/>
      <c r="J314" s="43"/>
      <c r="K314" s="43"/>
      <c r="L314" s="255"/>
      <c r="M314" s="255"/>
      <c r="N314" s="255"/>
      <c r="O314" s="255"/>
      <c r="P314" s="255"/>
    </row>
    <row r="315" spans="1:16" s="16" customFormat="1" ht="18" customHeight="1">
      <c r="A315" s="1"/>
      <c r="B315" s="156" t="s">
        <v>216</v>
      </c>
      <c r="C315" s="167">
        <f>E203+E205+E207+I203+I205+E209+I207</f>
        <v>24</v>
      </c>
      <c r="D315" s="148"/>
      <c r="E315" s="148"/>
      <c r="F315" s="148"/>
      <c r="G315" s="168">
        <v>1.9</v>
      </c>
      <c r="H315" s="154">
        <f t="shared" ref="H315:H318" si="53">ROUND(C315*G315,2)</f>
        <v>45.6</v>
      </c>
      <c r="I315" s="224" t="s">
        <v>340</v>
      </c>
      <c r="J315" s="255"/>
      <c r="K315" s="43"/>
      <c r="L315" s="255"/>
      <c r="M315" s="255"/>
      <c r="N315" s="255"/>
      <c r="O315" s="255"/>
      <c r="P315" s="255"/>
    </row>
    <row r="316" spans="1:16" s="16" customFormat="1" ht="18" customHeight="1">
      <c r="A316" s="1"/>
      <c r="B316" s="156" t="s">
        <v>217</v>
      </c>
      <c r="C316" s="167">
        <f>ROUND((D4+E4)*2/1000,2)</f>
        <v>9.4</v>
      </c>
      <c r="D316" s="148"/>
      <c r="E316" s="238">
        <v>4</v>
      </c>
      <c r="F316" s="235">
        <f>材料价格!B25</f>
        <v>8.52</v>
      </c>
      <c r="G316" s="168">
        <f t="shared" ref="G316:G321" si="54">F316/E316</f>
        <v>2.13</v>
      </c>
      <c r="H316" s="154">
        <f t="shared" si="53"/>
        <v>20.02</v>
      </c>
      <c r="I316" s="169" t="s">
        <v>218</v>
      </c>
      <c r="J316" s="255"/>
      <c r="K316" s="43"/>
      <c r="L316" s="255"/>
      <c r="M316" s="255"/>
      <c r="N316" s="255"/>
      <c r="O316" s="255"/>
      <c r="P316" s="255"/>
    </row>
    <row r="317" spans="1:16" s="16" customFormat="1" ht="18" customHeight="1">
      <c r="A317" s="1"/>
      <c r="B317" s="156" t="s">
        <v>219</v>
      </c>
      <c r="C317" s="167">
        <f>C316</f>
        <v>9.4</v>
      </c>
      <c r="D317" s="148"/>
      <c r="E317" s="238">
        <v>3</v>
      </c>
      <c r="F317" s="235">
        <f>F316</f>
        <v>8.52</v>
      </c>
      <c r="G317" s="168">
        <f t="shared" si="54"/>
        <v>2.84</v>
      </c>
      <c r="H317" s="154">
        <f t="shared" si="53"/>
        <v>26.7</v>
      </c>
      <c r="I317" s="169" t="s">
        <v>220</v>
      </c>
      <c r="J317" s="255"/>
      <c r="K317" s="43"/>
      <c r="L317" s="255"/>
      <c r="M317" s="255"/>
      <c r="N317" s="255"/>
      <c r="O317" s="255"/>
      <c r="P317" s="255"/>
    </row>
    <row r="318" spans="1:16" s="16" customFormat="1" ht="18" customHeight="1">
      <c r="A318" s="1"/>
      <c r="B318" s="156" t="s">
        <v>221</v>
      </c>
      <c r="C318" s="167">
        <f>C316</f>
        <v>9.4</v>
      </c>
      <c r="D318" s="148"/>
      <c r="E318" s="238">
        <v>6.5</v>
      </c>
      <c r="F318" s="235">
        <f>材料价格!B26</f>
        <v>23</v>
      </c>
      <c r="G318" s="168">
        <f t="shared" si="54"/>
        <v>3.5384615384615383</v>
      </c>
      <c r="H318" s="154">
        <f t="shared" si="53"/>
        <v>33.26</v>
      </c>
      <c r="I318" s="224" t="s">
        <v>222</v>
      </c>
      <c r="J318" s="255"/>
      <c r="K318" s="43"/>
      <c r="L318" s="255"/>
      <c r="M318" s="255"/>
      <c r="N318" s="255"/>
      <c r="O318" s="255"/>
      <c r="P318" s="255"/>
    </row>
    <row r="319" spans="1:16" s="16" customFormat="1" ht="18" customHeight="1">
      <c r="A319" s="1"/>
      <c r="B319" s="156" t="s">
        <v>341</v>
      </c>
      <c r="C319" s="167">
        <f>ROUND((C97+C104+C88+C146+C153+C163)*1,2)</f>
        <v>16.02</v>
      </c>
      <c r="D319" s="77">
        <v>1</v>
      </c>
      <c r="E319" s="238">
        <f>10</f>
        <v>10</v>
      </c>
      <c r="F319" s="235">
        <f>F317</f>
        <v>8.52</v>
      </c>
      <c r="G319" s="168">
        <f>F319/E319</f>
        <v>0.85199999999999998</v>
      </c>
      <c r="H319" s="154">
        <f>ROUND(C319*G319,2)</f>
        <v>13.65</v>
      </c>
      <c r="I319" s="247" t="s">
        <v>223</v>
      </c>
      <c r="J319" s="255"/>
      <c r="K319" s="43"/>
      <c r="L319" s="255"/>
      <c r="M319" s="255"/>
      <c r="N319" s="255"/>
      <c r="O319" s="255"/>
      <c r="P319" s="255"/>
    </row>
    <row r="320" spans="1:16" s="16" customFormat="1" ht="18" customHeight="1">
      <c r="A320" s="1"/>
      <c r="B320" s="156" t="s">
        <v>342</v>
      </c>
      <c r="C320" s="167">
        <f>C319</f>
        <v>16.02</v>
      </c>
      <c r="D320" s="77">
        <v>1</v>
      </c>
      <c r="E320" s="238">
        <v>6</v>
      </c>
      <c r="F320" s="235">
        <f>F319</f>
        <v>8.52</v>
      </c>
      <c r="G320" s="168">
        <f t="shared" si="54"/>
        <v>1.42</v>
      </c>
      <c r="H320" s="154">
        <f>ROUND(C320*G320,2)</f>
        <v>22.75</v>
      </c>
      <c r="I320" s="247" t="s">
        <v>224</v>
      </c>
      <c r="J320" s="255"/>
      <c r="K320" s="170"/>
      <c r="L320" s="170"/>
      <c r="M320" s="170"/>
      <c r="N320" s="170"/>
      <c r="O320" s="170"/>
      <c r="P320" s="170"/>
    </row>
    <row r="321" spans="1:16" s="16" customFormat="1" ht="18" customHeight="1">
      <c r="A321" s="1"/>
      <c r="B321" s="156" t="s">
        <v>225</v>
      </c>
      <c r="C321" s="167">
        <f>C334*D334+C324*D324+C327*D327</f>
        <v>0</v>
      </c>
      <c r="D321" s="77">
        <v>1</v>
      </c>
      <c r="E321" s="238">
        <f>10</f>
        <v>10</v>
      </c>
      <c r="F321" s="235">
        <f>F317</f>
        <v>8.52</v>
      </c>
      <c r="G321" s="168">
        <f t="shared" si="54"/>
        <v>0.85199999999999998</v>
      </c>
      <c r="H321" s="154">
        <f>ROUND(C321*G321,2)</f>
        <v>0</v>
      </c>
      <c r="I321" s="247" t="s">
        <v>226</v>
      </c>
      <c r="J321" s="255"/>
      <c r="K321" s="170"/>
      <c r="L321" s="170"/>
      <c r="M321" s="170"/>
      <c r="N321" s="170"/>
      <c r="O321" s="170"/>
      <c r="P321" s="170"/>
    </row>
    <row r="322" spans="1:16" s="16" customFormat="1" ht="18" customHeight="1">
      <c r="A322" s="1"/>
      <c r="B322" s="150" t="s">
        <v>227</v>
      </c>
      <c r="C322" s="165"/>
      <c r="D322" s="50"/>
      <c r="E322" s="50"/>
      <c r="F322" s="50"/>
      <c r="G322" s="166" t="s">
        <v>396</v>
      </c>
      <c r="H322" s="155">
        <f>SUM(H315:H321)</f>
        <v>161.98000000000002</v>
      </c>
      <c r="I322" s="152"/>
      <c r="J322" s="244" t="s">
        <v>399</v>
      </c>
      <c r="K322" s="245" t="s">
        <v>379</v>
      </c>
      <c r="L322" s="170"/>
      <c r="M322" s="170"/>
      <c r="N322" s="170"/>
      <c r="O322" s="170"/>
      <c r="P322" s="170"/>
    </row>
    <row r="323" spans="1:16" s="16" customFormat="1" ht="18" customHeight="1">
      <c r="A323" s="1"/>
      <c r="B323" s="156" t="s">
        <v>356</v>
      </c>
      <c r="C323" s="167">
        <f>C31</f>
        <v>0</v>
      </c>
      <c r="D323" s="239">
        <v>1</v>
      </c>
      <c r="E323" s="148"/>
      <c r="F323" s="148"/>
      <c r="G323" s="236">
        <f>0.45+0.85</f>
        <v>1.3</v>
      </c>
      <c r="H323" s="154">
        <f>ROUND(C323*D323*G323,2)</f>
        <v>0</v>
      </c>
      <c r="I323" s="247" t="s">
        <v>345</v>
      </c>
      <c r="J323" s="244">
        <v>1.76</v>
      </c>
      <c r="K323" s="245" t="s">
        <v>400</v>
      </c>
      <c r="L323" s="170"/>
      <c r="M323" s="171"/>
      <c r="N323" s="170"/>
      <c r="O323" s="170"/>
      <c r="P323" s="170"/>
    </row>
    <row r="324" spans="1:16" s="16" customFormat="1" ht="18" customHeight="1">
      <c r="A324" s="1"/>
      <c r="B324" s="156" t="s">
        <v>347</v>
      </c>
      <c r="C324" s="167">
        <f>C323</f>
        <v>0</v>
      </c>
      <c r="D324" s="239">
        <v>1</v>
      </c>
      <c r="E324" s="148"/>
      <c r="F324" s="148"/>
      <c r="G324" s="236">
        <v>6.89</v>
      </c>
      <c r="H324" s="154">
        <f t="shared" ref="H324:H329" si="55">ROUND(C324*D324*G324,2)</f>
        <v>0</v>
      </c>
      <c r="I324" s="247" t="s">
        <v>346</v>
      </c>
      <c r="J324" s="244">
        <v>12.25</v>
      </c>
      <c r="K324" s="245" t="s">
        <v>376</v>
      </c>
      <c r="L324" s="170"/>
      <c r="M324" s="171"/>
      <c r="N324" s="170"/>
      <c r="O324" s="170"/>
      <c r="P324" s="170"/>
    </row>
    <row r="325" spans="1:16" s="16" customFormat="1" ht="18" customHeight="1">
      <c r="A325" s="1"/>
      <c r="B325" s="156" t="s">
        <v>357</v>
      </c>
      <c r="C325" s="167">
        <f>C38</f>
        <v>6.9039999999999999</v>
      </c>
      <c r="D325" s="239">
        <v>1</v>
      </c>
      <c r="E325" s="148"/>
      <c r="F325" s="148"/>
      <c r="G325" s="236">
        <f>0.85+0.61</f>
        <v>1.46</v>
      </c>
      <c r="H325" s="154">
        <f t="shared" si="55"/>
        <v>10.08</v>
      </c>
      <c r="I325" s="247" t="s">
        <v>354</v>
      </c>
      <c r="J325" s="244">
        <v>1.76</v>
      </c>
      <c r="K325" s="245" t="s">
        <v>378</v>
      </c>
      <c r="L325" s="170"/>
      <c r="M325" s="171"/>
      <c r="N325" s="170"/>
      <c r="O325" s="170"/>
      <c r="P325" s="170"/>
    </row>
    <row r="326" spans="1:16" s="16" customFormat="1" ht="18" customHeight="1">
      <c r="A326" s="1"/>
      <c r="B326" s="156" t="s">
        <v>355</v>
      </c>
      <c r="C326" s="167">
        <f>C325</f>
        <v>6.9039999999999999</v>
      </c>
      <c r="D326" s="239">
        <v>1</v>
      </c>
      <c r="E326" s="148"/>
      <c r="F326" s="148"/>
      <c r="G326" s="236">
        <v>3.27</v>
      </c>
      <c r="H326" s="154">
        <f>ROUND(C326*D326*G326,2)</f>
        <v>22.58</v>
      </c>
      <c r="I326" s="247" t="s">
        <v>358</v>
      </c>
      <c r="J326" s="244">
        <v>3.27</v>
      </c>
      <c r="K326" s="245" t="s">
        <v>358</v>
      </c>
      <c r="L326" s="170"/>
      <c r="M326" s="171"/>
      <c r="N326" s="170"/>
      <c r="O326" s="170"/>
      <c r="P326" s="170"/>
    </row>
    <row r="327" spans="1:16" s="16" customFormat="1" ht="18" customHeight="1">
      <c r="A327" s="1"/>
      <c r="B327" s="156" t="s">
        <v>228</v>
      </c>
      <c r="C327" s="167">
        <f>C126</f>
        <v>0</v>
      </c>
      <c r="D327" s="239">
        <v>1</v>
      </c>
      <c r="E327" s="110"/>
      <c r="F327" s="148"/>
      <c r="G327" s="236">
        <v>6.89</v>
      </c>
      <c r="H327" s="154">
        <f t="shared" si="55"/>
        <v>0</v>
      </c>
      <c r="I327" s="247" t="s">
        <v>346</v>
      </c>
      <c r="J327" s="244">
        <v>12.25</v>
      </c>
      <c r="K327" s="245" t="s">
        <v>346</v>
      </c>
      <c r="L327" s="170"/>
      <c r="M327" s="171"/>
      <c r="N327" s="170"/>
      <c r="O327" s="170"/>
      <c r="P327" s="170"/>
    </row>
    <row r="328" spans="1:16" s="16" customFormat="1" ht="18" customHeight="1">
      <c r="A328" s="1"/>
      <c r="B328" s="156" t="s">
        <v>229</v>
      </c>
      <c r="C328" s="167">
        <f>C327</f>
        <v>0</v>
      </c>
      <c r="D328" s="239">
        <v>1</v>
      </c>
      <c r="E328" s="110"/>
      <c r="F328" s="148"/>
      <c r="G328" s="236">
        <f>G3233</f>
        <v>0</v>
      </c>
      <c r="H328" s="154">
        <f t="shared" si="55"/>
        <v>0</v>
      </c>
      <c r="I328" s="247" t="s">
        <v>345</v>
      </c>
      <c r="J328" s="244">
        <v>0</v>
      </c>
      <c r="K328" s="245" t="s">
        <v>400</v>
      </c>
      <c r="L328" s="170"/>
      <c r="M328" s="171"/>
      <c r="N328" s="170"/>
      <c r="O328" s="170"/>
      <c r="P328" s="170"/>
    </row>
    <row r="329" spans="1:16" s="16" customFormat="1" ht="18" customHeight="1">
      <c r="A329" s="1"/>
      <c r="B329" s="156" t="s">
        <v>230</v>
      </c>
      <c r="C329" s="167">
        <f>C119</f>
        <v>11.324</v>
      </c>
      <c r="D329" s="239">
        <v>1</v>
      </c>
      <c r="E329" s="148"/>
      <c r="F329" s="148"/>
      <c r="G329" s="236">
        <f>G3253</f>
        <v>0</v>
      </c>
      <c r="H329" s="154">
        <f t="shared" si="55"/>
        <v>0</v>
      </c>
      <c r="I329" s="247" t="s">
        <v>354</v>
      </c>
      <c r="J329" s="244">
        <v>0</v>
      </c>
      <c r="K329" s="245" t="s">
        <v>378</v>
      </c>
      <c r="L329" s="170"/>
      <c r="M329" s="171"/>
      <c r="N329" s="170"/>
      <c r="O329" s="170"/>
      <c r="P329" s="170"/>
    </row>
    <row r="330" spans="1:16" s="16" customFormat="1" ht="18" customHeight="1">
      <c r="A330" s="1"/>
      <c r="B330" s="156" t="s">
        <v>362</v>
      </c>
      <c r="C330" s="167">
        <f>C329</f>
        <v>11.324</v>
      </c>
      <c r="D330" s="239">
        <v>1</v>
      </c>
      <c r="E330" s="148"/>
      <c r="F330" s="148"/>
      <c r="G330" s="236">
        <v>3.27</v>
      </c>
      <c r="H330" s="154">
        <f>ROUND(C330*D330*G330,2)</f>
        <v>37.03</v>
      </c>
      <c r="I330" s="247" t="s">
        <v>358</v>
      </c>
      <c r="J330" s="244">
        <v>3.27</v>
      </c>
      <c r="K330" s="245" t="s">
        <v>358</v>
      </c>
      <c r="L330" s="170"/>
      <c r="M330" s="171"/>
      <c r="N330" s="170"/>
      <c r="O330" s="170"/>
      <c r="P330" s="170"/>
    </row>
    <row r="331" spans="1:16" s="16" customFormat="1" ht="18" customHeight="1">
      <c r="A331" s="1"/>
      <c r="B331" s="156" t="s">
        <v>343</v>
      </c>
      <c r="C331" s="167">
        <f>C319</f>
        <v>16.02</v>
      </c>
      <c r="D331" s="239">
        <v>1</v>
      </c>
      <c r="E331" s="148"/>
      <c r="F331" s="148"/>
      <c r="G331" s="236">
        <v>1.25</v>
      </c>
      <c r="H331" s="154">
        <f>C331*D331*G331</f>
        <v>20.024999999999999</v>
      </c>
      <c r="I331" s="247" t="s">
        <v>344</v>
      </c>
      <c r="J331" s="244">
        <v>1.25</v>
      </c>
      <c r="K331" s="245" t="s">
        <v>344</v>
      </c>
      <c r="L331" s="170"/>
      <c r="M331" s="171"/>
      <c r="N331" s="170"/>
      <c r="O331" s="170"/>
      <c r="P331" s="170"/>
    </row>
    <row r="332" spans="1:16" s="16" customFormat="1" ht="18" customHeight="1">
      <c r="A332" s="1"/>
      <c r="B332" s="156" t="s">
        <v>350</v>
      </c>
      <c r="C332" s="167" cm="1">
        <f t="array" ref="C332">SUMPRODUCT(D26:D30*G26:G30)/1000</f>
        <v>0</v>
      </c>
      <c r="D332" s="239">
        <v>1</v>
      </c>
      <c r="E332" s="148"/>
      <c r="F332" s="148"/>
      <c r="G332" s="236">
        <v>0.41</v>
      </c>
      <c r="H332" s="154">
        <f>C332*D332*G332</f>
        <v>0</v>
      </c>
      <c r="I332" s="247" t="s">
        <v>348</v>
      </c>
      <c r="J332" s="244">
        <v>0.41</v>
      </c>
      <c r="K332" s="245" t="s">
        <v>348</v>
      </c>
      <c r="L332" s="170"/>
      <c r="M332" s="171"/>
      <c r="N332" s="170"/>
      <c r="O332" s="170"/>
      <c r="P332" s="170"/>
    </row>
    <row r="333" spans="1:16" s="16" customFormat="1" ht="18" customHeight="1">
      <c r="A333" s="1"/>
      <c r="B333" s="156" t="s">
        <v>349</v>
      </c>
      <c r="C333" s="167">
        <f>C88+C97+C104+C153+C163+C146</f>
        <v>16.02</v>
      </c>
      <c r="D333" s="239">
        <v>1</v>
      </c>
      <c r="E333" s="148"/>
      <c r="F333" s="148"/>
      <c r="G333" s="236">
        <v>0.49</v>
      </c>
      <c r="H333" s="154">
        <f>C333*D333*G333</f>
        <v>7.8497999999999992</v>
      </c>
      <c r="I333" s="247" t="s">
        <v>351</v>
      </c>
      <c r="J333" s="244">
        <v>0.49</v>
      </c>
      <c r="K333" s="245" t="s">
        <v>351</v>
      </c>
      <c r="L333" s="170"/>
      <c r="M333" s="171"/>
      <c r="N333" s="170"/>
      <c r="O333" s="170"/>
      <c r="P333" s="170"/>
    </row>
    <row r="334" spans="1:16" s="16" customFormat="1" ht="18" customHeight="1">
      <c r="A334" s="1"/>
      <c r="B334" s="156" t="s">
        <v>353</v>
      </c>
      <c r="C334" s="167">
        <f t="array" ref="C334">SUMPRODUCT(D157:D162*G157:G162)/1000+SUM(G157:G162)*0.3+SUMPRODUCT(D68:D87*G68:G87)/1000+SUM(G68:G87)*0.3</f>
        <v>0</v>
      </c>
      <c r="D334" s="239">
        <v>1</v>
      </c>
      <c r="E334" s="148"/>
      <c r="F334" s="148"/>
      <c r="G334" s="237">
        <v>5.36</v>
      </c>
      <c r="H334" s="154">
        <f>C334*G334</f>
        <v>0</v>
      </c>
      <c r="I334" s="247" t="s">
        <v>352</v>
      </c>
      <c r="J334" s="244">
        <v>9.5500000000000007</v>
      </c>
      <c r="K334" s="245" t="s">
        <v>377</v>
      </c>
      <c r="L334" s="170"/>
      <c r="M334" s="171"/>
      <c r="N334" s="170"/>
      <c r="O334" s="170"/>
      <c r="P334" s="170"/>
    </row>
    <row r="335" spans="1:16" s="16" customFormat="1" ht="18" customHeight="1">
      <c r="A335" s="1"/>
      <c r="B335" s="156" t="s">
        <v>364</v>
      </c>
      <c r="C335" s="167">
        <f>C319</f>
        <v>16.02</v>
      </c>
      <c r="D335" s="239">
        <v>1</v>
      </c>
      <c r="E335" s="148"/>
      <c r="F335" s="148"/>
      <c r="G335" s="237">
        <v>1.25</v>
      </c>
      <c r="H335" s="154"/>
      <c r="I335" s="149" t="s">
        <v>363</v>
      </c>
      <c r="J335" s="244">
        <v>1.25</v>
      </c>
      <c r="K335" s="245" t="s">
        <v>363</v>
      </c>
      <c r="L335" s="170"/>
      <c r="M335" s="171"/>
      <c r="N335" s="170"/>
      <c r="O335" s="170"/>
      <c r="P335" s="170"/>
    </row>
    <row r="336" spans="1:16" s="16" customFormat="1" ht="18" customHeight="1">
      <c r="A336" s="1"/>
      <c r="B336" s="156" t="s">
        <v>365</v>
      </c>
      <c r="C336" s="167">
        <f>C320</f>
        <v>16.02</v>
      </c>
      <c r="D336" s="239">
        <v>1</v>
      </c>
      <c r="E336" s="148"/>
      <c r="F336" s="148"/>
      <c r="G336" s="237">
        <v>1.63</v>
      </c>
      <c r="H336" s="154"/>
      <c r="I336" s="149" t="s">
        <v>363</v>
      </c>
      <c r="J336" s="244">
        <v>1.63</v>
      </c>
      <c r="K336" s="245" t="s">
        <v>363</v>
      </c>
      <c r="L336" s="170"/>
      <c r="M336" s="171"/>
      <c r="N336" s="170"/>
      <c r="O336" s="170"/>
      <c r="P336" s="170"/>
    </row>
    <row r="337" spans="1:16" s="16" customFormat="1" ht="18" customHeight="1">
      <c r="A337" s="1"/>
      <c r="B337" s="150" t="s">
        <v>231</v>
      </c>
      <c r="C337" s="165"/>
      <c r="D337" s="50"/>
      <c r="E337" s="50"/>
      <c r="F337" s="50"/>
      <c r="G337" s="166"/>
      <c r="H337" s="155">
        <f>SUM(H323:H336)*1.05</f>
        <v>102.44304000000001</v>
      </c>
      <c r="I337" s="152"/>
      <c r="J337" s="172"/>
      <c r="K337" s="170"/>
      <c r="L337" s="170"/>
      <c r="M337" s="170"/>
      <c r="N337" s="170"/>
      <c r="O337" s="170"/>
      <c r="P337" s="170"/>
    </row>
    <row r="338" spans="1:16" s="16" customFormat="1" ht="18" customHeight="1">
      <c r="A338" s="1"/>
      <c r="B338" s="173" t="s">
        <v>366</v>
      </c>
      <c r="C338" s="174">
        <f>F250+F258+F265+F280+F285+F290</f>
        <v>0</v>
      </c>
      <c r="D338" s="175">
        <v>2</v>
      </c>
      <c r="E338" s="176"/>
      <c r="F338" s="176"/>
      <c r="G338" s="240">
        <v>0.5</v>
      </c>
      <c r="H338" s="177">
        <f t="shared" ref="H338:H343" si="56">D338*G338*C338</f>
        <v>0</v>
      </c>
      <c r="I338" s="178" t="s">
        <v>233</v>
      </c>
      <c r="J338" s="172"/>
      <c r="K338" s="170"/>
      <c r="L338" s="170"/>
      <c r="M338" s="170"/>
      <c r="N338" s="170"/>
      <c r="O338" s="170"/>
      <c r="P338" s="170"/>
    </row>
    <row r="339" spans="1:16" s="16" customFormat="1" ht="18" customHeight="1">
      <c r="A339" s="1"/>
      <c r="B339" s="173" t="s">
        <v>367</v>
      </c>
      <c r="C339" s="174">
        <f>F233+F242+F269+F273</f>
        <v>4</v>
      </c>
      <c r="D339" s="175">
        <v>4</v>
      </c>
      <c r="E339" s="176"/>
      <c r="F339" s="176"/>
      <c r="G339" s="240">
        <v>0.63</v>
      </c>
      <c r="H339" s="177">
        <f t="shared" si="56"/>
        <v>10.08</v>
      </c>
      <c r="I339" s="178" t="s">
        <v>234</v>
      </c>
      <c r="J339" s="172"/>
      <c r="K339" s="170"/>
      <c r="L339" s="170"/>
      <c r="M339" s="170"/>
      <c r="N339" s="170"/>
      <c r="O339" s="170"/>
      <c r="P339" s="170"/>
    </row>
    <row r="340" spans="1:16" s="16" customFormat="1" ht="18" customHeight="1">
      <c r="A340" s="1"/>
      <c r="B340" s="173" t="s">
        <v>366</v>
      </c>
      <c r="C340" s="174">
        <f>SUM(G157:G162)</f>
        <v>0</v>
      </c>
      <c r="D340" s="175">
        <f>IF(E113&gt;2200,2,0)</f>
        <v>0</v>
      </c>
      <c r="E340" s="176"/>
      <c r="F340" s="176"/>
      <c r="G340" s="240">
        <v>0.5</v>
      </c>
      <c r="H340" s="177">
        <f t="shared" si="56"/>
        <v>0</v>
      </c>
      <c r="I340" s="178" t="s">
        <v>235</v>
      </c>
      <c r="J340" s="172"/>
      <c r="K340" s="170"/>
      <c r="L340" s="170"/>
      <c r="M340" s="170"/>
      <c r="N340" s="170"/>
      <c r="O340" s="170"/>
      <c r="P340" s="170"/>
    </row>
    <row r="341" spans="1:16" s="16" customFormat="1" ht="18" customHeight="1">
      <c r="A341" s="1"/>
      <c r="B341" s="173" t="s">
        <v>367</v>
      </c>
      <c r="C341" s="174">
        <f>SUM(G116:G118)</f>
        <v>2</v>
      </c>
      <c r="D341" s="175">
        <v>4</v>
      </c>
      <c r="E341" s="176"/>
      <c r="F341" s="176"/>
      <c r="G341" s="240">
        <v>0.63</v>
      </c>
      <c r="H341" s="177">
        <f t="shared" si="56"/>
        <v>5.04</v>
      </c>
      <c r="I341" s="178" t="s">
        <v>236</v>
      </c>
      <c r="J341" s="172"/>
      <c r="K341" s="170"/>
      <c r="L341" s="170"/>
      <c r="M341" s="170"/>
      <c r="N341" s="170"/>
      <c r="O341" s="170"/>
      <c r="P341" s="170"/>
    </row>
    <row r="342" spans="1:16" ht="18" customHeight="1">
      <c r="B342" s="173" t="s">
        <v>237</v>
      </c>
      <c r="C342" s="174">
        <v>1</v>
      </c>
      <c r="D342" s="175">
        <f>(F291+F292)*10</f>
        <v>40</v>
      </c>
      <c r="E342" s="176"/>
      <c r="F342" s="176"/>
      <c r="G342" s="240">
        <v>0.37</v>
      </c>
      <c r="H342" s="177">
        <f t="shared" si="56"/>
        <v>14.8</v>
      </c>
      <c r="I342" s="178"/>
      <c r="J342" s="172"/>
      <c r="K342" s="172"/>
      <c r="L342" s="172"/>
      <c r="N342" s="43"/>
    </row>
    <row r="343" spans="1:16" ht="18" customHeight="1">
      <c r="B343" s="173" t="s">
        <v>232</v>
      </c>
      <c r="C343" s="174">
        <f>C338</f>
        <v>0</v>
      </c>
      <c r="D343" s="175">
        <v>0</v>
      </c>
      <c r="E343" s="176"/>
      <c r="F343" s="176"/>
      <c r="G343" s="240">
        <v>0.49</v>
      </c>
      <c r="H343" s="177">
        <f t="shared" si="56"/>
        <v>0</v>
      </c>
      <c r="I343" s="178" t="s">
        <v>238</v>
      </c>
      <c r="J343" s="172"/>
      <c r="K343" s="172"/>
      <c r="L343" s="172"/>
      <c r="N343" s="43"/>
    </row>
    <row r="344" spans="1:16" ht="18" customHeight="1">
      <c r="B344" s="156" t="s">
        <v>239</v>
      </c>
      <c r="C344" s="157"/>
      <c r="D344" s="250">
        <f>E203+E205*2+E207*2+I203+I205*2+I207*2</f>
        <v>40</v>
      </c>
      <c r="E344" s="148"/>
      <c r="F344" s="148"/>
      <c r="G344" s="148">
        <v>0.2</v>
      </c>
      <c r="H344" s="179">
        <f>D344*G344</f>
        <v>8</v>
      </c>
      <c r="I344" s="247" t="s">
        <v>368</v>
      </c>
      <c r="J344" s="172"/>
      <c r="K344" s="172"/>
      <c r="L344" s="172"/>
    </row>
    <row r="345" spans="1:16" ht="18" customHeight="1">
      <c r="B345" s="156" t="s">
        <v>240</v>
      </c>
      <c r="C345" s="157"/>
      <c r="D345" s="250">
        <f>4*(E52+E53+E54+E55+G52+G53+G54+G55+G60+G61+G62+G63+E130+E131+E132+G130+G131+G132+G137+G138)</f>
        <v>4</v>
      </c>
      <c r="E345" s="148"/>
      <c r="F345" s="148"/>
      <c r="G345" s="148">
        <v>0.22</v>
      </c>
      <c r="H345" s="179">
        <f>D345*G345</f>
        <v>0.88</v>
      </c>
      <c r="I345" s="247" t="s">
        <v>241</v>
      </c>
      <c r="J345" s="172"/>
      <c r="K345" s="172"/>
      <c r="L345" s="172"/>
    </row>
    <row r="346" spans="1:16" ht="18" customHeight="1">
      <c r="B346" s="156" t="s">
        <v>242</v>
      </c>
      <c r="C346" s="157"/>
      <c r="D346" s="250">
        <f>D345/2</f>
        <v>2</v>
      </c>
      <c r="E346" s="148"/>
      <c r="F346" s="148"/>
      <c r="G346" s="148">
        <v>0.22</v>
      </c>
      <c r="H346" s="179">
        <f>ROUND(D346*G346,2)</f>
        <v>0.44</v>
      </c>
      <c r="I346" s="247" t="s">
        <v>243</v>
      </c>
      <c r="J346" s="172"/>
      <c r="K346" s="172"/>
      <c r="L346" s="172"/>
    </row>
    <row r="347" spans="1:16" ht="18" customHeight="1">
      <c r="B347" s="156" t="s">
        <v>369</v>
      </c>
      <c r="C347" s="157"/>
      <c r="D347" s="250">
        <f>D346</f>
        <v>2</v>
      </c>
      <c r="E347" s="148"/>
      <c r="F347" s="148"/>
      <c r="G347" s="148">
        <v>1.37</v>
      </c>
      <c r="H347" s="179">
        <f>ROUND(D347*G347,2)</f>
        <v>2.74</v>
      </c>
      <c r="I347" s="247" t="s">
        <v>370</v>
      </c>
      <c r="J347" s="172"/>
      <c r="K347" s="172"/>
      <c r="L347" s="172"/>
    </row>
    <row r="348" spans="1:16" ht="18" customHeight="1">
      <c r="B348" s="156" t="s">
        <v>244</v>
      </c>
      <c r="C348" s="157"/>
      <c r="D348" s="250">
        <f>(F291+F292)*2</f>
        <v>8</v>
      </c>
      <c r="E348" s="148"/>
      <c r="F348" s="148"/>
      <c r="G348" s="148">
        <v>0.48</v>
      </c>
      <c r="H348" s="179">
        <f>ROUND(D348*G348,2)</f>
        <v>3.84</v>
      </c>
      <c r="I348" s="247" t="s">
        <v>245</v>
      </c>
      <c r="J348" s="255"/>
    </row>
    <row r="349" spans="1:16" ht="18" customHeight="1">
      <c r="B349" s="156" t="s">
        <v>246</v>
      </c>
      <c r="C349" s="157"/>
      <c r="D349" s="250">
        <f>ROUND((D4+E4-240)*2/200+E217*F217/200,0)</f>
        <v>57</v>
      </c>
      <c r="E349" s="148"/>
      <c r="F349" s="148"/>
      <c r="G349" s="148">
        <v>0.05</v>
      </c>
      <c r="H349" s="179">
        <f>ROUND(D349*G349,2)</f>
        <v>2.85</v>
      </c>
      <c r="I349" s="247" t="s">
        <v>247</v>
      </c>
      <c r="J349" s="255"/>
    </row>
    <row r="350" spans="1:16" ht="18" customHeight="1">
      <c r="B350" s="150" t="s">
        <v>248</v>
      </c>
      <c r="C350" s="165"/>
      <c r="D350" s="50"/>
      <c r="E350" s="50"/>
      <c r="F350" s="50"/>
      <c r="G350" s="166"/>
      <c r="H350" s="155">
        <f>SUM(H338:H349)</f>
        <v>48.670000000000009</v>
      </c>
      <c r="I350" s="152"/>
    </row>
    <row r="351" spans="1:16" ht="18" customHeight="1">
      <c r="B351" s="156" t="s">
        <v>359</v>
      </c>
      <c r="C351" s="157"/>
      <c r="D351" s="250">
        <f>SUMPRODUCT(G26:G30)*8+SUMPRODUCT(G35:G37)*8+SUMPRODUCT(G116:G118)*8+SUMPRODUCT(G123:G125)*8</f>
        <v>32</v>
      </c>
      <c r="E351" s="148"/>
      <c r="F351" s="148"/>
      <c r="G351" s="148">
        <v>1.26</v>
      </c>
      <c r="H351" s="154">
        <f>ROUND(D351*G351,2)</f>
        <v>40.32</v>
      </c>
      <c r="I351" s="247" t="s">
        <v>386</v>
      </c>
    </row>
    <row r="352" spans="1:16" ht="18" customHeight="1">
      <c r="B352" s="156" t="s">
        <v>360</v>
      </c>
      <c r="C352" s="157"/>
      <c r="D352" s="250">
        <f>G26*4+G27*4+G28*4+G29*4+G30*4</f>
        <v>0</v>
      </c>
      <c r="E352" s="148"/>
      <c r="F352" s="148"/>
      <c r="G352" s="148">
        <v>2</v>
      </c>
      <c r="H352" s="154">
        <f>ROUND(D352*G352,2)</f>
        <v>0</v>
      </c>
      <c r="I352" s="247" t="s">
        <v>361</v>
      </c>
    </row>
    <row r="353" spans="1:22" ht="18" customHeight="1">
      <c r="B353" s="156" t="s">
        <v>249</v>
      </c>
      <c r="C353" s="157"/>
      <c r="D353" s="250"/>
      <c r="E353" s="148"/>
      <c r="F353" s="148"/>
      <c r="G353" s="148">
        <v>1.6</v>
      </c>
      <c r="H353" s="154"/>
      <c r="I353" s="247"/>
    </row>
    <row r="354" spans="1:22" ht="18" customHeight="1">
      <c r="B354" s="156" t="s">
        <v>250</v>
      </c>
      <c r="C354" s="157"/>
      <c r="D354" s="44">
        <f>C22+C31+C38+C48+C56+C64+C112+C119+C126+C133+C139+C199</f>
        <v>32.35</v>
      </c>
      <c r="E354" s="148"/>
      <c r="F354" s="148"/>
      <c r="G354" s="179">
        <v>4</v>
      </c>
      <c r="H354" s="154">
        <f t="shared" ref="H354:H356" si="57">ROUND(D354*G354,2)</f>
        <v>129.4</v>
      </c>
      <c r="I354" s="247"/>
    </row>
    <row r="355" spans="1:22" ht="18" customHeight="1">
      <c r="B355" s="156" t="s">
        <v>251</v>
      </c>
      <c r="C355" s="157" t="s">
        <v>252</v>
      </c>
      <c r="D355" s="44">
        <f>C88+C163</f>
        <v>0</v>
      </c>
      <c r="E355" s="148"/>
      <c r="F355" s="148"/>
      <c r="G355" s="179">
        <v>3.15</v>
      </c>
      <c r="H355" s="154">
        <f t="shared" si="57"/>
        <v>0</v>
      </c>
      <c r="I355" s="247"/>
    </row>
    <row r="356" spans="1:22" ht="18" customHeight="1">
      <c r="B356" s="156" t="s">
        <v>253</v>
      </c>
      <c r="C356" s="157" t="s">
        <v>254</v>
      </c>
      <c r="D356" s="44">
        <f>C97+C104+C146+C153</f>
        <v>16.02</v>
      </c>
      <c r="E356" s="148"/>
      <c r="F356" s="148"/>
      <c r="G356" s="179">
        <v>3.65</v>
      </c>
      <c r="H356" s="154">
        <f t="shared" si="57"/>
        <v>58.47</v>
      </c>
      <c r="I356" s="247"/>
    </row>
    <row r="357" spans="1:22" ht="18" customHeight="1">
      <c r="B357" s="156" t="s">
        <v>387</v>
      </c>
      <c r="C357" s="157"/>
      <c r="D357" s="44">
        <f>F291+F292</f>
        <v>4</v>
      </c>
      <c r="E357" s="148"/>
      <c r="F357" s="148"/>
      <c r="G357" s="179">
        <v>6</v>
      </c>
      <c r="H357" s="154"/>
      <c r="I357" s="247"/>
    </row>
    <row r="358" spans="1:22" ht="18" customHeight="1">
      <c r="B358" s="156" t="s">
        <v>255</v>
      </c>
      <c r="C358" s="157"/>
      <c r="D358" s="180"/>
      <c r="E358" s="148"/>
      <c r="F358" s="148"/>
      <c r="G358" s="148">
        <v>70</v>
      </c>
      <c r="H358" s="154">
        <f>D358*G358</f>
        <v>0</v>
      </c>
      <c r="I358" s="247"/>
    </row>
    <row r="359" spans="1:22" ht="18" customHeight="1">
      <c r="B359" s="156" t="s">
        <v>858</v>
      </c>
      <c r="C359" s="157"/>
      <c r="D359" s="180"/>
      <c r="E359" s="148"/>
      <c r="F359" s="148"/>
      <c r="G359" s="148">
        <v>180</v>
      </c>
      <c r="H359" s="154">
        <f>D359*G359</f>
        <v>0</v>
      </c>
      <c r="I359" s="247"/>
    </row>
    <row r="360" spans="1:22" ht="18" customHeight="1">
      <c r="B360" s="156" t="s">
        <v>388</v>
      </c>
      <c r="C360" s="157"/>
      <c r="D360" s="250">
        <v>1</v>
      </c>
      <c r="E360" s="148"/>
      <c r="F360" s="148"/>
      <c r="G360" s="148">
        <v>9.6</v>
      </c>
      <c r="H360" s="154">
        <f>ROUND(D360*G360,2)</f>
        <v>9.6</v>
      </c>
      <c r="I360" s="247"/>
    </row>
    <row r="361" spans="1:22" ht="18" customHeight="1">
      <c r="B361" s="156" t="s">
        <v>901</v>
      </c>
      <c r="C361" s="157"/>
      <c r="D361" s="463">
        <f>(D4+E4)*2/1000</f>
        <v>9.4</v>
      </c>
      <c r="E361" s="148"/>
      <c r="F361" s="148"/>
      <c r="G361" s="148">
        <v>45</v>
      </c>
      <c r="H361" s="154">
        <f>ROUND(D361*G361,2)</f>
        <v>423</v>
      </c>
      <c r="I361" s="468"/>
    </row>
    <row r="362" spans="1:22" ht="18" customHeight="1">
      <c r="B362" s="181" t="s">
        <v>398</v>
      </c>
      <c r="C362" s="157"/>
      <c r="D362" s="182">
        <f>F366</f>
        <v>5.1759000000000004</v>
      </c>
      <c r="E362" s="148"/>
      <c r="F362" s="148"/>
      <c r="G362" s="148">
        <v>3</v>
      </c>
      <c r="H362" s="154">
        <f>D362*G362</f>
        <v>15.527700000000001</v>
      </c>
      <c r="I362" s="247"/>
    </row>
    <row r="363" spans="1:22" ht="18" customHeight="1">
      <c r="B363" s="150" t="s">
        <v>256</v>
      </c>
      <c r="C363" s="50"/>
      <c r="D363" s="50"/>
      <c r="E363" s="50"/>
      <c r="F363" s="50"/>
      <c r="G363" s="166"/>
      <c r="H363" s="155">
        <f>SUM(H351:H362)</f>
        <v>676.31769999999995</v>
      </c>
      <c r="I363" s="183"/>
    </row>
    <row r="364" spans="1:22" ht="18" customHeight="1">
      <c r="B364" s="248" t="s">
        <v>257</v>
      </c>
      <c r="C364" s="185"/>
      <c r="D364" s="186"/>
      <c r="E364" s="185"/>
      <c r="F364" s="186"/>
      <c r="G364" s="186"/>
      <c r="H364" s="187">
        <f>SUM(H363,H350,H337,H322,H314,H308,H304)</f>
        <v>1835.2707399999999</v>
      </c>
      <c r="I364" s="188"/>
    </row>
    <row r="365" spans="1:22" ht="18" customHeight="1">
      <c r="A365" s="189"/>
      <c r="B365" s="190" t="s">
        <v>258</v>
      </c>
      <c r="C365" s="10" t="s">
        <v>14</v>
      </c>
      <c r="D365" s="10" t="s">
        <v>16</v>
      </c>
      <c r="E365" s="10" t="s">
        <v>17</v>
      </c>
      <c r="F365" s="10" t="s">
        <v>7</v>
      </c>
      <c r="G365" s="10" t="s">
        <v>5</v>
      </c>
      <c r="H365" s="10" t="s">
        <v>18</v>
      </c>
      <c r="I365" s="191" t="s">
        <v>259</v>
      </c>
      <c r="L365" s="192"/>
      <c r="M365" s="192"/>
    </row>
    <row r="366" spans="1:22" ht="18" customHeight="1">
      <c r="B366" s="48">
        <f>ROUND(I366/F366,2)</f>
        <v>1213.22</v>
      </c>
      <c r="C366" s="50" t="s">
        <v>299</v>
      </c>
      <c r="D366" s="50">
        <f>D5</f>
        <v>2430</v>
      </c>
      <c r="E366" s="50">
        <f>E5</f>
        <v>2130</v>
      </c>
      <c r="F366" s="49">
        <f>E366*D366/1000000</f>
        <v>5.1759000000000004</v>
      </c>
      <c r="G366" s="50">
        <f>G4</f>
        <v>1</v>
      </c>
      <c r="H366" s="49">
        <f>F366</f>
        <v>5.1759000000000004</v>
      </c>
      <c r="I366" s="193">
        <f>H364+H291+H292+I223+I12</f>
        <v>6279.4883061260007</v>
      </c>
      <c r="K366" s="192"/>
    </row>
    <row r="367" spans="1:22" ht="18" customHeight="1">
      <c r="B367" s="194" t="s">
        <v>258</v>
      </c>
      <c r="C367" s="195" t="s">
        <v>260</v>
      </c>
      <c r="D367" s="195" t="s">
        <v>261</v>
      </c>
      <c r="E367" s="195" t="s">
        <v>262</v>
      </c>
      <c r="F367" s="195" t="s">
        <v>263</v>
      </c>
      <c r="G367" s="195" t="s">
        <v>264</v>
      </c>
      <c r="H367" s="195" t="s">
        <v>265</v>
      </c>
      <c r="I367" s="196" t="s">
        <v>266</v>
      </c>
    </row>
    <row r="368" spans="1:22" ht="30" customHeight="1" thickBot="1">
      <c r="B368" s="197">
        <f>ROUND(I366/H366,2)</f>
        <v>1213.22</v>
      </c>
      <c r="C368" s="198">
        <f>E294+E296+E298+E300+E302+E303+E297+E299</f>
        <v>3</v>
      </c>
      <c r="D368" s="199"/>
      <c r="E368" s="199"/>
      <c r="F368" s="200"/>
      <c r="G368" s="200"/>
      <c r="H368" s="200"/>
      <c r="I368" s="201"/>
      <c r="O368" s="631" t="s">
        <v>603</v>
      </c>
      <c r="P368" s="631"/>
      <c r="Q368" s="631"/>
      <c r="R368" s="631"/>
      <c r="S368" s="631"/>
      <c r="T368" s="631"/>
      <c r="U368" s="631"/>
      <c r="V368" s="631"/>
    </row>
    <row r="369" spans="2:22" ht="20.100000000000001" customHeight="1">
      <c r="B369" s="42"/>
      <c r="L369" s="202"/>
      <c r="M369" s="202"/>
      <c r="N369" s="202"/>
      <c r="O369" s="634" t="s">
        <v>604</v>
      </c>
      <c r="P369" s="634"/>
      <c r="Q369" s="634"/>
      <c r="R369" s="634"/>
      <c r="S369" s="634"/>
      <c r="T369" s="634"/>
      <c r="U369" s="634"/>
      <c r="V369" s="634"/>
    </row>
    <row r="370" spans="2:22" ht="20.100000000000001" customHeight="1">
      <c r="B370" s="102" t="s">
        <v>862</v>
      </c>
      <c r="C370" s="203"/>
      <c r="D370" s="203" t="s">
        <v>267</v>
      </c>
      <c r="E370" s="203"/>
      <c r="J370" s="102"/>
      <c r="O370" s="285" t="s">
        <v>279</v>
      </c>
      <c r="P370" s="624" t="s">
        <v>629</v>
      </c>
      <c r="Q370" s="625"/>
      <c r="R370" s="312" t="str">
        <f ca="1">B4</f>
        <v>MLC2522</v>
      </c>
      <c r="S370" s="312"/>
      <c r="T370" s="313"/>
      <c r="U370" s="287" t="s">
        <v>605</v>
      </c>
      <c r="V370" s="288"/>
    </row>
    <row r="371" spans="2:22" ht="24.95" customHeight="1">
      <c r="B371" s="102">
        <f>ROUND(I366/F6,2)</f>
        <v>1223.98</v>
      </c>
      <c r="C371" s="203">
        <f>U392</f>
        <v>1711.7588916850436</v>
      </c>
      <c r="D371" s="203">
        <f>E304</f>
        <v>3</v>
      </c>
      <c r="E371" s="203"/>
      <c r="J371" s="102"/>
      <c r="O371" s="635" t="s">
        <v>606</v>
      </c>
      <c r="P371" s="623" t="s">
        <v>626</v>
      </c>
      <c r="Q371" s="623"/>
      <c r="R371" s="623"/>
      <c r="S371" s="623"/>
      <c r="T371" s="637"/>
      <c r="U371" s="291" t="s">
        <v>607</v>
      </c>
      <c r="V371" s="292" t="s">
        <v>313</v>
      </c>
    </row>
    <row r="372" spans="2:22" ht="24.95" customHeight="1">
      <c r="L372" s="102"/>
      <c r="M372" s="102"/>
      <c r="N372" s="102"/>
      <c r="O372" s="636"/>
      <c r="P372" s="638"/>
      <c r="Q372" s="638"/>
      <c r="R372" s="638"/>
      <c r="S372" s="638"/>
      <c r="T372" s="638"/>
      <c r="U372" s="291" t="s">
        <v>268</v>
      </c>
      <c r="V372" s="293">
        <f>F4</f>
        <v>4.5999999999999996</v>
      </c>
    </row>
    <row r="373" spans="2:22" ht="24.95" customHeight="1">
      <c r="J373" s="102"/>
      <c r="K373" s="102"/>
      <c r="L373" s="102"/>
      <c r="M373" s="102"/>
      <c r="N373" s="102"/>
      <c r="O373" s="311" t="s">
        <v>0</v>
      </c>
      <c r="P373" s="289" t="s">
        <v>608</v>
      </c>
      <c r="Q373" s="289" t="s">
        <v>627</v>
      </c>
      <c r="R373" s="289" t="s">
        <v>269</v>
      </c>
      <c r="S373" s="294" t="s">
        <v>8</v>
      </c>
      <c r="T373" s="295" t="s">
        <v>609</v>
      </c>
      <c r="U373" s="296" t="s">
        <v>270</v>
      </c>
      <c r="V373" s="295" t="s">
        <v>610</v>
      </c>
    </row>
    <row r="374" spans="2:22" ht="20.100000000000001" customHeight="1">
      <c r="J374" s="102"/>
      <c r="K374" s="102"/>
      <c r="L374" s="102"/>
      <c r="M374" s="102"/>
      <c r="N374" s="102"/>
      <c r="O374" s="297" t="s">
        <v>305</v>
      </c>
      <c r="P374" s="298" t="s">
        <v>611</v>
      </c>
      <c r="Q374" s="298"/>
      <c r="R374" s="286"/>
      <c r="S374" s="299"/>
      <c r="T374" s="300"/>
      <c r="U374" s="301">
        <f>SUM(U375:U383)</f>
        <v>5733.7424181260003</v>
      </c>
      <c r="V374" s="286"/>
    </row>
    <row r="375" spans="2:22" ht="20.100000000000001" customHeight="1">
      <c r="J375" s="102"/>
      <c r="K375" s="102"/>
      <c r="L375" s="102"/>
      <c r="M375" s="102"/>
      <c r="N375" s="102"/>
      <c r="O375" s="286">
        <v>1</v>
      </c>
      <c r="P375" s="302" t="s">
        <v>612</v>
      </c>
      <c r="Q375" s="307"/>
      <c r="R375" s="286" t="s">
        <v>271</v>
      </c>
      <c r="S375" s="303">
        <f>E223</f>
        <v>81.746409600000007</v>
      </c>
      <c r="T375" s="304">
        <f>I223/E223</f>
        <v>47.345902836153435</v>
      </c>
      <c r="U375" s="305">
        <f t="shared" ref="U375:U383" si="58">T375*S375</f>
        <v>3870.3575661260006</v>
      </c>
      <c r="V375" s="306"/>
    </row>
    <row r="376" spans="2:22" ht="20.100000000000001" customHeight="1">
      <c r="J376" s="102"/>
      <c r="K376" s="102"/>
      <c r="L376" s="102"/>
      <c r="M376" s="102"/>
      <c r="N376" s="102"/>
      <c r="O376" s="286">
        <v>2</v>
      </c>
      <c r="P376" s="290" t="s">
        <v>613</v>
      </c>
      <c r="Q376" s="307"/>
      <c r="R376" s="286" t="s">
        <v>276</v>
      </c>
      <c r="S376" s="303">
        <f>D358</f>
        <v>0</v>
      </c>
      <c r="T376" s="304">
        <f>G358</f>
        <v>70</v>
      </c>
      <c r="U376" s="305">
        <f t="shared" si="58"/>
        <v>0</v>
      </c>
      <c r="V376" s="306"/>
    </row>
    <row r="377" spans="2:22" ht="20.100000000000001" customHeight="1">
      <c r="J377" s="102"/>
      <c r="K377" s="102"/>
      <c r="L377" s="102"/>
      <c r="M377" s="102"/>
      <c r="N377" s="102"/>
      <c r="O377" s="286">
        <v>3</v>
      </c>
      <c r="P377" s="302" t="s">
        <v>614</v>
      </c>
      <c r="Q377" s="302"/>
      <c r="R377" s="286" t="s">
        <v>312</v>
      </c>
      <c r="S377" s="303">
        <f>D291+D292</f>
        <v>2.9737439999999999</v>
      </c>
      <c r="T377" s="304">
        <f>材料价格!B10</f>
        <v>148</v>
      </c>
      <c r="U377" s="305">
        <f t="shared" si="58"/>
        <v>440.11411199999998</v>
      </c>
      <c r="V377" s="306"/>
    </row>
    <row r="378" spans="2:22" ht="20.100000000000001" customHeight="1">
      <c r="B378" s="630" t="s">
        <v>277</v>
      </c>
      <c r="C378" s="630"/>
      <c r="D378" s="630"/>
      <c r="E378" s="630"/>
      <c r="F378" s="630"/>
      <c r="G378" s="630"/>
      <c r="H378" s="630"/>
      <c r="I378" s="630"/>
      <c r="J378" s="102"/>
      <c r="K378" s="102"/>
      <c r="L378" s="102"/>
      <c r="M378" s="102"/>
      <c r="N378" s="102"/>
      <c r="O378" s="286">
        <v>4</v>
      </c>
      <c r="P378" s="302" t="s">
        <v>615</v>
      </c>
      <c r="Q378" s="306"/>
      <c r="R378" s="286" t="s">
        <v>278</v>
      </c>
      <c r="S378" s="303">
        <f>(H316+H317+H319+H320+H321)/F316</f>
        <v>9.7558685446009399</v>
      </c>
      <c r="T378" s="304">
        <f>材料价格!B25</f>
        <v>8.52</v>
      </c>
      <c r="U378" s="305">
        <f t="shared" si="58"/>
        <v>83.12</v>
      </c>
      <c r="V378" s="306"/>
    </row>
    <row r="379" spans="2:22" ht="20.100000000000001" customHeight="1">
      <c r="B379" s="204" t="s">
        <v>279</v>
      </c>
      <c r="C379" s="205" t="s">
        <v>280</v>
      </c>
      <c r="D379" s="205" t="s">
        <v>281</v>
      </c>
      <c r="E379" s="205" t="s">
        <v>282</v>
      </c>
      <c r="F379" s="205" t="s">
        <v>379</v>
      </c>
      <c r="G379" s="205"/>
      <c r="H379" s="205" t="s">
        <v>28</v>
      </c>
      <c r="I379" s="205" t="s">
        <v>259</v>
      </c>
      <c r="J379" s="102"/>
      <c r="K379" s="102"/>
      <c r="L379" s="102"/>
      <c r="M379" s="102"/>
      <c r="N379" s="102"/>
      <c r="O379" s="286">
        <v>5</v>
      </c>
      <c r="P379" s="306" t="s">
        <v>616</v>
      </c>
      <c r="Q379" s="302"/>
      <c r="R379" s="286" t="s">
        <v>628</v>
      </c>
      <c r="S379" s="303">
        <f>H337/21</f>
        <v>4.8782400000000008</v>
      </c>
      <c r="T379" s="304">
        <v>21</v>
      </c>
      <c r="U379" s="305">
        <f t="shared" si="58"/>
        <v>102.44304000000001</v>
      </c>
      <c r="V379" s="306"/>
    </row>
    <row r="380" spans="2:22" ht="20.100000000000001" customHeight="1">
      <c r="B380" s="206" t="s">
        <v>284</v>
      </c>
      <c r="C380" s="208" t="s">
        <v>384</v>
      </c>
      <c r="D380" s="207">
        <f>C22+C31+C38+C48+C56+C112+C119+C126+C133+C139+C177+C184+C191+C199</f>
        <v>33.65</v>
      </c>
      <c r="E380" s="207" t="s">
        <v>383</v>
      </c>
      <c r="F380" s="206"/>
      <c r="G380" s="206"/>
      <c r="H380" s="241">
        <v>2.4</v>
      </c>
      <c r="I380" s="207"/>
      <c r="J380" s="102"/>
      <c r="K380" s="102"/>
      <c r="L380" s="102"/>
      <c r="M380" s="102"/>
      <c r="N380" s="102"/>
      <c r="O380" s="286">
        <v>6</v>
      </c>
      <c r="P380" s="302" t="s">
        <v>319</v>
      </c>
      <c r="Q380" s="302"/>
      <c r="R380" s="286" t="s">
        <v>273</v>
      </c>
      <c r="S380" s="303"/>
      <c r="T380" s="304"/>
      <c r="U380" s="305">
        <f t="shared" si="58"/>
        <v>0</v>
      </c>
      <c r="V380" s="306"/>
    </row>
    <row r="381" spans="2:22" ht="20.100000000000001" customHeight="1">
      <c r="B381" s="206" t="s">
        <v>286</v>
      </c>
      <c r="C381" s="206" t="s">
        <v>287</v>
      </c>
      <c r="D381" s="209">
        <f>(J22+J31+J38+J48+J112+J119+J126)*4+(J56+J133)*2</f>
        <v>24</v>
      </c>
      <c r="E381" s="207" t="s">
        <v>285</v>
      </c>
      <c r="F381" s="206"/>
      <c r="G381" s="206"/>
      <c r="H381" s="241">
        <v>0.5</v>
      </c>
      <c r="I381" s="207">
        <f>H381*D381</f>
        <v>12</v>
      </c>
      <c r="J381" s="102"/>
      <c r="K381" s="102"/>
      <c r="L381" s="102"/>
      <c r="M381" s="102"/>
      <c r="N381" s="102"/>
      <c r="O381" s="286">
        <v>7</v>
      </c>
      <c r="P381" s="302" t="s">
        <v>295</v>
      </c>
      <c r="Q381" s="302"/>
      <c r="R381" s="286" t="s">
        <v>273</v>
      </c>
      <c r="S381" s="303"/>
      <c r="T381" s="304">
        <f>材料价格!B19</f>
        <v>230</v>
      </c>
      <c r="U381" s="305">
        <f t="shared" si="58"/>
        <v>0</v>
      </c>
      <c r="V381" s="306"/>
    </row>
    <row r="382" spans="2:22" ht="20.100000000000001" customHeight="1">
      <c r="B382" s="206" t="s">
        <v>289</v>
      </c>
      <c r="C382" s="206"/>
      <c r="D382" s="210">
        <f>ROUND((C22+C56*2+C64*2+C112+C133*2+C139*2)/0.3,0)+2</f>
        <v>56</v>
      </c>
      <c r="E382" s="207" t="s">
        <v>285</v>
      </c>
      <c r="F382" s="206"/>
      <c r="G382" s="206"/>
      <c r="H382" s="241">
        <v>0.3</v>
      </c>
      <c r="I382" s="207">
        <f t="shared" ref="I382:I387" si="59">H382*D382</f>
        <v>16.8</v>
      </c>
      <c r="J382" s="102"/>
      <c r="K382" s="102"/>
      <c r="L382" s="102"/>
      <c r="M382" s="102"/>
      <c r="N382" s="102"/>
      <c r="O382" s="286">
        <v>8</v>
      </c>
      <c r="P382" s="302" t="s">
        <v>296</v>
      </c>
      <c r="Q382" s="302"/>
      <c r="R382" s="286" t="s">
        <v>273</v>
      </c>
      <c r="S382" s="303">
        <f>E303</f>
        <v>1</v>
      </c>
      <c r="T382" s="304">
        <f>材料价格!B20</f>
        <v>335</v>
      </c>
      <c r="U382" s="305">
        <f t="shared" si="58"/>
        <v>335</v>
      </c>
      <c r="V382" s="306"/>
    </row>
    <row r="383" spans="2:22" ht="20.100000000000001" customHeight="1">
      <c r="B383" s="206" t="s">
        <v>381</v>
      </c>
      <c r="C383" s="206" t="s">
        <v>389</v>
      </c>
      <c r="D383" s="211">
        <f>C22+C31+C38+C56*2+C64*2+C112+C119+C126+C133*2</f>
        <v>30.228000000000002</v>
      </c>
      <c r="E383" s="207" t="s">
        <v>285</v>
      </c>
      <c r="F383" s="206" t="s">
        <v>380</v>
      </c>
      <c r="G383" s="206"/>
      <c r="H383" s="241">
        <v>2.81</v>
      </c>
      <c r="I383" s="207">
        <f>H383*D383</f>
        <v>84.94068</v>
      </c>
      <c r="J383" s="102"/>
      <c r="K383" s="102"/>
      <c r="L383" s="102"/>
      <c r="M383" s="102"/>
      <c r="N383" s="102"/>
      <c r="O383" s="286">
        <v>9</v>
      </c>
      <c r="P383" s="302" t="s">
        <v>617</v>
      </c>
      <c r="Q383" s="302"/>
      <c r="R383" s="286" t="s">
        <v>618</v>
      </c>
      <c r="S383" s="296">
        <v>1</v>
      </c>
      <c r="T383" s="304">
        <f>H363-H358+H350+H318+H315+H314</f>
        <v>902.70769999999993</v>
      </c>
      <c r="U383" s="305">
        <f t="shared" si="58"/>
        <v>902.70769999999993</v>
      </c>
      <c r="V383" s="306"/>
    </row>
    <row r="384" spans="2:22" ht="20.100000000000001" customHeight="1">
      <c r="B384" s="206" t="s">
        <v>390</v>
      </c>
      <c r="C384" s="206" t="s">
        <v>392</v>
      </c>
      <c r="D384" s="211">
        <f>C22+C88+C112+C163</f>
        <v>12</v>
      </c>
      <c r="E384" s="207" t="s">
        <v>285</v>
      </c>
      <c r="F384" s="206" t="s">
        <v>394</v>
      </c>
      <c r="G384" s="206"/>
      <c r="H384" s="241">
        <v>3.27</v>
      </c>
      <c r="I384" s="207">
        <f t="shared" ref="I384" si="60">H384*D384</f>
        <v>39.24</v>
      </c>
      <c r="J384" s="102"/>
      <c r="K384" s="102"/>
      <c r="L384" s="102"/>
      <c r="M384" s="102"/>
      <c r="N384" s="102"/>
      <c r="O384" s="297" t="s">
        <v>306</v>
      </c>
      <c r="P384" s="308" t="s">
        <v>314</v>
      </c>
      <c r="Q384" s="298"/>
      <c r="R384" s="286"/>
      <c r="S384" s="296"/>
      <c r="T384" s="309"/>
      <c r="U384" s="301">
        <f>SUM(U385:U386)</f>
        <v>736</v>
      </c>
      <c r="V384" s="286"/>
    </row>
    <row r="385" spans="2:22" ht="20.100000000000001" customHeight="1">
      <c r="B385" s="206" t="s">
        <v>391</v>
      </c>
      <c r="C385" s="206" t="s">
        <v>393</v>
      </c>
      <c r="D385" s="211">
        <f>(C97+C104+C119+C126)*2</f>
        <v>34.503999999999998</v>
      </c>
      <c r="E385" s="207" t="s">
        <v>285</v>
      </c>
      <c r="F385" s="206" t="s">
        <v>395</v>
      </c>
      <c r="G385" s="206"/>
      <c r="H385" s="241">
        <v>1.74</v>
      </c>
      <c r="I385" s="207">
        <f t="shared" si="59"/>
        <v>60.036959999999993</v>
      </c>
      <c r="J385" s="102"/>
      <c r="K385" s="102"/>
      <c r="L385" s="102"/>
      <c r="M385" s="102"/>
      <c r="N385" s="102"/>
      <c r="O385" s="286">
        <v>1</v>
      </c>
      <c r="P385" s="307" t="s">
        <v>619</v>
      </c>
      <c r="Q385" s="307"/>
      <c r="R385" s="300" t="s">
        <v>312</v>
      </c>
      <c r="S385" s="296">
        <f>V372</f>
        <v>4.5999999999999996</v>
      </c>
      <c r="T385" s="310">
        <v>60</v>
      </c>
      <c r="U385" s="305">
        <f>T385*S385</f>
        <v>276</v>
      </c>
      <c r="V385" s="286"/>
    </row>
    <row r="386" spans="2:22" ht="20.100000000000001" customHeight="1">
      <c r="B386" s="208" t="s">
        <v>382</v>
      </c>
      <c r="C386" s="206" t="s">
        <v>291</v>
      </c>
      <c r="D386" s="211">
        <f>D338+D339+D341</f>
        <v>10</v>
      </c>
      <c r="E386" s="207" t="s">
        <v>285</v>
      </c>
      <c r="F386" s="206"/>
      <c r="G386" s="206"/>
      <c r="H386" s="241">
        <v>0.56999999999999995</v>
      </c>
      <c r="I386" s="207">
        <f>H386*D386</f>
        <v>5.6999999999999993</v>
      </c>
      <c r="J386" s="102"/>
      <c r="K386" s="102"/>
      <c r="L386" s="102"/>
      <c r="M386" s="102"/>
      <c r="N386" s="102"/>
      <c r="O386" s="286">
        <v>2</v>
      </c>
      <c r="P386" s="307" t="s">
        <v>288</v>
      </c>
      <c r="Q386" s="307"/>
      <c r="R386" s="300" t="s">
        <v>312</v>
      </c>
      <c r="S386" s="296">
        <f>V372</f>
        <v>4.5999999999999996</v>
      </c>
      <c r="T386" s="310">
        <v>100</v>
      </c>
      <c r="U386" s="305">
        <f>T386*S386</f>
        <v>459.99999999999994</v>
      </c>
      <c r="V386" s="286"/>
    </row>
    <row r="387" spans="2:22" ht="20.100000000000001" customHeight="1">
      <c r="B387" s="206" t="s">
        <v>292</v>
      </c>
      <c r="C387" s="206"/>
      <c r="D387" s="211">
        <f>H366</f>
        <v>5.1759000000000004</v>
      </c>
      <c r="E387" s="207" t="s">
        <v>285</v>
      </c>
      <c r="F387" s="206"/>
      <c r="G387" s="206"/>
      <c r="H387" s="241">
        <v>20</v>
      </c>
      <c r="I387" s="207">
        <f t="shared" si="59"/>
        <v>103.518</v>
      </c>
      <c r="J387" s="102"/>
      <c r="K387" s="102"/>
      <c r="L387" s="102"/>
      <c r="M387" s="102"/>
      <c r="N387" s="102"/>
      <c r="O387" s="297" t="s">
        <v>307</v>
      </c>
      <c r="P387" s="308" t="s">
        <v>290</v>
      </c>
      <c r="Q387" s="298"/>
      <c r="R387" s="286"/>
      <c r="S387" s="296"/>
      <c r="T387" s="309"/>
      <c r="U387" s="301">
        <f>SUM(U388)</f>
        <v>92</v>
      </c>
      <c r="V387" s="286"/>
    </row>
    <row r="388" spans="2:22" ht="20.100000000000001" customHeight="1">
      <c r="B388" s="212" t="s">
        <v>4</v>
      </c>
      <c r="C388" s="213"/>
      <c r="D388" s="212"/>
      <c r="E388" s="212"/>
      <c r="F388" s="212"/>
      <c r="G388" s="212"/>
      <c r="H388" s="212"/>
      <c r="I388" s="213">
        <f>SUM(I380:I387)</f>
        <v>322.23563999999999</v>
      </c>
      <c r="J388" s="242"/>
      <c r="K388" s="102"/>
      <c r="L388" s="102"/>
      <c r="M388" s="102"/>
      <c r="N388" s="102"/>
      <c r="O388" s="286">
        <v>1</v>
      </c>
      <c r="P388" s="307" t="s">
        <v>290</v>
      </c>
      <c r="Q388" s="307"/>
      <c r="R388" s="300" t="s">
        <v>312</v>
      </c>
      <c r="S388" s="296">
        <f>V372</f>
        <v>4.5999999999999996</v>
      </c>
      <c r="T388" s="310">
        <v>20</v>
      </c>
      <c r="U388" s="305">
        <f>T388*S388</f>
        <v>92</v>
      </c>
      <c r="V388" s="286"/>
    </row>
    <row r="389" spans="2:22" ht="20.100000000000001" customHeight="1">
      <c r="J389" s="102"/>
      <c r="K389" s="102"/>
      <c r="L389" s="102"/>
      <c r="M389" s="102"/>
      <c r="N389" s="102"/>
      <c r="O389" s="286" t="s">
        <v>308</v>
      </c>
      <c r="P389" s="618" t="s">
        <v>620</v>
      </c>
      <c r="Q389" s="619"/>
      <c r="R389" s="620"/>
      <c r="S389" s="621"/>
      <c r="T389" s="622"/>
      <c r="U389" s="301">
        <f>U374+U384+U387</f>
        <v>6561.7424181260003</v>
      </c>
      <c r="V389" s="286"/>
    </row>
    <row r="390" spans="2:22" ht="20.100000000000001" customHeight="1">
      <c r="J390" s="102"/>
      <c r="K390" s="102"/>
      <c r="L390" s="102"/>
      <c r="M390" s="102"/>
      <c r="N390" s="102"/>
      <c r="O390" s="286" t="s">
        <v>309</v>
      </c>
      <c r="P390" s="618" t="s">
        <v>621</v>
      </c>
      <c r="Q390" s="619"/>
      <c r="R390" s="626">
        <v>0.2</v>
      </c>
      <c r="S390" s="627"/>
      <c r="T390" s="628"/>
      <c r="U390" s="301">
        <f>U389*R390</f>
        <v>1312.3484836252001</v>
      </c>
      <c r="V390" s="286"/>
    </row>
    <row r="391" spans="2:22" ht="20.100000000000001" customHeight="1">
      <c r="J391" s="102"/>
      <c r="K391" s="102"/>
      <c r="L391" s="102"/>
      <c r="M391" s="102"/>
      <c r="N391" s="102"/>
      <c r="O391" s="286" t="s">
        <v>310</v>
      </c>
      <c r="P391" s="618" t="s">
        <v>622</v>
      </c>
      <c r="Q391" s="619"/>
      <c r="R391" s="620"/>
      <c r="S391" s="621"/>
      <c r="T391" s="622"/>
      <c r="U391" s="301">
        <f>U389+U390</f>
        <v>7874.0909017512004</v>
      </c>
      <c r="V391" s="286"/>
    </row>
    <row r="392" spans="2:22" ht="30" customHeight="1">
      <c r="L392" s="102"/>
      <c r="M392" s="102"/>
      <c r="N392" s="102"/>
      <c r="O392" s="297" t="s">
        <v>311</v>
      </c>
      <c r="P392" s="618" t="s">
        <v>623</v>
      </c>
      <c r="Q392" s="619"/>
      <c r="R392" s="620"/>
      <c r="S392" s="621"/>
      <c r="T392" s="622"/>
      <c r="U392" s="301">
        <f>U391/V372</f>
        <v>1711.7588916850436</v>
      </c>
      <c r="V392" s="286" t="s">
        <v>624</v>
      </c>
    </row>
    <row r="393" spans="2:22" ht="45" customHeight="1">
      <c r="L393" s="102"/>
      <c r="M393" s="102"/>
      <c r="N393" s="102"/>
      <c r="O393" s="623" t="s">
        <v>625</v>
      </c>
      <c r="P393" s="623"/>
      <c r="Q393" s="623"/>
      <c r="R393" s="623"/>
      <c r="S393" s="623"/>
      <c r="T393" s="623"/>
      <c r="U393" s="623"/>
      <c r="V393" s="623"/>
    </row>
    <row r="394" spans="2:22" ht="18" customHeight="1">
      <c r="L394" s="102"/>
      <c r="M394" s="102"/>
      <c r="N394" s="102"/>
      <c r="O394" s="102"/>
      <c r="P394" s="102"/>
    </row>
    <row r="395" spans="2:22">
      <c r="L395" s="102"/>
      <c r="M395" s="102"/>
      <c r="N395" s="102"/>
      <c r="O395" s="102"/>
      <c r="P395" s="102"/>
    </row>
    <row r="396" spans="2:22">
      <c r="L396" s="102"/>
      <c r="M396" s="102"/>
      <c r="N396" s="102"/>
      <c r="O396" s="102"/>
      <c r="P396" s="102"/>
    </row>
    <row r="397" spans="2:22">
      <c r="L397" s="102"/>
      <c r="M397" s="102"/>
      <c r="N397" s="102"/>
      <c r="O397" s="102"/>
      <c r="P397" s="102"/>
    </row>
    <row r="398" spans="2:22">
      <c r="L398" s="102"/>
      <c r="M398" s="102"/>
      <c r="N398" s="102"/>
      <c r="O398" s="102"/>
      <c r="P398" s="102"/>
    </row>
    <row r="399" spans="2:22">
      <c r="L399" s="102"/>
      <c r="M399" s="102"/>
      <c r="N399" s="102"/>
      <c r="O399" s="102"/>
      <c r="P399" s="102"/>
    </row>
    <row r="400" spans="2:22">
      <c r="L400" s="102"/>
      <c r="M400" s="102"/>
      <c r="N400" s="102"/>
      <c r="O400" s="102"/>
      <c r="P400" s="102"/>
    </row>
    <row r="401" spans="12:16">
      <c r="L401" s="102"/>
      <c r="M401" s="102"/>
      <c r="N401" s="102"/>
      <c r="O401" s="102"/>
      <c r="P401" s="102"/>
    </row>
    <row r="402" spans="12:16">
      <c r="L402" s="102"/>
      <c r="M402" s="102"/>
      <c r="N402" s="102"/>
      <c r="O402" s="102"/>
      <c r="P402" s="102"/>
    </row>
    <row r="403" spans="12:16">
      <c r="L403" s="102"/>
      <c r="M403" s="102"/>
      <c r="N403" s="102"/>
      <c r="O403" s="102"/>
      <c r="P403" s="102"/>
    </row>
    <row r="404" spans="12:16">
      <c r="L404" s="102"/>
      <c r="M404" s="102"/>
      <c r="N404" s="102"/>
      <c r="O404" s="102"/>
      <c r="P404" s="102"/>
    </row>
    <row r="405" spans="12:16">
      <c r="L405" s="102"/>
      <c r="M405" s="102"/>
      <c r="N405" s="102"/>
      <c r="O405" s="102"/>
      <c r="P405" s="102"/>
    </row>
    <row r="406" spans="12:16">
      <c r="L406" s="102"/>
      <c r="M406" s="102"/>
      <c r="N406" s="102"/>
      <c r="O406" s="102"/>
      <c r="P406" s="102"/>
    </row>
    <row r="407" spans="12:16">
      <c r="L407" s="102"/>
      <c r="M407" s="102"/>
      <c r="N407" s="102"/>
      <c r="O407" s="102"/>
      <c r="P407" s="102"/>
    </row>
    <row r="408" spans="12:16">
      <c r="L408" s="102"/>
      <c r="M408" s="102"/>
      <c r="N408" s="102"/>
      <c r="O408" s="102"/>
      <c r="P408" s="102"/>
    </row>
    <row r="409" spans="12:16">
      <c r="L409" s="102"/>
      <c r="M409" s="102"/>
      <c r="N409" s="102"/>
      <c r="O409" s="102"/>
      <c r="P409" s="102"/>
    </row>
    <row r="410" spans="12:16">
      <c r="L410" s="102"/>
      <c r="M410" s="102"/>
      <c r="N410" s="102"/>
      <c r="O410" s="102"/>
      <c r="P410" s="102"/>
    </row>
    <row r="411" spans="12:16">
      <c r="L411" s="102"/>
      <c r="M411" s="102"/>
      <c r="N411" s="102"/>
      <c r="O411" s="102"/>
      <c r="P411" s="102"/>
    </row>
    <row r="412" spans="12:16">
      <c r="L412" s="102"/>
      <c r="M412" s="102"/>
      <c r="N412" s="102"/>
      <c r="O412" s="102"/>
      <c r="P412" s="102"/>
    </row>
    <row r="413" spans="12:16">
      <c r="L413" s="102"/>
      <c r="M413" s="102"/>
      <c r="N413" s="102"/>
      <c r="O413" s="102"/>
      <c r="P413" s="102"/>
    </row>
    <row r="414" spans="12:16">
      <c r="L414" s="102"/>
      <c r="M414" s="102"/>
      <c r="N414" s="102"/>
      <c r="O414" s="102"/>
      <c r="P414" s="102"/>
    </row>
    <row r="415" spans="12:16">
      <c r="L415" s="102"/>
      <c r="M415" s="102"/>
      <c r="N415" s="102"/>
      <c r="O415" s="102"/>
      <c r="P415" s="102"/>
    </row>
    <row r="416" spans="12:16">
      <c r="L416" s="102"/>
      <c r="M416" s="102"/>
      <c r="N416" s="102"/>
      <c r="O416" s="102"/>
      <c r="P416" s="102"/>
    </row>
    <row r="417" spans="10:16">
      <c r="L417" s="102"/>
      <c r="M417" s="102"/>
      <c r="N417" s="102"/>
      <c r="O417" s="102"/>
      <c r="P417" s="102"/>
    </row>
    <row r="418" spans="10:16">
      <c r="L418" s="102"/>
      <c r="M418" s="102"/>
      <c r="N418" s="102"/>
      <c r="O418" s="102"/>
      <c r="P418" s="102"/>
    </row>
    <row r="419" spans="10:16">
      <c r="L419" s="102"/>
      <c r="M419" s="102"/>
      <c r="N419" s="102"/>
      <c r="O419" s="102"/>
      <c r="P419" s="102"/>
    </row>
    <row r="420" spans="10:16">
      <c r="L420" s="102"/>
      <c r="M420" s="102"/>
      <c r="N420" s="102"/>
      <c r="O420" s="102"/>
      <c r="P420" s="102"/>
    </row>
    <row r="421" spans="10:16">
      <c r="L421" s="102"/>
      <c r="M421" s="102"/>
      <c r="N421" s="102"/>
      <c r="O421" s="102"/>
      <c r="P421" s="102"/>
    </row>
    <row r="422" spans="10:16">
      <c r="L422" s="102"/>
      <c r="M422" s="102"/>
      <c r="N422" s="102"/>
      <c r="O422" s="102"/>
      <c r="P422" s="102"/>
    </row>
    <row r="423" spans="10:16">
      <c r="L423" s="102"/>
      <c r="M423" s="102"/>
      <c r="N423" s="102"/>
      <c r="O423" s="102"/>
      <c r="P423" s="102"/>
    </row>
    <row r="424" spans="10:16">
      <c r="L424" s="102"/>
      <c r="M424" s="102"/>
      <c r="N424" s="102"/>
      <c r="O424" s="102"/>
      <c r="P424" s="102"/>
    </row>
    <row r="425" spans="10:16">
      <c r="L425" s="102"/>
      <c r="M425" s="102"/>
      <c r="N425" s="102"/>
      <c r="O425" s="102"/>
      <c r="P425" s="102"/>
    </row>
    <row r="426" spans="10:16">
      <c r="L426" s="102"/>
      <c r="M426" s="102"/>
      <c r="N426" s="102"/>
      <c r="O426" s="102"/>
      <c r="P426" s="102"/>
    </row>
    <row r="427" spans="10:16">
      <c r="J427" s="102"/>
      <c r="K427" s="102"/>
      <c r="L427" s="102"/>
      <c r="M427" s="102"/>
      <c r="N427" s="102"/>
      <c r="O427" s="102"/>
      <c r="P427" s="102"/>
    </row>
    <row r="428" spans="10:16">
      <c r="J428" s="102"/>
      <c r="K428" s="102"/>
      <c r="L428" s="102"/>
      <c r="M428" s="102"/>
      <c r="N428" s="102"/>
      <c r="O428" s="102"/>
      <c r="P428" s="102"/>
    </row>
    <row r="429" spans="10:16">
      <c r="J429" s="102"/>
      <c r="K429" s="102"/>
      <c r="L429" s="102"/>
      <c r="M429" s="102"/>
      <c r="N429" s="102"/>
      <c r="O429" s="102"/>
      <c r="P429" s="102"/>
    </row>
    <row r="430" spans="10:16">
      <c r="J430" s="102"/>
      <c r="K430" s="102"/>
      <c r="L430" s="102"/>
      <c r="M430" s="102"/>
      <c r="N430" s="102"/>
      <c r="O430" s="102"/>
      <c r="P430" s="102"/>
    </row>
    <row r="431" spans="10:16">
      <c r="J431" s="102"/>
      <c r="K431" s="102"/>
      <c r="L431" s="102"/>
      <c r="M431" s="102"/>
      <c r="N431" s="102"/>
      <c r="O431" s="102"/>
      <c r="P431" s="102"/>
    </row>
    <row r="432" spans="10:16">
      <c r="J432" s="102"/>
      <c r="K432" s="102"/>
      <c r="L432" s="102"/>
      <c r="M432" s="102"/>
      <c r="N432" s="102"/>
      <c r="O432" s="102"/>
      <c r="P432" s="102"/>
    </row>
    <row r="433" spans="10:16">
      <c r="J433" s="102"/>
      <c r="K433" s="102"/>
      <c r="L433" s="102"/>
      <c r="M433" s="102"/>
      <c r="N433" s="102"/>
      <c r="O433" s="102"/>
      <c r="P433" s="102"/>
    </row>
    <row r="434" spans="10:16">
      <c r="J434" s="102"/>
      <c r="K434" s="102"/>
      <c r="L434" s="102"/>
      <c r="M434" s="102"/>
      <c r="N434" s="102"/>
      <c r="O434" s="102"/>
      <c r="P434" s="102"/>
    </row>
    <row r="435" spans="10:16">
      <c r="J435" s="102"/>
      <c r="K435" s="102"/>
      <c r="L435" s="102"/>
      <c r="M435" s="102"/>
      <c r="N435" s="102"/>
      <c r="O435" s="102"/>
      <c r="P435" s="102"/>
    </row>
    <row r="436" spans="10:16">
      <c r="J436" s="102"/>
      <c r="K436" s="102"/>
      <c r="L436" s="102"/>
      <c r="M436" s="102"/>
      <c r="N436" s="102"/>
      <c r="O436" s="102"/>
      <c r="P436" s="102"/>
    </row>
    <row r="437" spans="10:16">
      <c r="J437" s="102"/>
      <c r="K437" s="102"/>
      <c r="L437" s="102"/>
      <c r="M437" s="102"/>
      <c r="N437" s="102"/>
      <c r="O437" s="102"/>
      <c r="P437" s="102"/>
    </row>
    <row r="438" spans="10:16">
      <c r="J438" s="102"/>
      <c r="K438" s="102"/>
      <c r="L438" s="102"/>
      <c r="M438" s="102"/>
      <c r="N438" s="102"/>
      <c r="O438" s="102"/>
      <c r="P438" s="102"/>
    </row>
    <row r="439" spans="10:16">
      <c r="J439" s="102"/>
      <c r="K439" s="102"/>
      <c r="L439" s="102"/>
      <c r="M439" s="102"/>
      <c r="N439" s="102"/>
      <c r="O439" s="102"/>
      <c r="P439" s="102"/>
    </row>
    <row r="440" spans="10:16">
      <c r="J440" s="102"/>
      <c r="K440" s="102"/>
      <c r="L440" s="102"/>
      <c r="M440" s="102"/>
      <c r="N440" s="102"/>
      <c r="O440" s="102"/>
      <c r="P440" s="102"/>
    </row>
    <row r="441" spans="10:16">
      <c r="J441" s="102"/>
      <c r="K441" s="102"/>
      <c r="L441" s="102"/>
      <c r="M441" s="102"/>
      <c r="N441" s="102"/>
      <c r="O441" s="102"/>
      <c r="P441" s="102"/>
    </row>
    <row r="442" spans="10:16">
      <c r="J442" s="102"/>
      <c r="K442" s="102"/>
      <c r="L442" s="102"/>
      <c r="M442" s="102"/>
      <c r="N442" s="102"/>
      <c r="O442" s="102"/>
      <c r="P442" s="102"/>
    </row>
    <row r="443" spans="10:16">
      <c r="J443" s="102"/>
      <c r="K443" s="102"/>
      <c r="L443" s="102"/>
      <c r="M443" s="102"/>
      <c r="N443" s="102"/>
      <c r="O443" s="102"/>
      <c r="P443" s="102"/>
    </row>
    <row r="444" spans="10:16">
      <c r="J444" s="102"/>
      <c r="K444" s="102"/>
      <c r="L444" s="102"/>
      <c r="M444" s="102"/>
      <c r="N444" s="102"/>
      <c r="O444" s="102"/>
      <c r="P444" s="102"/>
    </row>
    <row r="445" spans="10:16">
      <c r="J445" s="102"/>
      <c r="K445" s="102"/>
      <c r="L445" s="102"/>
      <c r="M445" s="102"/>
      <c r="N445" s="102"/>
      <c r="O445" s="102"/>
      <c r="P445" s="102"/>
    </row>
    <row r="446" spans="10:16">
      <c r="J446" s="102"/>
      <c r="K446" s="102"/>
      <c r="L446" s="102"/>
      <c r="M446" s="102"/>
      <c r="N446" s="102"/>
      <c r="O446" s="102"/>
      <c r="P446" s="102"/>
    </row>
    <row r="447" spans="10:16">
      <c r="J447" s="102"/>
      <c r="K447" s="102"/>
      <c r="L447" s="102"/>
      <c r="M447" s="102"/>
      <c r="N447" s="102"/>
      <c r="O447" s="102"/>
      <c r="P447" s="102"/>
    </row>
    <row r="448" spans="10:16">
      <c r="J448" s="102"/>
      <c r="K448" s="102"/>
      <c r="L448" s="102"/>
      <c r="M448" s="102"/>
      <c r="N448" s="102"/>
      <c r="O448" s="102"/>
      <c r="P448" s="102"/>
    </row>
    <row r="449" spans="10:16">
      <c r="J449" s="102"/>
      <c r="K449" s="102"/>
      <c r="L449" s="102"/>
      <c r="M449" s="102"/>
      <c r="N449" s="102"/>
      <c r="O449" s="102"/>
      <c r="P449" s="102"/>
    </row>
    <row r="450" spans="10:16">
      <c r="J450" s="102"/>
      <c r="K450" s="102"/>
      <c r="L450" s="102"/>
      <c r="M450" s="102"/>
      <c r="N450" s="102"/>
      <c r="O450" s="102"/>
      <c r="P450" s="102"/>
    </row>
    <row r="451" spans="10:16">
      <c r="J451" s="102"/>
      <c r="K451" s="102"/>
      <c r="L451" s="102"/>
      <c r="M451" s="102"/>
      <c r="N451" s="102"/>
      <c r="O451" s="102"/>
      <c r="P451" s="102"/>
    </row>
    <row r="452" spans="10:16">
      <c r="J452" s="102"/>
      <c r="K452" s="102"/>
      <c r="L452" s="102"/>
      <c r="M452" s="102"/>
      <c r="N452" s="102"/>
      <c r="O452" s="102"/>
      <c r="P452" s="102"/>
    </row>
    <row r="453" spans="10:16">
      <c r="J453" s="102"/>
      <c r="K453" s="102"/>
      <c r="L453" s="102"/>
      <c r="M453" s="102"/>
      <c r="N453" s="102"/>
      <c r="O453" s="102"/>
      <c r="P453" s="102"/>
    </row>
    <row r="454" spans="10:16">
      <c r="J454" s="102"/>
      <c r="K454" s="102"/>
      <c r="L454" s="102"/>
      <c r="M454" s="102"/>
      <c r="N454" s="102"/>
      <c r="O454" s="102"/>
      <c r="P454" s="102"/>
    </row>
    <row r="455" spans="10:16">
      <c r="J455" s="102"/>
      <c r="K455" s="102"/>
      <c r="L455" s="102"/>
      <c r="M455" s="102"/>
      <c r="N455" s="102"/>
      <c r="O455" s="102"/>
      <c r="P455" s="102"/>
    </row>
    <row r="456" spans="10:16">
      <c r="J456" s="102"/>
      <c r="K456" s="102"/>
      <c r="L456" s="102"/>
      <c r="M456" s="102"/>
      <c r="N456" s="102"/>
      <c r="O456" s="102"/>
      <c r="P456" s="102"/>
    </row>
    <row r="457" spans="10:16">
      <c r="J457" s="102"/>
      <c r="K457" s="102"/>
      <c r="L457" s="102"/>
      <c r="M457" s="102"/>
      <c r="N457" s="102"/>
      <c r="O457" s="102"/>
      <c r="P457" s="102"/>
    </row>
    <row r="458" spans="10:16">
      <c r="J458" s="102"/>
      <c r="K458" s="102"/>
      <c r="L458" s="102"/>
      <c r="M458" s="102"/>
      <c r="N458" s="102"/>
      <c r="O458" s="102"/>
      <c r="P458" s="102"/>
    </row>
    <row r="459" spans="10:16">
      <c r="J459" s="102"/>
      <c r="K459" s="102"/>
      <c r="L459" s="102"/>
      <c r="M459" s="102"/>
      <c r="N459" s="102"/>
      <c r="O459" s="102"/>
      <c r="P459" s="102"/>
    </row>
    <row r="460" spans="10:16">
      <c r="J460" s="102"/>
      <c r="K460" s="102"/>
      <c r="L460" s="102"/>
      <c r="M460" s="102"/>
      <c r="N460" s="102"/>
      <c r="O460" s="102"/>
      <c r="P460" s="102"/>
    </row>
    <row r="461" spans="10:16">
      <c r="J461" s="102"/>
      <c r="K461" s="102"/>
      <c r="L461" s="102"/>
      <c r="M461" s="102"/>
      <c r="N461" s="102"/>
      <c r="O461" s="102"/>
      <c r="P461" s="102"/>
    </row>
    <row r="462" spans="10:16">
      <c r="J462" s="102"/>
      <c r="K462" s="102"/>
      <c r="L462" s="102"/>
      <c r="M462" s="102"/>
      <c r="N462" s="102"/>
      <c r="O462" s="102"/>
      <c r="P462" s="102"/>
    </row>
    <row r="463" spans="10:16">
      <c r="J463" s="102"/>
      <c r="K463" s="102"/>
      <c r="L463" s="102"/>
      <c r="M463" s="102"/>
      <c r="N463" s="102"/>
      <c r="O463" s="102"/>
      <c r="P463" s="102"/>
    </row>
    <row r="464" spans="10:16">
      <c r="J464" s="102"/>
      <c r="K464" s="102"/>
      <c r="L464" s="102"/>
      <c r="M464" s="102"/>
      <c r="N464" s="102"/>
      <c r="O464" s="102"/>
      <c r="P464" s="102"/>
    </row>
  </sheetData>
  <mergeCells count="95">
    <mergeCell ref="F2:H2"/>
    <mergeCell ref="I2:I6"/>
    <mergeCell ref="J2:M2"/>
    <mergeCell ref="B4:B6"/>
    <mergeCell ref="B14:B21"/>
    <mergeCell ref="C14:C21"/>
    <mergeCell ref="B26:B30"/>
    <mergeCell ref="C26:C30"/>
    <mergeCell ref="B35:B37"/>
    <mergeCell ref="C35:C37"/>
    <mergeCell ref="B42:B47"/>
    <mergeCell ref="C42:C44"/>
    <mergeCell ref="C45:C47"/>
    <mergeCell ref="B52:B55"/>
    <mergeCell ref="C52:C55"/>
    <mergeCell ref="D59:F59"/>
    <mergeCell ref="B60:B63"/>
    <mergeCell ref="C60:C61"/>
    <mergeCell ref="D60:F60"/>
    <mergeCell ref="D61:F61"/>
    <mergeCell ref="C62:C63"/>
    <mergeCell ref="D62:F62"/>
    <mergeCell ref="D63:F63"/>
    <mergeCell ref="B68:B87"/>
    <mergeCell ref="C68:C74"/>
    <mergeCell ref="C75:C81"/>
    <mergeCell ref="C82:C87"/>
    <mergeCell ref="B92:B96"/>
    <mergeCell ref="C92:C96"/>
    <mergeCell ref="B137:B138"/>
    <mergeCell ref="C137:C138"/>
    <mergeCell ref="D137:F137"/>
    <mergeCell ref="D138:F138"/>
    <mergeCell ref="B101:B103"/>
    <mergeCell ref="C101:C103"/>
    <mergeCell ref="B108:B111"/>
    <mergeCell ref="C108:C111"/>
    <mergeCell ref="B116:B118"/>
    <mergeCell ref="C116:C118"/>
    <mergeCell ref="B123:B125"/>
    <mergeCell ref="C123:C125"/>
    <mergeCell ref="B130:B132"/>
    <mergeCell ref="C130:C132"/>
    <mergeCell ref="D136:F136"/>
    <mergeCell ref="B143:B145"/>
    <mergeCell ref="C143:C145"/>
    <mergeCell ref="B150:B152"/>
    <mergeCell ref="C150:C152"/>
    <mergeCell ref="B157:B162"/>
    <mergeCell ref="C157:C162"/>
    <mergeCell ref="B167:B169"/>
    <mergeCell ref="C167:C169"/>
    <mergeCell ref="B174:B176"/>
    <mergeCell ref="C174:C176"/>
    <mergeCell ref="B181:B183"/>
    <mergeCell ref="C181:C183"/>
    <mergeCell ref="F209:F210"/>
    <mergeCell ref="B188:B190"/>
    <mergeCell ref="C188:C190"/>
    <mergeCell ref="D194:F194"/>
    <mergeCell ref="B195:B196"/>
    <mergeCell ref="C195:C196"/>
    <mergeCell ref="D195:F195"/>
    <mergeCell ref="D196:F196"/>
    <mergeCell ref="B197:B198"/>
    <mergeCell ref="C197:C198"/>
    <mergeCell ref="D197:F197"/>
    <mergeCell ref="D198:F198"/>
    <mergeCell ref="F203:F204"/>
    <mergeCell ref="O369:V369"/>
    <mergeCell ref="F211:F212"/>
    <mergeCell ref="F213:F214"/>
    <mergeCell ref="B291:B292"/>
    <mergeCell ref="B294:B295"/>
    <mergeCell ref="I294:I295"/>
    <mergeCell ref="B296:B297"/>
    <mergeCell ref="I296:I297"/>
    <mergeCell ref="B298:B299"/>
    <mergeCell ref="I298:I299"/>
    <mergeCell ref="B300:B301"/>
    <mergeCell ref="B302:B303"/>
    <mergeCell ref="O368:V368"/>
    <mergeCell ref="P370:Q370"/>
    <mergeCell ref="O371:O372"/>
    <mergeCell ref="P371:T372"/>
    <mergeCell ref="B378:I378"/>
    <mergeCell ref="P389:Q389"/>
    <mergeCell ref="R389:T389"/>
    <mergeCell ref="O393:V393"/>
    <mergeCell ref="P390:Q390"/>
    <mergeCell ref="R390:T390"/>
    <mergeCell ref="P391:Q391"/>
    <mergeCell ref="R391:T391"/>
    <mergeCell ref="P392:Q392"/>
    <mergeCell ref="R392:T392"/>
  </mergeCells>
  <phoneticPr fontId="5" type="noConversion"/>
  <pageMargins left="0.19685039370078741" right="0.19685039370078741" top="0.74803149606299213" bottom="0.74803149606299213" header="0.31496062992125984" footer="0.31496062992125984"/>
  <pageSetup paperSize="9" scale="78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6AFD1-C133-48DC-B8AF-BDE699979510}">
  <sheetPr>
    <tabColor rgb="FF7030A0"/>
    <pageSetUpPr fitToPage="1"/>
  </sheetPr>
  <dimension ref="A1:V464"/>
  <sheetViews>
    <sheetView showZeros="0" zoomScaleNormal="100" workbookViewId="0">
      <selection activeCell="C372" sqref="C372"/>
    </sheetView>
  </sheetViews>
  <sheetFormatPr defaultColWidth="25.25" defaultRowHeight="13.5"/>
  <cols>
    <col min="1" max="1" width="0.5" style="1" customWidth="1"/>
    <col min="2" max="2" width="25.25" style="102" customWidth="1"/>
    <col min="3" max="3" width="14.75" style="102" customWidth="1"/>
    <col min="4" max="4" width="11.5" style="102" customWidth="1"/>
    <col min="5" max="5" width="11.25" style="102" customWidth="1"/>
    <col min="6" max="6" width="12.25" style="102" customWidth="1"/>
    <col min="7" max="7" width="10" style="102" customWidth="1"/>
    <col min="8" max="8" width="9.875" style="102" customWidth="1"/>
    <col min="9" max="9" width="26.875" style="102" customWidth="1"/>
    <col min="10" max="10" width="11.125" style="43" customWidth="1"/>
    <col min="11" max="11" width="7.875" style="43" customWidth="1"/>
    <col min="12" max="12" width="7.25" style="43" customWidth="1"/>
    <col min="13" max="13" width="9.125" style="43" customWidth="1"/>
    <col min="14" max="14" width="15.125" style="255" customWidth="1"/>
    <col min="15" max="15" width="13.125" style="255" customWidth="1"/>
    <col min="16" max="16" width="24.375" style="255" customWidth="1"/>
    <col min="17" max="17" width="13.75" style="255" customWidth="1"/>
    <col min="18" max="18" width="11.25" style="255" customWidth="1"/>
    <col min="19" max="19" width="10.75" style="255" customWidth="1"/>
    <col min="20" max="20" width="10" style="255" customWidth="1"/>
    <col min="21" max="21" width="9.875" style="255" customWidth="1"/>
    <col min="22" max="22" width="26.125" style="255" customWidth="1"/>
    <col min="23" max="23" width="11.125" style="255" customWidth="1"/>
    <col min="24" max="24" width="7.875" style="255" customWidth="1"/>
    <col min="25" max="25" width="7.25" style="255" customWidth="1"/>
    <col min="26" max="26" width="9.125" style="255" customWidth="1"/>
    <col min="27" max="27" width="15.125" style="255" customWidth="1"/>
    <col min="28" max="28" width="7.75" style="255" customWidth="1"/>
    <col min="29" max="29" width="7.125" style="255" customWidth="1"/>
    <col min="30" max="30" width="12.125" style="255" customWidth="1"/>
    <col min="31" max="31" width="8.25" style="255" customWidth="1"/>
    <col min="32" max="33" width="10.375" style="255" customWidth="1"/>
    <col min="34" max="34" width="15.625" style="255" customWidth="1"/>
    <col min="35" max="35" width="15.875" style="255" customWidth="1"/>
    <col min="36" max="36" width="8.125" style="255" customWidth="1"/>
    <col min="37" max="40" width="10.375" style="255" customWidth="1"/>
    <col min="41" max="41" width="7.25" style="255" customWidth="1"/>
    <col min="42" max="42" width="7.125" style="255" customWidth="1"/>
    <col min="43" max="43" width="9.5" style="255" customWidth="1"/>
    <col min="44" max="45" width="9" style="255" customWidth="1"/>
    <col min="46" max="46" width="16.125" style="255" customWidth="1"/>
    <col min="47" max="77" width="9" style="255" customWidth="1"/>
    <col min="78" max="237" width="25.25" style="255"/>
    <col min="238" max="267" width="9" style="255" customWidth="1"/>
    <col min="268" max="268" width="0.5" style="255" customWidth="1"/>
    <col min="269" max="269" width="25.25" style="255"/>
    <col min="270" max="270" width="0.5" style="255" customWidth="1"/>
    <col min="271" max="271" width="25.25" style="255"/>
    <col min="272" max="272" width="14.75" style="255" customWidth="1"/>
    <col min="273" max="273" width="11.5" style="255" customWidth="1"/>
    <col min="274" max="274" width="11.25" style="255" customWidth="1"/>
    <col min="275" max="275" width="10.75" style="255" customWidth="1"/>
    <col min="276" max="276" width="10" style="255" customWidth="1"/>
    <col min="277" max="277" width="9.875" style="255" customWidth="1"/>
    <col min="278" max="278" width="26.125" style="255" customWidth="1"/>
    <col min="279" max="279" width="11.125" style="255" customWidth="1"/>
    <col min="280" max="280" width="7.875" style="255" customWidth="1"/>
    <col min="281" max="281" width="7.25" style="255" customWidth="1"/>
    <col min="282" max="282" width="9.125" style="255" customWidth="1"/>
    <col min="283" max="283" width="15.125" style="255" customWidth="1"/>
    <col min="284" max="284" width="7.75" style="255" customWidth="1"/>
    <col min="285" max="285" width="7.125" style="255" customWidth="1"/>
    <col min="286" max="286" width="12.125" style="255" customWidth="1"/>
    <col min="287" max="287" width="8.25" style="255" customWidth="1"/>
    <col min="288" max="289" width="10.375" style="255" customWidth="1"/>
    <col min="290" max="290" width="15.625" style="255" customWidth="1"/>
    <col min="291" max="291" width="15.875" style="255" customWidth="1"/>
    <col min="292" max="292" width="8.125" style="255" customWidth="1"/>
    <col min="293" max="296" width="10.375" style="255" customWidth="1"/>
    <col min="297" max="297" width="7.25" style="255" customWidth="1"/>
    <col min="298" max="298" width="7.125" style="255" customWidth="1"/>
    <col min="299" max="299" width="9.5" style="255" customWidth="1"/>
    <col min="300" max="301" width="9" style="255" customWidth="1"/>
    <col min="302" max="302" width="16.125" style="255" customWidth="1"/>
    <col min="303" max="333" width="9" style="255" customWidth="1"/>
    <col min="334" max="493" width="25.25" style="255"/>
    <col min="494" max="523" width="9" style="255" customWidth="1"/>
    <col min="524" max="524" width="0.5" style="255" customWidth="1"/>
    <col min="525" max="525" width="25.25" style="255"/>
    <col min="526" max="526" width="0.5" style="255" customWidth="1"/>
    <col min="527" max="527" width="25.25" style="255"/>
    <col min="528" max="528" width="14.75" style="255" customWidth="1"/>
    <col min="529" max="529" width="11.5" style="255" customWidth="1"/>
    <col min="530" max="530" width="11.25" style="255" customWidth="1"/>
    <col min="531" max="531" width="10.75" style="255" customWidth="1"/>
    <col min="532" max="532" width="10" style="255" customWidth="1"/>
    <col min="533" max="533" width="9.875" style="255" customWidth="1"/>
    <col min="534" max="534" width="26.125" style="255" customWidth="1"/>
    <col min="535" max="535" width="11.125" style="255" customWidth="1"/>
    <col min="536" max="536" width="7.875" style="255" customWidth="1"/>
    <col min="537" max="537" width="7.25" style="255" customWidth="1"/>
    <col min="538" max="538" width="9.125" style="255" customWidth="1"/>
    <col min="539" max="539" width="15.125" style="255" customWidth="1"/>
    <col min="540" max="540" width="7.75" style="255" customWidth="1"/>
    <col min="541" max="541" width="7.125" style="255" customWidth="1"/>
    <col min="542" max="542" width="12.125" style="255" customWidth="1"/>
    <col min="543" max="543" width="8.25" style="255" customWidth="1"/>
    <col min="544" max="545" width="10.375" style="255" customWidth="1"/>
    <col min="546" max="546" width="15.625" style="255" customWidth="1"/>
    <col min="547" max="547" width="15.875" style="255" customWidth="1"/>
    <col min="548" max="548" width="8.125" style="255" customWidth="1"/>
    <col min="549" max="552" width="10.375" style="255" customWidth="1"/>
    <col min="553" max="553" width="7.25" style="255" customWidth="1"/>
    <col min="554" max="554" width="7.125" style="255" customWidth="1"/>
    <col min="555" max="555" width="9.5" style="255" customWidth="1"/>
    <col min="556" max="557" width="9" style="255" customWidth="1"/>
    <col min="558" max="558" width="16.125" style="255" customWidth="1"/>
    <col min="559" max="589" width="9" style="255" customWidth="1"/>
    <col min="590" max="749" width="25.25" style="255"/>
    <col min="750" max="779" width="9" style="255" customWidth="1"/>
    <col min="780" max="780" width="0.5" style="255" customWidth="1"/>
    <col min="781" max="781" width="25.25" style="255"/>
    <col min="782" max="782" width="0.5" style="255" customWidth="1"/>
    <col min="783" max="783" width="25.25" style="255"/>
    <col min="784" max="784" width="14.75" style="255" customWidth="1"/>
    <col min="785" max="785" width="11.5" style="255" customWidth="1"/>
    <col min="786" max="786" width="11.25" style="255" customWidth="1"/>
    <col min="787" max="787" width="10.75" style="255" customWidth="1"/>
    <col min="788" max="788" width="10" style="255" customWidth="1"/>
    <col min="789" max="789" width="9.875" style="255" customWidth="1"/>
    <col min="790" max="790" width="26.125" style="255" customWidth="1"/>
    <col min="791" max="791" width="11.125" style="255" customWidth="1"/>
    <col min="792" max="792" width="7.875" style="255" customWidth="1"/>
    <col min="793" max="793" width="7.25" style="255" customWidth="1"/>
    <col min="794" max="794" width="9.125" style="255" customWidth="1"/>
    <col min="795" max="795" width="15.125" style="255" customWidth="1"/>
    <col min="796" max="796" width="7.75" style="255" customWidth="1"/>
    <col min="797" max="797" width="7.125" style="255" customWidth="1"/>
    <col min="798" max="798" width="12.125" style="255" customWidth="1"/>
    <col min="799" max="799" width="8.25" style="255" customWidth="1"/>
    <col min="800" max="801" width="10.375" style="255" customWidth="1"/>
    <col min="802" max="802" width="15.625" style="255" customWidth="1"/>
    <col min="803" max="803" width="15.875" style="255" customWidth="1"/>
    <col min="804" max="804" width="8.125" style="255" customWidth="1"/>
    <col min="805" max="808" width="10.375" style="255" customWidth="1"/>
    <col min="809" max="809" width="7.25" style="255" customWidth="1"/>
    <col min="810" max="810" width="7.125" style="255" customWidth="1"/>
    <col min="811" max="811" width="9.5" style="255" customWidth="1"/>
    <col min="812" max="813" width="9" style="255" customWidth="1"/>
    <col min="814" max="814" width="16.125" style="255" customWidth="1"/>
    <col min="815" max="845" width="9" style="255" customWidth="1"/>
    <col min="846" max="1005" width="25.25" style="255"/>
    <col min="1006" max="1035" width="9" style="255" customWidth="1"/>
    <col min="1036" max="1036" width="0.5" style="255" customWidth="1"/>
    <col min="1037" max="1037" width="25.25" style="255"/>
    <col min="1038" max="1038" width="0.5" style="255" customWidth="1"/>
    <col min="1039" max="1039" width="25.25" style="255"/>
    <col min="1040" max="1040" width="14.75" style="255" customWidth="1"/>
    <col min="1041" max="1041" width="11.5" style="255" customWidth="1"/>
    <col min="1042" max="1042" width="11.25" style="255" customWidth="1"/>
    <col min="1043" max="1043" width="10.75" style="255" customWidth="1"/>
    <col min="1044" max="1044" width="10" style="255" customWidth="1"/>
    <col min="1045" max="1045" width="9.875" style="255" customWidth="1"/>
    <col min="1046" max="1046" width="26.125" style="255" customWidth="1"/>
    <col min="1047" max="1047" width="11.125" style="255" customWidth="1"/>
    <col min="1048" max="1048" width="7.875" style="255" customWidth="1"/>
    <col min="1049" max="1049" width="7.25" style="255" customWidth="1"/>
    <col min="1050" max="1050" width="9.125" style="255" customWidth="1"/>
    <col min="1051" max="1051" width="15.125" style="255" customWidth="1"/>
    <col min="1052" max="1052" width="7.75" style="255" customWidth="1"/>
    <col min="1053" max="1053" width="7.125" style="255" customWidth="1"/>
    <col min="1054" max="1054" width="12.125" style="255" customWidth="1"/>
    <col min="1055" max="1055" width="8.25" style="255" customWidth="1"/>
    <col min="1056" max="1057" width="10.375" style="255" customWidth="1"/>
    <col min="1058" max="1058" width="15.625" style="255" customWidth="1"/>
    <col min="1059" max="1059" width="15.875" style="255" customWidth="1"/>
    <col min="1060" max="1060" width="8.125" style="255" customWidth="1"/>
    <col min="1061" max="1064" width="10.375" style="255" customWidth="1"/>
    <col min="1065" max="1065" width="7.25" style="255" customWidth="1"/>
    <col min="1066" max="1066" width="7.125" style="255" customWidth="1"/>
    <col min="1067" max="1067" width="9.5" style="255" customWidth="1"/>
    <col min="1068" max="1069" width="9" style="255" customWidth="1"/>
    <col min="1070" max="1070" width="16.125" style="255" customWidth="1"/>
    <col min="1071" max="1101" width="9" style="255" customWidth="1"/>
    <col min="1102" max="1261" width="25.25" style="255"/>
    <col min="1262" max="1291" width="9" style="255" customWidth="1"/>
    <col min="1292" max="1292" width="0.5" style="255" customWidth="1"/>
    <col min="1293" max="1293" width="25.25" style="255"/>
    <col min="1294" max="1294" width="0.5" style="255" customWidth="1"/>
    <col min="1295" max="1295" width="25.25" style="255"/>
    <col min="1296" max="1296" width="14.75" style="255" customWidth="1"/>
    <col min="1297" max="1297" width="11.5" style="255" customWidth="1"/>
    <col min="1298" max="1298" width="11.25" style="255" customWidth="1"/>
    <col min="1299" max="1299" width="10.75" style="255" customWidth="1"/>
    <col min="1300" max="1300" width="10" style="255" customWidth="1"/>
    <col min="1301" max="1301" width="9.875" style="255" customWidth="1"/>
    <col min="1302" max="1302" width="26.125" style="255" customWidth="1"/>
    <col min="1303" max="1303" width="11.125" style="255" customWidth="1"/>
    <col min="1304" max="1304" width="7.875" style="255" customWidth="1"/>
    <col min="1305" max="1305" width="7.25" style="255" customWidth="1"/>
    <col min="1306" max="1306" width="9.125" style="255" customWidth="1"/>
    <col min="1307" max="1307" width="15.125" style="255" customWidth="1"/>
    <col min="1308" max="1308" width="7.75" style="255" customWidth="1"/>
    <col min="1309" max="1309" width="7.125" style="255" customWidth="1"/>
    <col min="1310" max="1310" width="12.125" style="255" customWidth="1"/>
    <col min="1311" max="1311" width="8.25" style="255" customWidth="1"/>
    <col min="1312" max="1313" width="10.375" style="255" customWidth="1"/>
    <col min="1314" max="1314" width="15.625" style="255" customWidth="1"/>
    <col min="1315" max="1315" width="15.875" style="255" customWidth="1"/>
    <col min="1316" max="1316" width="8.125" style="255" customWidth="1"/>
    <col min="1317" max="1320" width="10.375" style="255" customWidth="1"/>
    <col min="1321" max="1321" width="7.25" style="255" customWidth="1"/>
    <col min="1322" max="1322" width="7.125" style="255" customWidth="1"/>
    <col min="1323" max="1323" width="9.5" style="255" customWidth="1"/>
    <col min="1324" max="1325" width="9" style="255" customWidth="1"/>
    <col min="1326" max="1326" width="16.125" style="255" customWidth="1"/>
    <col min="1327" max="1357" width="9" style="255" customWidth="1"/>
    <col min="1358" max="1517" width="25.25" style="255"/>
    <col min="1518" max="1547" width="9" style="255" customWidth="1"/>
    <col min="1548" max="1548" width="0.5" style="255" customWidth="1"/>
    <col min="1549" max="1549" width="25.25" style="255"/>
    <col min="1550" max="1550" width="0.5" style="255" customWidth="1"/>
    <col min="1551" max="1551" width="25.25" style="255"/>
    <col min="1552" max="1552" width="14.75" style="255" customWidth="1"/>
    <col min="1553" max="1553" width="11.5" style="255" customWidth="1"/>
    <col min="1554" max="1554" width="11.25" style="255" customWidth="1"/>
    <col min="1555" max="1555" width="10.75" style="255" customWidth="1"/>
    <col min="1556" max="1556" width="10" style="255" customWidth="1"/>
    <col min="1557" max="1557" width="9.875" style="255" customWidth="1"/>
    <col min="1558" max="1558" width="26.125" style="255" customWidth="1"/>
    <col min="1559" max="1559" width="11.125" style="255" customWidth="1"/>
    <col min="1560" max="1560" width="7.875" style="255" customWidth="1"/>
    <col min="1561" max="1561" width="7.25" style="255" customWidth="1"/>
    <col min="1562" max="1562" width="9.125" style="255" customWidth="1"/>
    <col min="1563" max="1563" width="15.125" style="255" customWidth="1"/>
    <col min="1564" max="1564" width="7.75" style="255" customWidth="1"/>
    <col min="1565" max="1565" width="7.125" style="255" customWidth="1"/>
    <col min="1566" max="1566" width="12.125" style="255" customWidth="1"/>
    <col min="1567" max="1567" width="8.25" style="255" customWidth="1"/>
    <col min="1568" max="1569" width="10.375" style="255" customWidth="1"/>
    <col min="1570" max="1570" width="15.625" style="255" customWidth="1"/>
    <col min="1571" max="1571" width="15.875" style="255" customWidth="1"/>
    <col min="1572" max="1572" width="8.125" style="255" customWidth="1"/>
    <col min="1573" max="1576" width="10.375" style="255" customWidth="1"/>
    <col min="1577" max="1577" width="7.25" style="255" customWidth="1"/>
    <col min="1578" max="1578" width="7.125" style="255" customWidth="1"/>
    <col min="1579" max="1579" width="9.5" style="255" customWidth="1"/>
    <col min="1580" max="1581" width="9" style="255" customWidth="1"/>
    <col min="1582" max="1582" width="16.125" style="255" customWidth="1"/>
    <col min="1583" max="1613" width="9" style="255" customWidth="1"/>
    <col min="1614" max="1773" width="25.25" style="255"/>
    <col min="1774" max="1803" width="9" style="255" customWidth="1"/>
    <col min="1804" max="1804" width="0.5" style="255" customWidth="1"/>
    <col min="1805" max="1805" width="25.25" style="255"/>
    <col min="1806" max="1806" width="0.5" style="255" customWidth="1"/>
    <col min="1807" max="1807" width="25.25" style="255"/>
    <col min="1808" max="1808" width="14.75" style="255" customWidth="1"/>
    <col min="1809" max="1809" width="11.5" style="255" customWidth="1"/>
    <col min="1810" max="1810" width="11.25" style="255" customWidth="1"/>
    <col min="1811" max="1811" width="10.75" style="255" customWidth="1"/>
    <col min="1812" max="1812" width="10" style="255" customWidth="1"/>
    <col min="1813" max="1813" width="9.875" style="255" customWidth="1"/>
    <col min="1814" max="1814" width="26.125" style="255" customWidth="1"/>
    <col min="1815" max="1815" width="11.125" style="255" customWidth="1"/>
    <col min="1816" max="1816" width="7.875" style="255" customWidth="1"/>
    <col min="1817" max="1817" width="7.25" style="255" customWidth="1"/>
    <col min="1818" max="1818" width="9.125" style="255" customWidth="1"/>
    <col min="1819" max="1819" width="15.125" style="255" customWidth="1"/>
    <col min="1820" max="1820" width="7.75" style="255" customWidth="1"/>
    <col min="1821" max="1821" width="7.125" style="255" customWidth="1"/>
    <col min="1822" max="1822" width="12.125" style="255" customWidth="1"/>
    <col min="1823" max="1823" width="8.25" style="255" customWidth="1"/>
    <col min="1824" max="1825" width="10.375" style="255" customWidth="1"/>
    <col min="1826" max="1826" width="15.625" style="255" customWidth="1"/>
    <col min="1827" max="1827" width="15.875" style="255" customWidth="1"/>
    <col min="1828" max="1828" width="8.125" style="255" customWidth="1"/>
    <col min="1829" max="1832" width="10.375" style="255" customWidth="1"/>
    <col min="1833" max="1833" width="7.25" style="255" customWidth="1"/>
    <col min="1834" max="1834" width="7.125" style="255" customWidth="1"/>
    <col min="1835" max="1835" width="9.5" style="255" customWidth="1"/>
    <col min="1836" max="1837" width="9" style="255" customWidth="1"/>
    <col min="1838" max="1838" width="16.125" style="255" customWidth="1"/>
    <col min="1839" max="1869" width="9" style="255" customWidth="1"/>
    <col min="1870" max="2029" width="25.25" style="255"/>
    <col min="2030" max="2059" width="9" style="255" customWidth="1"/>
    <col min="2060" max="2060" width="0.5" style="255" customWidth="1"/>
    <col min="2061" max="2061" width="25.25" style="255"/>
    <col min="2062" max="2062" width="0.5" style="255" customWidth="1"/>
    <col min="2063" max="2063" width="25.25" style="255"/>
    <col min="2064" max="2064" width="14.75" style="255" customWidth="1"/>
    <col min="2065" max="2065" width="11.5" style="255" customWidth="1"/>
    <col min="2066" max="2066" width="11.25" style="255" customWidth="1"/>
    <col min="2067" max="2067" width="10.75" style="255" customWidth="1"/>
    <col min="2068" max="2068" width="10" style="255" customWidth="1"/>
    <col min="2069" max="2069" width="9.875" style="255" customWidth="1"/>
    <col min="2070" max="2070" width="26.125" style="255" customWidth="1"/>
    <col min="2071" max="2071" width="11.125" style="255" customWidth="1"/>
    <col min="2072" max="2072" width="7.875" style="255" customWidth="1"/>
    <col min="2073" max="2073" width="7.25" style="255" customWidth="1"/>
    <col min="2074" max="2074" width="9.125" style="255" customWidth="1"/>
    <col min="2075" max="2075" width="15.125" style="255" customWidth="1"/>
    <col min="2076" max="2076" width="7.75" style="255" customWidth="1"/>
    <col min="2077" max="2077" width="7.125" style="255" customWidth="1"/>
    <col min="2078" max="2078" width="12.125" style="255" customWidth="1"/>
    <col min="2079" max="2079" width="8.25" style="255" customWidth="1"/>
    <col min="2080" max="2081" width="10.375" style="255" customWidth="1"/>
    <col min="2082" max="2082" width="15.625" style="255" customWidth="1"/>
    <col min="2083" max="2083" width="15.875" style="255" customWidth="1"/>
    <col min="2084" max="2084" width="8.125" style="255" customWidth="1"/>
    <col min="2085" max="2088" width="10.375" style="255" customWidth="1"/>
    <col min="2089" max="2089" width="7.25" style="255" customWidth="1"/>
    <col min="2090" max="2090" width="7.125" style="255" customWidth="1"/>
    <col min="2091" max="2091" width="9.5" style="255" customWidth="1"/>
    <col min="2092" max="2093" width="9" style="255" customWidth="1"/>
    <col min="2094" max="2094" width="16.125" style="255" customWidth="1"/>
    <col min="2095" max="2125" width="9" style="255" customWidth="1"/>
    <col min="2126" max="2285" width="25.25" style="255"/>
    <col min="2286" max="2315" width="9" style="255" customWidth="1"/>
    <col min="2316" max="2316" width="0.5" style="255" customWidth="1"/>
    <col min="2317" max="2317" width="25.25" style="255"/>
    <col min="2318" max="2318" width="0.5" style="255" customWidth="1"/>
    <col min="2319" max="2319" width="25.25" style="255"/>
    <col min="2320" max="2320" width="14.75" style="255" customWidth="1"/>
    <col min="2321" max="2321" width="11.5" style="255" customWidth="1"/>
    <col min="2322" max="2322" width="11.25" style="255" customWidth="1"/>
    <col min="2323" max="2323" width="10.75" style="255" customWidth="1"/>
    <col min="2324" max="2324" width="10" style="255" customWidth="1"/>
    <col min="2325" max="2325" width="9.875" style="255" customWidth="1"/>
    <col min="2326" max="2326" width="26.125" style="255" customWidth="1"/>
    <col min="2327" max="2327" width="11.125" style="255" customWidth="1"/>
    <col min="2328" max="2328" width="7.875" style="255" customWidth="1"/>
    <col min="2329" max="2329" width="7.25" style="255" customWidth="1"/>
    <col min="2330" max="2330" width="9.125" style="255" customWidth="1"/>
    <col min="2331" max="2331" width="15.125" style="255" customWidth="1"/>
    <col min="2332" max="2332" width="7.75" style="255" customWidth="1"/>
    <col min="2333" max="2333" width="7.125" style="255" customWidth="1"/>
    <col min="2334" max="2334" width="12.125" style="255" customWidth="1"/>
    <col min="2335" max="2335" width="8.25" style="255" customWidth="1"/>
    <col min="2336" max="2337" width="10.375" style="255" customWidth="1"/>
    <col min="2338" max="2338" width="15.625" style="255" customWidth="1"/>
    <col min="2339" max="2339" width="15.875" style="255" customWidth="1"/>
    <col min="2340" max="2340" width="8.125" style="255" customWidth="1"/>
    <col min="2341" max="2344" width="10.375" style="255" customWidth="1"/>
    <col min="2345" max="2345" width="7.25" style="255" customWidth="1"/>
    <col min="2346" max="2346" width="7.125" style="255" customWidth="1"/>
    <col min="2347" max="2347" width="9.5" style="255" customWidth="1"/>
    <col min="2348" max="2349" width="9" style="255" customWidth="1"/>
    <col min="2350" max="2350" width="16.125" style="255" customWidth="1"/>
    <col min="2351" max="2381" width="9" style="255" customWidth="1"/>
    <col min="2382" max="2541" width="25.25" style="255"/>
    <col min="2542" max="2571" width="9" style="255" customWidth="1"/>
    <col min="2572" max="2572" width="0.5" style="255" customWidth="1"/>
    <col min="2573" max="2573" width="25.25" style="255"/>
    <col min="2574" max="2574" width="0.5" style="255" customWidth="1"/>
    <col min="2575" max="2575" width="25.25" style="255"/>
    <col min="2576" max="2576" width="14.75" style="255" customWidth="1"/>
    <col min="2577" max="2577" width="11.5" style="255" customWidth="1"/>
    <col min="2578" max="2578" width="11.25" style="255" customWidth="1"/>
    <col min="2579" max="2579" width="10.75" style="255" customWidth="1"/>
    <col min="2580" max="2580" width="10" style="255" customWidth="1"/>
    <col min="2581" max="2581" width="9.875" style="255" customWidth="1"/>
    <col min="2582" max="2582" width="26.125" style="255" customWidth="1"/>
    <col min="2583" max="2583" width="11.125" style="255" customWidth="1"/>
    <col min="2584" max="2584" width="7.875" style="255" customWidth="1"/>
    <col min="2585" max="2585" width="7.25" style="255" customWidth="1"/>
    <col min="2586" max="2586" width="9.125" style="255" customWidth="1"/>
    <col min="2587" max="2587" width="15.125" style="255" customWidth="1"/>
    <col min="2588" max="2588" width="7.75" style="255" customWidth="1"/>
    <col min="2589" max="2589" width="7.125" style="255" customWidth="1"/>
    <col min="2590" max="2590" width="12.125" style="255" customWidth="1"/>
    <col min="2591" max="2591" width="8.25" style="255" customWidth="1"/>
    <col min="2592" max="2593" width="10.375" style="255" customWidth="1"/>
    <col min="2594" max="2594" width="15.625" style="255" customWidth="1"/>
    <col min="2595" max="2595" width="15.875" style="255" customWidth="1"/>
    <col min="2596" max="2596" width="8.125" style="255" customWidth="1"/>
    <col min="2597" max="2600" width="10.375" style="255" customWidth="1"/>
    <col min="2601" max="2601" width="7.25" style="255" customWidth="1"/>
    <col min="2602" max="2602" width="7.125" style="255" customWidth="1"/>
    <col min="2603" max="2603" width="9.5" style="255" customWidth="1"/>
    <col min="2604" max="2605" width="9" style="255" customWidth="1"/>
    <col min="2606" max="2606" width="16.125" style="255" customWidth="1"/>
    <col min="2607" max="2637" width="9" style="255" customWidth="1"/>
    <col min="2638" max="2797" width="25.25" style="255"/>
    <col min="2798" max="2827" width="9" style="255" customWidth="1"/>
    <col min="2828" max="2828" width="0.5" style="255" customWidth="1"/>
    <col min="2829" max="2829" width="25.25" style="255"/>
    <col min="2830" max="2830" width="0.5" style="255" customWidth="1"/>
    <col min="2831" max="2831" width="25.25" style="255"/>
    <col min="2832" max="2832" width="14.75" style="255" customWidth="1"/>
    <col min="2833" max="2833" width="11.5" style="255" customWidth="1"/>
    <col min="2834" max="2834" width="11.25" style="255" customWidth="1"/>
    <col min="2835" max="2835" width="10.75" style="255" customWidth="1"/>
    <col min="2836" max="2836" width="10" style="255" customWidth="1"/>
    <col min="2837" max="2837" width="9.875" style="255" customWidth="1"/>
    <col min="2838" max="2838" width="26.125" style="255" customWidth="1"/>
    <col min="2839" max="2839" width="11.125" style="255" customWidth="1"/>
    <col min="2840" max="2840" width="7.875" style="255" customWidth="1"/>
    <col min="2841" max="2841" width="7.25" style="255" customWidth="1"/>
    <col min="2842" max="2842" width="9.125" style="255" customWidth="1"/>
    <col min="2843" max="2843" width="15.125" style="255" customWidth="1"/>
    <col min="2844" max="2844" width="7.75" style="255" customWidth="1"/>
    <col min="2845" max="2845" width="7.125" style="255" customWidth="1"/>
    <col min="2846" max="2846" width="12.125" style="255" customWidth="1"/>
    <col min="2847" max="2847" width="8.25" style="255" customWidth="1"/>
    <col min="2848" max="2849" width="10.375" style="255" customWidth="1"/>
    <col min="2850" max="2850" width="15.625" style="255" customWidth="1"/>
    <col min="2851" max="2851" width="15.875" style="255" customWidth="1"/>
    <col min="2852" max="2852" width="8.125" style="255" customWidth="1"/>
    <col min="2853" max="2856" width="10.375" style="255" customWidth="1"/>
    <col min="2857" max="2857" width="7.25" style="255" customWidth="1"/>
    <col min="2858" max="2858" width="7.125" style="255" customWidth="1"/>
    <col min="2859" max="2859" width="9.5" style="255" customWidth="1"/>
    <col min="2860" max="2861" width="9" style="255" customWidth="1"/>
    <col min="2862" max="2862" width="16.125" style="255" customWidth="1"/>
    <col min="2863" max="2893" width="9" style="255" customWidth="1"/>
    <col min="2894" max="3053" width="25.25" style="255"/>
    <col min="3054" max="3083" width="9" style="255" customWidth="1"/>
    <col min="3084" max="3084" width="0.5" style="255" customWidth="1"/>
    <col min="3085" max="3085" width="25.25" style="255"/>
    <col min="3086" max="3086" width="0.5" style="255" customWidth="1"/>
    <col min="3087" max="3087" width="25.25" style="255"/>
    <col min="3088" max="3088" width="14.75" style="255" customWidth="1"/>
    <col min="3089" max="3089" width="11.5" style="255" customWidth="1"/>
    <col min="3090" max="3090" width="11.25" style="255" customWidth="1"/>
    <col min="3091" max="3091" width="10.75" style="255" customWidth="1"/>
    <col min="3092" max="3092" width="10" style="255" customWidth="1"/>
    <col min="3093" max="3093" width="9.875" style="255" customWidth="1"/>
    <col min="3094" max="3094" width="26.125" style="255" customWidth="1"/>
    <col min="3095" max="3095" width="11.125" style="255" customWidth="1"/>
    <col min="3096" max="3096" width="7.875" style="255" customWidth="1"/>
    <col min="3097" max="3097" width="7.25" style="255" customWidth="1"/>
    <col min="3098" max="3098" width="9.125" style="255" customWidth="1"/>
    <col min="3099" max="3099" width="15.125" style="255" customWidth="1"/>
    <col min="3100" max="3100" width="7.75" style="255" customWidth="1"/>
    <col min="3101" max="3101" width="7.125" style="255" customWidth="1"/>
    <col min="3102" max="3102" width="12.125" style="255" customWidth="1"/>
    <col min="3103" max="3103" width="8.25" style="255" customWidth="1"/>
    <col min="3104" max="3105" width="10.375" style="255" customWidth="1"/>
    <col min="3106" max="3106" width="15.625" style="255" customWidth="1"/>
    <col min="3107" max="3107" width="15.875" style="255" customWidth="1"/>
    <col min="3108" max="3108" width="8.125" style="255" customWidth="1"/>
    <col min="3109" max="3112" width="10.375" style="255" customWidth="1"/>
    <col min="3113" max="3113" width="7.25" style="255" customWidth="1"/>
    <col min="3114" max="3114" width="7.125" style="255" customWidth="1"/>
    <col min="3115" max="3115" width="9.5" style="255" customWidth="1"/>
    <col min="3116" max="3117" width="9" style="255" customWidth="1"/>
    <col min="3118" max="3118" width="16.125" style="255" customWidth="1"/>
    <col min="3119" max="3149" width="9" style="255" customWidth="1"/>
    <col min="3150" max="3309" width="25.25" style="255"/>
    <col min="3310" max="3339" width="9" style="255" customWidth="1"/>
    <col min="3340" max="3340" width="0.5" style="255" customWidth="1"/>
    <col min="3341" max="3341" width="25.25" style="255"/>
    <col min="3342" max="3342" width="0.5" style="255" customWidth="1"/>
    <col min="3343" max="3343" width="25.25" style="255"/>
    <col min="3344" max="3344" width="14.75" style="255" customWidth="1"/>
    <col min="3345" max="3345" width="11.5" style="255" customWidth="1"/>
    <col min="3346" max="3346" width="11.25" style="255" customWidth="1"/>
    <col min="3347" max="3347" width="10.75" style="255" customWidth="1"/>
    <col min="3348" max="3348" width="10" style="255" customWidth="1"/>
    <col min="3349" max="3349" width="9.875" style="255" customWidth="1"/>
    <col min="3350" max="3350" width="26.125" style="255" customWidth="1"/>
    <col min="3351" max="3351" width="11.125" style="255" customWidth="1"/>
    <col min="3352" max="3352" width="7.875" style="255" customWidth="1"/>
    <col min="3353" max="3353" width="7.25" style="255" customWidth="1"/>
    <col min="3354" max="3354" width="9.125" style="255" customWidth="1"/>
    <col min="3355" max="3355" width="15.125" style="255" customWidth="1"/>
    <col min="3356" max="3356" width="7.75" style="255" customWidth="1"/>
    <col min="3357" max="3357" width="7.125" style="255" customWidth="1"/>
    <col min="3358" max="3358" width="12.125" style="255" customWidth="1"/>
    <col min="3359" max="3359" width="8.25" style="255" customWidth="1"/>
    <col min="3360" max="3361" width="10.375" style="255" customWidth="1"/>
    <col min="3362" max="3362" width="15.625" style="255" customWidth="1"/>
    <col min="3363" max="3363" width="15.875" style="255" customWidth="1"/>
    <col min="3364" max="3364" width="8.125" style="255" customWidth="1"/>
    <col min="3365" max="3368" width="10.375" style="255" customWidth="1"/>
    <col min="3369" max="3369" width="7.25" style="255" customWidth="1"/>
    <col min="3370" max="3370" width="7.125" style="255" customWidth="1"/>
    <col min="3371" max="3371" width="9.5" style="255" customWidth="1"/>
    <col min="3372" max="3373" width="9" style="255" customWidth="1"/>
    <col min="3374" max="3374" width="16.125" style="255" customWidth="1"/>
    <col min="3375" max="3405" width="9" style="255" customWidth="1"/>
    <col min="3406" max="3565" width="25.25" style="255"/>
    <col min="3566" max="3595" width="9" style="255" customWidth="1"/>
    <col min="3596" max="3596" width="0.5" style="255" customWidth="1"/>
    <col min="3597" max="3597" width="25.25" style="255"/>
    <col min="3598" max="3598" width="0.5" style="255" customWidth="1"/>
    <col min="3599" max="3599" width="25.25" style="255"/>
    <col min="3600" max="3600" width="14.75" style="255" customWidth="1"/>
    <col min="3601" max="3601" width="11.5" style="255" customWidth="1"/>
    <col min="3602" max="3602" width="11.25" style="255" customWidth="1"/>
    <col min="3603" max="3603" width="10.75" style="255" customWidth="1"/>
    <col min="3604" max="3604" width="10" style="255" customWidth="1"/>
    <col min="3605" max="3605" width="9.875" style="255" customWidth="1"/>
    <col min="3606" max="3606" width="26.125" style="255" customWidth="1"/>
    <col min="3607" max="3607" width="11.125" style="255" customWidth="1"/>
    <col min="3608" max="3608" width="7.875" style="255" customWidth="1"/>
    <col min="3609" max="3609" width="7.25" style="255" customWidth="1"/>
    <col min="3610" max="3610" width="9.125" style="255" customWidth="1"/>
    <col min="3611" max="3611" width="15.125" style="255" customWidth="1"/>
    <col min="3612" max="3612" width="7.75" style="255" customWidth="1"/>
    <col min="3613" max="3613" width="7.125" style="255" customWidth="1"/>
    <col min="3614" max="3614" width="12.125" style="255" customWidth="1"/>
    <col min="3615" max="3615" width="8.25" style="255" customWidth="1"/>
    <col min="3616" max="3617" width="10.375" style="255" customWidth="1"/>
    <col min="3618" max="3618" width="15.625" style="255" customWidth="1"/>
    <col min="3619" max="3619" width="15.875" style="255" customWidth="1"/>
    <col min="3620" max="3620" width="8.125" style="255" customWidth="1"/>
    <col min="3621" max="3624" width="10.375" style="255" customWidth="1"/>
    <col min="3625" max="3625" width="7.25" style="255" customWidth="1"/>
    <col min="3626" max="3626" width="7.125" style="255" customWidth="1"/>
    <col min="3627" max="3627" width="9.5" style="255" customWidth="1"/>
    <col min="3628" max="3629" width="9" style="255" customWidth="1"/>
    <col min="3630" max="3630" width="16.125" style="255" customWidth="1"/>
    <col min="3631" max="3661" width="9" style="255" customWidth="1"/>
    <col min="3662" max="3821" width="25.25" style="255"/>
    <col min="3822" max="3851" width="9" style="255" customWidth="1"/>
    <col min="3852" max="3852" width="0.5" style="255" customWidth="1"/>
    <col min="3853" max="3853" width="25.25" style="255"/>
    <col min="3854" max="3854" width="0.5" style="255" customWidth="1"/>
    <col min="3855" max="3855" width="25.25" style="255"/>
    <col min="3856" max="3856" width="14.75" style="255" customWidth="1"/>
    <col min="3857" max="3857" width="11.5" style="255" customWidth="1"/>
    <col min="3858" max="3858" width="11.25" style="255" customWidth="1"/>
    <col min="3859" max="3859" width="10.75" style="255" customWidth="1"/>
    <col min="3860" max="3860" width="10" style="255" customWidth="1"/>
    <col min="3861" max="3861" width="9.875" style="255" customWidth="1"/>
    <col min="3862" max="3862" width="26.125" style="255" customWidth="1"/>
    <col min="3863" max="3863" width="11.125" style="255" customWidth="1"/>
    <col min="3864" max="3864" width="7.875" style="255" customWidth="1"/>
    <col min="3865" max="3865" width="7.25" style="255" customWidth="1"/>
    <col min="3866" max="3866" width="9.125" style="255" customWidth="1"/>
    <col min="3867" max="3867" width="15.125" style="255" customWidth="1"/>
    <col min="3868" max="3868" width="7.75" style="255" customWidth="1"/>
    <col min="3869" max="3869" width="7.125" style="255" customWidth="1"/>
    <col min="3870" max="3870" width="12.125" style="255" customWidth="1"/>
    <col min="3871" max="3871" width="8.25" style="255" customWidth="1"/>
    <col min="3872" max="3873" width="10.375" style="255" customWidth="1"/>
    <col min="3874" max="3874" width="15.625" style="255" customWidth="1"/>
    <col min="3875" max="3875" width="15.875" style="255" customWidth="1"/>
    <col min="3876" max="3876" width="8.125" style="255" customWidth="1"/>
    <col min="3877" max="3880" width="10.375" style="255" customWidth="1"/>
    <col min="3881" max="3881" width="7.25" style="255" customWidth="1"/>
    <col min="3882" max="3882" width="7.125" style="255" customWidth="1"/>
    <col min="3883" max="3883" width="9.5" style="255" customWidth="1"/>
    <col min="3884" max="3885" width="9" style="255" customWidth="1"/>
    <col min="3886" max="3886" width="16.125" style="255" customWidth="1"/>
    <col min="3887" max="3917" width="9" style="255" customWidth="1"/>
    <col min="3918" max="4077" width="25.25" style="255"/>
    <col min="4078" max="4107" width="9" style="255" customWidth="1"/>
    <col min="4108" max="4108" width="0.5" style="255" customWidth="1"/>
    <col min="4109" max="4109" width="25.25" style="255"/>
    <col min="4110" max="4110" width="0.5" style="255" customWidth="1"/>
    <col min="4111" max="4111" width="25.25" style="255"/>
    <col min="4112" max="4112" width="14.75" style="255" customWidth="1"/>
    <col min="4113" max="4113" width="11.5" style="255" customWidth="1"/>
    <col min="4114" max="4114" width="11.25" style="255" customWidth="1"/>
    <col min="4115" max="4115" width="10.75" style="255" customWidth="1"/>
    <col min="4116" max="4116" width="10" style="255" customWidth="1"/>
    <col min="4117" max="4117" width="9.875" style="255" customWidth="1"/>
    <col min="4118" max="4118" width="26.125" style="255" customWidth="1"/>
    <col min="4119" max="4119" width="11.125" style="255" customWidth="1"/>
    <col min="4120" max="4120" width="7.875" style="255" customWidth="1"/>
    <col min="4121" max="4121" width="7.25" style="255" customWidth="1"/>
    <col min="4122" max="4122" width="9.125" style="255" customWidth="1"/>
    <col min="4123" max="4123" width="15.125" style="255" customWidth="1"/>
    <col min="4124" max="4124" width="7.75" style="255" customWidth="1"/>
    <col min="4125" max="4125" width="7.125" style="255" customWidth="1"/>
    <col min="4126" max="4126" width="12.125" style="255" customWidth="1"/>
    <col min="4127" max="4127" width="8.25" style="255" customWidth="1"/>
    <col min="4128" max="4129" width="10.375" style="255" customWidth="1"/>
    <col min="4130" max="4130" width="15.625" style="255" customWidth="1"/>
    <col min="4131" max="4131" width="15.875" style="255" customWidth="1"/>
    <col min="4132" max="4132" width="8.125" style="255" customWidth="1"/>
    <col min="4133" max="4136" width="10.375" style="255" customWidth="1"/>
    <col min="4137" max="4137" width="7.25" style="255" customWidth="1"/>
    <col min="4138" max="4138" width="7.125" style="255" customWidth="1"/>
    <col min="4139" max="4139" width="9.5" style="255" customWidth="1"/>
    <col min="4140" max="4141" width="9" style="255" customWidth="1"/>
    <col min="4142" max="4142" width="16.125" style="255" customWidth="1"/>
    <col min="4143" max="4173" width="9" style="255" customWidth="1"/>
    <col min="4174" max="4333" width="25.25" style="255"/>
    <col min="4334" max="4363" width="9" style="255" customWidth="1"/>
    <col min="4364" max="4364" width="0.5" style="255" customWidth="1"/>
    <col min="4365" max="4365" width="25.25" style="255"/>
    <col min="4366" max="4366" width="0.5" style="255" customWidth="1"/>
    <col min="4367" max="4367" width="25.25" style="255"/>
    <col min="4368" max="4368" width="14.75" style="255" customWidth="1"/>
    <col min="4369" max="4369" width="11.5" style="255" customWidth="1"/>
    <col min="4370" max="4370" width="11.25" style="255" customWidth="1"/>
    <col min="4371" max="4371" width="10.75" style="255" customWidth="1"/>
    <col min="4372" max="4372" width="10" style="255" customWidth="1"/>
    <col min="4373" max="4373" width="9.875" style="255" customWidth="1"/>
    <col min="4374" max="4374" width="26.125" style="255" customWidth="1"/>
    <col min="4375" max="4375" width="11.125" style="255" customWidth="1"/>
    <col min="4376" max="4376" width="7.875" style="255" customWidth="1"/>
    <col min="4377" max="4377" width="7.25" style="255" customWidth="1"/>
    <col min="4378" max="4378" width="9.125" style="255" customWidth="1"/>
    <col min="4379" max="4379" width="15.125" style="255" customWidth="1"/>
    <col min="4380" max="4380" width="7.75" style="255" customWidth="1"/>
    <col min="4381" max="4381" width="7.125" style="255" customWidth="1"/>
    <col min="4382" max="4382" width="12.125" style="255" customWidth="1"/>
    <col min="4383" max="4383" width="8.25" style="255" customWidth="1"/>
    <col min="4384" max="4385" width="10.375" style="255" customWidth="1"/>
    <col min="4386" max="4386" width="15.625" style="255" customWidth="1"/>
    <col min="4387" max="4387" width="15.875" style="255" customWidth="1"/>
    <col min="4388" max="4388" width="8.125" style="255" customWidth="1"/>
    <col min="4389" max="4392" width="10.375" style="255" customWidth="1"/>
    <col min="4393" max="4393" width="7.25" style="255" customWidth="1"/>
    <col min="4394" max="4394" width="7.125" style="255" customWidth="1"/>
    <col min="4395" max="4395" width="9.5" style="255" customWidth="1"/>
    <col min="4396" max="4397" width="9" style="255" customWidth="1"/>
    <col min="4398" max="4398" width="16.125" style="255" customWidth="1"/>
    <col min="4399" max="4429" width="9" style="255" customWidth="1"/>
    <col min="4430" max="4589" width="25.25" style="255"/>
    <col min="4590" max="4619" width="9" style="255" customWidth="1"/>
    <col min="4620" max="4620" width="0.5" style="255" customWidth="1"/>
    <col min="4621" max="4621" width="25.25" style="255"/>
    <col min="4622" max="4622" width="0.5" style="255" customWidth="1"/>
    <col min="4623" max="4623" width="25.25" style="255"/>
    <col min="4624" max="4624" width="14.75" style="255" customWidth="1"/>
    <col min="4625" max="4625" width="11.5" style="255" customWidth="1"/>
    <col min="4626" max="4626" width="11.25" style="255" customWidth="1"/>
    <col min="4627" max="4627" width="10.75" style="255" customWidth="1"/>
    <col min="4628" max="4628" width="10" style="255" customWidth="1"/>
    <col min="4629" max="4629" width="9.875" style="255" customWidth="1"/>
    <col min="4630" max="4630" width="26.125" style="255" customWidth="1"/>
    <col min="4631" max="4631" width="11.125" style="255" customWidth="1"/>
    <col min="4632" max="4632" width="7.875" style="255" customWidth="1"/>
    <col min="4633" max="4633" width="7.25" style="255" customWidth="1"/>
    <col min="4634" max="4634" width="9.125" style="255" customWidth="1"/>
    <col min="4635" max="4635" width="15.125" style="255" customWidth="1"/>
    <col min="4636" max="4636" width="7.75" style="255" customWidth="1"/>
    <col min="4637" max="4637" width="7.125" style="255" customWidth="1"/>
    <col min="4638" max="4638" width="12.125" style="255" customWidth="1"/>
    <col min="4639" max="4639" width="8.25" style="255" customWidth="1"/>
    <col min="4640" max="4641" width="10.375" style="255" customWidth="1"/>
    <col min="4642" max="4642" width="15.625" style="255" customWidth="1"/>
    <col min="4643" max="4643" width="15.875" style="255" customWidth="1"/>
    <col min="4644" max="4644" width="8.125" style="255" customWidth="1"/>
    <col min="4645" max="4648" width="10.375" style="255" customWidth="1"/>
    <col min="4649" max="4649" width="7.25" style="255" customWidth="1"/>
    <col min="4650" max="4650" width="7.125" style="255" customWidth="1"/>
    <col min="4651" max="4651" width="9.5" style="255" customWidth="1"/>
    <col min="4652" max="4653" width="9" style="255" customWidth="1"/>
    <col min="4654" max="4654" width="16.125" style="255" customWidth="1"/>
    <col min="4655" max="4685" width="9" style="255" customWidth="1"/>
    <col min="4686" max="4845" width="25.25" style="255"/>
    <col min="4846" max="4875" width="9" style="255" customWidth="1"/>
    <col min="4876" max="4876" width="0.5" style="255" customWidth="1"/>
    <col min="4877" max="4877" width="25.25" style="255"/>
    <col min="4878" max="4878" width="0.5" style="255" customWidth="1"/>
    <col min="4879" max="4879" width="25.25" style="255"/>
    <col min="4880" max="4880" width="14.75" style="255" customWidth="1"/>
    <col min="4881" max="4881" width="11.5" style="255" customWidth="1"/>
    <col min="4882" max="4882" width="11.25" style="255" customWidth="1"/>
    <col min="4883" max="4883" width="10.75" style="255" customWidth="1"/>
    <col min="4884" max="4884" width="10" style="255" customWidth="1"/>
    <col min="4885" max="4885" width="9.875" style="255" customWidth="1"/>
    <col min="4886" max="4886" width="26.125" style="255" customWidth="1"/>
    <col min="4887" max="4887" width="11.125" style="255" customWidth="1"/>
    <col min="4888" max="4888" width="7.875" style="255" customWidth="1"/>
    <col min="4889" max="4889" width="7.25" style="255" customWidth="1"/>
    <col min="4890" max="4890" width="9.125" style="255" customWidth="1"/>
    <col min="4891" max="4891" width="15.125" style="255" customWidth="1"/>
    <col min="4892" max="4892" width="7.75" style="255" customWidth="1"/>
    <col min="4893" max="4893" width="7.125" style="255" customWidth="1"/>
    <col min="4894" max="4894" width="12.125" style="255" customWidth="1"/>
    <col min="4895" max="4895" width="8.25" style="255" customWidth="1"/>
    <col min="4896" max="4897" width="10.375" style="255" customWidth="1"/>
    <col min="4898" max="4898" width="15.625" style="255" customWidth="1"/>
    <col min="4899" max="4899" width="15.875" style="255" customWidth="1"/>
    <col min="4900" max="4900" width="8.125" style="255" customWidth="1"/>
    <col min="4901" max="4904" width="10.375" style="255" customWidth="1"/>
    <col min="4905" max="4905" width="7.25" style="255" customWidth="1"/>
    <col min="4906" max="4906" width="7.125" style="255" customWidth="1"/>
    <col min="4907" max="4907" width="9.5" style="255" customWidth="1"/>
    <col min="4908" max="4909" width="9" style="255" customWidth="1"/>
    <col min="4910" max="4910" width="16.125" style="255" customWidth="1"/>
    <col min="4911" max="4941" width="9" style="255" customWidth="1"/>
    <col min="4942" max="5101" width="25.25" style="255"/>
    <col min="5102" max="5131" width="9" style="255" customWidth="1"/>
    <col min="5132" max="5132" width="0.5" style="255" customWidth="1"/>
    <col min="5133" max="5133" width="25.25" style="255"/>
    <col min="5134" max="5134" width="0.5" style="255" customWidth="1"/>
    <col min="5135" max="5135" width="25.25" style="255"/>
    <col min="5136" max="5136" width="14.75" style="255" customWidth="1"/>
    <col min="5137" max="5137" width="11.5" style="255" customWidth="1"/>
    <col min="5138" max="5138" width="11.25" style="255" customWidth="1"/>
    <col min="5139" max="5139" width="10.75" style="255" customWidth="1"/>
    <col min="5140" max="5140" width="10" style="255" customWidth="1"/>
    <col min="5141" max="5141" width="9.875" style="255" customWidth="1"/>
    <col min="5142" max="5142" width="26.125" style="255" customWidth="1"/>
    <col min="5143" max="5143" width="11.125" style="255" customWidth="1"/>
    <col min="5144" max="5144" width="7.875" style="255" customWidth="1"/>
    <col min="5145" max="5145" width="7.25" style="255" customWidth="1"/>
    <col min="5146" max="5146" width="9.125" style="255" customWidth="1"/>
    <col min="5147" max="5147" width="15.125" style="255" customWidth="1"/>
    <col min="5148" max="5148" width="7.75" style="255" customWidth="1"/>
    <col min="5149" max="5149" width="7.125" style="255" customWidth="1"/>
    <col min="5150" max="5150" width="12.125" style="255" customWidth="1"/>
    <col min="5151" max="5151" width="8.25" style="255" customWidth="1"/>
    <col min="5152" max="5153" width="10.375" style="255" customWidth="1"/>
    <col min="5154" max="5154" width="15.625" style="255" customWidth="1"/>
    <col min="5155" max="5155" width="15.875" style="255" customWidth="1"/>
    <col min="5156" max="5156" width="8.125" style="255" customWidth="1"/>
    <col min="5157" max="5160" width="10.375" style="255" customWidth="1"/>
    <col min="5161" max="5161" width="7.25" style="255" customWidth="1"/>
    <col min="5162" max="5162" width="7.125" style="255" customWidth="1"/>
    <col min="5163" max="5163" width="9.5" style="255" customWidth="1"/>
    <col min="5164" max="5165" width="9" style="255" customWidth="1"/>
    <col min="5166" max="5166" width="16.125" style="255" customWidth="1"/>
    <col min="5167" max="5197" width="9" style="255" customWidth="1"/>
    <col min="5198" max="5357" width="25.25" style="255"/>
    <col min="5358" max="5387" width="9" style="255" customWidth="1"/>
    <col min="5388" max="5388" width="0.5" style="255" customWidth="1"/>
    <col min="5389" max="5389" width="25.25" style="255"/>
    <col min="5390" max="5390" width="0.5" style="255" customWidth="1"/>
    <col min="5391" max="5391" width="25.25" style="255"/>
    <col min="5392" max="5392" width="14.75" style="255" customWidth="1"/>
    <col min="5393" max="5393" width="11.5" style="255" customWidth="1"/>
    <col min="5394" max="5394" width="11.25" style="255" customWidth="1"/>
    <col min="5395" max="5395" width="10.75" style="255" customWidth="1"/>
    <col min="5396" max="5396" width="10" style="255" customWidth="1"/>
    <col min="5397" max="5397" width="9.875" style="255" customWidth="1"/>
    <col min="5398" max="5398" width="26.125" style="255" customWidth="1"/>
    <col min="5399" max="5399" width="11.125" style="255" customWidth="1"/>
    <col min="5400" max="5400" width="7.875" style="255" customWidth="1"/>
    <col min="5401" max="5401" width="7.25" style="255" customWidth="1"/>
    <col min="5402" max="5402" width="9.125" style="255" customWidth="1"/>
    <col min="5403" max="5403" width="15.125" style="255" customWidth="1"/>
    <col min="5404" max="5404" width="7.75" style="255" customWidth="1"/>
    <col min="5405" max="5405" width="7.125" style="255" customWidth="1"/>
    <col min="5406" max="5406" width="12.125" style="255" customWidth="1"/>
    <col min="5407" max="5407" width="8.25" style="255" customWidth="1"/>
    <col min="5408" max="5409" width="10.375" style="255" customWidth="1"/>
    <col min="5410" max="5410" width="15.625" style="255" customWidth="1"/>
    <col min="5411" max="5411" width="15.875" style="255" customWidth="1"/>
    <col min="5412" max="5412" width="8.125" style="255" customWidth="1"/>
    <col min="5413" max="5416" width="10.375" style="255" customWidth="1"/>
    <col min="5417" max="5417" width="7.25" style="255" customWidth="1"/>
    <col min="5418" max="5418" width="7.125" style="255" customWidth="1"/>
    <col min="5419" max="5419" width="9.5" style="255" customWidth="1"/>
    <col min="5420" max="5421" width="9" style="255" customWidth="1"/>
    <col min="5422" max="5422" width="16.125" style="255" customWidth="1"/>
    <col min="5423" max="5453" width="9" style="255" customWidth="1"/>
    <col min="5454" max="5613" width="25.25" style="255"/>
    <col min="5614" max="5643" width="9" style="255" customWidth="1"/>
    <col min="5644" max="5644" width="0.5" style="255" customWidth="1"/>
    <col min="5645" max="5645" width="25.25" style="255"/>
    <col min="5646" max="5646" width="0.5" style="255" customWidth="1"/>
    <col min="5647" max="5647" width="25.25" style="255"/>
    <col min="5648" max="5648" width="14.75" style="255" customWidth="1"/>
    <col min="5649" max="5649" width="11.5" style="255" customWidth="1"/>
    <col min="5650" max="5650" width="11.25" style="255" customWidth="1"/>
    <col min="5651" max="5651" width="10.75" style="255" customWidth="1"/>
    <col min="5652" max="5652" width="10" style="255" customWidth="1"/>
    <col min="5653" max="5653" width="9.875" style="255" customWidth="1"/>
    <col min="5654" max="5654" width="26.125" style="255" customWidth="1"/>
    <col min="5655" max="5655" width="11.125" style="255" customWidth="1"/>
    <col min="5656" max="5656" width="7.875" style="255" customWidth="1"/>
    <col min="5657" max="5657" width="7.25" style="255" customWidth="1"/>
    <col min="5658" max="5658" width="9.125" style="255" customWidth="1"/>
    <col min="5659" max="5659" width="15.125" style="255" customWidth="1"/>
    <col min="5660" max="5660" width="7.75" style="255" customWidth="1"/>
    <col min="5661" max="5661" width="7.125" style="255" customWidth="1"/>
    <col min="5662" max="5662" width="12.125" style="255" customWidth="1"/>
    <col min="5663" max="5663" width="8.25" style="255" customWidth="1"/>
    <col min="5664" max="5665" width="10.375" style="255" customWidth="1"/>
    <col min="5666" max="5666" width="15.625" style="255" customWidth="1"/>
    <col min="5667" max="5667" width="15.875" style="255" customWidth="1"/>
    <col min="5668" max="5668" width="8.125" style="255" customWidth="1"/>
    <col min="5669" max="5672" width="10.375" style="255" customWidth="1"/>
    <col min="5673" max="5673" width="7.25" style="255" customWidth="1"/>
    <col min="5674" max="5674" width="7.125" style="255" customWidth="1"/>
    <col min="5675" max="5675" width="9.5" style="255" customWidth="1"/>
    <col min="5676" max="5677" width="9" style="255" customWidth="1"/>
    <col min="5678" max="5678" width="16.125" style="255" customWidth="1"/>
    <col min="5679" max="5709" width="9" style="255" customWidth="1"/>
    <col min="5710" max="5869" width="25.25" style="255"/>
    <col min="5870" max="5899" width="9" style="255" customWidth="1"/>
    <col min="5900" max="5900" width="0.5" style="255" customWidth="1"/>
    <col min="5901" max="5901" width="25.25" style="255"/>
    <col min="5902" max="5902" width="0.5" style="255" customWidth="1"/>
    <col min="5903" max="5903" width="25.25" style="255"/>
    <col min="5904" max="5904" width="14.75" style="255" customWidth="1"/>
    <col min="5905" max="5905" width="11.5" style="255" customWidth="1"/>
    <col min="5906" max="5906" width="11.25" style="255" customWidth="1"/>
    <col min="5907" max="5907" width="10.75" style="255" customWidth="1"/>
    <col min="5908" max="5908" width="10" style="255" customWidth="1"/>
    <col min="5909" max="5909" width="9.875" style="255" customWidth="1"/>
    <col min="5910" max="5910" width="26.125" style="255" customWidth="1"/>
    <col min="5911" max="5911" width="11.125" style="255" customWidth="1"/>
    <col min="5912" max="5912" width="7.875" style="255" customWidth="1"/>
    <col min="5913" max="5913" width="7.25" style="255" customWidth="1"/>
    <col min="5914" max="5914" width="9.125" style="255" customWidth="1"/>
    <col min="5915" max="5915" width="15.125" style="255" customWidth="1"/>
    <col min="5916" max="5916" width="7.75" style="255" customWidth="1"/>
    <col min="5917" max="5917" width="7.125" style="255" customWidth="1"/>
    <col min="5918" max="5918" width="12.125" style="255" customWidth="1"/>
    <col min="5919" max="5919" width="8.25" style="255" customWidth="1"/>
    <col min="5920" max="5921" width="10.375" style="255" customWidth="1"/>
    <col min="5922" max="5922" width="15.625" style="255" customWidth="1"/>
    <col min="5923" max="5923" width="15.875" style="255" customWidth="1"/>
    <col min="5924" max="5924" width="8.125" style="255" customWidth="1"/>
    <col min="5925" max="5928" width="10.375" style="255" customWidth="1"/>
    <col min="5929" max="5929" width="7.25" style="255" customWidth="1"/>
    <col min="5930" max="5930" width="7.125" style="255" customWidth="1"/>
    <col min="5931" max="5931" width="9.5" style="255" customWidth="1"/>
    <col min="5932" max="5933" width="9" style="255" customWidth="1"/>
    <col min="5934" max="5934" width="16.125" style="255" customWidth="1"/>
    <col min="5935" max="5965" width="9" style="255" customWidth="1"/>
    <col min="5966" max="6125" width="25.25" style="255"/>
    <col min="6126" max="6155" width="9" style="255" customWidth="1"/>
    <col min="6156" max="6156" width="0.5" style="255" customWidth="1"/>
    <col min="6157" max="6157" width="25.25" style="255"/>
    <col min="6158" max="6158" width="0.5" style="255" customWidth="1"/>
    <col min="6159" max="6159" width="25.25" style="255"/>
    <col min="6160" max="6160" width="14.75" style="255" customWidth="1"/>
    <col min="6161" max="6161" width="11.5" style="255" customWidth="1"/>
    <col min="6162" max="6162" width="11.25" style="255" customWidth="1"/>
    <col min="6163" max="6163" width="10.75" style="255" customWidth="1"/>
    <col min="6164" max="6164" width="10" style="255" customWidth="1"/>
    <col min="6165" max="6165" width="9.875" style="255" customWidth="1"/>
    <col min="6166" max="6166" width="26.125" style="255" customWidth="1"/>
    <col min="6167" max="6167" width="11.125" style="255" customWidth="1"/>
    <col min="6168" max="6168" width="7.875" style="255" customWidth="1"/>
    <col min="6169" max="6169" width="7.25" style="255" customWidth="1"/>
    <col min="6170" max="6170" width="9.125" style="255" customWidth="1"/>
    <col min="6171" max="6171" width="15.125" style="255" customWidth="1"/>
    <col min="6172" max="6172" width="7.75" style="255" customWidth="1"/>
    <col min="6173" max="6173" width="7.125" style="255" customWidth="1"/>
    <col min="6174" max="6174" width="12.125" style="255" customWidth="1"/>
    <col min="6175" max="6175" width="8.25" style="255" customWidth="1"/>
    <col min="6176" max="6177" width="10.375" style="255" customWidth="1"/>
    <col min="6178" max="6178" width="15.625" style="255" customWidth="1"/>
    <col min="6179" max="6179" width="15.875" style="255" customWidth="1"/>
    <col min="6180" max="6180" width="8.125" style="255" customWidth="1"/>
    <col min="6181" max="6184" width="10.375" style="255" customWidth="1"/>
    <col min="6185" max="6185" width="7.25" style="255" customWidth="1"/>
    <col min="6186" max="6186" width="7.125" style="255" customWidth="1"/>
    <col min="6187" max="6187" width="9.5" style="255" customWidth="1"/>
    <col min="6188" max="6189" width="9" style="255" customWidth="1"/>
    <col min="6190" max="6190" width="16.125" style="255" customWidth="1"/>
    <col min="6191" max="6221" width="9" style="255" customWidth="1"/>
    <col min="6222" max="6381" width="25.25" style="255"/>
    <col min="6382" max="6411" width="9" style="255" customWidth="1"/>
    <col min="6412" max="6412" width="0.5" style="255" customWidth="1"/>
    <col min="6413" max="6413" width="25.25" style="255"/>
    <col min="6414" max="6414" width="0.5" style="255" customWidth="1"/>
    <col min="6415" max="6415" width="25.25" style="255"/>
    <col min="6416" max="6416" width="14.75" style="255" customWidth="1"/>
    <col min="6417" max="6417" width="11.5" style="255" customWidth="1"/>
    <col min="6418" max="6418" width="11.25" style="255" customWidth="1"/>
    <col min="6419" max="6419" width="10.75" style="255" customWidth="1"/>
    <col min="6420" max="6420" width="10" style="255" customWidth="1"/>
    <col min="6421" max="6421" width="9.875" style="255" customWidth="1"/>
    <col min="6422" max="6422" width="26.125" style="255" customWidth="1"/>
    <col min="6423" max="6423" width="11.125" style="255" customWidth="1"/>
    <col min="6424" max="6424" width="7.875" style="255" customWidth="1"/>
    <col min="6425" max="6425" width="7.25" style="255" customWidth="1"/>
    <col min="6426" max="6426" width="9.125" style="255" customWidth="1"/>
    <col min="6427" max="6427" width="15.125" style="255" customWidth="1"/>
    <col min="6428" max="6428" width="7.75" style="255" customWidth="1"/>
    <col min="6429" max="6429" width="7.125" style="255" customWidth="1"/>
    <col min="6430" max="6430" width="12.125" style="255" customWidth="1"/>
    <col min="6431" max="6431" width="8.25" style="255" customWidth="1"/>
    <col min="6432" max="6433" width="10.375" style="255" customWidth="1"/>
    <col min="6434" max="6434" width="15.625" style="255" customWidth="1"/>
    <col min="6435" max="6435" width="15.875" style="255" customWidth="1"/>
    <col min="6436" max="6436" width="8.125" style="255" customWidth="1"/>
    <col min="6437" max="6440" width="10.375" style="255" customWidth="1"/>
    <col min="6441" max="6441" width="7.25" style="255" customWidth="1"/>
    <col min="6442" max="6442" width="7.125" style="255" customWidth="1"/>
    <col min="6443" max="6443" width="9.5" style="255" customWidth="1"/>
    <col min="6444" max="6445" width="9" style="255" customWidth="1"/>
    <col min="6446" max="6446" width="16.125" style="255" customWidth="1"/>
    <col min="6447" max="6477" width="9" style="255" customWidth="1"/>
    <col min="6478" max="6637" width="25.25" style="255"/>
    <col min="6638" max="6667" width="9" style="255" customWidth="1"/>
    <col min="6668" max="6668" width="0.5" style="255" customWidth="1"/>
    <col min="6669" max="6669" width="25.25" style="255"/>
    <col min="6670" max="6670" width="0.5" style="255" customWidth="1"/>
    <col min="6671" max="6671" width="25.25" style="255"/>
    <col min="6672" max="6672" width="14.75" style="255" customWidth="1"/>
    <col min="6673" max="6673" width="11.5" style="255" customWidth="1"/>
    <col min="6674" max="6674" width="11.25" style="255" customWidth="1"/>
    <col min="6675" max="6675" width="10.75" style="255" customWidth="1"/>
    <col min="6676" max="6676" width="10" style="255" customWidth="1"/>
    <col min="6677" max="6677" width="9.875" style="255" customWidth="1"/>
    <col min="6678" max="6678" width="26.125" style="255" customWidth="1"/>
    <col min="6679" max="6679" width="11.125" style="255" customWidth="1"/>
    <col min="6680" max="6680" width="7.875" style="255" customWidth="1"/>
    <col min="6681" max="6681" width="7.25" style="255" customWidth="1"/>
    <col min="6682" max="6682" width="9.125" style="255" customWidth="1"/>
    <col min="6683" max="6683" width="15.125" style="255" customWidth="1"/>
    <col min="6684" max="6684" width="7.75" style="255" customWidth="1"/>
    <col min="6685" max="6685" width="7.125" style="255" customWidth="1"/>
    <col min="6686" max="6686" width="12.125" style="255" customWidth="1"/>
    <col min="6687" max="6687" width="8.25" style="255" customWidth="1"/>
    <col min="6688" max="6689" width="10.375" style="255" customWidth="1"/>
    <col min="6690" max="6690" width="15.625" style="255" customWidth="1"/>
    <col min="6691" max="6691" width="15.875" style="255" customWidth="1"/>
    <col min="6692" max="6692" width="8.125" style="255" customWidth="1"/>
    <col min="6693" max="6696" width="10.375" style="255" customWidth="1"/>
    <col min="6697" max="6697" width="7.25" style="255" customWidth="1"/>
    <col min="6698" max="6698" width="7.125" style="255" customWidth="1"/>
    <col min="6699" max="6699" width="9.5" style="255" customWidth="1"/>
    <col min="6700" max="6701" width="9" style="255" customWidth="1"/>
    <col min="6702" max="6702" width="16.125" style="255" customWidth="1"/>
    <col min="6703" max="6733" width="9" style="255" customWidth="1"/>
    <col min="6734" max="6893" width="25.25" style="255"/>
    <col min="6894" max="6923" width="9" style="255" customWidth="1"/>
    <col min="6924" max="6924" width="0.5" style="255" customWidth="1"/>
    <col min="6925" max="6925" width="25.25" style="255"/>
    <col min="6926" max="6926" width="0.5" style="255" customWidth="1"/>
    <col min="6927" max="6927" width="25.25" style="255"/>
    <col min="6928" max="6928" width="14.75" style="255" customWidth="1"/>
    <col min="6929" max="6929" width="11.5" style="255" customWidth="1"/>
    <col min="6930" max="6930" width="11.25" style="255" customWidth="1"/>
    <col min="6931" max="6931" width="10.75" style="255" customWidth="1"/>
    <col min="6932" max="6932" width="10" style="255" customWidth="1"/>
    <col min="6933" max="6933" width="9.875" style="255" customWidth="1"/>
    <col min="6934" max="6934" width="26.125" style="255" customWidth="1"/>
    <col min="6935" max="6935" width="11.125" style="255" customWidth="1"/>
    <col min="6936" max="6936" width="7.875" style="255" customWidth="1"/>
    <col min="6937" max="6937" width="7.25" style="255" customWidth="1"/>
    <col min="6938" max="6938" width="9.125" style="255" customWidth="1"/>
    <col min="6939" max="6939" width="15.125" style="255" customWidth="1"/>
    <col min="6940" max="6940" width="7.75" style="255" customWidth="1"/>
    <col min="6941" max="6941" width="7.125" style="255" customWidth="1"/>
    <col min="6942" max="6942" width="12.125" style="255" customWidth="1"/>
    <col min="6943" max="6943" width="8.25" style="255" customWidth="1"/>
    <col min="6944" max="6945" width="10.375" style="255" customWidth="1"/>
    <col min="6946" max="6946" width="15.625" style="255" customWidth="1"/>
    <col min="6947" max="6947" width="15.875" style="255" customWidth="1"/>
    <col min="6948" max="6948" width="8.125" style="255" customWidth="1"/>
    <col min="6949" max="6952" width="10.375" style="255" customWidth="1"/>
    <col min="6953" max="6953" width="7.25" style="255" customWidth="1"/>
    <col min="6954" max="6954" width="7.125" style="255" customWidth="1"/>
    <col min="6955" max="6955" width="9.5" style="255" customWidth="1"/>
    <col min="6956" max="6957" width="9" style="255" customWidth="1"/>
    <col min="6958" max="6958" width="16.125" style="255" customWidth="1"/>
    <col min="6959" max="6989" width="9" style="255" customWidth="1"/>
    <col min="6990" max="7149" width="25.25" style="255"/>
    <col min="7150" max="7179" width="9" style="255" customWidth="1"/>
    <col min="7180" max="7180" width="0.5" style="255" customWidth="1"/>
    <col min="7181" max="7181" width="25.25" style="255"/>
    <col min="7182" max="7182" width="0.5" style="255" customWidth="1"/>
    <col min="7183" max="7183" width="25.25" style="255"/>
    <col min="7184" max="7184" width="14.75" style="255" customWidth="1"/>
    <col min="7185" max="7185" width="11.5" style="255" customWidth="1"/>
    <col min="7186" max="7186" width="11.25" style="255" customWidth="1"/>
    <col min="7187" max="7187" width="10.75" style="255" customWidth="1"/>
    <col min="7188" max="7188" width="10" style="255" customWidth="1"/>
    <col min="7189" max="7189" width="9.875" style="255" customWidth="1"/>
    <col min="7190" max="7190" width="26.125" style="255" customWidth="1"/>
    <col min="7191" max="7191" width="11.125" style="255" customWidth="1"/>
    <col min="7192" max="7192" width="7.875" style="255" customWidth="1"/>
    <col min="7193" max="7193" width="7.25" style="255" customWidth="1"/>
    <col min="7194" max="7194" width="9.125" style="255" customWidth="1"/>
    <col min="7195" max="7195" width="15.125" style="255" customWidth="1"/>
    <col min="7196" max="7196" width="7.75" style="255" customWidth="1"/>
    <col min="7197" max="7197" width="7.125" style="255" customWidth="1"/>
    <col min="7198" max="7198" width="12.125" style="255" customWidth="1"/>
    <col min="7199" max="7199" width="8.25" style="255" customWidth="1"/>
    <col min="7200" max="7201" width="10.375" style="255" customWidth="1"/>
    <col min="7202" max="7202" width="15.625" style="255" customWidth="1"/>
    <col min="7203" max="7203" width="15.875" style="255" customWidth="1"/>
    <col min="7204" max="7204" width="8.125" style="255" customWidth="1"/>
    <col min="7205" max="7208" width="10.375" style="255" customWidth="1"/>
    <col min="7209" max="7209" width="7.25" style="255" customWidth="1"/>
    <col min="7210" max="7210" width="7.125" style="255" customWidth="1"/>
    <col min="7211" max="7211" width="9.5" style="255" customWidth="1"/>
    <col min="7212" max="7213" width="9" style="255" customWidth="1"/>
    <col min="7214" max="7214" width="16.125" style="255" customWidth="1"/>
    <col min="7215" max="7245" width="9" style="255" customWidth="1"/>
    <col min="7246" max="7405" width="25.25" style="255"/>
    <col min="7406" max="7435" width="9" style="255" customWidth="1"/>
    <col min="7436" max="7436" width="0.5" style="255" customWidth="1"/>
    <col min="7437" max="7437" width="25.25" style="255"/>
    <col min="7438" max="7438" width="0.5" style="255" customWidth="1"/>
    <col min="7439" max="7439" width="25.25" style="255"/>
    <col min="7440" max="7440" width="14.75" style="255" customWidth="1"/>
    <col min="7441" max="7441" width="11.5" style="255" customWidth="1"/>
    <col min="7442" max="7442" width="11.25" style="255" customWidth="1"/>
    <col min="7443" max="7443" width="10.75" style="255" customWidth="1"/>
    <col min="7444" max="7444" width="10" style="255" customWidth="1"/>
    <col min="7445" max="7445" width="9.875" style="255" customWidth="1"/>
    <col min="7446" max="7446" width="26.125" style="255" customWidth="1"/>
    <col min="7447" max="7447" width="11.125" style="255" customWidth="1"/>
    <col min="7448" max="7448" width="7.875" style="255" customWidth="1"/>
    <col min="7449" max="7449" width="7.25" style="255" customWidth="1"/>
    <col min="7450" max="7450" width="9.125" style="255" customWidth="1"/>
    <col min="7451" max="7451" width="15.125" style="255" customWidth="1"/>
    <col min="7452" max="7452" width="7.75" style="255" customWidth="1"/>
    <col min="7453" max="7453" width="7.125" style="255" customWidth="1"/>
    <col min="7454" max="7454" width="12.125" style="255" customWidth="1"/>
    <col min="7455" max="7455" width="8.25" style="255" customWidth="1"/>
    <col min="7456" max="7457" width="10.375" style="255" customWidth="1"/>
    <col min="7458" max="7458" width="15.625" style="255" customWidth="1"/>
    <col min="7459" max="7459" width="15.875" style="255" customWidth="1"/>
    <col min="7460" max="7460" width="8.125" style="255" customWidth="1"/>
    <col min="7461" max="7464" width="10.375" style="255" customWidth="1"/>
    <col min="7465" max="7465" width="7.25" style="255" customWidth="1"/>
    <col min="7466" max="7466" width="7.125" style="255" customWidth="1"/>
    <col min="7467" max="7467" width="9.5" style="255" customWidth="1"/>
    <col min="7468" max="7469" width="9" style="255" customWidth="1"/>
    <col min="7470" max="7470" width="16.125" style="255" customWidth="1"/>
    <col min="7471" max="7501" width="9" style="255" customWidth="1"/>
    <col min="7502" max="7661" width="25.25" style="255"/>
    <col min="7662" max="7691" width="9" style="255" customWidth="1"/>
    <col min="7692" max="7692" width="0.5" style="255" customWidth="1"/>
    <col min="7693" max="7693" width="25.25" style="255"/>
    <col min="7694" max="7694" width="0.5" style="255" customWidth="1"/>
    <col min="7695" max="7695" width="25.25" style="255"/>
    <col min="7696" max="7696" width="14.75" style="255" customWidth="1"/>
    <col min="7697" max="7697" width="11.5" style="255" customWidth="1"/>
    <col min="7698" max="7698" width="11.25" style="255" customWidth="1"/>
    <col min="7699" max="7699" width="10.75" style="255" customWidth="1"/>
    <col min="7700" max="7700" width="10" style="255" customWidth="1"/>
    <col min="7701" max="7701" width="9.875" style="255" customWidth="1"/>
    <col min="7702" max="7702" width="26.125" style="255" customWidth="1"/>
    <col min="7703" max="7703" width="11.125" style="255" customWidth="1"/>
    <col min="7704" max="7704" width="7.875" style="255" customWidth="1"/>
    <col min="7705" max="7705" width="7.25" style="255" customWidth="1"/>
    <col min="7706" max="7706" width="9.125" style="255" customWidth="1"/>
    <col min="7707" max="7707" width="15.125" style="255" customWidth="1"/>
    <col min="7708" max="7708" width="7.75" style="255" customWidth="1"/>
    <col min="7709" max="7709" width="7.125" style="255" customWidth="1"/>
    <col min="7710" max="7710" width="12.125" style="255" customWidth="1"/>
    <col min="7711" max="7711" width="8.25" style="255" customWidth="1"/>
    <col min="7712" max="7713" width="10.375" style="255" customWidth="1"/>
    <col min="7714" max="7714" width="15.625" style="255" customWidth="1"/>
    <col min="7715" max="7715" width="15.875" style="255" customWidth="1"/>
    <col min="7716" max="7716" width="8.125" style="255" customWidth="1"/>
    <col min="7717" max="7720" width="10.375" style="255" customWidth="1"/>
    <col min="7721" max="7721" width="7.25" style="255" customWidth="1"/>
    <col min="7722" max="7722" width="7.125" style="255" customWidth="1"/>
    <col min="7723" max="7723" width="9.5" style="255" customWidth="1"/>
    <col min="7724" max="7725" width="9" style="255" customWidth="1"/>
    <col min="7726" max="7726" width="16.125" style="255" customWidth="1"/>
    <col min="7727" max="7757" width="9" style="255" customWidth="1"/>
    <col min="7758" max="7917" width="25.25" style="255"/>
    <col min="7918" max="7947" width="9" style="255" customWidth="1"/>
    <col min="7948" max="7948" width="0.5" style="255" customWidth="1"/>
    <col min="7949" max="7949" width="25.25" style="255"/>
    <col min="7950" max="7950" width="0.5" style="255" customWidth="1"/>
    <col min="7951" max="7951" width="25.25" style="255"/>
    <col min="7952" max="7952" width="14.75" style="255" customWidth="1"/>
    <col min="7953" max="7953" width="11.5" style="255" customWidth="1"/>
    <col min="7954" max="7954" width="11.25" style="255" customWidth="1"/>
    <col min="7955" max="7955" width="10.75" style="255" customWidth="1"/>
    <col min="7956" max="7956" width="10" style="255" customWidth="1"/>
    <col min="7957" max="7957" width="9.875" style="255" customWidth="1"/>
    <col min="7958" max="7958" width="26.125" style="255" customWidth="1"/>
    <col min="7959" max="7959" width="11.125" style="255" customWidth="1"/>
    <col min="7960" max="7960" width="7.875" style="255" customWidth="1"/>
    <col min="7961" max="7961" width="7.25" style="255" customWidth="1"/>
    <col min="7962" max="7962" width="9.125" style="255" customWidth="1"/>
    <col min="7963" max="7963" width="15.125" style="255" customWidth="1"/>
    <col min="7964" max="7964" width="7.75" style="255" customWidth="1"/>
    <col min="7965" max="7965" width="7.125" style="255" customWidth="1"/>
    <col min="7966" max="7966" width="12.125" style="255" customWidth="1"/>
    <col min="7967" max="7967" width="8.25" style="255" customWidth="1"/>
    <col min="7968" max="7969" width="10.375" style="255" customWidth="1"/>
    <col min="7970" max="7970" width="15.625" style="255" customWidth="1"/>
    <col min="7971" max="7971" width="15.875" style="255" customWidth="1"/>
    <col min="7972" max="7972" width="8.125" style="255" customWidth="1"/>
    <col min="7973" max="7976" width="10.375" style="255" customWidth="1"/>
    <col min="7977" max="7977" width="7.25" style="255" customWidth="1"/>
    <col min="7978" max="7978" width="7.125" style="255" customWidth="1"/>
    <col min="7979" max="7979" width="9.5" style="255" customWidth="1"/>
    <col min="7980" max="7981" width="9" style="255" customWidth="1"/>
    <col min="7982" max="7982" width="16.125" style="255" customWidth="1"/>
    <col min="7983" max="8013" width="9" style="255" customWidth="1"/>
    <col min="8014" max="8173" width="25.25" style="255"/>
    <col min="8174" max="8203" width="9" style="255" customWidth="1"/>
    <col min="8204" max="8204" width="0.5" style="255" customWidth="1"/>
    <col min="8205" max="8205" width="25.25" style="255"/>
    <col min="8206" max="8206" width="0.5" style="255" customWidth="1"/>
    <col min="8207" max="8207" width="25.25" style="255"/>
    <col min="8208" max="8208" width="14.75" style="255" customWidth="1"/>
    <col min="8209" max="8209" width="11.5" style="255" customWidth="1"/>
    <col min="8210" max="8210" width="11.25" style="255" customWidth="1"/>
    <col min="8211" max="8211" width="10.75" style="255" customWidth="1"/>
    <col min="8212" max="8212" width="10" style="255" customWidth="1"/>
    <col min="8213" max="8213" width="9.875" style="255" customWidth="1"/>
    <col min="8214" max="8214" width="26.125" style="255" customWidth="1"/>
    <col min="8215" max="8215" width="11.125" style="255" customWidth="1"/>
    <col min="8216" max="8216" width="7.875" style="255" customWidth="1"/>
    <col min="8217" max="8217" width="7.25" style="255" customWidth="1"/>
    <col min="8218" max="8218" width="9.125" style="255" customWidth="1"/>
    <col min="8219" max="8219" width="15.125" style="255" customWidth="1"/>
    <col min="8220" max="8220" width="7.75" style="255" customWidth="1"/>
    <col min="8221" max="8221" width="7.125" style="255" customWidth="1"/>
    <col min="8222" max="8222" width="12.125" style="255" customWidth="1"/>
    <col min="8223" max="8223" width="8.25" style="255" customWidth="1"/>
    <col min="8224" max="8225" width="10.375" style="255" customWidth="1"/>
    <col min="8226" max="8226" width="15.625" style="255" customWidth="1"/>
    <col min="8227" max="8227" width="15.875" style="255" customWidth="1"/>
    <col min="8228" max="8228" width="8.125" style="255" customWidth="1"/>
    <col min="8229" max="8232" width="10.375" style="255" customWidth="1"/>
    <col min="8233" max="8233" width="7.25" style="255" customWidth="1"/>
    <col min="8234" max="8234" width="7.125" style="255" customWidth="1"/>
    <col min="8235" max="8235" width="9.5" style="255" customWidth="1"/>
    <col min="8236" max="8237" width="9" style="255" customWidth="1"/>
    <col min="8238" max="8238" width="16.125" style="255" customWidth="1"/>
    <col min="8239" max="8269" width="9" style="255" customWidth="1"/>
    <col min="8270" max="8429" width="25.25" style="255"/>
    <col min="8430" max="8459" width="9" style="255" customWidth="1"/>
    <col min="8460" max="8460" width="0.5" style="255" customWidth="1"/>
    <col min="8461" max="8461" width="25.25" style="255"/>
    <col min="8462" max="8462" width="0.5" style="255" customWidth="1"/>
    <col min="8463" max="8463" width="25.25" style="255"/>
    <col min="8464" max="8464" width="14.75" style="255" customWidth="1"/>
    <col min="8465" max="8465" width="11.5" style="255" customWidth="1"/>
    <col min="8466" max="8466" width="11.25" style="255" customWidth="1"/>
    <col min="8467" max="8467" width="10.75" style="255" customWidth="1"/>
    <col min="8468" max="8468" width="10" style="255" customWidth="1"/>
    <col min="8469" max="8469" width="9.875" style="255" customWidth="1"/>
    <col min="8470" max="8470" width="26.125" style="255" customWidth="1"/>
    <col min="8471" max="8471" width="11.125" style="255" customWidth="1"/>
    <col min="8472" max="8472" width="7.875" style="255" customWidth="1"/>
    <col min="8473" max="8473" width="7.25" style="255" customWidth="1"/>
    <col min="8474" max="8474" width="9.125" style="255" customWidth="1"/>
    <col min="8475" max="8475" width="15.125" style="255" customWidth="1"/>
    <col min="8476" max="8476" width="7.75" style="255" customWidth="1"/>
    <col min="8477" max="8477" width="7.125" style="255" customWidth="1"/>
    <col min="8478" max="8478" width="12.125" style="255" customWidth="1"/>
    <col min="8479" max="8479" width="8.25" style="255" customWidth="1"/>
    <col min="8480" max="8481" width="10.375" style="255" customWidth="1"/>
    <col min="8482" max="8482" width="15.625" style="255" customWidth="1"/>
    <col min="8483" max="8483" width="15.875" style="255" customWidth="1"/>
    <col min="8484" max="8484" width="8.125" style="255" customWidth="1"/>
    <col min="8485" max="8488" width="10.375" style="255" customWidth="1"/>
    <col min="8489" max="8489" width="7.25" style="255" customWidth="1"/>
    <col min="8490" max="8490" width="7.125" style="255" customWidth="1"/>
    <col min="8491" max="8491" width="9.5" style="255" customWidth="1"/>
    <col min="8492" max="8493" width="9" style="255" customWidth="1"/>
    <col min="8494" max="8494" width="16.125" style="255" customWidth="1"/>
    <col min="8495" max="8525" width="9" style="255" customWidth="1"/>
    <col min="8526" max="8685" width="25.25" style="255"/>
    <col min="8686" max="8715" width="9" style="255" customWidth="1"/>
    <col min="8716" max="8716" width="0.5" style="255" customWidth="1"/>
    <col min="8717" max="8717" width="25.25" style="255"/>
    <col min="8718" max="8718" width="0.5" style="255" customWidth="1"/>
    <col min="8719" max="8719" width="25.25" style="255"/>
    <col min="8720" max="8720" width="14.75" style="255" customWidth="1"/>
    <col min="8721" max="8721" width="11.5" style="255" customWidth="1"/>
    <col min="8722" max="8722" width="11.25" style="255" customWidth="1"/>
    <col min="8723" max="8723" width="10.75" style="255" customWidth="1"/>
    <col min="8724" max="8724" width="10" style="255" customWidth="1"/>
    <col min="8725" max="8725" width="9.875" style="255" customWidth="1"/>
    <col min="8726" max="8726" width="26.125" style="255" customWidth="1"/>
    <col min="8727" max="8727" width="11.125" style="255" customWidth="1"/>
    <col min="8728" max="8728" width="7.875" style="255" customWidth="1"/>
    <col min="8729" max="8729" width="7.25" style="255" customWidth="1"/>
    <col min="8730" max="8730" width="9.125" style="255" customWidth="1"/>
    <col min="8731" max="8731" width="15.125" style="255" customWidth="1"/>
    <col min="8732" max="8732" width="7.75" style="255" customWidth="1"/>
    <col min="8733" max="8733" width="7.125" style="255" customWidth="1"/>
    <col min="8734" max="8734" width="12.125" style="255" customWidth="1"/>
    <col min="8735" max="8735" width="8.25" style="255" customWidth="1"/>
    <col min="8736" max="8737" width="10.375" style="255" customWidth="1"/>
    <col min="8738" max="8738" width="15.625" style="255" customWidth="1"/>
    <col min="8739" max="8739" width="15.875" style="255" customWidth="1"/>
    <col min="8740" max="8740" width="8.125" style="255" customWidth="1"/>
    <col min="8741" max="8744" width="10.375" style="255" customWidth="1"/>
    <col min="8745" max="8745" width="7.25" style="255" customWidth="1"/>
    <col min="8746" max="8746" width="7.125" style="255" customWidth="1"/>
    <col min="8747" max="8747" width="9.5" style="255" customWidth="1"/>
    <col min="8748" max="8749" width="9" style="255" customWidth="1"/>
    <col min="8750" max="8750" width="16.125" style="255" customWidth="1"/>
    <col min="8751" max="8781" width="9" style="255" customWidth="1"/>
    <col min="8782" max="8941" width="25.25" style="255"/>
    <col min="8942" max="8971" width="9" style="255" customWidth="1"/>
    <col min="8972" max="8972" width="0.5" style="255" customWidth="1"/>
    <col min="8973" max="8973" width="25.25" style="255"/>
    <col min="8974" max="8974" width="0.5" style="255" customWidth="1"/>
    <col min="8975" max="8975" width="25.25" style="255"/>
    <col min="8976" max="8976" width="14.75" style="255" customWidth="1"/>
    <col min="8977" max="8977" width="11.5" style="255" customWidth="1"/>
    <col min="8978" max="8978" width="11.25" style="255" customWidth="1"/>
    <col min="8979" max="8979" width="10.75" style="255" customWidth="1"/>
    <col min="8980" max="8980" width="10" style="255" customWidth="1"/>
    <col min="8981" max="8981" width="9.875" style="255" customWidth="1"/>
    <col min="8982" max="8982" width="26.125" style="255" customWidth="1"/>
    <col min="8983" max="8983" width="11.125" style="255" customWidth="1"/>
    <col min="8984" max="8984" width="7.875" style="255" customWidth="1"/>
    <col min="8985" max="8985" width="7.25" style="255" customWidth="1"/>
    <col min="8986" max="8986" width="9.125" style="255" customWidth="1"/>
    <col min="8987" max="8987" width="15.125" style="255" customWidth="1"/>
    <col min="8988" max="8988" width="7.75" style="255" customWidth="1"/>
    <col min="8989" max="8989" width="7.125" style="255" customWidth="1"/>
    <col min="8990" max="8990" width="12.125" style="255" customWidth="1"/>
    <col min="8991" max="8991" width="8.25" style="255" customWidth="1"/>
    <col min="8992" max="8993" width="10.375" style="255" customWidth="1"/>
    <col min="8994" max="8994" width="15.625" style="255" customWidth="1"/>
    <col min="8995" max="8995" width="15.875" style="255" customWidth="1"/>
    <col min="8996" max="8996" width="8.125" style="255" customWidth="1"/>
    <col min="8997" max="9000" width="10.375" style="255" customWidth="1"/>
    <col min="9001" max="9001" width="7.25" style="255" customWidth="1"/>
    <col min="9002" max="9002" width="7.125" style="255" customWidth="1"/>
    <col min="9003" max="9003" width="9.5" style="255" customWidth="1"/>
    <col min="9004" max="9005" width="9" style="255" customWidth="1"/>
    <col min="9006" max="9006" width="16.125" style="255" customWidth="1"/>
    <col min="9007" max="9037" width="9" style="255" customWidth="1"/>
    <col min="9038" max="9197" width="25.25" style="255"/>
    <col min="9198" max="9227" width="9" style="255" customWidth="1"/>
    <col min="9228" max="9228" width="0.5" style="255" customWidth="1"/>
    <col min="9229" max="9229" width="25.25" style="255"/>
    <col min="9230" max="9230" width="0.5" style="255" customWidth="1"/>
    <col min="9231" max="9231" width="25.25" style="255"/>
    <col min="9232" max="9232" width="14.75" style="255" customWidth="1"/>
    <col min="9233" max="9233" width="11.5" style="255" customWidth="1"/>
    <col min="9234" max="9234" width="11.25" style="255" customWidth="1"/>
    <col min="9235" max="9235" width="10.75" style="255" customWidth="1"/>
    <col min="9236" max="9236" width="10" style="255" customWidth="1"/>
    <col min="9237" max="9237" width="9.875" style="255" customWidth="1"/>
    <col min="9238" max="9238" width="26.125" style="255" customWidth="1"/>
    <col min="9239" max="9239" width="11.125" style="255" customWidth="1"/>
    <col min="9240" max="9240" width="7.875" style="255" customWidth="1"/>
    <col min="9241" max="9241" width="7.25" style="255" customWidth="1"/>
    <col min="9242" max="9242" width="9.125" style="255" customWidth="1"/>
    <col min="9243" max="9243" width="15.125" style="255" customWidth="1"/>
    <col min="9244" max="9244" width="7.75" style="255" customWidth="1"/>
    <col min="9245" max="9245" width="7.125" style="255" customWidth="1"/>
    <col min="9246" max="9246" width="12.125" style="255" customWidth="1"/>
    <col min="9247" max="9247" width="8.25" style="255" customWidth="1"/>
    <col min="9248" max="9249" width="10.375" style="255" customWidth="1"/>
    <col min="9250" max="9250" width="15.625" style="255" customWidth="1"/>
    <col min="9251" max="9251" width="15.875" style="255" customWidth="1"/>
    <col min="9252" max="9252" width="8.125" style="255" customWidth="1"/>
    <col min="9253" max="9256" width="10.375" style="255" customWidth="1"/>
    <col min="9257" max="9257" width="7.25" style="255" customWidth="1"/>
    <col min="9258" max="9258" width="7.125" style="255" customWidth="1"/>
    <col min="9259" max="9259" width="9.5" style="255" customWidth="1"/>
    <col min="9260" max="9261" width="9" style="255" customWidth="1"/>
    <col min="9262" max="9262" width="16.125" style="255" customWidth="1"/>
    <col min="9263" max="9293" width="9" style="255" customWidth="1"/>
    <col min="9294" max="9453" width="25.25" style="255"/>
    <col min="9454" max="9483" width="9" style="255" customWidth="1"/>
    <col min="9484" max="9484" width="0.5" style="255" customWidth="1"/>
    <col min="9485" max="9485" width="25.25" style="255"/>
    <col min="9486" max="9486" width="0.5" style="255" customWidth="1"/>
    <col min="9487" max="9487" width="25.25" style="255"/>
    <col min="9488" max="9488" width="14.75" style="255" customWidth="1"/>
    <col min="9489" max="9489" width="11.5" style="255" customWidth="1"/>
    <col min="9490" max="9490" width="11.25" style="255" customWidth="1"/>
    <col min="9491" max="9491" width="10.75" style="255" customWidth="1"/>
    <col min="9492" max="9492" width="10" style="255" customWidth="1"/>
    <col min="9493" max="9493" width="9.875" style="255" customWidth="1"/>
    <col min="9494" max="9494" width="26.125" style="255" customWidth="1"/>
    <col min="9495" max="9495" width="11.125" style="255" customWidth="1"/>
    <col min="9496" max="9496" width="7.875" style="255" customWidth="1"/>
    <col min="9497" max="9497" width="7.25" style="255" customWidth="1"/>
    <col min="9498" max="9498" width="9.125" style="255" customWidth="1"/>
    <col min="9499" max="9499" width="15.125" style="255" customWidth="1"/>
    <col min="9500" max="9500" width="7.75" style="255" customWidth="1"/>
    <col min="9501" max="9501" width="7.125" style="255" customWidth="1"/>
    <col min="9502" max="9502" width="12.125" style="255" customWidth="1"/>
    <col min="9503" max="9503" width="8.25" style="255" customWidth="1"/>
    <col min="9504" max="9505" width="10.375" style="255" customWidth="1"/>
    <col min="9506" max="9506" width="15.625" style="255" customWidth="1"/>
    <col min="9507" max="9507" width="15.875" style="255" customWidth="1"/>
    <col min="9508" max="9508" width="8.125" style="255" customWidth="1"/>
    <col min="9509" max="9512" width="10.375" style="255" customWidth="1"/>
    <col min="9513" max="9513" width="7.25" style="255" customWidth="1"/>
    <col min="9514" max="9514" width="7.125" style="255" customWidth="1"/>
    <col min="9515" max="9515" width="9.5" style="255" customWidth="1"/>
    <col min="9516" max="9517" width="9" style="255" customWidth="1"/>
    <col min="9518" max="9518" width="16.125" style="255" customWidth="1"/>
    <col min="9519" max="9549" width="9" style="255" customWidth="1"/>
    <col min="9550" max="9709" width="25.25" style="255"/>
    <col min="9710" max="9739" width="9" style="255" customWidth="1"/>
    <col min="9740" max="9740" width="0.5" style="255" customWidth="1"/>
    <col min="9741" max="9741" width="25.25" style="255"/>
    <col min="9742" max="9742" width="0.5" style="255" customWidth="1"/>
    <col min="9743" max="9743" width="25.25" style="255"/>
    <col min="9744" max="9744" width="14.75" style="255" customWidth="1"/>
    <col min="9745" max="9745" width="11.5" style="255" customWidth="1"/>
    <col min="9746" max="9746" width="11.25" style="255" customWidth="1"/>
    <col min="9747" max="9747" width="10.75" style="255" customWidth="1"/>
    <col min="9748" max="9748" width="10" style="255" customWidth="1"/>
    <col min="9749" max="9749" width="9.875" style="255" customWidth="1"/>
    <col min="9750" max="9750" width="26.125" style="255" customWidth="1"/>
    <col min="9751" max="9751" width="11.125" style="255" customWidth="1"/>
    <col min="9752" max="9752" width="7.875" style="255" customWidth="1"/>
    <col min="9753" max="9753" width="7.25" style="255" customWidth="1"/>
    <col min="9754" max="9754" width="9.125" style="255" customWidth="1"/>
    <col min="9755" max="9755" width="15.125" style="255" customWidth="1"/>
    <col min="9756" max="9756" width="7.75" style="255" customWidth="1"/>
    <col min="9757" max="9757" width="7.125" style="255" customWidth="1"/>
    <col min="9758" max="9758" width="12.125" style="255" customWidth="1"/>
    <col min="9759" max="9759" width="8.25" style="255" customWidth="1"/>
    <col min="9760" max="9761" width="10.375" style="255" customWidth="1"/>
    <col min="9762" max="9762" width="15.625" style="255" customWidth="1"/>
    <col min="9763" max="9763" width="15.875" style="255" customWidth="1"/>
    <col min="9764" max="9764" width="8.125" style="255" customWidth="1"/>
    <col min="9765" max="9768" width="10.375" style="255" customWidth="1"/>
    <col min="9769" max="9769" width="7.25" style="255" customWidth="1"/>
    <col min="9770" max="9770" width="7.125" style="255" customWidth="1"/>
    <col min="9771" max="9771" width="9.5" style="255" customWidth="1"/>
    <col min="9772" max="9773" width="9" style="255" customWidth="1"/>
    <col min="9774" max="9774" width="16.125" style="255" customWidth="1"/>
    <col min="9775" max="9805" width="9" style="255" customWidth="1"/>
    <col min="9806" max="9965" width="25.25" style="255"/>
    <col min="9966" max="9995" width="9" style="255" customWidth="1"/>
    <col min="9996" max="9996" width="0.5" style="255" customWidth="1"/>
    <col min="9997" max="9997" width="25.25" style="255"/>
    <col min="9998" max="9998" width="0.5" style="255" customWidth="1"/>
    <col min="9999" max="9999" width="25.25" style="255"/>
    <col min="10000" max="10000" width="14.75" style="255" customWidth="1"/>
    <col min="10001" max="10001" width="11.5" style="255" customWidth="1"/>
    <col min="10002" max="10002" width="11.25" style="255" customWidth="1"/>
    <col min="10003" max="10003" width="10.75" style="255" customWidth="1"/>
    <col min="10004" max="10004" width="10" style="255" customWidth="1"/>
    <col min="10005" max="10005" width="9.875" style="255" customWidth="1"/>
    <col min="10006" max="10006" width="26.125" style="255" customWidth="1"/>
    <col min="10007" max="10007" width="11.125" style="255" customWidth="1"/>
    <col min="10008" max="10008" width="7.875" style="255" customWidth="1"/>
    <col min="10009" max="10009" width="7.25" style="255" customWidth="1"/>
    <col min="10010" max="10010" width="9.125" style="255" customWidth="1"/>
    <col min="10011" max="10011" width="15.125" style="255" customWidth="1"/>
    <col min="10012" max="10012" width="7.75" style="255" customWidth="1"/>
    <col min="10013" max="10013" width="7.125" style="255" customWidth="1"/>
    <col min="10014" max="10014" width="12.125" style="255" customWidth="1"/>
    <col min="10015" max="10015" width="8.25" style="255" customWidth="1"/>
    <col min="10016" max="10017" width="10.375" style="255" customWidth="1"/>
    <col min="10018" max="10018" width="15.625" style="255" customWidth="1"/>
    <col min="10019" max="10019" width="15.875" style="255" customWidth="1"/>
    <col min="10020" max="10020" width="8.125" style="255" customWidth="1"/>
    <col min="10021" max="10024" width="10.375" style="255" customWidth="1"/>
    <col min="10025" max="10025" width="7.25" style="255" customWidth="1"/>
    <col min="10026" max="10026" width="7.125" style="255" customWidth="1"/>
    <col min="10027" max="10027" width="9.5" style="255" customWidth="1"/>
    <col min="10028" max="10029" width="9" style="255" customWidth="1"/>
    <col min="10030" max="10030" width="16.125" style="255" customWidth="1"/>
    <col min="10031" max="10061" width="9" style="255" customWidth="1"/>
    <col min="10062" max="10221" width="25.25" style="255"/>
    <col min="10222" max="10251" width="9" style="255" customWidth="1"/>
    <col min="10252" max="10252" width="0.5" style="255" customWidth="1"/>
    <col min="10253" max="10253" width="25.25" style="255"/>
    <col min="10254" max="10254" width="0.5" style="255" customWidth="1"/>
    <col min="10255" max="10255" width="25.25" style="255"/>
    <col min="10256" max="10256" width="14.75" style="255" customWidth="1"/>
    <col min="10257" max="10257" width="11.5" style="255" customWidth="1"/>
    <col min="10258" max="10258" width="11.25" style="255" customWidth="1"/>
    <col min="10259" max="10259" width="10.75" style="255" customWidth="1"/>
    <col min="10260" max="10260" width="10" style="255" customWidth="1"/>
    <col min="10261" max="10261" width="9.875" style="255" customWidth="1"/>
    <col min="10262" max="10262" width="26.125" style="255" customWidth="1"/>
    <col min="10263" max="10263" width="11.125" style="255" customWidth="1"/>
    <col min="10264" max="10264" width="7.875" style="255" customWidth="1"/>
    <col min="10265" max="10265" width="7.25" style="255" customWidth="1"/>
    <col min="10266" max="10266" width="9.125" style="255" customWidth="1"/>
    <col min="10267" max="10267" width="15.125" style="255" customWidth="1"/>
    <col min="10268" max="10268" width="7.75" style="255" customWidth="1"/>
    <col min="10269" max="10269" width="7.125" style="255" customWidth="1"/>
    <col min="10270" max="10270" width="12.125" style="255" customWidth="1"/>
    <col min="10271" max="10271" width="8.25" style="255" customWidth="1"/>
    <col min="10272" max="10273" width="10.375" style="255" customWidth="1"/>
    <col min="10274" max="10274" width="15.625" style="255" customWidth="1"/>
    <col min="10275" max="10275" width="15.875" style="255" customWidth="1"/>
    <col min="10276" max="10276" width="8.125" style="255" customWidth="1"/>
    <col min="10277" max="10280" width="10.375" style="255" customWidth="1"/>
    <col min="10281" max="10281" width="7.25" style="255" customWidth="1"/>
    <col min="10282" max="10282" width="7.125" style="255" customWidth="1"/>
    <col min="10283" max="10283" width="9.5" style="255" customWidth="1"/>
    <col min="10284" max="10285" width="9" style="255" customWidth="1"/>
    <col min="10286" max="10286" width="16.125" style="255" customWidth="1"/>
    <col min="10287" max="10317" width="9" style="255" customWidth="1"/>
    <col min="10318" max="10477" width="25.25" style="255"/>
    <col min="10478" max="10507" width="9" style="255" customWidth="1"/>
    <col min="10508" max="10508" width="0.5" style="255" customWidth="1"/>
    <col min="10509" max="10509" width="25.25" style="255"/>
    <col min="10510" max="10510" width="0.5" style="255" customWidth="1"/>
    <col min="10511" max="10511" width="25.25" style="255"/>
    <col min="10512" max="10512" width="14.75" style="255" customWidth="1"/>
    <col min="10513" max="10513" width="11.5" style="255" customWidth="1"/>
    <col min="10514" max="10514" width="11.25" style="255" customWidth="1"/>
    <col min="10515" max="10515" width="10.75" style="255" customWidth="1"/>
    <col min="10516" max="10516" width="10" style="255" customWidth="1"/>
    <col min="10517" max="10517" width="9.875" style="255" customWidth="1"/>
    <col min="10518" max="10518" width="26.125" style="255" customWidth="1"/>
    <col min="10519" max="10519" width="11.125" style="255" customWidth="1"/>
    <col min="10520" max="10520" width="7.875" style="255" customWidth="1"/>
    <col min="10521" max="10521" width="7.25" style="255" customWidth="1"/>
    <col min="10522" max="10522" width="9.125" style="255" customWidth="1"/>
    <col min="10523" max="10523" width="15.125" style="255" customWidth="1"/>
    <col min="10524" max="10524" width="7.75" style="255" customWidth="1"/>
    <col min="10525" max="10525" width="7.125" style="255" customWidth="1"/>
    <col min="10526" max="10526" width="12.125" style="255" customWidth="1"/>
    <col min="10527" max="10527" width="8.25" style="255" customWidth="1"/>
    <col min="10528" max="10529" width="10.375" style="255" customWidth="1"/>
    <col min="10530" max="10530" width="15.625" style="255" customWidth="1"/>
    <col min="10531" max="10531" width="15.875" style="255" customWidth="1"/>
    <col min="10532" max="10532" width="8.125" style="255" customWidth="1"/>
    <col min="10533" max="10536" width="10.375" style="255" customWidth="1"/>
    <col min="10537" max="10537" width="7.25" style="255" customWidth="1"/>
    <col min="10538" max="10538" width="7.125" style="255" customWidth="1"/>
    <col min="10539" max="10539" width="9.5" style="255" customWidth="1"/>
    <col min="10540" max="10541" width="9" style="255" customWidth="1"/>
    <col min="10542" max="10542" width="16.125" style="255" customWidth="1"/>
    <col min="10543" max="10573" width="9" style="255" customWidth="1"/>
    <col min="10574" max="10733" width="25.25" style="255"/>
    <col min="10734" max="10763" width="9" style="255" customWidth="1"/>
    <col min="10764" max="10764" width="0.5" style="255" customWidth="1"/>
    <col min="10765" max="10765" width="25.25" style="255"/>
    <col min="10766" max="10766" width="0.5" style="255" customWidth="1"/>
    <col min="10767" max="10767" width="25.25" style="255"/>
    <col min="10768" max="10768" width="14.75" style="255" customWidth="1"/>
    <col min="10769" max="10769" width="11.5" style="255" customWidth="1"/>
    <col min="10770" max="10770" width="11.25" style="255" customWidth="1"/>
    <col min="10771" max="10771" width="10.75" style="255" customWidth="1"/>
    <col min="10772" max="10772" width="10" style="255" customWidth="1"/>
    <col min="10773" max="10773" width="9.875" style="255" customWidth="1"/>
    <col min="10774" max="10774" width="26.125" style="255" customWidth="1"/>
    <col min="10775" max="10775" width="11.125" style="255" customWidth="1"/>
    <col min="10776" max="10776" width="7.875" style="255" customWidth="1"/>
    <col min="10777" max="10777" width="7.25" style="255" customWidth="1"/>
    <col min="10778" max="10778" width="9.125" style="255" customWidth="1"/>
    <col min="10779" max="10779" width="15.125" style="255" customWidth="1"/>
    <col min="10780" max="10780" width="7.75" style="255" customWidth="1"/>
    <col min="10781" max="10781" width="7.125" style="255" customWidth="1"/>
    <col min="10782" max="10782" width="12.125" style="255" customWidth="1"/>
    <col min="10783" max="10783" width="8.25" style="255" customWidth="1"/>
    <col min="10784" max="10785" width="10.375" style="255" customWidth="1"/>
    <col min="10786" max="10786" width="15.625" style="255" customWidth="1"/>
    <col min="10787" max="10787" width="15.875" style="255" customWidth="1"/>
    <col min="10788" max="10788" width="8.125" style="255" customWidth="1"/>
    <col min="10789" max="10792" width="10.375" style="255" customWidth="1"/>
    <col min="10793" max="10793" width="7.25" style="255" customWidth="1"/>
    <col min="10794" max="10794" width="7.125" style="255" customWidth="1"/>
    <col min="10795" max="10795" width="9.5" style="255" customWidth="1"/>
    <col min="10796" max="10797" width="9" style="255" customWidth="1"/>
    <col min="10798" max="10798" width="16.125" style="255" customWidth="1"/>
    <col min="10799" max="10829" width="9" style="255" customWidth="1"/>
    <col min="10830" max="10989" width="25.25" style="255"/>
    <col min="10990" max="11019" width="9" style="255" customWidth="1"/>
    <col min="11020" max="11020" width="0.5" style="255" customWidth="1"/>
    <col min="11021" max="11021" width="25.25" style="255"/>
    <col min="11022" max="11022" width="0.5" style="255" customWidth="1"/>
    <col min="11023" max="11023" width="25.25" style="255"/>
    <col min="11024" max="11024" width="14.75" style="255" customWidth="1"/>
    <col min="11025" max="11025" width="11.5" style="255" customWidth="1"/>
    <col min="11026" max="11026" width="11.25" style="255" customWidth="1"/>
    <col min="11027" max="11027" width="10.75" style="255" customWidth="1"/>
    <col min="11028" max="11028" width="10" style="255" customWidth="1"/>
    <col min="11029" max="11029" width="9.875" style="255" customWidth="1"/>
    <col min="11030" max="11030" width="26.125" style="255" customWidth="1"/>
    <col min="11031" max="11031" width="11.125" style="255" customWidth="1"/>
    <col min="11032" max="11032" width="7.875" style="255" customWidth="1"/>
    <col min="11033" max="11033" width="7.25" style="255" customWidth="1"/>
    <col min="11034" max="11034" width="9.125" style="255" customWidth="1"/>
    <col min="11035" max="11035" width="15.125" style="255" customWidth="1"/>
    <col min="11036" max="11036" width="7.75" style="255" customWidth="1"/>
    <col min="11037" max="11037" width="7.125" style="255" customWidth="1"/>
    <col min="11038" max="11038" width="12.125" style="255" customWidth="1"/>
    <col min="11039" max="11039" width="8.25" style="255" customWidth="1"/>
    <col min="11040" max="11041" width="10.375" style="255" customWidth="1"/>
    <col min="11042" max="11042" width="15.625" style="255" customWidth="1"/>
    <col min="11043" max="11043" width="15.875" style="255" customWidth="1"/>
    <col min="11044" max="11044" width="8.125" style="255" customWidth="1"/>
    <col min="11045" max="11048" width="10.375" style="255" customWidth="1"/>
    <col min="11049" max="11049" width="7.25" style="255" customWidth="1"/>
    <col min="11050" max="11050" width="7.125" style="255" customWidth="1"/>
    <col min="11051" max="11051" width="9.5" style="255" customWidth="1"/>
    <col min="11052" max="11053" width="9" style="255" customWidth="1"/>
    <col min="11054" max="11054" width="16.125" style="255" customWidth="1"/>
    <col min="11055" max="11085" width="9" style="255" customWidth="1"/>
    <col min="11086" max="11245" width="25.25" style="255"/>
    <col min="11246" max="11275" width="9" style="255" customWidth="1"/>
    <col min="11276" max="11276" width="0.5" style="255" customWidth="1"/>
    <col min="11277" max="11277" width="25.25" style="255"/>
    <col min="11278" max="11278" width="0.5" style="255" customWidth="1"/>
    <col min="11279" max="11279" width="25.25" style="255"/>
    <col min="11280" max="11280" width="14.75" style="255" customWidth="1"/>
    <col min="11281" max="11281" width="11.5" style="255" customWidth="1"/>
    <col min="11282" max="11282" width="11.25" style="255" customWidth="1"/>
    <col min="11283" max="11283" width="10.75" style="255" customWidth="1"/>
    <col min="11284" max="11284" width="10" style="255" customWidth="1"/>
    <col min="11285" max="11285" width="9.875" style="255" customWidth="1"/>
    <col min="11286" max="11286" width="26.125" style="255" customWidth="1"/>
    <col min="11287" max="11287" width="11.125" style="255" customWidth="1"/>
    <col min="11288" max="11288" width="7.875" style="255" customWidth="1"/>
    <col min="11289" max="11289" width="7.25" style="255" customWidth="1"/>
    <col min="11290" max="11290" width="9.125" style="255" customWidth="1"/>
    <col min="11291" max="11291" width="15.125" style="255" customWidth="1"/>
    <col min="11292" max="11292" width="7.75" style="255" customWidth="1"/>
    <col min="11293" max="11293" width="7.125" style="255" customWidth="1"/>
    <col min="11294" max="11294" width="12.125" style="255" customWidth="1"/>
    <col min="11295" max="11295" width="8.25" style="255" customWidth="1"/>
    <col min="11296" max="11297" width="10.375" style="255" customWidth="1"/>
    <col min="11298" max="11298" width="15.625" style="255" customWidth="1"/>
    <col min="11299" max="11299" width="15.875" style="255" customWidth="1"/>
    <col min="11300" max="11300" width="8.125" style="255" customWidth="1"/>
    <col min="11301" max="11304" width="10.375" style="255" customWidth="1"/>
    <col min="11305" max="11305" width="7.25" style="255" customWidth="1"/>
    <col min="11306" max="11306" width="7.125" style="255" customWidth="1"/>
    <col min="11307" max="11307" width="9.5" style="255" customWidth="1"/>
    <col min="11308" max="11309" width="9" style="255" customWidth="1"/>
    <col min="11310" max="11310" width="16.125" style="255" customWidth="1"/>
    <col min="11311" max="11341" width="9" style="255" customWidth="1"/>
    <col min="11342" max="11501" width="25.25" style="255"/>
    <col min="11502" max="11531" width="9" style="255" customWidth="1"/>
    <col min="11532" max="11532" width="0.5" style="255" customWidth="1"/>
    <col min="11533" max="11533" width="25.25" style="255"/>
    <col min="11534" max="11534" width="0.5" style="255" customWidth="1"/>
    <col min="11535" max="11535" width="25.25" style="255"/>
    <col min="11536" max="11536" width="14.75" style="255" customWidth="1"/>
    <col min="11537" max="11537" width="11.5" style="255" customWidth="1"/>
    <col min="11538" max="11538" width="11.25" style="255" customWidth="1"/>
    <col min="11539" max="11539" width="10.75" style="255" customWidth="1"/>
    <col min="11540" max="11540" width="10" style="255" customWidth="1"/>
    <col min="11541" max="11541" width="9.875" style="255" customWidth="1"/>
    <col min="11542" max="11542" width="26.125" style="255" customWidth="1"/>
    <col min="11543" max="11543" width="11.125" style="255" customWidth="1"/>
    <col min="11544" max="11544" width="7.875" style="255" customWidth="1"/>
    <col min="11545" max="11545" width="7.25" style="255" customWidth="1"/>
    <col min="11546" max="11546" width="9.125" style="255" customWidth="1"/>
    <col min="11547" max="11547" width="15.125" style="255" customWidth="1"/>
    <col min="11548" max="11548" width="7.75" style="255" customWidth="1"/>
    <col min="11549" max="11549" width="7.125" style="255" customWidth="1"/>
    <col min="11550" max="11550" width="12.125" style="255" customWidth="1"/>
    <col min="11551" max="11551" width="8.25" style="255" customWidth="1"/>
    <col min="11552" max="11553" width="10.375" style="255" customWidth="1"/>
    <col min="11554" max="11554" width="15.625" style="255" customWidth="1"/>
    <col min="11555" max="11555" width="15.875" style="255" customWidth="1"/>
    <col min="11556" max="11556" width="8.125" style="255" customWidth="1"/>
    <col min="11557" max="11560" width="10.375" style="255" customWidth="1"/>
    <col min="11561" max="11561" width="7.25" style="255" customWidth="1"/>
    <col min="11562" max="11562" width="7.125" style="255" customWidth="1"/>
    <col min="11563" max="11563" width="9.5" style="255" customWidth="1"/>
    <col min="11564" max="11565" width="9" style="255" customWidth="1"/>
    <col min="11566" max="11566" width="16.125" style="255" customWidth="1"/>
    <col min="11567" max="11597" width="9" style="255" customWidth="1"/>
    <col min="11598" max="11757" width="25.25" style="255"/>
    <col min="11758" max="11787" width="9" style="255" customWidth="1"/>
    <col min="11788" max="11788" width="0.5" style="255" customWidth="1"/>
    <col min="11789" max="11789" width="25.25" style="255"/>
    <col min="11790" max="11790" width="0.5" style="255" customWidth="1"/>
    <col min="11791" max="11791" width="25.25" style="255"/>
    <col min="11792" max="11792" width="14.75" style="255" customWidth="1"/>
    <col min="11793" max="11793" width="11.5" style="255" customWidth="1"/>
    <col min="11794" max="11794" width="11.25" style="255" customWidth="1"/>
    <col min="11795" max="11795" width="10.75" style="255" customWidth="1"/>
    <col min="11796" max="11796" width="10" style="255" customWidth="1"/>
    <col min="11797" max="11797" width="9.875" style="255" customWidth="1"/>
    <col min="11798" max="11798" width="26.125" style="255" customWidth="1"/>
    <col min="11799" max="11799" width="11.125" style="255" customWidth="1"/>
    <col min="11800" max="11800" width="7.875" style="255" customWidth="1"/>
    <col min="11801" max="11801" width="7.25" style="255" customWidth="1"/>
    <col min="11802" max="11802" width="9.125" style="255" customWidth="1"/>
    <col min="11803" max="11803" width="15.125" style="255" customWidth="1"/>
    <col min="11804" max="11804" width="7.75" style="255" customWidth="1"/>
    <col min="11805" max="11805" width="7.125" style="255" customWidth="1"/>
    <col min="11806" max="11806" width="12.125" style="255" customWidth="1"/>
    <col min="11807" max="11807" width="8.25" style="255" customWidth="1"/>
    <col min="11808" max="11809" width="10.375" style="255" customWidth="1"/>
    <col min="11810" max="11810" width="15.625" style="255" customWidth="1"/>
    <col min="11811" max="11811" width="15.875" style="255" customWidth="1"/>
    <col min="11812" max="11812" width="8.125" style="255" customWidth="1"/>
    <col min="11813" max="11816" width="10.375" style="255" customWidth="1"/>
    <col min="11817" max="11817" width="7.25" style="255" customWidth="1"/>
    <col min="11818" max="11818" width="7.125" style="255" customWidth="1"/>
    <col min="11819" max="11819" width="9.5" style="255" customWidth="1"/>
    <col min="11820" max="11821" width="9" style="255" customWidth="1"/>
    <col min="11822" max="11822" width="16.125" style="255" customWidth="1"/>
    <col min="11823" max="11853" width="9" style="255" customWidth="1"/>
    <col min="11854" max="12013" width="25.25" style="255"/>
    <col min="12014" max="12043" width="9" style="255" customWidth="1"/>
    <col min="12044" max="12044" width="0.5" style="255" customWidth="1"/>
    <col min="12045" max="12045" width="25.25" style="255"/>
    <col min="12046" max="12046" width="0.5" style="255" customWidth="1"/>
    <col min="12047" max="12047" width="25.25" style="255"/>
    <col min="12048" max="12048" width="14.75" style="255" customWidth="1"/>
    <col min="12049" max="12049" width="11.5" style="255" customWidth="1"/>
    <col min="12050" max="12050" width="11.25" style="255" customWidth="1"/>
    <col min="12051" max="12051" width="10.75" style="255" customWidth="1"/>
    <col min="12052" max="12052" width="10" style="255" customWidth="1"/>
    <col min="12053" max="12053" width="9.875" style="255" customWidth="1"/>
    <col min="12054" max="12054" width="26.125" style="255" customWidth="1"/>
    <col min="12055" max="12055" width="11.125" style="255" customWidth="1"/>
    <col min="12056" max="12056" width="7.875" style="255" customWidth="1"/>
    <col min="12057" max="12057" width="7.25" style="255" customWidth="1"/>
    <col min="12058" max="12058" width="9.125" style="255" customWidth="1"/>
    <col min="12059" max="12059" width="15.125" style="255" customWidth="1"/>
    <col min="12060" max="12060" width="7.75" style="255" customWidth="1"/>
    <col min="12061" max="12061" width="7.125" style="255" customWidth="1"/>
    <col min="12062" max="12062" width="12.125" style="255" customWidth="1"/>
    <col min="12063" max="12063" width="8.25" style="255" customWidth="1"/>
    <col min="12064" max="12065" width="10.375" style="255" customWidth="1"/>
    <col min="12066" max="12066" width="15.625" style="255" customWidth="1"/>
    <col min="12067" max="12067" width="15.875" style="255" customWidth="1"/>
    <col min="12068" max="12068" width="8.125" style="255" customWidth="1"/>
    <col min="12069" max="12072" width="10.375" style="255" customWidth="1"/>
    <col min="12073" max="12073" width="7.25" style="255" customWidth="1"/>
    <col min="12074" max="12074" width="7.125" style="255" customWidth="1"/>
    <col min="12075" max="12075" width="9.5" style="255" customWidth="1"/>
    <col min="12076" max="12077" width="9" style="255" customWidth="1"/>
    <col min="12078" max="12078" width="16.125" style="255" customWidth="1"/>
    <col min="12079" max="12109" width="9" style="255" customWidth="1"/>
    <col min="12110" max="12269" width="25.25" style="255"/>
    <col min="12270" max="12299" width="9" style="255" customWidth="1"/>
    <col min="12300" max="12300" width="0.5" style="255" customWidth="1"/>
    <col min="12301" max="12301" width="25.25" style="255"/>
    <col min="12302" max="12302" width="0.5" style="255" customWidth="1"/>
    <col min="12303" max="12303" width="25.25" style="255"/>
    <col min="12304" max="12304" width="14.75" style="255" customWidth="1"/>
    <col min="12305" max="12305" width="11.5" style="255" customWidth="1"/>
    <col min="12306" max="12306" width="11.25" style="255" customWidth="1"/>
    <col min="12307" max="12307" width="10.75" style="255" customWidth="1"/>
    <col min="12308" max="12308" width="10" style="255" customWidth="1"/>
    <col min="12309" max="12309" width="9.875" style="255" customWidth="1"/>
    <col min="12310" max="12310" width="26.125" style="255" customWidth="1"/>
    <col min="12311" max="12311" width="11.125" style="255" customWidth="1"/>
    <col min="12312" max="12312" width="7.875" style="255" customWidth="1"/>
    <col min="12313" max="12313" width="7.25" style="255" customWidth="1"/>
    <col min="12314" max="12314" width="9.125" style="255" customWidth="1"/>
    <col min="12315" max="12315" width="15.125" style="255" customWidth="1"/>
    <col min="12316" max="12316" width="7.75" style="255" customWidth="1"/>
    <col min="12317" max="12317" width="7.125" style="255" customWidth="1"/>
    <col min="12318" max="12318" width="12.125" style="255" customWidth="1"/>
    <col min="12319" max="12319" width="8.25" style="255" customWidth="1"/>
    <col min="12320" max="12321" width="10.375" style="255" customWidth="1"/>
    <col min="12322" max="12322" width="15.625" style="255" customWidth="1"/>
    <col min="12323" max="12323" width="15.875" style="255" customWidth="1"/>
    <col min="12324" max="12324" width="8.125" style="255" customWidth="1"/>
    <col min="12325" max="12328" width="10.375" style="255" customWidth="1"/>
    <col min="12329" max="12329" width="7.25" style="255" customWidth="1"/>
    <col min="12330" max="12330" width="7.125" style="255" customWidth="1"/>
    <col min="12331" max="12331" width="9.5" style="255" customWidth="1"/>
    <col min="12332" max="12333" width="9" style="255" customWidth="1"/>
    <col min="12334" max="12334" width="16.125" style="255" customWidth="1"/>
    <col min="12335" max="12365" width="9" style="255" customWidth="1"/>
    <col min="12366" max="12525" width="25.25" style="255"/>
    <col min="12526" max="12555" width="9" style="255" customWidth="1"/>
    <col min="12556" max="12556" width="0.5" style="255" customWidth="1"/>
    <col min="12557" max="12557" width="25.25" style="255"/>
    <col min="12558" max="12558" width="0.5" style="255" customWidth="1"/>
    <col min="12559" max="12559" width="25.25" style="255"/>
    <col min="12560" max="12560" width="14.75" style="255" customWidth="1"/>
    <col min="12561" max="12561" width="11.5" style="255" customWidth="1"/>
    <col min="12562" max="12562" width="11.25" style="255" customWidth="1"/>
    <col min="12563" max="12563" width="10.75" style="255" customWidth="1"/>
    <col min="12564" max="12564" width="10" style="255" customWidth="1"/>
    <col min="12565" max="12565" width="9.875" style="255" customWidth="1"/>
    <col min="12566" max="12566" width="26.125" style="255" customWidth="1"/>
    <col min="12567" max="12567" width="11.125" style="255" customWidth="1"/>
    <col min="12568" max="12568" width="7.875" style="255" customWidth="1"/>
    <col min="12569" max="12569" width="7.25" style="255" customWidth="1"/>
    <col min="12570" max="12570" width="9.125" style="255" customWidth="1"/>
    <col min="12571" max="12571" width="15.125" style="255" customWidth="1"/>
    <col min="12572" max="12572" width="7.75" style="255" customWidth="1"/>
    <col min="12573" max="12573" width="7.125" style="255" customWidth="1"/>
    <col min="12574" max="12574" width="12.125" style="255" customWidth="1"/>
    <col min="12575" max="12575" width="8.25" style="255" customWidth="1"/>
    <col min="12576" max="12577" width="10.375" style="255" customWidth="1"/>
    <col min="12578" max="12578" width="15.625" style="255" customWidth="1"/>
    <col min="12579" max="12579" width="15.875" style="255" customWidth="1"/>
    <col min="12580" max="12580" width="8.125" style="255" customWidth="1"/>
    <col min="12581" max="12584" width="10.375" style="255" customWidth="1"/>
    <col min="12585" max="12585" width="7.25" style="255" customWidth="1"/>
    <col min="12586" max="12586" width="7.125" style="255" customWidth="1"/>
    <col min="12587" max="12587" width="9.5" style="255" customWidth="1"/>
    <col min="12588" max="12589" width="9" style="255" customWidth="1"/>
    <col min="12590" max="12590" width="16.125" style="255" customWidth="1"/>
    <col min="12591" max="12621" width="9" style="255" customWidth="1"/>
    <col min="12622" max="12781" width="25.25" style="255"/>
    <col min="12782" max="12811" width="9" style="255" customWidth="1"/>
    <col min="12812" max="12812" width="0.5" style="255" customWidth="1"/>
    <col min="12813" max="12813" width="25.25" style="255"/>
    <col min="12814" max="12814" width="0.5" style="255" customWidth="1"/>
    <col min="12815" max="12815" width="25.25" style="255"/>
    <col min="12816" max="12816" width="14.75" style="255" customWidth="1"/>
    <col min="12817" max="12817" width="11.5" style="255" customWidth="1"/>
    <col min="12818" max="12818" width="11.25" style="255" customWidth="1"/>
    <col min="12819" max="12819" width="10.75" style="255" customWidth="1"/>
    <col min="12820" max="12820" width="10" style="255" customWidth="1"/>
    <col min="12821" max="12821" width="9.875" style="255" customWidth="1"/>
    <col min="12822" max="12822" width="26.125" style="255" customWidth="1"/>
    <col min="12823" max="12823" width="11.125" style="255" customWidth="1"/>
    <col min="12824" max="12824" width="7.875" style="255" customWidth="1"/>
    <col min="12825" max="12825" width="7.25" style="255" customWidth="1"/>
    <col min="12826" max="12826" width="9.125" style="255" customWidth="1"/>
    <col min="12827" max="12827" width="15.125" style="255" customWidth="1"/>
    <col min="12828" max="12828" width="7.75" style="255" customWidth="1"/>
    <col min="12829" max="12829" width="7.125" style="255" customWidth="1"/>
    <col min="12830" max="12830" width="12.125" style="255" customWidth="1"/>
    <col min="12831" max="12831" width="8.25" style="255" customWidth="1"/>
    <col min="12832" max="12833" width="10.375" style="255" customWidth="1"/>
    <col min="12834" max="12834" width="15.625" style="255" customWidth="1"/>
    <col min="12835" max="12835" width="15.875" style="255" customWidth="1"/>
    <col min="12836" max="12836" width="8.125" style="255" customWidth="1"/>
    <col min="12837" max="12840" width="10.375" style="255" customWidth="1"/>
    <col min="12841" max="12841" width="7.25" style="255" customWidth="1"/>
    <col min="12842" max="12842" width="7.125" style="255" customWidth="1"/>
    <col min="12843" max="12843" width="9.5" style="255" customWidth="1"/>
    <col min="12844" max="12845" width="9" style="255" customWidth="1"/>
    <col min="12846" max="12846" width="16.125" style="255" customWidth="1"/>
    <col min="12847" max="12877" width="9" style="255" customWidth="1"/>
    <col min="12878" max="13037" width="25.25" style="255"/>
    <col min="13038" max="13067" width="9" style="255" customWidth="1"/>
    <col min="13068" max="13068" width="0.5" style="255" customWidth="1"/>
    <col min="13069" max="13069" width="25.25" style="255"/>
    <col min="13070" max="13070" width="0.5" style="255" customWidth="1"/>
    <col min="13071" max="13071" width="25.25" style="255"/>
    <col min="13072" max="13072" width="14.75" style="255" customWidth="1"/>
    <col min="13073" max="13073" width="11.5" style="255" customWidth="1"/>
    <col min="13074" max="13074" width="11.25" style="255" customWidth="1"/>
    <col min="13075" max="13075" width="10.75" style="255" customWidth="1"/>
    <col min="13076" max="13076" width="10" style="255" customWidth="1"/>
    <col min="13077" max="13077" width="9.875" style="255" customWidth="1"/>
    <col min="13078" max="13078" width="26.125" style="255" customWidth="1"/>
    <col min="13079" max="13079" width="11.125" style="255" customWidth="1"/>
    <col min="13080" max="13080" width="7.875" style="255" customWidth="1"/>
    <col min="13081" max="13081" width="7.25" style="255" customWidth="1"/>
    <col min="13082" max="13082" width="9.125" style="255" customWidth="1"/>
    <col min="13083" max="13083" width="15.125" style="255" customWidth="1"/>
    <col min="13084" max="13084" width="7.75" style="255" customWidth="1"/>
    <col min="13085" max="13085" width="7.125" style="255" customWidth="1"/>
    <col min="13086" max="13086" width="12.125" style="255" customWidth="1"/>
    <col min="13087" max="13087" width="8.25" style="255" customWidth="1"/>
    <col min="13088" max="13089" width="10.375" style="255" customWidth="1"/>
    <col min="13090" max="13090" width="15.625" style="255" customWidth="1"/>
    <col min="13091" max="13091" width="15.875" style="255" customWidth="1"/>
    <col min="13092" max="13092" width="8.125" style="255" customWidth="1"/>
    <col min="13093" max="13096" width="10.375" style="255" customWidth="1"/>
    <col min="13097" max="13097" width="7.25" style="255" customWidth="1"/>
    <col min="13098" max="13098" width="7.125" style="255" customWidth="1"/>
    <col min="13099" max="13099" width="9.5" style="255" customWidth="1"/>
    <col min="13100" max="13101" width="9" style="255" customWidth="1"/>
    <col min="13102" max="13102" width="16.125" style="255" customWidth="1"/>
    <col min="13103" max="13133" width="9" style="255" customWidth="1"/>
    <col min="13134" max="13293" width="25.25" style="255"/>
    <col min="13294" max="13323" width="9" style="255" customWidth="1"/>
    <col min="13324" max="13324" width="0.5" style="255" customWidth="1"/>
    <col min="13325" max="13325" width="25.25" style="255"/>
    <col min="13326" max="13326" width="0.5" style="255" customWidth="1"/>
    <col min="13327" max="13327" width="25.25" style="255"/>
    <col min="13328" max="13328" width="14.75" style="255" customWidth="1"/>
    <col min="13329" max="13329" width="11.5" style="255" customWidth="1"/>
    <col min="13330" max="13330" width="11.25" style="255" customWidth="1"/>
    <col min="13331" max="13331" width="10.75" style="255" customWidth="1"/>
    <col min="13332" max="13332" width="10" style="255" customWidth="1"/>
    <col min="13333" max="13333" width="9.875" style="255" customWidth="1"/>
    <col min="13334" max="13334" width="26.125" style="255" customWidth="1"/>
    <col min="13335" max="13335" width="11.125" style="255" customWidth="1"/>
    <col min="13336" max="13336" width="7.875" style="255" customWidth="1"/>
    <col min="13337" max="13337" width="7.25" style="255" customWidth="1"/>
    <col min="13338" max="13338" width="9.125" style="255" customWidth="1"/>
    <col min="13339" max="13339" width="15.125" style="255" customWidth="1"/>
    <col min="13340" max="13340" width="7.75" style="255" customWidth="1"/>
    <col min="13341" max="13341" width="7.125" style="255" customWidth="1"/>
    <col min="13342" max="13342" width="12.125" style="255" customWidth="1"/>
    <col min="13343" max="13343" width="8.25" style="255" customWidth="1"/>
    <col min="13344" max="13345" width="10.375" style="255" customWidth="1"/>
    <col min="13346" max="13346" width="15.625" style="255" customWidth="1"/>
    <col min="13347" max="13347" width="15.875" style="255" customWidth="1"/>
    <col min="13348" max="13348" width="8.125" style="255" customWidth="1"/>
    <col min="13349" max="13352" width="10.375" style="255" customWidth="1"/>
    <col min="13353" max="13353" width="7.25" style="255" customWidth="1"/>
    <col min="13354" max="13354" width="7.125" style="255" customWidth="1"/>
    <col min="13355" max="13355" width="9.5" style="255" customWidth="1"/>
    <col min="13356" max="13357" width="9" style="255" customWidth="1"/>
    <col min="13358" max="13358" width="16.125" style="255" customWidth="1"/>
    <col min="13359" max="13389" width="9" style="255" customWidth="1"/>
    <col min="13390" max="13549" width="25.25" style="255"/>
    <col min="13550" max="13579" width="9" style="255" customWidth="1"/>
    <col min="13580" max="13580" width="0.5" style="255" customWidth="1"/>
    <col min="13581" max="13581" width="25.25" style="255"/>
    <col min="13582" max="13582" width="0.5" style="255" customWidth="1"/>
    <col min="13583" max="13583" width="25.25" style="255"/>
    <col min="13584" max="13584" width="14.75" style="255" customWidth="1"/>
    <col min="13585" max="13585" width="11.5" style="255" customWidth="1"/>
    <col min="13586" max="13586" width="11.25" style="255" customWidth="1"/>
    <col min="13587" max="13587" width="10.75" style="255" customWidth="1"/>
    <col min="13588" max="13588" width="10" style="255" customWidth="1"/>
    <col min="13589" max="13589" width="9.875" style="255" customWidth="1"/>
    <col min="13590" max="13590" width="26.125" style="255" customWidth="1"/>
    <col min="13591" max="13591" width="11.125" style="255" customWidth="1"/>
    <col min="13592" max="13592" width="7.875" style="255" customWidth="1"/>
    <col min="13593" max="13593" width="7.25" style="255" customWidth="1"/>
    <col min="13594" max="13594" width="9.125" style="255" customWidth="1"/>
    <col min="13595" max="13595" width="15.125" style="255" customWidth="1"/>
    <col min="13596" max="13596" width="7.75" style="255" customWidth="1"/>
    <col min="13597" max="13597" width="7.125" style="255" customWidth="1"/>
    <col min="13598" max="13598" width="12.125" style="255" customWidth="1"/>
    <col min="13599" max="13599" width="8.25" style="255" customWidth="1"/>
    <col min="13600" max="13601" width="10.375" style="255" customWidth="1"/>
    <col min="13602" max="13602" width="15.625" style="255" customWidth="1"/>
    <col min="13603" max="13603" width="15.875" style="255" customWidth="1"/>
    <col min="13604" max="13604" width="8.125" style="255" customWidth="1"/>
    <col min="13605" max="13608" width="10.375" style="255" customWidth="1"/>
    <col min="13609" max="13609" width="7.25" style="255" customWidth="1"/>
    <col min="13610" max="13610" width="7.125" style="255" customWidth="1"/>
    <col min="13611" max="13611" width="9.5" style="255" customWidth="1"/>
    <col min="13612" max="13613" width="9" style="255" customWidth="1"/>
    <col min="13614" max="13614" width="16.125" style="255" customWidth="1"/>
    <col min="13615" max="13645" width="9" style="255" customWidth="1"/>
    <col min="13646" max="13805" width="25.25" style="255"/>
    <col min="13806" max="13835" width="9" style="255" customWidth="1"/>
    <col min="13836" max="13836" width="0.5" style="255" customWidth="1"/>
    <col min="13837" max="13837" width="25.25" style="255"/>
    <col min="13838" max="13838" width="0.5" style="255" customWidth="1"/>
    <col min="13839" max="13839" width="25.25" style="255"/>
    <col min="13840" max="13840" width="14.75" style="255" customWidth="1"/>
    <col min="13841" max="13841" width="11.5" style="255" customWidth="1"/>
    <col min="13842" max="13842" width="11.25" style="255" customWidth="1"/>
    <col min="13843" max="13843" width="10.75" style="255" customWidth="1"/>
    <col min="13844" max="13844" width="10" style="255" customWidth="1"/>
    <col min="13845" max="13845" width="9.875" style="255" customWidth="1"/>
    <col min="13846" max="13846" width="26.125" style="255" customWidth="1"/>
    <col min="13847" max="13847" width="11.125" style="255" customWidth="1"/>
    <col min="13848" max="13848" width="7.875" style="255" customWidth="1"/>
    <col min="13849" max="13849" width="7.25" style="255" customWidth="1"/>
    <col min="13850" max="13850" width="9.125" style="255" customWidth="1"/>
    <col min="13851" max="13851" width="15.125" style="255" customWidth="1"/>
    <col min="13852" max="13852" width="7.75" style="255" customWidth="1"/>
    <col min="13853" max="13853" width="7.125" style="255" customWidth="1"/>
    <col min="13854" max="13854" width="12.125" style="255" customWidth="1"/>
    <col min="13855" max="13855" width="8.25" style="255" customWidth="1"/>
    <col min="13856" max="13857" width="10.375" style="255" customWidth="1"/>
    <col min="13858" max="13858" width="15.625" style="255" customWidth="1"/>
    <col min="13859" max="13859" width="15.875" style="255" customWidth="1"/>
    <col min="13860" max="13860" width="8.125" style="255" customWidth="1"/>
    <col min="13861" max="13864" width="10.375" style="255" customWidth="1"/>
    <col min="13865" max="13865" width="7.25" style="255" customWidth="1"/>
    <col min="13866" max="13866" width="7.125" style="255" customWidth="1"/>
    <col min="13867" max="13867" width="9.5" style="255" customWidth="1"/>
    <col min="13868" max="13869" width="9" style="255" customWidth="1"/>
    <col min="13870" max="13870" width="16.125" style="255" customWidth="1"/>
    <col min="13871" max="13901" width="9" style="255" customWidth="1"/>
    <col min="13902" max="14061" width="25.25" style="255"/>
    <col min="14062" max="14091" width="9" style="255" customWidth="1"/>
    <col min="14092" max="14092" width="0.5" style="255" customWidth="1"/>
    <col min="14093" max="14093" width="25.25" style="255"/>
    <col min="14094" max="14094" width="0.5" style="255" customWidth="1"/>
    <col min="14095" max="14095" width="25.25" style="255"/>
    <col min="14096" max="14096" width="14.75" style="255" customWidth="1"/>
    <col min="14097" max="14097" width="11.5" style="255" customWidth="1"/>
    <col min="14098" max="14098" width="11.25" style="255" customWidth="1"/>
    <col min="14099" max="14099" width="10.75" style="255" customWidth="1"/>
    <col min="14100" max="14100" width="10" style="255" customWidth="1"/>
    <col min="14101" max="14101" width="9.875" style="255" customWidth="1"/>
    <col min="14102" max="14102" width="26.125" style="255" customWidth="1"/>
    <col min="14103" max="14103" width="11.125" style="255" customWidth="1"/>
    <col min="14104" max="14104" width="7.875" style="255" customWidth="1"/>
    <col min="14105" max="14105" width="7.25" style="255" customWidth="1"/>
    <col min="14106" max="14106" width="9.125" style="255" customWidth="1"/>
    <col min="14107" max="14107" width="15.125" style="255" customWidth="1"/>
    <col min="14108" max="14108" width="7.75" style="255" customWidth="1"/>
    <col min="14109" max="14109" width="7.125" style="255" customWidth="1"/>
    <col min="14110" max="14110" width="12.125" style="255" customWidth="1"/>
    <col min="14111" max="14111" width="8.25" style="255" customWidth="1"/>
    <col min="14112" max="14113" width="10.375" style="255" customWidth="1"/>
    <col min="14114" max="14114" width="15.625" style="255" customWidth="1"/>
    <col min="14115" max="14115" width="15.875" style="255" customWidth="1"/>
    <col min="14116" max="14116" width="8.125" style="255" customWidth="1"/>
    <col min="14117" max="14120" width="10.375" style="255" customWidth="1"/>
    <col min="14121" max="14121" width="7.25" style="255" customWidth="1"/>
    <col min="14122" max="14122" width="7.125" style="255" customWidth="1"/>
    <col min="14123" max="14123" width="9.5" style="255" customWidth="1"/>
    <col min="14124" max="14125" width="9" style="255" customWidth="1"/>
    <col min="14126" max="14126" width="16.125" style="255" customWidth="1"/>
    <col min="14127" max="14157" width="9" style="255" customWidth="1"/>
    <col min="14158" max="14317" width="25.25" style="255"/>
    <col min="14318" max="14347" width="9" style="255" customWidth="1"/>
    <col min="14348" max="14348" width="0.5" style="255" customWidth="1"/>
    <col min="14349" max="14349" width="25.25" style="255"/>
    <col min="14350" max="14350" width="0.5" style="255" customWidth="1"/>
    <col min="14351" max="14351" width="25.25" style="255"/>
    <col min="14352" max="14352" width="14.75" style="255" customWidth="1"/>
    <col min="14353" max="14353" width="11.5" style="255" customWidth="1"/>
    <col min="14354" max="14354" width="11.25" style="255" customWidth="1"/>
    <col min="14355" max="14355" width="10.75" style="255" customWidth="1"/>
    <col min="14356" max="14356" width="10" style="255" customWidth="1"/>
    <col min="14357" max="14357" width="9.875" style="255" customWidth="1"/>
    <col min="14358" max="14358" width="26.125" style="255" customWidth="1"/>
    <col min="14359" max="14359" width="11.125" style="255" customWidth="1"/>
    <col min="14360" max="14360" width="7.875" style="255" customWidth="1"/>
    <col min="14361" max="14361" width="7.25" style="255" customWidth="1"/>
    <col min="14362" max="14362" width="9.125" style="255" customWidth="1"/>
    <col min="14363" max="14363" width="15.125" style="255" customWidth="1"/>
    <col min="14364" max="14364" width="7.75" style="255" customWidth="1"/>
    <col min="14365" max="14365" width="7.125" style="255" customWidth="1"/>
    <col min="14366" max="14366" width="12.125" style="255" customWidth="1"/>
    <col min="14367" max="14367" width="8.25" style="255" customWidth="1"/>
    <col min="14368" max="14369" width="10.375" style="255" customWidth="1"/>
    <col min="14370" max="14370" width="15.625" style="255" customWidth="1"/>
    <col min="14371" max="14371" width="15.875" style="255" customWidth="1"/>
    <col min="14372" max="14372" width="8.125" style="255" customWidth="1"/>
    <col min="14373" max="14376" width="10.375" style="255" customWidth="1"/>
    <col min="14377" max="14377" width="7.25" style="255" customWidth="1"/>
    <col min="14378" max="14378" width="7.125" style="255" customWidth="1"/>
    <col min="14379" max="14379" width="9.5" style="255" customWidth="1"/>
    <col min="14380" max="14381" width="9" style="255" customWidth="1"/>
    <col min="14382" max="14382" width="16.125" style="255" customWidth="1"/>
    <col min="14383" max="14413" width="9" style="255" customWidth="1"/>
    <col min="14414" max="14573" width="25.25" style="255"/>
    <col min="14574" max="14603" width="9" style="255" customWidth="1"/>
    <col min="14604" max="14604" width="0.5" style="255" customWidth="1"/>
    <col min="14605" max="14605" width="25.25" style="255"/>
    <col min="14606" max="14606" width="0.5" style="255" customWidth="1"/>
    <col min="14607" max="14607" width="25.25" style="255"/>
    <col min="14608" max="14608" width="14.75" style="255" customWidth="1"/>
    <col min="14609" max="14609" width="11.5" style="255" customWidth="1"/>
    <col min="14610" max="14610" width="11.25" style="255" customWidth="1"/>
    <col min="14611" max="14611" width="10.75" style="255" customWidth="1"/>
    <col min="14612" max="14612" width="10" style="255" customWidth="1"/>
    <col min="14613" max="14613" width="9.875" style="255" customWidth="1"/>
    <col min="14614" max="14614" width="26.125" style="255" customWidth="1"/>
    <col min="14615" max="14615" width="11.125" style="255" customWidth="1"/>
    <col min="14616" max="14616" width="7.875" style="255" customWidth="1"/>
    <col min="14617" max="14617" width="7.25" style="255" customWidth="1"/>
    <col min="14618" max="14618" width="9.125" style="255" customWidth="1"/>
    <col min="14619" max="14619" width="15.125" style="255" customWidth="1"/>
    <col min="14620" max="14620" width="7.75" style="255" customWidth="1"/>
    <col min="14621" max="14621" width="7.125" style="255" customWidth="1"/>
    <col min="14622" max="14622" width="12.125" style="255" customWidth="1"/>
    <col min="14623" max="14623" width="8.25" style="255" customWidth="1"/>
    <col min="14624" max="14625" width="10.375" style="255" customWidth="1"/>
    <col min="14626" max="14626" width="15.625" style="255" customWidth="1"/>
    <col min="14627" max="14627" width="15.875" style="255" customWidth="1"/>
    <col min="14628" max="14628" width="8.125" style="255" customWidth="1"/>
    <col min="14629" max="14632" width="10.375" style="255" customWidth="1"/>
    <col min="14633" max="14633" width="7.25" style="255" customWidth="1"/>
    <col min="14634" max="14634" width="7.125" style="255" customWidth="1"/>
    <col min="14635" max="14635" width="9.5" style="255" customWidth="1"/>
    <col min="14636" max="14637" width="9" style="255" customWidth="1"/>
    <col min="14638" max="14638" width="16.125" style="255" customWidth="1"/>
    <col min="14639" max="14669" width="9" style="255" customWidth="1"/>
    <col min="14670" max="14829" width="25.25" style="255"/>
    <col min="14830" max="14859" width="9" style="255" customWidth="1"/>
    <col min="14860" max="14860" width="0.5" style="255" customWidth="1"/>
    <col min="14861" max="14861" width="25.25" style="255"/>
    <col min="14862" max="14862" width="0.5" style="255" customWidth="1"/>
    <col min="14863" max="14863" width="25.25" style="255"/>
    <col min="14864" max="14864" width="14.75" style="255" customWidth="1"/>
    <col min="14865" max="14865" width="11.5" style="255" customWidth="1"/>
    <col min="14866" max="14866" width="11.25" style="255" customWidth="1"/>
    <col min="14867" max="14867" width="10.75" style="255" customWidth="1"/>
    <col min="14868" max="14868" width="10" style="255" customWidth="1"/>
    <col min="14869" max="14869" width="9.875" style="255" customWidth="1"/>
    <col min="14870" max="14870" width="26.125" style="255" customWidth="1"/>
    <col min="14871" max="14871" width="11.125" style="255" customWidth="1"/>
    <col min="14872" max="14872" width="7.875" style="255" customWidth="1"/>
    <col min="14873" max="14873" width="7.25" style="255" customWidth="1"/>
    <col min="14874" max="14874" width="9.125" style="255" customWidth="1"/>
    <col min="14875" max="14875" width="15.125" style="255" customWidth="1"/>
    <col min="14876" max="14876" width="7.75" style="255" customWidth="1"/>
    <col min="14877" max="14877" width="7.125" style="255" customWidth="1"/>
    <col min="14878" max="14878" width="12.125" style="255" customWidth="1"/>
    <col min="14879" max="14879" width="8.25" style="255" customWidth="1"/>
    <col min="14880" max="14881" width="10.375" style="255" customWidth="1"/>
    <col min="14882" max="14882" width="15.625" style="255" customWidth="1"/>
    <col min="14883" max="14883" width="15.875" style="255" customWidth="1"/>
    <col min="14884" max="14884" width="8.125" style="255" customWidth="1"/>
    <col min="14885" max="14888" width="10.375" style="255" customWidth="1"/>
    <col min="14889" max="14889" width="7.25" style="255" customWidth="1"/>
    <col min="14890" max="14890" width="7.125" style="255" customWidth="1"/>
    <col min="14891" max="14891" width="9.5" style="255" customWidth="1"/>
    <col min="14892" max="14893" width="9" style="255" customWidth="1"/>
    <col min="14894" max="14894" width="16.125" style="255" customWidth="1"/>
    <col min="14895" max="14925" width="9" style="255" customWidth="1"/>
    <col min="14926" max="15085" width="25.25" style="255"/>
    <col min="15086" max="15115" width="9" style="255" customWidth="1"/>
    <col min="15116" max="15116" width="0.5" style="255" customWidth="1"/>
    <col min="15117" max="15117" width="25.25" style="255"/>
    <col min="15118" max="15118" width="0.5" style="255" customWidth="1"/>
    <col min="15119" max="15119" width="25.25" style="255"/>
    <col min="15120" max="15120" width="14.75" style="255" customWidth="1"/>
    <col min="15121" max="15121" width="11.5" style="255" customWidth="1"/>
    <col min="15122" max="15122" width="11.25" style="255" customWidth="1"/>
    <col min="15123" max="15123" width="10.75" style="255" customWidth="1"/>
    <col min="15124" max="15124" width="10" style="255" customWidth="1"/>
    <col min="15125" max="15125" width="9.875" style="255" customWidth="1"/>
    <col min="15126" max="15126" width="26.125" style="255" customWidth="1"/>
    <col min="15127" max="15127" width="11.125" style="255" customWidth="1"/>
    <col min="15128" max="15128" width="7.875" style="255" customWidth="1"/>
    <col min="15129" max="15129" width="7.25" style="255" customWidth="1"/>
    <col min="15130" max="15130" width="9.125" style="255" customWidth="1"/>
    <col min="15131" max="15131" width="15.125" style="255" customWidth="1"/>
    <col min="15132" max="15132" width="7.75" style="255" customWidth="1"/>
    <col min="15133" max="15133" width="7.125" style="255" customWidth="1"/>
    <col min="15134" max="15134" width="12.125" style="255" customWidth="1"/>
    <col min="15135" max="15135" width="8.25" style="255" customWidth="1"/>
    <col min="15136" max="15137" width="10.375" style="255" customWidth="1"/>
    <col min="15138" max="15138" width="15.625" style="255" customWidth="1"/>
    <col min="15139" max="15139" width="15.875" style="255" customWidth="1"/>
    <col min="15140" max="15140" width="8.125" style="255" customWidth="1"/>
    <col min="15141" max="15144" width="10.375" style="255" customWidth="1"/>
    <col min="15145" max="15145" width="7.25" style="255" customWidth="1"/>
    <col min="15146" max="15146" width="7.125" style="255" customWidth="1"/>
    <col min="15147" max="15147" width="9.5" style="255" customWidth="1"/>
    <col min="15148" max="15149" width="9" style="255" customWidth="1"/>
    <col min="15150" max="15150" width="16.125" style="255" customWidth="1"/>
    <col min="15151" max="15181" width="9" style="255" customWidth="1"/>
    <col min="15182" max="15341" width="25.25" style="255"/>
    <col min="15342" max="15371" width="9" style="255" customWidth="1"/>
    <col min="15372" max="15372" width="0.5" style="255" customWidth="1"/>
    <col min="15373" max="15373" width="25.25" style="255"/>
    <col min="15374" max="15374" width="0.5" style="255" customWidth="1"/>
    <col min="15375" max="15375" width="25.25" style="255"/>
    <col min="15376" max="15376" width="14.75" style="255" customWidth="1"/>
    <col min="15377" max="15377" width="11.5" style="255" customWidth="1"/>
    <col min="15378" max="15378" width="11.25" style="255" customWidth="1"/>
    <col min="15379" max="15379" width="10.75" style="255" customWidth="1"/>
    <col min="15380" max="15380" width="10" style="255" customWidth="1"/>
    <col min="15381" max="15381" width="9.875" style="255" customWidth="1"/>
    <col min="15382" max="15382" width="26.125" style="255" customWidth="1"/>
    <col min="15383" max="15383" width="11.125" style="255" customWidth="1"/>
    <col min="15384" max="15384" width="7.875" style="255" customWidth="1"/>
    <col min="15385" max="15385" width="7.25" style="255" customWidth="1"/>
    <col min="15386" max="15386" width="9.125" style="255" customWidth="1"/>
    <col min="15387" max="15387" width="15.125" style="255" customWidth="1"/>
    <col min="15388" max="15388" width="7.75" style="255" customWidth="1"/>
    <col min="15389" max="15389" width="7.125" style="255" customWidth="1"/>
    <col min="15390" max="15390" width="12.125" style="255" customWidth="1"/>
    <col min="15391" max="15391" width="8.25" style="255" customWidth="1"/>
    <col min="15392" max="15393" width="10.375" style="255" customWidth="1"/>
    <col min="15394" max="15394" width="15.625" style="255" customWidth="1"/>
    <col min="15395" max="15395" width="15.875" style="255" customWidth="1"/>
    <col min="15396" max="15396" width="8.125" style="255" customWidth="1"/>
    <col min="15397" max="15400" width="10.375" style="255" customWidth="1"/>
    <col min="15401" max="15401" width="7.25" style="255" customWidth="1"/>
    <col min="15402" max="15402" width="7.125" style="255" customWidth="1"/>
    <col min="15403" max="15403" width="9.5" style="255" customWidth="1"/>
    <col min="15404" max="15405" width="9" style="255" customWidth="1"/>
    <col min="15406" max="15406" width="16.125" style="255" customWidth="1"/>
    <col min="15407" max="15437" width="9" style="255" customWidth="1"/>
    <col min="15438" max="15597" width="25.25" style="255"/>
    <col min="15598" max="15627" width="9" style="255" customWidth="1"/>
    <col min="15628" max="15628" width="0.5" style="255" customWidth="1"/>
    <col min="15629" max="15629" width="25.25" style="255"/>
    <col min="15630" max="15630" width="0.5" style="255" customWidth="1"/>
    <col min="15631" max="15631" width="25.25" style="255"/>
    <col min="15632" max="15632" width="14.75" style="255" customWidth="1"/>
    <col min="15633" max="15633" width="11.5" style="255" customWidth="1"/>
    <col min="15634" max="15634" width="11.25" style="255" customWidth="1"/>
    <col min="15635" max="15635" width="10.75" style="255" customWidth="1"/>
    <col min="15636" max="15636" width="10" style="255" customWidth="1"/>
    <col min="15637" max="15637" width="9.875" style="255" customWidth="1"/>
    <col min="15638" max="15638" width="26.125" style="255" customWidth="1"/>
    <col min="15639" max="15639" width="11.125" style="255" customWidth="1"/>
    <col min="15640" max="15640" width="7.875" style="255" customWidth="1"/>
    <col min="15641" max="15641" width="7.25" style="255" customWidth="1"/>
    <col min="15642" max="15642" width="9.125" style="255" customWidth="1"/>
    <col min="15643" max="15643" width="15.125" style="255" customWidth="1"/>
    <col min="15644" max="15644" width="7.75" style="255" customWidth="1"/>
    <col min="15645" max="15645" width="7.125" style="255" customWidth="1"/>
    <col min="15646" max="15646" width="12.125" style="255" customWidth="1"/>
    <col min="15647" max="15647" width="8.25" style="255" customWidth="1"/>
    <col min="15648" max="15649" width="10.375" style="255" customWidth="1"/>
    <col min="15650" max="15650" width="15.625" style="255" customWidth="1"/>
    <col min="15651" max="15651" width="15.875" style="255" customWidth="1"/>
    <col min="15652" max="15652" width="8.125" style="255" customWidth="1"/>
    <col min="15653" max="15656" width="10.375" style="255" customWidth="1"/>
    <col min="15657" max="15657" width="7.25" style="255" customWidth="1"/>
    <col min="15658" max="15658" width="7.125" style="255" customWidth="1"/>
    <col min="15659" max="15659" width="9.5" style="255" customWidth="1"/>
    <col min="15660" max="15661" width="9" style="255" customWidth="1"/>
    <col min="15662" max="15662" width="16.125" style="255" customWidth="1"/>
    <col min="15663" max="15693" width="9" style="255" customWidth="1"/>
    <col min="15694" max="15853" width="25.25" style="255"/>
    <col min="15854" max="15883" width="9" style="255" customWidth="1"/>
    <col min="15884" max="15884" width="0.5" style="255" customWidth="1"/>
    <col min="15885" max="15885" width="25.25" style="255"/>
    <col min="15886" max="15886" width="0.5" style="255" customWidth="1"/>
    <col min="15887" max="15887" width="25.25" style="255"/>
    <col min="15888" max="15888" width="14.75" style="255" customWidth="1"/>
    <col min="15889" max="15889" width="11.5" style="255" customWidth="1"/>
    <col min="15890" max="15890" width="11.25" style="255" customWidth="1"/>
    <col min="15891" max="15891" width="10.75" style="255" customWidth="1"/>
    <col min="15892" max="15892" width="10" style="255" customWidth="1"/>
    <col min="15893" max="15893" width="9.875" style="255" customWidth="1"/>
    <col min="15894" max="15894" width="26.125" style="255" customWidth="1"/>
    <col min="15895" max="15895" width="11.125" style="255" customWidth="1"/>
    <col min="15896" max="15896" width="7.875" style="255" customWidth="1"/>
    <col min="15897" max="15897" width="7.25" style="255" customWidth="1"/>
    <col min="15898" max="15898" width="9.125" style="255" customWidth="1"/>
    <col min="15899" max="15899" width="15.125" style="255" customWidth="1"/>
    <col min="15900" max="15900" width="7.75" style="255" customWidth="1"/>
    <col min="15901" max="15901" width="7.125" style="255" customWidth="1"/>
    <col min="15902" max="15902" width="12.125" style="255" customWidth="1"/>
    <col min="15903" max="15903" width="8.25" style="255" customWidth="1"/>
    <col min="15904" max="15905" width="10.375" style="255" customWidth="1"/>
    <col min="15906" max="15906" width="15.625" style="255" customWidth="1"/>
    <col min="15907" max="15907" width="15.875" style="255" customWidth="1"/>
    <col min="15908" max="15908" width="8.125" style="255" customWidth="1"/>
    <col min="15909" max="15912" width="10.375" style="255" customWidth="1"/>
    <col min="15913" max="15913" width="7.25" style="255" customWidth="1"/>
    <col min="15914" max="15914" width="7.125" style="255" customWidth="1"/>
    <col min="15915" max="15915" width="9.5" style="255" customWidth="1"/>
    <col min="15916" max="15917" width="9" style="255" customWidth="1"/>
    <col min="15918" max="15918" width="16.125" style="255" customWidth="1"/>
    <col min="15919" max="15949" width="9" style="255" customWidth="1"/>
    <col min="15950" max="16109" width="25.25" style="255"/>
    <col min="16110" max="16139" width="9" style="255" customWidth="1"/>
    <col min="16140" max="16140" width="0.5" style="255" customWidth="1"/>
    <col min="16141" max="16384" width="25.25" style="255"/>
  </cols>
  <sheetData>
    <row r="1" spans="1:16" ht="14.25" thickBot="1"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1"/>
      <c r="O1" s="1"/>
      <c r="P1" s="1"/>
    </row>
    <row r="2" spans="1:16" ht="18" customHeight="1">
      <c r="A2" s="5"/>
      <c r="B2" s="6" t="s">
        <v>402</v>
      </c>
      <c r="C2" s="254"/>
      <c r="D2" s="254" t="s">
        <v>9</v>
      </c>
      <c r="E2" s="254" t="s">
        <v>10</v>
      </c>
      <c r="F2" s="661" t="s">
        <v>11</v>
      </c>
      <c r="G2" s="661"/>
      <c r="H2" s="661"/>
      <c r="I2" s="662" t="s">
        <v>12</v>
      </c>
      <c r="J2" s="664" t="s">
        <v>13</v>
      </c>
      <c r="K2" s="665"/>
      <c r="L2" s="665"/>
      <c r="M2" s="666"/>
      <c r="N2" s="8"/>
      <c r="O2" s="8"/>
      <c r="P2" s="8"/>
    </row>
    <row r="3" spans="1:16" ht="18" customHeight="1">
      <c r="B3" s="9" t="s">
        <v>14</v>
      </c>
      <c r="C3" s="10" t="s">
        <v>15</v>
      </c>
      <c r="D3" s="10" t="s">
        <v>16</v>
      </c>
      <c r="E3" s="10" t="s">
        <v>17</v>
      </c>
      <c r="F3" s="10" t="s">
        <v>7</v>
      </c>
      <c r="G3" s="10" t="s">
        <v>5</v>
      </c>
      <c r="H3" s="10" t="s">
        <v>18</v>
      </c>
      <c r="I3" s="663"/>
      <c r="J3" s="11" t="s">
        <v>19</v>
      </c>
      <c r="K3" s="12" t="s">
        <v>20</v>
      </c>
      <c r="L3" s="12" t="s">
        <v>21</v>
      </c>
      <c r="M3" s="13" t="s">
        <v>22</v>
      </c>
      <c r="N3" s="14"/>
      <c r="P3" s="15"/>
    </row>
    <row r="4" spans="1:16" ht="18" customHeight="1">
      <c r="B4" s="667" t="str">
        <f ca="1">MID(CELL("filename",Q13),FIND("]",CELL("filename",Q13))+1,30)</f>
        <v>C2330</v>
      </c>
      <c r="C4" s="17" t="s">
        <v>23</v>
      </c>
      <c r="D4" s="17">
        <v>2300</v>
      </c>
      <c r="E4" s="17">
        <v>3000</v>
      </c>
      <c r="F4" s="18">
        <v>6.58</v>
      </c>
      <c r="G4" s="17">
        <v>1</v>
      </c>
      <c r="H4" s="17">
        <f>F4*G4</f>
        <v>6.58</v>
      </c>
      <c r="I4" s="663"/>
      <c r="J4" s="19">
        <v>40</v>
      </c>
      <c r="K4" s="20">
        <v>20</v>
      </c>
      <c r="L4" s="21">
        <v>1.5</v>
      </c>
      <c r="M4" s="22">
        <f t="shared" ref="M4:M11" si="0">ROUND(((J4*K4)-(J4-2*L4)*(K4-2*L4))*7.8/1000,3)</f>
        <v>1.3340000000000001</v>
      </c>
    </row>
    <row r="5" spans="1:16" ht="18" customHeight="1">
      <c r="B5" s="668"/>
      <c r="C5" s="221" t="s">
        <v>299</v>
      </c>
      <c r="D5" s="221">
        <f>D4-70</f>
        <v>2230</v>
      </c>
      <c r="E5" s="221">
        <f>E4-70</f>
        <v>2930</v>
      </c>
      <c r="F5" s="222">
        <f>D5*E5/10^6</f>
        <v>6.5339</v>
      </c>
      <c r="G5" s="221">
        <v>1</v>
      </c>
      <c r="H5" s="222">
        <f>F5*G5</f>
        <v>6.5339</v>
      </c>
      <c r="I5" s="663"/>
      <c r="J5" s="19">
        <v>40</v>
      </c>
      <c r="K5" s="20">
        <v>20</v>
      </c>
      <c r="L5" s="21">
        <v>2</v>
      </c>
      <c r="M5" s="22">
        <f t="shared" si="0"/>
        <v>1.7470000000000001</v>
      </c>
    </row>
    <row r="6" spans="1:16" ht="18" customHeight="1">
      <c r="B6" s="669"/>
      <c r="C6" s="17" t="s">
        <v>24</v>
      </c>
      <c r="D6" s="17">
        <f>D4-80</f>
        <v>2220</v>
      </c>
      <c r="E6" s="17">
        <f>E4-80</f>
        <v>2920</v>
      </c>
      <c r="F6" s="18">
        <f>D6*E6/10^6</f>
        <v>6.4824000000000002</v>
      </c>
      <c r="G6" s="17">
        <v>1</v>
      </c>
      <c r="H6" s="18">
        <f>F6*G6</f>
        <v>6.4824000000000002</v>
      </c>
      <c r="I6" s="663"/>
      <c r="J6" s="19">
        <v>40</v>
      </c>
      <c r="K6" s="20">
        <v>20</v>
      </c>
      <c r="L6" s="21">
        <v>2</v>
      </c>
      <c r="M6" s="22">
        <f t="shared" si="0"/>
        <v>1.7470000000000001</v>
      </c>
    </row>
    <row r="7" spans="1:16" ht="18" customHeight="1">
      <c r="B7" s="23" t="s">
        <v>25</v>
      </c>
      <c r="C7" s="252" t="s">
        <v>16</v>
      </c>
      <c r="D7" s="252" t="s">
        <v>26</v>
      </c>
      <c r="E7" s="252" t="s">
        <v>17</v>
      </c>
      <c r="F7" s="252" t="s">
        <v>27</v>
      </c>
      <c r="G7" s="252" t="s">
        <v>22</v>
      </c>
      <c r="H7" s="252" t="s">
        <v>28</v>
      </c>
      <c r="I7" s="25" t="s">
        <v>29</v>
      </c>
      <c r="J7" s="19">
        <v>80</v>
      </c>
      <c r="K7" s="20">
        <v>40</v>
      </c>
      <c r="L7" s="21">
        <v>2</v>
      </c>
      <c r="M7" s="22">
        <f t="shared" si="0"/>
        <v>3.6190000000000002</v>
      </c>
    </row>
    <row r="8" spans="1:16" ht="18" customHeight="1">
      <c r="B8" s="251" t="s">
        <v>30</v>
      </c>
      <c r="C8" s="27">
        <f>D4-30</f>
        <v>2270</v>
      </c>
      <c r="D8" s="27">
        <v>2</v>
      </c>
      <c r="E8" s="27">
        <f>E4-30</f>
        <v>2970</v>
      </c>
      <c r="F8" s="27">
        <v>2</v>
      </c>
      <c r="G8" s="28">
        <v>1.7470000000000001</v>
      </c>
      <c r="H8" s="29">
        <f>材料价格!B3</f>
        <v>7.5</v>
      </c>
      <c r="I8" s="30">
        <f>ROUND((C8*D8+E8*F8)*G8*H8/1000*1.1,2)</f>
        <v>151.05000000000001</v>
      </c>
      <c r="J8" s="19">
        <v>40</v>
      </c>
      <c r="K8" s="20">
        <v>20</v>
      </c>
      <c r="L8" s="21">
        <v>1.4</v>
      </c>
      <c r="M8" s="22">
        <f>ROUND(((J8*K8)-(J8-2*L8)*(K8-2*L8))*2.71/1000,3)</f>
        <v>0.434</v>
      </c>
    </row>
    <row r="9" spans="1:16" ht="18" customHeight="1">
      <c r="B9" s="251" t="s">
        <v>30</v>
      </c>
      <c r="C9" s="250"/>
      <c r="D9" s="250"/>
      <c r="E9" s="250"/>
      <c r="F9" s="250"/>
      <c r="G9" s="28">
        <v>1.7470000000000001</v>
      </c>
      <c r="H9" s="32">
        <f>H8</f>
        <v>7.5</v>
      </c>
      <c r="I9" s="30">
        <f>ROUND((C9*D9+E9*F9)*G9*H9/1000*1.1,2)</f>
        <v>0</v>
      </c>
      <c r="J9" s="19"/>
      <c r="K9" s="20"/>
      <c r="L9" s="21"/>
      <c r="M9" s="22">
        <f t="shared" si="0"/>
        <v>0</v>
      </c>
    </row>
    <row r="10" spans="1:16" ht="18" customHeight="1">
      <c r="B10" s="251" t="s">
        <v>31</v>
      </c>
      <c r="C10" s="250"/>
      <c r="D10" s="250"/>
      <c r="E10" s="250"/>
      <c r="F10" s="250"/>
      <c r="G10" s="28">
        <v>3.6190000000000002</v>
      </c>
      <c r="H10" s="32">
        <f>H9</f>
        <v>7.5</v>
      </c>
      <c r="I10" s="30">
        <f>ROUND((C10*D10+E10*F10)*G10*H10/1000*1.1,2)</f>
        <v>0</v>
      </c>
      <c r="J10" s="19"/>
      <c r="K10" s="20"/>
      <c r="L10" s="12"/>
      <c r="M10" s="22">
        <f t="shared" si="0"/>
        <v>0</v>
      </c>
    </row>
    <row r="11" spans="1:16" ht="18" customHeight="1" thickBot="1">
      <c r="B11" s="251" t="s">
        <v>32</v>
      </c>
      <c r="C11" s="250"/>
      <c r="D11" s="250"/>
      <c r="E11" s="250"/>
      <c r="F11" s="250"/>
      <c r="G11" s="28">
        <v>2.9950000000000001</v>
      </c>
      <c r="H11" s="32">
        <f>H10</f>
        <v>7.5</v>
      </c>
      <c r="I11" s="30">
        <f>ROUND((C11*D11+E11*F11)*G11*H11/1000*1.1,2)</f>
        <v>0</v>
      </c>
      <c r="J11" s="33"/>
      <c r="K11" s="34"/>
      <c r="L11" s="35"/>
      <c r="M11" s="36">
        <f t="shared" si="0"/>
        <v>0</v>
      </c>
    </row>
    <row r="12" spans="1:16" ht="18" customHeight="1">
      <c r="B12" s="37" t="s">
        <v>33</v>
      </c>
      <c r="C12" s="38">
        <f>((I9+I10+I8+I11)/H8)/F4</f>
        <v>3.0607902735562309</v>
      </c>
      <c r="D12" s="39" t="s">
        <v>34</v>
      </c>
      <c r="E12" s="38">
        <f>(I9+I10+I8+I11)/F4</f>
        <v>22.955927051671733</v>
      </c>
      <c r="F12" s="40" t="s">
        <v>35</v>
      </c>
      <c r="G12" s="39"/>
      <c r="H12" s="39">
        <f>ROUND(SUM(I8:I11)/H8,2)</f>
        <v>20.14</v>
      </c>
      <c r="I12" s="41">
        <f>SUM(I8:I11)</f>
        <v>151.05000000000001</v>
      </c>
      <c r="J12" s="42"/>
    </row>
    <row r="13" spans="1:16" ht="18" customHeight="1">
      <c r="B13" s="23" t="s">
        <v>36</v>
      </c>
      <c r="C13" s="252" t="s">
        <v>14</v>
      </c>
      <c r="D13" s="252" t="s">
        <v>37</v>
      </c>
      <c r="E13" s="252" t="s">
        <v>38</v>
      </c>
      <c r="F13" s="252" t="s">
        <v>39</v>
      </c>
      <c r="G13" s="252" t="s">
        <v>8</v>
      </c>
      <c r="H13" s="252" t="s">
        <v>22</v>
      </c>
      <c r="I13" s="25" t="s">
        <v>40</v>
      </c>
    </row>
    <row r="14" spans="1:16" ht="18" customHeight="1">
      <c r="B14" s="648" t="s">
        <v>41</v>
      </c>
      <c r="C14" s="649" t="s">
        <v>404</v>
      </c>
      <c r="D14" s="250">
        <f>D6</f>
        <v>2220</v>
      </c>
      <c r="E14" s="250">
        <v>1150</v>
      </c>
      <c r="F14" s="44">
        <f>ROUND((D14+E14)*2/1000,4)</f>
        <v>6.74</v>
      </c>
      <c r="G14" s="250">
        <v>1</v>
      </c>
      <c r="H14" s="250">
        <v>1.47</v>
      </c>
      <c r="I14" s="284">
        <f>ROUND(F14*G14*H14,3)*2</f>
        <v>19.815999999999999</v>
      </c>
      <c r="J14" s="42"/>
      <c r="K14" s="46"/>
      <c r="L14" s="46"/>
      <c r="M14" s="42"/>
    </row>
    <row r="15" spans="1:16" ht="18" customHeight="1">
      <c r="B15" s="648"/>
      <c r="C15" s="650"/>
      <c r="D15" s="250">
        <f>D14</f>
        <v>2220</v>
      </c>
      <c r="E15" s="250">
        <f>E6-E14</f>
        <v>1770</v>
      </c>
      <c r="F15" s="44">
        <f t="shared" ref="F15:F21" si="1">ROUND((D15+E15)*2/1000,4)</f>
        <v>7.98</v>
      </c>
      <c r="G15" s="250">
        <v>1</v>
      </c>
      <c r="H15" s="250">
        <f t="shared" ref="H15:H21" si="2">H14</f>
        <v>1.47</v>
      </c>
      <c r="I15" s="247">
        <f>ROUND(F15*G15*H15,3)</f>
        <v>11.731</v>
      </c>
      <c r="K15" s="47"/>
      <c r="M15" s="255"/>
    </row>
    <row r="16" spans="1:16" ht="18" customHeight="1">
      <c r="B16" s="648"/>
      <c r="C16" s="650"/>
      <c r="D16" s="250"/>
      <c r="E16" s="250"/>
      <c r="F16" s="44">
        <f t="shared" si="1"/>
        <v>0</v>
      </c>
      <c r="G16" s="250"/>
      <c r="H16" s="250">
        <f t="shared" si="2"/>
        <v>1.47</v>
      </c>
      <c r="I16" s="247">
        <f t="shared" ref="I16:I21" si="3">ROUND(F16*G16*H16,3)</f>
        <v>0</v>
      </c>
      <c r="K16" s="47"/>
      <c r="L16" s="46"/>
      <c r="M16" s="42"/>
    </row>
    <row r="17" spans="2:15" ht="18" customHeight="1">
      <c r="B17" s="648"/>
      <c r="C17" s="650"/>
      <c r="D17" s="250"/>
      <c r="E17" s="250"/>
      <c r="F17" s="44">
        <f t="shared" si="1"/>
        <v>0</v>
      </c>
      <c r="G17" s="250"/>
      <c r="H17" s="250">
        <f t="shared" si="2"/>
        <v>1.47</v>
      </c>
      <c r="I17" s="247">
        <f t="shared" si="3"/>
        <v>0</v>
      </c>
      <c r="K17" s="47"/>
      <c r="M17" s="42"/>
    </row>
    <row r="18" spans="2:15" ht="18" customHeight="1">
      <c r="B18" s="648"/>
      <c r="C18" s="650"/>
      <c r="D18" s="250"/>
      <c r="E18" s="250"/>
      <c r="F18" s="44">
        <f t="shared" si="1"/>
        <v>0</v>
      </c>
      <c r="G18" s="250"/>
      <c r="H18" s="250">
        <f t="shared" si="2"/>
        <v>1.47</v>
      </c>
      <c r="I18" s="247">
        <f t="shared" si="3"/>
        <v>0</v>
      </c>
      <c r="M18" s="42"/>
    </row>
    <row r="19" spans="2:15" ht="18" customHeight="1">
      <c r="B19" s="648"/>
      <c r="C19" s="650"/>
      <c r="D19" s="250"/>
      <c r="E19" s="250"/>
      <c r="F19" s="44">
        <f t="shared" si="1"/>
        <v>0</v>
      </c>
      <c r="G19" s="250"/>
      <c r="H19" s="250">
        <f t="shared" si="2"/>
        <v>1.47</v>
      </c>
      <c r="I19" s="247">
        <f t="shared" si="3"/>
        <v>0</v>
      </c>
      <c r="M19" s="42"/>
    </row>
    <row r="20" spans="2:15" ht="18" customHeight="1">
      <c r="B20" s="648"/>
      <c r="C20" s="650"/>
      <c r="D20" s="250"/>
      <c r="E20" s="250"/>
      <c r="F20" s="44">
        <f t="shared" si="1"/>
        <v>0</v>
      </c>
      <c r="G20" s="250"/>
      <c r="H20" s="250">
        <f t="shared" si="2"/>
        <v>1.47</v>
      </c>
      <c r="I20" s="247">
        <f t="shared" si="3"/>
        <v>0</v>
      </c>
      <c r="K20" s="47"/>
      <c r="M20" s="42"/>
    </row>
    <row r="21" spans="2:15" ht="18" customHeight="1">
      <c r="B21" s="648"/>
      <c r="C21" s="651"/>
      <c r="D21" s="250"/>
      <c r="E21" s="250"/>
      <c r="F21" s="44">
        <f t="shared" si="1"/>
        <v>0</v>
      </c>
      <c r="G21" s="250"/>
      <c r="H21" s="250">
        <f t="shared" si="2"/>
        <v>1.47</v>
      </c>
      <c r="I21" s="247">
        <f t="shared" si="3"/>
        <v>0</v>
      </c>
    </row>
    <row r="22" spans="2:15" ht="18" customHeight="1">
      <c r="B22" s="48" t="s">
        <v>42</v>
      </c>
      <c r="C22" s="49">
        <f>SUMPRODUCT(F14:F21*G14:G21)</f>
        <v>14.72</v>
      </c>
      <c r="D22" s="50" t="s">
        <v>43</v>
      </c>
      <c r="E22" s="49">
        <f>SUM(I14:I21)*1.1</f>
        <v>34.701700000000002</v>
      </c>
      <c r="F22" s="50" t="s">
        <v>44</v>
      </c>
      <c r="G22" s="51">
        <f>(C$218+C$219)/1000</f>
        <v>46.081499999999998</v>
      </c>
      <c r="H22" s="52" t="s">
        <v>45</v>
      </c>
      <c r="I22" s="53">
        <f>ROUND(E22*G22,2)</f>
        <v>1599.11</v>
      </c>
      <c r="J22" s="243">
        <f>SUM(G14:G21)</f>
        <v>2</v>
      </c>
    </row>
    <row r="23" spans="2:15" ht="18" customHeight="1">
      <c r="B23" s="48" t="s">
        <v>46</v>
      </c>
      <c r="C23" s="50">
        <v>207.36</v>
      </c>
      <c r="D23" s="50" t="s">
        <v>47</v>
      </c>
      <c r="E23" s="49">
        <f>ROUND(C22*(C23/1000),2)</f>
        <v>3.05</v>
      </c>
      <c r="F23" s="50" t="s">
        <v>48</v>
      </c>
      <c r="G23" s="50">
        <v>10</v>
      </c>
      <c r="H23" s="52" t="s">
        <v>49</v>
      </c>
      <c r="I23" s="53">
        <f>E23*G23</f>
        <v>30.5</v>
      </c>
    </row>
    <row r="24" spans="2:15" ht="18" customHeight="1" thickBot="1">
      <c r="B24" s="48" t="s">
        <v>50</v>
      </c>
      <c r="C24" s="50">
        <v>169.96</v>
      </c>
      <c r="D24" s="50" t="s">
        <v>51</v>
      </c>
      <c r="E24" s="49">
        <f>ROUND(C22*(C24/1000),2)</f>
        <v>2.5</v>
      </c>
      <c r="F24" s="50" t="s">
        <v>48</v>
      </c>
      <c r="G24" s="50">
        <v>10</v>
      </c>
      <c r="H24" s="52" t="s">
        <v>49</v>
      </c>
      <c r="I24" s="53">
        <f>E24*G24</f>
        <v>25</v>
      </c>
    </row>
    <row r="25" spans="2:15" ht="18" customHeight="1">
      <c r="B25" s="23" t="s">
        <v>36</v>
      </c>
      <c r="C25" s="252" t="s">
        <v>14</v>
      </c>
      <c r="D25" s="252" t="s">
        <v>37</v>
      </c>
      <c r="E25" s="252" t="s">
        <v>38</v>
      </c>
      <c r="F25" s="252" t="s">
        <v>39</v>
      </c>
      <c r="G25" s="252" t="s">
        <v>8</v>
      </c>
      <c r="H25" s="252" t="s">
        <v>22</v>
      </c>
      <c r="I25" s="25" t="s">
        <v>40</v>
      </c>
      <c r="J25" s="54" t="s">
        <v>2</v>
      </c>
      <c r="K25" s="55" t="s">
        <v>3</v>
      </c>
      <c r="L25" s="55" t="s">
        <v>52</v>
      </c>
      <c r="M25" s="55" t="s">
        <v>53</v>
      </c>
      <c r="N25" s="56" t="s">
        <v>14</v>
      </c>
    </row>
    <row r="26" spans="2:15" ht="18" customHeight="1">
      <c r="B26" s="648" t="s">
        <v>54</v>
      </c>
      <c r="C26" s="649" t="s">
        <v>55</v>
      </c>
      <c r="D26" s="253">
        <f>J26-IF(L26=1,44,IF(L26=2,30,IF(L26=3,16,0)))</f>
        <v>0</v>
      </c>
      <c r="E26" s="253">
        <f>K26-IF(M26=1,44,IF(M26=2,30,IF(M26=3,16,0)))</f>
        <v>0</v>
      </c>
      <c r="F26" s="44">
        <f>ROUND((D26+E26)*2/1000,4)</f>
        <v>0</v>
      </c>
      <c r="G26" s="250"/>
      <c r="H26" s="58">
        <v>1.62</v>
      </c>
      <c r="I26" s="59">
        <f>IF(AND(D26&gt;0,E26&gt;0,F26&gt;0),F26*G26*H26,0)</f>
        <v>0</v>
      </c>
      <c r="J26" s="60"/>
      <c r="K26" s="61"/>
      <c r="L26" s="61"/>
      <c r="M26" s="61"/>
      <c r="N26" s="62" t="s">
        <v>56</v>
      </c>
      <c r="O26" s="63" t="s">
        <v>57</v>
      </c>
    </row>
    <row r="27" spans="2:15" ht="18" customHeight="1">
      <c r="B27" s="648"/>
      <c r="C27" s="650"/>
      <c r="D27" s="253">
        <f t="shared" ref="D27:E30" si="4">J27-IF(L27=1,44,IF(L27=2,30,IF(L27=3,16,0)))</f>
        <v>0</v>
      </c>
      <c r="E27" s="253">
        <f t="shared" si="4"/>
        <v>0</v>
      </c>
      <c r="F27" s="44">
        <f>ROUND((D27+E27)*2/1000,4)</f>
        <v>0</v>
      </c>
      <c r="G27" s="250"/>
      <c r="H27" s="58">
        <f>H26</f>
        <v>1.62</v>
      </c>
      <c r="I27" s="59">
        <f>IF(AND(D27&gt;0,E27&gt;0,F27&gt;0),F27*G27*H27,0)</f>
        <v>0</v>
      </c>
      <c r="J27" s="60"/>
      <c r="K27" s="61"/>
      <c r="L27" s="61"/>
      <c r="M27" s="61"/>
      <c r="N27" s="62" t="s">
        <v>58</v>
      </c>
      <c r="O27" s="63" t="s">
        <v>59</v>
      </c>
    </row>
    <row r="28" spans="2:15" ht="18" customHeight="1">
      <c r="B28" s="648"/>
      <c r="C28" s="650"/>
      <c r="D28" s="253">
        <f t="shared" si="4"/>
        <v>0</v>
      </c>
      <c r="E28" s="253">
        <f t="shared" si="4"/>
        <v>0</v>
      </c>
      <c r="F28" s="44">
        <f>ROUND((D28+E28)*2/1000,4)</f>
        <v>0</v>
      </c>
      <c r="G28" s="250"/>
      <c r="H28" s="58">
        <f>H27</f>
        <v>1.62</v>
      </c>
      <c r="I28" s="59">
        <f>IF(AND(D28&gt;0,E28&gt;0,F28&gt;0),F28*G28*H28,0)</f>
        <v>0</v>
      </c>
      <c r="J28" s="60"/>
      <c r="K28" s="61"/>
      <c r="L28" s="61"/>
      <c r="M28" s="61"/>
      <c r="N28" s="62" t="s">
        <v>60</v>
      </c>
      <c r="O28" s="63" t="s">
        <v>59</v>
      </c>
    </row>
    <row r="29" spans="2:15" ht="18" customHeight="1">
      <c r="B29" s="648"/>
      <c r="C29" s="650"/>
      <c r="D29" s="253">
        <f t="shared" si="4"/>
        <v>0</v>
      </c>
      <c r="E29" s="253">
        <f t="shared" si="4"/>
        <v>0</v>
      </c>
      <c r="F29" s="44">
        <f>ROUND((D29+E29)*2/1000,4)</f>
        <v>0</v>
      </c>
      <c r="G29" s="250"/>
      <c r="H29" s="58">
        <f>H28</f>
        <v>1.62</v>
      </c>
      <c r="I29" s="59">
        <f>IF(AND(D29&gt;0,E29&gt;0,F29&gt;0),F29*G29*H29,0)</f>
        <v>0</v>
      </c>
      <c r="J29" s="60"/>
      <c r="K29" s="61"/>
      <c r="L29" s="61"/>
      <c r="M29" s="61"/>
      <c r="N29" s="62"/>
    </row>
    <row r="30" spans="2:15" ht="18" customHeight="1" thickBot="1">
      <c r="B30" s="648"/>
      <c r="C30" s="651"/>
      <c r="D30" s="253">
        <f t="shared" si="4"/>
        <v>0</v>
      </c>
      <c r="E30" s="253">
        <f t="shared" si="4"/>
        <v>0</v>
      </c>
      <c r="F30" s="44">
        <f>ROUND((D30+E30)*2/1000,4)</f>
        <v>0</v>
      </c>
      <c r="G30" s="250"/>
      <c r="H30" s="58">
        <f>H29</f>
        <v>1.62</v>
      </c>
      <c r="I30" s="59">
        <f>IF(AND(D30&gt;0,E30&gt;0,F30&gt;0),F30*G30*H30,0)</f>
        <v>0</v>
      </c>
      <c r="J30" s="64"/>
      <c r="K30" s="65"/>
      <c r="L30" s="65"/>
      <c r="M30" s="65"/>
      <c r="N30" s="66"/>
    </row>
    <row r="31" spans="2:15" ht="18" customHeight="1">
      <c r="B31" s="48" t="s">
        <v>42</v>
      </c>
      <c r="C31" s="49">
        <f>SUMPRODUCT(F26:F30*G26:G30)</f>
        <v>0</v>
      </c>
      <c r="D31" s="50" t="s">
        <v>43</v>
      </c>
      <c r="E31" s="49">
        <f>SUM(I26:I30)*1.1</f>
        <v>0</v>
      </c>
      <c r="F31" s="50" t="s">
        <v>44</v>
      </c>
      <c r="G31" s="51">
        <f>(C$218+C$221)/1000</f>
        <v>46.081499999999998</v>
      </c>
      <c r="H31" s="52" t="s">
        <v>45</v>
      </c>
      <c r="I31" s="53">
        <f>ROUND(E31*G31,2)</f>
        <v>0</v>
      </c>
      <c r="J31" s="243">
        <f>SUM(G26:G30)</f>
        <v>0</v>
      </c>
    </row>
    <row r="32" spans="2:15" ht="18" customHeight="1">
      <c r="B32" s="48" t="s">
        <v>46</v>
      </c>
      <c r="C32" s="50">
        <v>183.32</v>
      </c>
      <c r="D32" s="50" t="s">
        <v>47</v>
      </c>
      <c r="E32" s="49">
        <f>ROUND(C31*(C32/1000),2)</f>
        <v>0</v>
      </c>
      <c r="F32" s="50" t="s">
        <v>48</v>
      </c>
      <c r="G32" s="50">
        <f>G$23</f>
        <v>10</v>
      </c>
      <c r="H32" s="52" t="s">
        <v>49</v>
      </c>
      <c r="I32" s="53">
        <f>E32*G32</f>
        <v>0</v>
      </c>
    </row>
    <row r="33" spans="2:14" ht="18" customHeight="1" thickBot="1">
      <c r="B33" s="48" t="s">
        <v>50</v>
      </c>
      <c r="C33" s="50">
        <v>257.82</v>
      </c>
      <c r="D33" s="50" t="s">
        <v>51</v>
      </c>
      <c r="E33" s="49">
        <f>ROUND(C31*(C33/1000),2)</f>
        <v>0</v>
      </c>
      <c r="F33" s="50" t="s">
        <v>48</v>
      </c>
      <c r="G33" s="50">
        <f>G$24</f>
        <v>10</v>
      </c>
      <c r="H33" s="52" t="s">
        <v>49</v>
      </c>
      <c r="I33" s="53">
        <f>E33*G33</f>
        <v>0</v>
      </c>
    </row>
    <row r="34" spans="2:14" ht="18" customHeight="1" thickBot="1">
      <c r="B34" s="67" t="s">
        <v>36</v>
      </c>
      <c r="C34" s="68" t="s">
        <v>14</v>
      </c>
      <c r="D34" s="68" t="s">
        <v>37</v>
      </c>
      <c r="E34" s="68" t="s">
        <v>38</v>
      </c>
      <c r="F34" s="68" t="s">
        <v>39</v>
      </c>
      <c r="G34" s="68" t="s">
        <v>8</v>
      </c>
      <c r="H34" s="68" t="s">
        <v>22</v>
      </c>
      <c r="I34" s="69" t="s">
        <v>40</v>
      </c>
      <c r="J34" s="54" t="s">
        <v>2</v>
      </c>
      <c r="K34" s="55" t="s">
        <v>3</v>
      </c>
      <c r="L34" s="55" t="s">
        <v>61</v>
      </c>
      <c r="M34" s="55" t="s">
        <v>62</v>
      </c>
      <c r="N34" s="70" t="s">
        <v>14</v>
      </c>
    </row>
    <row r="35" spans="2:14" ht="18" customHeight="1">
      <c r="B35" s="648" t="s">
        <v>63</v>
      </c>
      <c r="C35" s="649" t="s">
        <v>64</v>
      </c>
      <c r="D35" s="253">
        <f t="shared" ref="D35:E37" si="5">J35-IF(L35=1,44,IF(L35=2,30,IF(L35=3,16,IF(L35=11,118,IF(L35=12,100,IF(L35=13,76.8,0))))))</f>
        <v>455</v>
      </c>
      <c r="E35" s="253">
        <f t="shared" si="5"/>
        <v>800</v>
      </c>
      <c r="F35" s="250">
        <f>ROUND((D35+E35)*2/1000,4)</f>
        <v>2.5099999999999998</v>
      </c>
      <c r="G35" s="250">
        <v>4</v>
      </c>
      <c r="H35" s="58">
        <v>1.8140000000000001</v>
      </c>
      <c r="I35" s="59">
        <f>ROUND(F35*G35*H35,3)</f>
        <v>18.213000000000001</v>
      </c>
      <c r="J35" s="60">
        <f>D15/4</f>
        <v>555</v>
      </c>
      <c r="K35" s="61">
        <v>900</v>
      </c>
      <c r="L35" s="61">
        <v>12</v>
      </c>
      <c r="M35" s="61">
        <v>12</v>
      </c>
      <c r="N35" s="71" t="s">
        <v>56</v>
      </c>
    </row>
    <row r="36" spans="2:14" ht="18" customHeight="1">
      <c r="B36" s="660"/>
      <c r="C36" s="650"/>
      <c r="D36" s="253">
        <f t="shared" si="5"/>
        <v>0</v>
      </c>
      <c r="E36" s="253">
        <f t="shared" si="5"/>
        <v>0</v>
      </c>
      <c r="F36" s="250">
        <f>ROUND((D36+E36)*2/1000,4)</f>
        <v>0</v>
      </c>
      <c r="G36" s="250"/>
      <c r="H36" s="58">
        <f>H35</f>
        <v>1.8140000000000001</v>
      </c>
      <c r="I36" s="59">
        <f>ROUND(F36*G36*H36,3)</f>
        <v>0</v>
      </c>
      <c r="J36" s="60"/>
      <c r="K36" s="61"/>
      <c r="L36" s="61"/>
      <c r="M36" s="61"/>
      <c r="N36" s="72" t="s">
        <v>58</v>
      </c>
    </row>
    <row r="37" spans="2:14" ht="18" customHeight="1">
      <c r="B37" s="660"/>
      <c r="C37" s="651"/>
      <c r="D37" s="253">
        <f t="shared" si="5"/>
        <v>0</v>
      </c>
      <c r="E37" s="253">
        <f t="shared" si="5"/>
        <v>0</v>
      </c>
      <c r="F37" s="250">
        <f>ROUND((D37+E37)*2/1000,4)</f>
        <v>0</v>
      </c>
      <c r="G37" s="250"/>
      <c r="H37" s="58">
        <f>H36</f>
        <v>1.8140000000000001</v>
      </c>
      <c r="I37" s="59">
        <f>ROUND(F37*G37*H37,3)</f>
        <v>0</v>
      </c>
      <c r="J37" s="60"/>
      <c r="K37" s="61"/>
      <c r="L37" s="61"/>
      <c r="M37" s="61"/>
      <c r="N37" s="72" t="s">
        <v>60</v>
      </c>
    </row>
    <row r="38" spans="2:14" ht="18" customHeight="1">
      <c r="B38" s="48" t="s">
        <v>42</v>
      </c>
      <c r="C38" s="49">
        <f>SUMPRODUCT(F35:F37*G35:G37)</f>
        <v>10.039999999999999</v>
      </c>
      <c r="D38" s="50" t="s">
        <v>43</v>
      </c>
      <c r="E38" s="49">
        <f>SUM(I35:I37)*1.1</f>
        <v>20.034300000000002</v>
      </c>
      <c r="F38" s="50" t="s">
        <v>44</v>
      </c>
      <c r="G38" s="51">
        <f>(C$218+C$219)/1000</f>
        <v>46.081499999999998</v>
      </c>
      <c r="H38" s="52" t="s">
        <v>45</v>
      </c>
      <c r="I38" s="53">
        <f>ROUND(E38*G38,2)</f>
        <v>923.21</v>
      </c>
      <c r="J38" s="243">
        <f>SUM(G35:G37)</f>
        <v>4</v>
      </c>
      <c r="K38" s="255"/>
      <c r="L38" s="255"/>
      <c r="M38" s="255"/>
      <c r="N38" s="73" t="s">
        <v>65</v>
      </c>
    </row>
    <row r="39" spans="2:14" ht="18" customHeight="1">
      <c r="B39" s="48" t="s">
        <v>46</v>
      </c>
      <c r="C39" s="50">
        <v>320.14</v>
      </c>
      <c r="D39" s="50" t="s">
        <v>47</v>
      </c>
      <c r="E39" s="49">
        <f>ROUND(C38*(C39/1000),2)</f>
        <v>3.21</v>
      </c>
      <c r="F39" s="50" t="s">
        <v>48</v>
      </c>
      <c r="G39" s="50">
        <f>G$23</f>
        <v>10</v>
      </c>
      <c r="H39" s="52" t="s">
        <v>49</v>
      </c>
      <c r="I39" s="53">
        <f>E39*G39</f>
        <v>32.1</v>
      </c>
      <c r="J39" s="255"/>
      <c r="K39" s="255"/>
      <c r="L39" s="255"/>
      <c r="M39" s="255"/>
      <c r="N39" s="73" t="s">
        <v>66</v>
      </c>
    </row>
    <row r="40" spans="2:14" ht="18" customHeight="1" thickBot="1">
      <c r="B40" s="48" t="s">
        <v>50</v>
      </c>
      <c r="C40" s="50">
        <v>156.99</v>
      </c>
      <c r="D40" s="50" t="s">
        <v>51</v>
      </c>
      <c r="E40" s="49">
        <f>ROUND(C38*(C40/1000),2)</f>
        <v>1.58</v>
      </c>
      <c r="F40" s="50" t="s">
        <v>48</v>
      </c>
      <c r="G40" s="50">
        <f>G$24</f>
        <v>10</v>
      </c>
      <c r="H40" s="52" t="s">
        <v>49</v>
      </c>
      <c r="I40" s="53">
        <f>E40*G40</f>
        <v>15.8</v>
      </c>
      <c r="J40" s="255"/>
      <c r="K40" s="255"/>
      <c r="L40" s="255"/>
      <c r="M40" s="255"/>
      <c r="N40" s="74" t="s">
        <v>67</v>
      </c>
    </row>
    <row r="41" spans="2:14" ht="18" customHeight="1" thickBot="1">
      <c r="B41" s="23" t="s">
        <v>36</v>
      </c>
      <c r="C41" s="252" t="s">
        <v>14</v>
      </c>
      <c r="D41" s="252" t="s">
        <v>37</v>
      </c>
      <c r="E41" s="252" t="s">
        <v>38</v>
      </c>
      <c r="F41" s="252" t="s">
        <v>39</v>
      </c>
      <c r="G41" s="252" t="s">
        <v>8</v>
      </c>
      <c r="H41" s="252" t="s">
        <v>22</v>
      </c>
      <c r="I41" s="25" t="s">
        <v>40</v>
      </c>
      <c r="J41" s="54" t="s">
        <v>2</v>
      </c>
      <c r="K41" s="55" t="s">
        <v>3</v>
      </c>
      <c r="L41" s="55" t="s">
        <v>61</v>
      </c>
      <c r="M41" s="55" t="s">
        <v>62</v>
      </c>
      <c r="N41" s="70" t="s">
        <v>14</v>
      </c>
    </row>
    <row r="42" spans="2:14" ht="18" customHeight="1">
      <c r="B42" s="648" t="s">
        <v>68</v>
      </c>
      <c r="C42" s="649" t="s">
        <v>69</v>
      </c>
      <c r="D42" s="253">
        <f>J42-IF(L42=1,46,IF(L42=2,34.5,IF(L42=3,23)))</f>
        <v>520.5</v>
      </c>
      <c r="E42" s="253">
        <f>K42-IF(M42=1,46,IF(M42=2,34.5,IF(M42=3,23)))</f>
        <v>865.5</v>
      </c>
      <c r="F42" s="250">
        <f t="shared" ref="F42:F47" si="6">ROUND((D42+E42)*2/1000,4)</f>
        <v>2.7719999999999998</v>
      </c>
      <c r="G42" s="250">
        <f>G35</f>
        <v>4</v>
      </c>
      <c r="H42" s="250">
        <v>1.26</v>
      </c>
      <c r="I42" s="59">
        <f t="shared" ref="I42:I47" si="7">ROUND(F42*G42*H42,3)</f>
        <v>13.971</v>
      </c>
      <c r="J42" s="60">
        <f>J35</f>
        <v>555</v>
      </c>
      <c r="K42" s="61">
        <f>K35</f>
        <v>900</v>
      </c>
      <c r="L42" s="61">
        <v>2</v>
      </c>
      <c r="M42" s="61">
        <v>2</v>
      </c>
      <c r="N42" s="71" t="s">
        <v>56</v>
      </c>
    </row>
    <row r="43" spans="2:14" ht="18" customHeight="1">
      <c r="B43" s="648"/>
      <c r="C43" s="650"/>
      <c r="D43" s="253">
        <f t="shared" ref="D43:E47" si="8">J43-IF(L43=1,46,IF(L43=2,34.5,IF(L43=3,23)))</f>
        <v>0</v>
      </c>
      <c r="E43" s="253">
        <f t="shared" si="8"/>
        <v>0</v>
      </c>
      <c r="F43" s="250">
        <f t="shared" si="6"/>
        <v>0</v>
      </c>
      <c r="G43" s="250"/>
      <c r="H43" s="250">
        <f>H42</f>
        <v>1.26</v>
      </c>
      <c r="I43" s="59">
        <f t="shared" si="7"/>
        <v>0</v>
      </c>
      <c r="J43" s="60"/>
      <c r="K43" s="61"/>
      <c r="L43" s="61"/>
      <c r="M43" s="61"/>
      <c r="N43" s="72" t="s">
        <v>58</v>
      </c>
    </row>
    <row r="44" spans="2:14" ht="18" customHeight="1">
      <c r="B44" s="648"/>
      <c r="C44" s="651"/>
      <c r="D44" s="253">
        <f t="shared" si="8"/>
        <v>0</v>
      </c>
      <c r="E44" s="253">
        <f t="shared" si="8"/>
        <v>0</v>
      </c>
      <c r="F44" s="250">
        <f t="shared" si="6"/>
        <v>0</v>
      </c>
      <c r="G44" s="250"/>
      <c r="H44" s="250">
        <f>H43</f>
        <v>1.26</v>
      </c>
      <c r="I44" s="59">
        <f t="shared" si="7"/>
        <v>0</v>
      </c>
      <c r="J44" s="60"/>
      <c r="K44" s="61"/>
      <c r="L44" s="61"/>
      <c r="M44" s="61"/>
      <c r="N44" s="72" t="s">
        <v>60</v>
      </c>
    </row>
    <row r="45" spans="2:14" ht="18" customHeight="1">
      <c r="B45" s="648"/>
      <c r="C45" s="649" t="s">
        <v>70</v>
      </c>
      <c r="D45" s="253">
        <f t="shared" si="8"/>
        <v>0</v>
      </c>
      <c r="E45" s="253">
        <f t="shared" si="8"/>
        <v>0</v>
      </c>
      <c r="F45" s="250">
        <f t="shared" si="6"/>
        <v>0</v>
      </c>
      <c r="G45" s="250"/>
      <c r="H45" s="250">
        <f>H44</f>
        <v>1.26</v>
      </c>
      <c r="I45" s="59">
        <f t="shared" si="7"/>
        <v>0</v>
      </c>
      <c r="J45" s="60"/>
      <c r="K45" s="61"/>
      <c r="L45" s="61"/>
      <c r="M45" s="61"/>
      <c r="N45" s="71" t="s">
        <v>56</v>
      </c>
    </row>
    <row r="46" spans="2:14" ht="18" customHeight="1">
      <c r="B46" s="648"/>
      <c r="C46" s="650"/>
      <c r="D46" s="253">
        <f t="shared" si="8"/>
        <v>0</v>
      </c>
      <c r="E46" s="253">
        <f t="shared" si="8"/>
        <v>0</v>
      </c>
      <c r="F46" s="250">
        <f t="shared" si="6"/>
        <v>0</v>
      </c>
      <c r="G46" s="250"/>
      <c r="H46" s="250">
        <f>H45</f>
        <v>1.26</v>
      </c>
      <c r="I46" s="59">
        <f t="shared" si="7"/>
        <v>0</v>
      </c>
      <c r="J46" s="60"/>
      <c r="K46" s="61"/>
      <c r="L46" s="61"/>
      <c r="M46" s="61"/>
      <c r="N46" s="72" t="s">
        <v>58</v>
      </c>
    </row>
    <row r="47" spans="2:14" ht="18" customHeight="1" thickBot="1">
      <c r="B47" s="648"/>
      <c r="C47" s="651"/>
      <c r="D47" s="253">
        <f t="shared" si="8"/>
        <v>0</v>
      </c>
      <c r="E47" s="253">
        <f t="shared" si="8"/>
        <v>0</v>
      </c>
      <c r="F47" s="250">
        <f t="shared" si="6"/>
        <v>0</v>
      </c>
      <c r="G47" s="250"/>
      <c r="H47" s="250">
        <f>H46</f>
        <v>1.26</v>
      </c>
      <c r="I47" s="59">
        <f t="shared" si="7"/>
        <v>0</v>
      </c>
      <c r="J47" s="64"/>
      <c r="K47" s="65"/>
      <c r="L47" s="65"/>
      <c r="M47" s="65"/>
      <c r="N47" s="75" t="s">
        <v>60</v>
      </c>
    </row>
    <row r="48" spans="2:14" ht="18" customHeight="1">
      <c r="B48" s="48" t="s">
        <v>42</v>
      </c>
      <c r="C48" s="49">
        <f>SUMPRODUCT(F42:F47*G42:G47)</f>
        <v>11.087999999999999</v>
      </c>
      <c r="D48" s="50" t="s">
        <v>43</v>
      </c>
      <c r="E48" s="49">
        <f>SUM(I42:I47)*1.1</f>
        <v>15.368100000000002</v>
      </c>
      <c r="F48" s="50" t="s">
        <v>44</v>
      </c>
      <c r="G48" s="51">
        <f>(C$218+C$219)/1000</f>
        <v>46.081499999999998</v>
      </c>
      <c r="H48" s="52" t="s">
        <v>45</v>
      </c>
      <c r="I48" s="53">
        <f>ROUND(E48*G48,2)</f>
        <v>708.19</v>
      </c>
      <c r="J48" s="243">
        <f>SUM(G42:G47)</f>
        <v>4</v>
      </c>
      <c r="K48" s="255"/>
      <c r="L48" s="255"/>
      <c r="M48" s="255"/>
    </row>
    <row r="49" spans="2:14" ht="18" customHeight="1">
      <c r="B49" s="48" t="s">
        <v>46</v>
      </c>
      <c r="C49" s="50">
        <v>132.47999999999999</v>
      </c>
      <c r="D49" s="50" t="s">
        <v>47</v>
      </c>
      <c r="E49" s="49">
        <f>ROUND(C48*(C49/1000),2)</f>
        <v>1.47</v>
      </c>
      <c r="F49" s="50" t="s">
        <v>48</v>
      </c>
      <c r="G49" s="50">
        <f>G$23</f>
        <v>10</v>
      </c>
      <c r="H49" s="52" t="s">
        <v>49</v>
      </c>
      <c r="I49" s="53">
        <f>E49*G49</f>
        <v>14.7</v>
      </c>
      <c r="J49" s="255"/>
      <c r="K49" s="255"/>
      <c r="L49" s="255"/>
      <c r="M49" s="255"/>
    </row>
    <row r="50" spans="2:14" ht="18" customHeight="1" thickBot="1">
      <c r="B50" s="48" t="s">
        <v>50</v>
      </c>
      <c r="C50" s="50">
        <v>202.06</v>
      </c>
      <c r="D50" s="50" t="s">
        <v>51</v>
      </c>
      <c r="E50" s="49">
        <f>ROUND(C48*(C50/1000),2)</f>
        <v>2.2400000000000002</v>
      </c>
      <c r="F50" s="50" t="s">
        <v>48</v>
      </c>
      <c r="G50" s="50">
        <f>G$24</f>
        <v>10</v>
      </c>
      <c r="H50" s="52" t="s">
        <v>49</v>
      </c>
      <c r="I50" s="53">
        <f>E50*G50</f>
        <v>22.400000000000002</v>
      </c>
      <c r="J50" s="255"/>
    </row>
    <row r="51" spans="2:14" ht="18" customHeight="1" thickBot="1">
      <c r="B51" s="23" t="s">
        <v>36</v>
      </c>
      <c r="C51" s="252" t="s">
        <v>14</v>
      </c>
      <c r="D51" s="252" t="s">
        <v>37</v>
      </c>
      <c r="E51" s="252" t="s">
        <v>71</v>
      </c>
      <c r="F51" s="252" t="s">
        <v>38</v>
      </c>
      <c r="G51" s="252" t="s">
        <v>72</v>
      </c>
      <c r="H51" s="252" t="s">
        <v>22</v>
      </c>
      <c r="I51" s="25" t="s">
        <v>40</v>
      </c>
      <c r="J51" s="54" t="s">
        <v>2</v>
      </c>
      <c r="K51" s="55" t="s">
        <v>3</v>
      </c>
      <c r="L51" s="55" t="s">
        <v>61</v>
      </c>
      <c r="M51" s="55" t="s">
        <v>62</v>
      </c>
      <c r="N51" s="70" t="s">
        <v>14</v>
      </c>
    </row>
    <row r="52" spans="2:14" ht="18" customHeight="1">
      <c r="B52" s="648" t="s">
        <v>73</v>
      </c>
      <c r="C52" s="649" t="s">
        <v>405</v>
      </c>
      <c r="D52" s="253">
        <f>J52-IF(L52=1,46,IF(L52=2,32,IF(L52=3,18,0)))</f>
        <v>523</v>
      </c>
      <c r="E52" s="253">
        <v>4</v>
      </c>
      <c r="F52" s="253">
        <f>K52-IF(M52=1,46,IF(M52=2,32,IF(M52=3,118,0)))</f>
        <v>0</v>
      </c>
      <c r="G52" s="250"/>
      <c r="H52" s="250">
        <v>1.6379999999999999</v>
      </c>
      <c r="I52" s="59">
        <f>ROUND((D52*E52+F52*G52)/1000*H52,3)</f>
        <v>3.427</v>
      </c>
      <c r="J52" s="60">
        <f>J35</f>
        <v>555</v>
      </c>
      <c r="K52" s="61"/>
      <c r="L52" s="61">
        <v>2</v>
      </c>
      <c r="M52" s="61"/>
      <c r="N52" s="76" t="s">
        <v>56</v>
      </c>
    </row>
    <row r="53" spans="2:14" ht="18" customHeight="1">
      <c r="B53" s="648"/>
      <c r="C53" s="650"/>
      <c r="D53" s="253">
        <f t="shared" ref="D53:D55" si="9">J53-IF(L53=1,46,IF(L53=2,32,IF(L53=3,18,0)))</f>
        <v>0</v>
      </c>
      <c r="E53" s="253"/>
      <c r="F53" s="253">
        <f t="shared" ref="F53:F55" si="10">K53-IF(M53=1,46,IF(M53=2,32,IF(M53=3,118,0)))</f>
        <v>0</v>
      </c>
      <c r="G53" s="250"/>
      <c r="H53" s="250">
        <f>H52</f>
        <v>1.6379999999999999</v>
      </c>
      <c r="I53" s="59">
        <f>ROUND((D53*E53+F53*G53)/1000*H53,3)</f>
        <v>0</v>
      </c>
      <c r="J53" s="60"/>
      <c r="K53" s="61"/>
      <c r="L53" s="61"/>
      <c r="M53" s="61"/>
      <c r="N53" s="76" t="s">
        <v>58</v>
      </c>
    </row>
    <row r="54" spans="2:14" ht="18" customHeight="1">
      <c r="B54" s="648"/>
      <c r="C54" s="650"/>
      <c r="D54" s="253">
        <f t="shared" si="9"/>
        <v>0</v>
      </c>
      <c r="E54" s="253"/>
      <c r="F54" s="253">
        <f t="shared" si="10"/>
        <v>0</v>
      </c>
      <c r="G54" s="250"/>
      <c r="H54" s="250">
        <f>H53</f>
        <v>1.6379999999999999</v>
      </c>
      <c r="I54" s="59">
        <f>ROUND((D54*E54+F54*G54)/1000*H54,3)</f>
        <v>0</v>
      </c>
      <c r="J54" s="60"/>
      <c r="K54" s="61"/>
      <c r="L54" s="61"/>
      <c r="M54" s="61"/>
      <c r="N54" s="76" t="s">
        <v>60</v>
      </c>
    </row>
    <row r="55" spans="2:14" ht="18" customHeight="1" thickBot="1">
      <c r="B55" s="648"/>
      <c r="C55" s="651"/>
      <c r="D55" s="253">
        <f t="shared" si="9"/>
        <v>0</v>
      </c>
      <c r="E55" s="253"/>
      <c r="F55" s="253">
        <f t="shared" si="10"/>
        <v>0</v>
      </c>
      <c r="G55" s="250"/>
      <c r="H55" s="77">
        <f>H54</f>
        <v>1.6379999999999999</v>
      </c>
      <c r="I55" s="59">
        <f>ROUND((D55*E55+F55*G55)/1000*H55,3)</f>
        <v>0</v>
      </c>
      <c r="J55" s="78"/>
      <c r="K55" s="79"/>
      <c r="L55" s="79"/>
      <c r="M55" s="79"/>
      <c r="N55" s="80"/>
    </row>
    <row r="56" spans="2:14" ht="18" customHeight="1">
      <c r="B56" s="48" t="s">
        <v>42</v>
      </c>
      <c r="C56" s="49">
        <f>SUMPRODUCT(D52:D55*E52:E55+F52:F55*G52:G55)/1000</f>
        <v>2.0920000000000001</v>
      </c>
      <c r="D56" s="50" t="s">
        <v>43</v>
      </c>
      <c r="E56" s="49">
        <f>SUM(I52:I55)*1.1</f>
        <v>3.7697000000000003</v>
      </c>
      <c r="F56" s="50" t="s">
        <v>44</v>
      </c>
      <c r="G56" s="51">
        <f>(C$218+C$219)/1000</f>
        <v>46.081499999999998</v>
      </c>
      <c r="H56" s="52" t="s">
        <v>45</v>
      </c>
      <c r="I56" s="53">
        <f>ROUND(E56*G56,2)</f>
        <v>173.71</v>
      </c>
      <c r="J56" s="243">
        <f>SUM(E52:E55)+SUM(G52:G55)</f>
        <v>4</v>
      </c>
    </row>
    <row r="57" spans="2:14" ht="18" customHeight="1">
      <c r="B57" s="48" t="s">
        <v>46</v>
      </c>
      <c r="C57" s="50">
        <v>265.52999999999997</v>
      </c>
      <c r="D57" s="50" t="s">
        <v>47</v>
      </c>
      <c r="E57" s="49">
        <f>ROUND(C56*(C57/1000),2)</f>
        <v>0.56000000000000005</v>
      </c>
      <c r="F57" s="50" t="s">
        <v>48</v>
      </c>
      <c r="G57" s="50">
        <f>G$23</f>
        <v>10</v>
      </c>
      <c r="H57" s="52" t="s">
        <v>49</v>
      </c>
      <c r="I57" s="53">
        <f>E57*G57</f>
        <v>5.6000000000000005</v>
      </c>
      <c r="L57" s="47"/>
    </row>
    <row r="58" spans="2:14" ht="18" customHeight="1">
      <c r="B58" s="48" t="s">
        <v>50</v>
      </c>
      <c r="C58" s="50">
        <v>173.62</v>
      </c>
      <c r="D58" s="50" t="s">
        <v>51</v>
      </c>
      <c r="E58" s="49">
        <f>ROUND(C56*(C58/1000),2)</f>
        <v>0.36</v>
      </c>
      <c r="F58" s="50" t="s">
        <v>48</v>
      </c>
      <c r="G58" s="50">
        <f>G$24</f>
        <v>10</v>
      </c>
      <c r="H58" s="52" t="s">
        <v>49</v>
      </c>
      <c r="I58" s="53">
        <f>E58*G58</f>
        <v>3.5999999999999996</v>
      </c>
      <c r="L58" s="47"/>
    </row>
    <row r="59" spans="2:14" ht="18" customHeight="1">
      <c r="B59" s="23" t="s">
        <v>36</v>
      </c>
      <c r="C59" s="252" t="s">
        <v>14</v>
      </c>
      <c r="D59" s="652" t="s">
        <v>74</v>
      </c>
      <c r="E59" s="652"/>
      <c r="F59" s="652"/>
      <c r="G59" s="252" t="s">
        <v>75</v>
      </c>
      <c r="H59" s="252" t="s">
        <v>22</v>
      </c>
      <c r="I59" s="25" t="s">
        <v>40</v>
      </c>
      <c r="L59" s="47"/>
    </row>
    <row r="60" spans="2:14" ht="18" customHeight="1">
      <c r="B60" s="648" t="s">
        <v>76</v>
      </c>
      <c r="C60" s="649" t="s">
        <v>77</v>
      </c>
      <c r="D60" s="646">
        <f>E15</f>
        <v>1770</v>
      </c>
      <c r="E60" s="646"/>
      <c r="F60" s="646"/>
      <c r="G60" s="250">
        <v>3</v>
      </c>
      <c r="H60" s="250">
        <v>1.9339999999999999</v>
      </c>
      <c r="I60" s="59">
        <f>ROUND(D60*G60*H60/1000,3)</f>
        <v>10.27</v>
      </c>
      <c r="L60" s="47"/>
    </row>
    <row r="61" spans="2:14" ht="18" customHeight="1">
      <c r="B61" s="648"/>
      <c r="C61" s="651"/>
      <c r="D61" s="646"/>
      <c r="E61" s="646"/>
      <c r="F61" s="646"/>
      <c r="G61" s="250"/>
      <c r="H61" s="250">
        <v>1.9339999999999999</v>
      </c>
      <c r="I61" s="59">
        <f>ROUND(D61*G61*H61/1000,3)</f>
        <v>0</v>
      </c>
    </row>
    <row r="62" spans="2:14" ht="18" customHeight="1">
      <c r="B62" s="648"/>
      <c r="C62" s="649" t="s">
        <v>78</v>
      </c>
      <c r="D62" s="646"/>
      <c r="E62" s="646"/>
      <c r="F62" s="646"/>
      <c r="G62" s="250"/>
      <c r="H62" s="250">
        <v>2.3130000000000002</v>
      </c>
      <c r="I62" s="59">
        <f>ROUND(D62*G62*H62/1000,3)</f>
        <v>0</v>
      </c>
    </row>
    <row r="63" spans="2:14" ht="18" customHeight="1">
      <c r="B63" s="648"/>
      <c r="C63" s="651"/>
      <c r="D63" s="646"/>
      <c r="E63" s="646"/>
      <c r="F63" s="646"/>
      <c r="G63" s="250"/>
      <c r="H63" s="250">
        <v>2.3130000000000002</v>
      </c>
      <c r="I63" s="59">
        <f>ROUND(D63*G63*H63/1000,3)</f>
        <v>0</v>
      </c>
    </row>
    <row r="64" spans="2:14" ht="18" customHeight="1">
      <c r="B64" s="48" t="s">
        <v>42</v>
      </c>
      <c r="C64" s="49">
        <f>SUMPRODUCT(D60:F63*G60:G63)/1000</f>
        <v>5.31</v>
      </c>
      <c r="D64" s="50" t="s">
        <v>43</v>
      </c>
      <c r="E64" s="49">
        <f>SUM(I60:I63)*1.1</f>
        <v>11.297000000000001</v>
      </c>
      <c r="F64" s="50" t="s">
        <v>44</v>
      </c>
      <c r="G64" s="51">
        <f>(C$218+C$219)/1000</f>
        <v>46.081499999999998</v>
      </c>
      <c r="H64" s="52" t="s">
        <v>45</v>
      </c>
      <c r="I64" s="53">
        <f>ROUND(E64*G64,2)</f>
        <v>520.58000000000004</v>
      </c>
      <c r="J64" s="43">
        <f>SUM(G60:G63)</f>
        <v>3</v>
      </c>
    </row>
    <row r="65" spans="2:14" ht="18" customHeight="1">
      <c r="B65" s="48" t="s">
        <v>46</v>
      </c>
      <c r="C65" s="50">
        <v>337.92</v>
      </c>
      <c r="D65" s="50" t="s">
        <v>47</v>
      </c>
      <c r="E65" s="49">
        <f>ROUND(C64*(C65/1000),2)</f>
        <v>1.79</v>
      </c>
      <c r="F65" s="50" t="s">
        <v>48</v>
      </c>
      <c r="G65" s="50">
        <f>G$23</f>
        <v>10</v>
      </c>
      <c r="H65" s="52" t="s">
        <v>49</v>
      </c>
      <c r="I65" s="53">
        <f>E65*G65</f>
        <v>17.899999999999999</v>
      </c>
    </row>
    <row r="66" spans="2:14" ht="18" customHeight="1" thickBot="1">
      <c r="B66" s="48" t="s">
        <v>50</v>
      </c>
      <c r="C66" s="50">
        <v>175.93</v>
      </c>
      <c r="D66" s="50" t="s">
        <v>51</v>
      </c>
      <c r="E66" s="49">
        <f>ROUND(C64*(C66/1000),2)</f>
        <v>0.93</v>
      </c>
      <c r="F66" s="50" t="s">
        <v>48</v>
      </c>
      <c r="G66" s="50">
        <f>G$24</f>
        <v>10</v>
      </c>
      <c r="H66" s="52" t="s">
        <v>49</v>
      </c>
      <c r="I66" s="53">
        <f>E66*G66</f>
        <v>9.3000000000000007</v>
      </c>
    </row>
    <row r="67" spans="2:14" ht="18" customHeight="1" thickBot="1">
      <c r="B67" s="23" t="s">
        <v>36</v>
      </c>
      <c r="C67" s="252" t="s">
        <v>14</v>
      </c>
      <c r="D67" s="252" t="s">
        <v>37</v>
      </c>
      <c r="E67" s="252" t="s">
        <v>38</v>
      </c>
      <c r="F67" s="252" t="s">
        <v>39</v>
      </c>
      <c r="G67" s="252" t="s">
        <v>8</v>
      </c>
      <c r="H67" s="252" t="s">
        <v>22</v>
      </c>
      <c r="I67" s="25" t="s">
        <v>40</v>
      </c>
      <c r="J67" s="54" t="s">
        <v>2</v>
      </c>
      <c r="K67" s="55" t="s">
        <v>3</v>
      </c>
      <c r="L67" s="55" t="s">
        <v>52</v>
      </c>
      <c r="M67" s="55" t="s">
        <v>53</v>
      </c>
      <c r="N67" s="70" t="s">
        <v>14</v>
      </c>
    </row>
    <row r="68" spans="2:14" ht="18" customHeight="1">
      <c r="B68" s="648" t="s">
        <v>79</v>
      </c>
      <c r="C68" s="649" t="s">
        <v>323</v>
      </c>
      <c r="D68" s="81">
        <f>J68-IF(L68=1,72,IF(L68=2,54,IF(L68=3,26,IF(L68=11,102.8,IF(L68=12,88.8,IF(L68=13,74.8,0))))))</f>
        <v>2148</v>
      </c>
      <c r="E68" s="81">
        <f>K68-IF(M68=1,72,IF(M68=2,24,IF(M68=3,26,IF(M68=11,102.8,IF(M68=12,88.8,IF(M68=13,74.8,0))))))</f>
        <v>1078</v>
      </c>
      <c r="F68" s="81">
        <f>2*(D68+E68)/1000</f>
        <v>6.452</v>
      </c>
      <c r="G68" s="82">
        <v>1</v>
      </c>
      <c r="H68" s="250">
        <v>0.224</v>
      </c>
      <c r="I68" s="283">
        <f>ROUND(F68*G68*H68,3)*2</f>
        <v>2.89</v>
      </c>
      <c r="J68" s="83">
        <f>D14</f>
        <v>2220</v>
      </c>
      <c r="K68" s="83">
        <f>E14</f>
        <v>1150</v>
      </c>
      <c r="L68" s="84">
        <v>1</v>
      </c>
      <c r="M68" s="84">
        <v>1</v>
      </c>
      <c r="N68" s="71" t="s">
        <v>56</v>
      </c>
    </row>
    <row r="69" spans="2:14" ht="18" customHeight="1">
      <c r="B69" s="648"/>
      <c r="C69" s="650"/>
      <c r="D69" s="81">
        <f t="shared" ref="D69:D87" si="11">J69-IF(L69=1,72,IF(L69=2,54,IF(L69=3,26,IF(L69=11,102.8,IF(L69=12,88.8,IF(L69=13,74.8,0))))))</f>
        <v>501</v>
      </c>
      <c r="E69" s="81">
        <f t="shared" ref="E69:E87" si="12">K69-IF(M69=1,72,IF(M69=2,24,IF(M69=3,26,IF(M69=11,102.8,IF(M69=12,88.8,IF(M69=13,74.8,0))))))</f>
        <v>846</v>
      </c>
      <c r="F69" s="81">
        <f t="shared" ref="F69:F87" si="13">2*(D69+E69)/1000</f>
        <v>2.694</v>
      </c>
      <c r="G69" s="82">
        <v>4</v>
      </c>
      <c r="H69" s="250">
        <f>H68</f>
        <v>0.224</v>
      </c>
      <c r="I69" s="59">
        <f t="shared" ref="I69:I87" si="14">ROUND(F69*G69*H69,3)</f>
        <v>2.4140000000000001</v>
      </c>
      <c r="J69" s="83">
        <f>J35</f>
        <v>555</v>
      </c>
      <c r="K69" s="84">
        <f>E15-K35</f>
        <v>870</v>
      </c>
      <c r="L69" s="84">
        <v>2</v>
      </c>
      <c r="M69" s="84">
        <v>2</v>
      </c>
      <c r="N69" s="72" t="s">
        <v>58</v>
      </c>
    </row>
    <row r="70" spans="2:14" ht="18" customHeight="1">
      <c r="B70" s="648"/>
      <c r="C70" s="650"/>
      <c r="D70" s="81">
        <f t="shared" si="11"/>
        <v>0</v>
      </c>
      <c r="E70" s="81">
        <f t="shared" si="12"/>
        <v>0</v>
      </c>
      <c r="F70" s="81">
        <f t="shared" si="13"/>
        <v>0</v>
      </c>
      <c r="G70" s="82"/>
      <c r="H70" s="250">
        <f>H69</f>
        <v>0.224</v>
      </c>
      <c r="I70" s="59">
        <f t="shared" si="14"/>
        <v>0</v>
      </c>
      <c r="J70" s="83"/>
      <c r="K70" s="84"/>
      <c r="L70" s="84"/>
      <c r="M70" s="84"/>
      <c r="N70" s="72" t="s">
        <v>60</v>
      </c>
    </row>
    <row r="71" spans="2:14" ht="18" customHeight="1">
      <c r="B71" s="648"/>
      <c r="C71" s="650"/>
      <c r="D71" s="81">
        <f t="shared" si="11"/>
        <v>0</v>
      </c>
      <c r="E71" s="81">
        <f t="shared" si="12"/>
        <v>0</v>
      </c>
      <c r="F71" s="81">
        <f t="shared" si="13"/>
        <v>0</v>
      </c>
      <c r="G71" s="82"/>
      <c r="H71" s="77">
        <f>H70</f>
        <v>0.224</v>
      </c>
      <c r="I71" s="59">
        <f t="shared" si="14"/>
        <v>0</v>
      </c>
      <c r="J71" s="85"/>
      <c r="K71" s="86"/>
      <c r="L71" s="86"/>
      <c r="M71" s="86"/>
      <c r="N71" s="72" t="s">
        <v>65</v>
      </c>
    </row>
    <row r="72" spans="2:14" ht="18" customHeight="1">
      <c r="B72" s="648"/>
      <c r="C72" s="650"/>
      <c r="D72" s="81">
        <f t="shared" si="11"/>
        <v>0</v>
      </c>
      <c r="E72" s="81">
        <f t="shared" si="12"/>
        <v>0</v>
      </c>
      <c r="F72" s="81">
        <f t="shared" si="13"/>
        <v>0</v>
      </c>
      <c r="G72" s="82"/>
      <c r="H72" s="77">
        <f>H71</f>
        <v>0.224</v>
      </c>
      <c r="I72" s="87">
        <f t="shared" si="14"/>
        <v>0</v>
      </c>
      <c r="J72" s="85"/>
      <c r="K72" s="86"/>
      <c r="L72" s="86"/>
      <c r="M72" s="86"/>
      <c r="N72" s="72" t="s">
        <v>66</v>
      </c>
    </row>
    <row r="73" spans="2:14" ht="18" customHeight="1">
      <c r="B73" s="648"/>
      <c r="C73" s="650"/>
      <c r="D73" s="81">
        <f t="shared" si="11"/>
        <v>0</v>
      </c>
      <c r="E73" s="81">
        <f t="shared" si="12"/>
        <v>0</v>
      </c>
      <c r="F73" s="81">
        <f t="shared" si="13"/>
        <v>0</v>
      </c>
      <c r="G73" s="82"/>
      <c r="H73" s="250">
        <f>H70</f>
        <v>0.224</v>
      </c>
      <c r="I73" s="87">
        <f t="shared" si="14"/>
        <v>0</v>
      </c>
      <c r="J73" s="83"/>
      <c r="K73" s="84"/>
      <c r="L73" s="84"/>
      <c r="M73" s="84"/>
      <c r="N73" s="72" t="s">
        <v>67</v>
      </c>
    </row>
    <row r="74" spans="2:14" ht="18" customHeight="1">
      <c r="B74" s="648"/>
      <c r="C74" s="651"/>
      <c r="D74" s="81">
        <f t="shared" si="11"/>
        <v>0</v>
      </c>
      <c r="E74" s="81">
        <f t="shared" si="12"/>
        <v>0</v>
      </c>
      <c r="F74" s="81">
        <f t="shared" si="13"/>
        <v>0</v>
      </c>
      <c r="G74" s="82"/>
      <c r="H74" s="250">
        <f>H73</f>
        <v>0.224</v>
      </c>
      <c r="I74" s="87">
        <f t="shared" si="14"/>
        <v>0</v>
      </c>
      <c r="J74" s="83"/>
      <c r="K74" s="84"/>
      <c r="L74" s="84"/>
      <c r="M74" s="84"/>
      <c r="N74" s="88"/>
    </row>
    <row r="75" spans="2:14" ht="18" customHeight="1">
      <c r="B75" s="648"/>
      <c r="C75" s="649" t="s">
        <v>324</v>
      </c>
      <c r="D75" s="89">
        <f t="shared" si="11"/>
        <v>0</v>
      </c>
      <c r="E75" s="89">
        <f t="shared" si="12"/>
        <v>0</v>
      </c>
      <c r="F75" s="89">
        <f t="shared" si="13"/>
        <v>0</v>
      </c>
      <c r="G75" s="90"/>
      <c r="H75" s="91">
        <f>H74</f>
        <v>0.224</v>
      </c>
      <c r="I75" s="92">
        <f t="shared" si="14"/>
        <v>0</v>
      </c>
      <c r="J75" s="83"/>
      <c r="K75" s="84"/>
      <c r="L75" s="84"/>
      <c r="M75" s="84"/>
      <c r="N75" s="93" t="s">
        <v>80</v>
      </c>
    </row>
    <row r="76" spans="2:14" ht="18" customHeight="1">
      <c r="B76" s="648"/>
      <c r="C76" s="650"/>
      <c r="D76" s="89">
        <f t="shared" si="11"/>
        <v>0</v>
      </c>
      <c r="E76" s="89">
        <f t="shared" si="12"/>
        <v>0</v>
      </c>
      <c r="F76" s="89">
        <f t="shared" si="13"/>
        <v>0</v>
      </c>
      <c r="G76" s="90"/>
      <c r="H76" s="91">
        <f>H72</f>
        <v>0.224</v>
      </c>
      <c r="I76" s="92">
        <f t="shared" si="14"/>
        <v>0</v>
      </c>
      <c r="J76" s="83"/>
      <c r="K76" s="84"/>
      <c r="L76" s="84"/>
      <c r="M76" s="84"/>
      <c r="N76" s="93" t="s">
        <v>80</v>
      </c>
    </row>
    <row r="77" spans="2:14" ht="18" customHeight="1">
      <c r="B77" s="648"/>
      <c r="C77" s="650"/>
      <c r="D77" s="89">
        <f t="shared" si="11"/>
        <v>0</v>
      </c>
      <c r="E77" s="89">
        <f t="shared" si="12"/>
        <v>0</v>
      </c>
      <c r="F77" s="89">
        <f t="shared" si="13"/>
        <v>0</v>
      </c>
      <c r="G77" s="90"/>
      <c r="H77" s="91">
        <f t="shared" ref="H77:H87" si="15">H76</f>
        <v>0.224</v>
      </c>
      <c r="I77" s="92">
        <f t="shared" si="14"/>
        <v>0</v>
      </c>
      <c r="J77" s="83"/>
      <c r="K77" s="84"/>
      <c r="L77" s="84"/>
      <c r="M77" s="84"/>
      <c r="N77" s="93" t="s">
        <v>80</v>
      </c>
    </row>
    <row r="78" spans="2:14" ht="18" customHeight="1">
      <c r="B78" s="648"/>
      <c r="C78" s="650"/>
      <c r="D78" s="89">
        <f t="shared" si="11"/>
        <v>0</v>
      </c>
      <c r="E78" s="89">
        <f t="shared" si="12"/>
        <v>0</v>
      </c>
      <c r="F78" s="89">
        <f t="shared" si="13"/>
        <v>0</v>
      </c>
      <c r="G78" s="90"/>
      <c r="H78" s="91">
        <f t="shared" si="15"/>
        <v>0.224</v>
      </c>
      <c r="I78" s="92">
        <f t="shared" si="14"/>
        <v>0</v>
      </c>
      <c r="J78" s="83"/>
      <c r="K78" s="84"/>
      <c r="L78" s="84"/>
      <c r="M78" s="84"/>
      <c r="N78" s="93" t="s">
        <v>80</v>
      </c>
    </row>
    <row r="79" spans="2:14" ht="18" customHeight="1">
      <c r="B79" s="648"/>
      <c r="C79" s="650"/>
      <c r="D79" s="89">
        <f t="shared" si="11"/>
        <v>0</v>
      </c>
      <c r="E79" s="89">
        <f t="shared" si="12"/>
        <v>0</v>
      </c>
      <c r="F79" s="89">
        <f t="shared" si="13"/>
        <v>0</v>
      </c>
      <c r="G79" s="90"/>
      <c r="H79" s="91">
        <f t="shared" si="15"/>
        <v>0.224</v>
      </c>
      <c r="I79" s="94">
        <f t="shared" si="14"/>
        <v>0</v>
      </c>
      <c r="J79" s="83"/>
      <c r="K79" s="84"/>
      <c r="L79" s="84"/>
      <c r="M79" s="84"/>
      <c r="N79" s="93" t="s">
        <v>80</v>
      </c>
    </row>
    <row r="80" spans="2:14" ht="18" customHeight="1">
      <c r="B80" s="648"/>
      <c r="C80" s="650"/>
      <c r="D80" s="89">
        <f t="shared" si="11"/>
        <v>0</v>
      </c>
      <c r="E80" s="89">
        <f t="shared" si="12"/>
        <v>0</v>
      </c>
      <c r="F80" s="89">
        <f t="shared" si="13"/>
        <v>0</v>
      </c>
      <c r="G80" s="90"/>
      <c r="H80" s="91">
        <f t="shared" si="15"/>
        <v>0.224</v>
      </c>
      <c r="I80" s="94">
        <f t="shared" si="14"/>
        <v>0</v>
      </c>
      <c r="J80" s="83"/>
      <c r="K80" s="84"/>
      <c r="L80" s="84"/>
      <c r="M80" s="84"/>
      <c r="N80" s="93" t="s">
        <v>80</v>
      </c>
    </row>
    <row r="81" spans="2:14" ht="18" customHeight="1">
      <c r="B81" s="648"/>
      <c r="C81" s="651"/>
      <c r="D81" s="89">
        <f t="shared" si="11"/>
        <v>0</v>
      </c>
      <c r="E81" s="89">
        <f t="shared" si="12"/>
        <v>0</v>
      </c>
      <c r="F81" s="89">
        <f t="shared" si="13"/>
        <v>0</v>
      </c>
      <c r="G81" s="90"/>
      <c r="H81" s="91">
        <f t="shared" si="15"/>
        <v>0.224</v>
      </c>
      <c r="I81" s="94">
        <f t="shared" si="14"/>
        <v>0</v>
      </c>
      <c r="J81" s="95"/>
      <c r="K81" s="96"/>
      <c r="L81" s="96"/>
      <c r="M81" s="96"/>
      <c r="N81" s="93" t="s">
        <v>81</v>
      </c>
    </row>
    <row r="82" spans="2:14" ht="18" customHeight="1">
      <c r="B82" s="648"/>
      <c r="C82" s="639" t="s">
        <v>325</v>
      </c>
      <c r="D82" s="81">
        <f t="shared" si="11"/>
        <v>0</v>
      </c>
      <c r="E82" s="81">
        <f t="shared" si="12"/>
        <v>0</v>
      </c>
      <c r="F82" s="81">
        <f t="shared" si="13"/>
        <v>0</v>
      </c>
      <c r="G82" s="82"/>
      <c r="H82" s="250">
        <f t="shared" si="15"/>
        <v>0.224</v>
      </c>
      <c r="I82" s="59">
        <f t="shared" si="14"/>
        <v>0</v>
      </c>
      <c r="J82" s="83"/>
      <c r="K82" s="84"/>
      <c r="L82" s="84"/>
      <c r="M82" s="84"/>
      <c r="N82" s="88"/>
    </row>
    <row r="83" spans="2:14" ht="18" customHeight="1">
      <c r="B83" s="648"/>
      <c r="C83" s="645"/>
      <c r="D83" s="81">
        <f t="shared" si="11"/>
        <v>0</v>
      </c>
      <c r="E83" s="81">
        <f t="shared" si="12"/>
        <v>0</v>
      </c>
      <c r="F83" s="81">
        <f t="shared" si="13"/>
        <v>0</v>
      </c>
      <c r="G83" s="82"/>
      <c r="H83" s="250">
        <f t="shared" si="15"/>
        <v>0.224</v>
      </c>
      <c r="I83" s="59">
        <f t="shared" si="14"/>
        <v>0</v>
      </c>
      <c r="J83" s="83"/>
      <c r="K83" s="84"/>
      <c r="L83" s="84"/>
      <c r="M83" s="84"/>
      <c r="N83" s="88"/>
    </row>
    <row r="84" spans="2:14" ht="18" customHeight="1">
      <c r="B84" s="648"/>
      <c r="C84" s="645"/>
      <c r="D84" s="81">
        <f t="shared" si="11"/>
        <v>0</v>
      </c>
      <c r="E84" s="81">
        <f t="shared" si="12"/>
        <v>0</v>
      </c>
      <c r="F84" s="81">
        <f t="shared" si="13"/>
        <v>0</v>
      </c>
      <c r="G84" s="82"/>
      <c r="H84" s="250">
        <f t="shared" si="15"/>
        <v>0.224</v>
      </c>
      <c r="I84" s="59">
        <f t="shared" si="14"/>
        <v>0</v>
      </c>
      <c r="J84" s="83"/>
      <c r="K84" s="84"/>
      <c r="L84" s="84"/>
      <c r="M84" s="84"/>
      <c r="N84" s="76"/>
    </row>
    <row r="85" spans="2:14" ht="18" customHeight="1">
      <c r="B85" s="648"/>
      <c r="C85" s="645"/>
      <c r="D85" s="81">
        <f t="shared" si="11"/>
        <v>0</v>
      </c>
      <c r="E85" s="81">
        <f t="shared" si="12"/>
        <v>0</v>
      </c>
      <c r="F85" s="81">
        <f t="shared" si="13"/>
        <v>0</v>
      </c>
      <c r="G85" s="82"/>
      <c r="H85" s="250">
        <f t="shared" si="15"/>
        <v>0.224</v>
      </c>
      <c r="I85" s="59">
        <f t="shared" si="14"/>
        <v>0</v>
      </c>
      <c r="J85" s="83"/>
      <c r="K85" s="84"/>
      <c r="L85" s="84"/>
      <c r="M85" s="84"/>
      <c r="N85" s="76"/>
    </row>
    <row r="86" spans="2:14" ht="18" customHeight="1">
      <c r="B86" s="648"/>
      <c r="C86" s="645"/>
      <c r="D86" s="81">
        <f t="shared" si="11"/>
        <v>0</v>
      </c>
      <c r="E86" s="81">
        <f t="shared" si="12"/>
        <v>0</v>
      </c>
      <c r="F86" s="81">
        <f t="shared" si="13"/>
        <v>0</v>
      </c>
      <c r="G86" s="82"/>
      <c r="H86" s="250">
        <f t="shared" si="15"/>
        <v>0.224</v>
      </c>
      <c r="I86" s="59">
        <f t="shared" si="14"/>
        <v>0</v>
      </c>
      <c r="J86" s="85"/>
      <c r="K86" s="86"/>
      <c r="L86" s="86"/>
      <c r="M86" s="86"/>
      <c r="N86" s="76"/>
    </row>
    <row r="87" spans="2:14" ht="18" customHeight="1" thickBot="1">
      <c r="B87" s="648"/>
      <c r="C87" s="640"/>
      <c r="D87" s="81">
        <f t="shared" si="11"/>
        <v>0</v>
      </c>
      <c r="E87" s="81">
        <f t="shared" si="12"/>
        <v>0</v>
      </c>
      <c r="F87" s="81">
        <f t="shared" si="13"/>
        <v>0</v>
      </c>
      <c r="G87" s="82"/>
      <c r="H87" s="250">
        <f t="shared" si="15"/>
        <v>0.224</v>
      </c>
      <c r="I87" s="59">
        <f t="shared" si="14"/>
        <v>0</v>
      </c>
      <c r="J87" s="97"/>
      <c r="K87" s="98"/>
      <c r="L87" s="98"/>
      <c r="M87" s="98"/>
      <c r="N87" s="80"/>
    </row>
    <row r="88" spans="2:14" ht="18" customHeight="1">
      <c r="B88" s="48" t="s">
        <v>42</v>
      </c>
      <c r="C88" s="49">
        <f>SUMPRODUCT(F68:F87*G68:G87)</f>
        <v>17.228000000000002</v>
      </c>
      <c r="D88" s="50" t="s">
        <v>43</v>
      </c>
      <c r="E88" s="49">
        <f>SUM(I68:I87)*1.1</f>
        <v>5.8344000000000005</v>
      </c>
      <c r="F88" s="50" t="s">
        <v>44</v>
      </c>
      <c r="G88" s="51">
        <f>(C$218+C$222)/1000</f>
        <v>39.781500000000001</v>
      </c>
      <c r="H88" s="52" t="s">
        <v>45</v>
      </c>
      <c r="I88" s="53">
        <f>ROUND(E88*G88,2)</f>
        <v>232.1</v>
      </c>
      <c r="J88" s="255"/>
      <c r="K88" s="255"/>
      <c r="L88" s="255"/>
      <c r="M88" s="255"/>
    </row>
    <row r="89" spans="2:14" ht="18" customHeight="1">
      <c r="B89" s="48" t="s">
        <v>46</v>
      </c>
      <c r="C89" s="50">
        <v>181.72</v>
      </c>
      <c r="D89" s="50" t="s">
        <v>47</v>
      </c>
      <c r="E89" s="49">
        <f>ROUND(C88*(C89/1000),2)</f>
        <v>3.13</v>
      </c>
      <c r="F89" s="50" t="s">
        <v>48</v>
      </c>
      <c r="G89" s="50">
        <f>G$23</f>
        <v>10</v>
      </c>
      <c r="H89" s="52" t="s">
        <v>49</v>
      </c>
      <c r="I89" s="53">
        <f>E89*G89</f>
        <v>31.299999999999997</v>
      </c>
      <c r="J89" s="255"/>
      <c r="K89" s="255"/>
      <c r="L89" s="255"/>
      <c r="M89" s="255"/>
    </row>
    <row r="90" spans="2:14" ht="18" customHeight="1">
      <c r="B90" s="48" t="s">
        <v>50</v>
      </c>
      <c r="C90" s="50"/>
      <c r="D90" s="50" t="s">
        <v>51</v>
      </c>
      <c r="E90" s="49">
        <f>ROUND(C88*(C90/1000),2)</f>
        <v>0</v>
      </c>
      <c r="F90" s="50" t="s">
        <v>48</v>
      </c>
      <c r="G90" s="50">
        <f>G$24</f>
        <v>10</v>
      </c>
      <c r="H90" s="52" t="s">
        <v>49</v>
      </c>
      <c r="I90" s="53">
        <f>E90*G90</f>
        <v>0</v>
      </c>
      <c r="J90" s="255"/>
      <c r="K90" s="255"/>
      <c r="L90" s="255"/>
      <c r="M90" s="255"/>
    </row>
    <row r="91" spans="2:14" ht="18" customHeight="1">
      <c r="B91" s="23" t="s">
        <v>36</v>
      </c>
      <c r="C91" s="252" t="s">
        <v>14</v>
      </c>
      <c r="D91" s="252" t="s">
        <v>37</v>
      </c>
      <c r="E91" s="252" t="s">
        <v>38</v>
      </c>
      <c r="F91" s="252" t="s">
        <v>39</v>
      </c>
      <c r="G91" s="252" t="s">
        <v>8</v>
      </c>
      <c r="H91" s="252" t="s">
        <v>22</v>
      </c>
      <c r="I91" s="25" t="s">
        <v>40</v>
      </c>
      <c r="J91" s="255"/>
      <c r="K91" s="255"/>
      <c r="L91" s="255"/>
      <c r="M91" s="255"/>
    </row>
    <row r="92" spans="2:14" ht="18" customHeight="1">
      <c r="B92" s="648" t="s">
        <v>82</v>
      </c>
      <c r="C92" s="653" t="s">
        <v>326</v>
      </c>
      <c r="D92" s="253">
        <f>D26-90</f>
        <v>-90</v>
      </c>
      <c r="E92" s="253">
        <f>E26-90</f>
        <v>-90</v>
      </c>
      <c r="F92" s="253">
        <f>2*(D92+E92)/1000</f>
        <v>-0.36</v>
      </c>
      <c r="G92" s="250">
        <f>G26</f>
        <v>0</v>
      </c>
      <c r="H92" s="250">
        <v>0.27100000000000002</v>
      </c>
      <c r="I92" s="59">
        <f>ROUND(F92*G92*H92,3)</f>
        <v>0</v>
      </c>
    </row>
    <row r="93" spans="2:14" ht="18" customHeight="1">
      <c r="B93" s="648"/>
      <c r="C93" s="658"/>
      <c r="D93" s="253">
        <f t="shared" ref="D93:E96" si="16">D27-90</f>
        <v>-90</v>
      </c>
      <c r="E93" s="253">
        <f t="shared" si="16"/>
        <v>-90</v>
      </c>
      <c r="F93" s="253">
        <f>2*(D93+E93)/1000</f>
        <v>-0.36</v>
      </c>
      <c r="G93" s="250">
        <f>G27</f>
        <v>0</v>
      </c>
      <c r="H93" s="250">
        <f>H92</f>
        <v>0.27100000000000002</v>
      </c>
      <c r="I93" s="59">
        <f>ROUND(F93*G93*H93,3)</f>
        <v>0</v>
      </c>
      <c r="M93" s="42"/>
    </row>
    <row r="94" spans="2:14" ht="18" customHeight="1">
      <c r="B94" s="648"/>
      <c r="C94" s="658"/>
      <c r="D94" s="253">
        <f t="shared" si="16"/>
        <v>-90</v>
      </c>
      <c r="E94" s="253">
        <f t="shared" si="16"/>
        <v>-90</v>
      </c>
      <c r="F94" s="253">
        <f>2*(D94+E94)/1000</f>
        <v>-0.36</v>
      </c>
      <c r="G94" s="250">
        <f>G28</f>
        <v>0</v>
      </c>
      <c r="H94" s="250">
        <f>H93</f>
        <v>0.27100000000000002</v>
      </c>
      <c r="I94" s="59">
        <f>ROUND(F94*G94*H94,3)</f>
        <v>0</v>
      </c>
    </row>
    <row r="95" spans="2:14" ht="18" customHeight="1">
      <c r="B95" s="648"/>
      <c r="C95" s="658"/>
      <c r="D95" s="253">
        <f t="shared" si="16"/>
        <v>-90</v>
      </c>
      <c r="E95" s="253">
        <f t="shared" si="16"/>
        <v>-90</v>
      </c>
      <c r="F95" s="253">
        <f>2*(D95+E95)/1000</f>
        <v>-0.36</v>
      </c>
      <c r="G95" s="250">
        <f>G29</f>
        <v>0</v>
      </c>
      <c r="H95" s="250">
        <f>H94</f>
        <v>0.27100000000000002</v>
      </c>
      <c r="I95" s="59">
        <f>ROUND(F95*G95*H95,3)</f>
        <v>0</v>
      </c>
    </row>
    <row r="96" spans="2:14" ht="18" customHeight="1">
      <c r="B96" s="648"/>
      <c r="C96" s="659"/>
      <c r="D96" s="253">
        <f t="shared" si="16"/>
        <v>-90</v>
      </c>
      <c r="E96" s="253">
        <f t="shared" si="16"/>
        <v>-90</v>
      </c>
      <c r="F96" s="253">
        <f>2*(D96+E96)/1000</f>
        <v>-0.36</v>
      </c>
      <c r="G96" s="250">
        <f>G30</f>
        <v>0</v>
      </c>
      <c r="H96" s="250">
        <f>H95</f>
        <v>0.27100000000000002</v>
      </c>
      <c r="I96" s="59">
        <f>ROUND(F96*G96*H96,3)</f>
        <v>0</v>
      </c>
    </row>
    <row r="97" spans="2:13" ht="18" customHeight="1">
      <c r="B97" s="48" t="s">
        <v>42</v>
      </c>
      <c r="C97" s="49">
        <f>SUMPRODUCT(F92:F96*G92:G96)</f>
        <v>0</v>
      </c>
      <c r="D97" s="50" t="s">
        <v>43</v>
      </c>
      <c r="E97" s="49">
        <f>SUM(I92:I96)*1.1</f>
        <v>0</v>
      </c>
      <c r="F97" s="50" t="s">
        <v>44</v>
      </c>
      <c r="G97" s="51">
        <f>(C$218+C$222)/1000</f>
        <v>39.781500000000001</v>
      </c>
      <c r="H97" s="52" t="s">
        <v>45</v>
      </c>
      <c r="I97" s="53">
        <f>ROUND(E97*G97,2)</f>
        <v>0</v>
      </c>
    </row>
    <row r="98" spans="2:13" ht="18" customHeight="1">
      <c r="B98" s="48" t="s">
        <v>46</v>
      </c>
      <c r="C98" s="50">
        <v>186.72</v>
      </c>
      <c r="D98" s="50" t="s">
        <v>47</v>
      </c>
      <c r="E98" s="49">
        <f>ROUND(C97*(C98/1000),2)</f>
        <v>0</v>
      </c>
      <c r="F98" s="50" t="s">
        <v>48</v>
      </c>
      <c r="G98" s="50">
        <f>G$23</f>
        <v>10</v>
      </c>
      <c r="H98" s="52" t="s">
        <v>49</v>
      </c>
      <c r="I98" s="53">
        <f>E98*G98</f>
        <v>0</v>
      </c>
    </row>
    <row r="99" spans="2:13" ht="18" customHeight="1">
      <c r="B99" s="48" t="s">
        <v>50</v>
      </c>
      <c r="C99" s="50">
        <v>0</v>
      </c>
      <c r="D99" s="50" t="s">
        <v>51</v>
      </c>
      <c r="E99" s="49">
        <f>ROUND(C97*(C99/1000),2)</f>
        <v>0</v>
      </c>
      <c r="F99" s="50" t="s">
        <v>48</v>
      </c>
      <c r="G99" s="50">
        <f>G$24</f>
        <v>10</v>
      </c>
      <c r="H99" s="52" t="s">
        <v>49</v>
      </c>
      <c r="I99" s="53">
        <f>E99*G99</f>
        <v>0</v>
      </c>
    </row>
    <row r="100" spans="2:13" ht="18" customHeight="1">
      <c r="B100" s="23" t="s">
        <v>36</v>
      </c>
      <c r="C100" s="252" t="s">
        <v>14</v>
      </c>
      <c r="D100" s="252" t="s">
        <v>37</v>
      </c>
      <c r="E100" s="252" t="s">
        <v>38</v>
      </c>
      <c r="F100" s="252" t="s">
        <v>39</v>
      </c>
      <c r="G100" s="252" t="s">
        <v>8</v>
      </c>
      <c r="H100" s="252" t="s">
        <v>22</v>
      </c>
      <c r="I100" s="25" t="s">
        <v>40</v>
      </c>
    </row>
    <row r="101" spans="2:13" ht="18" customHeight="1">
      <c r="B101" s="648" t="s">
        <v>84</v>
      </c>
      <c r="C101" s="653" t="str">
        <f>C92</f>
        <v>SDL2281</v>
      </c>
      <c r="D101" s="253">
        <f>D35-122</f>
        <v>333</v>
      </c>
      <c r="E101" s="253">
        <f t="shared" ref="D101:E103" si="17">E35-122</f>
        <v>678</v>
      </c>
      <c r="F101" s="253">
        <f>2*(D101+E101)/1000</f>
        <v>2.0219999999999998</v>
      </c>
      <c r="G101" s="250">
        <f>G35</f>
        <v>4</v>
      </c>
      <c r="H101" s="250">
        <f>H96</f>
        <v>0.27100000000000002</v>
      </c>
      <c r="I101" s="59">
        <f>ROUND(F101*G101*H101,3)</f>
        <v>2.1920000000000002</v>
      </c>
    </row>
    <row r="102" spans="2:13" ht="18" customHeight="1">
      <c r="B102" s="648"/>
      <c r="C102" s="650"/>
      <c r="D102" s="253">
        <f t="shared" si="17"/>
        <v>-122</v>
      </c>
      <c r="E102" s="253">
        <f t="shared" si="17"/>
        <v>-122</v>
      </c>
      <c r="F102" s="253">
        <f>2*(D102+E102)/1000</f>
        <v>-0.48799999999999999</v>
      </c>
      <c r="G102" s="250">
        <f>G36</f>
        <v>0</v>
      </c>
      <c r="H102" s="250">
        <f>H101</f>
        <v>0.27100000000000002</v>
      </c>
      <c r="I102" s="59">
        <f>ROUND(F102*G102*H102,3)</f>
        <v>0</v>
      </c>
      <c r="K102" s="99"/>
      <c r="M102" s="99"/>
    </row>
    <row r="103" spans="2:13" ht="18" customHeight="1">
      <c r="B103" s="648"/>
      <c r="C103" s="651"/>
      <c r="D103" s="253">
        <f t="shared" si="17"/>
        <v>-122</v>
      </c>
      <c r="E103" s="253">
        <f t="shared" si="17"/>
        <v>-122</v>
      </c>
      <c r="F103" s="253">
        <f>2*(D103+E103)/1000</f>
        <v>-0.48799999999999999</v>
      </c>
      <c r="G103" s="250">
        <f>G37</f>
        <v>0</v>
      </c>
      <c r="H103" s="250">
        <f>H102</f>
        <v>0.27100000000000002</v>
      </c>
      <c r="I103" s="59">
        <f>ROUND(F103*G103*H103,3)</f>
        <v>0</v>
      </c>
      <c r="M103" s="99"/>
    </row>
    <row r="104" spans="2:13" ht="18" customHeight="1">
      <c r="B104" s="48" t="s">
        <v>42</v>
      </c>
      <c r="C104" s="49">
        <f>SUMPRODUCT(F101:F103*G101:G103)</f>
        <v>8.0879999999999992</v>
      </c>
      <c r="D104" s="50" t="s">
        <v>43</v>
      </c>
      <c r="E104" s="49">
        <f>SUM(I101:I103)*1.1</f>
        <v>2.4112000000000005</v>
      </c>
      <c r="F104" s="50" t="s">
        <v>44</v>
      </c>
      <c r="G104" s="51">
        <f>(C$218+C$222)/1000</f>
        <v>39.781500000000001</v>
      </c>
      <c r="H104" s="52" t="s">
        <v>45</v>
      </c>
      <c r="I104" s="53">
        <f>ROUND(E104*G104,2)</f>
        <v>95.92</v>
      </c>
    </row>
    <row r="105" spans="2:13" ht="18" customHeight="1">
      <c r="B105" s="48" t="s">
        <v>46</v>
      </c>
      <c r="C105" s="50">
        <v>186.72</v>
      </c>
      <c r="D105" s="50" t="s">
        <v>47</v>
      </c>
      <c r="E105" s="49">
        <f>ROUND(C104*(C105/1000),2)</f>
        <v>1.51</v>
      </c>
      <c r="F105" s="50" t="s">
        <v>48</v>
      </c>
      <c r="G105" s="50">
        <f>G$23</f>
        <v>10</v>
      </c>
      <c r="H105" s="52" t="s">
        <v>49</v>
      </c>
      <c r="I105" s="53">
        <f>ROUND(E105*G105,2)</f>
        <v>15.1</v>
      </c>
    </row>
    <row r="106" spans="2:13" ht="18" customHeight="1">
      <c r="B106" s="48" t="s">
        <v>50</v>
      </c>
      <c r="C106" s="50">
        <v>0</v>
      </c>
      <c r="D106" s="50" t="s">
        <v>51</v>
      </c>
      <c r="E106" s="49">
        <f>ROUND(C104*(C106/1000),2)</f>
        <v>0</v>
      </c>
      <c r="F106" s="50" t="s">
        <v>48</v>
      </c>
      <c r="G106" s="50">
        <f>G$24</f>
        <v>10</v>
      </c>
      <c r="H106" s="52" t="s">
        <v>49</v>
      </c>
      <c r="I106" s="53">
        <f>ROUND(E106*G106,2)</f>
        <v>0</v>
      </c>
    </row>
    <row r="107" spans="2:13" ht="18" customHeight="1">
      <c r="B107" s="23" t="s">
        <v>36</v>
      </c>
      <c r="C107" s="252" t="s">
        <v>14</v>
      </c>
      <c r="D107" s="252" t="s">
        <v>37</v>
      </c>
      <c r="E107" s="252" t="s">
        <v>38</v>
      </c>
      <c r="F107" s="252" t="s">
        <v>39</v>
      </c>
      <c r="G107" s="252" t="s">
        <v>8</v>
      </c>
      <c r="H107" s="252" t="s">
        <v>22</v>
      </c>
      <c r="I107" s="25" t="s">
        <v>40</v>
      </c>
    </row>
    <row r="108" spans="2:13" ht="18" customHeight="1">
      <c r="B108" s="648" t="s">
        <v>85</v>
      </c>
      <c r="C108" s="655" t="s">
        <v>86</v>
      </c>
      <c r="D108" s="250"/>
      <c r="E108" s="250"/>
      <c r="F108" s="250">
        <f>ROUND((D108+E108)*2/1000,4)</f>
        <v>0</v>
      </c>
      <c r="G108" s="250"/>
      <c r="H108" s="250">
        <v>1.857</v>
      </c>
      <c r="I108" s="59">
        <f>ROUND(F108*G108*H108,3)</f>
        <v>0</v>
      </c>
    </row>
    <row r="109" spans="2:13" ht="18" customHeight="1">
      <c r="B109" s="648"/>
      <c r="C109" s="656"/>
      <c r="D109" s="250"/>
      <c r="E109" s="250"/>
      <c r="F109" s="250">
        <f>ROUND((D109+E109)*2/1000,4)</f>
        <v>0</v>
      </c>
      <c r="G109" s="250"/>
      <c r="H109" s="250">
        <f>H108</f>
        <v>1.857</v>
      </c>
      <c r="I109" s="59">
        <f>ROUND(F109*G109*H109,3)</f>
        <v>0</v>
      </c>
      <c r="K109" s="42"/>
      <c r="L109" s="42"/>
      <c r="M109" s="42"/>
    </row>
    <row r="110" spans="2:13" ht="18" customHeight="1">
      <c r="B110" s="648"/>
      <c r="C110" s="656"/>
      <c r="D110" s="250"/>
      <c r="E110" s="250"/>
      <c r="F110" s="250">
        <f>ROUND((D110+E110)*2/1000,4)</f>
        <v>0</v>
      </c>
      <c r="G110" s="250"/>
      <c r="H110" s="250">
        <f>H109</f>
        <v>1.857</v>
      </c>
      <c r="I110" s="59">
        <f>ROUND(F110*G110*H110,3)</f>
        <v>0</v>
      </c>
      <c r="K110" s="42"/>
      <c r="L110" s="42"/>
      <c r="M110" s="42"/>
    </row>
    <row r="111" spans="2:13" ht="18" customHeight="1">
      <c r="B111" s="648"/>
      <c r="C111" s="657"/>
      <c r="D111" s="250"/>
      <c r="E111" s="250"/>
      <c r="F111" s="250">
        <f>ROUND((D111+E111)*2/1000,4)</f>
        <v>0</v>
      </c>
      <c r="G111" s="250"/>
      <c r="H111" s="250">
        <f>H110</f>
        <v>1.857</v>
      </c>
      <c r="I111" s="59">
        <f>ROUND(F111*G111*H111,3)</f>
        <v>0</v>
      </c>
      <c r="K111" s="42"/>
      <c r="L111" s="42"/>
      <c r="M111" s="42"/>
    </row>
    <row r="112" spans="2:13" ht="18" customHeight="1">
      <c r="B112" s="48" t="s">
        <v>42</v>
      </c>
      <c r="C112" s="49">
        <f>SUMPRODUCT(F108:F111*G108:G111)</f>
        <v>0</v>
      </c>
      <c r="D112" s="50" t="s">
        <v>43</v>
      </c>
      <c r="E112" s="49">
        <f>SUM(I108:I111)*1.1</f>
        <v>0</v>
      </c>
      <c r="F112" s="50" t="s">
        <v>44</v>
      </c>
      <c r="G112" s="51">
        <f>(C$218+C$219)/1000</f>
        <v>46.081499999999998</v>
      </c>
      <c r="H112" s="52" t="s">
        <v>45</v>
      </c>
      <c r="I112" s="53">
        <f>ROUND(E112*G112,2)</f>
        <v>0</v>
      </c>
      <c r="J112" s="243">
        <f>SUM(G108:G111)</f>
        <v>0</v>
      </c>
      <c r="K112" s="42"/>
      <c r="L112" s="42"/>
      <c r="M112" s="42"/>
    </row>
    <row r="113" spans="2:14" ht="18" customHeight="1">
      <c r="B113" s="48" t="s">
        <v>46</v>
      </c>
      <c r="C113" s="50">
        <v>241.03</v>
      </c>
      <c r="D113" s="50" t="s">
        <v>47</v>
      </c>
      <c r="E113" s="49">
        <f>ROUND(C112*(C113/1000),2)</f>
        <v>0</v>
      </c>
      <c r="F113" s="50" t="s">
        <v>48</v>
      </c>
      <c r="G113" s="50">
        <f>G$23</f>
        <v>10</v>
      </c>
      <c r="H113" s="52" t="s">
        <v>49</v>
      </c>
      <c r="I113" s="53">
        <f>E113*G113</f>
        <v>0</v>
      </c>
      <c r="K113" s="42"/>
      <c r="L113" s="42"/>
      <c r="M113" s="42"/>
    </row>
    <row r="114" spans="2:14" ht="18" customHeight="1" thickBot="1">
      <c r="B114" s="48" t="s">
        <v>50</v>
      </c>
      <c r="C114" s="50">
        <v>204.38</v>
      </c>
      <c r="D114" s="50" t="s">
        <v>51</v>
      </c>
      <c r="E114" s="49">
        <f>ROUND(C112*(C114/1000),2)</f>
        <v>0</v>
      </c>
      <c r="F114" s="50" t="s">
        <v>48</v>
      </c>
      <c r="G114" s="50">
        <f>G$24</f>
        <v>10</v>
      </c>
      <c r="H114" s="52" t="s">
        <v>49</v>
      </c>
      <c r="I114" s="53">
        <f>E114*G114</f>
        <v>0</v>
      </c>
    </row>
    <row r="115" spans="2:14" ht="18" customHeight="1" thickBot="1">
      <c r="B115" s="23" t="s">
        <v>36</v>
      </c>
      <c r="C115" s="252" t="s">
        <v>14</v>
      </c>
      <c r="D115" s="252" t="s">
        <v>37</v>
      </c>
      <c r="E115" s="252" t="s">
        <v>38</v>
      </c>
      <c r="F115" s="252" t="s">
        <v>39</v>
      </c>
      <c r="G115" s="252" t="s">
        <v>8</v>
      </c>
      <c r="H115" s="252" t="s">
        <v>22</v>
      </c>
      <c r="I115" s="25" t="s">
        <v>40</v>
      </c>
      <c r="J115" s="54" t="s">
        <v>2</v>
      </c>
      <c r="K115" s="55" t="s">
        <v>3</v>
      </c>
      <c r="L115" s="55" t="s">
        <v>61</v>
      </c>
      <c r="M115" s="55" t="s">
        <v>62</v>
      </c>
      <c r="N115" s="70" t="s">
        <v>14</v>
      </c>
    </row>
    <row r="116" spans="2:14" ht="18" customHeight="1">
      <c r="B116" s="648" t="s">
        <v>87</v>
      </c>
      <c r="C116" s="649" t="s">
        <v>88</v>
      </c>
      <c r="D116" s="253">
        <f t="shared" ref="D116:E118" si="18">J116-IF(L116=1,78,IF(L116=2,55.5,IF(L116=3,41,0)))</f>
        <v>0</v>
      </c>
      <c r="E116" s="253">
        <f t="shared" si="18"/>
        <v>0</v>
      </c>
      <c r="F116" s="250">
        <f>ROUND((D116+E116)*2/1000,4)</f>
        <v>0</v>
      </c>
      <c r="G116" s="250"/>
      <c r="H116" s="58">
        <v>2.456</v>
      </c>
      <c r="I116" s="59">
        <f>ROUND(F116*G116*H116,3)</f>
        <v>0</v>
      </c>
      <c r="J116" s="60"/>
      <c r="K116" s="61"/>
      <c r="L116" s="61"/>
      <c r="M116" s="61"/>
      <c r="N116" s="76" t="s">
        <v>56</v>
      </c>
    </row>
    <row r="117" spans="2:14" ht="18" customHeight="1">
      <c r="B117" s="648"/>
      <c r="C117" s="650"/>
      <c r="D117" s="253">
        <f t="shared" si="18"/>
        <v>0</v>
      </c>
      <c r="E117" s="253">
        <f t="shared" si="18"/>
        <v>0</v>
      </c>
      <c r="F117" s="250">
        <f>ROUND((D117+E117)*2/1000,4)</f>
        <v>0</v>
      </c>
      <c r="G117" s="250">
        <v>0</v>
      </c>
      <c r="H117" s="58">
        <f>H116</f>
        <v>2.456</v>
      </c>
      <c r="I117" s="59">
        <f>ROUND(F117*G117*H117,3)</f>
        <v>0</v>
      </c>
      <c r="J117" s="60"/>
      <c r="K117" s="61"/>
      <c r="L117" s="61"/>
      <c r="M117" s="61"/>
      <c r="N117" s="76" t="s">
        <v>58</v>
      </c>
    </row>
    <row r="118" spans="2:14" ht="18" customHeight="1" thickBot="1">
      <c r="B118" s="648"/>
      <c r="C118" s="651"/>
      <c r="D118" s="253">
        <f t="shared" si="18"/>
        <v>0</v>
      </c>
      <c r="E118" s="253">
        <f t="shared" si="18"/>
        <v>0</v>
      </c>
      <c r="F118" s="250">
        <f>ROUND((D118+E118)*2/1000,4)</f>
        <v>0</v>
      </c>
      <c r="G118" s="250">
        <v>0</v>
      </c>
      <c r="H118" s="58">
        <f>H117</f>
        <v>2.456</v>
      </c>
      <c r="I118" s="59">
        <f>ROUND(F118*G118*H118,3)</f>
        <v>0</v>
      </c>
      <c r="J118" s="64"/>
      <c r="K118" s="65"/>
      <c r="L118" s="65"/>
      <c r="M118" s="65"/>
      <c r="N118" s="80" t="s">
        <v>89</v>
      </c>
    </row>
    <row r="119" spans="2:14" ht="18" customHeight="1">
      <c r="B119" s="48" t="s">
        <v>42</v>
      </c>
      <c r="C119" s="49">
        <f>SUMPRODUCT(F116:F118*G116:G118)</f>
        <v>0</v>
      </c>
      <c r="D119" s="100" t="s">
        <v>43</v>
      </c>
      <c r="E119" s="100">
        <f>SUM(I116:I118)*1.1</f>
        <v>0</v>
      </c>
      <c r="F119" s="50" t="s">
        <v>44</v>
      </c>
      <c r="G119" s="51">
        <f>(C$218+C$219)/1000</f>
        <v>46.081499999999998</v>
      </c>
      <c r="H119" s="52" t="s">
        <v>45</v>
      </c>
      <c r="I119" s="53">
        <f>ROUND(E119*G119,2)</f>
        <v>0</v>
      </c>
      <c r="J119" s="243">
        <f>SUM(G116:G118)</f>
        <v>0</v>
      </c>
      <c r="K119" s="255"/>
      <c r="L119" s="255"/>
      <c r="M119" s="255"/>
    </row>
    <row r="120" spans="2:14" ht="18" customHeight="1">
      <c r="B120" s="48" t="s">
        <v>46</v>
      </c>
      <c r="C120" s="50">
        <v>350.56</v>
      </c>
      <c r="D120" s="100" t="s">
        <v>47</v>
      </c>
      <c r="E120" s="100">
        <f>ROUND(C119*(C120/1000),2)</f>
        <v>0</v>
      </c>
      <c r="F120" s="50" t="s">
        <v>48</v>
      </c>
      <c r="G120" s="50">
        <f>G$23</f>
        <v>10</v>
      </c>
      <c r="H120" s="52" t="s">
        <v>49</v>
      </c>
      <c r="I120" s="53">
        <f>E120*G120</f>
        <v>0</v>
      </c>
      <c r="J120" s="255"/>
      <c r="K120" s="255"/>
      <c r="L120" s="255"/>
      <c r="M120" s="255"/>
    </row>
    <row r="121" spans="2:14" ht="18" customHeight="1" thickBot="1">
      <c r="B121" s="48" t="s">
        <v>50</v>
      </c>
      <c r="C121" s="50">
        <v>189.03</v>
      </c>
      <c r="D121" s="100" t="s">
        <v>51</v>
      </c>
      <c r="E121" s="100">
        <f>ROUND(C119*(C121/1000),2)</f>
        <v>0</v>
      </c>
      <c r="F121" s="50" t="s">
        <v>48</v>
      </c>
      <c r="G121" s="50">
        <f>G$24</f>
        <v>10</v>
      </c>
      <c r="H121" s="52" t="s">
        <v>49</v>
      </c>
      <c r="I121" s="53">
        <f>E121*G121</f>
        <v>0</v>
      </c>
      <c r="J121" s="255"/>
    </row>
    <row r="122" spans="2:14" ht="18" customHeight="1" thickBot="1">
      <c r="B122" s="23" t="s">
        <v>36</v>
      </c>
      <c r="C122" s="252" t="s">
        <v>14</v>
      </c>
      <c r="D122" s="101" t="s">
        <v>37</v>
      </c>
      <c r="E122" s="101" t="s">
        <v>38</v>
      </c>
      <c r="F122" s="252" t="s">
        <v>39</v>
      </c>
      <c r="G122" s="252" t="s">
        <v>8</v>
      </c>
      <c r="H122" s="252" t="s">
        <v>22</v>
      </c>
      <c r="I122" s="25" t="s">
        <v>40</v>
      </c>
      <c r="J122" s="54" t="s">
        <v>2</v>
      </c>
      <c r="K122" s="55" t="s">
        <v>3</v>
      </c>
      <c r="L122" s="55" t="s">
        <v>61</v>
      </c>
      <c r="M122" s="55" t="s">
        <v>62</v>
      </c>
      <c r="N122" s="70" t="s">
        <v>14</v>
      </c>
    </row>
    <row r="123" spans="2:14" ht="18" customHeight="1">
      <c r="B123" s="648" t="s">
        <v>90</v>
      </c>
      <c r="C123" s="649" t="s">
        <v>91</v>
      </c>
      <c r="D123" s="253">
        <f t="shared" ref="D123:E125" si="19">J123-IF(L123=1,78,IF(L123=2,55.5,IF(L123=3,41,0)))</f>
        <v>0</v>
      </c>
      <c r="E123" s="253">
        <f t="shared" si="19"/>
        <v>0</v>
      </c>
      <c r="F123" s="250">
        <f>ROUND((D123+E123)*2/1000,4)</f>
        <v>0</v>
      </c>
      <c r="G123" s="250"/>
      <c r="H123" s="58">
        <v>2.4710000000000001</v>
      </c>
      <c r="I123" s="59">
        <f>ROUND(F123*G123*H123,3)</f>
        <v>0</v>
      </c>
      <c r="J123" s="60"/>
      <c r="K123" s="61"/>
      <c r="L123" s="61"/>
      <c r="M123" s="61"/>
      <c r="N123" s="76" t="s">
        <v>56</v>
      </c>
    </row>
    <row r="124" spans="2:14" ht="18" customHeight="1">
      <c r="B124" s="648"/>
      <c r="C124" s="650"/>
      <c r="D124" s="253">
        <f t="shared" si="19"/>
        <v>0</v>
      </c>
      <c r="E124" s="253">
        <f t="shared" si="19"/>
        <v>0</v>
      </c>
      <c r="F124" s="250">
        <f>ROUND((D124+E124)*2/1000,4)</f>
        <v>0</v>
      </c>
      <c r="G124" s="250"/>
      <c r="H124" s="58">
        <f>H123</f>
        <v>2.4710000000000001</v>
      </c>
      <c r="I124" s="59">
        <f>ROUND(F124*G124*H124,3)</f>
        <v>0</v>
      </c>
      <c r="J124" s="60"/>
      <c r="K124" s="61"/>
      <c r="L124" s="61"/>
      <c r="M124" s="61"/>
      <c r="N124" s="76" t="s">
        <v>58</v>
      </c>
    </row>
    <row r="125" spans="2:14" ht="18" customHeight="1" thickBot="1">
      <c r="B125" s="648"/>
      <c r="C125" s="651"/>
      <c r="D125" s="253">
        <f t="shared" si="19"/>
        <v>0</v>
      </c>
      <c r="E125" s="253">
        <f t="shared" si="19"/>
        <v>0</v>
      </c>
      <c r="F125" s="250">
        <f>ROUND((D125+E125)*2/1000,4)</f>
        <v>0</v>
      </c>
      <c r="G125" s="250"/>
      <c r="H125" s="58">
        <f>H124</f>
        <v>2.4710000000000001</v>
      </c>
      <c r="I125" s="59">
        <f>ROUND(F125*G125*H125,3)</f>
        <v>0</v>
      </c>
      <c r="J125" s="64"/>
      <c r="K125" s="65"/>
      <c r="L125" s="65"/>
      <c r="M125" s="65"/>
      <c r="N125" s="80" t="s">
        <v>89</v>
      </c>
    </row>
    <row r="126" spans="2:14" ht="18" customHeight="1">
      <c r="B126" s="48" t="s">
        <v>42</v>
      </c>
      <c r="C126" s="49">
        <f>SUMPRODUCT(F123:F125*G123:G125)</f>
        <v>0</v>
      </c>
      <c r="D126" s="50" t="s">
        <v>43</v>
      </c>
      <c r="E126" s="49">
        <f>SUM(I123:I125)*1.1</f>
        <v>0</v>
      </c>
      <c r="F126" s="50" t="s">
        <v>44</v>
      </c>
      <c r="G126" s="51">
        <f>(C$218+C$221)/1000</f>
        <v>46.081499999999998</v>
      </c>
      <c r="H126" s="52" t="s">
        <v>45</v>
      </c>
      <c r="I126" s="53">
        <f>ROUND(E126*G126,2)</f>
        <v>0</v>
      </c>
      <c r="J126" s="243">
        <f>SUM(G123:G125)</f>
        <v>0</v>
      </c>
      <c r="K126" s="255"/>
      <c r="L126" s="255"/>
      <c r="M126" s="255"/>
    </row>
    <row r="127" spans="2:14" ht="18" customHeight="1">
      <c r="B127" s="48" t="s">
        <v>46</v>
      </c>
      <c r="C127" s="50">
        <v>236.53</v>
      </c>
      <c r="D127" s="50" t="s">
        <v>47</v>
      </c>
      <c r="E127" s="49">
        <f>ROUND(C126*(C127/1000),2)</f>
        <v>0</v>
      </c>
      <c r="F127" s="50" t="s">
        <v>48</v>
      </c>
      <c r="G127" s="50">
        <f>G$23</f>
        <v>10</v>
      </c>
      <c r="H127" s="52" t="s">
        <v>49</v>
      </c>
      <c r="I127" s="53">
        <f>E127*G127</f>
        <v>0</v>
      </c>
      <c r="J127" s="255"/>
      <c r="K127" s="255"/>
      <c r="L127" s="255"/>
      <c r="M127" s="255"/>
    </row>
    <row r="128" spans="2:14" ht="18" customHeight="1" thickBot="1">
      <c r="B128" s="48" t="s">
        <v>50</v>
      </c>
      <c r="C128" s="50">
        <v>311.02999999999997</v>
      </c>
      <c r="D128" s="50" t="s">
        <v>51</v>
      </c>
      <c r="E128" s="49">
        <f>ROUND(C126*(C128/1000),2)</f>
        <v>0</v>
      </c>
      <c r="F128" s="50" t="s">
        <v>48</v>
      </c>
      <c r="G128" s="50">
        <f>G$24</f>
        <v>10</v>
      </c>
      <c r="H128" s="52" t="s">
        <v>49</v>
      </c>
      <c r="I128" s="53">
        <f>E128*G128</f>
        <v>0</v>
      </c>
      <c r="J128" s="255"/>
    </row>
    <row r="129" spans="2:14" ht="18" customHeight="1" thickBot="1">
      <c r="B129" s="23" t="s">
        <v>36</v>
      </c>
      <c r="C129" s="252" t="s">
        <v>14</v>
      </c>
      <c r="D129" s="252" t="s">
        <v>37</v>
      </c>
      <c r="E129" s="252" t="s">
        <v>71</v>
      </c>
      <c r="F129" s="252" t="s">
        <v>38</v>
      </c>
      <c r="G129" s="252" t="s">
        <v>72</v>
      </c>
      <c r="H129" s="252" t="s">
        <v>22</v>
      </c>
      <c r="I129" s="25" t="s">
        <v>40</v>
      </c>
      <c r="J129" s="54" t="s">
        <v>2</v>
      </c>
      <c r="K129" s="55" t="s">
        <v>3</v>
      </c>
      <c r="L129" s="55" t="s">
        <v>61</v>
      </c>
      <c r="M129" s="55" t="s">
        <v>62</v>
      </c>
      <c r="N129" s="70" t="s">
        <v>14</v>
      </c>
    </row>
    <row r="130" spans="2:14" ht="18" customHeight="1">
      <c r="B130" s="648" t="s">
        <v>92</v>
      </c>
      <c r="C130" s="649" t="s">
        <v>93</v>
      </c>
      <c r="D130" s="253">
        <f>J130-IF(L130=1,81,IF(L130=2,58.5,IF(L130=3,36,0)))</f>
        <v>0</v>
      </c>
      <c r="E130" s="253">
        <v>0</v>
      </c>
      <c r="F130" s="253">
        <f>K130-IF(M130=1,81,IF(M130=2,58.5,IF(M130=3,36,0)))</f>
        <v>0</v>
      </c>
      <c r="G130" s="250">
        <v>0</v>
      </c>
      <c r="H130" s="250">
        <v>2.0489999999999999</v>
      </c>
      <c r="I130" s="59">
        <f>ROUND((D130*E130+F130*G130)/1000*H130,3)</f>
        <v>0</v>
      </c>
      <c r="J130" s="60"/>
      <c r="K130" s="61"/>
      <c r="L130" s="61"/>
      <c r="M130" s="61"/>
      <c r="N130" s="76" t="s">
        <v>56</v>
      </c>
    </row>
    <row r="131" spans="2:14" ht="18" customHeight="1">
      <c r="B131" s="648"/>
      <c r="C131" s="650"/>
      <c r="D131" s="253">
        <f>J131-IF(L131=1,81,IF(L131=2,58.5,IF(L131=3,36,0)))</f>
        <v>0</v>
      </c>
      <c r="E131" s="253">
        <v>0</v>
      </c>
      <c r="F131" s="253">
        <f>K131-IF(M131=1,81,IF(M131=2,58.5,IF(M131=3,36,0)))</f>
        <v>0</v>
      </c>
      <c r="G131" s="250"/>
      <c r="H131" s="250">
        <f>H130</f>
        <v>2.0489999999999999</v>
      </c>
      <c r="I131" s="59">
        <f>ROUND((D131*E131+F131*G131)/1000*H131,3)</f>
        <v>0</v>
      </c>
      <c r="J131" s="60"/>
      <c r="K131" s="61"/>
      <c r="L131" s="61"/>
      <c r="M131" s="61"/>
      <c r="N131" s="76" t="s">
        <v>58</v>
      </c>
    </row>
    <row r="132" spans="2:14" ht="18" customHeight="1" thickBot="1">
      <c r="B132" s="648"/>
      <c r="C132" s="651"/>
      <c r="D132" s="253">
        <f>J132-IF(L132=1,81,IF(L132=2,58.5,IF(L132=3,36,0)))</f>
        <v>0</v>
      </c>
      <c r="E132" s="253"/>
      <c r="F132" s="253">
        <f>K132-IF(M132=1,81,IF(M132=2,58.5,IF(M132=3,36,0)))</f>
        <v>0</v>
      </c>
      <c r="G132" s="250"/>
      <c r="H132" s="250">
        <f>H131</f>
        <v>2.0489999999999999</v>
      </c>
      <c r="I132" s="59">
        <f>ROUND((D132*E132+F132*G132)/1000*H132,3)</f>
        <v>0</v>
      </c>
      <c r="J132" s="64"/>
      <c r="K132" s="65"/>
      <c r="L132" s="65"/>
      <c r="M132" s="65"/>
      <c r="N132" s="80" t="s">
        <v>89</v>
      </c>
    </row>
    <row r="133" spans="2:14" ht="18" customHeight="1">
      <c r="B133" s="48" t="s">
        <v>42</v>
      </c>
      <c r="C133" s="49">
        <f>SUMPRODUCT(D130:D132*E130:E132+F130:F132*G130:G132)/1000</f>
        <v>0</v>
      </c>
      <c r="D133" s="50" t="s">
        <v>43</v>
      </c>
      <c r="E133" s="49">
        <f>SUM(I130:I132)*1.1</f>
        <v>0</v>
      </c>
      <c r="F133" s="50" t="s">
        <v>44</v>
      </c>
      <c r="G133" s="51">
        <f>(C$218+C$219)/1000</f>
        <v>46.081499999999998</v>
      </c>
      <c r="H133" s="52" t="s">
        <v>45</v>
      </c>
      <c r="I133" s="53">
        <f>ROUND(E133*G133,2)</f>
        <v>0</v>
      </c>
      <c r="J133" s="243">
        <f>SUM(G130:G132)+SUM(E130:E132)</f>
        <v>0</v>
      </c>
    </row>
    <row r="134" spans="2:14" ht="18" customHeight="1">
      <c r="B134" s="48" t="s">
        <v>46</v>
      </c>
      <c r="C134" s="50">
        <v>298.42</v>
      </c>
      <c r="D134" s="50" t="s">
        <v>47</v>
      </c>
      <c r="E134" s="49">
        <f>ROUND(C133*(C134/1000),2)</f>
        <v>0</v>
      </c>
      <c r="F134" s="50" t="s">
        <v>48</v>
      </c>
      <c r="G134" s="50">
        <f>G$23</f>
        <v>10</v>
      </c>
      <c r="H134" s="52" t="s">
        <v>49</v>
      </c>
      <c r="I134" s="53">
        <f>ROUND(E134*G134,2)</f>
        <v>0</v>
      </c>
    </row>
    <row r="135" spans="2:14" ht="18" customHeight="1">
      <c r="B135" s="48" t="s">
        <v>50</v>
      </c>
      <c r="C135" s="50">
        <v>208.08</v>
      </c>
      <c r="D135" s="50" t="s">
        <v>51</v>
      </c>
      <c r="E135" s="49">
        <f>ROUND(C133*(C135/1000),2)</f>
        <v>0</v>
      </c>
      <c r="F135" s="50" t="s">
        <v>48</v>
      </c>
      <c r="G135" s="50">
        <f>G$24</f>
        <v>10</v>
      </c>
      <c r="H135" s="52" t="s">
        <v>49</v>
      </c>
      <c r="I135" s="53">
        <f>ROUND(E135*G135,2)</f>
        <v>0</v>
      </c>
    </row>
    <row r="136" spans="2:14" ht="18" customHeight="1">
      <c r="B136" s="23" t="s">
        <v>36</v>
      </c>
      <c r="C136" s="252" t="s">
        <v>14</v>
      </c>
      <c r="D136" s="652" t="s">
        <v>38</v>
      </c>
      <c r="E136" s="652"/>
      <c r="F136" s="652"/>
      <c r="G136" s="252" t="s">
        <v>72</v>
      </c>
      <c r="H136" s="252" t="s">
        <v>22</v>
      </c>
      <c r="I136" s="25" t="s">
        <v>40</v>
      </c>
    </row>
    <row r="137" spans="2:14" ht="18" customHeight="1">
      <c r="B137" s="648" t="s">
        <v>94</v>
      </c>
      <c r="C137" s="649" t="s">
        <v>95</v>
      </c>
      <c r="D137" s="654">
        <f>E116</f>
        <v>0</v>
      </c>
      <c r="E137" s="646"/>
      <c r="F137" s="646"/>
      <c r="G137" s="250"/>
      <c r="H137" s="250">
        <v>1.3360000000000001</v>
      </c>
      <c r="I137" s="59">
        <f>ROUND(D137*H137*G137/1000,3)</f>
        <v>0</v>
      </c>
    </row>
    <row r="138" spans="2:14" ht="18" customHeight="1">
      <c r="B138" s="648"/>
      <c r="C138" s="651"/>
      <c r="D138" s="654"/>
      <c r="E138" s="646"/>
      <c r="F138" s="646"/>
      <c r="G138" s="250"/>
      <c r="H138" s="250">
        <f>H137</f>
        <v>1.3360000000000001</v>
      </c>
      <c r="I138" s="59">
        <f>ROUND(D138*H138*G138/1000,3)</f>
        <v>0</v>
      </c>
    </row>
    <row r="139" spans="2:14" ht="18" customHeight="1">
      <c r="B139" s="48" t="s">
        <v>42</v>
      </c>
      <c r="C139" s="49">
        <f>SUMPRODUCT(D137:F138*G137:G138)/1000</f>
        <v>0</v>
      </c>
      <c r="D139" s="50" t="s">
        <v>43</v>
      </c>
      <c r="E139" s="49">
        <f>SUM(I137:I138)*1.1</f>
        <v>0</v>
      </c>
      <c r="F139" s="50" t="s">
        <v>44</v>
      </c>
      <c r="G139" s="51">
        <f>(C$218+C$219)/1000</f>
        <v>46.081499999999998</v>
      </c>
      <c r="H139" s="52" t="s">
        <v>45</v>
      </c>
      <c r="I139" s="53">
        <f>ROUND(E139*G139,2)</f>
        <v>0</v>
      </c>
    </row>
    <row r="140" spans="2:14" ht="18" customHeight="1">
      <c r="B140" s="48" t="s">
        <v>46</v>
      </c>
      <c r="C140" s="50">
        <v>143.24</v>
      </c>
      <c r="D140" s="50" t="s">
        <v>47</v>
      </c>
      <c r="E140" s="49">
        <f>ROUND(C139*(C140/1000),2)</f>
        <v>0</v>
      </c>
      <c r="F140" s="50" t="s">
        <v>48</v>
      </c>
      <c r="G140" s="50">
        <f>G$23</f>
        <v>10</v>
      </c>
      <c r="H140" s="52" t="s">
        <v>49</v>
      </c>
      <c r="I140" s="53">
        <f>E140*G140</f>
        <v>0</v>
      </c>
    </row>
    <row r="141" spans="2:14" ht="18" customHeight="1">
      <c r="B141" s="48" t="s">
        <v>50</v>
      </c>
      <c r="C141" s="50">
        <v>85.04</v>
      </c>
      <c r="D141" s="50" t="s">
        <v>51</v>
      </c>
      <c r="E141" s="49">
        <f>ROUND(C139*(C141/1000),2)</f>
        <v>0</v>
      </c>
      <c r="F141" s="50" t="s">
        <v>48</v>
      </c>
      <c r="G141" s="50">
        <f>G$24</f>
        <v>10</v>
      </c>
      <c r="H141" s="52" t="s">
        <v>49</v>
      </c>
      <c r="I141" s="53">
        <f>E141*G141</f>
        <v>0</v>
      </c>
    </row>
    <row r="142" spans="2:14" ht="18" customHeight="1">
      <c r="B142" s="23" t="s">
        <v>36</v>
      </c>
      <c r="C142" s="252" t="s">
        <v>14</v>
      </c>
      <c r="D142" s="252" t="s">
        <v>37</v>
      </c>
      <c r="E142" s="252" t="s">
        <v>38</v>
      </c>
      <c r="F142" s="252" t="s">
        <v>39</v>
      </c>
      <c r="G142" s="252" t="s">
        <v>8</v>
      </c>
      <c r="H142" s="252" t="s">
        <v>22</v>
      </c>
      <c r="I142" s="25" t="s">
        <v>40</v>
      </c>
    </row>
    <row r="143" spans="2:14" ht="18" customHeight="1">
      <c r="B143" s="648" t="s">
        <v>96</v>
      </c>
      <c r="C143" s="653" t="s">
        <v>83</v>
      </c>
      <c r="D143" s="253">
        <f t="shared" ref="D143:E145" si="20">D116-154</f>
        <v>-154</v>
      </c>
      <c r="E143" s="253">
        <f t="shared" si="20"/>
        <v>-154</v>
      </c>
      <c r="F143" s="253">
        <f>(D143+E143)*2/1000</f>
        <v>-0.61599999999999999</v>
      </c>
      <c r="G143" s="250">
        <f>G116</f>
        <v>0</v>
      </c>
      <c r="H143" s="250">
        <v>0.27100000000000002</v>
      </c>
      <c r="I143" s="59">
        <f>ROUND((F143*G143)*H143,3)</f>
        <v>0</v>
      </c>
    </row>
    <row r="144" spans="2:14" ht="18" customHeight="1">
      <c r="B144" s="648"/>
      <c r="C144" s="650"/>
      <c r="D144" s="253">
        <f t="shared" si="20"/>
        <v>-154</v>
      </c>
      <c r="E144" s="253">
        <f t="shared" si="20"/>
        <v>-154</v>
      </c>
      <c r="F144" s="253">
        <f>(D144+E144)*2/1000</f>
        <v>-0.61599999999999999</v>
      </c>
      <c r="G144" s="250">
        <f>G117</f>
        <v>0</v>
      </c>
      <c r="H144" s="250">
        <f>H143</f>
        <v>0.27100000000000002</v>
      </c>
      <c r="I144" s="59">
        <f>ROUND((F144*G144)*H144,3)</f>
        <v>0</v>
      </c>
    </row>
    <row r="145" spans="2:14" ht="18" customHeight="1">
      <c r="B145" s="648"/>
      <c r="C145" s="651"/>
      <c r="D145" s="253">
        <f t="shared" si="20"/>
        <v>-154</v>
      </c>
      <c r="E145" s="253">
        <f t="shared" si="20"/>
        <v>-154</v>
      </c>
      <c r="F145" s="253">
        <f>(D145+E145)*2/1000</f>
        <v>-0.61599999999999999</v>
      </c>
      <c r="G145" s="250">
        <f>G118</f>
        <v>0</v>
      </c>
      <c r="H145" s="250">
        <f>H144</f>
        <v>0.27100000000000002</v>
      </c>
      <c r="I145" s="59">
        <f>ROUND((F145*G145)*H145,3)</f>
        <v>0</v>
      </c>
    </row>
    <row r="146" spans="2:14" ht="18" customHeight="1">
      <c r="B146" s="48" t="s">
        <v>42</v>
      </c>
      <c r="C146" s="49">
        <f>SUMPRODUCT(F143:F145*G143:G145)</f>
        <v>0</v>
      </c>
      <c r="D146" s="50" t="s">
        <v>43</v>
      </c>
      <c r="E146" s="49">
        <f>SUM(I143:I145)*1.1</f>
        <v>0</v>
      </c>
      <c r="F146" s="50" t="s">
        <v>44</v>
      </c>
      <c r="G146" s="51">
        <f>(C$218+C$222)/1000</f>
        <v>39.781500000000001</v>
      </c>
      <c r="H146" s="52" t="s">
        <v>45</v>
      </c>
      <c r="I146" s="53">
        <f>ROUND(E146*G146,2)</f>
        <v>0</v>
      </c>
    </row>
    <row r="147" spans="2:14" ht="18" customHeight="1">
      <c r="B147" s="48" t="s">
        <v>46</v>
      </c>
      <c r="C147" s="50">
        <v>186.72</v>
      </c>
      <c r="D147" s="50" t="s">
        <v>47</v>
      </c>
      <c r="E147" s="49">
        <f>ROUND(C146*(C147/1000),2)</f>
        <v>0</v>
      </c>
      <c r="F147" s="50" t="s">
        <v>48</v>
      </c>
      <c r="G147" s="50">
        <f>G$23</f>
        <v>10</v>
      </c>
      <c r="H147" s="52" t="s">
        <v>49</v>
      </c>
      <c r="I147" s="53">
        <f>E147*G147</f>
        <v>0</v>
      </c>
      <c r="K147" s="42"/>
      <c r="L147" s="42"/>
      <c r="M147" s="42"/>
    </row>
    <row r="148" spans="2:14" ht="18" customHeight="1">
      <c r="B148" s="48" t="s">
        <v>50</v>
      </c>
      <c r="C148" s="50">
        <v>0</v>
      </c>
      <c r="D148" s="50" t="s">
        <v>51</v>
      </c>
      <c r="E148" s="49">
        <f>ROUND(C146*(C148/1000),2)</f>
        <v>0</v>
      </c>
      <c r="F148" s="50" t="s">
        <v>48</v>
      </c>
      <c r="G148" s="50">
        <f>G$24</f>
        <v>10</v>
      </c>
      <c r="H148" s="52" t="s">
        <v>49</v>
      </c>
      <c r="I148" s="53">
        <f>E148*G148</f>
        <v>0</v>
      </c>
      <c r="K148" s="42"/>
      <c r="L148" s="42"/>
      <c r="M148" s="42"/>
    </row>
    <row r="149" spans="2:14" ht="18" customHeight="1">
      <c r="B149" s="23" t="s">
        <v>36</v>
      </c>
      <c r="C149" s="252" t="s">
        <v>14</v>
      </c>
      <c r="D149" s="252" t="s">
        <v>37</v>
      </c>
      <c r="E149" s="252" t="s">
        <v>38</v>
      </c>
      <c r="F149" s="252" t="s">
        <v>39</v>
      </c>
      <c r="G149" s="252" t="s">
        <v>8</v>
      </c>
      <c r="H149" s="252" t="s">
        <v>22</v>
      </c>
      <c r="I149" s="25" t="s">
        <v>40</v>
      </c>
      <c r="K149" s="42"/>
      <c r="L149" s="42"/>
      <c r="M149" s="42"/>
    </row>
    <row r="150" spans="2:14" ht="18" customHeight="1">
      <c r="B150" s="648" t="s">
        <v>97</v>
      </c>
      <c r="C150" s="653" t="s">
        <v>83</v>
      </c>
      <c r="D150" s="253">
        <f t="shared" ref="D150:E152" si="21">D123-160</f>
        <v>-160</v>
      </c>
      <c r="E150" s="253">
        <f t="shared" si="21"/>
        <v>-160</v>
      </c>
      <c r="F150" s="253">
        <f>(D150+E150)*2/1000</f>
        <v>-0.64</v>
      </c>
      <c r="G150" s="250">
        <f>G123</f>
        <v>0</v>
      </c>
      <c r="H150" s="250">
        <f>H145</f>
        <v>0.27100000000000002</v>
      </c>
      <c r="I150" s="59">
        <f>ROUND((F150*G150)*H150,3)</f>
        <v>0</v>
      </c>
      <c r="K150" s="42"/>
      <c r="L150" s="42"/>
      <c r="M150" s="42"/>
    </row>
    <row r="151" spans="2:14" ht="18" customHeight="1">
      <c r="B151" s="648"/>
      <c r="C151" s="650"/>
      <c r="D151" s="253">
        <f t="shared" si="21"/>
        <v>-160</v>
      </c>
      <c r="E151" s="253">
        <f t="shared" si="21"/>
        <v>-160</v>
      </c>
      <c r="F151" s="253">
        <f>(D151+E151)*2/1000</f>
        <v>-0.64</v>
      </c>
      <c r="G151" s="250">
        <f>G124</f>
        <v>0</v>
      </c>
      <c r="H151" s="250">
        <f>H150</f>
        <v>0.27100000000000002</v>
      </c>
      <c r="I151" s="59">
        <f>ROUND((F151*G151)*H151,3)</f>
        <v>0</v>
      </c>
      <c r="K151" s="42"/>
      <c r="L151" s="42"/>
      <c r="M151" s="42"/>
    </row>
    <row r="152" spans="2:14" ht="18" customHeight="1">
      <c r="B152" s="648"/>
      <c r="C152" s="651"/>
      <c r="D152" s="253">
        <f t="shared" si="21"/>
        <v>-160</v>
      </c>
      <c r="E152" s="253">
        <f t="shared" si="21"/>
        <v>-160</v>
      </c>
      <c r="F152" s="253">
        <f>(D152+E152)*2/1000</f>
        <v>-0.64</v>
      </c>
      <c r="G152" s="250">
        <f>G125</f>
        <v>0</v>
      </c>
      <c r="H152" s="250">
        <f>H151</f>
        <v>0.27100000000000002</v>
      </c>
      <c r="I152" s="59">
        <f>ROUND((F152*G152)*H152,3)</f>
        <v>0</v>
      </c>
      <c r="K152" s="42"/>
      <c r="L152" s="42"/>
      <c r="M152" s="42"/>
    </row>
    <row r="153" spans="2:14" ht="18" customHeight="1">
      <c r="B153" s="48" t="s">
        <v>42</v>
      </c>
      <c r="C153" s="49">
        <f>SUMPRODUCT(F150:F152*G150:G152)</f>
        <v>0</v>
      </c>
      <c r="D153" s="50" t="s">
        <v>43</v>
      </c>
      <c r="E153" s="49">
        <f>SUM(I150:I152)*1.1</f>
        <v>0</v>
      </c>
      <c r="F153" s="50" t="s">
        <v>44</v>
      </c>
      <c r="G153" s="51">
        <f>(C$218+C$222)/1000</f>
        <v>39.781500000000001</v>
      </c>
      <c r="H153" s="52" t="s">
        <v>45</v>
      </c>
      <c r="I153" s="53">
        <f>ROUND(E153*G153,2)</f>
        <v>0</v>
      </c>
      <c r="K153" s="42"/>
      <c r="L153" s="42"/>
      <c r="M153" s="42"/>
    </row>
    <row r="154" spans="2:14" ht="18" customHeight="1">
      <c r="B154" s="48" t="s">
        <v>46</v>
      </c>
      <c r="C154" s="50">
        <v>186.72</v>
      </c>
      <c r="D154" s="50" t="s">
        <v>47</v>
      </c>
      <c r="E154" s="49">
        <f>ROUND(C153*(C154/1000),2)</f>
        <v>0</v>
      </c>
      <c r="F154" s="50" t="s">
        <v>48</v>
      </c>
      <c r="G154" s="50">
        <f>G$23</f>
        <v>10</v>
      </c>
      <c r="H154" s="52" t="s">
        <v>49</v>
      </c>
      <c r="I154" s="53">
        <f>E154*G154</f>
        <v>0</v>
      </c>
    </row>
    <row r="155" spans="2:14" ht="18" customHeight="1" thickBot="1">
      <c r="B155" s="48" t="s">
        <v>50</v>
      </c>
      <c r="C155" s="50">
        <v>0</v>
      </c>
      <c r="D155" s="50" t="s">
        <v>51</v>
      </c>
      <c r="E155" s="49">
        <f>ROUND(C153*(C155/1000),2)</f>
        <v>0</v>
      </c>
      <c r="F155" s="50" t="s">
        <v>48</v>
      </c>
      <c r="G155" s="50">
        <f>G$24</f>
        <v>10</v>
      </c>
      <c r="H155" s="52" t="s">
        <v>49</v>
      </c>
      <c r="I155" s="53">
        <f>E155*G155</f>
        <v>0</v>
      </c>
    </row>
    <row r="156" spans="2:14" ht="18" customHeight="1" thickBot="1">
      <c r="B156" s="23" t="s">
        <v>36</v>
      </c>
      <c r="C156" s="252" t="s">
        <v>14</v>
      </c>
      <c r="D156" s="252" t="s">
        <v>37</v>
      </c>
      <c r="E156" s="252" t="s">
        <v>38</v>
      </c>
      <c r="F156" s="252" t="s">
        <v>39</v>
      </c>
      <c r="G156" s="252" t="s">
        <v>8</v>
      </c>
      <c r="H156" s="252" t="s">
        <v>22</v>
      </c>
      <c r="I156" s="25" t="s">
        <v>40</v>
      </c>
      <c r="J156" s="54" t="s">
        <v>2</v>
      </c>
      <c r="K156" s="55" t="s">
        <v>3</v>
      </c>
      <c r="L156" s="55" t="s">
        <v>61</v>
      </c>
      <c r="M156" s="55" t="s">
        <v>62</v>
      </c>
      <c r="N156" s="70" t="s">
        <v>14</v>
      </c>
    </row>
    <row r="157" spans="2:14" ht="18" customHeight="1">
      <c r="B157" s="648" t="s">
        <v>98</v>
      </c>
      <c r="C157" s="649" t="s">
        <v>99</v>
      </c>
      <c r="D157" s="253">
        <f t="shared" ref="D157:E162" si="22">J157-IF(L157=1,90,IF(L157=2,67.5,IF(L157=3,45,0)))</f>
        <v>0</v>
      </c>
      <c r="E157" s="253">
        <f t="shared" si="22"/>
        <v>0</v>
      </c>
      <c r="F157" s="253">
        <f t="shared" ref="F157:F162" si="23">2*(D157+E157)/1000</f>
        <v>0</v>
      </c>
      <c r="G157" s="250">
        <v>0</v>
      </c>
      <c r="H157" s="250">
        <f>H68</f>
        <v>0.224</v>
      </c>
      <c r="I157" s="59">
        <f t="shared" ref="I157:I162" si="24">ROUND((F157*G157)*H157,3)</f>
        <v>0</v>
      </c>
      <c r="J157" s="60"/>
      <c r="K157" s="61"/>
      <c r="L157" s="61"/>
      <c r="M157" s="61"/>
      <c r="N157" s="76" t="s">
        <v>56</v>
      </c>
    </row>
    <row r="158" spans="2:14" ht="18" customHeight="1">
      <c r="B158" s="648"/>
      <c r="C158" s="650"/>
      <c r="D158" s="253">
        <f t="shared" si="22"/>
        <v>0</v>
      </c>
      <c r="E158" s="253">
        <f t="shared" si="22"/>
        <v>0</v>
      </c>
      <c r="F158" s="253">
        <f t="shared" si="23"/>
        <v>0</v>
      </c>
      <c r="G158" s="250"/>
      <c r="H158" s="250">
        <f>H157</f>
        <v>0.224</v>
      </c>
      <c r="I158" s="59">
        <f t="shared" si="24"/>
        <v>0</v>
      </c>
      <c r="J158" s="60"/>
      <c r="K158" s="61"/>
      <c r="L158" s="61"/>
      <c r="M158" s="61"/>
      <c r="N158" s="76" t="s">
        <v>58</v>
      </c>
    </row>
    <row r="159" spans="2:14" ht="18" customHeight="1">
      <c r="B159" s="648"/>
      <c r="C159" s="650"/>
      <c r="D159" s="253">
        <f t="shared" si="22"/>
        <v>0</v>
      </c>
      <c r="E159" s="253">
        <f t="shared" si="22"/>
        <v>0</v>
      </c>
      <c r="F159" s="253">
        <f t="shared" si="23"/>
        <v>0</v>
      </c>
      <c r="G159" s="250"/>
      <c r="H159" s="250">
        <f>H158</f>
        <v>0.224</v>
      </c>
      <c r="I159" s="59">
        <f t="shared" si="24"/>
        <v>0</v>
      </c>
      <c r="J159" s="60"/>
      <c r="K159" s="61"/>
      <c r="L159" s="61"/>
      <c r="M159" s="61"/>
      <c r="N159" s="76" t="s">
        <v>60</v>
      </c>
    </row>
    <row r="160" spans="2:14" ht="18" customHeight="1">
      <c r="B160" s="648"/>
      <c r="C160" s="650"/>
      <c r="D160" s="253">
        <f t="shared" si="22"/>
        <v>0</v>
      </c>
      <c r="E160" s="253">
        <f t="shared" si="22"/>
        <v>0</v>
      </c>
      <c r="F160" s="253">
        <f t="shared" si="23"/>
        <v>0</v>
      </c>
      <c r="G160" s="250">
        <v>0</v>
      </c>
      <c r="H160" s="77">
        <f>H159</f>
        <v>0.224</v>
      </c>
      <c r="I160" s="59">
        <f t="shared" si="24"/>
        <v>0</v>
      </c>
      <c r="J160" s="60"/>
      <c r="K160" s="61"/>
      <c r="L160" s="61"/>
      <c r="M160" s="61"/>
      <c r="N160" s="76"/>
    </row>
    <row r="161" spans="2:16" ht="18" customHeight="1">
      <c r="B161" s="648"/>
      <c r="C161" s="650"/>
      <c r="D161" s="253">
        <f t="shared" si="22"/>
        <v>0</v>
      </c>
      <c r="E161" s="253">
        <f t="shared" si="22"/>
        <v>0</v>
      </c>
      <c r="F161" s="253">
        <f t="shared" si="23"/>
        <v>0</v>
      </c>
      <c r="G161" s="250"/>
      <c r="H161" s="250">
        <f>H160</f>
        <v>0.224</v>
      </c>
      <c r="I161" s="59">
        <f t="shared" si="24"/>
        <v>0</v>
      </c>
      <c r="J161" s="60"/>
      <c r="K161" s="61"/>
      <c r="L161" s="61"/>
      <c r="M161" s="61"/>
      <c r="N161" s="76"/>
    </row>
    <row r="162" spans="2:16" ht="18" customHeight="1" thickBot="1">
      <c r="B162" s="648"/>
      <c r="C162" s="651"/>
      <c r="D162" s="253">
        <f t="shared" si="22"/>
        <v>0</v>
      </c>
      <c r="E162" s="253">
        <f t="shared" si="22"/>
        <v>0</v>
      </c>
      <c r="F162" s="253">
        <f t="shared" si="23"/>
        <v>0</v>
      </c>
      <c r="G162" s="250"/>
      <c r="H162" s="250">
        <f>H160</f>
        <v>0.224</v>
      </c>
      <c r="I162" s="59">
        <f t="shared" si="24"/>
        <v>0</v>
      </c>
      <c r="J162" s="64"/>
      <c r="K162" s="65"/>
      <c r="L162" s="65"/>
      <c r="M162" s="65"/>
      <c r="N162" s="80"/>
    </row>
    <row r="163" spans="2:16" ht="18" customHeight="1">
      <c r="B163" s="48" t="s">
        <v>42</v>
      </c>
      <c r="C163" s="49">
        <f>SUMPRODUCT(F157:F162*G157:G162)</f>
        <v>0</v>
      </c>
      <c r="D163" s="50" t="s">
        <v>43</v>
      </c>
      <c r="E163" s="49">
        <f>SUM(I157:I162)*1.1</f>
        <v>0</v>
      </c>
      <c r="F163" s="50" t="s">
        <v>44</v>
      </c>
      <c r="G163" s="51">
        <f>(C$218+C$222)/1000</f>
        <v>39.781500000000001</v>
      </c>
      <c r="H163" s="52" t="s">
        <v>45</v>
      </c>
      <c r="I163" s="53">
        <f>ROUND(E163*G163,2)</f>
        <v>0</v>
      </c>
      <c r="J163" s="102"/>
      <c r="K163" s="102"/>
      <c r="L163" s="102"/>
      <c r="M163" s="102"/>
      <c r="O163" s="102"/>
      <c r="P163" s="102"/>
    </row>
    <row r="164" spans="2:16" ht="18" customHeight="1">
      <c r="B164" s="48" t="s">
        <v>46</v>
      </c>
      <c r="C164" s="50">
        <v>181.72</v>
      </c>
      <c r="D164" s="50" t="s">
        <v>47</v>
      </c>
      <c r="E164" s="49">
        <f>ROUND(C163*(C164/1000),2)</f>
        <v>0</v>
      </c>
      <c r="F164" s="50" t="s">
        <v>48</v>
      </c>
      <c r="G164" s="50">
        <f>G$23</f>
        <v>10</v>
      </c>
      <c r="H164" s="52" t="s">
        <v>49</v>
      </c>
      <c r="I164" s="53">
        <f>E164*G164</f>
        <v>0</v>
      </c>
      <c r="J164" s="102"/>
      <c r="K164" s="102"/>
      <c r="L164" s="102"/>
      <c r="M164" s="102"/>
      <c r="O164" s="102"/>
      <c r="P164" s="102"/>
    </row>
    <row r="165" spans="2:16" ht="18" customHeight="1">
      <c r="B165" s="48" t="s">
        <v>50</v>
      </c>
      <c r="C165" s="50"/>
      <c r="D165" s="50" t="s">
        <v>51</v>
      </c>
      <c r="E165" s="49">
        <f>ROUND(C163*(C165/1000),2)</f>
        <v>0</v>
      </c>
      <c r="F165" s="50" t="s">
        <v>48</v>
      </c>
      <c r="G165" s="50">
        <f>G$24</f>
        <v>10</v>
      </c>
      <c r="H165" s="52" t="s">
        <v>49</v>
      </c>
      <c r="I165" s="53">
        <f>E165*G165</f>
        <v>0</v>
      </c>
      <c r="K165" s="43">
        <f>J165*E165</f>
        <v>0</v>
      </c>
    </row>
    <row r="166" spans="2:16" ht="18" customHeight="1">
      <c r="B166" s="23" t="s">
        <v>36</v>
      </c>
      <c r="C166" s="252" t="s">
        <v>14</v>
      </c>
      <c r="D166" s="252" t="s">
        <v>37</v>
      </c>
      <c r="E166" s="252" t="s">
        <v>71</v>
      </c>
      <c r="F166" s="252" t="s">
        <v>38</v>
      </c>
      <c r="G166" s="252" t="s">
        <v>72</v>
      </c>
      <c r="H166" s="252" t="s">
        <v>22</v>
      </c>
      <c r="I166" s="25" t="s">
        <v>40</v>
      </c>
    </row>
    <row r="167" spans="2:16" ht="18" customHeight="1">
      <c r="B167" s="648" t="s">
        <v>100</v>
      </c>
      <c r="C167" s="649" t="s">
        <v>101</v>
      </c>
      <c r="D167" s="250"/>
      <c r="E167" s="250"/>
      <c r="F167" s="250"/>
      <c r="G167" s="250"/>
      <c r="H167" s="28">
        <v>6.3E-2</v>
      </c>
      <c r="I167" s="59">
        <f>ROUND((D167*E167+F167*G167)/1000*H167,3)</f>
        <v>0</v>
      </c>
    </row>
    <row r="168" spans="2:16" ht="18" customHeight="1">
      <c r="B168" s="648"/>
      <c r="C168" s="650"/>
      <c r="D168" s="250"/>
      <c r="E168" s="250"/>
      <c r="F168" s="250"/>
      <c r="G168" s="250"/>
      <c r="H168" s="28">
        <f>H167</f>
        <v>6.3E-2</v>
      </c>
      <c r="I168" s="59">
        <f>ROUND((D168*E168+F168*G168)/1000*H168,3)</f>
        <v>0</v>
      </c>
    </row>
    <row r="169" spans="2:16" ht="18" customHeight="1">
      <c r="B169" s="648"/>
      <c r="C169" s="651"/>
      <c r="D169" s="250"/>
      <c r="E169" s="250"/>
      <c r="F169" s="250"/>
      <c r="G169" s="250"/>
      <c r="H169" s="28">
        <f>H168</f>
        <v>6.3E-2</v>
      </c>
      <c r="I169" s="59">
        <f>ROUND((D169*E169+F169*G169)/1000*H169,3)</f>
        <v>0</v>
      </c>
    </row>
    <row r="170" spans="2:16" ht="18" customHeight="1">
      <c r="B170" s="48" t="s">
        <v>42</v>
      </c>
      <c r="C170" s="49">
        <f>SUMPRODUCT(D167:D169*E167:E169+F167:F169*G167:G169)/1000</f>
        <v>0</v>
      </c>
      <c r="D170" s="50" t="s">
        <v>43</v>
      </c>
      <c r="E170" s="49">
        <f>SUM(I167:I169)*1.1</f>
        <v>0</v>
      </c>
      <c r="F170" s="50" t="s">
        <v>44</v>
      </c>
      <c r="G170" s="51">
        <f>(C$218+$C$222)/1000</f>
        <v>39.781500000000001</v>
      </c>
      <c r="H170" s="52" t="s">
        <v>45</v>
      </c>
      <c r="I170" s="53">
        <f>ROUND(E170*G170,2)</f>
        <v>0</v>
      </c>
    </row>
    <row r="171" spans="2:16" ht="18" customHeight="1">
      <c r="B171" s="48" t="s">
        <v>46</v>
      </c>
      <c r="C171" s="50">
        <v>105.66</v>
      </c>
      <c r="D171" s="50" t="s">
        <v>47</v>
      </c>
      <c r="E171" s="49">
        <f>ROUND(C170*(C171/1000),2)</f>
        <v>0</v>
      </c>
      <c r="F171" s="50" t="s">
        <v>48</v>
      </c>
      <c r="G171" s="50">
        <f>G$23</f>
        <v>10</v>
      </c>
      <c r="H171" s="52" t="s">
        <v>49</v>
      </c>
      <c r="I171" s="53">
        <f>E171*G171</f>
        <v>0</v>
      </c>
    </row>
    <row r="172" spans="2:16" ht="18" customHeight="1">
      <c r="B172" s="48" t="s">
        <v>50</v>
      </c>
      <c r="C172" s="50">
        <v>125.66</v>
      </c>
      <c r="D172" s="50" t="s">
        <v>51</v>
      </c>
      <c r="E172" s="49">
        <f>ROUND(C170*(C172/1000),2)</f>
        <v>0</v>
      </c>
      <c r="F172" s="50" t="s">
        <v>48</v>
      </c>
      <c r="G172" s="50">
        <f>G$24</f>
        <v>10</v>
      </c>
      <c r="H172" s="52" t="s">
        <v>49</v>
      </c>
      <c r="I172" s="53">
        <f>E172*G172</f>
        <v>0</v>
      </c>
    </row>
    <row r="173" spans="2:16" ht="18" customHeight="1">
      <c r="B173" s="23" t="s">
        <v>36</v>
      </c>
      <c r="C173" s="252" t="s">
        <v>14</v>
      </c>
      <c r="D173" s="252" t="s">
        <v>37</v>
      </c>
      <c r="E173" s="252" t="s">
        <v>71</v>
      </c>
      <c r="F173" s="252" t="s">
        <v>38</v>
      </c>
      <c r="G173" s="252" t="s">
        <v>72</v>
      </c>
      <c r="H173" s="252" t="s">
        <v>22</v>
      </c>
      <c r="I173" s="25" t="s">
        <v>40</v>
      </c>
    </row>
    <row r="174" spans="2:16" ht="18" customHeight="1">
      <c r="B174" s="648" t="s">
        <v>102</v>
      </c>
      <c r="C174" s="649" t="s">
        <v>103</v>
      </c>
      <c r="D174" s="250"/>
      <c r="E174" s="250"/>
      <c r="F174" s="250"/>
      <c r="G174" s="250"/>
      <c r="H174" s="28">
        <v>1.0980000000000001</v>
      </c>
      <c r="I174" s="59">
        <f>ROUND((D174*E174+F174*G174)/1000*H174,3)</f>
        <v>0</v>
      </c>
    </row>
    <row r="175" spans="2:16" ht="18" customHeight="1">
      <c r="B175" s="648"/>
      <c r="C175" s="650"/>
      <c r="D175" s="250"/>
      <c r="E175" s="250"/>
      <c r="F175" s="250"/>
      <c r="G175" s="250"/>
      <c r="H175" s="28">
        <f>H174</f>
        <v>1.0980000000000001</v>
      </c>
      <c r="I175" s="59">
        <f>ROUND((D175*E175+F175*G175)/1000*H175,3)</f>
        <v>0</v>
      </c>
    </row>
    <row r="176" spans="2:16" ht="18" customHeight="1">
      <c r="B176" s="648"/>
      <c r="C176" s="651"/>
      <c r="D176" s="250"/>
      <c r="E176" s="250"/>
      <c r="F176" s="250"/>
      <c r="G176" s="250"/>
      <c r="H176" s="28">
        <f>H175</f>
        <v>1.0980000000000001</v>
      </c>
      <c r="I176" s="59">
        <f>ROUND((D176*E176+F176*G176)/1000*H176,3)</f>
        <v>0</v>
      </c>
    </row>
    <row r="177" spans="2:9" ht="18" customHeight="1">
      <c r="B177" s="48" t="s">
        <v>42</v>
      </c>
      <c r="C177" s="49">
        <f>SUMPRODUCT(D174:D176*E174:E176+F174:F176*G174:G176)/1000</f>
        <v>0</v>
      </c>
      <c r="D177" s="50" t="s">
        <v>43</v>
      </c>
      <c r="E177" s="49">
        <f>SUM(I174:I176)*1.1</f>
        <v>0</v>
      </c>
      <c r="F177" s="50" t="s">
        <v>44</v>
      </c>
      <c r="G177" s="51">
        <f>(C$218+C$219)/1000</f>
        <v>46.081499999999998</v>
      </c>
      <c r="H177" s="52" t="s">
        <v>45</v>
      </c>
      <c r="I177" s="53">
        <f>ROUND(E177*G177,2)</f>
        <v>0</v>
      </c>
    </row>
    <row r="178" spans="2:9" ht="18" customHeight="1">
      <c r="B178" s="48" t="s">
        <v>46</v>
      </c>
      <c r="C178" s="50">
        <v>105.66</v>
      </c>
      <c r="D178" s="50" t="s">
        <v>47</v>
      </c>
      <c r="E178" s="49">
        <f>ROUND(C177*(C178/1000),2)</f>
        <v>0</v>
      </c>
      <c r="F178" s="50" t="s">
        <v>48</v>
      </c>
      <c r="G178" s="50">
        <f>G$23</f>
        <v>10</v>
      </c>
      <c r="H178" s="52" t="s">
        <v>49</v>
      </c>
      <c r="I178" s="53">
        <f>E178*G178</f>
        <v>0</v>
      </c>
    </row>
    <row r="179" spans="2:9" ht="18" customHeight="1">
      <c r="B179" s="48" t="s">
        <v>50</v>
      </c>
      <c r="C179" s="50">
        <v>125.66</v>
      </c>
      <c r="D179" s="50" t="s">
        <v>51</v>
      </c>
      <c r="E179" s="49">
        <f>ROUND(C177*(C179/1000),2)</f>
        <v>0</v>
      </c>
      <c r="F179" s="50" t="s">
        <v>48</v>
      </c>
      <c r="G179" s="50">
        <f>G$24</f>
        <v>10</v>
      </c>
      <c r="H179" s="52" t="s">
        <v>49</v>
      </c>
      <c r="I179" s="53">
        <f>E179*G179</f>
        <v>0</v>
      </c>
    </row>
    <row r="180" spans="2:9" ht="18" customHeight="1">
      <c r="B180" s="23" t="s">
        <v>36</v>
      </c>
      <c r="C180" s="252" t="s">
        <v>14</v>
      </c>
      <c r="D180" s="252" t="s">
        <v>37</v>
      </c>
      <c r="E180" s="252" t="s">
        <v>71</v>
      </c>
      <c r="F180" s="252" t="s">
        <v>38</v>
      </c>
      <c r="G180" s="252" t="s">
        <v>72</v>
      </c>
      <c r="H180" s="252" t="s">
        <v>22</v>
      </c>
      <c r="I180" s="25" t="s">
        <v>40</v>
      </c>
    </row>
    <row r="181" spans="2:9" ht="18" customHeight="1">
      <c r="B181" s="648" t="s">
        <v>104</v>
      </c>
      <c r="C181" s="649" t="s">
        <v>105</v>
      </c>
      <c r="D181" s="250">
        <f>D6</f>
        <v>2220</v>
      </c>
      <c r="E181" s="250">
        <v>1</v>
      </c>
      <c r="F181" s="250"/>
      <c r="G181" s="250"/>
      <c r="H181" s="28">
        <v>1.5629999999999999</v>
      </c>
      <c r="I181" s="59">
        <f>ROUND((D181*E181+F181*G181)/1000*H181,3)</f>
        <v>3.47</v>
      </c>
    </row>
    <row r="182" spans="2:9" ht="18" customHeight="1">
      <c r="B182" s="648"/>
      <c r="C182" s="650"/>
      <c r="D182" s="250"/>
      <c r="E182" s="250"/>
      <c r="F182" s="250"/>
      <c r="G182" s="250"/>
      <c r="H182" s="28">
        <f>H181</f>
        <v>1.5629999999999999</v>
      </c>
      <c r="I182" s="59">
        <f>ROUND((D182*E182+F182*G182)/1000*H182,3)</f>
        <v>0</v>
      </c>
    </row>
    <row r="183" spans="2:9" ht="18" customHeight="1">
      <c r="B183" s="648"/>
      <c r="C183" s="651"/>
      <c r="D183" s="250"/>
      <c r="E183" s="250"/>
      <c r="F183" s="250"/>
      <c r="G183" s="250"/>
      <c r="H183" s="28">
        <f>H182</f>
        <v>1.5629999999999999</v>
      </c>
      <c r="I183" s="59">
        <f>ROUND((D183*E183+F183*G183)/1000*H183,3)</f>
        <v>0</v>
      </c>
    </row>
    <row r="184" spans="2:9" ht="18" customHeight="1">
      <c r="B184" s="48" t="s">
        <v>42</v>
      </c>
      <c r="C184" s="49">
        <f>SUMPRODUCT(D181:D183*E181:E183+F181:F183*G181:G183)/1000</f>
        <v>2.2200000000000002</v>
      </c>
      <c r="D184" s="50" t="s">
        <v>43</v>
      </c>
      <c r="E184" s="49">
        <f>SUM(I181:I183)*1.1</f>
        <v>3.8170000000000006</v>
      </c>
      <c r="F184" s="50" t="s">
        <v>44</v>
      </c>
      <c r="G184" s="51">
        <f>(C$218+C$219)/1000</f>
        <v>46.081499999999998</v>
      </c>
      <c r="H184" s="52" t="s">
        <v>45</v>
      </c>
      <c r="I184" s="53">
        <f>ROUND(E184*G184,2)</f>
        <v>175.89</v>
      </c>
    </row>
    <row r="185" spans="2:9" ht="18" customHeight="1">
      <c r="B185" s="48" t="s">
        <v>46</v>
      </c>
      <c r="C185" s="50">
        <v>105.66</v>
      </c>
      <c r="D185" s="50" t="s">
        <v>47</v>
      </c>
      <c r="E185" s="49">
        <f>ROUND(C184*(C185/1000),2)</f>
        <v>0.23</v>
      </c>
      <c r="F185" s="50" t="s">
        <v>48</v>
      </c>
      <c r="G185" s="50">
        <f>G$23</f>
        <v>10</v>
      </c>
      <c r="H185" s="52" t="s">
        <v>49</v>
      </c>
      <c r="I185" s="53">
        <f>E185*G185</f>
        <v>2.3000000000000003</v>
      </c>
    </row>
    <row r="186" spans="2:9" ht="18" customHeight="1">
      <c r="B186" s="48" t="s">
        <v>50</v>
      </c>
      <c r="C186" s="50">
        <v>125.66</v>
      </c>
      <c r="D186" s="50" t="s">
        <v>51</v>
      </c>
      <c r="E186" s="49">
        <f>ROUND(C184*(C186/1000),2)</f>
        <v>0.28000000000000003</v>
      </c>
      <c r="F186" s="50" t="s">
        <v>48</v>
      </c>
      <c r="G186" s="50">
        <f>G$24</f>
        <v>10</v>
      </c>
      <c r="H186" s="52" t="s">
        <v>49</v>
      </c>
      <c r="I186" s="53">
        <f>E186*G186</f>
        <v>2.8000000000000003</v>
      </c>
    </row>
    <row r="187" spans="2:9" ht="18" customHeight="1">
      <c r="B187" s="23" t="s">
        <v>36</v>
      </c>
      <c r="C187" s="252" t="s">
        <v>14</v>
      </c>
      <c r="D187" s="252" t="s">
        <v>37</v>
      </c>
      <c r="E187" s="252" t="s">
        <v>71</v>
      </c>
      <c r="F187" s="252" t="s">
        <v>38</v>
      </c>
      <c r="G187" s="252" t="s">
        <v>72</v>
      </c>
      <c r="H187" s="252" t="s">
        <v>22</v>
      </c>
      <c r="I187" s="25" t="s">
        <v>40</v>
      </c>
    </row>
    <row r="188" spans="2:9" ht="18" customHeight="1">
      <c r="B188" s="648" t="s">
        <v>106</v>
      </c>
      <c r="C188" s="649" t="s">
        <v>107</v>
      </c>
      <c r="D188" s="250"/>
      <c r="E188" s="250"/>
      <c r="F188" s="250"/>
      <c r="G188" s="250"/>
      <c r="H188" s="28">
        <v>1.732</v>
      </c>
      <c r="I188" s="59">
        <f>ROUND((D188*E188+F188*G188)/1000*H188,3)</f>
        <v>0</v>
      </c>
    </row>
    <row r="189" spans="2:9" ht="18" customHeight="1">
      <c r="B189" s="648"/>
      <c r="C189" s="650"/>
      <c r="D189" s="250"/>
      <c r="E189" s="250"/>
      <c r="F189" s="250"/>
      <c r="G189" s="250"/>
      <c r="H189" s="28">
        <f>H188</f>
        <v>1.732</v>
      </c>
      <c r="I189" s="59">
        <f>ROUND((D189*E189+F189*G189)/1000*H189,3)</f>
        <v>0</v>
      </c>
    </row>
    <row r="190" spans="2:9" ht="18" customHeight="1">
      <c r="B190" s="648"/>
      <c r="C190" s="651"/>
      <c r="D190" s="250"/>
      <c r="E190" s="250"/>
      <c r="F190" s="250">
        <f>E6</f>
        <v>2920</v>
      </c>
      <c r="G190" s="250"/>
      <c r="H190" s="28">
        <f>H189</f>
        <v>1.732</v>
      </c>
      <c r="I190" s="59">
        <f>ROUND((D190*E190+F190*G190)/1000*H190,3)</f>
        <v>0</v>
      </c>
    </row>
    <row r="191" spans="2:9" ht="18" customHeight="1">
      <c r="B191" s="48" t="s">
        <v>42</v>
      </c>
      <c r="C191" s="49">
        <f>SUMPRODUCT(D188:D190*E188:E190+F188:F190*G188:G190)/1000</f>
        <v>0</v>
      </c>
      <c r="D191" s="50" t="s">
        <v>43</v>
      </c>
      <c r="E191" s="49">
        <f>SUM(I188:I190)*1.1</f>
        <v>0</v>
      </c>
      <c r="F191" s="50" t="s">
        <v>44</v>
      </c>
      <c r="G191" s="51">
        <f>(C$218+C$219)/1000</f>
        <v>46.081499999999998</v>
      </c>
      <c r="H191" s="52" t="s">
        <v>45</v>
      </c>
      <c r="I191" s="53">
        <f>ROUND(E191*G191,2)</f>
        <v>0</v>
      </c>
    </row>
    <row r="192" spans="2:9" ht="18" customHeight="1">
      <c r="B192" s="48" t="s">
        <v>46</v>
      </c>
      <c r="C192" s="50">
        <v>105.66</v>
      </c>
      <c r="D192" s="50" t="s">
        <v>47</v>
      </c>
      <c r="E192" s="49">
        <f>ROUND(C191*(C192/1000),2)</f>
        <v>0</v>
      </c>
      <c r="F192" s="50" t="s">
        <v>48</v>
      </c>
      <c r="G192" s="50">
        <f>G$23</f>
        <v>10</v>
      </c>
      <c r="H192" s="52" t="s">
        <v>49</v>
      </c>
      <c r="I192" s="53">
        <f>E192*G192</f>
        <v>0</v>
      </c>
    </row>
    <row r="193" spans="2:15" ht="18" customHeight="1">
      <c r="B193" s="48" t="s">
        <v>50</v>
      </c>
      <c r="C193" s="50">
        <v>125.66</v>
      </c>
      <c r="D193" s="50" t="s">
        <v>51</v>
      </c>
      <c r="E193" s="49">
        <f>ROUND(C191*(C193/1000),2)</f>
        <v>0</v>
      </c>
      <c r="F193" s="50" t="s">
        <v>48</v>
      </c>
      <c r="G193" s="50">
        <f>G$24</f>
        <v>10</v>
      </c>
      <c r="H193" s="52" t="s">
        <v>49</v>
      </c>
      <c r="I193" s="53">
        <f>E193*G193</f>
        <v>0</v>
      </c>
    </row>
    <row r="194" spans="2:15" ht="18" customHeight="1">
      <c r="B194" s="23" t="s">
        <v>36</v>
      </c>
      <c r="C194" s="252" t="s">
        <v>14</v>
      </c>
      <c r="D194" s="652" t="s">
        <v>38</v>
      </c>
      <c r="E194" s="652"/>
      <c r="F194" s="652"/>
      <c r="G194" s="252" t="s">
        <v>72</v>
      </c>
      <c r="H194" s="252" t="s">
        <v>22</v>
      </c>
      <c r="I194" s="25" t="s">
        <v>40</v>
      </c>
    </row>
    <row r="195" spans="2:15" ht="18" customHeight="1">
      <c r="B195" s="643" t="s">
        <v>108</v>
      </c>
      <c r="C195" s="645" t="s">
        <v>109</v>
      </c>
      <c r="D195" s="646"/>
      <c r="E195" s="646"/>
      <c r="F195" s="646"/>
      <c r="G195" s="250"/>
      <c r="H195" s="250">
        <v>1.796</v>
      </c>
      <c r="I195" s="59">
        <f>ROUND((D195*G195*H195)/1000,3)</f>
        <v>0</v>
      </c>
    </row>
    <row r="196" spans="2:15" ht="18" customHeight="1">
      <c r="B196" s="644"/>
      <c r="C196" s="640"/>
      <c r="D196" s="646"/>
      <c r="E196" s="646"/>
      <c r="F196" s="646"/>
      <c r="G196" s="250"/>
      <c r="H196" s="250">
        <f>H195</f>
        <v>1.796</v>
      </c>
      <c r="I196" s="59">
        <f>ROUND((D196*G196*H196)/1000,3)</f>
        <v>0</v>
      </c>
    </row>
    <row r="197" spans="2:15" ht="18" customHeight="1">
      <c r="B197" s="643" t="s">
        <v>110</v>
      </c>
      <c r="C197" s="645" t="s">
        <v>111</v>
      </c>
      <c r="D197" s="646"/>
      <c r="E197" s="646"/>
      <c r="F197" s="646"/>
      <c r="G197" s="250"/>
      <c r="H197" s="250">
        <v>1.355</v>
      </c>
      <c r="I197" s="59"/>
    </row>
    <row r="198" spans="2:15" ht="18" customHeight="1">
      <c r="B198" s="644"/>
      <c r="C198" s="640"/>
      <c r="D198" s="646"/>
      <c r="E198" s="646"/>
      <c r="F198" s="646"/>
      <c r="G198" s="250"/>
      <c r="H198" s="250">
        <f>H197</f>
        <v>1.355</v>
      </c>
      <c r="I198" s="59"/>
    </row>
    <row r="199" spans="2:15" ht="18" customHeight="1">
      <c r="B199" s="48" t="s">
        <v>42</v>
      </c>
      <c r="C199" s="49">
        <f>SUMPRODUCT(D195:F198*G195:G198)/1000</f>
        <v>0</v>
      </c>
      <c r="D199" s="50" t="s">
        <v>43</v>
      </c>
      <c r="E199" s="49">
        <f>SUM(I195:I198)*1.1</f>
        <v>0</v>
      </c>
      <c r="F199" s="50" t="s">
        <v>44</v>
      </c>
      <c r="G199" s="51">
        <f>(C$218+C$219)/1000</f>
        <v>46.081499999999998</v>
      </c>
      <c r="H199" s="52" t="s">
        <v>45</v>
      </c>
      <c r="I199" s="53">
        <f>ROUND(E199*G199,2)</f>
        <v>0</v>
      </c>
    </row>
    <row r="200" spans="2:15" ht="18" customHeight="1">
      <c r="B200" s="48" t="s">
        <v>46</v>
      </c>
      <c r="C200" s="50">
        <v>267.77999999999997</v>
      </c>
      <c r="D200" s="50" t="s">
        <v>47</v>
      </c>
      <c r="E200" s="49">
        <f>ROUND(C199*(C200/1000),2)</f>
        <v>0</v>
      </c>
      <c r="F200" s="50" t="s">
        <v>48</v>
      </c>
      <c r="G200" s="50">
        <f>G$23</f>
        <v>10</v>
      </c>
      <c r="H200" s="52" t="s">
        <v>49</v>
      </c>
      <c r="I200" s="53">
        <f>E200*G200</f>
        <v>0</v>
      </c>
    </row>
    <row r="201" spans="2:15" ht="18" customHeight="1">
      <c r="B201" s="48" t="s">
        <v>50</v>
      </c>
      <c r="C201" s="50">
        <v>104.29</v>
      </c>
      <c r="D201" s="50" t="s">
        <v>51</v>
      </c>
      <c r="E201" s="49">
        <f>ROUND(C199*(C201/1000),2)</f>
        <v>0</v>
      </c>
      <c r="F201" s="50" t="s">
        <v>48</v>
      </c>
      <c r="G201" s="50">
        <f>G$24</f>
        <v>10</v>
      </c>
      <c r="H201" s="52" t="s">
        <v>49</v>
      </c>
      <c r="I201" s="53">
        <f>E201*G201</f>
        <v>0</v>
      </c>
    </row>
    <row r="202" spans="2:15" ht="18" customHeight="1">
      <c r="B202" s="103" t="s">
        <v>112</v>
      </c>
      <c r="C202" s="104" t="s">
        <v>113</v>
      </c>
      <c r="D202" s="104" t="s">
        <v>28</v>
      </c>
      <c r="E202" s="104" t="s">
        <v>8</v>
      </c>
      <c r="F202" s="104" t="s">
        <v>112</v>
      </c>
      <c r="G202" s="104" t="s">
        <v>113</v>
      </c>
      <c r="H202" s="104" t="s">
        <v>28</v>
      </c>
      <c r="I202" s="105" t="s">
        <v>8</v>
      </c>
      <c r="N202" s="106"/>
      <c r="O202" s="102"/>
    </row>
    <row r="203" spans="2:15" ht="18" customHeight="1">
      <c r="B203" s="251" t="s">
        <v>327</v>
      </c>
      <c r="C203" s="107" t="s">
        <v>114</v>
      </c>
      <c r="D203" s="108">
        <v>2.15</v>
      </c>
      <c r="E203" s="253">
        <f>SUM(G14:G21)*4</f>
        <v>8</v>
      </c>
      <c r="F203" s="647" t="s">
        <v>115</v>
      </c>
      <c r="G203" s="107" t="s">
        <v>116</v>
      </c>
      <c r="H203" s="108">
        <v>2.46</v>
      </c>
      <c r="I203" s="247">
        <f>SUM(G108:G111)*4</f>
        <v>0</v>
      </c>
      <c r="J203" s="42"/>
      <c r="N203" s="106"/>
      <c r="O203" s="102"/>
    </row>
    <row r="204" spans="2:15" ht="18" customHeight="1">
      <c r="B204" s="251" t="s">
        <v>328</v>
      </c>
      <c r="C204" s="107" t="s">
        <v>117</v>
      </c>
      <c r="D204" s="108">
        <v>1.72</v>
      </c>
      <c r="E204" s="253">
        <f>E203</f>
        <v>8</v>
      </c>
      <c r="F204" s="646"/>
      <c r="G204" s="107" t="s">
        <v>118</v>
      </c>
      <c r="H204" s="108">
        <v>3.11</v>
      </c>
      <c r="I204" s="247">
        <f>I203</f>
        <v>0</v>
      </c>
      <c r="J204" s="42"/>
      <c r="N204" s="106"/>
      <c r="O204" s="102"/>
    </row>
    <row r="205" spans="2:15" ht="18" customHeight="1">
      <c r="B205" s="109" t="s">
        <v>330</v>
      </c>
      <c r="C205" s="107" t="s">
        <v>119</v>
      </c>
      <c r="D205" s="108">
        <v>2.68</v>
      </c>
      <c r="E205" s="253">
        <f>SUM(G26:G30)*4</f>
        <v>0</v>
      </c>
      <c r="F205" s="110" t="s">
        <v>120</v>
      </c>
      <c r="G205" s="107" t="s">
        <v>121</v>
      </c>
      <c r="H205" s="111">
        <v>4.76</v>
      </c>
      <c r="I205" s="247">
        <f>SUM(G123:G125)*4</f>
        <v>0</v>
      </c>
      <c r="J205" s="42"/>
      <c r="N205" s="106"/>
      <c r="O205" s="102"/>
    </row>
    <row r="206" spans="2:15" ht="18" customHeight="1">
      <c r="B206" s="109" t="s">
        <v>329</v>
      </c>
      <c r="C206" s="107" t="s">
        <v>122</v>
      </c>
      <c r="D206" s="108">
        <v>1.27</v>
      </c>
      <c r="E206" s="253">
        <f>E205</f>
        <v>0</v>
      </c>
      <c r="F206" s="110" t="s">
        <v>123</v>
      </c>
      <c r="G206" s="107" t="s">
        <v>124</v>
      </c>
      <c r="H206" s="111">
        <v>3.85</v>
      </c>
      <c r="I206" s="247">
        <f>I205</f>
        <v>0</v>
      </c>
      <c r="J206" s="42"/>
      <c r="N206" s="106"/>
      <c r="O206" s="102"/>
    </row>
    <row r="207" spans="2:15" ht="18" customHeight="1">
      <c r="B207" s="109" t="s">
        <v>331</v>
      </c>
      <c r="C207" s="107" t="s">
        <v>125</v>
      </c>
      <c r="D207" s="111" t="s">
        <v>126</v>
      </c>
      <c r="E207" s="253">
        <f>SUM(G35:G37)*4</f>
        <v>16</v>
      </c>
      <c r="F207" s="110" t="s">
        <v>127</v>
      </c>
      <c r="G207" s="107" t="s">
        <v>128</v>
      </c>
      <c r="H207" s="111">
        <v>4.29</v>
      </c>
      <c r="I207" s="247">
        <f>SUM(G116:G118)*4</f>
        <v>0</v>
      </c>
      <c r="J207" s="42"/>
      <c r="N207" s="106"/>
      <c r="O207" s="102"/>
    </row>
    <row r="208" spans="2:15" ht="18" customHeight="1">
      <c r="B208" s="109" t="s">
        <v>332</v>
      </c>
      <c r="C208" s="107" t="s">
        <v>129</v>
      </c>
      <c r="D208" s="111" t="s">
        <v>130</v>
      </c>
      <c r="E208" s="253">
        <f>E207</f>
        <v>16</v>
      </c>
      <c r="F208" s="110" t="s">
        <v>131</v>
      </c>
      <c r="G208" s="107" t="s">
        <v>132</v>
      </c>
      <c r="H208" s="111">
        <v>4.5</v>
      </c>
      <c r="I208" s="247">
        <f>I207</f>
        <v>0</v>
      </c>
      <c r="J208" s="42"/>
      <c r="N208" s="106"/>
      <c r="O208" s="102"/>
    </row>
    <row r="209" spans="2:15" ht="18" customHeight="1">
      <c r="B209" s="249" t="s">
        <v>333</v>
      </c>
      <c r="C209" s="250">
        <v>12.6</v>
      </c>
      <c r="D209" s="111">
        <v>1.32</v>
      </c>
      <c r="E209" s="253">
        <f>SUM(G42:G47)*4</f>
        <v>16</v>
      </c>
      <c r="F209" s="639"/>
      <c r="G209" s="107"/>
      <c r="H209" s="28"/>
      <c r="I209" s="247"/>
      <c r="N209" s="106"/>
      <c r="O209" s="102"/>
    </row>
    <row r="210" spans="2:15" ht="18" customHeight="1">
      <c r="B210" s="249" t="s">
        <v>334</v>
      </c>
      <c r="C210" s="250">
        <v>15.8</v>
      </c>
      <c r="D210" s="111">
        <v>1.18</v>
      </c>
      <c r="E210" s="253">
        <f>E209</f>
        <v>16</v>
      </c>
      <c r="F210" s="640"/>
      <c r="G210" s="107"/>
      <c r="H210" s="28"/>
      <c r="I210" s="231"/>
      <c r="N210" s="106"/>
      <c r="O210" s="102"/>
    </row>
    <row r="211" spans="2:15" ht="18" customHeight="1">
      <c r="B211" s="251" t="s">
        <v>335</v>
      </c>
      <c r="C211" s="107" t="s">
        <v>337</v>
      </c>
      <c r="D211" s="111">
        <v>2.81</v>
      </c>
      <c r="E211" s="250">
        <f>SUM(E52+E53+E54+E55+G52+G53+G54+G55+G60+G61+G62+G63)*2</f>
        <v>14</v>
      </c>
      <c r="F211" s="641" t="s">
        <v>133</v>
      </c>
      <c r="G211" s="111">
        <f>SUMPRODUCT(D35:D37,G35:G37)/1000</f>
        <v>1.82</v>
      </c>
      <c r="H211" s="28">
        <v>0.16</v>
      </c>
      <c r="I211" s="232">
        <f>G211*H211</f>
        <v>0.29120000000000001</v>
      </c>
      <c r="N211" s="106"/>
      <c r="O211" s="102"/>
    </row>
    <row r="212" spans="2:15" ht="18" customHeight="1">
      <c r="B212" s="251" t="s">
        <v>336</v>
      </c>
      <c r="C212" s="107" t="s">
        <v>338</v>
      </c>
      <c r="D212" s="111">
        <v>3.51</v>
      </c>
      <c r="E212" s="250">
        <f>E211</f>
        <v>14</v>
      </c>
      <c r="F212" s="641"/>
      <c r="G212" s="111">
        <f>SUMPRODUCT(D26:D30,G26:G30)/1000</f>
        <v>0</v>
      </c>
      <c r="H212" s="28">
        <v>0.16</v>
      </c>
      <c r="I212" s="232">
        <f>G212*H212</f>
        <v>0</v>
      </c>
      <c r="N212" s="106"/>
      <c r="O212" s="102"/>
    </row>
    <row r="213" spans="2:15" ht="18" customHeight="1">
      <c r="B213" s="251" t="s">
        <v>134</v>
      </c>
      <c r="C213" s="250">
        <v>30.6</v>
      </c>
      <c r="D213" s="111">
        <v>2.81</v>
      </c>
      <c r="E213" s="253">
        <f>SUM(+E130+E131+E132+G130+G131+G132)*2</f>
        <v>0</v>
      </c>
      <c r="F213" s="641" t="s">
        <v>135</v>
      </c>
      <c r="G213" s="111">
        <f>SUMPRODUCT(E26:E30,G26:G30)/1000</f>
        <v>0</v>
      </c>
      <c r="H213" s="28">
        <v>0.16</v>
      </c>
      <c r="I213" s="232">
        <f>G213*H213</f>
        <v>0</v>
      </c>
      <c r="N213" s="106"/>
      <c r="O213" s="102"/>
    </row>
    <row r="214" spans="2:15" ht="18" customHeight="1">
      <c r="B214" s="251" t="s">
        <v>136</v>
      </c>
      <c r="C214" s="250">
        <v>30.6</v>
      </c>
      <c r="D214" s="111">
        <v>3.51</v>
      </c>
      <c r="E214" s="253">
        <f>E213</f>
        <v>0</v>
      </c>
      <c r="F214" s="641"/>
      <c r="G214" s="111">
        <f>SUMPRODUCT(E35:E37,G35:G37)/1000</f>
        <v>3.2</v>
      </c>
      <c r="H214" s="28">
        <v>0.16</v>
      </c>
      <c r="I214" s="232">
        <f>G214*H214</f>
        <v>0.51200000000000001</v>
      </c>
      <c r="N214" s="106"/>
      <c r="O214" s="102"/>
    </row>
    <row r="215" spans="2:15" ht="18" customHeight="1">
      <c r="B215" s="52" t="s">
        <v>137</v>
      </c>
      <c r="C215" s="112" cm="1">
        <f t="array" ref="C215">SUMPRODUCT(D203:D214*E203:E214)+SUMPRODUCT(H203:H210*I203:I210)</f>
        <v>240.07999999999998</v>
      </c>
      <c r="D215" s="52"/>
      <c r="E215" s="52"/>
      <c r="F215" s="52"/>
      <c r="G215" s="52" t="s">
        <v>138</v>
      </c>
      <c r="H215" s="52" cm="1">
        <f t="array" ref="H215">SUMPRODUCT(G211:G214*H211:H214)</f>
        <v>0.80320000000000003</v>
      </c>
      <c r="I215" s="233">
        <f>H215*1.08</f>
        <v>0.86745600000000012</v>
      </c>
      <c r="N215" s="106"/>
      <c r="O215" s="102"/>
    </row>
    <row r="216" spans="2:15" ht="18" customHeight="1">
      <c r="B216" s="23" t="s">
        <v>139</v>
      </c>
      <c r="C216" s="252" t="s">
        <v>14</v>
      </c>
      <c r="D216" s="252" t="s">
        <v>22</v>
      </c>
      <c r="E216" s="252" t="s">
        <v>8</v>
      </c>
      <c r="F216" s="252" t="s">
        <v>113</v>
      </c>
      <c r="G216" s="252" t="s">
        <v>40</v>
      </c>
      <c r="H216" s="252" t="s">
        <v>28</v>
      </c>
      <c r="I216" s="25" t="s">
        <v>29</v>
      </c>
      <c r="N216" s="106"/>
      <c r="O216" s="102"/>
    </row>
    <row r="217" spans="2:15" ht="18" customHeight="1">
      <c r="B217" s="48" t="s">
        <v>140</v>
      </c>
      <c r="C217" s="52" t="s">
        <v>141</v>
      </c>
      <c r="D217" s="50">
        <v>0.14199999999999999</v>
      </c>
      <c r="E217" s="50">
        <v>1</v>
      </c>
      <c r="F217" s="50">
        <f>D6</f>
        <v>2220</v>
      </c>
      <c r="G217" s="128">
        <f>D217*F217*E217/1000*1.1</f>
        <v>0.34676400000000002</v>
      </c>
      <c r="H217" s="52">
        <f>(C218+C222)/1000</f>
        <v>39.781500000000001</v>
      </c>
      <c r="I217" s="193">
        <f>G217*H217</f>
        <v>13.794792066000001</v>
      </c>
      <c r="N217" s="106"/>
      <c r="O217" s="102"/>
    </row>
    <row r="218" spans="2:15" ht="18" customHeight="1">
      <c r="B218" s="37" t="s">
        <v>142</v>
      </c>
      <c r="C218" s="113">
        <f>材料价格!B4</f>
        <v>22081.5</v>
      </c>
      <c r="D218" s="39" t="s">
        <v>143</v>
      </c>
      <c r="E218" s="114">
        <f>E139+E133+E126+E119+E112+E199+E177+E64+E56+E48+E38+E31+E22+E184+E191</f>
        <v>88.987800000000021</v>
      </c>
      <c r="F218" s="39" t="s">
        <v>144</v>
      </c>
      <c r="G218" s="115">
        <f>I218/E218-C218/1000</f>
        <v>23.99998532720214</v>
      </c>
      <c r="H218" s="39" t="s">
        <v>145</v>
      </c>
      <c r="I218" s="116">
        <f>I22+I31+I38+I48+I56+I64+I199+I112+I119+I126+I133+I139+I177+I184+I191</f>
        <v>4100.6899999999996</v>
      </c>
      <c r="N218" s="106"/>
      <c r="O218" s="102"/>
    </row>
    <row r="219" spans="2:15" ht="18" customHeight="1">
      <c r="B219" s="117" t="s">
        <v>146</v>
      </c>
      <c r="C219" s="118">
        <f>材料价格!B5</f>
        <v>24000</v>
      </c>
      <c r="D219" s="39" t="s">
        <v>147</v>
      </c>
      <c r="E219" s="114">
        <f>E163+E153+E146+E104+E97+E88+G217+E170</f>
        <v>8.5923640000000017</v>
      </c>
      <c r="F219" s="39" t="s">
        <v>148</v>
      </c>
      <c r="G219" s="119">
        <f>I219/E219-C218/1000</f>
        <v>17.699728084145406</v>
      </c>
      <c r="H219" s="39" t="s">
        <v>149</v>
      </c>
      <c r="I219" s="116">
        <f>I88+I97+I104+I146+I153+I163+I217+I170</f>
        <v>341.814792066</v>
      </c>
      <c r="N219" s="106"/>
      <c r="O219" s="102"/>
    </row>
    <row r="220" spans="2:15" ht="18" customHeight="1">
      <c r="B220" s="117" t="s">
        <v>150</v>
      </c>
      <c r="C220" s="118">
        <f>C219</f>
        <v>24000</v>
      </c>
      <c r="D220" s="39" t="s">
        <v>151</v>
      </c>
      <c r="E220" s="120">
        <f>I215</f>
        <v>0.86745600000000012</v>
      </c>
      <c r="F220" s="39" t="s">
        <v>152</v>
      </c>
      <c r="G220" s="119">
        <f>I220/E220-C218/1000</f>
        <v>2.8995941419507147</v>
      </c>
      <c r="H220" s="39" t="s">
        <v>153</v>
      </c>
      <c r="I220" s="116">
        <f>ROUND(E220*(C218+C223)/1000,2)</f>
        <v>21.67</v>
      </c>
      <c r="N220" s="106"/>
      <c r="O220" s="102"/>
    </row>
    <row r="221" spans="2:15" ht="18" customHeight="1">
      <c r="B221" s="117" t="s">
        <v>154</v>
      </c>
      <c r="C221" s="121">
        <f>C220</f>
        <v>24000</v>
      </c>
      <c r="D221" s="39" t="s">
        <v>155</v>
      </c>
      <c r="E221" s="39"/>
      <c r="F221" s="39" t="s">
        <v>156</v>
      </c>
      <c r="G221" s="39"/>
      <c r="H221" s="39" t="s">
        <v>49</v>
      </c>
      <c r="I221" s="116">
        <f>E221*G221</f>
        <v>0</v>
      </c>
      <c r="J221" s="42"/>
      <c r="K221" s="255"/>
    </row>
    <row r="222" spans="2:15" ht="18" customHeight="1">
      <c r="B222" s="117" t="s">
        <v>148</v>
      </c>
      <c r="C222" s="122">
        <f>材料价格!B6</f>
        <v>17700</v>
      </c>
      <c r="D222" s="39" t="s">
        <v>157</v>
      </c>
      <c r="E222" s="39"/>
      <c r="F222" s="39" t="s">
        <v>156</v>
      </c>
      <c r="G222" s="39"/>
      <c r="H222" s="39" t="s">
        <v>49</v>
      </c>
      <c r="I222" s="116">
        <f>E222*G222</f>
        <v>0</v>
      </c>
      <c r="J222" s="123"/>
      <c r="K222" s="123"/>
      <c r="L222" s="123"/>
    </row>
    <row r="223" spans="2:15" ht="18" customHeight="1">
      <c r="B223" s="117" t="s">
        <v>152</v>
      </c>
      <c r="C223" s="122">
        <f>材料价格!B9</f>
        <v>2900</v>
      </c>
      <c r="D223" s="39" t="s">
        <v>158</v>
      </c>
      <c r="E223" s="114">
        <f>SUM(E218:E220)</f>
        <v>98.447620000000029</v>
      </c>
      <c r="F223" s="39"/>
      <c r="G223" s="39" t="s">
        <v>339</v>
      </c>
      <c r="H223" s="39"/>
      <c r="I223" s="234">
        <f>SUM(I218:I222)+C215</f>
        <v>4704.2547920659999</v>
      </c>
      <c r="J223" s="123"/>
      <c r="K223" s="123"/>
      <c r="L223" s="123"/>
    </row>
    <row r="224" spans="2:15" ht="18" customHeight="1">
      <c r="B224" s="23" t="s">
        <v>159</v>
      </c>
      <c r="C224" s="252" t="s">
        <v>113</v>
      </c>
      <c r="D224" s="252" t="s">
        <v>16</v>
      </c>
      <c r="E224" s="252" t="s">
        <v>7</v>
      </c>
      <c r="F224" s="252" t="s">
        <v>8</v>
      </c>
      <c r="G224" s="252" t="s">
        <v>28</v>
      </c>
      <c r="H224" s="252" t="s">
        <v>160</v>
      </c>
      <c r="I224" s="25" t="s">
        <v>1</v>
      </c>
      <c r="J224" s="255"/>
      <c r="K224" s="255"/>
      <c r="L224" s="255"/>
      <c r="M224" s="255"/>
    </row>
    <row r="225" spans="2:13" ht="18" customHeight="1">
      <c r="B225" s="124" t="str">
        <f>材料价格!A10</f>
        <v>6单银Low-E+12A+6</v>
      </c>
      <c r="C225" s="253">
        <f t="shared" ref="C225:D229" si="25">D92</f>
        <v>-90</v>
      </c>
      <c r="D225" s="253">
        <f t="shared" si="25"/>
        <v>-90</v>
      </c>
      <c r="E225" s="32">
        <f>C225*D225/10^6</f>
        <v>8.0999999999999996E-3</v>
      </c>
      <c r="F225" s="250">
        <f>G26</f>
        <v>0</v>
      </c>
      <c r="G225" s="125">
        <f>材料价格!B10</f>
        <v>148</v>
      </c>
      <c r="H225" s="250">
        <f>ROUND(E225*G225*F225,2)</f>
        <v>0</v>
      </c>
      <c r="I225" s="247" t="s">
        <v>161</v>
      </c>
      <c r="J225" s="255"/>
      <c r="K225" s="255"/>
      <c r="L225" s="255"/>
      <c r="M225" s="255"/>
    </row>
    <row r="226" spans="2:13" ht="18" customHeight="1">
      <c r="B226" s="124" t="str">
        <f t="shared" ref="B226:B232" si="26">B225</f>
        <v>6单银Low-E+12A+6</v>
      </c>
      <c r="C226" s="253">
        <f t="shared" si="25"/>
        <v>-90</v>
      </c>
      <c r="D226" s="253">
        <f t="shared" si="25"/>
        <v>-90</v>
      </c>
      <c r="E226" s="32">
        <f t="shared" ref="E226:E284" si="27">C226*D226/10^6</f>
        <v>8.0999999999999996E-3</v>
      </c>
      <c r="F226" s="250">
        <f>G27</f>
        <v>0</v>
      </c>
      <c r="G226" s="126">
        <f t="shared" ref="G226:G232" si="28">G225</f>
        <v>148</v>
      </c>
      <c r="H226" s="250">
        <f t="shared" ref="H226:H241" si="29">ROUND(E226*G226*F226,2)</f>
        <v>0</v>
      </c>
      <c r="I226" s="247" t="s">
        <v>162</v>
      </c>
      <c r="J226" s="255"/>
      <c r="K226" s="255"/>
      <c r="L226" s="255"/>
      <c r="M226" s="255"/>
    </row>
    <row r="227" spans="2:13" ht="18" customHeight="1">
      <c r="B227" s="124" t="str">
        <f t="shared" si="26"/>
        <v>6单银Low-E+12A+6</v>
      </c>
      <c r="C227" s="253">
        <f t="shared" si="25"/>
        <v>-90</v>
      </c>
      <c r="D227" s="253">
        <f t="shared" si="25"/>
        <v>-90</v>
      </c>
      <c r="E227" s="32">
        <f t="shared" si="27"/>
        <v>8.0999999999999996E-3</v>
      </c>
      <c r="F227" s="250">
        <f>G28</f>
        <v>0</v>
      </c>
      <c r="G227" s="126">
        <f t="shared" si="28"/>
        <v>148</v>
      </c>
      <c r="H227" s="250">
        <f t="shared" si="29"/>
        <v>0</v>
      </c>
      <c r="I227" s="247" t="s">
        <v>162</v>
      </c>
      <c r="J227" s="255"/>
      <c r="K227" s="255"/>
      <c r="L227" s="255"/>
      <c r="M227" s="255"/>
    </row>
    <row r="228" spans="2:13" ht="18" customHeight="1">
      <c r="B228" s="124" t="str">
        <f t="shared" si="26"/>
        <v>6单银Low-E+12A+6</v>
      </c>
      <c r="C228" s="253">
        <f t="shared" si="25"/>
        <v>-90</v>
      </c>
      <c r="D228" s="253">
        <f t="shared" si="25"/>
        <v>-90</v>
      </c>
      <c r="E228" s="32">
        <f t="shared" si="27"/>
        <v>8.0999999999999996E-3</v>
      </c>
      <c r="F228" s="250">
        <f>G29</f>
        <v>0</v>
      </c>
      <c r="G228" s="126">
        <f t="shared" si="28"/>
        <v>148</v>
      </c>
      <c r="H228" s="250">
        <f t="shared" si="29"/>
        <v>0</v>
      </c>
      <c r="I228" s="247" t="s">
        <v>162</v>
      </c>
      <c r="J228" s="255"/>
      <c r="K228" s="255"/>
      <c r="L228" s="255"/>
      <c r="M228" s="255"/>
    </row>
    <row r="229" spans="2:13" ht="18" customHeight="1">
      <c r="B229" s="124" t="str">
        <f t="shared" si="26"/>
        <v>6单银Low-E+12A+6</v>
      </c>
      <c r="C229" s="253">
        <f t="shared" si="25"/>
        <v>-90</v>
      </c>
      <c r="D229" s="253">
        <f t="shared" si="25"/>
        <v>-90</v>
      </c>
      <c r="E229" s="32">
        <f t="shared" si="27"/>
        <v>8.0999999999999996E-3</v>
      </c>
      <c r="F229" s="250">
        <f>G30</f>
        <v>0</v>
      </c>
      <c r="G229" s="126">
        <f t="shared" si="28"/>
        <v>148</v>
      </c>
      <c r="H229" s="250">
        <f t="shared" si="29"/>
        <v>0</v>
      </c>
      <c r="I229" s="247" t="s">
        <v>162</v>
      </c>
      <c r="J229" s="123"/>
      <c r="K229" s="123"/>
      <c r="L229" s="123"/>
    </row>
    <row r="230" spans="2:13" ht="18" customHeight="1">
      <c r="B230" s="124" t="str">
        <f t="shared" si="26"/>
        <v>6单银Low-E+12A+6</v>
      </c>
      <c r="C230" s="253">
        <f t="shared" ref="C230:D232" si="30">D101</f>
        <v>333</v>
      </c>
      <c r="D230" s="253">
        <f t="shared" si="30"/>
        <v>678</v>
      </c>
      <c r="E230" s="32">
        <f t="shared" si="27"/>
        <v>0.225774</v>
      </c>
      <c r="F230" s="250">
        <f>G101</f>
        <v>4</v>
      </c>
      <c r="G230" s="126">
        <f t="shared" si="28"/>
        <v>148</v>
      </c>
      <c r="H230" s="250">
        <f t="shared" si="29"/>
        <v>133.66</v>
      </c>
      <c r="I230" s="127" t="s">
        <v>163</v>
      </c>
      <c r="J230" s="123"/>
      <c r="K230" s="123"/>
      <c r="L230" s="123"/>
    </row>
    <row r="231" spans="2:13" ht="18" customHeight="1">
      <c r="B231" s="124" t="str">
        <f t="shared" si="26"/>
        <v>6单银Low-E+12A+6</v>
      </c>
      <c r="C231" s="253">
        <f t="shared" si="30"/>
        <v>-122</v>
      </c>
      <c r="D231" s="253">
        <f t="shared" si="30"/>
        <v>-122</v>
      </c>
      <c r="E231" s="32">
        <f t="shared" si="27"/>
        <v>1.4884E-2</v>
      </c>
      <c r="F231" s="250">
        <f>G102</f>
        <v>0</v>
      </c>
      <c r="G231" s="126">
        <f t="shared" si="28"/>
        <v>148</v>
      </c>
      <c r="H231" s="250">
        <f t="shared" si="29"/>
        <v>0</v>
      </c>
      <c r="I231" s="127" t="s">
        <v>163</v>
      </c>
    </row>
    <row r="232" spans="2:13" ht="18" customHeight="1">
      <c r="B232" s="124" t="str">
        <f t="shared" si="26"/>
        <v>6单银Low-E+12A+6</v>
      </c>
      <c r="C232" s="253">
        <f t="shared" si="30"/>
        <v>-122</v>
      </c>
      <c r="D232" s="253">
        <f t="shared" si="30"/>
        <v>-122</v>
      </c>
      <c r="E232" s="32">
        <f t="shared" si="27"/>
        <v>1.4884E-2</v>
      </c>
      <c r="F232" s="250">
        <f>G103</f>
        <v>0</v>
      </c>
      <c r="G232" s="126">
        <f t="shared" si="28"/>
        <v>148</v>
      </c>
      <c r="H232" s="250">
        <f t="shared" si="29"/>
        <v>0</v>
      </c>
      <c r="I232" s="127" t="s">
        <v>163</v>
      </c>
    </row>
    <row r="233" spans="2:13" ht="18" customHeight="1">
      <c r="B233" s="48" t="s">
        <v>164</v>
      </c>
      <c r="C233" s="52"/>
      <c r="D233" s="50"/>
      <c r="E233" s="128"/>
      <c r="F233" s="50">
        <f>SUM(F225:F232)</f>
        <v>4</v>
      </c>
      <c r="G233" s="50"/>
      <c r="H233" s="52">
        <f>SUM(H225:H232)</f>
        <v>133.66</v>
      </c>
      <c r="I233" s="53">
        <f>ROUND((E225*F225+E226*F226+E227*F227+E228*F228+E229*F229+E230*F230+E231*F231+E232*F232),2)</f>
        <v>0.9</v>
      </c>
    </row>
    <row r="234" spans="2:13" ht="18" customHeight="1">
      <c r="B234" s="124" t="str">
        <f>B232</f>
        <v>6单银Low-E+12A+6</v>
      </c>
      <c r="C234" s="253">
        <f>C225</f>
        <v>-90</v>
      </c>
      <c r="D234" s="253">
        <f>D225</f>
        <v>-90</v>
      </c>
      <c r="E234" s="32">
        <f t="shared" si="27"/>
        <v>8.0999999999999996E-3</v>
      </c>
      <c r="F234" s="250">
        <f>IF(F225=0,G26,0)</f>
        <v>0</v>
      </c>
      <c r="G234" s="126">
        <f>G232</f>
        <v>148</v>
      </c>
      <c r="H234" s="250">
        <f t="shared" si="29"/>
        <v>0</v>
      </c>
      <c r="I234" s="247" t="s">
        <v>165</v>
      </c>
      <c r="J234" s="129"/>
    </row>
    <row r="235" spans="2:13" ht="18" customHeight="1">
      <c r="B235" s="124" t="str">
        <f t="shared" ref="B235:B241" si="31">B234</f>
        <v>6单银Low-E+12A+6</v>
      </c>
      <c r="C235" s="253">
        <f t="shared" ref="C235:D241" si="32">C226</f>
        <v>-90</v>
      </c>
      <c r="D235" s="253">
        <f t="shared" si="32"/>
        <v>-90</v>
      </c>
      <c r="E235" s="32">
        <f t="shared" si="27"/>
        <v>8.0999999999999996E-3</v>
      </c>
      <c r="F235" s="250">
        <f>IF(F226=0,G27,0)</f>
        <v>0</v>
      </c>
      <c r="G235" s="126">
        <f>G234</f>
        <v>148</v>
      </c>
      <c r="H235" s="250">
        <f t="shared" si="29"/>
        <v>0</v>
      </c>
      <c r="I235" s="247" t="s">
        <v>165</v>
      </c>
      <c r="J235" s="129"/>
    </row>
    <row r="236" spans="2:13" ht="18" customHeight="1">
      <c r="B236" s="124" t="str">
        <f t="shared" si="31"/>
        <v>6单银Low-E+12A+6</v>
      </c>
      <c r="C236" s="253">
        <f t="shared" si="32"/>
        <v>-90</v>
      </c>
      <c r="D236" s="253">
        <f t="shared" si="32"/>
        <v>-90</v>
      </c>
      <c r="E236" s="32">
        <f t="shared" si="27"/>
        <v>8.0999999999999996E-3</v>
      </c>
      <c r="F236" s="250">
        <f>IF(F227=0,G28,0)</f>
        <v>0</v>
      </c>
      <c r="G236" s="126">
        <f t="shared" ref="G236:G241" si="33">G234</f>
        <v>148</v>
      </c>
      <c r="H236" s="250">
        <f t="shared" si="29"/>
        <v>0</v>
      </c>
      <c r="I236" s="247" t="s">
        <v>165</v>
      </c>
      <c r="J236" s="129"/>
    </row>
    <row r="237" spans="2:13" ht="18" customHeight="1">
      <c r="B237" s="124" t="str">
        <f t="shared" si="31"/>
        <v>6单银Low-E+12A+6</v>
      </c>
      <c r="C237" s="253">
        <f t="shared" si="32"/>
        <v>-90</v>
      </c>
      <c r="D237" s="253">
        <f t="shared" si="32"/>
        <v>-90</v>
      </c>
      <c r="E237" s="32">
        <f t="shared" si="27"/>
        <v>8.0999999999999996E-3</v>
      </c>
      <c r="F237" s="250">
        <f>IF(F228=0,G29,0)</f>
        <v>0</v>
      </c>
      <c r="G237" s="126">
        <f t="shared" si="33"/>
        <v>148</v>
      </c>
      <c r="H237" s="250">
        <f t="shared" si="29"/>
        <v>0</v>
      </c>
      <c r="I237" s="247" t="s">
        <v>165</v>
      </c>
      <c r="J237" s="129"/>
    </row>
    <row r="238" spans="2:13" ht="18" customHeight="1">
      <c r="B238" s="124" t="str">
        <f t="shared" si="31"/>
        <v>6单银Low-E+12A+6</v>
      </c>
      <c r="C238" s="253">
        <f t="shared" si="32"/>
        <v>-90</v>
      </c>
      <c r="D238" s="253">
        <f t="shared" si="32"/>
        <v>-90</v>
      </c>
      <c r="E238" s="32">
        <f t="shared" si="27"/>
        <v>8.0999999999999996E-3</v>
      </c>
      <c r="F238" s="250">
        <f>IF(F229=0,G30,0)</f>
        <v>0</v>
      </c>
      <c r="G238" s="126">
        <f t="shared" si="33"/>
        <v>148</v>
      </c>
      <c r="H238" s="250">
        <f t="shared" si="29"/>
        <v>0</v>
      </c>
      <c r="I238" s="247" t="s">
        <v>165</v>
      </c>
      <c r="J238" s="129"/>
    </row>
    <row r="239" spans="2:13" ht="18" customHeight="1">
      <c r="B239" s="124" t="str">
        <f t="shared" si="31"/>
        <v>6单银Low-E+12A+6</v>
      </c>
      <c r="C239" s="253">
        <f t="shared" si="32"/>
        <v>333</v>
      </c>
      <c r="D239" s="253">
        <f t="shared" si="32"/>
        <v>678</v>
      </c>
      <c r="E239" s="32">
        <f t="shared" si="27"/>
        <v>0.225774</v>
      </c>
      <c r="F239" s="250">
        <f>IF(F230=0,G35,0)</f>
        <v>0</v>
      </c>
      <c r="G239" s="126">
        <f t="shared" si="33"/>
        <v>148</v>
      </c>
      <c r="H239" s="250">
        <f t="shared" si="29"/>
        <v>0</v>
      </c>
      <c r="I239" s="127" t="s">
        <v>166</v>
      </c>
      <c r="J239" s="129"/>
    </row>
    <row r="240" spans="2:13" ht="18" customHeight="1">
      <c r="B240" s="124" t="str">
        <f t="shared" si="31"/>
        <v>6单银Low-E+12A+6</v>
      </c>
      <c r="C240" s="253">
        <f t="shared" si="32"/>
        <v>-122</v>
      </c>
      <c r="D240" s="253">
        <f t="shared" si="32"/>
        <v>-122</v>
      </c>
      <c r="E240" s="32">
        <f t="shared" si="27"/>
        <v>1.4884E-2</v>
      </c>
      <c r="F240" s="250">
        <f>IF(F231=0,G36,0)</f>
        <v>0</v>
      </c>
      <c r="G240" s="126">
        <f t="shared" si="33"/>
        <v>148</v>
      </c>
      <c r="H240" s="250">
        <f t="shared" si="29"/>
        <v>0</v>
      </c>
      <c r="I240" s="127" t="s">
        <v>166</v>
      </c>
      <c r="J240" s="129"/>
    </row>
    <row r="241" spans="1:16" ht="18" customHeight="1">
      <c r="B241" s="124" t="str">
        <f t="shared" si="31"/>
        <v>6单银Low-E+12A+6</v>
      </c>
      <c r="C241" s="253">
        <f t="shared" si="32"/>
        <v>-122</v>
      </c>
      <c r="D241" s="253">
        <f t="shared" si="32"/>
        <v>-122</v>
      </c>
      <c r="E241" s="32">
        <f t="shared" si="27"/>
        <v>1.4884E-2</v>
      </c>
      <c r="F241" s="250">
        <f>IF(F232=0,G37,0)</f>
        <v>0</v>
      </c>
      <c r="G241" s="126">
        <f t="shared" si="33"/>
        <v>148</v>
      </c>
      <c r="H241" s="250">
        <f t="shared" si="29"/>
        <v>0</v>
      </c>
      <c r="I241" s="127" t="s">
        <v>166</v>
      </c>
      <c r="J241" s="129"/>
    </row>
    <row r="242" spans="1:16" s="43" customFormat="1" ht="18" customHeight="1">
      <c r="A242" s="1"/>
      <c r="B242" s="48" t="s">
        <v>167</v>
      </c>
      <c r="C242" s="52"/>
      <c r="D242" s="50"/>
      <c r="E242" s="128"/>
      <c r="F242" s="50">
        <f>SUM(F234:F241)</f>
        <v>0</v>
      </c>
      <c r="G242" s="50"/>
      <c r="H242" s="52">
        <f>SUM(H234:H241)</f>
        <v>0</v>
      </c>
      <c r="I242" s="53">
        <f>ROUND(SUMPRODUCT(E234:E241*F234:F241),2)</f>
        <v>0</v>
      </c>
      <c r="J242" s="129"/>
      <c r="N242" s="255"/>
      <c r="O242" s="255"/>
      <c r="P242" s="255"/>
    </row>
    <row r="243" spans="1:16" s="43" customFormat="1" ht="18" customHeight="1">
      <c r="A243" s="1"/>
      <c r="B243" s="124" t="str">
        <f>B240</f>
        <v>6单银Low-E+12A+6</v>
      </c>
      <c r="C243" s="253">
        <f t="shared" ref="C243:D249" si="34">D68-12</f>
        <v>2136</v>
      </c>
      <c r="D243" s="253">
        <f t="shared" si="34"/>
        <v>1066</v>
      </c>
      <c r="E243" s="32">
        <f t="shared" si="27"/>
        <v>2.2769759999999999</v>
      </c>
      <c r="F243" s="82">
        <f t="shared" ref="F243:F249" si="35">G68</f>
        <v>1</v>
      </c>
      <c r="G243" s="130">
        <f>G241</f>
        <v>148</v>
      </c>
      <c r="H243" s="250">
        <f t="shared" ref="H243:H249" si="36">ROUND(E243*G243*F243,2)</f>
        <v>336.99</v>
      </c>
      <c r="I243" s="247" t="s">
        <v>168</v>
      </c>
      <c r="J243" s="129"/>
      <c r="N243" s="255"/>
      <c r="O243" s="255"/>
      <c r="P243" s="255"/>
    </row>
    <row r="244" spans="1:16" s="43" customFormat="1" ht="18" customHeight="1">
      <c r="A244" s="1"/>
      <c r="B244" s="124" t="str">
        <f t="shared" ref="B244:B249" si="37">B243</f>
        <v>6单银Low-E+12A+6</v>
      </c>
      <c r="C244" s="253">
        <f t="shared" si="34"/>
        <v>489</v>
      </c>
      <c r="D244" s="253">
        <f t="shared" si="34"/>
        <v>834</v>
      </c>
      <c r="E244" s="32">
        <f t="shared" si="27"/>
        <v>0.40782600000000002</v>
      </c>
      <c r="F244" s="82">
        <f t="shared" si="35"/>
        <v>4</v>
      </c>
      <c r="G244" s="130">
        <f t="shared" ref="G244:G249" si="38">G243</f>
        <v>148</v>
      </c>
      <c r="H244" s="250">
        <f t="shared" si="36"/>
        <v>241.43</v>
      </c>
      <c r="I244" s="247" t="s">
        <v>168</v>
      </c>
      <c r="J244" s="129"/>
      <c r="N244" s="255"/>
      <c r="O244" s="255"/>
      <c r="P244" s="255"/>
    </row>
    <row r="245" spans="1:16" s="43" customFormat="1" ht="18" customHeight="1">
      <c r="A245" s="1"/>
      <c r="B245" s="124" t="str">
        <f t="shared" si="37"/>
        <v>6单银Low-E+12A+6</v>
      </c>
      <c r="C245" s="253">
        <f t="shared" si="34"/>
        <v>-12</v>
      </c>
      <c r="D245" s="253">
        <f t="shared" si="34"/>
        <v>-12</v>
      </c>
      <c r="E245" s="32">
        <f t="shared" si="27"/>
        <v>1.44E-4</v>
      </c>
      <c r="F245" s="82">
        <f t="shared" si="35"/>
        <v>0</v>
      </c>
      <c r="G245" s="130">
        <f t="shared" si="38"/>
        <v>148</v>
      </c>
      <c r="H245" s="250">
        <f t="shared" si="36"/>
        <v>0</v>
      </c>
      <c r="I245" s="247" t="s">
        <v>168</v>
      </c>
      <c r="J245" s="129"/>
      <c r="N245" s="255"/>
      <c r="O245" s="255"/>
      <c r="P245" s="255"/>
    </row>
    <row r="246" spans="1:16" s="43" customFormat="1" ht="18" customHeight="1">
      <c r="A246" s="1"/>
      <c r="B246" s="124" t="str">
        <f t="shared" si="37"/>
        <v>6单银Low-E+12A+6</v>
      </c>
      <c r="C246" s="253">
        <f t="shared" si="34"/>
        <v>-12</v>
      </c>
      <c r="D246" s="253">
        <f t="shared" si="34"/>
        <v>-12</v>
      </c>
      <c r="E246" s="32">
        <f t="shared" si="27"/>
        <v>1.44E-4</v>
      </c>
      <c r="F246" s="82">
        <f t="shared" si="35"/>
        <v>0</v>
      </c>
      <c r="G246" s="130">
        <f t="shared" si="38"/>
        <v>148</v>
      </c>
      <c r="H246" s="250">
        <f t="shared" si="36"/>
        <v>0</v>
      </c>
      <c r="I246" s="247" t="s">
        <v>168</v>
      </c>
      <c r="J246" s="129"/>
      <c r="N246" s="255"/>
      <c r="O246" s="255"/>
      <c r="P246" s="255"/>
    </row>
    <row r="247" spans="1:16" s="43" customFormat="1" ht="18" customHeight="1">
      <c r="A247" s="1"/>
      <c r="B247" s="124" t="str">
        <f t="shared" si="37"/>
        <v>6单银Low-E+12A+6</v>
      </c>
      <c r="C247" s="253">
        <f t="shared" si="34"/>
        <v>-12</v>
      </c>
      <c r="D247" s="253">
        <f t="shared" si="34"/>
        <v>-12</v>
      </c>
      <c r="E247" s="32">
        <f t="shared" si="27"/>
        <v>1.44E-4</v>
      </c>
      <c r="F247" s="82">
        <f t="shared" si="35"/>
        <v>0</v>
      </c>
      <c r="G247" s="130">
        <f t="shared" si="38"/>
        <v>148</v>
      </c>
      <c r="H247" s="250">
        <f t="shared" si="36"/>
        <v>0</v>
      </c>
      <c r="I247" s="247" t="s">
        <v>168</v>
      </c>
      <c r="J247" s="129"/>
      <c r="N247" s="255"/>
      <c r="O247" s="255"/>
      <c r="P247" s="255"/>
    </row>
    <row r="248" spans="1:16" s="43" customFormat="1" ht="18" customHeight="1">
      <c r="A248" s="1"/>
      <c r="B248" s="124" t="str">
        <f t="shared" si="37"/>
        <v>6单银Low-E+12A+6</v>
      </c>
      <c r="C248" s="253">
        <f t="shared" si="34"/>
        <v>-12</v>
      </c>
      <c r="D248" s="253">
        <f t="shared" si="34"/>
        <v>-12</v>
      </c>
      <c r="E248" s="32">
        <f t="shared" si="27"/>
        <v>1.44E-4</v>
      </c>
      <c r="F248" s="82">
        <f t="shared" si="35"/>
        <v>0</v>
      </c>
      <c r="G248" s="130">
        <f t="shared" si="38"/>
        <v>148</v>
      </c>
      <c r="H248" s="250">
        <f t="shared" si="36"/>
        <v>0</v>
      </c>
      <c r="I248" s="247" t="s">
        <v>168</v>
      </c>
      <c r="J248" s="129"/>
      <c r="N248" s="255"/>
      <c r="O248" s="255"/>
      <c r="P248" s="255"/>
    </row>
    <row r="249" spans="1:16" s="43" customFormat="1" ht="18" customHeight="1">
      <c r="A249" s="1"/>
      <c r="B249" s="124" t="str">
        <f t="shared" si="37"/>
        <v>6单银Low-E+12A+6</v>
      </c>
      <c r="C249" s="253">
        <f t="shared" si="34"/>
        <v>-12</v>
      </c>
      <c r="D249" s="253">
        <f t="shared" si="34"/>
        <v>-12</v>
      </c>
      <c r="E249" s="32">
        <f t="shared" si="27"/>
        <v>1.44E-4</v>
      </c>
      <c r="F249" s="82">
        <f t="shared" si="35"/>
        <v>0</v>
      </c>
      <c r="G249" s="130">
        <f t="shared" si="38"/>
        <v>148</v>
      </c>
      <c r="H249" s="250">
        <f t="shared" si="36"/>
        <v>0</v>
      </c>
      <c r="I249" s="247" t="s">
        <v>168</v>
      </c>
      <c r="J249" s="129"/>
      <c r="N249" s="255"/>
      <c r="O249" s="255"/>
      <c r="P249" s="255"/>
    </row>
    <row r="250" spans="1:16" s="43" customFormat="1" ht="18" customHeight="1">
      <c r="A250" s="1"/>
      <c r="B250" s="131" t="str">
        <f>B246</f>
        <v>6单银Low-E+12A+6</v>
      </c>
      <c r="C250" s="52"/>
      <c r="D250" s="50"/>
      <c r="E250" s="128"/>
      <c r="F250" s="50">
        <f>SUM(F243:F249)</f>
        <v>5</v>
      </c>
      <c r="G250" s="50"/>
      <c r="H250" s="52">
        <f>SUM(H243:H249)</f>
        <v>578.42000000000007</v>
      </c>
      <c r="I250" s="53">
        <f>ROUND((E243*F243+E244*F244+E245*F245+E246*F246+E247*F247+E248*F248+E249*F249),2)</f>
        <v>3.91</v>
      </c>
      <c r="J250" s="43">
        <f>(I242+I258+I273+I280)</f>
        <v>0</v>
      </c>
      <c r="N250" s="255"/>
      <c r="O250" s="255"/>
      <c r="P250" s="255"/>
    </row>
    <row r="251" spans="1:16" s="43" customFormat="1" ht="18" customHeight="1">
      <c r="A251" s="1"/>
      <c r="B251" s="124" t="str">
        <f>B249</f>
        <v>6单银Low-E+12A+6</v>
      </c>
      <c r="C251" s="253">
        <f t="shared" ref="C251:D257" si="39">D75-12</f>
        <v>-12</v>
      </c>
      <c r="D251" s="253">
        <f t="shared" si="39"/>
        <v>-12</v>
      </c>
      <c r="E251" s="32">
        <f t="shared" si="27"/>
        <v>1.44E-4</v>
      </c>
      <c r="F251" s="82">
        <f t="shared" ref="F251:F257" si="40">G75</f>
        <v>0</v>
      </c>
      <c r="G251" s="130">
        <f>G249</f>
        <v>148</v>
      </c>
      <c r="H251" s="250">
        <f>ROUND(E251*G251*F251,2)</f>
        <v>0</v>
      </c>
      <c r="I251" s="132" t="s">
        <v>169</v>
      </c>
      <c r="N251" s="255"/>
      <c r="O251" s="255"/>
      <c r="P251" s="255"/>
    </row>
    <row r="252" spans="1:16" s="43" customFormat="1" ht="18" customHeight="1">
      <c r="A252" s="1"/>
      <c r="B252" s="124" t="str">
        <f t="shared" ref="B252:B257" si="41">B251</f>
        <v>6单银Low-E+12A+6</v>
      </c>
      <c r="C252" s="253">
        <f t="shared" si="39"/>
        <v>-12</v>
      </c>
      <c r="D252" s="253">
        <f t="shared" si="39"/>
        <v>-12</v>
      </c>
      <c r="E252" s="32">
        <f t="shared" si="27"/>
        <v>1.44E-4</v>
      </c>
      <c r="F252" s="82">
        <f t="shared" si="40"/>
        <v>0</v>
      </c>
      <c r="G252" s="130">
        <f t="shared" ref="G252:G257" si="42">G251</f>
        <v>148</v>
      </c>
      <c r="H252" s="250">
        <f t="shared" ref="H252:H264" si="43">ROUND(E252*G252*F252,2)</f>
        <v>0</v>
      </c>
      <c r="I252" s="132" t="str">
        <f t="shared" ref="I252:I257" si="44">I251</f>
        <v>固定钢化中空</v>
      </c>
      <c r="N252" s="255"/>
      <c r="O252" s="255"/>
      <c r="P252" s="255"/>
    </row>
    <row r="253" spans="1:16" s="43" customFormat="1" ht="18" customHeight="1">
      <c r="A253" s="1"/>
      <c r="B253" s="124" t="str">
        <f t="shared" si="41"/>
        <v>6单银Low-E+12A+6</v>
      </c>
      <c r="C253" s="253">
        <f t="shared" si="39"/>
        <v>-12</v>
      </c>
      <c r="D253" s="253">
        <f t="shared" si="39"/>
        <v>-12</v>
      </c>
      <c r="E253" s="32">
        <f t="shared" si="27"/>
        <v>1.44E-4</v>
      </c>
      <c r="F253" s="82">
        <f t="shared" si="40"/>
        <v>0</v>
      </c>
      <c r="G253" s="130">
        <f t="shared" si="42"/>
        <v>148</v>
      </c>
      <c r="H253" s="250">
        <f t="shared" si="43"/>
        <v>0</v>
      </c>
      <c r="I253" s="132" t="str">
        <f t="shared" si="44"/>
        <v>固定钢化中空</v>
      </c>
      <c r="N253" s="255"/>
      <c r="O253" s="255"/>
      <c r="P253" s="255"/>
    </row>
    <row r="254" spans="1:16" s="43" customFormat="1" ht="18" customHeight="1">
      <c r="A254" s="1"/>
      <c r="B254" s="124" t="str">
        <f t="shared" si="41"/>
        <v>6单银Low-E+12A+6</v>
      </c>
      <c r="C254" s="253">
        <f t="shared" si="39"/>
        <v>-12</v>
      </c>
      <c r="D254" s="253">
        <f t="shared" si="39"/>
        <v>-12</v>
      </c>
      <c r="E254" s="32">
        <f t="shared" si="27"/>
        <v>1.44E-4</v>
      </c>
      <c r="F254" s="82">
        <f t="shared" si="40"/>
        <v>0</v>
      </c>
      <c r="G254" s="130">
        <f t="shared" si="42"/>
        <v>148</v>
      </c>
      <c r="H254" s="250">
        <f t="shared" si="43"/>
        <v>0</v>
      </c>
      <c r="I254" s="132" t="str">
        <f t="shared" si="44"/>
        <v>固定钢化中空</v>
      </c>
      <c r="J254" s="42"/>
      <c r="N254" s="255"/>
      <c r="O254" s="255"/>
      <c r="P254" s="255"/>
    </row>
    <row r="255" spans="1:16" s="43" customFormat="1" ht="18" customHeight="1">
      <c r="A255" s="1"/>
      <c r="B255" s="124" t="str">
        <f t="shared" si="41"/>
        <v>6单银Low-E+12A+6</v>
      </c>
      <c r="C255" s="253">
        <f t="shared" si="39"/>
        <v>-12</v>
      </c>
      <c r="D255" s="253">
        <f t="shared" si="39"/>
        <v>-12</v>
      </c>
      <c r="E255" s="32">
        <f t="shared" si="27"/>
        <v>1.44E-4</v>
      </c>
      <c r="F255" s="82">
        <f t="shared" si="40"/>
        <v>0</v>
      </c>
      <c r="G255" s="130">
        <f t="shared" si="42"/>
        <v>148</v>
      </c>
      <c r="H255" s="250">
        <f t="shared" si="43"/>
        <v>0</v>
      </c>
      <c r="I255" s="132" t="str">
        <f t="shared" si="44"/>
        <v>固定钢化中空</v>
      </c>
      <c r="N255" s="255"/>
      <c r="O255" s="255"/>
      <c r="P255" s="255"/>
    </row>
    <row r="256" spans="1:16" s="43" customFormat="1" ht="18" customHeight="1">
      <c r="A256" s="1"/>
      <c r="B256" s="124" t="str">
        <f t="shared" si="41"/>
        <v>6单银Low-E+12A+6</v>
      </c>
      <c r="C256" s="253">
        <f t="shared" si="39"/>
        <v>-12</v>
      </c>
      <c r="D256" s="253">
        <f t="shared" si="39"/>
        <v>-12</v>
      </c>
      <c r="E256" s="32">
        <f t="shared" si="27"/>
        <v>1.44E-4</v>
      </c>
      <c r="F256" s="82">
        <f t="shared" si="40"/>
        <v>0</v>
      </c>
      <c r="G256" s="130">
        <f t="shared" si="42"/>
        <v>148</v>
      </c>
      <c r="H256" s="250">
        <f t="shared" si="43"/>
        <v>0</v>
      </c>
      <c r="I256" s="132" t="str">
        <f t="shared" si="44"/>
        <v>固定钢化中空</v>
      </c>
      <c r="N256" s="255"/>
      <c r="O256" s="255"/>
      <c r="P256" s="255"/>
    </row>
    <row r="257" spans="1:16" s="43" customFormat="1" ht="18" customHeight="1">
      <c r="A257" s="1"/>
      <c r="B257" s="124" t="str">
        <f t="shared" si="41"/>
        <v>6单银Low-E+12A+6</v>
      </c>
      <c r="C257" s="253">
        <f t="shared" si="39"/>
        <v>-12</v>
      </c>
      <c r="D257" s="253">
        <f t="shared" si="39"/>
        <v>-12</v>
      </c>
      <c r="E257" s="32">
        <f t="shared" si="27"/>
        <v>1.44E-4</v>
      </c>
      <c r="F257" s="82">
        <f t="shared" si="40"/>
        <v>0</v>
      </c>
      <c r="G257" s="130">
        <f t="shared" si="42"/>
        <v>148</v>
      </c>
      <c r="H257" s="250">
        <f t="shared" si="43"/>
        <v>0</v>
      </c>
      <c r="I257" s="132" t="str">
        <f t="shared" si="44"/>
        <v>固定钢化中空</v>
      </c>
      <c r="N257" s="255"/>
      <c r="O257" s="255"/>
      <c r="P257" s="255"/>
    </row>
    <row r="258" spans="1:16" s="43" customFormat="1" ht="18" customHeight="1">
      <c r="A258" s="1"/>
      <c r="B258" s="48" t="s">
        <v>170</v>
      </c>
      <c r="C258" s="52"/>
      <c r="D258" s="50"/>
      <c r="E258" s="128"/>
      <c r="F258" s="50">
        <f>SUM(F251:F257)</f>
        <v>0</v>
      </c>
      <c r="G258" s="50"/>
      <c r="H258" s="52">
        <f>SUM(H251:H257)</f>
        <v>0</v>
      </c>
      <c r="I258" s="53">
        <f>ROUND((E251*F251+E252*F252+E253*F253+E254*F254+E255*F255+E256*F256+E257*F257),2)</f>
        <v>0</v>
      </c>
      <c r="N258" s="255"/>
      <c r="O258" s="255"/>
      <c r="P258" s="255"/>
    </row>
    <row r="259" spans="1:16" s="43" customFormat="1" ht="18" customHeight="1">
      <c r="A259" s="1"/>
      <c r="B259" s="124" t="str">
        <f>B257</f>
        <v>6单银Low-E+12A+6</v>
      </c>
      <c r="C259" s="253">
        <f t="shared" ref="C259:D264" si="45">D82-12</f>
        <v>-12</v>
      </c>
      <c r="D259" s="253">
        <f t="shared" si="45"/>
        <v>-12</v>
      </c>
      <c r="E259" s="32">
        <f t="shared" si="27"/>
        <v>1.44E-4</v>
      </c>
      <c r="F259" s="82">
        <f t="shared" ref="F259:F264" si="46">G82</f>
        <v>0</v>
      </c>
      <c r="G259" s="130">
        <f>G257</f>
        <v>148</v>
      </c>
      <c r="H259" s="250">
        <f t="shared" si="43"/>
        <v>0</v>
      </c>
      <c r="I259" s="247" t="s">
        <v>171</v>
      </c>
      <c r="N259" s="255"/>
      <c r="O259" s="255"/>
      <c r="P259" s="255"/>
    </row>
    <row r="260" spans="1:16" s="43" customFormat="1" ht="18" customHeight="1">
      <c r="A260" s="1"/>
      <c r="B260" s="124" t="str">
        <f>B259</f>
        <v>6单银Low-E+12A+6</v>
      </c>
      <c r="C260" s="253">
        <f t="shared" si="45"/>
        <v>-12</v>
      </c>
      <c r="D260" s="253">
        <f t="shared" si="45"/>
        <v>-12</v>
      </c>
      <c r="E260" s="32">
        <f t="shared" si="27"/>
        <v>1.44E-4</v>
      </c>
      <c r="F260" s="82">
        <f t="shared" si="46"/>
        <v>0</v>
      </c>
      <c r="G260" s="130">
        <f>G259</f>
        <v>148</v>
      </c>
      <c r="H260" s="250">
        <f t="shared" si="43"/>
        <v>0</v>
      </c>
      <c r="I260" s="247" t="s">
        <v>171</v>
      </c>
      <c r="N260" s="255"/>
      <c r="O260" s="255"/>
      <c r="P260" s="255"/>
    </row>
    <row r="261" spans="1:16" s="43" customFormat="1" ht="18" customHeight="1">
      <c r="A261" s="1"/>
      <c r="B261" s="124" t="str">
        <f>B260</f>
        <v>6单银Low-E+12A+6</v>
      </c>
      <c r="C261" s="253">
        <f t="shared" si="45"/>
        <v>-12</v>
      </c>
      <c r="D261" s="253">
        <f t="shared" si="45"/>
        <v>-12</v>
      </c>
      <c r="E261" s="32">
        <f t="shared" si="27"/>
        <v>1.44E-4</v>
      </c>
      <c r="F261" s="82">
        <f t="shared" si="46"/>
        <v>0</v>
      </c>
      <c r="G261" s="130">
        <f>G260</f>
        <v>148</v>
      </c>
      <c r="H261" s="250">
        <f t="shared" si="43"/>
        <v>0</v>
      </c>
      <c r="I261" s="247" t="s">
        <v>171</v>
      </c>
      <c r="N261" s="255"/>
      <c r="O261" s="255"/>
      <c r="P261" s="255"/>
    </row>
    <row r="262" spans="1:16" s="43" customFormat="1" ht="18" customHeight="1">
      <c r="A262" s="1"/>
      <c r="B262" s="124" t="str">
        <f>B261</f>
        <v>6单银Low-E+12A+6</v>
      </c>
      <c r="C262" s="253">
        <f t="shared" si="45"/>
        <v>-12</v>
      </c>
      <c r="D262" s="253">
        <f t="shared" si="45"/>
        <v>-12</v>
      </c>
      <c r="E262" s="32">
        <f t="shared" si="27"/>
        <v>1.44E-4</v>
      </c>
      <c r="F262" s="82">
        <f t="shared" si="46"/>
        <v>0</v>
      </c>
      <c r="G262" s="130">
        <f>G261</f>
        <v>148</v>
      </c>
      <c r="H262" s="250">
        <f t="shared" si="43"/>
        <v>0</v>
      </c>
      <c r="I262" s="247" t="s">
        <v>171</v>
      </c>
      <c r="N262" s="255"/>
      <c r="O262" s="255"/>
      <c r="P262" s="255"/>
    </row>
    <row r="263" spans="1:16" s="43" customFormat="1" ht="18" customHeight="1">
      <c r="A263" s="1"/>
      <c r="B263" s="124" t="str">
        <f>B262</f>
        <v>6单银Low-E+12A+6</v>
      </c>
      <c r="C263" s="253">
        <f t="shared" si="45"/>
        <v>-12</v>
      </c>
      <c r="D263" s="253">
        <f t="shared" si="45"/>
        <v>-12</v>
      </c>
      <c r="E263" s="32">
        <f t="shared" si="27"/>
        <v>1.44E-4</v>
      </c>
      <c r="F263" s="82">
        <f t="shared" si="46"/>
        <v>0</v>
      </c>
      <c r="G263" s="130">
        <f>G262</f>
        <v>148</v>
      </c>
      <c r="H263" s="250">
        <f t="shared" si="43"/>
        <v>0</v>
      </c>
      <c r="I263" s="247" t="s">
        <v>171</v>
      </c>
      <c r="N263" s="255"/>
      <c r="O263" s="255"/>
      <c r="P263" s="255"/>
    </row>
    <row r="264" spans="1:16" s="43" customFormat="1" ht="18" customHeight="1">
      <c r="A264" s="1"/>
      <c r="B264" s="124" t="str">
        <f>B263</f>
        <v>6单银Low-E+12A+6</v>
      </c>
      <c r="C264" s="253">
        <f t="shared" si="45"/>
        <v>-12</v>
      </c>
      <c r="D264" s="253">
        <f t="shared" si="45"/>
        <v>-12</v>
      </c>
      <c r="E264" s="32">
        <f t="shared" si="27"/>
        <v>1.44E-4</v>
      </c>
      <c r="F264" s="82">
        <f t="shared" si="46"/>
        <v>0</v>
      </c>
      <c r="G264" s="130">
        <f>G263</f>
        <v>148</v>
      </c>
      <c r="H264" s="250">
        <f t="shared" si="43"/>
        <v>0</v>
      </c>
      <c r="I264" s="247" t="s">
        <v>171</v>
      </c>
      <c r="N264" s="255"/>
      <c r="O264" s="255"/>
      <c r="P264" s="255"/>
    </row>
    <row r="265" spans="1:16" s="43" customFormat="1" ht="18" customHeight="1">
      <c r="A265" s="1"/>
      <c r="B265" s="48" t="s">
        <v>172</v>
      </c>
      <c r="C265" s="52"/>
      <c r="D265" s="50"/>
      <c r="E265" s="128"/>
      <c r="F265" s="50">
        <f>SUM(F259:F264)</f>
        <v>0</v>
      </c>
      <c r="G265" s="50"/>
      <c r="H265" s="52">
        <f>SUM(H259:H264)</f>
        <v>0</v>
      </c>
      <c r="I265" s="53">
        <f>ROUND(SUMPRODUCT(E259:E264*F259:F264),2)</f>
        <v>0</v>
      </c>
      <c r="N265" s="255"/>
      <c r="O265" s="255"/>
      <c r="P265" s="255"/>
    </row>
    <row r="266" spans="1:16" s="43" customFormat="1" ht="18" customHeight="1">
      <c r="A266" s="1"/>
      <c r="B266" s="124" t="str">
        <f>B264</f>
        <v>6单银Low-E+12A+6</v>
      </c>
      <c r="C266" s="133">
        <f t="shared" ref="C266:D268" si="47">D143</f>
        <v>-154</v>
      </c>
      <c r="D266" s="133">
        <f t="shared" si="47"/>
        <v>-154</v>
      </c>
      <c r="E266" s="32">
        <f t="shared" si="27"/>
        <v>2.3716000000000001E-2</v>
      </c>
      <c r="F266" s="134">
        <f>G143</f>
        <v>0</v>
      </c>
      <c r="G266" s="135">
        <f>G264</f>
        <v>148</v>
      </c>
      <c r="H266" s="134">
        <f>ROUND(E266*G266*F266,2)</f>
        <v>0</v>
      </c>
      <c r="I266" s="136" t="s">
        <v>173</v>
      </c>
      <c r="N266" s="255"/>
      <c r="O266" s="255"/>
      <c r="P266" s="255"/>
    </row>
    <row r="267" spans="1:16" s="43" customFormat="1" ht="18" customHeight="1">
      <c r="A267" s="1"/>
      <c r="B267" s="124" t="str">
        <f>B264</f>
        <v>6单银Low-E+12A+6</v>
      </c>
      <c r="C267" s="133">
        <f t="shared" si="47"/>
        <v>-154</v>
      </c>
      <c r="D267" s="133">
        <f t="shared" si="47"/>
        <v>-154</v>
      </c>
      <c r="E267" s="32">
        <f t="shared" si="27"/>
        <v>2.3716000000000001E-2</v>
      </c>
      <c r="F267" s="134">
        <f>G144</f>
        <v>0</v>
      </c>
      <c r="G267" s="135">
        <f>G266</f>
        <v>148</v>
      </c>
      <c r="H267" s="134">
        <f>ROUND(E267*G267*F267,2)</f>
        <v>0</v>
      </c>
      <c r="I267" s="136" t="s">
        <v>173</v>
      </c>
      <c r="N267" s="255"/>
      <c r="O267" s="255"/>
      <c r="P267" s="255"/>
    </row>
    <row r="268" spans="1:16" s="43" customFormat="1" ht="18" customHeight="1">
      <c r="A268" s="1"/>
      <c r="B268" s="124" t="str">
        <f>B267</f>
        <v>6单银Low-E+12A+6</v>
      </c>
      <c r="C268" s="133">
        <f t="shared" si="47"/>
        <v>-154</v>
      </c>
      <c r="D268" s="133">
        <f t="shared" si="47"/>
        <v>-154</v>
      </c>
      <c r="E268" s="32">
        <f t="shared" si="27"/>
        <v>2.3716000000000001E-2</v>
      </c>
      <c r="F268" s="134">
        <f>G145</f>
        <v>0</v>
      </c>
      <c r="G268" s="135">
        <f>G267</f>
        <v>148</v>
      </c>
      <c r="H268" s="134">
        <f>ROUND(E268*G268*F268,2)</f>
        <v>0</v>
      </c>
      <c r="I268" s="136" t="s">
        <v>173</v>
      </c>
      <c r="N268" s="255"/>
      <c r="O268" s="255"/>
      <c r="P268" s="255"/>
    </row>
    <row r="269" spans="1:16" s="43" customFormat="1" ht="18" customHeight="1">
      <c r="A269" s="1"/>
      <c r="B269" s="48" t="s">
        <v>174</v>
      </c>
      <c r="C269" s="52"/>
      <c r="D269" s="50"/>
      <c r="E269" s="128"/>
      <c r="F269" s="50">
        <f>SUM(F266:F268)</f>
        <v>0</v>
      </c>
      <c r="G269" s="50"/>
      <c r="H269" s="52">
        <f>SUM(H266:H268)</f>
        <v>0</v>
      </c>
      <c r="I269" s="53">
        <f>ROUND((E266*F266+E267*F267+E268*F268),2)</f>
        <v>0</v>
      </c>
      <c r="N269" s="255"/>
      <c r="O269" s="255"/>
      <c r="P269" s="255"/>
    </row>
    <row r="270" spans="1:16" s="43" customFormat="1" ht="18" customHeight="1">
      <c r="A270" s="1"/>
      <c r="B270" s="124" t="str">
        <f>B268</f>
        <v>6单银Low-E+12A+6</v>
      </c>
      <c r="C270" s="133">
        <f t="shared" ref="C270:D272" si="48">D150</f>
        <v>-160</v>
      </c>
      <c r="D270" s="133">
        <f t="shared" si="48"/>
        <v>-160</v>
      </c>
      <c r="E270" s="32">
        <f t="shared" si="27"/>
        <v>2.5600000000000001E-2</v>
      </c>
      <c r="F270" s="134">
        <f>G150</f>
        <v>0</v>
      </c>
      <c r="G270" s="135">
        <f>G268</f>
        <v>148</v>
      </c>
      <c r="H270" s="134">
        <f>ROUND(E270*G270*F270,2)</f>
        <v>0</v>
      </c>
      <c r="I270" s="136" t="s">
        <v>173</v>
      </c>
      <c r="N270" s="255"/>
      <c r="O270" s="255"/>
      <c r="P270" s="255"/>
    </row>
    <row r="271" spans="1:16" s="43" customFormat="1" ht="18" customHeight="1">
      <c r="A271" s="1"/>
      <c r="B271" s="124" t="str">
        <f>B270</f>
        <v>6单银Low-E+12A+6</v>
      </c>
      <c r="C271" s="133">
        <f t="shared" si="48"/>
        <v>-160</v>
      </c>
      <c r="D271" s="133">
        <f t="shared" si="48"/>
        <v>-160</v>
      </c>
      <c r="E271" s="32">
        <f t="shared" si="27"/>
        <v>2.5600000000000001E-2</v>
      </c>
      <c r="F271" s="134">
        <f>G151</f>
        <v>0</v>
      </c>
      <c r="G271" s="135">
        <f>G270</f>
        <v>148</v>
      </c>
      <c r="H271" s="134">
        <f>ROUND(E271*G271*F271,2)</f>
        <v>0</v>
      </c>
      <c r="I271" s="136" t="s">
        <v>173</v>
      </c>
      <c r="N271" s="255"/>
      <c r="O271" s="255"/>
      <c r="P271" s="255"/>
    </row>
    <row r="272" spans="1:16" s="43" customFormat="1" ht="18" customHeight="1">
      <c r="A272" s="1"/>
      <c r="B272" s="124" t="str">
        <f>B271</f>
        <v>6单银Low-E+12A+6</v>
      </c>
      <c r="C272" s="133">
        <f t="shared" si="48"/>
        <v>-160</v>
      </c>
      <c r="D272" s="133">
        <f t="shared" si="48"/>
        <v>-160</v>
      </c>
      <c r="E272" s="32">
        <f t="shared" si="27"/>
        <v>2.5600000000000001E-2</v>
      </c>
      <c r="F272" s="134">
        <f>G152</f>
        <v>0</v>
      </c>
      <c r="G272" s="135">
        <f>G271</f>
        <v>148</v>
      </c>
      <c r="H272" s="134">
        <f>ROUND(E272*G272*F272,2)</f>
        <v>0</v>
      </c>
      <c r="I272" s="136" t="s">
        <v>173</v>
      </c>
      <c r="N272" s="255"/>
      <c r="O272" s="255"/>
      <c r="P272" s="255"/>
    </row>
    <row r="273" spans="1:16" s="43" customFormat="1" ht="18" customHeight="1">
      <c r="A273" s="1"/>
      <c r="B273" s="48" t="s">
        <v>175</v>
      </c>
      <c r="C273" s="52"/>
      <c r="D273" s="50"/>
      <c r="E273" s="128"/>
      <c r="F273" s="50">
        <f>SUM(F270:F272)</f>
        <v>0</v>
      </c>
      <c r="G273" s="50"/>
      <c r="H273" s="52">
        <f>SUM(H270:H272)</f>
        <v>0</v>
      </c>
      <c r="I273" s="53">
        <f>ROUND((E270*F270+E271*F271+E272*F272),2)</f>
        <v>0</v>
      </c>
      <c r="N273" s="255"/>
      <c r="O273" s="255"/>
      <c r="P273" s="255"/>
    </row>
    <row r="274" spans="1:16" ht="18" customHeight="1">
      <c r="B274" s="124" t="str">
        <f>B272</f>
        <v>6单银Low-E+12A+6</v>
      </c>
      <c r="C274" s="133">
        <f t="shared" ref="C274:D279" si="49">D157-12</f>
        <v>-12</v>
      </c>
      <c r="D274" s="133">
        <f t="shared" si="49"/>
        <v>-12</v>
      </c>
      <c r="E274" s="32">
        <f t="shared" si="27"/>
        <v>1.44E-4</v>
      </c>
      <c r="F274" s="134">
        <f t="shared" ref="F274:F279" si="50">G157</f>
        <v>0</v>
      </c>
      <c r="G274" s="135">
        <f>G272</f>
        <v>148</v>
      </c>
      <c r="H274" s="134">
        <f t="shared" ref="H274:H279" si="51">ROUND(E274*G274*F274,2)</f>
        <v>0</v>
      </c>
      <c r="I274" s="136" t="s">
        <v>176</v>
      </c>
    </row>
    <row r="275" spans="1:16" ht="18" customHeight="1">
      <c r="B275" s="124" t="str">
        <f>B274</f>
        <v>6单银Low-E+12A+6</v>
      </c>
      <c r="C275" s="133">
        <f t="shared" si="49"/>
        <v>-12</v>
      </c>
      <c r="D275" s="133">
        <f t="shared" si="49"/>
        <v>-12</v>
      </c>
      <c r="E275" s="32">
        <f t="shared" si="27"/>
        <v>1.44E-4</v>
      </c>
      <c r="F275" s="134">
        <f t="shared" si="50"/>
        <v>0</v>
      </c>
      <c r="G275" s="135">
        <f>G274</f>
        <v>148</v>
      </c>
      <c r="H275" s="134">
        <f t="shared" si="51"/>
        <v>0</v>
      </c>
      <c r="I275" s="136" t="str">
        <f>I274</f>
        <v>门钢化中空玻璃</v>
      </c>
      <c r="K275" s="43" t="s">
        <v>177</v>
      </c>
    </row>
    <row r="276" spans="1:16" ht="18" customHeight="1">
      <c r="B276" s="124" t="str">
        <f>B275</f>
        <v>6单银Low-E+12A+6</v>
      </c>
      <c r="C276" s="133">
        <f t="shared" si="49"/>
        <v>-12</v>
      </c>
      <c r="D276" s="133">
        <f t="shared" si="49"/>
        <v>-12</v>
      </c>
      <c r="E276" s="32">
        <f t="shared" si="27"/>
        <v>1.44E-4</v>
      </c>
      <c r="F276" s="134">
        <f t="shared" si="50"/>
        <v>0</v>
      </c>
      <c r="G276" s="135">
        <f>G275</f>
        <v>148</v>
      </c>
      <c r="H276" s="134">
        <f t="shared" si="51"/>
        <v>0</v>
      </c>
      <c r="I276" s="136" t="str">
        <f>I275</f>
        <v>门钢化中空玻璃</v>
      </c>
    </row>
    <row r="277" spans="1:16" ht="18" customHeight="1">
      <c r="B277" s="124" t="str">
        <f>B276</f>
        <v>6单银Low-E+12A+6</v>
      </c>
      <c r="C277" s="133">
        <f t="shared" si="49"/>
        <v>-12</v>
      </c>
      <c r="D277" s="133">
        <f t="shared" si="49"/>
        <v>-12</v>
      </c>
      <c r="E277" s="32">
        <f t="shared" si="27"/>
        <v>1.44E-4</v>
      </c>
      <c r="F277" s="134">
        <f t="shared" si="50"/>
        <v>0</v>
      </c>
      <c r="G277" s="135">
        <f>G276</f>
        <v>148</v>
      </c>
      <c r="H277" s="134">
        <f t="shared" si="51"/>
        <v>0</v>
      </c>
      <c r="I277" s="136" t="str">
        <f>I276</f>
        <v>门钢化中空玻璃</v>
      </c>
    </row>
    <row r="278" spans="1:16" ht="18" customHeight="1">
      <c r="B278" s="124" t="str">
        <f>B277</f>
        <v>6单银Low-E+12A+6</v>
      </c>
      <c r="C278" s="133">
        <f t="shared" si="49"/>
        <v>-12</v>
      </c>
      <c r="D278" s="133">
        <f t="shared" si="49"/>
        <v>-12</v>
      </c>
      <c r="E278" s="32">
        <f t="shared" si="27"/>
        <v>1.44E-4</v>
      </c>
      <c r="F278" s="134">
        <f t="shared" si="50"/>
        <v>0</v>
      </c>
      <c r="G278" s="135">
        <f>G277</f>
        <v>148</v>
      </c>
      <c r="H278" s="134">
        <f t="shared" si="51"/>
        <v>0</v>
      </c>
      <c r="I278" s="136" t="str">
        <f>I277</f>
        <v>门钢化中空玻璃</v>
      </c>
    </row>
    <row r="279" spans="1:16" ht="18" customHeight="1">
      <c r="B279" s="124" t="str">
        <f>B278</f>
        <v>6单银Low-E+12A+6</v>
      </c>
      <c r="C279" s="133">
        <f t="shared" si="49"/>
        <v>-12</v>
      </c>
      <c r="D279" s="133">
        <f t="shared" si="49"/>
        <v>-12</v>
      </c>
      <c r="E279" s="32">
        <f t="shared" si="27"/>
        <v>1.44E-4</v>
      </c>
      <c r="F279" s="134">
        <f t="shared" si="50"/>
        <v>0</v>
      </c>
      <c r="G279" s="135">
        <f>G278</f>
        <v>148</v>
      </c>
      <c r="H279" s="134">
        <f t="shared" si="51"/>
        <v>0</v>
      </c>
      <c r="I279" s="136" t="str">
        <f>I278</f>
        <v>门钢化中空玻璃</v>
      </c>
    </row>
    <row r="280" spans="1:16" ht="18" customHeight="1">
      <c r="B280" s="48" t="s">
        <v>178</v>
      </c>
      <c r="C280" s="52"/>
      <c r="D280" s="50"/>
      <c r="E280" s="128"/>
      <c r="F280" s="50">
        <f>SUM(F274:F279)</f>
        <v>0</v>
      </c>
      <c r="G280" s="50"/>
      <c r="H280" s="52">
        <f>SUM(H274:H279)</f>
        <v>0</v>
      </c>
      <c r="I280" s="53">
        <f>ROUND(SUMPRODUCT(E274:E279*F274:F279),2)</f>
        <v>0</v>
      </c>
    </row>
    <row r="281" spans="1:16" ht="18" customHeight="1">
      <c r="B281" s="124" t="str">
        <f>材料价格!A10</f>
        <v>6单银Low-E+12A+6</v>
      </c>
      <c r="C281" s="133">
        <f>C252</f>
        <v>-12</v>
      </c>
      <c r="D281" s="133">
        <f>D252</f>
        <v>-12</v>
      </c>
      <c r="E281" s="32">
        <f t="shared" si="27"/>
        <v>1.44E-4</v>
      </c>
      <c r="F281" s="134"/>
      <c r="G281" s="137">
        <f>材料价格!B10</f>
        <v>148</v>
      </c>
      <c r="H281" s="134">
        <f>ROUND(E281*G281*F281,2)</f>
        <v>0</v>
      </c>
      <c r="I281" s="247" t="s">
        <v>179</v>
      </c>
    </row>
    <row r="282" spans="1:16" ht="18" customHeight="1">
      <c r="B282" s="124" t="str">
        <f>B281</f>
        <v>6单银Low-E+12A+6</v>
      </c>
      <c r="C282" s="133">
        <f>C253</f>
        <v>-12</v>
      </c>
      <c r="D282" s="133">
        <f>D253</f>
        <v>-12</v>
      </c>
      <c r="E282" s="32">
        <f t="shared" si="27"/>
        <v>1.44E-4</v>
      </c>
      <c r="F282" s="134"/>
      <c r="G282" s="135">
        <f>G281</f>
        <v>148</v>
      </c>
      <c r="H282" s="134">
        <f>ROUND(E282*G282*F282,2)</f>
        <v>0</v>
      </c>
      <c r="I282" s="247" t="s">
        <v>179</v>
      </c>
      <c r="J282" s="255"/>
      <c r="K282" s="255"/>
      <c r="L282" s="255"/>
      <c r="M282" s="255"/>
    </row>
    <row r="283" spans="1:16" ht="18" customHeight="1">
      <c r="B283" s="124" t="str">
        <f>B282</f>
        <v>6单银Low-E+12A+6</v>
      </c>
      <c r="C283" s="133">
        <f>D84-12</f>
        <v>-12</v>
      </c>
      <c r="D283" s="133">
        <f>E84-12</f>
        <v>-12</v>
      </c>
      <c r="E283" s="32">
        <f t="shared" si="27"/>
        <v>1.44E-4</v>
      </c>
      <c r="F283" s="134">
        <f>G84</f>
        <v>0</v>
      </c>
      <c r="G283" s="135">
        <f>G282</f>
        <v>148</v>
      </c>
      <c r="H283" s="134">
        <f>ROUND(E283*G283*F283,2)</f>
        <v>0</v>
      </c>
      <c r="I283" s="247" t="s">
        <v>179</v>
      </c>
      <c r="J283" s="255"/>
      <c r="K283" s="255"/>
      <c r="L283" s="255"/>
      <c r="M283" s="255"/>
    </row>
    <row r="284" spans="1:16" ht="18" customHeight="1">
      <c r="B284" s="124" t="str">
        <f>B283</f>
        <v>6单银Low-E+12A+6</v>
      </c>
      <c r="C284" s="133">
        <f>D85-12</f>
        <v>-12</v>
      </c>
      <c r="D284" s="133">
        <f>E85-12</f>
        <v>-12</v>
      </c>
      <c r="E284" s="32">
        <f t="shared" si="27"/>
        <v>1.44E-4</v>
      </c>
      <c r="F284" s="134">
        <f>G85</f>
        <v>0</v>
      </c>
      <c r="G284" s="135">
        <f>G283</f>
        <v>148</v>
      </c>
      <c r="H284" s="134">
        <f>ROUND(E284*G284*F284,2)</f>
        <v>0</v>
      </c>
      <c r="I284" s="247" t="s">
        <v>179</v>
      </c>
      <c r="J284" s="255"/>
      <c r="K284" s="255"/>
      <c r="L284" s="255"/>
      <c r="M284" s="255"/>
    </row>
    <row r="285" spans="1:16" ht="18" customHeight="1">
      <c r="B285" s="48" t="s">
        <v>180</v>
      </c>
      <c r="C285" s="52"/>
      <c r="D285" s="50"/>
      <c r="E285" s="50"/>
      <c r="F285" s="50">
        <f>SUM(F281:F284)</f>
        <v>0</v>
      </c>
      <c r="G285" s="50"/>
      <c r="H285" s="52">
        <f>SUM(H281:H284)</f>
        <v>0</v>
      </c>
      <c r="I285" s="53">
        <f>ROUND((E281*F281+E282*F282+E283*F283+E284*F284),2)</f>
        <v>0</v>
      </c>
      <c r="J285" s="255"/>
      <c r="K285" s="255"/>
      <c r="L285" s="255"/>
      <c r="M285" s="255"/>
    </row>
    <row r="286" spans="1:16" ht="18" customHeight="1">
      <c r="B286" s="124" t="str">
        <f>材料价格!A11</f>
        <v>8单银Low-E+12Ar+8+12A+8mm</v>
      </c>
      <c r="C286" s="133"/>
      <c r="D286" s="133"/>
      <c r="E286" s="32">
        <f>C286*D286/10^6</f>
        <v>0</v>
      </c>
      <c r="F286" s="134"/>
      <c r="G286" s="137">
        <f>材料价格!B11</f>
        <v>312</v>
      </c>
      <c r="H286" s="134">
        <f>ROUND(E286*G286*F286,2)</f>
        <v>0</v>
      </c>
      <c r="I286" s="247" t="s">
        <v>181</v>
      </c>
      <c r="J286" s="255"/>
      <c r="K286" s="255"/>
      <c r="L286" s="255"/>
      <c r="M286" s="255"/>
    </row>
    <row r="287" spans="1:16" ht="18" customHeight="1">
      <c r="B287" s="124" t="str">
        <f>B286</f>
        <v>8单银Low-E+12Ar+8+12A+8mm</v>
      </c>
      <c r="C287" s="133"/>
      <c r="D287" s="133"/>
      <c r="E287" s="32">
        <f>C287*D287/10^6</f>
        <v>0</v>
      </c>
      <c r="F287" s="134"/>
      <c r="G287" s="135">
        <f>G286</f>
        <v>312</v>
      </c>
      <c r="H287" s="134">
        <f>ROUND(E287*G287*F287,2)</f>
        <v>0</v>
      </c>
      <c r="I287" s="247" t="s">
        <v>181</v>
      </c>
      <c r="J287" s="255"/>
      <c r="K287" s="255"/>
      <c r="L287" s="255"/>
      <c r="M287" s="255"/>
    </row>
    <row r="288" spans="1:16" ht="18" customHeight="1">
      <c r="B288" s="138" t="str">
        <f>材料价格!A12</f>
        <v>10单银Low-E+12Ar+10+12A+10mm</v>
      </c>
      <c r="C288" s="139"/>
      <c r="D288" s="139"/>
      <c r="E288" s="140">
        <f>C288*D288/10^6</f>
        <v>0</v>
      </c>
      <c r="F288" s="141"/>
      <c r="G288" s="142">
        <f>材料价格!B12</f>
        <v>395</v>
      </c>
      <c r="H288" s="141">
        <f>ROUND(E288*G288*F288,2)</f>
        <v>0</v>
      </c>
      <c r="I288" s="143" t="s">
        <v>181</v>
      </c>
      <c r="J288" s="255"/>
      <c r="K288" s="255"/>
      <c r="L288" s="255"/>
      <c r="M288" s="255"/>
    </row>
    <row r="289" spans="2:13" ht="18" customHeight="1">
      <c r="B289" s="138" t="str">
        <f>B288</f>
        <v>10单银Low-E+12Ar+10+12A+10mm</v>
      </c>
      <c r="C289" s="139"/>
      <c r="D289" s="139"/>
      <c r="E289" s="140">
        <f>C289*D289/10^6</f>
        <v>0</v>
      </c>
      <c r="F289" s="141"/>
      <c r="G289" s="142">
        <f>G288</f>
        <v>395</v>
      </c>
      <c r="H289" s="141">
        <f>ROUND(E289*G289*F289,2)</f>
        <v>0</v>
      </c>
      <c r="I289" s="143" t="s">
        <v>181</v>
      </c>
      <c r="J289" s="255"/>
      <c r="K289" s="255"/>
      <c r="L289" s="255"/>
      <c r="M289" s="255"/>
    </row>
    <row r="290" spans="2:13" ht="18" customHeight="1">
      <c r="B290" s="48" t="s">
        <v>180</v>
      </c>
      <c r="C290" s="52"/>
      <c r="D290" s="50"/>
      <c r="E290" s="50"/>
      <c r="F290" s="50">
        <f>SUM(F286:F289)</f>
        <v>0</v>
      </c>
      <c r="G290" s="50"/>
      <c r="H290" s="52">
        <f>SUM(H286:H289)</f>
        <v>0</v>
      </c>
      <c r="I290" s="53">
        <f>ROUND((E286*F286+E287*F287+E288*F288+E289*F289),2)</f>
        <v>0</v>
      </c>
      <c r="J290" s="255"/>
      <c r="K290" s="255"/>
      <c r="L290" s="255"/>
      <c r="M290" s="255"/>
    </row>
    <row r="291" spans="2:13" ht="18" customHeight="1">
      <c r="B291" s="642" t="s">
        <v>182</v>
      </c>
      <c r="C291" s="144" t="s">
        <v>183</v>
      </c>
      <c r="D291" s="144" cm="1">
        <f t="array" ref="D291">SUMPRODUCT(E225:E232*F225:F232)+SUMPRODUCT(E243:E249*F243:F249)</f>
        <v>4.8113760000000001</v>
      </c>
      <c r="E291" s="144" t="s">
        <v>184</v>
      </c>
      <c r="F291" s="145">
        <f>F233+F250</f>
        <v>9</v>
      </c>
      <c r="G291" s="145" t="s">
        <v>185</v>
      </c>
      <c r="H291" s="144">
        <f>H233+H250</f>
        <v>712.08</v>
      </c>
      <c r="I291" s="146">
        <f>H291/F366</f>
        <v>108.9823841809639</v>
      </c>
      <c r="J291" s="255"/>
      <c r="K291" s="255"/>
      <c r="L291" s="255"/>
      <c r="M291" s="255"/>
    </row>
    <row r="292" spans="2:13" ht="18" customHeight="1">
      <c r="B292" s="642"/>
      <c r="C292" s="144" t="s">
        <v>186</v>
      </c>
      <c r="D292" s="144">
        <f>SUMPRODUCT(E234:E241*F234:F241)+SUMPRODUCT(E251:E257*F251:F257)+SUMPRODUCT(E259:E264*F259:F264)+SUMPRODUCT(E266:E268*F266:F268)+SUMPRODUCT(E270:E272*F270:F272)+SUMPRODUCT(E281:E284*F281:F284)+SUMPRODUCT(E286:E289*F286:F289)+SUMPRODUCT(E274:E279*F274:F279)</f>
        <v>0</v>
      </c>
      <c r="E292" s="144" t="s">
        <v>186</v>
      </c>
      <c r="F292" s="145">
        <f>F242+F258+F265+F269+F273+F285+F290+F280</f>
        <v>0</v>
      </c>
      <c r="G292" s="145" t="s">
        <v>185</v>
      </c>
      <c r="H292" s="144">
        <f>H242+H258+H265+H269+H273+H280+H285+H290</f>
        <v>0</v>
      </c>
      <c r="I292" s="146">
        <f>H292/F366</f>
        <v>0</v>
      </c>
      <c r="J292" s="255"/>
      <c r="K292" s="255"/>
      <c r="L292" s="255"/>
      <c r="M292" s="255"/>
    </row>
    <row r="293" spans="2:13" ht="18" customHeight="1">
      <c r="B293" s="23" t="s">
        <v>187</v>
      </c>
      <c r="C293" s="252" t="s">
        <v>188</v>
      </c>
      <c r="D293" s="68" t="s">
        <v>189</v>
      </c>
      <c r="E293" s="252" t="s">
        <v>8</v>
      </c>
      <c r="F293" s="252" t="s">
        <v>190</v>
      </c>
      <c r="G293" s="252" t="s">
        <v>191</v>
      </c>
      <c r="H293" s="252" t="s">
        <v>160</v>
      </c>
      <c r="I293" s="25" t="s">
        <v>1</v>
      </c>
      <c r="J293" s="255"/>
      <c r="K293" s="255"/>
      <c r="L293" s="255"/>
      <c r="M293" s="255"/>
    </row>
    <row r="294" spans="2:13" ht="18" customHeight="1">
      <c r="B294" s="629" t="s">
        <v>192</v>
      </c>
      <c r="C294" s="253">
        <f>D26</f>
        <v>0</v>
      </c>
      <c r="D294" s="250"/>
      <c r="E294" s="250"/>
      <c r="F294" s="250" t="s">
        <v>193</v>
      </c>
      <c r="G294" s="108">
        <f>材料价格!B14</f>
        <v>153</v>
      </c>
      <c r="H294" s="147">
        <f>E294*G294</f>
        <v>0</v>
      </c>
      <c r="I294" s="632" t="s">
        <v>194</v>
      </c>
      <c r="J294" s="255"/>
      <c r="K294" s="255"/>
      <c r="L294" s="255"/>
      <c r="M294" s="255"/>
    </row>
    <row r="295" spans="2:13" ht="18" customHeight="1">
      <c r="B295" s="629"/>
      <c r="C295" s="253"/>
      <c r="D295" s="250"/>
      <c r="E295" s="250"/>
      <c r="F295" s="250"/>
      <c r="G295" s="108"/>
      <c r="H295" s="147">
        <f t="shared" ref="H295:H303" si="52">E295*G295</f>
        <v>0</v>
      </c>
      <c r="I295" s="633"/>
      <c r="J295" s="255"/>
      <c r="K295" s="255"/>
      <c r="L295" s="255"/>
      <c r="M295" s="255"/>
    </row>
    <row r="296" spans="2:13" ht="18" customHeight="1">
      <c r="B296" s="629" t="s">
        <v>195</v>
      </c>
      <c r="C296" s="253"/>
      <c r="D296" s="148"/>
      <c r="E296" s="250"/>
      <c r="F296" s="250" t="str">
        <f>F294</f>
        <v>坚朗</v>
      </c>
      <c r="G296" s="108">
        <f>材料价格!B15</f>
        <v>80</v>
      </c>
      <c r="H296" s="147">
        <f t="shared" si="52"/>
        <v>0</v>
      </c>
      <c r="I296" s="632" t="s">
        <v>196</v>
      </c>
      <c r="J296" s="255"/>
      <c r="K296" s="255"/>
      <c r="L296" s="255"/>
      <c r="M296" s="255"/>
    </row>
    <row r="297" spans="2:13" ht="18" customHeight="1">
      <c r="B297" s="629"/>
      <c r="C297" s="253"/>
      <c r="D297" s="148"/>
      <c r="E297" s="250"/>
      <c r="F297" s="250"/>
      <c r="G297" s="108"/>
      <c r="H297" s="147">
        <f t="shared" si="52"/>
        <v>0</v>
      </c>
      <c r="I297" s="633"/>
      <c r="J297" s="255"/>
      <c r="K297" s="255"/>
      <c r="L297" s="255"/>
      <c r="M297" s="255"/>
    </row>
    <row r="298" spans="2:13" ht="18" customHeight="1">
      <c r="B298" s="629" t="s">
        <v>197</v>
      </c>
      <c r="C298" s="253"/>
      <c r="D298" s="148"/>
      <c r="E298" s="250">
        <v>4</v>
      </c>
      <c r="F298" s="250" t="str">
        <f>F296</f>
        <v>坚朗</v>
      </c>
      <c r="G298" s="108">
        <f>材料价格!B16</f>
        <v>88</v>
      </c>
      <c r="H298" s="147">
        <f t="shared" si="52"/>
        <v>352</v>
      </c>
      <c r="I298" s="633"/>
      <c r="J298" s="255"/>
      <c r="K298" s="255"/>
      <c r="L298" s="255"/>
      <c r="M298" s="255"/>
    </row>
    <row r="299" spans="2:13" ht="18" customHeight="1">
      <c r="B299" s="629"/>
      <c r="C299" s="253"/>
      <c r="D299" s="148"/>
      <c r="E299" s="250"/>
      <c r="F299" s="250"/>
      <c r="G299" s="108"/>
      <c r="H299" s="147">
        <f t="shared" si="52"/>
        <v>0</v>
      </c>
      <c r="I299" s="633"/>
      <c r="J299" s="255"/>
      <c r="K299" s="255"/>
      <c r="L299" s="255"/>
      <c r="M299" s="255"/>
    </row>
    <row r="300" spans="2:13" ht="18" customHeight="1">
      <c r="B300" s="629" t="s">
        <v>198</v>
      </c>
      <c r="C300" s="253">
        <f>D35</f>
        <v>455</v>
      </c>
      <c r="D300" s="148"/>
      <c r="E300" s="250"/>
      <c r="F300" s="250" t="str">
        <f>F298</f>
        <v>坚朗</v>
      </c>
      <c r="G300" s="108">
        <f>材料价格!B17</f>
        <v>115</v>
      </c>
      <c r="H300" s="147">
        <f t="shared" si="52"/>
        <v>0</v>
      </c>
      <c r="I300" s="149"/>
      <c r="J300" s="255"/>
      <c r="K300" s="255"/>
      <c r="L300" s="255"/>
      <c r="M300" s="255"/>
    </row>
    <row r="301" spans="2:13" ht="18" customHeight="1">
      <c r="B301" s="629"/>
      <c r="C301" s="253"/>
      <c r="D301" s="148"/>
      <c r="E301" s="250"/>
      <c r="F301" s="250"/>
      <c r="G301" s="108"/>
      <c r="H301" s="147">
        <f t="shared" si="52"/>
        <v>0</v>
      </c>
      <c r="I301" s="149"/>
      <c r="J301" s="255"/>
      <c r="K301" s="255"/>
      <c r="L301" s="255"/>
      <c r="M301" s="255"/>
    </row>
    <row r="302" spans="2:13" ht="18" customHeight="1">
      <c r="B302" s="629" t="s">
        <v>199</v>
      </c>
      <c r="C302" s="250" t="s">
        <v>200</v>
      </c>
      <c r="D302" s="148"/>
      <c r="E302" s="250"/>
      <c r="F302" s="250" t="str">
        <f>F300</f>
        <v>坚朗</v>
      </c>
      <c r="G302" s="108">
        <f>材料价格!B19</f>
        <v>230</v>
      </c>
      <c r="H302" s="147">
        <f t="shared" si="52"/>
        <v>0</v>
      </c>
      <c r="I302" s="247"/>
      <c r="J302" s="255"/>
      <c r="K302" s="255"/>
      <c r="L302" s="255"/>
      <c r="M302" s="255"/>
    </row>
    <row r="303" spans="2:13" ht="18" customHeight="1">
      <c r="B303" s="629"/>
      <c r="C303" s="250" t="s">
        <v>201</v>
      </c>
      <c r="D303" s="148"/>
      <c r="E303" s="250"/>
      <c r="F303" s="250" t="str">
        <f>F302</f>
        <v>坚朗</v>
      </c>
      <c r="G303" s="108">
        <f>材料价格!B20</f>
        <v>335</v>
      </c>
      <c r="H303" s="147">
        <f t="shared" si="52"/>
        <v>0</v>
      </c>
      <c r="I303" s="247"/>
      <c r="J303" s="255"/>
      <c r="K303" s="255"/>
      <c r="L303" s="255"/>
      <c r="M303" s="255"/>
    </row>
    <row r="304" spans="2:13" ht="18" customHeight="1">
      <c r="B304" s="150" t="s">
        <v>202</v>
      </c>
      <c r="C304" s="50"/>
      <c r="D304" s="50"/>
      <c r="E304" s="50">
        <f>SUM(E294:E303)</f>
        <v>4</v>
      </c>
      <c r="F304" s="50"/>
      <c r="G304" s="166"/>
      <c r="H304" s="151">
        <f>SUM(H294:H303)</f>
        <v>352</v>
      </c>
      <c r="I304" s="152"/>
      <c r="J304" s="42"/>
    </row>
    <row r="305" spans="1:16" ht="18" customHeight="1">
      <c r="B305" s="246" t="s">
        <v>300</v>
      </c>
      <c r="C305" s="250"/>
      <c r="D305" s="148"/>
      <c r="E305" s="253">
        <f>E294+E296</f>
        <v>0</v>
      </c>
      <c r="F305" s="148"/>
      <c r="G305" s="148">
        <f>材料价格!B27</f>
        <v>0</v>
      </c>
      <c r="H305" s="154">
        <f>E305*G305</f>
        <v>0</v>
      </c>
      <c r="I305" s="247" t="s">
        <v>203</v>
      </c>
    </row>
    <row r="306" spans="1:16" s="16" customFormat="1" ht="18" customHeight="1">
      <c r="A306" s="1"/>
      <c r="B306" s="246" t="s">
        <v>204</v>
      </c>
      <c r="C306" s="250"/>
      <c r="D306" s="148"/>
      <c r="E306" s="253">
        <f>E298+E299+E300+E301</f>
        <v>4</v>
      </c>
      <c r="F306" s="148"/>
      <c r="G306" s="148">
        <f>材料价格!B28</f>
        <v>118</v>
      </c>
      <c r="H306" s="154">
        <f>E306*G306</f>
        <v>472</v>
      </c>
      <c r="I306" s="247" t="s">
        <v>205</v>
      </c>
      <c r="J306" s="43"/>
      <c r="K306" s="43"/>
      <c r="L306" s="43"/>
      <c r="M306" s="43"/>
      <c r="N306" s="255"/>
      <c r="O306" s="255"/>
      <c r="P306" s="255"/>
    </row>
    <row r="307" spans="1:16" s="16" customFormat="1" ht="18" customHeight="1">
      <c r="A307" s="1"/>
      <c r="B307" s="246" t="s">
        <v>206</v>
      </c>
      <c r="C307" s="250"/>
      <c r="D307" s="148"/>
      <c r="E307" s="253"/>
      <c r="F307" s="148"/>
      <c r="G307" s="148"/>
      <c r="H307" s="154">
        <f>E307*G307</f>
        <v>0</v>
      </c>
      <c r="I307" s="247" t="s">
        <v>207</v>
      </c>
      <c r="J307" s="43"/>
      <c r="K307" s="43"/>
      <c r="L307" s="43"/>
      <c r="M307" s="43"/>
      <c r="N307" s="255"/>
      <c r="O307" s="255"/>
      <c r="P307" s="255"/>
    </row>
    <row r="308" spans="1:16" s="16" customFormat="1" ht="18" customHeight="1">
      <c r="A308" s="1"/>
      <c r="B308" s="150" t="s">
        <v>208</v>
      </c>
      <c r="C308" s="50"/>
      <c r="D308" s="50"/>
      <c r="E308" s="100">
        <f>SUM(E305:E307)</f>
        <v>4</v>
      </c>
      <c r="F308" s="50"/>
      <c r="G308" s="166"/>
      <c r="H308" s="155">
        <f>SUM(H305:H307)</f>
        <v>472</v>
      </c>
      <c r="I308" s="152"/>
      <c r="J308" s="43"/>
      <c r="K308" s="43"/>
      <c r="L308" s="43"/>
      <c r="M308" s="43"/>
      <c r="N308" s="255"/>
      <c r="O308" s="255"/>
      <c r="P308" s="255"/>
    </row>
    <row r="309" spans="1:16" s="16" customFormat="1" ht="18" customHeight="1">
      <c r="A309" s="1"/>
      <c r="B309" s="156" t="s">
        <v>209</v>
      </c>
      <c r="C309" s="157">
        <f>ROUND(IF(D4&lt;=200,4,0)+IF(D4&gt;200,(D4/200+1))+IF(E4&lt;=200,4,0)+IF(E4&gt;200,(E4/200+1)),0)</f>
        <v>29</v>
      </c>
      <c r="D309" s="148"/>
      <c r="E309" s="148"/>
      <c r="F309" s="148"/>
      <c r="G309" s="158">
        <v>0.5</v>
      </c>
      <c r="H309" s="159">
        <f>ROUND(C309*G309,2)</f>
        <v>14.5</v>
      </c>
      <c r="I309" s="247" t="s">
        <v>210</v>
      </c>
      <c r="J309" s="43"/>
      <c r="K309" s="43"/>
      <c r="L309" s="43"/>
      <c r="M309" s="43"/>
      <c r="N309" s="255"/>
      <c r="O309" s="255"/>
      <c r="P309" s="255"/>
    </row>
    <row r="310" spans="1:16" s="16" customFormat="1" ht="18" customHeight="1">
      <c r="A310" s="1"/>
      <c r="B310" s="156" t="s">
        <v>211</v>
      </c>
      <c r="C310" s="157">
        <f>C309*2</f>
        <v>58</v>
      </c>
      <c r="D310" s="148">
        <f>D309*2</f>
        <v>0</v>
      </c>
      <c r="E310" s="148"/>
      <c r="F310" s="148"/>
      <c r="G310" s="158">
        <v>0.3</v>
      </c>
      <c r="H310" s="159">
        <f>ROUND(C310*G310,2)</f>
        <v>17.399999999999999</v>
      </c>
      <c r="I310" s="247" t="s">
        <v>212</v>
      </c>
      <c r="J310" s="43"/>
      <c r="K310" s="43"/>
      <c r="L310" s="255"/>
      <c r="M310" s="255"/>
      <c r="N310" s="255"/>
      <c r="O310" s="255"/>
      <c r="P310" s="255"/>
    </row>
    <row r="311" spans="1:16" s="16" customFormat="1" ht="18" customHeight="1">
      <c r="A311" s="1"/>
      <c r="B311" s="160" t="s">
        <v>213</v>
      </c>
      <c r="C311" s="161">
        <f>F6</f>
        <v>6.4824000000000002</v>
      </c>
      <c r="D311" s="162"/>
      <c r="E311" s="162"/>
      <c r="F311" s="162"/>
      <c r="G311" s="163">
        <v>5</v>
      </c>
      <c r="H311" s="159">
        <f>ROUND(C311*G311,2)</f>
        <v>32.409999999999997</v>
      </c>
      <c r="I311" s="247"/>
      <c r="J311" s="43"/>
      <c r="K311" s="43"/>
      <c r="L311" s="255"/>
      <c r="M311" s="255"/>
      <c r="N311" s="255"/>
      <c r="O311" s="255"/>
      <c r="P311" s="255"/>
    </row>
    <row r="312" spans="1:16" s="16" customFormat="1" ht="18" customHeight="1">
      <c r="A312" s="1"/>
      <c r="B312" s="160" t="s">
        <v>214</v>
      </c>
      <c r="C312" s="161"/>
      <c r="D312" s="162"/>
      <c r="E312" s="162"/>
      <c r="F312" s="162"/>
      <c r="G312" s="163"/>
      <c r="H312" s="159">
        <f>ROUND(C312*G312,2)</f>
        <v>0</v>
      </c>
      <c r="I312" s="247"/>
      <c r="J312" s="43"/>
      <c r="K312" s="43"/>
      <c r="L312" s="255"/>
      <c r="M312" s="255"/>
      <c r="N312" s="255"/>
      <c r="O312" s="255"/>
      <c r="P312" s="255"/>
    </row>
    <row r="313" spans="1:16" s="16" customFormat="1" ht="18" customHeight="1">
      <c r="A313" s="1"/>
      <c r="B313" s="164" t="s">
        <v>397</v>
      </c>
      <c r="C313" s="161">
        <f>D291+D292</f>
        <v>4.8113760000000001</v>
      </c>
      <c r="D313" s="162"/>
      <c r="E313" s="162"/>
      <c r="F313" s="162"/>
      <c r="G313" s="163">
        <f>10+5</f>
        <v>15</v>
      </c>
      <c r="H313" s="159">
        <f>ROUND(C313*G313,2)</f>
        <v>72.17</v>
      </c>
      <c r="I313" s="247"/>
      <c r="J313" s="43"/>
      <c r="K313" s="43"/>
      <c r="L313" s="255"/>
      <c r="M313" s="255"/>
      <c r="N313" s="255"/>
      <c r="O313" s="255"/>
      <c r="P313" s="255"/>
    </row>
    <row r="314" spans="1:16" s="16" customFormat="1" ht="18" customHeight="1">
      <c r="A314" s="1"/>
      <c r="B314" s="150" t="s">
        <v>215</v>
      </c>
      <c r="C314" s="165"/>
      <c r="D314" s="50"/>
      <c r="E314" s="50"/>
      <c r="F314" s="50"/>
      <c r="G314" s="166"/>
      <c r="H314" s="155">
        <f>SUM(H309:H313)</f>
        <v>136.48000000000002</v>
      </c>
      <c r="I314" s="152"/>
      <c r="J314" s="43"/>
      <c r="K314" s="43"/>
      <c r="L314" s="255"/>
      <c r="M314" s="255"/>
      <c r="N314" s="255"/>
      <c r="O314" s="255"/>
      <c r="P314" s="255"/>
    </row>
    <row r="315" spans="1:16" s="16" customFormat="1" ht="18" customHeight="1">
      <c r="A315" s="1"/>
      <c r="B315" s="156" t="s">
        <v>216</v>
      </c>
      <c r="C315" s="167">
        <f>E203+E205+E207+I203+I205+E209+I207</f>
        <v>40</v>
      </c>
      <c r="D315" s="148"/>
      <c r="E315" s="148"/>
      <c r="F315" s="148"/>
      <c r="G315" s="168">
        <v>1.9</v>
      </c>
      <c r="H315" s="154">
        <f t="shared" ref="H315:H318" si="53">ROUND(C315*G315,2)</f>
        <v>76</v>
      </c>
      <c r="I315" s="224" t="s">
        <v>340</v>
      </c>
      <c r="J315" s="255"/>
      <c r="K315" s="43"/>
      <c r="L315" s="255"/>
      <c r="M315" s="255"/>
      <c r="N315" s="255"/>
      <c r="O315" s="255"/>
      <c r="P315" s="255"/>
    </row>
    <row r="316" spans="1:16" s="16" customFormat="1" ht="18" customHeight="1">
      <c r="A316" s="1"/>
      <c r="B316" s="156" t="s">
        <v>217</v>
      </c>
      <c r="C316" s="167">
        <f>ROUND((D4+E4)*2/1000,2)</f>
        <v>10.6</v>
      </c>
      <c r="D316" s="148"/>
      <c r="E316" s="238">
        <v>4</v>
      </c>
      <c r="F316" s="235">
        <f>材料价格!B25</f>
        <v>8.52</v>
      </c>
      <c r="G316" s="168">
        <f t="shared" ref="G316:G321" si="54">F316/E316</f>
        <v>2.13</v>
      </c>
      <c r="H316" s="154">
        <f t="shared" si="53"/>
        <v>22.58</v>
      </c>
      <c r="I316" s="169" t="s">
        <v>218</v>
      </c>
      <c r="J316" s="255"/>
      <c r="K316" s="43"/>
      <c r="L316" s="255"/>
      <c r="M316" s="255"/>
      <c r="N316" s="255"/>
      <c r="O316" s="255"/>
      <c r="P316" s="255"/>
    </row>
    <row r="317" spans="1:16" s="16" customFormat="1" ht="18" customHeight="1">
      <c r="A317" s="1"/>
      <c r="B317" s="156" t="s">
        <v>219</v>
      </c>
      <c r="C317" s="167">
        <f>C316</f>
        <v>10.6</v>
      </c>
      <c r="D317" s="148"/>
      <c r="E317" s="238">
        <v>3</v>
      </c>
      <c r="F317" s="235">
        <f>F316</f>
        <v>8.52</v>
      </c>
      <c r="G317" s="168">
        <f t="shared" si="54"/>
        <v>2.84</v>
      </c>
      <c r="H317" s="154">
        <f t="shared" si="53"/>
        <v>30.1</v>
      </c>
      <c r="I317" s="169" t="s">
        <v>220</v>
      </c>
      <c r="J317" s="255"/>
      <c r="K317" s="43"/>
      <c r="L317" s="255"/>
      <c r="M317" s="255"/>
      <c r="N317" s="255"/>
      <c r="O317" s="255"/>
      <c r="P317" s="255"/>
    </row>
    <row r="318" spans="1:16" s="16" customFormat="1" ht="18" customHeight="1">
      <c r="A318" s="1"/>
      <c r="B318" s="156" t="s">
        <v>221</v>
      </c>
      <c r="C318" s="167">
        <f>C316</f>
        <v>10.6</v>
      </c>
      <c r="D318" s="148"/>
      <c r="E318" s="238">
        <v>6.5</v>
      </c>
      <c r="F318" s="235">
        <f>材料价格!B26</f>
        <v>23</v>
      </c>
      <c r="G318" s="168">
        <f t="shared" si="54"/>
        <v>3.5384615384615383</v>
      </c>
      <c r="H318" s="154">
        <f t="shared" si="53"/>
        <v>37.51</v>
      </c>
      <c r="I318" s="224" t="s">
        <v>222</v>
      </c>
      <c r="J318" s="255"/>
      <c r="K318" s="43"/>
      <c r="L318" s="255"/>
      <c r="M318" s="255"/>
      <c r="N318" s="255"/>
      <c r="O318" s="255"/>
      <c r="P318" s="255"/>
    </row>
    <row r="319" spans="1:16" s="16" customFormat="1" ht="18" customHeight="1">
      <c r="A319" s="1"/>
      <c r="B319" s="156" t="s">
        <v>341</v>
      </c>
      <c r="C319" s="167">
        <f>ROUND((C97+C104+C88+C146+C153+C163)*1,2)</f>
        <v>25.32</v>
      </c>
      <c r="D319" s="77">
        <v>1</v>
      </c>
      <c r="E319" s="238">
        <f>10</f>
        <v>10</v>
      </c>
      <c r="F319" s="235">
        <f>F317</f>
        <v>8.52</v>
      </c>
      <c r="G319" s="168">
        <f>F319/E319</f>
        <v>0.85199999999999998</v>
      </c>
      <c r="H319" s="154">
        <f>ROUND(C319*G319,2)</f>
        <v>21.57</v>
      </c>
      <c r="I319" s="247" t="s">
        <v>223</v>
      </c>
      <c r="J319" s="255"/>
      <c r="K319" s="43"/>
      <c r="L319" s="255"/>
      <c r="M319" s="255"/>
      <c r="N319" s="255"/>
      <c r="O319" s="255"/>
      <c r="P319" s="255"/>
    </row>
    <row r="320" spans="1:16" s="16" customFormat="1" ht="18" customHeight="1">
      <c r="A320" s="1"/>
      <c r="B320" s="156" t="s">
        <v>342</v>
      </c>
      <c r="C320" s="167">
        <f>C319</f>
        <v>25.32</v>
      </c>
      <c r="D320" s="77">
        <v>1</v>
      </c>
      <c r="E320" s="238">
        <v>6</v>
      </c>
      <c r="F320" s="235">
        <f>F319</f>
        <v>8.52</v>
      </c>
      <c r="G320" s="168">
        <f t="shared" si="54"/>
        <v>1.42</v>
      </c>
      <c r="H320" s="154">
        <f>ROUND(C320*G320,2)</f>
        <v>35.950000000000003</v>
      </c>
      <c r="I320" s="247" t="s">
        <v>224</v>
      </c>
      <c r="J320" s="255"/>
      <c r="K320" s="170"/>
      <c r="L320" s="170"/>
      <c r="M320" s="170"/>
      <c r="N320" s="170"/>
      <c r="O320" s="170"/>
      <c r="P320" s="170"/>
    </row>
    <row r="321" spans="1:16" s="16" customFormat="1" ht="18" customHeight="1">
      <c r="A321" s="1"/>
      <c r="B321" s="156" t="s">
        <v>225</v>
      </c>
      <c r="C321" s="167">
        <f>C334*D334+C324*D324+C327*D327</f>
        <v>5.6520000000000001</v>
      </c>
      <c r="D321" s="77">
        <v>1</v>
      </c>
      <c r="E321" s="238">
        <f>10</f>
        <v>10</v>
      </c>
      <c r="F321" s="235">
        <f>F317</f>
        <v>8.52</v>
      </c>
      <c r="G321" s="168">
        <f t="shared" si="54"/>
        <v>0.85199999999999998</v>
      </c>
      <c r="H321" s="154">
        <f>ROUND(C321*G321,2)</f>
        <v>4.82</v>
      </c>
      <c r="I321" s="247" t="s">
        <v>226</v>
      </c>
      <c r="J321" s="255"/>
      <c r="K321" s="170"/>
      <c r="L321" s="170"/>
      <c r="M321" s="170"/>
      <c r="N321" s="170"/>
      <c r="O321" s="170"/>
      <c r="P321" s="170"/>
    </row>
    <row r="322" spans="1:16" s="16" customFormat="1" ht="18" customHeight="1">
      <c r="A322" s="1"/>
      <c r="B322" s="150" t="s">
        <v>227</v>
      </c>
      <c r="C322" s="165"/>
      <c r="D322" s="50"/>
      <c r="E322" s="50"/>
      <c r="F322" s="50"/>
      <c r="G322" s="166" t="s">
        <v>396</v>
      </c>
      <c r="H322" s="155">
        <f>SUM(H315:H321)</f>
        <v>228.52999999999997</v>
      </c>
      <c r="I322" s="152"/>
      <c r="J322" s="244" t="s">
        <v>399</v>
      </c>
      <c r="K322" s="245" t="s">
        <v>379</v>
      </c>
      <c r="L322" s="170"/>
      <c r="M322" s="170"/>
      <c r="N322" s="170"/>
      <c r="O322" s="170"/>
      <c r="P322" s="170"/>
    </row>
    <row r="323" spans="1:16" s="16" customFormat="1" ht="18" customHeight="1">
      <c r="A323" s="1"/>
      <c r="B323" s="156" t="s">
        <v>356</v>
      </c>
      <c r="C323" s="167">
        <f>C31</f>
        <v>0</v>
      </c>
      <c r="D323" s="239">
        <v>1</v>
      </c>
      <c r="E323" s="148"/>
      <c r="F323" s="148"/>
      <c r="G323" s="236">
        <f>0.45+0.85</f>
        <v>1.3</v>
      </c>
      <c r="H323" s="154">
        <f>ROUND(C323*D323*G323,2)</f>
        <v>0</v>
      </c>
      <c r="I323" s="247" t="s">
        <v>345</v>
      </c>
      <c r="J323" s="244">
        <v>1.76</v>
      </c>
      <c r="K323" s="245" t="s">
        <v>400</v>
      </c>
      <c r="L323" s="170"/>
      <c r="M323" s="171"/>
      <c r="N323" s="170"/>
      <c r="O323" s="170"/>
      <c r="P323" s="170"/>
    </row>
    <row r="324" spans="1:16" s="16" customFormat="1" ht="18" customHeight="1">
      <c r="A324" s="1"/>
      <c r="B324" s="156" t="s">
        <v>347</v>
      </c>
      <c r="C324" s="167">
        <f>C323</f>
        <v>0</v>
      </c>
      <c r="D324" s="239">
        <v>1</v>
      </c>
      <c r="E324" s="148"/>
      <c r="F324" s="148"/>
      <c r="G324" s="236">
        <v>6.89</v>
      </c>
      <c r="H324" s="154">
        <f t="shared" ref="H324:H329" si="55">ROUND(C324*D324*G324,2)</f>
        <v>0</v>
      </c>
      <c r="I324" s="247" t="s">
        <v>346</v>
      </c>
      <c r="J324" s="244">
        <v>12.25</v>
      </c>
      <c r="K324" s="245" t="s">
        <v>376</v>
      </c>
      <c r="L324" s="170"/>
      <c r="M324" s="171"/>
      <c r="N324" s="170"/>
      <c r="O324" s="170"/>
      <c r="P324" s="170"/>
    </row>
    <row r="325" spans="1:16" s="16" customFormat="1" ht="18" customHeight="1">
      <c r="A325" s="1"/>
      <c r="B325" s="156" t="s">
        <v>357</v>
      </c>
      <c r="C325" s="167">
        <f>C38</f>
        <v>10.039999999999999</v>
      </c>
      <c r="D325" s="239">
        <v>1</v>
      </c>
      <c r="E325" s="148"/>
      <c r="F325" s="148"/>
      <c r="G325" s="236">
        <f>0.85+0.61</f>
        <v>1.46</v>
      </c>
      <c r="H325" s="154">
        <f t="shared" si="55"/>
        <v>14.66</v>
      </c>
      <c r="I325" s="247" t="s">
        <v>354</v>
      </c>
      <c r="J325" s="244">
        <v>1.76</v>
      </c>
      <c r="K325" s="245" t="s">
        <v>378</v>
      </c>
      <c r="L325" s="170"/>
      <c r="M325" s="171"/>
      <c r="N325" s="170"/>
      <c r="O325" s="170"/>
      <c r="P325" s="170"/>
    </row>
    <row r="326" spans="1:16" s="16" customFormat="1" ht="18" customHeight="1">
      <c r="A326" s="1"/>
      <c r="B326" s="156" t="s">
        <v>355</v>
      </c>
      <c r="C326" s="167">
        <f>C325</f>
        <v>10.039999999999999</v>
      </c>
      <c r="D326" s="239">
        <v>1</v>
      </c>
      <c r="E326" s="148"/>
      <c r="F326" s="148"/>
      <c r="G326" s="236">
        <v>3.27</v>
      </c>
      <c r="H326" s="154">
        <f>ROUND(C326*D326*G326,2)</f>
        <v>32.83</v>
      </c>
      <c r="I326" s="247" t="s">
        <v>358</v>
      </c>
      <c r="J326" s="244">
        <v>3.27</v>
      </c>
      <c r="K326" s="245" t="s">
        <v>358</v>
      </c>
      <c r="L326" s="170"/>
      <c r="M326" s="171"/>
      <c r="N326" s="170"/>
      <c r="O326" s="170"/>
      <c r="P326" s="170"/>
    </row>
    <row r="327" spans="1:16" s="16" customFormat="1" ht="18" customHeight="1">
      <c r="A327" s="1"/>
      <c r="B327" s="156" t="s">
        <v>228</v>
      </c>
      <c r="C327" s="167">
        <f>C126</f>
        <v>0</v>
      </c>
      <c r="D327" s="239">
        <v>1</v>
      </c>
      <c r="E327" s="110"/>
      <c r="F327" s="148"/>
      <c r="G327" s="236">
        <v>6.89</v>
      </c>
      <c r="H327" s="154">
        <f t="shared" si="55"/>
        <v>0</v>
      </c>
      <c r="I327" s="247" t="s">
        <v>346</v>
      </c>
      <c r="J327" s="244">
        <v>12.25</v>
      </c>
      <c r="K327" s="245" t="s">
        <v>346</v>
      </c>
      <c r="L327" s="170"/>
      <c r="M327" s="171"/>
      <c r="N327" s="170"/>
      <c r="O327" s="170"/>
      <c r="P327" s="170"/>
    </row>
    <row r="328" spans="1:16" s="16" customFormat="1" ht="18" customHeight="1">
      <c r="A328" s="1"/>
      <c r="B328" s="156" t="s">
        <v>229</v>
      </c>
      <c r="C328" s="167">
        <f>C327</f>
        <v>0</v>
      </c>
      <c r="D328" s="239">
        <v>1</v>
      </c>
      <c r="E328" s="110"/>
      <c r="F328" s="148"/>
      <c r="G328" s="236">
        <f>G3233</f>
        <v>0</v>
      </c>
      <c r="H328" s="154">
        <f t="shared" si="55"/>
        <v>0</v>
      </c>
      <c r="I328" s="247" t="s">
        <v>345</v>
      </c>
      <c r="J328" s="244">
        <v>0</v>
      </c>
      <c r="K328" s="245" t="s">
        <v>400</v>
      </c>
      <c r="L328" s="170"/>
      <c r="M328" s="171"/>
      <c r="N328" s="170"/>
      <c r="O328" s="170"/>
      <c r="P328" s="170"/>
    </row>
    <row r="329" spans="1:16" s="16" customFormat="1" ht="18" customHeight="1">
      <c r="A329" s="1"/>
      <c r="B329" s="156" t="s">
        <v>230</v>
      </c>
      <c r="C329" s="167">
        <f>C119</f>
        <v>0</v>
      </c>
      <c r="D329" s="239">
        <v>1</v>
      </c>
      <c r="E329" s="148"/>
      <c r="F329" s="148"/>
      <c r="G329" s="236">
        <f>G3253</f>
        <v>0</v>
      </c>
      <c r="H329" s="154">
        <f t="shared" si="55"/>
        <v>0</v>
      </c>
      <c r="I329" s="247" t="s">
        <v>354</v>
      </c>
      <c r="J329" s="244">
        <v>0</v>
      </c>
      <c r="K329" s="245" t="s">
        <v>378</v>
      </c>
      <c r="L329" s="170"/>
      <c r="M329" s="171"/>
      <c r="N329" s="170"/>
      <c r="O329" s="170"/>
      <c r="P329" s="170"/>
    </row>
    <row r="330" spans="1:16" s="16" customFormat="1" ht="18" customHeight="1">
      <c r="A330" s="1"/>
      <c r="B330" s="156" t="s">
        <v>362</v>
      </c>
      <c r="C330" s="167">
        <f>C329</f>
        <v>0</v>
      </c>
      <c r="D330" s="239">
        <v>1</v>
      </c>
      <c r="E330" s="148"/>
      <c r="F330" s="148"/>
      <c r="G330" s="236">
        <v>3.27</v>
      </c>
      <c r="H330" s="154">
        <f>ROUND(C330*D330*G330,2)</f>
        <v>0</v>
      </c>
      <c r="I330" s="247" t="s">
        <v>358</v>
      </c>
      <c r="J330" s="244">
        <v>3.27</v>
      </c>
      <c r="K330" s="245" t="s">
        <v>358</v>
      </c>
      <c r="L330" s="170"/>
      <c r="M330" s="171"/>
      <c r="N330" s="170"/>
      <c r="O330" s="170"/>
      <c r="P330" s="170"/>
    </row>
    <row r="331" spans="1:16" s="16" customFormat="1" ht="18" customHeight="1">
      <c r="A331" s="1"/>
      <c r="B331" s="156" t="s">
        <v>343</v>
      </c>
      <c r="C331" s="167">
        <f>C319</f>
        <v>25.32</v>
      </c>
      <c r="D331" s="239">
        <v>1</v>
      </c>
      <c r="E331" s="148"/>
      <c r="F331" s="148"/>
      <c r="G331" s="236">
        <v>1.25</v>
      </c>
      <c r="H331" s="154">
        <f>C331*D331*G331</f>
        <v>31.65</v>
      </c>
      <c r="I331" s="247" t="s">
        <v>344</v>
      </c>
      <c r="J331" s="244">
        <v>1.25</v>
      </c>
      <c r="K331" s="245" t="s">
        <v>344</v>
      </c>
      <c r="L331" s="170"/>
      <c r="M331" s="171"/>
      <c r="N331" s="170"/>
      <c r="O331" s="170"/>
      <c r="P331" s="170"/>
    </row>
    <row r="332" spans="1:16" s="16" customFormat="1" ht="18" customHeight="1">
      <c r="A332" s="1"/>
      <c r="B332" s="156" t="s">
        <v>350</v>
      </c>
      <c r="C332" s="167" cm="1">
        <f t="array" ref="C332">SUMPRODUCT(D26:D30*G26:G30)/1000</f>
        <v>0</v>
      </c>
      <c r="D332" s="239">
        <v>1</v>
      </c>
      <c r="E332" s="148"/>
      <c r="F332" s="148"/>
      <c r="G332" s="236">
        <v>0.41</v>
      </c>
      <c r="H332" s="154">
        <f>C332*D332*G332</f>
        <v>0</v>
      </c>
      <c r="I332" s="247" t="s">
        <v>348</v>
      </c>
      <c r="J332" s="244">
        <v>0.41</v>
      </c>
      <c r="K332" s="245" t="s">
        <v>348</v>
      </c>
      <c r="L332" s="170"/>
      <c r="M332" s="171"/>
      <c r="N332" s="170"/>
      <c r="O332" s="170"/>
      <c r="P332" s="170"/>
    </row>
    <row r="333" spans="1:16" s="16" customFormat="1" ht="18" customHeight="1">
      <c r="A333" s="1"/>
      <c r="B333" s="156" t="s">
        <v>349</v>
      </c>
      <c r="C333" s="167">
        <f>C88+C97+C104+C153+C163+C146</f>
        <v>25.316000000000003</v>
      </c>
      <c r="D333" s="239">
        <v>1</v>
      </c>
      <c r="E333" s="148"/>
      <c r="F333" s="148"/>
      <c r="G333" s="236">
        <v>0.49</v>
      </c>
      <c r="H333" s="154">
        <f>C333*D333*G333</f>
        <v>12.404840000000002</v>
      </c>
      <c r="I333" s="247" t="s">
        <v>351</v>
      </c>
      <c r="J333" s="244">
        <v>0.49</v>
      </c>
      <c r="K333" s="245" t="s">
        <v>351</v>
      </c>
      <c r="L333" s="170"/>
      <c r="M333" s="171"/>
      <c r="N333" s="170"/>
      <c r="O333" s="170"/>
      <c r="P333" s="170"/>
    </row>
    <row r="334" spans="1:16" s="16" customFormat="1" ht="18" customHeight="1">
      <c r="A334" s="1"/>
      <c r="B334" s="156" t="s">
        <v>353</v>
      </c>
      <c r="C334" s="167">
        <f t="array" ref="C334">SUMPRODUCT(D157:D162*G157:G162)/1000+SUM(G157:G162)*0.3+SUMPRODUCT(D68:D87*G68:G87)/1000+SUM(G68:G87)*0.3</f>
        <v>5.6520000000000001</v>
      </c>
      <c r="D334" s="239">
        <v>1</v>
      </c>
      <c r="E334" s="148"/>
      <c r="F334" s="148"/>
      <c r="G334" s="237">
        <v>5.36</v>
      </c>
      <c r="H334" s="154">
        <f>C334*G334</f>
        <v>30.294720000000002</v>
      </c>
      <c r="I334" s="247" t="s">
        <v>352</v>
      </c>
      <c r="J334" s="244">
        <v>9.5500000000000007</v>
      </c>
      <c r="K334" s="245" t="s">
        <v>377</v>
      </c>
      <c r="L334" s="170"/>
      <c r="M334" s="171"/>
      <c r="N334" s="170"/>
      <c r="O334" s="170"/>
      <c r="P334" s="170"/>
    </row>
    <row r="335" spans="1:16" s="16" customFormat="1" ht="18" customHeight="1">
      <c r="A335" s="1"/>
      <c r="B335" s="156" t="s">
        <v>364</v>
      </c>
      <c r="C335" s="167">
        <f>C319</f>
        <v>25.32</v>
      </c>
      <c r="D335" s="239">
        <v>1</v>
      </c>
      <c r="E335" s="148"/>
      <c r="F335" s="148"/>
      <c r="G335" s="237">
        <v>1.25</v>
      </c>
      <c r="H335" s="154"/>
      <c r="I335" s="149" t="s">
        <v>363</v>
      </c>
      <c r="J335" s="244">
        <v>1.25</v>
      </c>
      <c r="K335" s="245" t="s">
        <v>363</v>
      </c>
      <c r="L335" s="170"/>
      <c r="M335" s="171"/>
      <c r="N335" s="170"/>
      <c r="O335" s="170"/>
      <c r="P335" s="170"/>
    </row>
    <row r="336" spans="1:16" s="16" customFormat="1" ht="18" customHeight="1">
      <c r="A336" s="1"/>
      <c r="B336" s="156" t="s">
        <v>365</v>
      </c>
      <c r="C336" s="167">
        <f>C320</f>
        <v>25.32</v>
      </c>
      <c r="D336" s="239">
        <v>1</v>
      </c>
      <c r="E336" s="148"/>
      <c r="F336" s="148"/>
      <c r="G336" s="237">
        <v>1.63</v>
      </c>
      <c r="H336" s="154"/>
      <c r="I336" s="149" t="s">
        <v>363</v>
      </c>
      <c r="J336" s="244">
        <v>1.63</v>
      </c>
      <c r="K336" s="245" t="s">
        <v>363</v>
      </c>
      <c r="L336" s="170"/>
      <c r="M336" s="171"/>
      <c r="N336" s="170"/>
      <c r="O336" s="170"/>
      <c r="P336" s="170"/>
    </row>
    <row r="337" spans="1:16" s="16" customFormat="1" ht="18" customHeight="1">
      <c r="A337" s="1"/>
      <c r="B337" s="150" t="s">
        <v>231</v>
      </c>
      <c r="C337" s="165"/>
      <c r="D337" s="50"/>
      <c r="E337" s="50"/>
      <c r="F337" s="50"/>
      <c r="G337" s="166"/>
      <c r="H337" s="155">
        <f>SUM(H323:H336)*1.05</f>
        <v>127.931538</v>
      </c>
      <c r="I337" s="152"/>
      <c r="J337" s="172"/>
      <c r="K337" s="170"/>
      <c r="L337" s="170"/>
      <c r="M337" s="170"/>
      <c r="N337" s="170"/>
      <c r="O337" s="170"/>
      <c r="P337" s="170"/>
    </row>
    <row r="338" spans="1:16" s="16" customFormat="1" ht="18" customHeight="1">
      <c r="A338" s="1"/>
      <c r="B338" s="173" t="s">
        <v>366</v>
      </c>
      <c r="C338" s="174">
        <f>F250+F258+F265+F280+F285+F290</f>
        <v>5</v>
      </c>
      <c r="D338" s="175">
        <v>2</v>
      </c>
      <c r="E338" s="176"/>
      <c r="F338" s="176"/>
      <c r="G338" s="240">
        <v>0.5</v>
      </c>
      <c r="H338" s="177">
        <f t="shared" ref="H338:H343" si="56">D338*G338*C338</f>
        <v>5</v>
      </c>
      <c r="I338" s="178" t="s">
        <v>233</v>
      </c>
      <c r="J338" s="172"/>
      <c r="K338" s="170"/>
      <c r="L338" s="170"/>
      <c r="M338" s="170"/>
      <c r="N338" s="170"/>
      <c r="O338" s="170"/>
      <c r="P338" s="170"/>
    </row>
    <row r="339" spans="1:16" s="16" customFormat="1" ht="18" customHeight="1">
      <c r="A339" s="1"/>
      <c r="B339" s="173" t="s">
        <v>367</v>
      </c>
      <c r="C339" s="174">
        <f>F233+F242+F269+F273</f>
        <v>4</v>
      </c>
      <c r="D339" s="175">
        <v>4</v>
      </c>
      <c r="E339" s="176"/>
      <c r="F339" s="176"/>
      <c r="G339" s="240">
        <v>0.63</v>
      </c>
      <c r="H339" s="177">
        <f t="shared" si="56"/>
        <v>10.08</v>
      </c>
      <c r="I339" s="178" t="s">
        <v>234</v>
      </c>
      <c r="J339" s="172"/>
      <c r="K339" s="170"/>
      <c r="L339" s="170"/>
      <c r="M339" s="170"/>
      <c r="N339" s="170"/>
      <c r="O339" s="170"/>
      <c r="P339" s="170"/>
    </row>
    <row r="340" spans="1:16" s="16" customFormat="1" ht="18" customHeight="1">
      <c r="A340" s="1"/>
      <c r="B340" s="173" t="s">
        <v>366</v>
      </c>
      <c r="C340" s="174">
        <f>SUM(G157:G162)</f>
        <v>0</v>
      </c>
      <c r="D340" s="175">
        <f>IF(E113&gt;2200,2,0)</f>
        <v>0</v>
      </c>
      <c r="E340" s="176"/>
      <c r="F340" s="176"/>
      <c r="G340" s="240">
        <v>0.5</v>
      </c>
      <c r="H340" s="177">
        <f t="shared" si="56"/>
        <v>0</v>
      </c>
      <c r="I340" s="178" t="s">
        <v>235</v>
      </c>
      <c r="J340" s="172"/>
      <c r="K340" s="170"/>
      <c r="L340" s="170"/>
      <c r="M340" s="170"/>
      <c r="N340" s="170"/>
      <c r="O340" s="170"/>
      <c r="P340" s="170"/>
    </row>
    <row r="341" spans="1:16" s="16" customFormat="1" ht="18" customHeight="1">
      <c r="A341" s="1"/>
      <c r="B341" s="173" t="s">
        <v>367</v>
      </c>
      <c r="C341" s="174">
        <f>SUM(G116:G118)</f>
        <v>0</v>
      </c>
      <c r="D341" s="175">
        <v>4</v>
      </c>
      <c r="E341" s="176"/>
      <c r="F341" s="176"/>
      <c r="G341" s="240">
        <v>0.63</v>
      </c>
      <c r="H341" s="177">
        <f t="shared" si="56"/>
        <v>0</v>
      </c>
      <c r="I341" s="178" t="s">
        <v>236</v>
      </c>
      <c r="J341" s="172"/>
      <c r="K341" s="170"/>
      <c r="L341" s="170"/>
      <c r="M341" s="170"/>
      <c r="N341" s="170"/>
      <c r="O341" s="170"/>
      <c r="P341" s="170"/>
    </row>
    <row r="342" spans="1:16" ht="18" customHeight="1">
      <c r="B342" s="173" t="s">
        <v>237</v>
      </c>
      <c r="C342" s="174">
        <v>1</v>
      </c>
      <c r="D342" s="175">
        <f>(F291+F292)*10</f>
        <v>90</v>
      </c>
      <c r="E342" s="176"/>
      <c r="F342" s="176"/>
      <c r="G342" s="240">
        <v>0.37</v>
      </c>
      <c r="H342" s="177">
        <f t="shared" si="56"/>
        <v>33.299999999999997</v>
      </c>
      <c r="I342" s="178"/>
      <c r="J342" s="172"/>
      <c r="K342" s="172"/>
      <c r="L342" s="172"/>
      <c r="N342" s="43"/>
    </row>
    <row r="343" spans="1:16" ht="18" customHeight="1">
      <c r="B343" s="173" t="s">
        <v>232</v>
      </c>
      <c r="C343" s="174">
        <f>C338</f>
        <v>5</v>
      </c>
      <c r="D343" s="175">
        <v>0</v>
      </c>
      <c r="E343" s="176"/>
      <c r="F343" s="176"/>
      <c r="G343" s="240">
        <v>0.49</v>
      </c>
      <c r="H343" s="177">
        <f t="shared" si="56"/>
        <v>0</v>
      </c>
      <c r="I343" s="178" t="s">
        <v>238</v>
      </c>
      <c r="J343" s="172"/>
      <c r="K343" s="172"/>
      <c r="L343" s="172"/>
      <c r="N343" s="43"/>
    </row>
    <row r="344" spans="1:16" ht="18" customHeight="1">
      <c r="B344" s="156" t="s">
        <v>239</v>
      </c>
      <c r="C344" s="157"/>
      <c r="D344" s="250">
        <f>E203+E205*2+E207*2+I203+I205*2+I207*2</f>
        <v>40</v>
      </c>
      <c r="E344" s="148"/>
      <c r="F344" s="148"/>
      <c r="G344" s="148">
        <v>0.2</v>
      </c>
      <c r="H344" s="179">
        <f>D344*G344</f>
        <v>8</v>
      </c>
      <c r="I344" s="247" t="s">
        <v>368</v>
      </c>
      <c r="J344" s="172"/>
      <c r="K344" s="172"/>
      <c r="L344" s="172"/>
    </row>
    <row r="345" spans="1:16" ht="18" customHeight="1">
      <c r="B345" s="156" t="s">
        <v>240</v>
      </c>
      <c r="C345" s="157"/>
      <c r="D345" s="250">
        <f>4*(E52+E53+E54+E55+G52+G53+G54+G55+G60+G61+G62+G63+E130+E131+E132+G130+G131+G132+G137+G138)</f>
        <v>28</v>
      </c>
      <c r="E345" s="148"/>
      <c r="F345" s="148"/>
      <c r="G345" s="148">
        <v>0.22</v>
      </c>
      <c r="H345" s="179">
        <f>D345*G345</f>
        <v>6.16</v>
      </c>
      <c r="I345" s="247" t="s">
        <v>241</v>
      </c>
      <c r="J345" s="172"/>
      <c r="K345" s="172"/>
      <c r="L345" s="172"/>
    </row>
    <row r="346" spans="1:16" ht="18" customHeight="1">
      <c r="B346" s="156" t="s">
        <v>242</v>
      </c>
      <c r="C346" s="157"/>
      <c r="D346" s="250">
        <f>D345/2</f>
        <v>14</v>
      </c>
      <c r="E346" s="148"/>
      <c r="F346" s="148"/>
      <c r="G346" s="148">
        <v>0.22</v>
      </c>
      <c r="H346" s="179">
        <f>ROUND(D346*G346,2)</f>
        <v>3.08</v>
      </c>
      <c r="I346" s="247" t="s">
        <v>243</v>
      </c>
      <c r="J346" s="172"/>
      <c r="K346" s="172"/>
      <c r="L346" s="172"/>
    </row>
    <row r="347" spans="1:16" ht="18" customHeight="1">
      <c r="B347" s="156" t="s">
        <v>369</v>
      </c>
      <c r="C347" s="157"/>
      <c r="D347" s="250">
        <f>D346</f>
        <v>14</v>
      </c>
      <c r="E347" s="148"/>
      <c r="F347" s="148"/>
      <c r="G347" s="148">
        <v>1.37</v>
      </c>
      <c r="H347" s="179">
        <f>ROUND(D347*G347,2)</f>
        <v>19.18</v>
      </c>
      <c r="I347" s="247" t="s">
        <v>370</v>
      </c>
      <c r="J347" s="172"/>
      <c r="K347" s="172"/>
      <c r="L347" s="172"/>
    </row>
    <row r="348" spans="1:16" ht="18" customHeight="1">
      <c r="B348" s="156" t="s">
        <v>244</v>
      </c>
      <c r="C348" s="157"/>
      <c r="D348" s="250">
        <f>(F291+F292)*2</f>
        <v>18</v>
      </c>
      <c r="E348" s="148"/>
      <c r="F348" s="148"/>
      <c r="G348" s="148">
        <v>0.48</v>
      </c>
      <c r="H348" s="179">
        <f>ROUND(D348*G348,2)</f>
        <v>8.64</v>
      </c>
      <c r="I348" s="247" t="s">
        <v>245</v>
      </c>
      <c r="J348" s="255"/>
    </row>
    <row r="349" spans="1:16" ht="18" customHeight="1">
      <c r="B349" s="156" t="s">
        <v>246</v>
      </c>
      <c r="C349" s="157"/>
      <c r="D349" s="250">
        <f>ROUND((D4+E4-240)*2/200+E217*F217/200,0)</f>
        <v>62</v>
      </c>
      <c r="E349" s="148"/>
      <c r="F349" s="148"/>
      <c r="G349" s="148">
        <v>0.05</v>
      </c>
      <c r="H349" s="179">
        <f>ROUND(D349*G349,2)</f>
        <v>3.1</v>
      </c>
      <c r="I349" s="247" t="s">
        <v>247</v>
      </c>
      <c r="J349" s="255"/>
    </row>
    <row r="350" spans="1:16" ht="18" customHeight="1">
      <c r="B350" s="150" t="s">
        <v>248</v>
      </c>
      <c r="C350" s="165"/>
      <c r="D350" s="50"/>
      <c r="E350" s="50"/>
      <c r="F350" s="50"/>
      <c r="G350" s="166"/>
      <c r="H350" s="155">
        <f>SUM(H338:H349)</f>
        <v>96.539999999999978</v>
      </c>
      <c r="I350" s="152"/>
    </row>
    <row r="351" spans="1:16" ht="18" customHeight="1">
      <c r="B351" s="156" t="s">
        <v>359</v>
      </c>
      <c r="C351" s="157"/>
      <c r="D351" s="250">
        <f>SUMPRODUCT(G26:G30)*8+SUMPRODUCT(G35:G37)*8+SUMPRODUCT(G116:G118)*8+SUMPRODUCT(G123:G125)*8</f>
        <v>32</v>
      </c>
      <c r="E351" s="148"/>
      <c r="F351" s="148"/>
      <c r="G351" s="148">
        <v>1.26</v>
      </c>
      <c r="H351" s="154">
        <f>ROUND(D351*G351,2)</f>
        <v>40.32</v>
      </c>
      <c r="I351" s="247" t="s">
        <v>386</v>
      </c>
    </row>
    <row r="352" spans="1:16" ht="18" customHeight="1">
      <c r="B352" s="156" t="s">
        <v>360</v>
      </c>
      <c r="C352" s="157"/>
      <c r="D352" s="250">
        <f>G26*4+G27*4+G28*4+G29*4+G30*4</f>
        <v>0</v>
      </c>
      <c r="E352" s="148"/>
      <c r="F352" s="148"/>
      <c r="G352" s="148">
        <v>2</v>
      </c>
      <c r="H352" s="154">
        <f>ROUND(D352*G352,2)</f>
        <v>0</v>
      </c>
      <c r="I352" s="247" t="s">
        <v>361</v>
      </c>
    </row>
    <row r="353" spans="1:22" ht="18" customHeight="1">
      <c r="B353" s="156" t="s">
        <v>249</v>
      </c>
      <c r="C353" s="157"/>
      <c r="D353" s="250"/>
      <c r="E353" s="148"/>
      <c r="F353" s="148"/>
      <c r="G353" s="148">
        <v>1.6</v>
      </c>
      <c r="H353" s="154"/>
      <c r="I353" s="247"/>
    </row>
    <row r="354" spans="1:22" ht="18" customHeight="1">
      <c r="B354" s="156" t="s">
        <v>250</v>
      </c>
      <c r="C354" s="157"/>
      <c r="D354" s="44">
        <f>C22+C31+C38+C48+C56+C64+C112+C119+C126+C133+C139+C199</f>
        <v>43.25</v>
      </c>
      <c r="E354" s="148"/>
      <c r="F354" s="148"/>
      <c r="G354" s="179">
        <v>4</v>
      </c>
      <c r="H354" s="154">
        <f t="shared" ref="H354:H356" si="57">ROUND(D354*G354,2)</f>
        <v>173</v>
      </c>
      <c r="I354" s="247"/>
    </row>
    <row r="355" spans="1:22" ht="18" customHeight="1">
      <c r="B355" s="156" t="s">
        <v>251</v>
      </c>
      <c r="C355" s="157" t="s">
        <v>252</v>
      </c>
      <c r="D355" s="44">
        <f>C88+C163</f>
        <v>17.228000000000002</v>
      </c>
      <c r="E355" s="148"/>
      <c r="F355" s="148"/>
      <c r="G355" s="179">
        <v>3.15</v>
      </c>
      <c r="H355" s="154">
        <f t="shared" si="57"/>
        <v>54.27</v>
      </c>
      <c r="I355" s="247"/>
    </row>
    <row r="356" spans="1:22" ht="18" customHeight="1">
      <c r="B356" s="156" t="s">
        <v>253</v>
      </c>
      <c r="C356" s="157" t="s">
        <v>254</v>
      </c>
      <c r="D356" s="44">
        <f>C97+C104+C146+C153</f>
        <v>8.0879999999999992</v>
      </c>
      <c r="E356" s="148"/>
      <c r="F356" s="148"/>
      <c r="G356" s="179">
        <v>3.65</v>
      </c>
      <c r="H356" s="154">
        <f t="shared" si="57"/>
        <v>29.52</v>
      </c>
      <c r="I356" s="247"/>
    </row>
    <row r="357" spans="1:22" ht="18" customHeight="1">
      <c r="B357" s="156" t="s">
        <v>387</v>
      </c>
      <c r="C357" s="157"/>
      <c r="D357" s="44">
        <f>F291+F292</f>
        <v>9</v>
      </c>
      <c r="E357" s="148"/>
      <c r="F357" s="148"/>
      <c r="G357" s="179">
        <v>6</v>
      </c>
      <c r="H357" s="154"/>
      <c r="I357" s="247"/>
    </row>
    <row r="358" spans="1:22" ht="18" customHeight="1">
      <c r="B358" s="156" t="s">
        <v>255</v>
      </c>
      <c r="C358" s="157"/>
      <c r="D358" s="180">
        <f>F14*1.5</f>
        <v>10.11</v>
      </c>
      <c r="E358" s="148"/>
      <c r="F358" s="148"/>
      <c r="G358" s="148">
        <v>70</v>
      </c>
      <c r="H358" s="154">
        <f>D358*G358</f>
        <v>707.69999999999993</v>
      </c>
      <c r="I358" s="247"/>
    </row>
    <row r="359" spans="1:22" ht="18" customHeight="1">
      <c r="B359" s="156" t="s">
        <v>858</v>
      </c>
      <c r="C359" s="157"/>
      <c r="D359" s="180">
        <f>D4*3/1000</f>
        <v>6.9</v>
      </c>
      <c r="E359" s="148"/>
      <c r="F359" s="148"/>
      <c r="G359" s="148">
        <v>180</v>
      </c>
      <c r="H359" s="154">
        <f>D359*G359</f>
        <v>1242</v>
      </c>
      <c r="I359" s="247"/>
    </row>
    <row r="360" spans="1:22" ht="18" customHeight="1">
      <c r="B360" s="156" t="s">
        <v>388</v>
      </c>
      <c r="C360" s="157"/>
      <c r="D360" s="250">
        <v>1</v>
      </c>
      <c r="E360" s="148"/>
      <c r="F360" s="148"/>
      <c r="G360" s="148">
        <v>9.6</v>
      </c>
      <c r="H360" s="154">
        <f>ROUND(D360*G360,2)</f>
        <v>9.6</v>
      </c>
      <c r="I360" s="247"/>
    </row>
    <row r="361" spans="1:22" ht="18" customHeight="1">
      <c r="B361" s="156" t="s">
        <v>901</v>
      </c>
      <c r="C361" s="157"/>
      <c r="D361" s="463">
        <f>(D4+E4)*2/1000</f>
        <v>10.6</v>
      </c>
      <c r="E361" s="148"/>
      <c r="F361" s="148"/>
      <c r="G361" s="148">
        <v>45</v>
      </c>
      <c r="H361" s="154">
        <f>ROUND(D361*G361,2)</f>
        <v>477</v>
      </c>
      <c r="I361" s="468"/>
    </row>
    <row r="362" spans="1:22" ht="18" customHeight="1">
      <c r="B362" s="181" t="s">
        <v>398</v>
      </c>
      <c r="C362" s="157"/>
      <c r="D362" s="182">
        <f>F366</f>
        <v>6.5339</v>
      </c>
      <c r="E362" s="148"/>
      <c r="F362" s="148"/>
      <c r="G362" s="148">
        <v>3</v>
      </c>
      <c r="H362" s="154">
        <f>D362*G362</f>
        <v>19.601700000000001</v>
      </c>
      <c r="I362" s="247"/>
    </row>
    <row r="363" spans="1:22" ht="18" customHeight="1">
      <c r="B363" s="150" t="s">
        <v>256</v>
      </c>
      <c r="C363" s="50"/>
      <c r="D363" s="50"/>
      <c r="E363" s="50"/>
      <c r="F363" s="50"/>
      <c r="G363" s="166"/>
      <c r="H363" s="155">
        <f>SUM(H351:H362)</f>
        <v>2753.0117</v>
      </c>
      <c r="I363" s="183"/>
    </row>
    <row r="364" spans="1:22" ht="18" customHeight="1">
      <c r="B364" s="248" t="s">
        <v>257</v>
      </c>
      <c r="C364" s="185"/>
      <c r="D364" s="186"/>
      <c r="E364" s="185"/>
      <c r="F364" s="186"/>
      <c r="G364" s="186"/>
      <c r="H364" s="187">
        <f>SUM(H363,H350,H337,H322,H314,H308,H304)</f>
        <v>4166.4932379999991</v>
      </c>
      <c r="I364" s="188"/>
    </row>
    <row r="365" spans="1:22" ht="18" customHeight="1">
      <c r="A365" s="189"/>
      <c r="B365" s="190" t="s">
        <v>258</v>
      </c>
      <c r="C365" s="10" t="s">
        <v>14</v>
      </c>
      <c r="D365" s="10" t="s">
        <v>16</v>
      </c>
      <c r="E365" s="10" t="s">
        <v>17</v>
      </c>
      <c r="F365" s="10" t="s">
        <v>7</v>
      </c>
      <c r="G365" s="10" t="s">
        <v>5</v>
      </c>
      <c r="H365" s="10" t="s">
        <v>18</v>
      </c>
      <c r="I365" s="191" t="s">
        <v>259</v>
      </c>
      <c r="L365" s="192"/>
      <c r="M365" s="192"/>
    </row>
    <row r="366" spans="1:22" ht="18" customHeight="1">
      <c r="B366" s="48">
        <f>ROUND(I366/F366,2)</f>
        <v>1489.75</v>
      </c>
      <c r="C366" s="50" t="s">
        <v>299</v>
      </c>
      <c r="D366" s="50">
        <f>D5</f>
        <v>2230</v>
      </c>
      <c r="E366" s="50">
        <f>E5</f>
        <v>2930</v>
      </c>
      <c r="F366" s="49">
        <f>E366*D366/1000000</f>
        <v>6.5339</v>
      </c>
      <c r="G366" s="50">
        <f>G4</f>
        <v>1</v>
      </c>
      <c r="H366" s="49">
        <f>F366</f>
        <v>6.5339</v>
      </c>
      <c r="I366" s="193">
        <f>H364+H291+H292+I223+I12</f>
        <v>9733.8780300659982</v>
      </c>
      <c r="K366" s="192"/>
    </row>
    <row r="367" spans="1:22" ht="18" customHeight="1">
      <c r="B367" s="194" t="s">
        <v>258</v>
      </c>
      <c r="C367" s="195" t="s">
        <v>260</v>
      </c>
      <c r="D367" s="195" t="s">
        <v>261</v>
      </c>
      <c r="E367" s="195" t="s">
        <v>262</v>
      </c>
      <c r="F367" s="195" t="s">
        <v>263</v>
      </c>
      <c r="G367" s="195" t="s">
        <v>264</v>
      </c>
      <c r="H367" s="195" t="s">
        <v>265</v>
      </c>
      <c r="I367" s="196" t="s">
        <v>266</v>
      </c>
    </row>
    <row r="368" spans="1:22" ht="30" customHeight="1" thickBot="1">
      <c r="B368" s="197">
        <f>ROUND(I366/H366,2)</f>
        <v>1489.75</v>
      </c>
      <c r="C368" s="198">
        <f>E294+E296+E298+E300+E302+E303+E297+E299</f>
        <v>4</v>
      </c>
      <c r="D368" s="199"/>
      <c r="E368" s="199"/>
      <c r="F368" s="200"/>
      <c r="G368" s="200"/>
      <c r="H368" s="200"/>
      <c r="I368" s="201"/>
      <c r="O368" s="631" t="s">
        <v>603</v>
      </c>
      <c r="P368" s="631"/>
      <c r="Q368" s="631"/>
      <c r="R368" s="631"/>
      <c r="S368" s="631"/>
      <c r="T368" s="631"/>
      <c r="U368" s="631"/>
      <c r="V368" s="631"/>
    </row>
    <row r="369" spans="2:22" ht="20.100000000000001" customHeight="1">
      <c r="B369" s="42"/>
      <c r="L369" s="202"/>
      <c r="M369" s="202"/>
      <c r="N369" s="202"/>
      <c r="O369" s="634" t="s">
        <v>604</v>
      </c>
      <c r="P369" s="634"/>
      <c r="Q369" s="634"/>
      <c r="R369" s="634"/>
      <c r="S369" s="634"/>
      <c r="T369" s="634"/>
      <c r="U369" s="634"/>
      <c r="V369" s="634"/>
    </row>
    <row r="370" spans="2:22" ht="20.100000000000001" customHeight="1">
      <c r="B370" s="102" t="s">
        <v>862</v>
      </c>
      <c r="C370" s="203"/>
      <c r="D370" s="203" t="s">
        <v>267</v>
      </c>
      <c r="E370" s="203"/>
      <c r="J370" s="102"/>
      <c r="O370" s="285" t="s">
        <v>279</v>
      </c>
      <c r="P370" s="624" t="s">
        <v>633</v>
      </c>
      <c r="Q370" s="625"/>
      <c r="R370" s="312" t="str">
        <f ca="1">B4</f>
        <v>C2330</v>
      </c>
      <c r="S370" s="312"/>
      <c r="T370" s="313"/>
      <c r="U370" s="287" t="s">
        <v>605</v>
      </c>
      <c r="V370" s="288"/>
    </row>
    <row r="371" spans="2:22" ht="24.95" customHeight="1">
      <c r="B371" s="102">
        <f>ROUND(I366/F6,2)</f>
        <v>1501.59</v>
      </c>
      <c r="C371" s="203">
        <f>U392</f>
        <v>1877.5498501032221</v>
      </c>
      <c r="D371" s="203">
        <f>E304</f>
        <v>4</v>
      </c>
      <c r="E371" s="203"/>
      <c r="J371" s="102"/>
      <c r="O371" s="635" t="s">
        <v>606</v>
      </c>
      <c r="P371" s="623" t="s">
        <v>626</v>
      </c>
      <c r="Q371" s="623"/>
      <c r="R371" s="623"/>
      <c r="S371" s="623"/>
      <c r="T371" s="637"/>
      <c r="U371" s="291" t="s">
        <v>607</v>
      </c>
      <c r="V371" s="292" t="s">
        <v>313</v>
      </c>
    </row>
    <row r="372" spans="2:22" ht="24.95" customHeight="1">
      <c r="L372" s="102"/>
      <c r="M372" s="102"/>
      <c r="N372" s="102"/>
      <c r="O372" s="636"/>
      <c r="P372" s="638"/>
      <c r="Q372" s="638"/>
      <c r="R372" s="638"/>
      <c r="S372" s="638"/>
      <c r="T372" s="638"/>
      <c r="U372" s="291" t="s">
        <v>268</v>
      </c>
      <c r="V372" s="293">
        <f>F4</f>
        <v>6.58</v>
      </c>
    </row>
    <row r="373" spans="2:22" ht="24.95" customHeight="1">
      <c r="J373" s="102"/>
      <c r="K373" s="102"/>
      <c r="L373" s="102"/>
      <c r="M373" s="102"/>
      <c r="N373" s="102"/>
      <c r="O373" s="311" t="s">
        <v>0</v>
      </c>
      <c r="P373" s="289" t="s">
        <v>608</v>
      </c>
      <c r="Q373" s="289" t="s">
        <v>627</v>
      </c>
      <c r="R373" s="289" t="s">
        <v>269</v>
      </c>
      <c r="S373" s="294" t="s">
        <v>8</v>
      </c>
      <c r="T373" s="295" t="s">
        <v>609</v>
      </c>
      <c r="U373" s="296" t="s">
        <v>270</v>
      </c>
      <c r="V373" s="295" t="s">
        <v>610</v>
      </c>
    </row>
    <row r="374" spans="2:22" ht="20.100000000000001" customHeight="1">
      <c r="J374" s="102"/>
      <c r="K374" s="102"/>
      <c r="L374" s="102"/>
      <c r="M374" s="102"/>
      <c r="N374" s="102"/>
      <c r="O374" s="297" t="s">
        <v>305</v>
      </c>
      <c r="P374" s="298" t="s">
        <v>611</v>
      </c>
      <c r="Q374" s="298"/>
      <c r="R374" s="286"/>
      <c r="S374" s="299"/>
      <c r="T374" s="300"/>
      <c r="U374" s="301">
        <f>SUM(U375:U383)</f>
        <v>9110.8316780660007</v>
      </c>
      <c r="V374" s="286"/>
    </row>
    <row r="375" spans="2:22" ht="20.100000000000001" customHeight="1">
      <c r="J375" s="102"/>
      <c r="K375" s="102"/>
      <c r="L375" s="102"/>
      <c r="M375" s="102"/>
      <c r="N375" s="102"/>
      <c r="O375" s="286">
        <v>1</v>
      </c>
      <c r="P375" s="302" t="s">
        <v>612</v>
      </c>
      <c r="Q375" s="307"/>
      <c r="R375" s="286" t="s">
        <v>271</v>
      </c>
      <c r="S375" s="303">
        <f>E223</f>
        <v>98.447620000000029</v>
      </c>
      <c r="T375" s="304">
        <f>I223/E223</f>
        <v>47.784342496710416</v>
      </c>
      <c r="U375" s="305">
        <f t="shared" ref="U375:U383" si="58">T375*S375</f>
        <v>4704.2547920659999</v>
      </c>
      <c r="V375" s="306"/>
    </row>
    <row r="376" spans="2:22" ht="20.100000000000001" customHeight="1">
      <c r="J376" s="102"/>
      <c r="K376" s="102"/>
      <c r="L376" s="102"/>
      <c r="M376" s="102"/>
      <c r="N376" s="102"/>
      <c r="O376" s="286">
        <v>2</v>
      </c>
      <c r="P376" s="290" t="s">
        <v>613</v>
      </c>
      <c r="Q376" s="307"/>
      <c r="R376" s="286" t="s">
        <v>276</v>
      </c>
      <c r="S376" s="303">
        <f>D358</f>
        <v>10.11</v>
      </c>
      <c r="T376" s="304">
        <f>G358</f>
        <v>70</v>
      </c>
      <c r="U376" s="305">
        <f t="shared" si="58"/>
        <v>707.69999999999993</v>
      </c>
      <c r="V376" s="306"/>
    </row>
    <row r="377" spans="2:22" ht="20.100000000000001" customHeight="1">
      <c r="J377" s="102"/>
      <c r="K377" s="102"/>
      <c r="L377" s="102"/>
      <c r="M377" s="102"/>
      <c r="N377" s="102"/>
      <c r="O377" s="286">
        <v>3</v>
      </c>
      <c r="P377" s="302" t="s">
        <v>614</v>
      </c>
      <c r="Q377" s="302"/>
      <c r="R377" s="286" t="s">
        <v>312</v>
      </c>
      <c r="S377" s="303">
        <f>D291+D292</f>
        <v>4.8113760000000001</v>
      </c>
      <c r="T377" s="304">
        <f>材料价格!B10</f>
        <v>148</v>
      </c>
      <c r="U377" s="305">
        <f t="shared" si="58"/>
        <v>712.08364800000004</v>
      </c>
      <c r="V377" s="306"/>
    </row>
    <row r="378" spans="2:22" ht="20.100000000000001" customHeight="1">
      <c r="B378" s="630" t="s">
        <v>277</v>
      </c>
      <c r="C378" s="630"/>
      <c r="D378" s="630"/>
      <c r="E378" s="630"/>
      <c r="F378" s="630"/>
      <c r="G378" s="630"/>
      <c r="H378" s="630"/>
      <c r="I378" s="630"/>
      <c r="J378" s="102"/>
      <c r="K378" s="102"/>
      <c r="L378" s="102"/>
      <c r="M378" s="102"/>
      <c r="N378" s="102"/>
      <c r="O378" s="286">
        <v>4</v>
      </c>
      <c r="P378" s="302" t="s">
        <v>615</v>
      </c>
      <c r="Q378" s="306"/>
      <c r="R378" s="286" t="s">
        <v>278</v>
      </c>
      <c r="S378" s="303">
        <f>(H316+H317+H319+H320+H321)/F316</f>
        <v>13.500000000000002</v>
      </c>
      <c r="T378" s="304">
        <f>材料价格!B25</f>
        <v>8.52</v>
      </c>
      <c r="U378" s="305">
        <f t="shared" si="58"/>
        <v>115.02000000000001</v>
      </c>
      <c r="V378" s="306"/>
    </row>
    <row r="379" spans="2:22" ht="20.100000000000001" customHeight="1">
      <c r="B379" s="204" t="s">
        <v>279</v>
      </c>
      <c r="C379" s="205" t="s">
        <v>280</v>
      </c>
      <c r="D379" s="205" t="s">
        <v>281</v>
      </c>
      <c r="E379" s="205" t="s">
        <v>282</v>
      </c>
      <c r="F379" s="205" t="s">
        <v>379</v>
      </c>
      <c r="G379" s="205"/>
      <c r="H379" s="205" t="s">
        <v>28</v>
      </c>
      <c r="I379" s="205" t="s">
        <v>259</v>
      </c>
      <c r="J379" s="102"/>
      <c r="K379" s="102"/>
      <c r="L379" s="102"/>
      <c r="M379" s="102"/>
      <c r="N379" s="102"/>
      <c r="O379" s="286">
        <v>5</v>
      </c>
      <c r="P379" s="306" t="s">
        <v>616</v>
      </c>
      <c r="Q379" s="302"/>
      <c r="R379" s="286" t="s">
        <v>628</v>
      </c>
      <c r="S379" s="303">
        <f>H337/21</f>
        <v>6.0919780000000001</v>
      </c>
      <c r="T379" s="304">
        <v>21</v>
      </c>
      <c r="U379" s="305">
        <f t="shared" si="58"/>
        <v>127.931538</v>
      </c>
      <c r="V379" s="306"/>
    </row>
    <row r="380" spans="2:22" ht="20.100000000000001" customHeight="1">
      <c r="B380" s="206" t="s">
        <v>284</v>
      </c>
      <c r="C380" s="208" t="s">
        <v>384</v>
      </c>
      <c r="D380" s="207">
        <f>C22+C31+C38+C48+C56+C112+C119+C126+C133+C139+C177+C184+C191+C199</f>
        <v>40.159999999999997</v>
      </c>
      <c r="E380" s="207" t="s">
        <v>383</v>
      </c>
      <c r="F380" s="206"/>
      <c r="G380" s="206"/>
      <c r="H380" s="241">
        <v>2.4</v>
      </c>
      <c r="I380" s="207"/>
      <c r="J380" s="102"/>
      <c r="K380" s="102"/>
      <c r="L380" s="102"/>
      <c r="M380" s="102"/>
      <c r="N380" s="102"/>
      <c r="O380" s="286">
        <v>6</v>
      </c>
      <c r="P380" s="302" t="s">
        <v>319</v>
      </c>
      <c r="Q380" s="302"/>
      <c r="R380" s="286" t="s">
        <v>273</v>
      </c>
      <c r="S380" s="303">
        <f>E298</f>
        <v>4</v>
      </c>
      <c r="T380" s="304">
        <f>材料价格!B16</f>
        <v>88</v>
      </c>
      <c r="U380" s="305">
        <f t="shared" si="58"/>
        <v>352</v>
      </c>
      <c r="V380" s="306"/>
    </row>
    <row r="381" spans="2:22" ht="20.100000000000001" customHeight="1">
      <c r="B381" s="206" t="s">
        <v>286</v>
      </c>
      <c r="C381" s="206" t="s">
        <v>287</v>
      </c>
      <c r="D381" s="209">
        <f>(J22+J31+J38+J48+J112+J119+J126)*4+(J56+J133)*2</f>
        <v>48</v>
      </c>
      <c r="E381" s="207" t="s">
        <v>285</v>
      </c>
      <c r="F381" s="206"/>
      <c r="G381" s="206"/>
      <c r="H381" s="241">
        <v>0.5</v>
      </c>
      <c r="I381" s="207">
        <f>H381*D381</f>
        <v>24</v>
      </c>
      <c r="J381" s="102"/>
      <c r="K381" s="102"/>
      <c r="L381" s="102"/>
      <c r="M381" s="102"/>
      <c r="N381" s="102"/>
      <c r="O381" s="286">
        <v>7</v>
      </c>
      <c r="P381" s="302" t="s">
        <v>295</v>
      </c>
      <c r="Q381" s="302"/>
      <c r="R381" s="286" t="s">
        <v>273</v>
      </c>
      <c r="S381" s="303"/>
      <c r="T381" s="304">
        <f>材料价格!B19</f>
        <v>230</v>
      </c>
      <c r="U381" s="305">
        <f t="shared" si="58"/>
        <v>0</v>
      </c>
      <c r="V381" s="306"/>
    </row>
    <row r="382" spans="2:22" ht="20.100000000000001" customHeight="1">
      <c r="B382" s="206" t="s">
        <v>289</v>
      </c>
      <c r="C382" s="206"/>
      <c r="D382" s="210">
        <f>ROUND((C22+C56*2+C64*2+C112+C133*2+C139*2)/0.3,0)+2</f>
        <v>100</v>
      </c>
      <c r="E382" s="207" t="s">
        <v>285</v>
      </c>
      <c r="F382" s="206"/>
      <c r="G382" s="206"/>
      <c r="H382" s="241">
        <v>0.3</v>
      </c>
      <c r="I382" s="207">
        <f t="shared" ref="I382:I387" si="59">H382*D382</f>
        <v>30</v>
      </c>
      <c r="J382" s="102"/>
      <c r="K382" s="102"/>
      <c r="L382" s="102"/>
      <c r="M382" s="102"/>
      <c r="N382" s="102"/>
      <c r="O382" s="286">
        <v>8</v>
      </c>
      <c r="P382" s="302" t="s">
        <v>296</v>
      </c>
      <c r="Q382" s="302"/>
      <c r="R382" s="286" t="s">
        <v>273</v>
      </c>
      <c r="S382" s="303">
        <f>E303</f>
        <v>0</v>
      </c>
      <c r="T382" s="304">
        <f>材料价格!B20</f>
        <v>335</v>
      </c>
      <c r="U382" s="305">
        <f t="shared" si="58"/>
        <v>0</v>
      </c>
      <c r="V382" s="306"/>
    </row>
    <row r="383" spans="2:22" ht="20.100000000000001" customHeight="1">
      <c r="B383" s="206" t="s">
        <v>381</v>
      </c>
      <c r="C383" s="206" t="s">
        <v>389</v>
      </c>
      <c r="D383" s="211">
        <f>C22+C31+C38+C56*2+C64*2+C112+C119+C126+C133*2</f>
        <v>39.564</v>
      </c>
      <c r="E383" s="207" t="s">
        <v>285</v>
      </c>
      <c r="F383" s="206" t="s">
        <v>380</v>
      </c>
      <c r="G383" s="206"/>
      <c r="H383" s="241">
        <v>2.81</v>
      </c>
      <c r="I383" s="207">
        <f>H383*D383</f>
        <v>111.17484</v>
      </c>
      <c r="J383" s="102"/>
      <c r="K383" s="102"/>
      <c r="L383" s="102"/>
      <c r="M383" s="102"/>
      <c r="N383" s="102"/>
      <c r="O383" s="286">
        <v>9</v>
      </c>
      <c r="P383" s="302" t="s">
        <v>617</v>
      </c>
      <c r="Q383" s="302"/>
      <c r="R383" s="286" t="s">
        <v>618</v>
      </c>
      <c r="S383" s="296">
        <v>1</v>
      </c>
      <c r="T383" s="304">
        <f>H363-H358+H350+H318+H315+H314</f>
        <v>2391.8417000000004</v>
      </c>
      <c r="U383" s="305">
        <f t="shared" si="58"/>
        <v>2391.8417000000004</v>
      </c>
      <c r="V383" s="306"/>
    </row>
    <row r="384" spans="2:22" ht="20.100000000000001" customHeight="1">
      <c r="B384" s="206" t="s">
        <v>390</v>
      </c>
      <c r="C384" s="206" t="s">
        <v>392</v>
      </c>
      <c r="D384" s="211">
        <f>C22+C88+C112+C163</f>
        <v>31.948</v>
      </c>
      <c r="E384" s="207" t="s">
        <v>285</v>
      </c>
      <c r="F384" s="206" t="s">
        <v>394</v>
      </c>
      <c r="G384" s="206"/>
      <c r="H384" s="241">
        <v>3.27</v>
      </c>
      <c r="I384" s="207">
        <f t="shared" ref="I384" si="60">H384*D384</f>
        <v>104.46996</v>
      </c>
      <c r="J384" s="102"/>
      <c r="K384" s="102"/>
      <c r="L384" s="102"/>
      <c r="M384" s="102"/>
      <c r="N384" s="102"/>
      <c r="O384" s="297" t="s">
        <v>306</v>
      </c>
      <c r="P384" s="308" t="s">
        <v>314</v>
      </c>
      <c r="Q384" s="298"/>
      <c r="R384" s="286"/>
      <c r="S384" s="296"/>
      <c r="T384" s="309"/>
      <c r="U384" s="301">
        <f>SUM(U385:U386)</f>
        <v>1052.8</v>
      </c>
      <c r="V384" s="286"/>
    </row>
    <row r="385" spans="2:22" ht="20.100000000000001" customHeight="1">
      <c r="B385" s="206" t="s">
        <v>391</v>
      </c>
      <c r="C385" s="206" t="s">
        <v>393</v>
      </c>
      <c r="D385" s="211">
        <f>(C97+C104+C119+C126)*2</f>
        <v>16.175999999999998</v>
      </c>
      <c r="E385" s="207" t="s">
        <v>285</v>
      </c>
      <c r="F385" s="206" t="s">
        <v>395</v>
      </c>
      <c r="G385" s="206"/>
      <c r="H385" s="241">
        <v>1.74</v>
      </c>
      <c r="I385" s="207">
        <f t="shared" si="59"/>
        <v>28.146239999999995</v>
      </c>
      <c r="J385" s="102"/>
      <c r="K385" s="102"/>
      <c r="L385" s="102"/>
      <c r="M385" s="102"/>
      <c r="N385" s="102"/>
      <c r="O385" s="286">
        <v>1</v>
      </c>
      <c r="P385" s="307" t="s">
        <v>619</v>
      </c>
      <c r="Q385" s="307"/>
      <c r="R385" s="300" t="s">
        <v>312</v>
      </c>
      <c r="S385" s="296">
        <f>V372</f>
        <v>6.58</v>
      </c>
      <c r="T385" s="310">
        <v>60</v>
      </c>
      <c r="U385" s="305">
        <f>T385*S385</f>
        <v>394.8</v>
      </c>
      <c r="V385" s="286"/>
    </row>
    <row r="386" spans="2:22" ht="20.100000000000001" customHeight="1">
      <c r="B386" s="208" t="s">
        <v>382</v>
      </c>
      <c r="C386" s="206" t="s">
        <v>291</v>
      </c>
      <c r="D386" s="211">
        <f>D338+D339+D341</f>
        <v>10</v>
      </c>
      <c r="E386" s="207" t="s">
        <v>285</v>
      </c>
      <c r="F386" s="206"/>
      <c r="G386" s="206"/>
      <c r="H386" s="241">
        <v>0.56999999999999995</v>
      </c>
      <c r="I386" s="207">
        <f>H386*D386</f>
        <v>5.6999999999999993</v>
      </c>
      <c r="J386" s="102"/>
      <c r="K386" s="102"/>
      <c r="L386" s="102"/>
      <c r="M386" s="102"/>
      <c r="N386" s="102"/>
      <c r="O386" s="286">
        <v>2</v>
      </c>
      <c r="P386" s="307" t="s">
        <v>288</v>
      </c>
      <c r="Q386" s="307"/>
      <c r="R386" s="300" t="s">
        <v>312</v>
      </c>
      <c r="S386" s="296">
        <f>V372</f>
        <v>6.58</v>
      </c>
      <c r="T386" s="310">
        <v>100</v>
      </c>
      <c r="U386" s="305">
        <f>T386*S386</f>
        <v>658</v>
      </c>
      <c r="V386" s="286"/>
    </row>
    <row r="387" spans="2:22" ht="20.100000000000001" customHeight="1">
      <c r="B387" s="206" t="s">
        <v>292</v>
      </c>
      <c r="C387" s="206"/>
      <c r="D387" s="211">
        <f>H366</f>
        <v>6.5339</v>
      </c>
      <c r="E387" s="207" t="s">
        <v>285</v>
      </c>
      <c r="F387" s="206"/>
      <c r="G387" s="206"/>
      <c r="H387" s="241">
        <v>20</v>
      </c>
      <c r="I387" s="207">
        <f t="shared" si="59"/>
        <v>130.678</v>
      </c>
      <c r="J387" s="102"/>
      <c r="K387" s="102"/>
      <c r="L387" s="102"/>
      <c r="M387" s="102"/>
      <c r="N387" s="102"/>
      <c r="O387" s="297" t="s">
        <v>307</v>
      </c>
      <c r="P387" s="308" t="s">
        <v>290</v>
      </c>
      <c r="Q387" s="298"/>
      <c r="R387" s="286"/>
      <c r="S387" s="296"/>
      <c r="T387" s="309"/>
      <c r="U387" s="301">
        <f>SUM(U388)</f>
        <v>131.6</v>
      </c>
      <c r="V387" s="286"/>
    </row>
    <row r="388" spans="2:22" ht="20.100000000000001" customHeight="1">
      <c r="B388" s="212" t="s">
        <v>4</v>
      </c>
      <c r="C388" s="213"/>
      <c r="D388" s="212"/>
      <c r="E388" s="212"/>
      <c r="F388" s="212"/>
      <c r="G388" s="212"/>
      <c r="H388" s="212"/>
      <c r="I388" s="213">
        <f>SUM(I380:I387)</f>
        <v>434.16904</v>
      </c>
      <c r="J388" s="242"/>
      <c r="K388" s="102"/>
      <c r="L388" s="102"/>
      <c r="M388" s="102"/>
      <c r="N388" s="102"/>
      <c r="O388" s="286">
        <v>1</v>
      </c>
      <c r="P388" s="307" t="s">
        <v>290</v>
      </c>
      <c r="Q388" s="307"/>
      <c r="R388" s="300" t="s">
        <v>312</v>
      </c>
      <c r="S388" s="296">
        <f>V372</f>
        <v>6.58</v>
      </c>
      <c r="T388" s="310">
        <v>20</v>
      </c>
      <c r="U388" s="305">
        <f>T388*S388</f>
        <v>131.6</v>
      </c>
      <c r="V388" s="286"/>
    </row>
    <row r="389" spans="2:22" ht="20.100000000000001" customHeight="1">
      <c r="J389" s="102"/>
      <c r="K389" s="102"/>
      <c r="L389" s="102"/>
      <c r="M389" s="102"/>
      <c r="N389" s="102"/>
      <c r="O389" s="286" t="s">
        <v>308</v>
      </c>
      <c r="P389" s="618" t="s">
        <v>620</v>
      </c>
      <c r="Q389" s="619"/>
      <c r="R389" s="620"/>
      <c r="S389" s="621"/>
      <c r="T389" s="622"/>
      <c r="U389" s="301">
        <f>U374+U384+U387</f>
        <v>10295.231678066</v>
      </c>
      <c r="V389" s="286"/>
    </row>
    <row r="390" spans="2:22" ht="20.100000000000001" customHeight="1">
      <c r="J390" s="102"/>
      <c r="K390" s="102"/>
      <c r="L390" s="102"/>
      <c r="M390" s="102"/>
      <c r="N390" s="102"/>
      <c r="O390" s="286" t="s">
        <v>309</v>
      </c>
      <c r="P390" s="618" t="s">
        <v>621</v>
      </c>
      <c r="Q390" s="619"/>
      <c r="R390" s="626">
        <v>0.2</v>
      </c>
      <c r="S390" s="627"/>
      <c r="T390" s="628"/>
      <c r="U390" s="301">
        <f>U389*R390</f>
        <v>2059.0463356132</v>
      </c>
      <c r="V390" s="286"/>
    </row>
    <row r="391" spans="2:22" ht="20.100000000000001" customHeight="1">
      <c r="J391" s="102"/>
      <c r="K391" s="102"/>
      <c r="L391" s="102"/>
      <c r="M391" s="102"/>
      <c r="N391" s="102"/>
      <c r="O391" s="286" t="s">
        <v>310</v>
      </c>
      <c r="P391" s="618" t="s">
        <v>622</v>
      </c>
      <c r="Q391" s="619"/>
      <c r="R391" s="620"/>
      <c r="S391" s="621"/>
      <c r="T391" s="622"/>
      <c r="U391" s="301">
        <f>U389+U390</f>
        <v>12354.278013679201</v>
      </c>
      <c r="V391" s="286"/>
    </row>
    <row r="392" spans="2:22" ht="30" customHeight="1">
      <c r="L392" s="102"/>
      <c r="M392" s="102"/>
      <c r="N392" s="102"/>
      <c r="O392" s="297" t="s">
        <v>311</v>
      </c>
      <c r="P392" s="618" t="s">
        <v>623</v>
      </c>
      <c r="Q392" s="619"/>
      <c r="R392" s="620"/>
      <c r="S392" s="621"/>
      <c r="T392" s="622"/>
      <c r="U392" s="301">
        <f>U391/V372</f>
        <v>1877.5498501032221</v>
      </c>
      <c r="V392" s="286" t="s">
        <v>624</v>
      </c>
    </row>
    <row r="393" spans="2:22" ht="45" customHeight="1">
      <c r="L393" s="102"/>
      <c r="M393" s="102"/>
      <c r="N393" s="102"/>
      <c r="O393" s="623" t="s">
        <v>625</v>
      </c>
      <c r="P393" s="623"/>
      <c r="Q393" s="623"/>
      <c r="R393" s="623"/>
      <c r="S393" s="623"/>
      <c r="T393" s="623"/>
      <c r="U393" s="623"/>
      <c r="V393" s="623"/>
    </row>
    <row r="394" spans="2:22" ht="18" customHeight="1">
      <c r="L394" s="102"/>
      <c r="M394" s="102"/>
      <c r="N394" s="102"/>
      <c r="O394" s="102"/>
      <c r="P394" s="102"/>
    </row>
    <row r="395" spans="2:22">
      <c r="L395" s="102"/>
      <c r="M395" s="102"/>
      <c r="N395" s="102"/>
      <c r="O395" s="102"/>
      <c r="P395" s="102"/>
    </row>
    <row r="396" spans="2:22">
      <c r="L396" s="102"/>
      <c r="M396" s="102"/>
      <c r="N396" s="102"/>
      <c r="O396" s="102"/>
      <c r="P396" s="102"/>
    </row>
    <row r="397" spans="2:22">
      <c r="L397" s="102"/>
      <c r="M397" s="102"/>
      <c r="N397" s="102"/>
      <c r="O397" s="102"/>
      <c r="P397" s="102"/>
    </row>
    <row r="398" spans="2:22">
      <c r="L398" s="102"/>
      <c r="M398" s="102"/>
      <c r="N398" s="102"/>
      <c r="O398" s="102"/>
      <c r="P398" s="102"/>
    </row>
    <row r="399" spans="2:22">
      <c r="L399" s="102"/>
      <c r="M399" s="102"/>
      <c r="N399" s="102"/>
      <c r="O399" s="102"/>
      <c r="P399" s="102"/>
    </row>
    <row r="400" spans="2:22">
      <c r="L400" s="102"/>
      <c r="M400" s="102"/>
      <c r="N400" s="102"/>
      <c r="O400" s="102"/>
      <c r="P400" s="102"/>
    </row>
    <row r="401" spans="12:16">
      <c r="L401" s="102"/>
      <c r="M401" s="102"/>
      <c r="N401" s="102"/>
      <c r="O401" s="102"/>
      <c r="P401" s="102"/>
    </row>
    <row r="402" spans="12:16">
      <c r="L402" s="102"/>
      <c r="M402" s="102"/>
      <c r="N402" s="102"/>
      <c r="O402" s="102"/>
      <c r="P402" s="102"/>
    </row>
    <row r="403" spans="12:16">
      <c r="L403" s="102"/>
      <c r="M403" s="102"/>
      <c r="N403" s="102"/>
      <c r="O403" s="102"/>
      <c r="P403" s="102"/>
    </row>
    <row r="404" spans="12:16">
      <c r="L404" s="102"/>
      <c r="M404" s="102"/>
      <c r="N404" s="102"/>
      <c r="O404" s="102"/>
      <c r="P404" s="102"/>
    </row>
    <row r="405" spans="12:16">
      <c r="L405" s="102"/>
      <c r="M405" s="102"/>
      <c r="N405" s="102"/>
      <c r="O405" s="102"/>
      <c r="P405" s="102"/>
    </row>
    <row r="406" spans="12:16">
      <c r="L406" s="102"/>
      <c r="M406" s="102"/>
      <c r="N406" s="102"/>
      <c r="O406" s="102"/>
      <c r="P406" s="102"/>
    </row>
    <row r="407" spans="12:16">
      <c r="L407" s="102"/>
      <c r="M407" s="102"/>
      <c r="N407" s="102"/>
      <c r="O407" s="102"/>
      <c r="P407" s="102"/>
    </row>
    <row r="408" spans="12:16">
      <c r="L408" s="102"/>
      <c r="M408" s="102"/>
      <c r="N408" s="102"/>
      <c r="O408" s="102"/>
      <c r="P408" s="102"/>
    </row>
    <row r="409" spans="12:16">
      <c r="L409" s="102"/>
      <c r="M409" s="102"/>
      <c r="N409" s="102"/>
      <c r="O409" s="102"/>
      <c r="P409" s="102"/>
    </row>
    <row r="410" spans="12:16">
      <c r="L410" s="102"/>
      <c r="M410" s="102"/>
      <c r="N410" s="102"/>
      <c r="O410" s="102"/>
      <c r="P410" s="102"/>
    </row>
    <row r="411" spans="12:16">
      <c r="L411" s="102"/>
      <c r="M411" s="102"/>
      <c r="N411" s="102"/>
      <c r="O411" s="102"/>
      <c r="P411" s="102"/>
    </row>
    <row r="412" spans="12:16">
      <c r="L412" s="102"/>
      <c r="M412" s="102"/>
      <c r="N412" s="102"/>
      <c r="O412" s="102"/>
      <c r="P412" s="102"/>
    </row>
    <row r="413" spans="12:16">
      <c r="L413" s="102"/>
      <c r="M413" s="102"/>
      <c r="N413" s="102"/>
      <c r="O413" s="102"/>
      <c r="P413" s="102"/>
    </row>
    <row r="414" spans="12:16">
      <c r="L414" s="102"/>
      <c r="M414" s="102"/>
      <c r="N414" s="102"/>
      <c r="O414" s="102"/>
      <c r="P414" s="102"/>
    </row>
    <row r="415" spans="12:16">
      <c r="L415" s="102"/>
      <c r="M415" s="102"/>
      <c r="N415" s="102"/>
      <c r="O415" s="102"/>
      <c r="P415" s="102"/>
    </row>
    <row r="416" spans="12:16">
      <c r="L416" s="102"/>
      <c r="M416" s="102"/>
      <c r="N416" s="102"/>
      <c r="O416" s="102"/>
      <c r="P416" s="102"/>
    </row>
    <row r="417" spans="10:16">
      <c r="L417" s="102"/>
      <c r="M417" s="102"/>
      <c r="N417" s="102"/>
      <c r="O417" s="102"/>
      <c r="P417" s="102"/>
    </row>
    <row r="418" spans="10:16">
      <c r="L418" s="102"/>
      <c r="M418" s="102"/>
      <c r="N418" s="102"/>
      <c r="O418" s="102"/>
      <c r="P418" s="102"/>
    </row>
    <row r="419" spans="10:16">
      <c r="L419" s="102"/>
      <c r="M419" s="102"/>
      <c r="N419" s="102"/>
      <c r="O419" s="102"/>
      <c r="P419" s="102"/>
    </row>
    <row r="420" spans="10:16">
      <c r="L420" s="102"/>
      <c r="M420" s="102"/>
      <c r="N420" s="102"/>
      <c r="O420" s="102"/>
      <c r="P420" s="102"/>
    </row>
    <row r="421" spans="10:16">
      <c r="L421" s="102"/>
      <c r="M421" s="102"/>
      <c r="N421" s="102"/>
      <c r="O421" s="102"/>
      <c r="P421" s="102"/>
    </row>
    <row r="422" spans="10:16">
      <c r="L422" s="102"/>
      <c r="M422" s="102"/>
      <c r="N422" s="102"/>
      <c r="O422" s="102"/>
      <c r="P422" s="102"/>
    </row>
    <row r="423" spans="10:16">
      <c r="L423" s="102"/>
      <c r="M423" s="102"/>
      <c r="N423" s="102"/>
      <c r="O423" s="102"/>
      <c r="P423" s="102"/>
    </row>
    <row r="424" spans="10:16">
      <c r="L424" s="102"/>
      <c r="M424" s="102"/>
      <c r="N424" s="102"/>
      <c r="O424" s="102"/>
      <c r="P424" s="102"/>
    </row>
    <row r="425" spans="10:16">
      <c r="L425" s="102"/>
      <c r="M425" s="102"/>
      <c r="N425" s="102"/>
      <c r="O425" s="102"/>
      <c r="P425" s="102"/>
    </row>
    <row r="426" spans="10:16">
      <c r="L426" s="102"/>
      <c r="M426" s="102"/>
      <c r="N426" s="102"/>
      <c r="O426" s="102"/>
      <c r="P426" s="102"/>
    </row>
    <row r="427" spans="10:16">
      <c r="J427" s="102"/>
      <c r="K427" s="102"/>
      <c r="L427" s="102"/>
      <c r="M427" s="102"/>
      <c r="N427" s="102"/>
      <c r="O427" s="102"/>
      <c r="P427" s="102"/>
    </row>
    <row r="428" spans="10:16">
      <c r="J428" s="102"/>
      <c r="K428" s="102"/>
      <c r="L428" s="102"/>
      <c r="M428" s="102"/>
      <c r="N428" s="102"/>
      <c r="O428" s="102"/>
      <c r="P428" s="102"/>
    </row>
    <row r="429" spans="10:16">
      <c r="J429" s="102"/>
      <c r="K429" s="102"/>
      <c r="L429" s="102"/>
      <c r="M429" s="102"/>
      <c r="N429" s="102"/>
      <c r="O429" s="102"/>
      <c r="P429" s="102"/>
    </row>
    <row r="430" spans="10:16">
      <c r="J430" s="102"/>
      <c r="K430" s="102"/>
      <c r="L430" s="102"/>
      <c r="M430" s="102"/>
      <c r="N430" s="102"/>
      <c r="O430" s="102"/>
      <c r="P430" s="102"/>
    </row>
    <row r="431" spans="10:16">
      <c r="J431" s="102"/>
      <c r="K431" s="102"/>
      <c r="L431" s="102"/>
      <c r="M431" s="102"/>
      <c r="N431" s="102"/>
      <c r="O431" s="102"/>
      <c r="P431" s="102"/>
    </row>
    <row r="432" spans="10:16">
      <c r="J432" s="102"/>
      <c r="K432" s="102"/>
      <c r="L432" s="102"/>
      <c r="M432" s="102"/>
      <c r="N432" s="102"/>
      <c r="O432" s="102"/>
      <c r="P432" s="102"/>
    </row>
    <row r="433" spans="10:16">
      <c r="J433" s="102"/>
      <c r="K433" s="102"/>
      <c r="L433" s="102"/>
      <c r="M433" s="102"/>
      <c r="N433" s="102"/>
      <c r="O433" s="102"/>
      <c r="P433" s="102"/>
    </row>
    <row r="434" spans="10:16">
      <c r="J434" s="102"/>
      <c r="K434" s="102"/>
      <c r="L434" s="102"/>
      <c r="M434" s="102"/>
      <c r="N434" s="102"/>
      <c r="O434" s="102"/>
      <c r="P434" s="102"/>
    </row>
    <row r="435" spans="10:16">
      <c r="J435" s="102"/>
      <c r="K435" s="102"/>
      <c r="L435" s="102"/>
      <c r="M435" s="102"/>
      <c r="N435" s="102"/>
      <c r="O435" s="102"/>
      <c r="P435" s="102"/>
    </row>
    <row r="436" spans="10:16">
      <c r="J436" s="102"/>
      <c r="K436" s="102"/>
      <c r="L436" s="102"/>
      <c r="M436" s="102"/>
      <c r="N436" s="102"/>
      <c r="O436" s="102"/>
      <c r="P436" s="102"/>
    </row>
    <row r="437" spans="10:16">
      <c r="J437" s="102"/>
      <c r="K437" s="102"/>
      <c r="L437" s="102"/>
      <c r="M437" s="102"/>
      <c r="N437" s="102"/>
      <c r="O437" s="102"/>
      <c r="P437" s="102"/>
    </row>
    <row r="438" spans="10:16">
      <c r="J438" s="102"/>
      <c r="K438" s="102"/>
      <c r="L438" s="102"/>
      <c r="M438" s="102"/>
      <c r="N438" s="102"/>
      <c r="O438" s="102"/>
      <c r="P438" s="102"/>
    </row>
    <row r="439" spans="10:16">
      <c r="J439" s="102"/>
      <c r="K439" s="102"/>
      <c r="L439" s="102"/>
      <c r="M439" s="102"/>
      <c r="N439" s="102"/>
      <c r="O439" s="102"/>
      <c r="P439" s="102"/>
    </row>
    <row r="440" spans="10:16">
      <c r="J440" s="102"/>
      <c r="K440" s="102"/>
      <c r="L440" s="102"/>
      <c r="M440" s="102"/>
      <c r="N440" s="102"/>
      <c r="O440" s="102"/>
      <c r="P440" s="102"/>
    </row>
    <row r="441" spans="10:16">
      <c r="J441" s="102"/>
      <c r="K441" s="102"/>
      <c r="L441" s="102"/>
      <c r="M441" s="102"/>
      <c r="N441" s="102"/>
      <c r="O441" s="102"/>
      <c r="P441" s="102"/>
    </row>
    <row r="442" spans="10:16">
      <c r="J442" s="102"/>
      <c r="K442" s="102"/>
      <c r="L442" s="102"/>
      <c r="M442" s="102"/>
      <c r="N442" s="102"/>
      <c r="O442" s="102"/>
      <c r="P442" s="102"/>
    </row>
    <row r="443" spans="10:16">
      <c r="J443" s="102"/>
      <c r="K443" s="102"/>
      <c r="L443" s="102"/>
      <c r="M443" s="102"/>
      <c r="N443" s="102"/>
      <c r="O443" s="102"/>
      <c r="P443" s="102"/>
    </row>
    <row r="444" spans="10:16">
      <c r="J444" s="102"/>
      <c r="K444" s="102"/>
      <c r="L444" s="102"/>
      <c r="M444" s="102"/>
      <c r="N444" s="102"/>
      <c r="O444" s="102"/>
      <c r="P444" s="102"/>
    </row>
    <row r="445" spans="10:16">
      <c r="J445" s="102"/>
      <c r="K445" s="102"/>
      <c r="L445" s="102"/>
      <c r="M445" s="102"/>
      <c r="N445" s="102"/>
      <c r="O445" s="102"/>
      <c r="P445" s="102"/>
    </row>
    <row r="446" spans="10:16">
      <c r="J446" s="102"/>
      <c r="K446" s="102"/>
      <c r="L446" s="102"/>
      <c r="M446" s="102"/>
      <c r="N446" s="102"/>
      <c r="O446" s="102"/>
      <c r="P446" s="102"/>
    </row>
    <row r="447" spans="10:16">
      <c r="J447" s="102"/>
      <c r="K447" s="102"/>
      <c r="L447" s="102"/>
      <c r="M447" s="102"/>
      <c r="N447" s="102"/>
      <c r="O447" s="102"/>
      <c r="P447" s="102"/>
    </row>
    <row r="448" spans="10:16">
      <c r="J448" s="102"/>
      <c r="K448" s="102"/>
      <c r="L448" s="102"/>
      <c r="M448" s="102"/>
      <c r="N448" s="102"/>
      <c r="O448" s="102"/>
      <c r="P448" s="102"/>
    </row>
    <row r="449" spans="10:16">
      <c r="J449" s="102"/>
      <c r="K449" s="102"/>
      <c r="L449" s="102"/>
      <c r="M449" s="102"/>
      <c r="N449" s="102"/>
      <c r="O449" s="102"/>
      <c r="P449" s="102"/>
    </row>
    <row r="450" spans="10:16">
      <c r="J450" s="102"/>
      <c r="K450" s="102"/>
      <c r="L450" s="102"/>
      <c r="M450" s="102"/>
      <c r="N450" s="102"/>
      <c r="O450" s="102"/>
      <c r="P450" s="102"/>
    </row>
    <row r="451" spans="10:16">
      <c r="J451" s="102"/>
      <c r="K451" s="102"/>
      <c r="L451" s="102"/>
      <c r="M451" s="102"/>
      <c r="N451" s="102"/>
      <c r="O451" s="102"/>
      <c r="P451" s="102"/>
    </row>
    <row r="452" spans="10:16">
      <c r="J452" s="102"/>
      <c r="K452" s="102"/>
      <c r="L452" s="102"/>
      <c r="M452" s="102"/>
      <c r="N452" s="102"/>
      <c r="O452" s="102"/>
      <c r="P452" s="102"/>
    </row>
    <row r="453" spans="10:16">
      <c r="J453" s="102"/>
      <c r="K453" s="102"/>
      <c r="L453" s="102"/>
      <c r="M453" s="102"/>
      <c r="N453" s="102"/>
      <c r="O453" s="102"/>
      <c r="P453" s="102"/>
    </row>
    <row r="454" spans="10:16">
      <c r="J454" s="102"/>
      <c r="K454" s="102"/>
      <c r="L454" s="102"/>
      <c r="M454" s="102"/>
      <c r="N454" s="102"/>
      <c r="O454" s="102"/>
      <c r="P454" s="102"/>
    </row>
    <row r="455" spans="10:16">
      <c r="J455" s="102"/>
      <c r="K455" s="102"/>
      <c r="L455" s="102"/>
      <c r="M455" s="102"/>
      <c r="N455" s="102"/>
      <c r="O455" s="102"/>
      <c r="P455" s="102"/>
    </row>
    <row r="456" spans="10:16">
      <c r="J456" s="102"/>
      <c r="K456" s="102"/>
      <c r="L456" s="102"/>
      <c r="M456" s="102"/>
      <c r="N456" s="102"/>
      <c r="O456" s="102"/>
      <c r="P456" s="102"/>
    </row>
    <row r="457" spans="10:16">
      <c r="J457" s="102"/>
      <c r="K457" s="102"/>
      <c r="L457" s="102"/>
      <c r="M457" s="102"/>
      <c r="N457" s="102"/>
      <c r="O457" s="102"/>
      <c r="P457" s="102"/>
    </row>
    <row r="458" spans="10:16">
      <c r="J458" s="102"/>
      <c r="K458" s="102"/>
      <c r="L458" s="102"/>
      <c r="M458" s="102"/>
      <c r="N458" s="102"/>
      <c r="O458" s="102"/>
      <c r="P458" s="102"/>
    </row>
    <row r="459" spans="10:16">
      <c r="J459" s="102"/>
      <c r="K459" s="102"/>
      <c r="L459" s="102"/>
      <c r="M459" s="102"/>
      <c r="N459" s="102"/>
      <c r="O459" s="102"/>
      <c r="P459" s="102"/>
    </row>
    <row r="460" spans="10:16">
      <c r="J460" s="102"/>
      <c r="K460" s="102"/>
      <c r="L460" s="102"/>
      <c r="M460" s="102"/>
      <c r="N460" s="102"/>
      <c r="O460" s="102"/>
      <c r="P460" s="102"/>
    </row>
    <row r="461" spans="10:16">
      <c r="J461" s="102"/>
      <c r="K461" s="102"/>
      <c r="L461" s="102"/>
      <c r="M461" s="102"/>
      <c r="N461" s="102"/>
      <c r="O461" s="102"/>
      <c r="P461" s="102"/>
    </row>
    <row r="462" spans="10:16">
      <c r="J462" s="102"/>
      <c r="K462" s="102"/>
      <c r="L462" s="102"/>
      <c r="M462" s="102"/>
      <c r="N462" s="102"/>
      <c r="O462" s="102"/>
      <c r="P462" s="102"/>
    </row>
    <row r="463" spans="10:16">
      <c r="J463" s="102"/>
      <c r="K463" s="102"/>
      <c r="L463" s="102"/>
      <c r="M463" s="102"/>
      <c r="N463" s="102"/>
      <c r="O463" s="102"/>
      <c r="P463" s="102"/>
    </row>
    <row r="464" spans="10:16">
      <c r="J464" s="102"/>
      <c r="K464" s="102"/>
      <c r="L464" s="102"/>
      <c r="M464" s="102"/>
      <c r="N464" s="102"/>
      <c r="O464" s="102"/>
      <c r="P464" s="102"/>
    </row>
  </sheetData>
  <mergeCells count="95">
    <mergeCell ref="F2:H2"/>
    <mergeCell ref="I2:I6"/>
    <mergeCell ref="J2:M2"/>
    <mergeCell ref="B4:B6"/>
    <mergeCell ref="B14:B21"/>
    <mergeCell ref="C14:C21"/>
    <mergeCell ref="B26:B30"/>
    <mergeCell ref="C26:C30"/>
    <mergeCell ref="B35:B37"/>
    <mergeCell ref="C35:C37"/>
    <mergeCell ref="B42:B47"/>
    <mergeCell ref="C42:C44"/>
    <mergeCell ref="C45:C47"/>
    <mergeCell ref="B52:B55"/>
    <mergeCell ref="C52:C55"/>
    <mergeCell ref="D59:F59"/>
    <mergeCell ref="B60:B63"/>
    <mergeCell ref="C60:C61"/>
    <mergeCell ref="D60:F60"/>
    <mergeCell ref="D61:F61"/>
    <mergeCell ref="C62:C63"/>
    <mergeCell ref="D62:F62"/>
    <mergeCell ref="D63:F63"/>
    <mergeCell ref="B68:B87"/>
    <mergeCell ref="C68:C74"/>
    <mergeCell ref="C75:C81"/>
    <mergeCell ref="C82:C87"/>
    <mergeCell ref="B92:B96"/>
    <mergeCell ref="C92:C96"/>
    <mergeCell ref="B137:B138"/>
    <mergeCell ref="C137:C138"/>
    <mergeCell ref="D137:F137"/>
    <mergeCell ref="D138:F138"/>
    <mergeCell ref="B101:B103"/>
    <mergeCell ref="C101:C103"/>
    <mergeCell ref="B108:B111"/>
    <mergeCell ref="C108:C111"/>
    <mergeCell ref="B116:B118"/>
    <mergeCell ref="C116:C118"/>
    <mergeCell ref="B123:B125"/>
    <mergeCell ref="C123:C125"/>
    <mergeCell ref="B130:B132"/>
    <mergeCell ref="C130:C132"/>
    <mergeCell ref="D136:F136"/>
    <mergeCell ref="B143:B145"/>
    <mergeCell ref="C143:C145"/>
    <mergeCell ref="B150:B152"/>
    <mergeCell ref="C150:C152"/>
    <mergeCell ref="B157:B162"/>
    <mergeCell ref="C157:C162"/>
    <mergeCell ref="B167:B169"/>
    <mergeCell ref="C167:C169"/>
    <mergeCell ref="B174:B176"/>
    <mergeCell ref="C174:C176"/>
    <mergeCell ref="B181:B183"/>
    <mergeCell ref="C181:C183"/>
    <mergeCell ref="F209:F210"/>
    <mergeCell ref="B188:B190"/>
    <mergeCell ref="C188:C190"/>
    <mergeCell ref="D194:F194"/>
    <mergeCell ref="B195:B196"/>
    <mergeCell ref="C195:C196"/>
    <mergeCell ref="D195:F195"/>
    <mergeCell ref="D196:F196"/>
    <mergeCell ref="B197:B198"/>
    <mergeCell ref="C197:C198"/>
    <mergeCell ref="D197:F197"/>
    <mergeCell ref="D198:F198"/>
    <mergeCell ref="F203:F204"/>
    <mergeCell ref="O369:V369"/>
    <mergeCell ref="F211:F212"/>
    <mergeCell ref="F213:F214"/>
    <mergeCell ref="B291:B292"/>
    <mergeCell ref="B294:B295"/>
    <mergeCell ref="I294:I295"/>
    <mergeCell ref="B296:B297"/>
    <mergeCell ref="I296:I297"/>
    <mergeCell ref="B298:B299"/>
    <mergeCell ref="I298:I299"/>
    <mergeCell ref="B300:B301"/>
    <mergeCell ref="B302:B303"/>
    <mergeCell ref="O368:V368"/>
    <mergeCell ref="P370:Q370"/>
    <mergeCell ref="O371:O372"/>
    <mergeCell ref="P371:T372"/>
    <mergeCell ref="B378:I378"/>
    <mergeCell ref="P389:Q389"/>
    <mergeCell ref="R389:T389"/>
    <mergeCell ref="O393:V393"/>
    <mergeCell ref="P390:Q390"/>
    <mergeCell ref="R390:T390"/>
    <mergeCell ref="P391:Q391"/>
    <mergeCell ref="R391:T391"/>
    <mergeCell ref="P392:Q392"/>
    <mergeCell ref="R392:T392"/>
  </mergeCells>
  <phoneticPr fontId="5" type="noConversion"/>
  <pageMargins left="0.19685039370078741" right="0.19685039370078741" top="0.74803149606299213" bottom="0.74803149606299213" header="0.31496062992125984" footer="0.31496062992125984"/>
  <pageSetup paperSize="9" scale="78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DDD5F-9D4A-4B97-A469-459B25BAE729}">
  <sheetPr>
    <tabColor rgb="FF7030A0"/>
    <pageSetUpPr fitToPage="1"/>
  </sheetPr>
  <dimension ref="A1:V464"/>
  <sheetViews>
    <sheetView showZeros="0" topLeftCell="A343" zoomScaleNormal="100" workbookViewId="0">
      <selection activeCell="C372" sqref="C372"/>
    </sheetView>
  </sheetViews>
  <sheetFormatPr defaultColWidth="25.25" defaultRowHeight="13.5"/>
  <cols>
    <col min="1" max="1" width="0.5" style="1" customWidth="1"/>
    <col min="2" max="2" width="25.25" style="102" customWidth="1"/>
    <col min="3" max="3" width="14.75" style="102" customWidth="1"/>
    <col min="4" max="4" width="11.5" style="102" customWidth="1"/>
    <col min="5" max="5" width="11.25" style="102" customWidth="1"/>
    <col min="6" max="6" width="12.25" style="102" customWidth="1"/>
    <col min="7" max="7" width="10" style="102" customWidth="1"/>
    <col min="8" max="8" width="9.875" style="102" customWidth="1"/>
    <col min="9" max="9" width="26.875" style="102" customWidth="1"/>
    <col min="10" max="10" width="11.125" style="43" customWidth="1"/>
    <col min="11" max="11" width="7.875" style="43" customWidth="1"/>
    <col min="12" max="12" width="7.25" style="43" customWidth="1"/>
    <col min="13" max="13" width="9.125" style="43" customWidth="1"/>
    <col min="14" max="14" width="15.125" style="255" customWidth="1"/>
    <col min="15" max="15" width="13.125" style="255" customWidth="1"/>
    <col min="16" max="16" width="24.375" style="255" customWidth="1"/>
    <col min="17" max="17" width="13.75" style="255" customWidth="1"/>
    <col min="18" max="18" width="11.25" style="255" customWidth="1"/>
    <col min="19" max="19" width="10.75" style="255" customWidth="1"/>
    <col min="20" max="20" width="10" style="255" customWidth="1"/>
    <col min="21" max="21" width="9.875" style="255" customWidth="1"/>
    <col min="22" max="22" width="26.125" style="255" customWidth="1"/>
    <col min="23" max="23" width="11.125" style="255" customWidth="1"/>
    <col min="24" max="24" width="7.875" style="255" customWidth="1"/>
    <col min="25" max="25" width="7.25" style="255" customWidth="1"/>
    <col min="26" max="26" width="9.125" style="255" customWidth="1"/>
    <col min="27" max="27" width="15.125" style="255" customWidth="1"/>
    <col min="28" max="28" width="7.75" style="255" customWidth="1"/>
    <col min="29" max="29" width="7.125" style="255" customWidth="1"/>
    <col min="30" max="30" width="12.125" style="255" customWidth="1"/>
    <col min="31" max="31" width="8.25" style="255" customWidth="1"/>
    <col min="32" max="33" width="10.375" style="255" customWidth="1"/>
    <col min="34" max="34" width="15.625" style="255" customWidth="1"/>
    <col min="35" max="35" width="15.875" style="255" customWidth="1"/>
    <col min="36" max="36" width="8.125" style="255" customWidth="1"/>
    <col min="37" max="40" width="10.375" style="255" customWidth="1"/>
    <col min="41" max="41" width="7.25" style="255" customWidth="1"/>
    <col min="42" max="42" width="7.125" style="255" customWidth="1"/>
    <col min="43" max="43" width="9.5" style="255" customWidth="1"/>
    <col min="44" max="45" width="9" style="255" customWidth="1"/>
    <col min="46" max="46" width="16.125" style="255" customWidth="1"/>
    <col min="47" max="77" width="9" style="255" customWidth="1"/>
    <col min="78" max="237" width="25.25" style="255"/>
    <col min="238" max="267" width="9" style="255" customWidth="1"/>
    <col min="268" max="268" width="0.5" style="255" customWidth="1"/>
    <col min="269" max="269" width="25.25" style="255"/>
    <col min="270" max="270" width="0.5" style="255" customWidth="1"/>
    <col min="271" max="271" width="25.25" style="255"/>
    <col min="272" max="272" width="14.75" style="255" customWidth="1"/>
    <col min="273" max="273" width="11.5" style="255" customWidth="1"/>
    <col min="274" max="274" width="11.25" style="255" customWidth="1"/>
    <col min="275" max="275" width="10.75" style="255" customWidth="1"/>
    <col min="276" max="276" width="10" style="255" customWidth="1"/>
    <col min="277" max="277" width="9.875" style="255" customWidth="1"/>
    <col min="278" max="278" width="26.125" style="255" customWidth="1"/>
    <col min="279" max="279" width="11.125" style="255" customWidth="1"/>
    <col min="280" max="280" width="7.875" style="255" customWidth="1"/>
    <col min="281" max="281" width="7.25" style="255" customWidth="1"/>
    <col min="282" max="282" width="9.125" style="255" customWidth="1"/>
    <col min="283" max="283" width="15.125" style="255" customWidth="1"/>
    <col min="284" max="284" width="7.75" style="255" customWidth="1"/>
    <col min="285" max="285" width="7.125" style="255" customWidth="1"/>
    <col min="286" max="286" width="12.125" style="255" customWidth="1"/>
    <col min="287" max="287" width="8.25" style="255" customWidth="1"/>
    <col min="288" max="289" width="10.375" style="255" customWidth="1"/>
    <col min="290" max="290" width="15.625" style="255" customWidth="1"/>
    <col min="291" max="291" width="15.875" style="255" customWidth="1"/>
    <col min="292" max="292" width="8.125" style="255" customWidth="1"/>
    <col min="293" max="296" width="10.375" style="255" customWidth="1"/>
    <col min="297" max="297" width="7.25" style="255" customWidth="1"/>
    <col min="298" max="298" width="7.125" style="255" customWidth="1"/>
    <col min="299" max="299" width="9.5" style="255" customWidth="1"/>
    <col min="300" max="301" width="9" style="255" customWidth="1"/>
    <col min="302" max="302" width="16.125" style="255" customWidth="1"/>
    <col min="303" max="333" width="9" style="255" customWidth="1"/>
    <col min="334" max="493" width="25.25" style="255"/>
    <col min="494" max="523" width="9" style="255" customWidth="1"/>
    <col min="524" max="524" width="0.5" style="255" customWidth="1"/>
    <col min="525" max="525" width="25.25" style="255"/>
    <col min="526" max="526" width="0.5" style="255" customWidth="1"/>
    <col min="527" max="527" width="25.25" style="255"/>
    <col min="528" max="528" width="14.75" style="255" customWidth="1"/>
    <col min="529" max="529" width="11.5" style="255" customWidth="1"/>
    <col min="530" max="530" width="11.25" style="255" customWidth="1"/>
    <col min="531" max="531" width="10.75" style="255" customWidth="1"/>
    <col min="532" max="532" width="10" style="255" customWidth="1"/>
    <col min="533" max="533" width="9.875" style="255" customWidth="1"/>
    <col min="534" max="534" width="26.125" style="255" customWidth="1"/>
    <col min="535" max="535" width="11.125" style="255" customWidth="1"/>
    <col min="536" max="536" width="7.875" style="255" customWidth="1"/>
    <col min="537" max="537" width="7.25" style="255" customWidth="1"/>
    <col min="538" max="538" width="9.125" style="255" customWidth="1"/>
    <col min="539" max="539" width="15.125" style="255" customWidth="1"/>
    <col min="540" max="540" width="7.75" style="255" customWidth="1"/>
    <col min="541" max="541" width="7.125" style="255" customWidth="1"/>
    <col min="542" max="542" width="12.125" style="255" customWidth="1"/>
    <col min="543" max="543" width="8.25" style="255" customWidth="1"/>
    <col min="544" max="545" width="10.375" style="255" customWidth="1"/>
    <col min="546" max="546" width="15.625" style="255" customWidth="1"/>
    <col min="547" max="547" width="15.875" style="255" customWidth="1"/>
    <col min="548" max="548" width="8.125" style="255" customWidth="1"/>
    <col min="549" max="552" width="10.375" style="255" customWidth="1"/>
    <col min="553" max="553" width="7.25" style="255" customWidth="1"/>
    <col min="554" max="554" width="7.125" style="255" customWidth="1"/>
    <col min="555" max="555" width="9.5" style="255" customWidth="1"/>
    <col min="556" max="557" width="9" style="255" customWidth="1"/>
    <col min="558" max="558" width="16.125" style="255" customWidth="1"/>
    <col min="559" max="589" width="9" style="255" customWidth="1"/>
    <col min="590" max="749" width="25.25" style="255"/>
    <col min="750" max="779" width="9" style="255" customWidth="1"/>
    <col min="780" max="780" width="0.5" style="255" customWidth="1"/>
    <col min="781" max="781" width="25.25" style="255"/>
    <col min="782" max="782" width="0.5" style="255" customWidth="1"/>
    <col min="783" max="783" width="25.25" style="255"/>
    <col min="784" max="784" width="14.75" style="255" customWidth="1"/>
    <col min="785" max="785" width="11.5" style="255" customWidth="1"/>
    <col min="786" max="786" width="11.25" style="255" customWidth="1"/>
    <col min="787" max="787" width="10.75" style="255" customWidth="1"/>
    <col min="788" max="788" width="10" style="255" customWidth="1"/>
    <col min="789" max="789" width="9.875" style="255" customWidth="1"/>
    <col min="790" max="790" width="26.125" style="255" customWidth="1"/>
    <col min="791" max="791" width="11.125" style="255" customWidth="1"/>
    <col min="792" max="792" width="7.875" style="255" customWidth="1"/>
    <col min="793" max="793" width="7.25" style="255" customWidth="1"/>
    <col min="794" max="794" width="9.125" style="255" customWidth="1"/>
    <col min="795" max="795" width="15.125" style="255" customWidth="1"/>
    <col min="796" max="796" width="7.75" style="255" customWidth="1"/>
    <col min="797" max="797" width="7.125" style="255" customWidth="1"/>
    <col min="798" max="798" width="12.125" style="255" customWidth="1"/>
    <col min="799" max="799" width="8.25" style="255" customWidth="1"/>
    <col min="800" max="801" width="10.375" style="255" customWidth="1"/>
    <col min="802" max="802" width="15.625" style="255" customWidth="1"/>
    <col min="803" max="803" width="15.875" style="255" customWidth="1"/>
    <col min="804" max="804" width="8.125" style="255" customWidth="1"/>
    <col min="805" max="808" width="10.375" style="255" customWidth="1"/>
    <col min="809" max="809" width="7.25" style="255" customWidth="1"/>
    <col min="810" max="810" width="7.125" style="255" customWidth="1"/>
    <col min="811" max="811" width="9.5" style="255" customWidth="1"/>
    <col min="812" max="813" width="9" style="255" customWidth="1"/>
    <col min="814" max="814" width="16.125" style="255" customWidth="1"/>
    <col min="815" max="845" width="9" style="255" customWidth="1"/>
    <col min="846" max="1005" width="25.25" style="255"/>
    <col min="1006" max="1035" width="9" style="255" customWidth="1"/>
    <col min="1036" max="1036" width="0.5" style="255" customWidth="1"/>
    <col min="1037" max="1037" width="25.25" style="255"/>
    <col min="1038" max="1038" width="0.5" style="255" customWidth="1"/>
    <col min="1039" max="1039" width="25.25" style="255"/>
    <col min="1040" max="1040" width="14.75" style="255" customWidth="1"/>
    <col min="1041" max="1041" width="11.5" style="255" customWidth="1"/>
    <col min="1042" max="1042" width="11.25" style="255" customWidth="1"/>
    <col min="1043" max="1043" width="10.75" style="255" customWidth="1"/>
    <col min="1044" max="1044" width="10" style="255" customWidth="1"/>
    <col min="1045" max="1045" width="9.875" style="255" customWidth="1"/>
    <col min="1046" max="1046" width="26.125" style="255" customWidth="1"/>
    <col min="1047" max="1047" width="11.125" style="255" customWidth="1"/>
    <col min="1048" max="1048" width="7.875" style="255" customWidth="1"/>
    <col min="1049" max="1049" width="7.25" style="255" customWidth="1"/>
    <col min="1050" max="1050" width="9.125" style="255" customWidth="1"/>
    <col min="1051" max="1051" width="15.125" style="255" customWidth="1"/>
    <col min="1052" max="1052" width="7.75" style="255" customWidth="1"/>
    <col min="1053" max="1053" width="7.125" style="255" customWidth="1"/>
    <col min="1054" max="1054" width="12.125" style="255" customWidth="1"/>
    <col min="1055" max="1055" width="8.25" style="255" customWidth="1"/>
    <col min="1056" max="1057" width="10.375" style="255" customWidth="1"/>
    <col min="1058" max="1058" width="15.625" style="255" customWidth="1"/>
    <col min="1059" max="1059" width="15.875" style="255" customWidth="1"/>
    <col min="1060" max="1060" width="8.125" style="255" customWidth="1"/>
    <col min="1061" max="1064" width="10.375" style="255" customWidth="1"/>
    <col min="1065" max="1065" width="7.25" style="255" customWidth="1"/>
    <col min="1066" max="1066" width="7.125" style="255" customWidth="1"/>
    <col min="1067" max="1067" width="9.5" style="255" customWidth="1"/>
    <col min="1068" max="1069" width="9" style="255" customWidth="1"/>
    <col min="1070" max="1070" width="16.125" style="255" customWidth="1"/>
    <col min="1071" max="1101" width="9" style="255" customWidth="1"/>
    <col min="1102" max="1261" width="25.25" style="255"/>
    <col min="1262" max="1291" width="9" style="255" customWidth="1"/>
    <col min="1292" max="1292" width="0.5" style="255" customWidth="1"/>
    <col min="1293" max="1293" width="25.25" style="255"/>
    <col min="1294" max="1294" width="0.5" style="255" customWidth="1"/>
    <col min="1295" max="1295" width="25.25" style="255"/>
    <col min="1296" max="1296" width="14.75" style="255" customWidth="1"/>
    <col min="1297" max="1297" width="11.5" style="255" customWidth="1"/>
    <col min="1298" max="1298" width="11.25" style="255" customWidth="1"/>
    <col min="1299" max="1299" width="10.75" style="255" customWidth="1"/>
    <col min="1300" max="1300" width="10" style="255" customWidth="1"/>
    <col min="1301" max="1301" width="9.875" style="255" customWidth="1"/>
    <col min="1302" max="1302" width="26.125" style="255" customWidth="1"/>
    <col min="1303" max="1303" width="11.125" style="255" customWidth="1"/>
    <col min="1304" max="1304" width="7.875" style="255" customWidth="1"/>
    <col min="1305" max="1305" width="7.25" style="255" customWidth="1"/>
    <col min="1306" max="1306" width="9.125" style="255" customWidth="1"/>
    <col min="1307" max="1307" width="15.125" style="255" customWidth="1"/>
    <col min="1308" max="1308" width="7.75" style="255" customWidth="1"/>
    <col min="1309" max="1309" width="7.125" style="255" customWidth="1"/>
    <col min="1310" max="1310" width="12.125" style="255" customWidth="1"/>
    <col min="1311" max="1311" width="8.25" style="255" customWidth="1"/>
    <col min="1312" max="1313" width="10.375" style="255" customWidth="1"/>
    <col min="1314" max="1314" width="15.625" style="255" customWidth="1"/>
    <col min="1315" max="1315" width="15.875" style="255" customWidth="1"/>
    <col min="1316" max="1316" width="8.125" style="255" customWidth="1"/>
    <col min="1317" max="1320" width="10.375" style="255" customWidth="1"/>
    <col min="1321" max="1321" width="7.25" style="255" customWidth="1"/>
    <col min="1322" max="1322" width="7.125" style="255" customWidth="1"/>
    <col min="1323" max="1323" width="9.5" style="255" customWidth="1"/>
    <col min="1324" max="1325" width="9" style="255" customWidth="1"/>
    <col min="1326" max="1326" width="16.125" style="255" customWidth="1"/>
    <col min="1327" max="1357" width="9" style="255" customWidth="1"/>
    <col min="1358" max="1517" width="25.25" style="255"/>
    <col min="1518" max="1547" width="9" style="255" customWidth="1"/>
    <col min="1548" max="1548" width="0.5" style="255" customWidth="1"/>
    <col min="1549" max="1549" width="25.25" style="255"/>
    <col min="1550" max="1550" width="0.5" style="255" customWidth="1"/>
    <col min="1551" max="1551" width="25.25" style="255"/>
    <col min="1552" max="1552" width="14.75" style="255" customWidth="1"/>
    <col min="1553" max="1553" width="11.5" style="255" customWidth="1"/>
    <col min="1554" max="1554" width="11.25" style="255" customWidth="1"/>
    <col min="1555" max="1555" width="10.75" style="255" customWidth="1"/>
    <col min="1556" max="1556" width="10" style="255" customWidth="1"/>
    <col min="1557" max="1557" width="9.875" style="255" customWidth="1"/>
    <col min="1558" max="1558" width="26.125" style="255" customWidth="1"/>
    <col min="1559" max="1559" width="11.125" style="255" customWidth="1"/>
    <col min="1560" max="1560" width="7.875" style="255" customWidth="1"/>
    <col min="1561" max="1561" width="7.25" style="255" customWidth="1"/>
    <col min="1562" max="1562" width="9.125" style="255" customWidth="1"/>
    <col min="1563" max="1563" width="15.125" style="255" customWidth="1"/>
    <col min="1564" max="1564" width="7.75" style="255" customWidth="1"/>
    <col min="1565" max="1565" width="7.125" style="255" customWidth="1"/>
    <col min="1566" max="1566" width="12.125" style="255" customWidth="1"/>
    <col min="1567" max="1567" width="8.25" style="255" customWidth="1"/>
    <col min="1568" max="1569" width="10.375" style="255" customWidth="1"/>
    <col min="1570" max="1570" width="15.625" style="255" customWidth="1"/>
    <col min="1571" max="1571" width="15.875" style="255" customWidth="1"/>
    <col min="1572" max="1572" width="8.125" style="255" customWidth="1"/>
    <col min="1573" max="1576" width="10.375" style="255" customWidth="1"/>
    <col min="1577" max="1577" width="7.25" style="255" customWidth="1"/>
    <col min="1578" max="1578" width="7.125" style="255" customWidth="1"/>
    <col min="1579" max="1579" width="9.5" style="255" customWidth="1"/>
    <col min="1580" max="1581" width="9" style="255" customWidth="1"/>
    <col min="1582" max="1582" width="16.125" style="255" customWidth="1"/>
    <col min="1583" max="1613" width="9" style="255" customWidth="1"/>
    <col min="1614" max="1773" width="25.25" style="255"/>
    <col min="1774" max="1803" width="9" style="255" customWidth="1"/>
    <col min="1804" max="1804" width="0.5" style="255" customWidth="1"/>
    <col min="1805" max="1805" width="25.25" style="255"/>
    <col min="1806" max="1806" width="0.5" style="255" customWidth="1"/>
    <col min="1807" max="1807" width="25.25" style="255"/>
    <col min="1808" max="1808" width="14.75" style="255" customWidth="1"/>
    <col min="1809" max="1809" width="11.5" style="255" customWidth="1"/>
    <col min="1810" max="1810" width="11.25" style="255" customWidth="1"/>
    <col min="1811" max="1811" width="10.75" style="255" customWidth="1"/>
    <col min="1812" max="1812" width="10" style="255" customWidth="1"/>
    <col min="1813" max="1813" width="9.875" style="255" customWidth="1"/>
    <col min="1814" max="1814" width="26.125" style="255" customWidth="1"/>
    <col min="1815" max="1815" width="11.125" style="255" customWidth="1"/>
    <col min="1816" max="1816" width="7.875" style="255" customWidth="1"/>
    <col min="1817" max="1817" width="7.25" style="255" customWidth="1"/>
    <col min="1818" max="1818" width="9.125" style="255" customWidth="1"/>
    <col min="1819" max="1819" width="15.125" style="255" customWidth="1"/>
    <col min="1820" max="1820" width="7.75" style="255" customWidth="1"/>
    <col min="1821" max="1821" width="7.125" style="255" customWidth="1"/>
    <col min="1822" max="1822" width="12.125" style="255" customWidth="1"/>
    <col min="1823" max="1823" width="8.25" style="255" customWidth="1"/>
    <col min="1824" max="1825" width="10.375" style="255" customWidth="1"/>
    <col min="1826" max="1826" width="15.625" style="255" customWidth="1"/>
    <col min="1827" max="1827" width="15.875" style="255" customWidth="1"/>
    <col min="1828" max="1828" width="8.125" style="255" customWidth="1"/>
    <col min="1829" max="1832" width="10.375" style="255" customWidth="1"/>
    <col min="1833" max="1833" width="7.25" style="255" customWidth="1"/>
    <col min="1834" max="1834" width="7.125" style="255" customWidth="1"/>
    <col min="1835" max="1835" width="9.5" style="255" customWidth="1"/>
    <col min="1836" max="1837" width="9" style="255" customWidth="1"/>
    <col min="1838" max="1838" width="16.125" style="255" customWidth="1"/>
    <col min="1839" max="1869" width="9" style="255" customWidth="1"/>
    <col min="1870" max="2029" width="25.25" style="255"/>
    <col min="2030" max="2059" width="9" style="255" customWidth="1"/>
    <col min="2060" max="2060" width="0.5" style="255" customWidth="1"/>
    <col min="2061" max="2061" width="25.25" style="255"/>
    <col min="2062" max="2062" width="0.5" style="255" customWidth="1"/>
    <col min="2063" max="2063" width="25.25" style="255"/>
    <col min="2064" max="2064" width="14.75" style="255" customWidth="1"/>
    <col min="2065" max="2065" width="11.5" style="255" customWidth="1"/>
    <col min="2066" max="2066" width="11.25" style="255" customWidth="1"/>
    <col min="2067" max="2067" width="10.75" style="255" customWidth="1"/>
    <col min="2068" max="2068" width="10" style="255" customWidth="1"/>
    <col min="2069" max="2069" width="9.875" style="255" customWidth="1"/>
    <col min="2070" max="2070" width="26.125" style="255" customWidth="1"/>
    <col min="2071" max="2071" width="11.125" style="255" customWidth="1"/>
    <col min="2072" max="2072" width="7.875" style="255" customWidth="1"/>
    <col min="2073" max="2073" width="7.25" style="255" customWidth="1"/>
    <col min="2074" max="2074" width="9.125" style="255" customWidth="1"/>
    <col min="2075" max="2075" width="15.125" style="255" customWidth="1"/>
    <col min="2076" max="2076" width="7.75" style="255" customWidth="1"/>
    <col min="2077" max="2077" width="7.125" style="255" customWidth="1"/>
    <col min="2078" max="2078" width="12.125" style="255" customWidth="1"/>
    <col min="2079" max="2079" width="8.25" style="255" customWidth="1"/>
    <col min="2080" max="2081" width="10.375" style="255" customWidth="1"/>
    <col min="2082" max="2082" width="15.625" style="255" customWidth="1"/>
    <col min="2083" max="2083" width="15.875" style="255" customWidth="1"/>
    <col min="2084" max="2084" width="8.125" style="255" customWidth="1"/>
    <col min="2085" max="2088" width="10.375" style="255" customWidth="1"/>
    <col min="2089" max="2089" width="7.25" style="255" customWidth="1"/>
    <col min="2090" max="2090" width="7.125" style="255" customWidth="1"/>
    <col min="2091" max="2091" width="9.5" style="255" customWidth="1"/>
    <col min="2092" max="2093" width="9" style="255" customWidth="1"/>
    <col min="2094" max="2094" width="16.125" style="255" customWidth="1"/>
    <col min="2095" max="2125" width="9" style="255" customWidth="1"/>
    <col min="2126" max="2285" width="25.25" style="255"/>
    <col min="2286" max="2315" width="9" style="255" customWidth="1"/>
    <col min="2316" max="2316" width="0.5" style="255" customWidth="1"/>
    <col min="2317" max="2317" width="25.25" style="255"/>
    <col min="2318" max="2318" width="0.5" style="255" customWidth="1"/>
    <col min="2319" max="2319" width="25.25" style="255"/>
    <col min="2320" max="2320" width="14.75" style="255" customWidth="1"/>
    <col min="2321" max="2321" width="11.5" style="255" customWidth="1"/>
    <col min="2322" max="2322" width="11.25" style="255" customWidth="1"/>
    <col min="2323" max="2323" width="10.75" style="255" customWidth="1"/>
    <col min="2324" max="2324" width="10" style="255" customWidth="1"/>
    <col min="2325" max="2325" width="9.875" style="255" customWidth="1"/>
    <col min="2326" max="2326" width="26.125" style="255" customWidth="1"/>
    <col min="2327" max="2327" width="11.125" style="255" customWidth="1"/>
    <col min="2328" max="2328" width="7.875" style="255" customWidth="1"/>
    <col min="2329" max="2329" width="7.25" style="255" customWidth="1"/>
    <col min="2330" max="2330" width="9.125" style="255" customWidth="1"/>
    <col min="2331" max="2331" width="15.125" style="255" customWidth="1"/>
    <col min="2332" max="2332" width="7.75" style="255" customWidth="1"/>
    <col min="2333" max="2333" width="7.125" style="255" customWidth="1"/>
    <col min="2334" max="2334" width="12.125" style="255" customWidth="1"/>
    <col min="2335" max="2335" width="8.25" style="255" customWidth="1"/>
    <col min="2336" max="2337" width="10.375" style="255" customWidth="1"/>
    <col min="2338" max="2338" width="15.625" style="255" customWidth="1"/>
    <col min="2339" max="2339" width="15.875" style="255" customWidth="1"/>
    <col min="2340" max="2340" width="8.125" style="255" customWidth="1"/>
    <col min="2341" max="2344" width="10.375" style="255" customWidth="1"/>
    <col min="2345" max="2345" width="7.25" style="255" customWidth="1"/>
    <col min="2346" max="2346" width="7.125" style="255" customWidth="1"/>
    <col min="2347" max="2347" width="9.5" style="255" customWidth="1"/>
    <col min="2348" max="2349" width="9" style="255" customWidth="1"/>
    <col min="2350" max="2350" width="16.125" style="255" customWidth="1"/>
    <col min="2351" max="2381" width="9" style="255" customWidth="1"/>
    <col min="2382" max="2541" width="25.25" style="255"/>
    <col min="2542" max="2571" width="9" style="255" customWidth="1"/>
    <col min="2572" max="2572" width="0.5" style="255" customWidth="1"/>
    <col min="2573" max="2573" width="25.25" style="255"/>
    <col min="2574" max="2574" width="0.5" style="255" customWidth="1"/>
    <col min="2575" max="2575" width="25.25" style="255"/>
    <col min="2576" max="2576" width="14.75" style="255" customWidth="1"/>
    <col min="2577" max="2577" width="11.5" style="255" customWidth="1"/>
    <col min="2578" max="2578" width="11.25" style="255" customWidth="1"/>
    <col min="2579" max="2579" width="10.75" style="255" customWidth="1"/>
    <col min="2580" max="2580" width="10" style="255" customWidth="1"/>
    <col min="2581" max="2581" width="9.875" style="255" customWidth="1"/>
    <col min="2582" max="2582" width="26.125" style="255" customWidth="1"/>
    <col min="2583" max="2583" width="11.125" style="255" customWidth="1"/>
    <col min="2584" max="2584" width="7.875" style="255" customWidth="1"/>
    <col min="2585" max="2585" width="7.25" style="255" customWidth="1"/>
    <col min="2586" max="2586" width="9.125" style="255" customWidth="1"/>
    <col min="2587" max="2587" width="15.125" style="255" customWidth="1"/>
    <col min="2588" max="2588" width="7.75" style="255" customWidth="1"/>
    <col min="2589" max="2589" width="7.125" style="255" customWidth="1"/>
    <col min="2590" max="2590" width="12.125" style="255" customWidth="1"/>
    <col min="2591" max="2591" width="8.25" style="255" customWidth="1"/>
    <col min="2592" max="2593" width="10.375" style="255" customWidth="1"/>
    <col min="2594" max="2594" width="15.625" style="255" customWidth="1"/>
    <col min="2595" max="2595" width="15.875" style="255" customWidth="1"/>
    <col min="2596" max="2596" width="8.125" style="255" customWidth="1"/>
    <col min="2597" max="2600" width="10.375" style="255" customWidth="1"/>
    <col min="2601" max="2601" width="7.25" style="255" customWidth="1"/>
    <col min="2602" max="2602" width="7.125" style="255" customWidth="1"/>
    <col min="2603" max="2603" width="9.5" style="255" customWidth="1"/>
    <col min="2604" max="2605" width="9" style="255" customWidth="1"/>
    <col min="2606" max="2606" width="16.125" style="255" customWidth="1"/>
    <col min="2607" max="2637" width="9" style="255" customWidth="1"/>
    <col min="2638" max="2797" width="25.25" style="255"/>
    <col min="2798" max="2827" width="9" style="255" customWidth="1"/>
    <col min="2828" max="2828" width="0.5" style="255" customWidth="1"/>
    <col min="2829" max="2829" width="25.25" style="255"/>
    <col min="2830" max="2830" width="0.5" style="255" customWidth="1"/>
    <col min="2831" max="2831" width="25.25" style="255"/>
    <col min="2832" max="2832" width="14.75" style="255" customWidth="1"/>
    <col min="2833" max="2833" width="11.5" style="255" customWidth="1"/>
    <col min="2834" max="2834" width="11.25" style="255" customWidth="1"/>
    <col min="2835" max="2835" width="10.75" style="255" customWidth="1"/>
    <col min="2836" max="2836" width="10" style="255" customWidth="1"/>
    <col min="2837" max="2837" width="9.875" style="255" customWidth="1"/>
    <col min="2838" max="2838" width="26.125" style="255" customWidth="1"/>
    <col min="2839" max="2839" width="11.125" style="255" customWidth="1"/>
    <col min="2840" max="2840" width="7.875" style="255" customWidth="1"/>
    <col min="2841" max="2841" width="7.25" style="255" customWidth="1"/>
    <col min="2842" max="2842" width="9.125" style="255" customWidth="1"/>
    <col min="2843" max="2843" width="15.125" style="255" customWidth="1"/>
    <col min="2844" max="2844" width="7.75" style="255" customWidth="1"/>
    <col min="2845" max="2845" width="7.125" style="255" customWidth="1"/>
    <col min="2846" max="2846" width="12.125" style="255" customWidth="1"/>
    <col min="2847" max="2847" width="8.25" style="255" customWidth="1"/>
    <col min="2848" max="2849" width="10.375" style="255" customWidth="1"/>
    <col min="2850" max="2850" width="15.625" style="255" customWidth="1"/>
    <col min="2851" max="2851" width="15.875" style="255" customWidth="1"/>
    <col min="2852" max="2852" width="8.125" style="255" customWidth="1"/>
    <col min="2853" max="2856" width="10.375" style="255" customWidth="1"/>
    <col min="2857" max="2857" width="7.25" style="255" customWidth="1"/>
    <col min="2858" max="2858" width="7.125" style="255" customWidth="1"/>
    <col min="2859" max="2859" width="9.5" style="255" customWidth="1"/>
    <col min="2860" max="2861" width="9" style="255" customWidth="1"/>
    <col min="2862" max="2862" width="16.125" style="255" customWidth="1"/>
    <col min="2863" max="2893" width="9" style="255" customWidth="1"/>
    <col min="2894" max="3053" width="25.25" style="255"/>
    <col min="3054" max="3083" width="9" style="255" customWidth="1"/>
    <col min="3084" max="3084" width="0.5" style="255" customWidth="1"/>
    <col min="3085" max="3085" width="25.25" style="255"/>
    <col min="3086" max="3086" width="0.5" style="255" customWidth="1"/>
    <col min="3087" max="3087" width="25.25" style="255"/>
    <col min="3088" max="3088" width="14.75" style="255" customWidth="1"/>
    <col min="3089" max="3089" width="11.5" style="255" customWidth="1"/>
    <col min="3090" max="3090" width="11.25" style="255" customWidth="1"/>
    <col min="3091" max="3091" width="10.75" style="255" customWidth="1"/>
    <col min="3092" max="3092" width="10" style="255" customWidth="1"/>
    <col min="3093" max="3093" width="9.875" style="255" customWidth="1"/>
    <col min="3094" max="3094" width="26.125" style="255" customWidth="1"/>
    <col min="3095" max="3095" width="11.125" style="255" customWidth="1"/>
    <col min="3096" max="3096" width="7.875" style="255" customWidth="1"/>
    <col min="3097" max="3097" width="7.25" style="255" customWidth="1"/>
    <col min="3098" max="3098" width="9.125" style="255" customWidth="1"/>
    <col min="3099" max="3099" width="15.125" style="255" customWidth="1"/>
    <col min="3100" max="3100" width="7.75" style="255" customWidth="1"/>
    <col min="3101" max="3101" width="7.125" style="255" customWidth="1"/>
    <col min="3102" max="3102" width="12.125" style="255" customWidth="1"/>
    <col min="3103" max="3103" width="8.25" style="255" customWidth="1"/>
    <col min="3104" max="3105" width="10.375" style="255" customWidth="1"/>
    <col min="3106" max="3106" width="15.625" style="255" customWidth="1"/>
    <col min="3107" max="3107" width="15.875" style="255" customWidth="1"/>
    <col min="3108" max="3108" width="8.125" style="255" customWidth="1"/>
    <col min="3109" max="3112" width="10.375" style="255" customWidth="1"/>
    <col min="3113" max="3113" width="7.25" style="255" customWidth="1"/>
    <col min="3114" max="3114" width="7.125" style="255" customWidth="1"/>
    <col min="3115" max="3115" width="9.5" style="255" customWidth="1"/>
    <col min="3116" max="3117" width="9" style="255" customWidth="1"/>
    <col min="3118" max="3118" width="16.125" style="255" customWidth="1"/>
    <col min="3119" max="3149" width="9" style="255" customWidth="1"/>
    <col min="3150" max="3309" width="25.25" style="255"/>
    <col min="3310" max="3339" width="9" style="255" customWidth="1"/>
    <col min="3340" max="3340" width="0.5" style="255" customWidth="1"/>
    <col min="3341" max="3341" width="25.25" style="255"/>
    <col min="3342" max="3342" width="0.5" style="255" customWidth="1"/>
    <col min="3343" max="3343" width="25.25" style="255"/>
    <col min="3344" max="3344" width="14.75" style="255" customWidth="1"/>
    <col min="3345" max="3345" width="11.5" style="255" customWidth="1"/>
    <col min="3346" max="3346" width="11.25" style="255" customWidth="1"/>
    <col min="3347" max="3347" width="10.75" style="255" customWidth="1"/>
    <col min="3348" max="3348" width="10" style="255" customWidth="1"/>
    <col min="3349" max="3349" width="9.875" style="255" customWidth="1"/>
    <col min="3350" max="3350" width="26.125" style="255" customWidth="1"/>
    <col min="3351" max="3351" width="11.125" style="255" customWidth="1"/>
    <col min="3352" max="3352" width="7.875" style="255" customWidth="1"/>
    <col min="3353" max="3353" width="7.25" style="255" customWidth="1"/>
    <col min="3354" max="3354" width="9.125" style="255" customWidth="1"/>
    <col min="3355" max="3355" width="15.125" style="255" customWidth="1"/>
    <col min="3356" max="3356" width="7.75" style="255" customWidth="1"/>
    <col min="3357" max="3357" width="7.125" style="255" customWidth="1"/>
    <col min="3358" max="3358" width="12.125" style="255" customWidth="1"/>
    <col min="3359" max="3359" width="8.25" style="255" customWidth="1"/>
    <col min="3360" max="3361" width="10.375" style="255" customWidth="1"/>
    <col min="3362" max="3362" width="15.625" style="255" customWidth="1"/>
    <col min="3363" max="3363" width="15.875" style="255" customWidth="1"/>
    <col min="3364" max="3364" width="8.125" style="255" customWidth="1"/>
    <col min="3365" max="3368" width="10.375" style="255" customWidth="1"/>
    <col min="3369" max="3369" width="7.25" style="255" customWidth="1"/>
    <col min="3370" max="3370" width="7.125" style="255" customWidth="1"/>
    <col min="3371" max="3371" width="9.5" style="255" customWidth="1"/>
    <col min="3372" max="3373" width="9" style="255" customWidth="1"/>
    <col min="3374" max="3374" width="16.125" style="255" customWidth="1"/>
    <col min="3375" max="3405" width="9" style="255" customWidth="1"/>
    <col min="3406" max="3565" width="25.25" style="255"/>
    <col min="3566" max="3595" width="9" style="255" customWidth="1"/>
    <col min="3596" max="3596" width="0.5" style="255" customWidth="1"/>
    <col min="3597" max="3597" width="25.25" style="255"/>
    <col min="3598" max="3598" width="0.5" style="255" customWidth="1"/>
    <col min="3599" max="3599" width="25.25" style="255"/>
    <col min="3600" max="3600" width="14.75" style="255" customWidth="1"/>
    <col min="3601" max="3601" width="11.5" style="255" customWidth="1"/>
    <col min="3602" max="3602" width="11.25" style="255" customWidth="1"/>
    <col min="3603" max="3603" width="10.75" style="255" customWidth="1"/>
    <col min="3604" max="3604" width="10" style="255" customWidth="1"/>
    <col min="3605" max="3605" width="9.875" style="255" customWidth="1"/>
    <col min="3606" max="3606" width="26.125" style="255" customWidth="1"/>
    <col min="3607" max="3607" width="11.125" style="255" customWidth="1"/>
    <col min="3608" max="3608" width="7.875" style="255" customWidth="1"/>
    <col min="3609" max="3609" width="7.25" style="255" customWidth="1"/>
    <col min="3610" max="3610" width="9.125" style="255" customWidth="1"/>
    <col min="3611" max="3611" width="15.125" style="255" customWidth="1"/>
    <col min="3612" max="3612" width="7.75" style="255" customWidth="1"/>
    <col min="3613" max="3613" width="7.125" style="255" customWidth="1"/>
    <col min="3614" max="3614" width="12.125" style="255" customWidth="1"/>
    <col min="3615" max="3615" width="8.25" style="255" customWidth="1"/>
    <col min="3616" max="3617" width="10.375" style="255" customWidth="1"/>
    <col min="3618" max="3618" width="15.625" style="255" customWidth="1"/>
    <col min="3619" max="3619" width="15.875" style="255" customWidth="1"/>
    <col min="3620" max="3620" width="8.125" style="255" customWidth="1"/>
    <col min="3621" max="3624" width="10.375" style="255" customWidth="1"/>
    <col min="3625" max="3625" width="7.25" style="255" customWidth="1"/>
    <col min="3626" max="3626" width="7.125" style="255" customWidth="1"/>
    <col min="3627" max="3627" width="9.5" style="255" customWidth="1"/>
    <col min="3628" max="3629" width="9" style="255" customWidth="1"/>
    <col min="3630" max="3630" width="16.125" style="255" customWidth="1"/>
    <col min="3631" max="3661" width="9" style="255" customWidth="1"/>
    <col min="3662" max="3821" width="25.25" style="255"/>
    <col min="3822" max="3851" width="9" style="255" customWidth="1"/>
    <col min="3852" max="3852" width="0.5" style="255" customWidth="1"/>
    <col min="3853" max="3853" width="25.25" style="255"/>
    <col min="3854" max="3854" width="0.5" style="255" customWidth="1"/>
    <col min="3855" max="3855" width="25.25" style="255"/>
    <col min="3856" max="3856" width="14.75" style="255" customWidth="1"/>
    <col min="3857" max="3857" width="11.5" style="255" customWidth="1"/>
    <col min="3858" max="3858" width="11.25" style="255" customWidth="1"/>
    <col min="3859" max="3859" width="10.75" style="255" customWidth="1"/>
    <col min="3860" max="3860" width="10" style="255" customWidth="1"/>
    <col min="3861" max="3861" width="9.875" style="255" customWidth="1"/>
    <col min="3862" max="3862" width="26.125" style="255" customWidth="1"/>
    <col min="3863" max="3863" width="11.125" style="255" customWidth="1"/>
    <col min="3864" max="3864" width="7.875" style="255" customWidth="1"/>
    <col min="3865" max="3865" width="7.25" style="255" customWidth="1"/>
    <col min="3866" max="3866" width="9.125" style="255" customWidth="1"/>
    <col min="3867" max="3867" width="15.125" style="255" customWidth="1"/>
    <col min="3868" max="3868" width="7.75" style="255" customWidth="1"/>
    <col min="3869" max="3869" width="7.125" style="255" customWidth="1"/>
    <col min="3870" max="3870" width="12.125" style="255" customWidth="1"/>
    <col min="3871" max="3871" width="8.25" style="255" customWidth="1"/>
    <col min="3872" max="3873" width="10.375" style="255" customWidth="1"/>
    <col min="3874" max="3874" width="15.625" style="255" customWidth="1"/>
    <col min="3875" max="3875" width="15.875" style="255" customWidth="1"/>
    <col min="3876" max="3876" width="8.125" style="255" customWidth="1"/>
    <col min="3877" max="3880" width="10.375" style="255" customWidth="1"/>
    <col min="3881" max="3881" width="7.25" style="255" customWidth="1"/>
    <col min="3882" max="3882" width="7.125" style="255" customWidth="1"/>
    <col min="3883" max="3883" width="9.5" style="255" customWidth="1"/>
    <col min="3884" max="3885" width="9" style="255" customWidth="1"/>
    <col min="3886" max="3886" width="16.125" style="255" customWidth="1"/>
    <col min="3887" max="3917" width="9" style="255" customWidth="1"/>
    <col min="3918" max="4077" width="25.25" style="255"/>
    <col min="4078" max="4107" width="9" style="255" customWidth="1"/>
    <col min="4108" max="4108" width="0.5" style="255" customWidth="1"/>
    <col min="4109" max="4109" width="25.25" style="255"/>
    <col min="4110" max="4110" width="0.5" style="255" customWidth="1"/>
    <col min="4111" max="4111" width="25.25" style="255"/>
    <col min="4112" max="4112" width="14.75" style="255" customWidth="1"/>
    <col min="4113" max="4113" width="11.5" style="255" customWidth="1"/>
    <col min="4114" max="4114" width="11.25" style="255" customWidth="1"/>
    <col min="4115" max="4115" width="10.75" style="255" customWidth="1"/>
    <col min="4116" max="4116" width="10" style="255" customWidth="1"/>
    <col min="4117" max="4117" width="9.875" style="255" customWidth="1"/>
    <col min="4118" max="4118" width="26.125" style="255" customWidth="1"/>
    <col min="4119" max="4119" width="11.125" style="255" customWidth="1"/>
    <col min="4120" max="4120" width="7.875" style="255" customWidth="1"/>
    <col min="4121" max="4121" width="7.25" style="255" customWidth="1"/>
    <col min="4122" max="4122" width="9.125" style="255" customWidth="1"/>
    <col min="4123" max="4123" width="15.125" style="255" customWidth="1"/>
    <col min="4124" max="4124" width="7.75" style="255" customWidth="1"/>
    <col min="4125" max="4125" width="7.125" style="255" customWidth="1"/>
    <col min="4126" max="4126" width="12.125" style="255" customWidth="1"/>
    <col min="4127" max="4127" width="8.25" style="255" customWidth="1"/>
    <col min="4128" max="4129" width="10.375" style="255" customWidth="1"/>
    <col min="4130" max="4130" width="15.625" style="255" customWidth="1"/>
    <col min="4131" max="4131" width="15.875" style="255" customWidth="1"/>
    <col min="4132" max="4132" width="8.125" style="255" customWidth="1"/>
    <col min="4133" max="4136" width="10.375" style="255" customWidth="1"/>
    <col min="4137" max="4137" width="7.25" style="255" customWidth="1"/>
    <col min="4138" max="4138" width="7.125" style="255" customWidth="1"/>
    <col min="4139" max="4139" width="9.5" style="255" customWidth="1"/>
    <col min="4140" max="4141" width="9" style="255" customWidth="1"/>
    <col min="4142" max="4142" width="16.125" style="255" customWidth="1"/>
    <col min="4143" max="4173" width="9" style="255" customWidth="1"/>
    <col min="4174" max="4333" width="25.25" style="255"/>
    <col min="4334" max="4363" width="9" style="255" customWidth="1"/>
    <col min="4364" max="4364" width="0.5" style="255" customWidth="1"/>
    <col min="4365" max="4365" width="25.25" style="255"/>
    <col min="4366" max="4366" width="0.5" style="255" customWidth="1"/>
    <col min="4367" max="4367" width="25.25" style="255"/>
    <col min="4368" max="4368" width="14.75" style="255" customWidth="1"/>
    <col min="4369" max="4369" width="11.5" style="255" customWidth="1"/>
    <col min="4370" max="4370" width="11.25" style="255" customWidth="1"/>
    <col min="4371" max="4371" width="10.75" style="255" customWidth="1"/>
    <col min="4372" max="4372" width="10" style="255" customWidth="1"/>
    <col min="4373" max="4373" width="9.875" style="255" customWidth="1"/>
    <col min="4374" max="4374" width="26.125" style="255" customWidth="1"/>
    <col min="4375" max="4375" width="11.125" style="255" customWidth="1"/>
    <col min="4376" max="4376" width="7.875" style="255" customWidth="1"/>
    <col min="4377" max="4377" width="7.25" style="255" customWidth="1"/>
    <col min="4378" max="4378" width="9.125" style="255" customWidth="1"/>
    <col min="4379" max="4379" width="15.125" style="255" customWidth="1"/>
    <col min="4380" max="4380" width="7.75" style="255" customWidth="1"/>
    <col min="4381" max="4381" width="7.125" style="255" customWidth="1"/>
    <col min="4382" max="4382" width="12.125" style="255" customWidth="1"/>
    <col min="4383" max="4383" width="8.25" style="255" customWidth="1"/>
    <col min="4384" max="4385" width="10.375" style="255" customWidth="1"/>
    <col min="4386" max="4386" width="15.625" style="255" customWidth="1"/>
    <col min="4387" max="4387" width="15.875" style="255" customWidth="1"/>
    <col min="4388" max="4388" width="8.125" style="255" customWidth="1"/>
    <col min="4389" max="4392" width="10.375" style="255" customWidth="1"/>
    <col min="4393" max="4393" width="7.25" style="255" customWidth="1"/>
    <col min="4394" max="4394" width="7.125" style="255" customWidth="1"/>
    <col min="4395" max="4395" width="9.5" style="255" customWidth="1"/>
    <col min="4396" max="4397" width="9" style="255" customWidth="1"/>
    <col min="4398" max="4398" width="16.125" style="255" customWidth="1"/>
    <col min="4399" max="4429" width="9" style="255" customWidth="1"/>
    <col min="4430" max="4589" width="25.25" style="255"/>
    <col min="4590" max="4619" width="9" style="255" customWidth="1"/>
    <col min="4620" max="4620" width="0.5" style="255" customWidth="1"/>
    <col min="4621" max="4621" width="25.25" style="255"/>
    <col min="4622" max="4622" width="0.5" style="255" customWidth="1"/>
    <col min="4623" max="4623" width="25.25" style="255"/>
    <col min="4624" max="4624" width="14.75" style="255" customWidth="1"/>
    <col min="4625" max="4625" width="11.5" style="255" customWidth="1"/>
    <col min="4626" max="4626" width="11.25" style="255" customWidth="1"/>
    <col min="4627" max="4627" width="10.75" style="255" customWidth="1"/>
    <col min="4628" max="4628" width="10" style="255" customWidth="1"/>
    <col min="4629" max="4629" width="9.875" style="255" customWidth="1"/>
    <col min="4630" max="4630" width="26.125" style="255" customWidth="1"/>
    <col min="4631" max="4631" width="11.125" style="255" customWidth="1"/>
    <col min="4632" max="4632" width="7.875" style="255" customWidth="1"/>
    <col min="4633" max="4633" width="7.25" style="255" customWidth="1"/>
    <col min="4634" max="4634" width="9.125" style="255" customWidth="1"/>
    <col min="4635" max="4635" width="15.125" style="255" customWidth="1"/>
    <col min="4636" max="4636" width="7.75" style="255" customWidth="1"/>
    <col min="4637" max="4637" width="7.125" style="255" customWidth="1"/>
    <col min="4638" max="4638" width="12.125" style="255" customWidth="1"/>
    <col min="4639" max="4639" width="8.25" style="255" customWidth="1"/>
    <col min="4640" max="4641" width="10.375" style="255" customWidth="1"/>
    <col min="4642" max="4642" width="15.625" style="255" customWidth="1"/>
    <col min="4643" max="4643" width="15.875" style="255" customWidth="1"/>
    <col min="4644" max="4644" width="8.125" style="255" customWidth="1"/>
    <col min="4645" max="4648" width="10.375" style="255" customWidth="1"/>
    <col min="4649" max="4649" width="7.25" style="255" customWidth="1"/>
    <col min="4650" max="4650" width="7.125" style="255" customWidth="1"/>
    <col min="4651" max="4651" width="9.5" style="255" customWidth="1"/>
    <col min="4652" max="4653" width="9" style="255" customWidth="1"/>
    <col min="4654" max="4654" width="16.125" style="255" customWidth="1"/>
    <col min="4655" max="4685" width="9" style="255" customWidth="1"/>
    <col min="4686" max="4845" width="25.25" style="255"/>
    <col min="4846" max="4875" width="9" style="255" customWidth="1"/>
    <col min="4876" max="4876" width="0.5" style="255" customWidth="1"/>
    <col min="4877" max="4877" width="25.25" style="255"/>
    <col min="4878" max="4878" width="0.5" style="255" customWidth="1"/>
    <col min="4879" max="4879" width="25.25" style="255"/>
    <col min="4880" max="4880" width="14.75" style="255" customWidth="1"/>
    <col min="4881" max="4881" width="11.5" style="255" customWidth="1"/>
    <col min="4882" max="4882" width="11.25" style="255" customWidth="1"/>
    <col min="4883" max="4883" width="10.75" style="255" customWidth="1"/>
    <col min="4884" max="4884" width="10" style="255" customWidth="1"/>
    <col min="4885" max="4885" width="9.875" style="255" customWidth="1"/>
    <col min="4886" max="4886" width="26.125" style="255" customWidth="1"/>
    <col min="4887" max="4887" width="11.125" style="255" customWidth="1"/>
    <col min="4888" max="4888" width="7.875" style="255" customWidth="1"/>
    <col min="4889" max="4889" width="7.25" style="255" customWidth="1"/>
    <col min="4890" max="4890" width="9.125" style="255" customWidth="1"/>
    <col min="4891" max="4891" width="15.125" style="255" customWidth="1"/>
    <col min="4892" max="4892" width="7.75" style="255" customWidth="1"/>
    <col min="4893" max="4893" width="7.125" style="255" customWidth="1"/>
    <col min="4894" max="4894" width="12.125" style="255" customWidth="1"/>
    <col min="4895" max="4895" width="8.25" style="255" customWidth="1"/>
    <col min="4896" max="4897" width="10.375" style="255" customWidth="1"/>
    <col min="4898" max="4898" width="15.625" style="255" customWidth="1"/>
    <col min="4899" max="4899" width="15.875" style="255" customWidth="1"/>
    <col min="4900" max="4900" width="8.125" style="255" customWidth="1"/>
    <col min="4901" max="4904" width="10.375" style="255" customWidth="1"/>
    <col min="4905" max="4905" width="7.25" style="255" customWidth="1"/>
    <col min="4906" max="4906" width="7.125" style="255" customWidth="1"/>
    <col min="4907" max="4907" width="9.5" style="255" customWidth="1"/>
    <col min="4908" max="4909" width="9" style="255" customWidth="1"/>
    <col min="4910" max="4910" width="16.125" style="255" customWidth="1"/>
    <col min="4911" max="4941" width="9" style="255" customWidth="1"/>
    <col min="4942" max="5101" width="25.25" style="255"/>
    <col min="5102" max="5131" width="9" style="255" customWidth="1"/>
    <col min="5132" max="5132" width="0.5" style="255" customWidth="1"/>
    <col min="5133" max="5133" width="25.25" style="255"/>
    <col min="5134" max="5134" width="0.5" style="255" customWidth="1"/>
    <col min="5135" max="5135" width="25.25" style="255"/>
    <col min="5136" max="5136" width="14.75" style="255" customWidth="1"/>
    <col min="5137" max="5137" width="11.5" style="255" customWidth="1"/>
    <col min="5138" max="5138" width="11.25" style="255" customWidth="1"/>
    <col min="5139" max="5139" width="10.75" style="255" customWidth="1"/>
    <col min="5140" max="5140" width="10" style="255" customWidth="1"/>
    <col min="5141" max="5141" width="9.875" style="255" customWidth="1"/>
    <col min="5142" max="5142" width="26.125" style="255" customWidth="1"/>
    <col min="5143" max="5143" width="11.125" style="255" customWidth="1"/>
    <col min="5144" max="5144" width="7.875" style="255" customWidth="1"/>
    <col min="5145" max="5145" width="7.25" style="255" customWidth="1"/>
    <col min="5146" max="5146" width="9.125" style="255" customWidth="1"/>
    <col min="5147" max="5147" width="15.125" style="255" customWidth="1"/>
    <col min="5148" max="5148" width="7.75" style="255" customWidth="1"/>
    <col min="5149" max="5149" width="7.125" style="255" customWidth="1"/>
    <col min="5150" max="5150" width="12.125" style="255" customWidth="1"/>
    <col min="5151" max="5151" width="8.25" style="255" customWidth="1"/>
    <col min="5152" max="5153" width="10.375" style="255" customWidth="1"/>
    <col min="5154" max="5154" width="15.625" style="255" customWidth="1"/>
    <col min="5155" max="5155" width="15.875" style="255" customWidth="1"/>
    <col min="5156" max="5156" width="8.125" style="255" customWidth="1"/>
    <col min="5157" max="5160" width="10.375" style="255" customWidth="1"/>
    <col min="5161" max="5161" width="7.25" style="255" customWidth="1"/>
    <col min="5162" max="5162" width="7.125" style="255" customWidth="1"/>
    <col min="5163" max="5163" width="9.5" style="255" customWidth="1"/>
    <col min="5164" max="5165" width="9" style="255" customWidth="1"/>
    <col min="5166" max="5166" width="16.125" style="255" customWidth="1"/>
    <col min="5167" max="5197" width="9" style="255" customWidth="1"/>
    <col min="5198" max="5357" width="25.25" style="255"/>
    <col min="5358" max="5387" width="9" style="255" customWidth="1"/>
    <col min="5388" max="5388" width="0.5" style="255" customWidth="1"/>
    <col min="5389" max="5389" width="25.25" style="255"/>
    <col min="5390" max="5390" width="0.5" style="255" customWidth="1"/>
    <col min="5391" max="5391" width="25.25" style="255"/>
    <col min="5392" max="5392" width="14.75" style="255" customWidth="1"/>
    <col min="5393" max="5393" width="11.5" style="255" customWidth="1"/>
    <col min="5394" max="5394" width="11.25" style="255" customWidth="1"/>
    <col min="5395" max="5395" width="10.75" style="255" customWidth="1"/>
    <col min="5396" max="5396" width="10" style="255" customWidth="1"/>
    <col min="5397" max="5397" width="9.875" style="255" customWidth="1"/>
    <col min="5398" max="5398" width="26.125" style="255" customWidth="1"/>
    <col min="5399" max="5399" width="11.125" style="255" customWidth="1"/>
    <col min="5400" max="5400" width="7.875" style="255" customWidth="1"/>
    <col min="5401" max="5401" width="7.25" style="255" customWidth="1"/>
    <col min="5402" max="5402" width="9.125" style="255" customWidth="1"/>
    <col min="5403" max="5403" width="15.125" style="255" customWidth="1"/>
    <col min="5404" max="5404" width="7.75" style="255" customWidth="1"/>
    <col min="5405" max="5405" width="7.125" style="255" customWidth="1"/>
    <col min="5406" max="5406" width="12.125" style="255" customWidth="1"/>
    <col min="5407" max="5407" width="8.25" style="255" customWidth="1"/>
    <col min="5408" max="5409" width="10.375" style="255" customWidth="1"/>
    <col min="5410" max="5410" width="15.625" style="255" customWidth="1"/>
    <col min="5411" max="5411" width="15.875" style="255" customWidth="1"/>
    <col min="5412" max="5412" width="8.125" style="255" customWidth="1"/>
    <col min="5413" max="5416" width="10.375" style="255" customWidth="1"/>
    <col min="5417" max="5417" width="7.25" style="255" customWidth="1"/>
    <col min="5418" max="5418" width="7.125" style="255" customWidth="1"/>
    <col min="5419" max="5419" width="9.5" style="255" customWidth="1"/>
    <col min="5420" max="5421" width="9" style="255" customWidth="1"/>
    <col min="5422" max="5422" width="16.125" style="255" customWidth="1"/>
    <col min="5423" max="5453" width="9" style="255" customWidth="1"/>
    <col min="5454" max="5613" width="25.25" style="255"/>
    <col min="5614" max="5643" width="9" style="255" customWidth="1"/>
    <col min="5644" max="5644" width="0.5" style="255" customWidth="1"/>
    <col min="5645" max="5645" width="25.25" style="255"/>
    <col min="5646" max="5646" width="0.5" style="255" customWidth="1"/>
    <col min="5647" max="5647" width="25.25" style="255"/>
    <col min="5648" max="5648" width="14.75" style="255" customWidth="1"/>
    <col min="5649" max="5649" width="11.5" style="255" customWidth="1"/>
    <col min="5650" max="5650" width="11.25" style="255" customWidth="1"/>
    <col min="5651" max="5651" width="10.75" style="255" customWidth="1"/>
    <col min="5652" max="5652" width="10" style="255" customWidth="1"/>
    <col min="5653" max="5653" width="9.875" style="255" customWidth="1"/>
    <col min="5654" max="5654" width="26.125" style="255" customWidth="1"/>
    <col min="5655" max="5655" width="11.125" style="255" customWidth="1"/>
    <col min="5656" max="5656" width="7.875" style="255" customWidth="1"/>
    <col min="5657" max="5657" width="7.25" style="255" customWidth="1"/>
    <col min="5658" max="5658" width="9.125" style="255" customWidth="1"/>
    <col min="5659" max="5659" width="15.125" style="255" customWidth="1"/>
    <col min="5660" max="5660" width="7.75" style="255" customWidth="1"/>
    <col min="5661" max="5661" width="7.125" style="255" customWidth="1"/>
    <col min="5662" max="5662" width="12.125" style="255" customWidth="1"/>
    <col min="5663" max="5663" width="8.25" style="255" customWidth="1"/>
    <col min="5664" max="5665" width="10.375" style="255" customWidth="1"/>
    <col min="5666" max="5666" width="15.625" style="255" customWidth="1"/>
    <col min="5667" max="5667" width="15.875" style="255" customWidth="1"/>
    <col min="5668" max="5668" width="8.125" style="255" customWidth="1"/>
    <col min="5669" max="5672" width="10.375" style="255" customWidth="1"/>
    <col min="5673" max="5673" width="7.25" style="255" customWidth="1"/>
    <col min="5674" max="5674" width="7.125" style="255" customWidth="1"/>
    <col min="5675" max="5675" width="9.5" style="255" customWidth="1"/>
    <col min="5676" max="5677" width="9" style="255" customWidth="1"/>
    <col min="5678" max="5678" width="16.125" style="255" customWidth="1"/>
    <col min="5679" max="5709" width="9" style="255" customWidth="1"/>
    <col min="5710" max="5869" width="25.25" style="255"/>
    <col min="5870" max="5899" width="9" style="255" customWidth="1"/>
    <col min="5900" max="5900" width="0.5" style="255" customWidth="1"/>
    <col min="5901" max="5901" width="25.25" style="255"/>
    <col min="5902" max="5902" width="0.5" style="255" customWidth="1"/>
    <col min="5903" max="5903" width="25.25" style="255"/>
    <col min="5904" max="5904" width="14.75" style="255" customWidth="1"/>
    <col min="5905" max="5905" width="11.5" style="255" customWidth="1"/>
    <col min="5906" max="5906" width="11.25" style="255" customWidth="1"/>
    <col min="5907" max="5907" width="10.75" style="255" customWidth="1"/>
    <col min="5908" max="5908" width="10" style="255" customWidth="1"/>
    <col min="5909" max="5909" width="9.875" style="255" customWidth="1"/>
    <col min="5910" max="5910" width="26.125" style="255" customWidth="1"/>
    <col min="5911" max="5911" width="11.125" style="255" customWidth="1"/>
    <col min="5912" max="5912" width="7.875" style="255" customWidth="1"/>
    <col min="5913" max="5913" width="7.25" style="255" customWidth="1"/>
    <col min="5914" max="5914" width="9.125" style="255" customWidth="1"/>
    <col min="5915" max="5915" width="15.125" style="255" customWidth="1"/>
    <col min="5916" max="5916" width="7.75" style="255" customWidth="1"/>
    <col min="5917" max="5917" width="7.125" style="255" customWidth="1"/>
    <col min="5918" max="5918" width="12.125" style="255" customWidth="1"/>
    <col min="5919" max="5919" width="8.25" style="255" customWidth="1"/>
    <col min="5920" max="5921" width="10.375" style="255" customWidth="1"/>
    <col min="5922" max="5922" width="15.625" style="255" customWidth="1"/>
    <col min="5923" max="5923" width="15.875" style="255" customWidth="1"/>
    <col min="5924" max="5924" width="8.125" style="255" customWidth="1"/>
    <col min="5925" max="5928" width="10.375" style="255" customWidth="1"/>
    <col min="5929" max="5929" width="7.25" style="255" customWidth="1"/>
    <col min="5930" max="5930" width="7.125" style="255" customWidth="1"/>
    <col min="5931" max="5931" width="9.5" style="255" customWidth="1"/>
    <col min="5932" max="5933" width="9" style="255" customWidth="1"/>
    <col min="5934" max="5934" width="16.125" style="255" customWidth="1"/>
    <col min="5935" max="5965" width="9" style="255" customWidth="1"/>
    <col min="5966" max="6125" width="25.25" style="255"/>
    <col min="6126" max="6155" width="9" style="255" customWidth="1"/>
    <col min="6156" max="6156" width="0.5" style="255" customWidth="1"/>
    <col min="6157" max="6157" width="25.25" style="255"/>
    <col min="6158" max="6158" width="0.5" style="255" customWidth="1"/>
    <col min="6159" max="6159" width="25.25" style="255"/>
    <col min="6160" max="6160" width="14.75" style="255" customWidth="1"/>
    <col min="6161" max="6161" width="11.5" style="255" customWidth="1"/>
    <col min="6162" max="6162" width="11.25" style="255" customWidth="1"/>
    <col min="6163" max="6163" width="10.75" style="255" customWidth="1"/>
    <col min="6164" max="6164" width="10" style="255" customWidth="1"/>
    <col min="6165" max="6165" width="9.875" style="255" customWidth="1"/>
    <col min="6166" max="6166" width="26.125" style="255" customWidth="1"/>
    <col min="6167" max="6167" width="11.125" style="255" customWidth="1"/>
    <col min="6168" max="6168" width="7.875" style="255" customWidth="1"/>
    <col min="6169" max="6169" width="7.25" style="255" customWidth="1"/>
    <col min="6170" max="6170" width="9.125" style="255" customWidth="1"/>
    <col min="6171" max="6171" width="15.125" style="255" customWidth="1"/>
    <col min="6172" max="6172" width="7.75" style="255" customWidth="1"/>
    <col min="6173" max="6173" width="7.125" style="255" customWidth="1"/>
    <col min="6174" max="6174" width="12.125" style="255" customWidth="1"/>
    <col min="6175" max="6175" width="8.25" style="255" customWidth="1"/>
    <col min="6176" max="6177" width="10.375" style="255" customWidth="1"/>
    <col min="6178" max="6178" width="15.625" style="255" customWidth="1"/>
    <col min="6179" max="6179" width="15.875" style="255" customWidth="1"/>
    <col min="6180" max="6180" width="8.125" style="255" customWidth="1"/>
    <col min="6181" max="6184" width="10.375" style="255" customWidth="1"/>
    <col min="6185" max="6185" width="7.25" style="255" customWidth="1"/>
    <col min="6186" max="6186" width="7.125" style="255" customWidth="1"/>
    <col min="6187" max="6187" width="9.5" style="255" customWidth="1"/>
    <col min="6188" max="6189" width="9" style="255" customWidth="1"/>
    <col min="6190" max="6190" width="16.125" style="255" customWidth="1"/>
    <col min="6191" max="6221" width="9" style="255" customWidth="1"/>
    <col min="6222" max="6381" width="25.25" style="255"/>
    <col min="6382" max="6411" width="9" style="255" customWidth="1"/>
    <col min="6412" max="6412" width="0.5" style="255" customWidth="1"/>
    <col min="6413" max="6413" width="25.25" style="255"/>
    <col min="6414" max="6414" width="0.5" style="255" customWidth="1"/>
    <col min="6415" max="6415" width="25.25" style="255"/>
    <col min="6416" max="6416" width="14.75" style="255" customWidth="1"/>
    <col min="6417" max="6417" width="11.5" style="255" customWidth="1"/>
    <col min="6418" max="6418" width="11.25" style="255" customWidth="1"/>
    <col min="6419" max="6419" width="10.75" style="255" customWidth="1"/>
    <col min="6420" max="6420" width="10" style="255" customWidth="1"/>
    <col min="6421" max="6421" width="9.875" style="255" customWidth="1"/>
    <col min="6422" max="6422" width="26.125" style="255" customWidth="1"/>
    <col min="6423" max="6423" width="11.125" style="255" customWidth="1"/>
    <col min="6424" max="6424" width="7.875" style="255" customWidth="1"/>
    <col min="6425" max="6425" width="7.25" style="255" customWidth="1"/>
    <col min="6426" max="6426" width="9.125" style="255" customWidth="1"/>
    <col min="6427" max="6427" width="15.125" style="255" customWidth="1"/>
    <col min="6428" max="6428" width="7.75" style="255" customWidth="1"/>
    <col min="6429" max="6429" width="7.125" style="255" customWidth="1"/>
    <col min="6430" max="6430" width="12.125" style="255" customWidth="1"/>
    <col min="6431" max="6431" width="8.25" style="255" customWidth="1"/>
    <col min="6432" max="6433" width="10.375" style="255" customWidth="1"/>
    <col min="6434" max="6434" width="15.625" style="255" customWidth="1"/>
    <col min="6435" max="6435" width="15.875" style="255" customWidth="1"/>
    <col min="6436" max="6436" width="8.125" style="255" customWidth="1"/>
    <col min="6437" max="6440" width="10.375" style="255" customWidth="1"/>
    <col min="6441" max="6441" width="7.25" style="255" customWidth="1"/>
    <col min="6442" max="6442" width="7.125" style="255" customWidth="1"/>
    <col min="6443" max="6443" width="9.5" style="255" customWidth="1"/>
    <col min="6444" max="6445" width="9" style="255" customWidth="1"/>
    <col min="6446" max="6446" width="16.125" style="255" customWidth="1"/>
    <col min="6447" max="6477" width="9" style="255" customWidth="1"/>
    <col min="6478" max="6637" width="25.25" style="255"/>
    <col min="6638" max="6667" width="9" style="255" customWidth="1"/>
    <col min="6668" max="6668" width="0.5" style="255" customWidth="1"/>
    <col min="6669" max="6669" width="25.25" style="255"/>
    <col min="6670" max="6670" width="0.5" style="255" customWidth="1"/>
    <col min="6671" max="6671" width="25.25" style="255"/>
    <col min="6672" max="6672" width="14.75" style="255" customWidth="1"/>
    <col min="6673" max="6673" width="11.5" style="255" customWidth="1"/>
    <col min="6674" max="6674" width="11.25" style="255" customWidth="1"/>
    <col min="6675" max="6675" width="10.75" style="255" customWidth="1"/>
    <col min="6676" max="6676" width="10" style="255" customWidth="1"/>
    <col min="6677" max="6677" width="9.875" style="255" customWidth="1"/>
    <col min="6678" max="6678" width="26.125" style="255" customWidth="1"/>
    <col min="6679" max="6679" width="11.125" style="255" customWidth="1"/>
    <col min="6680" max="6680" width="7.875" style="255" customWidth="1"/>
    <col min="6681" max="6681" width="7.25" style="255" customWidth="1"/>
    <col min="6682" max="6682" width="9.125" style="255" customWidth="1"/>
    <col min="6683" max="6683" width="15.125" style="255" customWidth="1"/>
    <col min="6684" max="6684" width="7.75" style="255" customWidth="1"/>
    <col min="6685" max="6685" width="7.125" style="255" customWidth="1"/>
    <col min="6686" max="6686" width="12.125" style="255" customWidth="1"/>
    <col min="6687" max="6687" width="8.25" style="255" customWidth="1"/>
    <col min="6688" max="6689" width="10.375" style="255" customWidth="1"/>
    <col min="6690" max="6690" width="15.625" style="255" customWidth="1"/>
    <col min="6691" max="6691" width="15.875" style="255" customWidth="1"/>
    <col min="6692" max="6692" width="8.125" style="255" customWidth="1"/>
    <col min="6693" max="6696" width="10.375" style="255" customWidth="1"/>
    <col min="6697" max="6697" width="7.25" style="255" customWidth="1"/>
    <col min="6698" max="6698" width="7.125" style="255" customWidth="1"/>
    <col min="6699" max="6699" width="9.5" style="255" customWidth="1"/>
    <col min="6700" max="6701" width="9" style="255" customWidth="1"/>
    <col min="6702" max="6702" width="16.125" style="255" customWidth="1"/>
    <col min="6703" max="6733" width="9" style="255" customWidth="1"/>
    <col min="6734" max="6893" width="25.25" style="255"/>
    <col min="6894" max="6923" width="9" style="255" customWidth="1"/>
    <col min="6924" max="6924" width="0.5" style="255" customWidth="1"/>
    <col min="6925" max="6925" width="25.25" style="255"/>
    <col min="6926" max="6926" width="0.5" style="255" customWidth="1"/>
    <col min="6927" max="6927" width="25.25" style="255"/>
    <col min="6928" max="6928" width="14.75" style="255" customWidth="1"/>
    <col min="6929" max="6929" width="11.5" style="255" customWidth="1"/>
    <col min="6930" max="6930" width="11.25" style="255" customWidth="1"/>
    <col min="6931" max="6931" width="10.75" style="255" customWidth="1"/>
    <col min="6932" max="6932" width="10" style="255" customWidth="1"/>
    <col min="6933" max="6933" width="9.875" style="255" customWidth="1"/>
    <col min="6934" max="6934" width="26.125" style="255" customWidth="1"/>
    <col min="6935" max="6935" width="11.125" style="255" customWidth="1"/>
    <col min="6936" max="6936" width="7.875" style="255" customWidth="1"/>
    <col min="6937" max="6937" width="7.25" style="255" customWidth="1"/>
    <col min="6938" max="6938" width="9.125" style="255" customWidth="1"/>
    <col min="6939" max="6939" width="15.125" style="255" customWidth="1"/>
    <col min="6940" max="6940" width="7.75" style="255" customWidth="1"/>
    <col min="6941" max="6941" width="7.125" style="255" customWidth="1"/>
    <col min="6942" max="6942" width="12.125" style="255" customWidth="1"/>
    <col min="6943" max="6943" width="8.25" style="255" customWidth="1"/>
    <col min="6944" max="6945" width="10.375" style="255" customWidth="1"/>
    <col min="6946" max="6946" width="15.625" style="255" customWidth="1"/>
    <col min="6947" max="6947" width="15.875" style="255" customWidth="1"/>
    <col min="6948" max="6948" width="8.125" style="255" customWidth="1"/>
    <col min="6949" max="6952" width="10.375" style="255" customWidth="1"/>
    <col min="6953" max="6953" width="7.25" style="255" customWidth="1"/>
    <col min="6954" max="6954" width="7.125" style="255" customWidth="1"/>
    <col min="6955" max="6955" width="9.5" style="255" customWidth="1"/>
    <col min="6956" max="6957" width="9" style="255" customWidth="1"/>
    <col min="6958" max="6958" width="16.125" style="255" customWidth="1"/>
    <col min="6959" max="6989" width="9" style="255" customWidth="1"/>
    <col min="6990" max="7149" width="25.25" style="255"/>
    <col min="7150" max="7179" width="9" style="255" customWidth="1"/>
    <col min="7180" max="7180" width="0.5" style="255" customWidth="1"/>
    <col min="7181" max="7181" width="25.25" style="255"/>
    <col min="7182" max="7182" width="0.5" style="255" customWidth="1"/>
    <col min="7183" max="7183" width="25.25" style="255"/>
    <col min="7184" max="7184" width="14.75" style="255" customWidth="1"/>
    <col min="7185" max="7185" width="11.5" style="255" customWidth="1"/>
    <col min="7186" max="7186" width="11.25" style="255" customWidth="1"/>
    <col min="7187" max="7187" width="10.75" style="255" customWidth="1"/>
    <col min="7188" max="7188" width="10" style="255" customWidth="1"/>
    <col min="7189" max="7189" width="9.875" style="255" customWidth="1"/>
    <col min="7190" max="7190" width="26.125" style="255" customWidth="1"/>
    <col min="7191" max="7191" width="11.125" style="255" customWidth="1"/>
    <col min="7192" max="7192" width="7.875" style="255" customWidth="1"/>
    <col min="7193" max="7193" width="7.25" style="255" customWidth="1"/>
    <col min="7194" max="7194" width="9.125" style="255" customWidth="1"/>
    <col min="7195" max="7195" width="15.125" style="255" customWidth="1"/>
    <col min="7196" max="7196" width="7.75" style="255" customWidth="1"/>
    <col min="7197" max="7197" width="7.125" style="255" customWidth="1"/>
    <col min="7198" max="7198" width="12.125" style="255" customWidth="1"/>
    <col min="7199" max="7199" width="8.25" style="255" customWidth="1"/>
    <col min="7200" max="7201" width="10.375" style="255" customWidth="1"/>
    <col min="7202" max="7202" width="15.625" style="255" customWidth="1"/>
    <col min="7203" max="7203" width="15.875" style="255" customWidth="1"/>
    <col min="7204" max="7204" width="8.125" style="255" customWidth="1"/>
    <col min="7205" max="7208" width="10.375" style="255" customWidth="1"/>
    <col min="7209" max="7209" width="7.25" style="255" customWidth="1"/>
    <col min="7210" max="7210" width="7.125" style="255" customWidth="1"/>
    <col min="7211" max="7211" width="9.5" style="255" customWidth="1"/>
    <col min="7212" max="7213" width="9" style="255" customWidth="1"/>
    <col min="7214" max="7214" width="16.125" style="255" customWidth="1"/>
    <col min="7215" max="7245" width="9" style="255" customWidth="1"/>
    <col min="7246" max="7405" width="25.25" style="255"/>
    <col min="7406" max="7435" width="9" style="255" customWidth="1"/>
    <col min="7436" max="7436" width="0.5" style="255" customWidth="1"/>
    <col min="7437" max="7437" width="25.25" style="255"/>
    <col min="7438" max="7438" width="0.5" style="255" customWidth="1"/>
    <col min="7439" max="7439" width="25.25" style="255"/>
    <col min="7440" max="7440" width="14.75" style="255" customWidth="1"/>
    <col min="7441" max="7441" width="11.5" style="255" customWidth="1"/>
    <col min="7442" max="7442" width="11.25" style="255" customWidth="1"/>
    <col min="7443" max="7443" width="10.75" style="255" customWidth="1"/>
    <col min="7444" max="7444" width="10" style="255" customWidth="1"/>
    <col min="7445" max="7445" width="9.875" style="255" customWidth="1"/>
    <col min="7446" max="7446" width="26.125" style="255" customWidth="1"/>
    <col min="7447" max="7447" width="11.125" style="255" customWidth="1"/>
    <col min="7448" max="7448" width="7.875" style="255" customWidth="1"/>
    <col min="7449" max="7449" width="7.25" style="255" customWidth="1"/>
    <col min="7450" max="7450" width="9.125" style="255" customWidth="1"/>
    <col min="7451" max="7451" width="15.125" style="255" customWidth="1"/>
    <col min="7452" max="7452" width="7.75" style="255" customWidth="1"/>
    <col min="7453" max="7453" width="7.125" style="255" customWidth="1"/>
    <col min="7454" max="7454" width="12.125" style="255" customWidth="1"/>
    <col min="7455" max="7455" width="8.25" style="255" customWidth="1"/>
    <col min="7456" max="7457" width="10.375" style="255" customWidth="1"/>
    <col min="7458" max="7458" width="15.625" style="255" customWidth="1"/>
    <col min="7459" max="7459" width="15.875" style="255" customWidth="1"/>
    <col min="7460" max="7460" width="8.125" style="255" customWidth="1"/>
    <col min="7461" max="7464" width="10.375" style="255" customWidth="1"/>
    <col min="7465" max="7465" width="7.25" style="255" customWidth="1"/>
    <col min="7466" max="7466" width="7.125" style="255" customWidth="1"/>
    <col min="7467" max="7467" width="9.5" style="255" customWidth="1"/>
    <col min="7468" max="7469" width="9" style="255" customWidth="1"/>
    <col min="7470" max="7470" width="16.125" style="255" customWidth="1"/>
    <col min="7471" max="7501" width="9" style="255" customWidth="1"/>
    <col min="7502" max="7661" width="25.25" style="255"/>
    <col min="7662" max="7691" width="9" style="255" customWidth="1"/>
    <col min="7692" max="7692" width="0.5" style="255" customWidth="1"/>
    <col min="7693" max="7693" width="25.25" style="255"/>
    <col min="7694" max="7694" width="0.5" style="255" customWidth="1"/>
    <col min="7695" max="7695" width="25.25" style="255"/>
    <col min="7696" max="7696" width="14.75" style="255" customWidth="1"/>
    <col min="7697" max="7697" width="11.5" style="255" customWidth="1"/>
    <col min="7698" max="7698" width="11.25" style="255" customWidth="1"/>
    <col min="7699" max="7699" width="10.75" style="255" customWidth="1"/>
    <col min="7700" max="7700" width="10" style="255" customWidth="1"/>
    <col min="7701" max="7701" width="9.875" style="255" customWidth="1"/>
    <col min="7702" max="7702" width="26.125" style="255" customWidth="1"/>
    <col min="7703" max="7703" width="11.125" style="255" customWidth="1"/>
    <col min="7704" max="7704" width="7.875" style="255" customWidth="1"/>
    <col min="7705" max="7705" width="7.25" style="255" customWidth="1"/>
    <col min="7706" max="7706" width="9.125" style="255" customWidth="1"/>
    <col min="7707" max="7707" width="15.125" style="255" customWidth="1"/>
    <col min="7708" max="7708" width="7.75" style="255" customWidth="1"/>
    <col min="7709" max="7709" width="7.125" style="255" customWidth="1"/>
    <col min="7710" max="7710" width="12.125" style="255" customWidth="1"/>
    <col min="7711" max="7711" width="8.25" style="255" customWidth="1"/>
    <col min="7712" max="7713" width="10.375" style="255" customWidth="1"/>
    <col min="7714" max="7714" width="15.625" style="255" customWidth="1"/>
    <col min="7715" max="7715" width="15.875" style="255" customWidth="1"/>
    <col min="7716" max="7716" width="8.125" style="255" customWidth="1"/>
    <col min="7717" max="7720" width="10.375" style="255" customWidth="1"/>
    <col min="7721" max="7721" width="7.25" style="255" customWidth="1"/>
    <col min="7722" max="7722" width="7.125" style="255" customWidth="1"/>
    <col min="7723" max="7723" width="9.5" style="255" customWidth="1"/>
    <col min="7724" max="7725" width="9" style="255" customWidth="1"/>
    <col min="7726" max="7726" width="16.125" style="255" customWidth="1"/>
    <col min="7727" max="7757" width="9" style="255" customWidth="1"/>
    <col min="7758" max="7917" width="25.25" style="255"/>
    <col min="7918" max="7947" width="9" style="255" customWidth="1"/>
    <col min="7948" max="7948" width="0.5" style="255" customWidth="1"/>
    <col min="7949" max="7949" width="25.25" style="255"/>
    <col min="7950" max="7950" width="0.5" style="255" customWidth="1"/>
    <col min="7951" max="7951" width="25.25" style="255"/>
    <col min="7952" max="7952" width="14.75" style="255" customWidth="1"/>
    <col min="7953" max="7953" width="11.5" style="255" customWidth="1"/>
    <col min="7954" max="7954" width="11.25" style="255" customWidth="1"/>
    <col min="7955" max="7955" width="10.75" style="255" customWidth="1"/>
    <col min="7956" max="7956" width="10" style="255" customWidth="1"/>
    <col min="7957" max="7957" width="9.875" style="255" customWidth="1"/>
    <col min="7958" max="7958" width="26.125" style="255" customWidth="1"/>
    <col min="7959" max="7959" width="11.125" style="255" customWidth="1"/>
    <col min="7960" max="7960" width="7.875" style="255" customWidth="1"/>
    <col min="7961" max="7961" width="7.25" style="255" customWidth="1"/>
    <col min="7962" max="7962" width="9.125" style="255" customWidth="1"/>
    <col min="7963" max="7963" width="15.125" style="255" customWidth="1"/>
    <col min="7964" max="7964" width="7.75" style="255" customWidth="1"/>
    <col min="7965" max="7965" width="7.125" style="255" customWidth="1"/>
    <col min="7966" max="7966" width="12.125" style="255" customWidth="1"/>
    <col min="7967" max="7967" width="8.25" style="255" customWidth="1"/>
    <col min="7968" max="7969" width="10.375" style="255" customWidth="1"/>
    <col min="7970" max="7970" width="15.625" style="255" customWidth="1"/>
    <col min="7971" max="7971" width="15.875" style="255" customWidth="1"/>
    <col min="7972" max="7972" width="8.125" style="255" customWidth="1"/>
    <col min="7973" max="7976" width="10.375" style="255" customWidth="1"/>
    <col min="7977" max="7977" width="7.25" style="255" customWidth="1"/>
    <col min="7978" max="7978" width="7.125" style="255" customWidth="1"/>
    <col min="7979" max="7979" width="9.5" style="255" customWidth="1"/>
    <col min="7980" max="7981" width="9" style="255" customWidth="1"/>
    <col min="7982" max="7982" width="16.125" style="255" customWidth="1"/>
    <col min="7983" max="8013" width="9" style="255" customWidth="1"/>
    <col min="8014" max="8173" width="25.25" style="255"/>
    <col min="8174" max="8203" width="9" style="255" customWidth="1"/>
    <col min="8204" max="8204" width="0.5" style="255" customWidth="1"/>
    <col min="8205" max="8205" width="25.25" style="255"/>
    <col min="8206" max="8206" width="0.5" style="255" customWidth="1"/>
    <col min="8207" max="8207" width="25.25" style="255"/>
    <col min="8208" max="8208" width="14.75" style="255" customWidth="1"/>
    <col min="8209" max="8209" width="11.5" style="255" customWidth="1"/>
    <col min="8210" max="8210" width="11.25" style="255" customWidth="1"/>
    <col min="8211" max="8211" width="10.75" style="255" customWidth="1"/>
    <col min="8212" max="8212" width="10" style="255" customWidth="1"/>
    <col min="8213" max="8213" width="9.875" style="255" customWidth="1"/>
    <col min="8214" max="8214" width="26.125" style="255" customWidth="1"/>
    <col min="8215" max="8215" width="11.125" style="255" customWidth="1"/>
    <col min="8216" max="8216" width="7.875" style="255" customWidth="1"/>
    <col min="8217" max="8217" width="7.25" style="255" customWidth="1"/>
    <col min="8218" max="8218" width="9.125" style="255" customWidth="1"/>
    <col min="8219" max="8219" width="15.125" style="255" customWidth="1"/>
    <col min="8220" max="8220" width="7.75" style="255" customWidth="1"/>
    <col min="8221" max="8221" width="7.125" style="255" customWidth="1"/>
    <col min="8222" max="8222" width="12.125" style="255" customWidth="1"/>
    <col min="8223" max="8223" width="8.25" style="255" customWidth="1"/>
    <col min="8224" max="8225" width="10.375" style="255" customWidth="1"/>
    <col min="8226" max="8226" width="15.625" style="255" customWidth="1"/>
    <col min="8227" max="8227" width="15.875" style="255" customWidth="1"/>
    <col min="8228" max="8228" width="8.125" style="255" customWidth="1"/>
    <col min="8229" max="8232" width="10.375" style="255" customWidth="1"/>
    <col min="8233" max="8233" width="7.25" style="255" customWidth="1"/>
    <col min="8234" max="8234" width="7.125" style="255" customWidth="1"/>
    <col min="8235" max="8235" width="9.5" style="255" customWidth="1"/>
    <col min="8236" max="8237" width="9" style="255" customWidth="1"/>
    <col min="8238" max="8238" width="16.125" style="255" customWidth="1"/>
    <col min="8239" max="8269" width="9" style="255" customWidth="1"/>
    <col min="8270" max="8429" width="25.25" style="255"/>
    <col min="8430" max="8459" width="9" style="255" customWidth="1"/>
    <col min="8460" max="8460" width="0.5" style="255" customWidth="1"/>
    <col min="8461" max="8461" width="25.25" style="255"/>
    <col min="8462" max="8462" width="0.5" style="255" customWidth="1"/>
    <col min="8463" max="8463" width="25.25" style="255"/>
    <col min="8464" max="8464" width="14.75" style="255" customWidth="1"/>
    <col min="8465" max="8465" width="11.5" style="255" customWidth="1"/>
    <col min="8466" max="8466" width="11.25" style="255" customWidth="1"/>
    <col min="8467" max="8467" width="10.75" style="255" customWidth="1"/>
    <col min="8468" max="8468" width="10" style="255" customWidth="1"/>
    <col min="8469" max="8469" width="9.875" style="255" customWidth="1"/>
    <col min="8470" max="8470" width="26.125" style="255" customWidth="1"/>
    <col min="8471" max="8471" width="11.125" style="255" customWidth="1"/>
    <col min="8472" max="8472" width="7.875" style="255" customWidth="1"/>
    <col min="8473" max="8473" width="7.25" style="255" customWidth="1"/>
    <col min="8474" max="8474" width="9.125" style="255" customWidth="1"/>
    <col min="8475" max="8475" width="15.125" style="255" customWidth="1"/>
    <col min="8476" max="8476" width="7.75" style="255" customWidth="1"/>
    <col min="8477" max="8477" width="7.125" style="255" customWidth="1"/>
    <col min="8478" max="8478" width="12.125" style="255" customWidth="1"/>
    <col min="8479" max="8479" width="8.25" style="255" customWidth="1"/>
    <col min="8480" max="8481" width="10.375" style="255" customWidth="1"/>
    <col min="8482" max="8482" width="15.625" style="255" customWidth="1"/>
    <col min="8483" max="8483" width="15.875" style="255" customWidth="1"/>
    <col min="8484" max="8484" width="8.125" style="255" customWidth="1"/>
    <col min="8485" max="8488" width="10.375" style="255" customWidth="1"/>
    <col min="8489" max="8489" width="7.25" style="255" customWidth="1"/>
    <col min="8490" max="8490" width="7.125" style="255" customWidth="1"/>
    <col min="8491" max="8491" width="9.5" style="255" customWidth="1"/>
    <col min="8492" max="8493" width="9" style="255" customWidth="1"/>
    <col min="8494" max="8494" width="16.125" style="255" customWidth="1"/>
    <col min="8495" max="8525" width="9" style="255" customWidth="1"/>
    <col min="8526" max="8685" width="25.25" style="255"/>
    <col min="8686" max="8715" width="9" style="255" customWidth="1"/>
    <col min="8716" max="8716" width="0.5" style="255" customWidth="1"/>
    <col min="8717" max="8717" width="25.25" style="255"/>
    <col min="8718" max="8718" width="0.5" style="255" customWidth="1"/>
    <col min="8719" max="8719" width="25.25" style="255"/>
    <col min="8720" max="8720" width="14.75" style="255" customWidth="1"/>
    <col min="8721" max="8721" width="11.5" style="255" customWidth="1"/>
    <col min="8722" max="8722" width="11.25" style="255" customWidth="1"/>
    <col min="8723" max="8723" width="10.75" style="255" customWidth="1"/>
    <col min="8724" max="8724" width="10" style="255" customWidth="1"/>
    <col min="8725" max="8725" width="9.875" style="255" customWidth="1"/>
    <col min="8726" max="8726" width="26.125" style="255" customWidth="1"/>
    <col min="8727" max="8727" width="11.125" style="255" customWidth="1"/>
    <col min="8728" max="8728" width="7.875" style="255" customWidth="1"/>
    <col min="8729" max="8729" width="7.25" style="255" customWidth="1"/>
    <col min="8730" max="8730" width="9.125" style="255" customWidth="1"/>
    <col min="8731" max="8731" width="15.125" style="255" customWidth="1"/>
    <col min="8732" max="8732" width="7.75" style="255" customWidth="1"/>
    <col min="8733" max="8733" width="7.125" style="255" customWidth="1"/>
    <col min="8734" max="8734" width="12.125" style="255" customWidth="1"/>
    <col min="8735" max="8735" width="8.25" style="255" customWidth="1"/>
    <col min="8736" max="8737" width="10.375" style="255" customWidth="1"/>
    <col min="8738" max="8738" width="15.625" style="255" customWidth="1"/>
    <col min="8739" max="8739" width="15.875" style="255" customWidth="1"/>
    <col min="8740" max="8740" width="8.125" style="255" customWidth="1"/>
    <col min="8741" max="8744" width="10.375" style="255" customWidth="1"/>
    <col min="8745" max="8745" width="7.25" style="255" customWidth="1"/>
    <col min="8746" max="8746" width="7.125" style="255" customWidth="1"/>
    <col min="8747" max="8747" width="9.5" style="255" customWidth="1"/>
    <col min="8748" max="8749" width="9" style="255" customWidth="1"/>
    <col min="8750" max="8750" width="16.125" style="255" customWidth="1"/>
    <col min="8751" max="8781" width="9" style="255" customWidth="1"/>
    <col min="8782" max="8941" width="25.25" style="255"/>
    <col min="8942" max="8971" width="9" style="255" customWidth="1"/>
    <col min="8972" max="8972" width="0.5" style="255" customWidth="1"/>
    <col min="8973" max="8973" width="25.25" style="255"/>
    <col min="8974" max="8974" width="0.5" style="255" customWidth="1"/>
    <col min="8975" max="8975" width="25.25" style="255"/>
    <col min="8976" max="8976" width="14.75" style="255" customWidth="1"/>
    <col min="8977" max="8977" width="11.5" style="255" customWidth="1"/>
    <col min="8978" max="8978" width="11.25" style="255" customWidth="1"/>
    <col min="8979" max="8979" width="10.75" style="255" customWidth="1"/>
    <col min="8980" max="8980" width="10" style="255" customWidth="1"/>
    <col min="8981" max="8981" width="9.875" style="255" customWidth="1"/>
    <col min="8982" max="8982" width="26.125" style="255" customWidth="1"/>
    <col min="8983" max="8983" width="11.125" style="255" customWidth="1"/>
    <col min="8984" max="8984" width="7.875" style="255" customWidth="1"/>
    <col min="8985" max="8985" width="7.25" style="255" customWidth="1"/>
    <col min="8986" max="8986" width="9.125" style="255" customWidth="1"/>
    <col min="8987" max="8987" width="15.125" style="255" customWidth="1"/>
    <col min="8988" max="8988" width="7.75" style="255" customWidth="1"/>
    <col min="8989" max="8989" width="7.125" style="255" customWidth="1"/>
    <col min="8990" max="8990" width="12.125" style="255" customWidth="1"/>
    <col min="8991" max="8991" width="8.25" style="255" customWidth="1"/>
    <col min="8992" max="8993" width="10.375" style="255" customWidth="1"/>
    <col min="8994" max="8994" width="15.625" style="255" customWidth="1"/>
    <col min="8995" max="8995" width="15.875" style="255" customWidth="1"/>
    <col min="8996" max="8996" width="8.125" style="255" customWidth="1"/>
    <col min="8997" max="9000" width="10.375" style="255" customWidth="1"/>
    <col min="9001" max="9001" width="7.25" style="255" customWidth="1"/>
    <col min="9002" max="9002" width="7.125" style="255" customWidth="1"/>
    <col min="9003" max="9003" width="9.5" style="255" customWidth="1"/>
    <col min="9004" max="9005" width="9" style="255" customWidth="1"/>
    <col min="9006" max="9006" width="16.125" style="255" customWidth="1"/>
    <col min="9007" max="9037" width="9" style="255" customWidth="1"/>
    <col min="9038" max="9197" width="25.25" style="255"/>
    <col min="9198" max="9227" width="9" style="255" customWidth="1"/>
    <col min="9228" max="9228" width="0.5" style="255" customWidth="1"/>
    <col min="9229" max="9229" width="25.25" style="255"/>
    <col min="9230" max="9230" width="0.5" style="255" customWidth="1"/>
    <col min="9231" max="9231" width="25.25" style="255"/>
    <col min="9232" max="9232" width="14.75" style="255" customWidth="1"/>
    <col min="9233" max="9233" width="11.5" style="255" customWidth="1"/>
    <col min="9234" max="9234" width="11.25" style="255" customWidth="1"/>
    <col min="9235" max="9235" width="10.75" style="255" customWidth="1"/>
    <col min="9236" max="9236" width="10" style="255" customWidth="1"/>
    <col min="9237" max="9237" width="9.875" style="255" customWidth="1"/>
    <col min="9238" max="9238" width="26.125" style="255" customWidth="1"/>
    <col min="9239" max="9239" width="11.125" style="255" customWidth="1"/>
    <col min="9240" max="9240" width="7.875" style="255" customWidth="1"/>
    <col min="9241" max="9241" width="7.25" style="255" customWidth="1"/>
    <col min="9242" max="9242" width="9.125" style="255" customWidth="1"/>
    <col min="9243" max="9243" width="15.125" style="255" customWidth="1"/>
    <col min="9244" max="9244" width="7.75" style="255" customWidth="1"/>
    <col min="9245" max="9245" width="7.125" style="255" customWidth="1"/>
    <col min="9246" max="9246" width="12.125" style="255" customWidth="1"/>
    <col min="9247" max="9247" width="8.25" style="255" customWidth="1"/>
    <col min="9248" max="9249" width="10.375" style="255" customWidth="1"/>
    <col min="9250" max="9250" width="15.625" style="255" customWidth="1"/>
    <col min="9251" max="9251" width="15.875" style="255" customWidth="1"/>
    <col min="9252" max="9252" width="8.125" style="255" customWidth="1"/>
    <col min="9253" max="9256" width="10.375" style="255" customWidth="1"/>
    <col min="9257" max="9257" width="7.25" style="255" customWidth="1"/>
    <col min="9258" max="9258" width="7.125" style="255" customWidth="1"/>
    <col min="9259" max="9259" width="9.5" style="255" customWidth="1"/>
    <col min="9260" max="9261" width="9" style="255" customWidth="1"/>
    <col min="9262" max="9262" width="16.125" style="255" customWidth="1"/>
    <col min="9263" max="9293" width="9" style="255" customWidth="1"/>
    <col min="9294" max="9453" width="25.25" style="255"/>
    <col min="9454" max="9483" width="9" style="255" customWidth="1"/>
    <col min="9484" max="9484" width="0.5" style="255" customWidth="1"/>
    <col min="9485" max="9485" width="25.25" style="255"/>
    <col min="9486" max="9486" width="0.5" style="255" customWidth="1"/>
    <col min="9487" max="9487" width="25.25" style="255"/>
    <col min="9488" max="9488" width="14.75" style="255" customWidth="1"/>
    <col min="9489" max="9489" width="11.5" style="255" customWidth="1"/>
    <col min="9490" max="9490" width="11.25" style="255" customWidth="1"/>
    <col min="9491" max="9491" width="10.75" style="255" customWidth="1"/>
    <col min="9492" max="9492" width="10" style="255" customWidth="1"/>
    <col min="9493" max="9493" width="9.875" style="255" customWidth="1"/>
    <col min="9494" max="9494" width="26.125" style="255" customWidth="1"/>
    <col min="9495" max="9495" width="11.125" style="255" customWidth="1"/>
    <col min="9496" max="9496" width="7.875" style="255" customWidth="1"/>
    <col min="9497" max="9497" width="7.25" style="255" customWidth="1"/>
    <col min="9498" max="9498" width="9.125" style="255" customWidth="1"/>
    <col min="9499" max="9499" width="15.125" style="255" customWidth="1"/>
    <col min="9500" max="9500" width="7.75" style="255" customWidth="1"/>
    <col min="9501" max="9501" width="7.125" style="255" customWidth="1"/>
    <col min="9502" max="9502" width="12.125" style="255" customWidth="1"/>
    <col min="9503" max="9503" width="8.25" style="255" customWidth="1"/>
    <col min="9504" max="9505" width="10.375" style="255" customWidth="1"/>
    <col min="9506" max="9506" width="15.625" style="255" customWidth="1"/>
    <col min="9507" max="9507" width="15.875" style="255" customWidth="1"/>
    <col min="9508" max="9508" width="8.125" style="255" customWidth="1"/>
    <col min="9509" max="9512" width="10.375" style="255" customWidth="1"/>
    <col min="9513" max="9513" width="7.25" style="255" customWidth="1"/>
    <col min="9514" max="9514" width="7.125" style="255" customWidth="1"/>
    <col min="9515" max="9515" width="9.5" style="255" customWidth="1"/>
    <col min="9516" max="9517" width="9" style="255" customWidth="1"/>
    <col min="9518" max="9518" width="16.125" style="255" customWidth="1"/>
    <col min="9519" max="9549" width="9" style="255" customWidth="1"/>
    <col min="9550" max="9709" width="25.25" style="255"/>
    <col min="9710" max="9739" width="9" style="255" customWidth="1"/>
    <col min="9740" max="9740" width="0.5" style="255" customWidth="1"/>
    <col min="9741" max="9741" width="25.25" style="255"/>
    <col min="9742" max="9742" width="0.5" style="255" customWidth="1"/>
    <col min="9743" max="9743" width="25.25" style="255"/>
    <col min="9744" max="9744" width="14.75" style="255" customWidth="1"/>
    <col min="9745" max="9745" width="11.5" style="255" customWidth="1"/>
    <col min="9746" max="9746" width="11.25" style="255" customWidth="1"/>
    <col min="9747" max="9747" width="10.75" style="255" customWidth="1"/>
    <col min="9748" max="9748" width="10" style="255" customWidth="1"/>
    <col min="9749" max="9749" width="9.875" style="255" customWidth="1"/>
    <col min="9750" max="9750" width="26.125" style="255" customWidth="1"/>
    <col min="9751" max="9751" width="11.125" style="255" customWidth="1"/>
    <col min="9752" max="9752" width="7.875" style="255" customWidth="1"/>
    <col min="9753" max="9753" width="7.25" style="255" customWidth="1"/>
    <col min="9754" max="9754" width="9.125" style="255" customWidth="1"/>
    <col min="9755" max="9755" width="15.125" style="255" customWidth="1"/>
    <col min="9756" max="9756" width="7.75" style="255" customWidth="1"/>
    <col min="9757" max="9757" width="7.125" style="255" customWidth="1"/>
    <col min="9758" max="9758" width="12.125" style="255" customWidth="1"/>
    <col min="9759" max="9759" width="8.25" style="255" customWidth="1"/>
    <col min="9760" max="9761" width="10.375" style="255" customWidth="1"/>
    <col min="9762" max="9762" width="15.625" style="255" customWidth="1"/>
    <col min="9763" max="9763" width="15.875" style="255" customWidth="1"/>
    <col min="9764" max="9764" width="8.125" style="255" customWidth="1"/>
    <col min="9765" max="9768" width="10.375" style="255" customWidth="1"/>
    <col min="9769" max="9769" width="7.25" style="255" customWidth="1"/>
    <col min="9770" max="9770" width="7.125" style="255" customWidth="1"/>
    <col min="9771" max="9771" width="9.5" style="255" customWidth="1"/>
    <col min="9772" max="9773" width="9" style="255" customWidth="1"/>
    <col min="9774" max="9774" width="16.125" style="255" customWidth="1"/>
    <col min="9775" max="9805" width="9" style="255" customWidth="1"/>
    <col min="9806" max="9965" width="25.25" style="255"/>
    <col min="9966" max="9995" width="9" style="255" customWidth="1"/>
    <col min="9996" max="9996" width="0.5" style="255" customWidth="1"/>
    <col min="9997" max="9997" width="25.25" style="255"/>
    <col min="9998" max="9998" width="0.5" style="255" customWidth="1"/>
    <col min="9999" max="9999" width="25.25" style="255"/>
    <col min="10000" max="10000" width="14.75" style="255" customWidth="1"/>
    <col min="10001" max="10001" width="11.5" style="255" customWidth="1"/>
    <col min="10002" max="10002" width="11.25" style="255" customWidth="1"/>
    <col min="10003" max="10003" width="10.75" style="255" customWidth="1"/>
    <col min="10004" max="10004" width="10" style="255" customWidth="1"/>
    <col min="10005" max="10005" width="9.875" style="255" customWidth="1"/>
    <col min="10006" max="10006" width="26.125" style="255" customWidth="1"/>
    <col min="10007" max="10007" width="11.125" style="255" customWidth="1"/>
    <col min="10008" max="10008" width="7.875" style="255" customWidth="1"/>
    <col min="10009" max="10009" width="7.25" style="255" customWidth="1"/>
    <col min="10010" max="10010" width="9.125" style="255" customWidth="1"/>
    <col min="10011" max="10011" width="15.125" style="255" customWidth="1"/>
    <col min="10012" max="10012" width="7.75" style="255" customWidth="1"/>
    <col min="10013" max="10013" width="7.125" style="255" customWidth="1"/>
    <col min="10014" max="10014" width="12.125" style="255" customWidth="1"/>
    <col min="10015" max="10015" width="8.25" style="255" customWidth="1"/>
    <col min="10016" max="10017" width="10.375" style="255" customWidth="1"/>
    <col min="10018" max="10018" width="15.625" style="255" customWidth="1"/>
    <col min="10019" max="10019" width="15.875" style="255" customWidth="1"/>
    <col min="10020" max="10020" width="8.125" style="255" customWidth="1"/>
    <col min="10021" max="10024" width="10.375" style="255" customWidth="1"/>
    <col min="10025" max="10025" width="7.25" style="255" customWidth="1"/>
    <col min="10026" max="10026" width="7.125" style="255" customWidth="1"/>
    <col min="10027" max="10027" width="9.5" style="255" customWidth="1"/>
    <col min="10028" max="10029" width="9" style="255" customWidth="1"/>
    <col min="10030" max="10030" width="16.125" style="255" customWidth="1"/>
    <col min="10031" max="10061" width="9" style="255" customWidth="1"/>
    <col min="10062" max="10221" width="25.25" style="255"/>
    <col min="10222" max="10251" width="9" style="255" customWidth="1"/>
    <col min="10252" max="10252" width="0.5" style="255" customWidth="1"/>
    <col min="10253" max="10253" width="25.25" style="255"/>
    <col min="10254" max="10254" width="0.5" style="255" customWidth="1"/>
    <col min="10255" max="10255" width="25.25" style="255"/>
    <col min="10256" max="10256" width="14.75" style="255" customWidth="1"/>
    <col min="10257" max="10257" width="11.5" style="255" customWidth="1"/>
    <col min="10258" max="10258" width="11.25" style="255" customWidth="1"/>
    <col min="10259" max="10259" width="10.75" style="255" customWidth="1"/>
    <col min="10260" max="10260" width="10" style="255" customWidth="1"/>
    <col min="10261" max="10261" width="9.875" style="255" customWidth="1"/>
    <col min="10262" max="10262" width="26.125" style="255" customWidth="1"/>
    <col min="10263" max="10263" width="11.125" style="255" customWidth="1"/>
    <col min="10264" max="10264" width="7.875" style="255" customWidth="1"/>
    <col min="10265" max="10265" width="7.25" style="255" customWidth="1"/>
    <col min="10266" max="10266" width="9.125" style="255" customWidth="1"/>
    <col min="10267" max="10267" width="15.125" style="255" customWidth="1"/>
    <col min="10268" max="10268" width="7.75" style="255" customWidth="1"/>
    <col min="10269" max="10269" width="7.125" style="255" customWidth="1"/>
    <col min="10270" max="10270" width="12.125" style="255" customWidth="1"/>
    <col min="10271" max="10271" width="8.25" style="255" customWidth="1"/>
    <col min="10272" max="10273" width="10.375" style="255" customWidth="1"/>
    <col min="10274" max="10274" width="15.625" style="255" customWidth="1"/>
    <col min="10275" max="10275" width="15.875" style="255" customWidth="1"/>
    <col min="10276" max="10276" width="8.125" style="255" customWidth="1"/>
    <col min="10277" max="10280" width="10.375" style="255" customWidth="1"/>
    <col min="10281" max="10281" width="7.25" style="255" customWidth="1"/>
    <col min="10282" max="10282" width="7.125" style="255" customWidth="1"/>
    <col min="10283" max="10283" width="9.5" style="255" customWidth="1"/>
    <col min="10284" max="10285" width="9" style="255" customWidth="1"/>
    <col min="10286" max="10286" width="16.125" style="255" customWidth="1"/>
    <col min="10287" max="10317" width="9" style="255" customWidth="1"/>
    <col min="10318" max="10477" width="25.25" style="255"/>
    <col min="10478" max="10507" width="9" style="255" customWidth="1"/>
    <col min="10508" max="10508" width="0.5" style="255" customWidth="1"/>
    <col min="10509" max="10509" width="25.25" style="255"/>
    <col min="10510" max="10510" width="0.5" style="255" customWidth="1"/>
    <col min="10511" max="10511" width="25.25" style="255"/>
    <col min="10512" max="10512" width="14.75" style="255" customWidth="1"/>
    <col min="10513" max="10513" width="11.5" style="255" customWidth="1"/>
    <col min="10514" max="10514" width="11.25" style="255" customWidth="1"/>
    <col min="10515" max="10515" width="10.75" style="255" customWidth="1"/>
    <col min="10516" max="10516" width="10" style="255" customWidth="1"/>
    <col min="10517" max="10517" width="9.875" style="255" customWidth="1"/>
    <col min="10518" max="10518" width="26.125" style="255" customWidth="1"/>
    <col min="10519" max="10519" width="11.125" style="255" customWidth="1"/>
    <col min="10520" max="10520" width="7.875" style="255" customWidth="1"/>
    <col min="10521" max="10521" width="7.25" style="255" customWidth="1"/>
    <col min="10522" max="10522" width="9.125" style="255" customWidth="1"/>
    <col min="10523" max="10523" width="15.125" style="255" customWidth="1"/>
    <col min="10524" max="10524" width="7.75" style="255" customWidth="1"/>
    <col min="10525" max="10525" width="7.125" style="255" customWidth="1"/>
    <col min="10526" max="10526" width="12.125" style="255" customWidth="1"/>
    <col min="10527" max="10527" width="8.25" style="255" customWidth="1"/>
    <col min="10528" max="10529" width="10.375" style="255" customWidth="1"/>
    <col min="10530" max="10530" width="15.625" style="255" customWidth="1"/>
    <col min="10531" max="10531" width="15.875" style="255" customWidth="1"/>
    <col min="10532" max="10532" width="8.125" style="255" customWidth="1"/>
    <col min="10533" max="10536" width="10.375" style="255" customWidth="1"/>
    <col min="10537" max="10537" width="7.25" style="255" customWidth="1"/>
    <col min="10538" max="10538" width="7.125" style="255" customWidth="1"/>
    <col min="10539" max="10539" width="9.5" style="255" customWidth="1"/>
    <col min="10540" max="10541" width="9" style="255" customWidth="1"/>
    <col min="10542" max="10542" width="16.125" style="255" customWidth="1"/>
    <col min="10543" max="10573" width="9" style="255" customWidth="1"/>
    <col min="10574" max="10733" width="25.25" style="255"/>
    <col min="10734" max="10763" width="9" style="255" customWidth="1"/>
    <col min="10764" max="10764" width="0.5" style="255" customWidth="1"/>
    <col min="10765" max="10765" width="25.25" style="255"/>
    <col min="10766" max="10766" width="0.5" style="255" customWidth="1"/>
    <col min="10767" max="10767" width="25.25" style="255"/>
    <col min="10768" max="10768" width="14.75" style="255" customWidth="1"/>
    <col min="10769" max="10769" width="11.5" style="255" customWidth="1"/>
    <col min="10770" max="10770" width="11.25" style="255" customWidth="1"/>
    <col min="10771" max="10771" width="10.75" style="255" customWidth="1"/>
    <col min="10772" max="10772" width="10" style="255" customWidth="1"/>
    <col min="10773" max="10773" width="9.875" style="255" customWidth="1"/>
    <col min="10774" max="10774" width="26.125" style="255" customWidth="1"/>
    <col min="10775" max="10775" width="11.125" style="255" customWidth="1"/>
    <col min="10776" max="10776" width="7.875" style="255" customWidth="1"/>
    <col min="10777" max="10777" width="7.25" style="255" customWidth="1"/>
    <col min="10778" max="10778" width="9.125" style="255" customWidth="1"/>
    <col min="10779" max="10779" width="15.125" style="255" customWidth="1"/>
    <col min="10780" max="10780" width="7.75" style="255" customWidth="1"/>
    <col min="10781" max="10781" width="7.125" style="255" customWidth="1"/>
    <col min="10782" max="10782" width="12.125" style="255" customWidth="1"/>
    <col min="10783" max="10783" width="8.25" style="255" customWidth="1"/>
    <col min="10784" max="10785" width="10.375" style="255" customWidth="1"/>
    <col min="10786" max="10786" width="15.625" style="255" customWidth="1"/>
    <col min="10787" max="10787" width="15.875" style="255" customWidth="1"/>
    <col min="10788" max="10788" width="8.125" style="255" customWidth="1"/>
    <col min="10789" max="10792" width="10.375" style="255" customWidth="1"/>
    <col min="10793" max="10793" width="7.25" style="255" customWidth="1"/>
    <col min="10794" max="10794" width="7.125" style="255" customWidth="1"/>
    <col min="10795" max="10795" width="9.5" style="255" customWidth="1"/>
    <col min="10796" max="10797" width="9" style="255" customWidth="1"/>
    <col min="10798" max="10798" width="16.125" style="255" customWidth="1"/>
    <col min="10799" max="10829" width="9" style="255" customWidth="1"/>
    <col min="10830" max="10989" width="25.25" style="255"/>
    <col min="10990" max="11019" width="9" style="255" customWidth="1"/>
    <col min="11020" max="11020" width="0.5" style="255" customWidth="1"/>
    <col min="11021" max="11021" width="25.25" style="255"/>
    <col min="11022" max="11022" width="0.5" style="255" customWidth="1"/>
    <col min="11023" max="11023" width="25.25" style="255"/>
    <col min="11024" max="11024" width="14.75" style="255" customWidth="1"/>
    <col min="11025" max="11025" width="11.5" style="255" customWidth="1"/>
    <col min="11026" max="11026" width="11.25" style="255" customWidth="1"/>
    <col min="11027" max="11027" width="10.75" style="255" customWidth="1"/>
    <col min="11028" max="11028" width="10" style="255" customWidth="1"/>
    <col min="11029" max="11029" width="9.875" style="255" customWidth="1"/>
    <col min="11030" max="11030" width="26.125" style="255" customWidth="1"/>
    <col min="11031" max="11031" width="11.125" style="255" customWidth="1"/>
    <col min="11032" max="11032" width="7.875" style="255" customWidth="1"/>
    <col min="11033" max="11033" width="7.25" style="255" customWidth="1"/>
    <col min="11034" max="11034" width="9.125" style="255" customWidth="1"/>
    <col min="11035" max="11035" width="15.125" style="255" customWidth="1"/>
    <col min="11036" max="11036" width="7.75" style="255" customWidth="1"/>
    <col min="11037" max="11037" width="7.125" style="255" customWidth="1"/>
    <col min="11038" max="11038" width="12.125" style="255" customWidth="1"/>
    <col min="11039" max="11039" width="8.25" style="255" customWidth="1"/>
    <col min="11040" max="11041" width="10.375" style="255" customWidth="1"/>
    <col min="11042" max="11042" width="15.625" style="255" customWidth="1"/>
    <col min="11043" max="11043" width="15.875" style="255" customWidth="1"/>
    <col min="11044" max="11044" width="8.125" style="255" customWidth="1"/>
    <col min="11045" max="11048" width="10.375" style="255" customWidth="1"/>
    <col min="11049" max="11049" width="7.25" style="255" customWidth="1"/>
    <col min="11050" max="11050" width="7.125" style="255" customWidth="1"/>
    <col min="11051" max="11051" width="9.5" style="255" customWidth="1"/>
    <col min="11052" max="11053" width="9" style="255" customWidth="1"/>
    <col min="11054" max="11054" width="16.125" style="255" customWidth="1"/>
    <col min="11055" max="11085" width="9" style="255" customWidth="1"/>
    <col min="11086" max="11245" width="25.25" style="255"/>
    <col min="11246" max="11275" width="9" style="255" customWidth="1"/>
    <col min="11276" max="11276" width="0.5" style="255" customWidth="1"/>
    <col min="11277" max="11277" width="25.25" style="255"/>
    <col min="11278" max="11278" width="0.5" style="255" customWidth="1"/>
    <col min="11279" max="11279" width="25.25" style="255"/>
    <col min="11280" max="11280" width="14.75" style="255" customWidth="1"/>
    <col min="11281" max="11281" width="11.5" style="255" customWidth="1"/>
    <col min="11282" max="11282" width="11.25" style="255" customWidth="1"/>
    <col min="11283" max="11283" width="10.75" style="255" customWidth="1"/>
    <col min="11284" max="11284" width="10" style="255" customWidth="1"/>
    <col min="11285" max="11285" width="9.875" style="255" customWidth="1"/>
    <col min="11286" max="11286" width="26.125" style="255" customWidth="1"/>
    <col min="11287" max="11287" width="11.125" style="255" customWidth="1"/>
    <col min="11288" max="11288" width="7.875" style="255" customWidth="1"/>
    <col min="11289" max="11289" width="7.25" style="255" customWidth="1"/>
    <col min="11290" max="11290" width="9.125" style="255" customWidth="1"/>
    <col min="11291" max="11291" width="15.125" style="255" customWidth="1"/>
    <col min="11292" max="11292" width="7.75" style="255" customWidth="1"/>
    <col min="11293" max="11293" width="7.125" style="255" customWidth="1"/>
    <col min="11294" max="11294" width="12.125" style="255" customWidth="1"/>
    <col min="11295" max="11295" width="8.25" style="255" customWidth="1"/>
    <col min="11296" max="11297" width="10.375" style="255" customWidth="1"/>
    <col min="11298" max="11298" width="15.625" style="255" customWidth="1"/>
    <col min="11299" max="11299" width="15.875" style="255" customWidth="1"/>
    <col min="11300" max="11300" width="8.125" style="255" customWidth="1"/>
    <col min="11301" max="11304" width="10.375" style="255" customWidth="1"/>
    <col min="11305" max="11305" width="7.25" style="255" customWidth="1"/>
    <col min="11306" max="11306" width="7.125" style="255" customWidth="1"/>
    <col min="11307" max="11307" width="9.5" style="255" customWidth="1"/>
    <col min="11308" max="11309" width="9" style="255" customWidth="1"/>
    <col min="11310" max="11310" width="16.125" style="255" customWidth="1"/>
    <col min="11311" max="11341" width="9" style="255" customWidth="1"/>
    <col min="11342" max="11501" width="25.25" style="255"/>
    <col min="11502" max="11531" width="9" style="255" customWidth="1"/>
    <col min="11532" max="11532" width="0.5" style="255" customWidth="1"/>
    <col min="11533" max="11533" width="25.25" style="255"/>
    <col min="11534" max="11534" width="0.5" style="255" customWidth="1"/>
    <col min="11535" max="11535" width="25.25" style="255"/>
    <col min="11536" max="11536" width="14.75" style="255" customWidth="1"/>
    <col min="11537" max="11537" width="11.5" style="255" customWidth="1"/>
    <col min="11538" max="11538" width="11.25" style="255" customWidth="1"/>
    <col min="11539" max="11539" width="10.75" style="255" customWidth="1"/>
    <col min="11540" max="11540" width="10" style="255" customWidth="1"/>
    <col min="11541" max="11541" width="9.875" style="255" customWidth="1"/>
    <col min="11542" max="11542" width="26.125" style="255" customWidth="1"/>
    <col min="11543" max="11543" width="11.125" style="255" customWidth="1"/>
    <col min="11544" max="11544" width="7.875" style="255" customWidth="1"/>
    <col min="11545" max="11545" width="7.25" style="255" customWidth="1"/>
    <col min="11546" max="11546" width="9.125" style="255" customWidth="1"/>
    <col min="11547" max="11547" width="15.125" style="255" customWidth="1"/>
    <col min="11548" max="11548" width="7.75" style="255" customWidth="1"/>
    <col min="11549" max="11549" width="7.125" style="255" customWidth="1"/>
    <col min="11550" max="11550" width="12.125" style="255" customWidth="1"/>
    <col min="11551" max="11551" width="8.25" style="255" customWidth="1"/>
    <col min="11552" max="11553" width="10.375" style="255" customWidth="1"/>
    <col min="11554" max="11554" width="15.625" style="255" customWidth="1"/>
    <col min="11555" max="11555" width="15.875" style="255" customWidth="1"/>
    <col min="11556" max="11556" width="8.125" style="255" customWidth="1"/>
    <col min="11557" max="11560" width="10.375" style="255" customWidth="1"/>
    <col min="11561" max="11561" width="7.25" style="255" customWidth="1"/>
    <col min="11562" max="11562" width="7.125" style="255" customWidth="1"/>
    <col min="11563" max="11563" width="9.5" style="255" customWidth="1"/>
    <col min="11564" max="11565" width="9" style="255" customWidth="1"/>
    <col min="11566" max="11566" width="16.125" style="255" customWidth="1"/>
    <col min="11567" max="11597" width="9" style="255" customWidth="1"/>
    <col min="11598" max="11757" width="25.25" style="255"/>
    <col min="11758" max="11787" width="9" style="255" customWidth="1"/>
    <col min="11788" max="11788" width="0.5" style="255" customWidth="1"/>
    <col min="11789" max="11789" width="25.25" style="255"/>
    <col min="11790" max="11790" width="0.5" style="255" customWidth="1"/>
    <col min="11791" max="11791" width="25.25" style="255"/>
    <col min="11792" max="11792" width="14.75" style="255" customWidth="1"/>
    <col min="11793" max="11793" width="11.5" style="255" customWidth="1"/>
    <col min="11794" max="11794" width="11.25" style="255" customWidth="1"/>
    <col min="11795" max="11795" width="10.75" style="255" customWidth="1"/>
    <col min="11796" max="11796" width="10" style="255" customWidth="1"/>
    <col min="11797" max="11797" width="9.875" style="255" customWidth="1"/>
    <col min="11798" max="11798" width="26.125" style="255" customWidth="1"/>
    <col min="11799" max="11799" width="11.125" style="255" customWidth="1"/>
    <col min="11800" max="11800" width="7.875" style="255" customWidth="1"/>
    <col min="11801" max="11801" width="7.25" style="255" customWidth="1"/>
    <col min="11802" max="11802" width="9.125" style="255" customWidth="1"/>
    <col min="11803" max="11803" width="15.125" style="255" customWidth="1"/>
    <col min="11804" max="11804" width="7.75" style="255" customWidth="1"/>
    <col min="11805" max="11805" width="7.125" style="255" customWidth="1"/>
    <col min="11806" max="11806" width="12.125" style="255" customWidth="1"/>
    <col min="11807" max="11807" width="8.25" style="255" customWidth="1"/>
    <col min="11808" max="11809" width="10.375" style="255" customWidth="1"/>
    <col min="11810" max="11810" width="15.625" style="255" customWidth="1"/>
    <col min="11811" max="11811" width="15.875" style="255" customWidth="1"/>
    <col min="11812" max="11812" width="8.125" style="255" customWidth="1"/>
    <col min="11813" max="11816" width="10.375" style="255" customWidth="1"/>
    <col min="11817" max="11817" width="7.25" style="255" customWidth="1"/>
    <col min="11818" max="11818" width="7.125" style="255" customWidth="1"/>
    <col min="11819" max="11819" width="9.5" style="255" customWidth="1"/>
    <col min="11820" max="11821" width="9" style="255" customWidth="1"/>
    <col min="11822" max="11822" width="16.125" style="255" customWidth="1"/>
    <col min="11823" max="11853" width="9" style="255" customWidth="1"/>
    <col min="11854" max="12013" width="25.25" style="255"/>
    <col min="12014" max="12043" width="9" style="255" customWidth="1"/>
    <col min="12044" max="12044" width="0.5" style="255" customWidth="1"/>
    <col min="12045" max="12045" width="25.25" style="255"/>
    <col min="12046" max="12046" width="0.5" style="255" customWidth="1"/>
    <col min="12047" max="12047" width="25.25" style="255"/>
    <col min="12048" max="12048" width="14.75" style="255" customWidth="1"/>
    <col min="12049" max="12049" width="11.5" style="255" customWidth="1"/>
    <col min="12050" max="12050" width="11.25" style="255" customWidth="1"/>
    <col min="12051" max="12051" width="10.75" style="255" customWidth="1"/>
    <col min="12052" max="12052" width="10" style="255" customWidth="1"/>
    <col min="12053" max="12053" width="9.875" style="255" customWidth="1"/>
    <col min="12054" max="12054" width="26.125" style="255" customWidth="1"/>
    <col min="12055" max="12055" width="11.125" style="255" customWidth="1"/>
    <col min="12056" max="12056" width="7.875" style="255" customWidth="1"/>
    <col min="12057" max="12057" width="7.25" style="255" customWidth="1"/>
    <col min="12058" max="12058" width="9.125" style="255" customWidth="1"/>
    <col min="12059" max="12059" width="15.125" style="255" customWidth="1"/>
    <col min="12060" max="12060" width="7.75" style="255" customWidth="1"/>
    <col min="12061" max="12061" width="7.125" style="255" customWidth="1"/>
    <col min="12062" max="12062" width="12.125" style="255" customWidth="1"/>
    <col min="12063" max="12063" width="8.25" style="255" customWidth="1"/>
    <col min="12064" max="12065" width="10.375" style="255" customWidth="1"/>
    <col min="12066" max="12066" width="15.625" style="255" customWidth="1"/>
    <col min="12067" max="12067" width="15.875" style="255" customWidth="1"/>
    <col min="12068" max="12068" width="8.125" style="255" customWidth="1"/>
    <col min="12069" max="12072" width="10.375" style="255" customWidth="1"/>
    <col min="12073" max="12073" width="7.25" style="255" customWidth="1"/>
    <col min="12074" max="12074" width="7.125" style="255" customWidth="1"/>
    <col min="12075" max="12075" width="9.5" style="255" customWidth="1"/>
    <col min="12076" max="12077" width="9" style="255" customWidth="1"/>
    <col min="12078" max="12078" width="16.125" style="255" customWidth="1"/>
    <col min="12079" max="12109" width="9" style="255" customWidth="1"/>
    <col min="12110" max="12269" width="25.25" style="255"/>
    <col min="12270" max="12299" width="9" style="255" customWidth="1"/>
    <col min="12300" max="12300" width="0.5" style="255" customWidth="1"/>
    <col min="12301" max="12301" width="25.25" style="255"/>
    <col min="12302" max="12302" width="0.5" style="255" customWidth="1"/>
    <col min="12303" max="12303" width="25.25" style="255"/>
    <col min="12304" max="12304" width="14.75" style="255" customWidth="1"/>
    <col min="12305" max="12305" width="11.5" style="255" customWidth="1"/>
    <col min="12306" max="12306" width="11.25" style="255" customWidth="1"/>
    <col min="12307" max="12307" width="10.75" style="255" customWidth="1"/>
    <col min="12308" max="12308" width="10" style="255" customWidth="1"/>
    <col min="12309" max="12309" width="9.875" style="255" customWidth="1"/>
    <col min="12310" max="12310" width="26.125" style="255" customWidth="1"/>
    <col min="12311" max="12311" width="11.125" style="255" customWidth="1"/>
    <col min="12312" max="12312" width="7.875" style="255" customWidth="1"/>
    <col min="12313" max="12313" width="7.25" style="255" customWidth="1"/>
    <col min="12314" max="12314" width="9.125" style="255" customWidth="1"/>
    <col min="12315" max="12315" width="15.125" style="255" customWidth="1"/>
    <col min="12316" max="12316" width="7.75" style="255" customWidth="1"/>
    <col min="12317" max="12317" width="7.125" style="255" customWidth="1"/>
    <col min="12318" max="12318" width="12.125" style="255" customWidth="1"/>
    <col min="12319" max="12319" width="8.25" style="255" customWidth="1"/>
    <col min="12320" max="12321" width="10.375" style="255" customWidth="1"/>
    <col min="12322" max="12322" width="15.625" style="255" customWidth="1"/>
    <col min="12323" max="12323" width="15.875" style="255" customWidth="1"/>
    <col min="12324" max="12324" width="8.125" style="255" customWidth="1"/>
    <col min="12325" max="12328" width="10.375" style="255" customWidth="1"/>
    <col min="12329" max="12329" width="7.25" style="255" customWidth="1"/>
    <col min="12330" max="12330" width="7.125" style="255" customWidth="1"/>
    <col min="12331" max="12331" width="9.5" style="255" customWidth="1"/>
    <col min="12332" max="12333" width="9" style="255" customWidth="1"/>
    <col min="12334" max="12334" width="16.125" style="255" customWidth="1"/>
    <col min="12335" max="12365" width="9" style="255" customWidth="1"/>
    <col min="12366" max="12525" width="25.25" style="255"/>
    <col min="12526" max="12555" width="9" style="255" customWidth="1"/>
    <col min="12556" max="12556" width="0.5" style="255" customWidth="1"/>
    <col min="12557" max="12557" width="25.25" style="255"/>
    <col min="12558" max="12558" width="0.5" style="255" customWidth="1"/>
    <col min="12559" max="12559" width="25.25" style="255"/>
    <col min="12560" max="12560" width="14.75" style="255" customWidth="1"/>
    <col min="12561" max="12561" width="11.5" style="255" customWidth="1"/>
    <col min="12562" max="12562" width="11.25" style="255" customWidth="1"/>
    <col min="12563" max="12563" width="10.75" style="255" customWidth="1"/>
    <col min="12564" max="12564" width="10" style="255" customWidth="1"/>
    <col min="12565" max="12565" width="9.875" style="255" customWidth="1"/>
    <col min="12566" max="12566" width="26.125" style="255" customWidth="1"/>
    <col min="12567" max="12567" width="11.125" style="255" customWidth="1"/>
    <col min="12568" max="12568" width="7.875" style="255" customWidth="1"/>
    <col min="12569" max="12569" width="7.25" style="255" customWidth="1"/>
    <col min="12570" max="12570" width="9.125" style="255" customWidth="1"/>
    <col min="12571" max="12571" width="15.125" style="255" customWidth="1"/>
    <col min="12572" max="12572" width="7.75" style="255" customWidth="1"/>
    <col min="12573" max="12573" width="7.125" style="255" customWidth="1"/>
    <col min="12574" max="12574" width="12.125" style="255" customWidth="1"/>
    <col min="12575" max="12575" width="8.25" style="255" customWidth="1"/>
    <col min="12576" max="12577" width="10.375" style="255" customWidth="1"/>
    <col min="12578" max="12578" width="15.625" style="255" customWidth="1"/>
    <col min="12579" max="12579" width="15.875" style="255" customWidth="1"/>
    <col min="12580" max="12580" width="8.125" style="255" customWidth="1"/>
    <col min="12581" max="12584" width="10.375" style="255" customWidth="1"/>
    <col min="12585" max="12585" width="7.25" style="255" customWidth="1"/>
    <col min="12586" max="12586" width="7.125" style="255" customWidth="1"/>
    <col min="12587" max="12587" width="9.5" style="255" customWidth="1"/>
    <col min="12588" max="12589" width="9" style="255" customWidth="1"/>
    <col min="12590" max="12590" width="16.125" style="255" customWidth="1"/>
    <col min="12591" max="12621" width="9" style="255" customWidth="1"/>
    <col min="12622" max="12781" width="25.25" style="255"/>
    <col min="12782" max="12811" width="9" style="255" customWidth="1"/>
    <col min="12812" max="12812" width="0.5" style="255" customWidth="1"/>
    <col min="12813" max="12813" width="25.25" style="255"/>
    <col min="12814" max="12814" width="0.5" style="255" customWidth="1"/>
    <col min="12815" max="12815" width="25.25" style="255"/>
    <col min="12816" max="12816" width="14.75" style="255" customWidth="1"/>
    <col min="12817" max="12817" width="11.5" style="255" customWidth="1"/>
    <col min="12818" max="12818" width="11.25" style="255" customWidth="1"/>
    <col min="12819" max="12819" width="10.75" style="255" customWidth="1"/>
    <col min="12820" max="12820" width="10" style="255" customWidth="1"/>
    <col min="12821" max="12821" width="9.875" style="255" customWidth="1"/>
    <col min="12822" max="12822" width="26.125" style="255" customWidth="1"/>
    <col min="12823" max="12823" width="11.125" style="255" customWidth="1"/>
    <col min="12824" max="12824" width="7.875" style="255" customWidth="1"/>
    <col min="12825" max="12825" width="7.25" style="255" customWidth="1"/>
    <col min="12826" max="12826" width="9.125" style="255" customWidth="1"/>
    <col min="12827" max="12827" width="15.125" style="255" customWidth="1"/>
    <col min="12828" max="12828" width="7.75" style="255" customWidth="1"/>
    <col min="12829" max="12829" width="7.125" style="255" customWidth="1"/>
    <col min="12830" max="12830" width="12.125" style="255" customWidth="1"/>
    <col min="12831" max="12831" width="8.25" style="255" customWidth="1"/>
    <col min="12832" max="12833" width="10.375" style="255" customWidth="1"/>
    <col min="12834" max="12834" width="15.625" style="255" customWidth="1"/>
    <col min="12835" max="12835" width="15.875" style="255" customWidth="1"/>
    <col min="12836" max="12836" width="8.125" style="255" customWidth="1"/>
    <col min="12837" max="12840" width="10.375" style="255" customWidth="1"/>
    <col min="12841" max="12841" width="7.25" style="255" customWidth="1"/>
    <col min="12842" max="12842" width="7.125" style="255" customWidth="1"/>
    <col min="12843" max="12843" width="9.5" style="255" customWidth="1"/>
    <col min="12844" max="12845" width="9" style="255" customWidth="1"/>
    <col min="12846" max="12846" width="16.125" style="255" customWidth="1"/>
    <col min="12847" max="12877" width="9" style="255" customWidth="1"/>
    <col min="12878" max="13037" width="25.25" style="255"/>
    <col min="13038" max="13067" width="9" style="255" customWidth="1"/>
    <col min="13068" max="13068" width="0.5" style="255" customWidth="1"/>
    <col min="13069" max="13069" width="25.25" style="255"/>
    <col min="13070" max="13070" width="0.5" style="255" customWidth="1"/>
    <col min="13071" max="13071" width="25.25" style="255"/>
    <col min="13072" max="13072" width="14.75" style="255" customWidth="1"/>
    <col min="13073" max="13073" width="11.5" style="255" customWidth="1"/>
    <col min="13074" max="13074" width="11.25" style="255" customWidth="1"/>
    <col min="13075" max="13075" width="10.75" style="255" customWidth="1"/>
    <col min="13076" max="13076" width="10" style="255" customWidth="1"/>
    <col min="13077" max="13077" width="9.875" style="255" customWidth="1"/>
    <col min="13078" max="13078" width="26.125" style="255" customWidth="1"/>
    <col min="13079" max="13079" width="11.125" style="255" customWidth="1"/>
    <col min="13080" max="13080" width="7.875" style="255" customWidth="1"/>
    <col min="13081" max="13081" width="7.25" style="255" customWidth="1"/>
    <col min="13082" max="13082" width="9.125" style="255" customWidth="1"/>
    <col min="13083" max="13083" width="15.125" style="255" customWidth="1"/>
    <col min="13084" max="13084" width="7.75" style="255" customWidth="1"/>
    <col min="13085" max="13085" width="7.125" style="255" customWidth="1"/>
    <col min="13086" max="13086" width="12.125" style="255" customWidth="1"/>
    <col min="13087" max="13087" width="8.25" style="255" customWidth="1"/>
    <col min="13088" max="13089" width="10.375" style="255" customWidth="1"/>
    <col min="13090" max="13090" width="15.625" style="255" customWidth="1"/>
    <col min="13091" max="13091" width="15.875" style="255" customWidth="1"/>
    <col min="13092" max="13092" width="8.125" style="255" customWidth="1"/>
    <col min="13093" max="13096" width="10.375" style="255" customWidth="1"/>
    <col min="13097" max="13097" width="7.25" style="255" customWidth="1"/>
    <col min="13098" max="13098" width="7.125" style="255" customWidth="1"/>
    <col min="13099" max="13099" width="9.5" style="255" customWidth="1"/>
    <col min="13100" max="13101" width="9" style="255" customWidth="1"/>
    <col min="13102" max="13102" width="16.125" style="255" customWidth="1"/>
    <col min="13103" max="13133" width="9" style="255" customWidth="1"/>
    <col min="13134" max="13293" width="25.25" style="255"/>
    <col min="13294" max="13323" width="9" style="255" customWidth="1"/>
    <col min="13324" max="13324" width="0.5" style="255" customWidth="1"/>
    <col min="13325" max="13325" width="25.25" style="255"/>
    <col min="13326" max="13326" width="0.5" style="255" customWidth="1"/>
    <col min="13327" max="13327" width="25.25" style="255"/>
    <col min="13328" max="13328" width="14.75" style="255" customWidth="1"/>
    <col min="13329" max="13329" width="11.5" style="255" customWidth="1"/>
    <col min="13330" max="13330" width="11.25" style="255" customWidth="1"/>
    <col min="13331" max="13331" width="10.75" style="255" customWidth="1"/>
    <col min="13332" max="13332" width="10" style="255" customWidth="1"/>
    <col min="13333" max="13333" width="9.875" style="255" customWidth="1"/>
    <col min="13334" max="13334" width="26.125" style="255" customWidth="1"/>
    <col min="13335" max="13335" width="11.125" style="255" customWidth="1"/>
    <col min="13336" max="13336" width="7.875" style="255" customWidth="1"/>
    <col min="13337" max="13337" width="7.25" style="255" customWidth="1"/>
    <col min="13338" max="13338" width="9.125" style="255" customWidth="1"/>
    <col min="13339" max="13339" width="15.125" style="255" customWidth="1"/>
    <col min="13340" max="13340" width="7.75" style="255" customWidth="1"/>
    <col min="13341" max="13341" width="7.125" style="255" customWidth="1"/>
    <col min="13342" max="13342" width="12.125" style="255" customWidth="1"/>
    <col min="13343" max="13343" width="8.25" style="255" customWidth="1"/>
    <col min="13344" max="13345" width="10.375" style="255" customWidth="1"/>
    <col min="13346" max="13346" width="15.625" style="255" customWidth="1"/>
    <col min="13347" max="13347" width="15.875" style="255" customWidth="1"/>
    <col min="13348" max="13348" width="8.125" style="255" customWidth="1"/>
    <col min="13349" max="13352" width="10.375" style="255" customWidth="1"/>
    <col min="13353" max="13353" width="7.25" style="255" customWidth="1"/>
    <col min="13354" max="13354" width="7.125" style="255" customWidth="1"/>
    <col min="13355" max="13355" width="9.5" style="255" customWidth="1"/>
    <col min="13356" max="13357" width="9" style="255" customWidth="1"/>
    <col min="13358" max="13358" width="16.125" style="255" customWidth="1"/>
    <col min="13359" max="13389" width="9" style="255" customWidth="1"/>
    <col min="13390" max="13549" width="25.25" style="255"/>
    <col min="13550" max="13579" width="9" style="255" customWidth="1"/>
    <col min="13580" max="13580" width="0.5" style="255" customWidth="1"/>
    <col min="13581" max="13581" width="25.25" style="255"/>
    <col min="13582" max="13582" width="0.5" style="255" customWidth="1"/>
    <col min="13583" max="13583" width="25.25" style="255"/>
    <col min="13584" max="13584" width="14.75" style="255" customWidth="1"/>
    <col min="13585" max="13585" width="11.5" style="255" customWidth="1"/>
    <col min="13586" max="13586" width="11.25" style="255" customWidth="1"/>
    <col min="13587" max="13587" width="10.75" style="255" customWidth="1"/>
    <col min="13588" max="13588" width="10" style="255" customWidth="1"/>
    <col min="13589" max="13589" width="9.875" style="255" customWidth="1"/>
    <col min="13590" max="13590" width="26.125" style="255" customWidth="1"/>
    <col min="13591" max="13591" width="11.125" style="255" customWidth="1"/>
    <col min="13592" max="13592" width="7.875" style="255" customWidth="1"/>
    <col min="13593" max="13593" width="7.25" style="255" customWidth="1"/>
    <col min="13594" max="13594" width="9.125" style="255" customWidth="1"/>
    <col min="13595" max="13595" width="15.125" style="255" customWidth="1"/>
    <col min="13596" max="13596" width="7.75" style="255" customWidth="1"/>
    <col min="13597" max="13597" width="7.125" style="255" customWidth="1"/>
    <col min="13598" max="13598" width="12.125" style="255" customWidth="1"/>
    <col min="13599" max="13599" width="8.25" style="255" customWidth="1"/>
    <col min="13600" max="13601" width="10.375" style="255" customWidth="1"/>
    <col min="13602" max="13602" width="15.625" style="255" customWidth="1"/>
    <col min="13603" max="13603" width="15.875" style="255" customWidth="1"/>
    <col min="13604" max="13604" width="8.125" style="255" customWidth="1"/>
    <col min="13605" max="13608" width="10.375" style="255" customWidth="1"/>
    <col min="13609" max="13609" width="7.25" style="255" customWidth="1"/>
    <col min="13610" max="13610" width="7.125" style="255" customWidth="1"/>
    <col min="13611" max="13611" width="9.5" style="255" customWidth="1"/>
    <col min="13612" max="13613" width="9" style="255" customWidth="1"/>
    <col min="13614" max="13614" width="16.125" style="255" customWidth="1"/>
    <col min="13615" max="13645" width="9" style="255" customWidth="1"/>
    <col min="13646" max="13805" width="25.25" style="255"/>
    <col min="13806" max="13835" width="9" style="255" customWidth="1"/>
    <col min="13836" max="13836" width="0.5" style="255" customWidth="1"/>
    <col min="13837" max="13837" width="25.25" style="255"/>
    <col min="13838" max="13838" width="0.5" style="255" customWidth="1"/>
    <col min="13839" max="13839" width="25.25" style="255"/>
    <col min="13840" max="13840" width="14.75" style="255" customWidth="1"/>
    <col min="13841" max="13841" width="11.5" style="255" customWidth="1"/>
    <col min="13842" max="13842" width="11.25" style="255" customWidth="1"/>
    <col min="13843" max="13843" width="10.75" style="255" customWidth="1"/>
    <col min="13844" max="13844" width="10" style="255" customWidth="1"/>
    <col min="13845" max="13845" width="9.875" style="255" customWidth="1"/>
    <col min="13846" max="13846" width="26.125" style="255" customWidth="1"/>
    <col min="13847" max="13847" width="11.125" style="255" customWidth="1"/>
    <col min="13848" max="13848" width="7.875" style="255" customWidth="1"/>
    <col min="13849" max="13849" width="7.25" style="255" customWidth="1"/>
    <col min="13850" max="13850" width="9.125" style="255" customWidth="1"/>
    <col min="13851" max="13851" width="15.125" style="255" customWidth="1"/>
    <col min="13852" max="13852" width="7.75" style="255" customWidth="1"/>
    <col min="13853" max="13853" width="7.125" style="255" customWidth="1"/>
    <col min="13854" max="13854" width="12.125" style="255" customWidth="1"/>
    <col min="13855" max="13855" width="8.25" style="255" customWidth="1"/>
    <col min="13856" max="13857" width="10.375" style="255" customWidth="1"/>
    <col min="13858" max="13858" width="15.625" style="255" customWidth="1"/>
    <col min="13859" max="13859" width="15.875" style="255" customWidth="1"/>
    <col min="13860" max="13860" width="8.125" style="255" customWidth="1"/>
    <col min="13861" max="13864" width="10.375" style="255" customWidth="1"/>
    <col min="13865" max="13865" width="7.25" style="255" customWidth="1"/>
    <col min="13866" max="13866" width="7.125" style="255" customWidth="1"/>
    <col min="13867" max="13867" width="9.5" style="255" customWidth="1"/>
    <col min="13868" max="13869" width="9" style="255" customWidth="1"/>
    <col min="13870" max="13870" width="16.125" style="255" customWidth="1"/>
    <col min="13871" max="13901" width="9" style="255" customWidth="1"/>
    <col min="13902" max="14061" width="25.25" style="255"/>
    <col min="14062" max="14091" width="9" style="255" customWidth="1"/>
    <col min="14092" max="14092" width="0.5" style="255" customWidth="1"/>
    <col min="14093" max="14093" width="25.25" style="255"/>
    <col min="14094" max="14094" width="0.5" style="255" customWidth="1"/>
    <col min="14095" max="14095" width="25.25" style="255"/>
    <col min="14096" max="14096" width="14.75" style="255" customWidth="1"/>
    <col min="14097" max="14097" width="11.5" style="255" customWidth="1"/>
    <col min="14098" max="14098" width="11.25" style="255" customWidth="1"/>
    <col min="14099" max="14099" width="10.75" style="255" customWidth="1"/>
    <col min="14100" max="14100" width="10" style="255" customWidth="1"/>
    <col min="14101" max="14101" width="9.875" style="255" customWidth="1"/>
    <col min="14102" max="14102" width="26.125" style="255" customWidth="1"/>
    <col min="14103" max="14103" width="11.125" style="255" customWidth="1"/>
    <col min="14104" max="14104" width="7.875" style="255" customWidth="1"/>
    <col min="14105" max="14105" width="7.25" style="255" customWidth="1"/>
    <col min="14106" max="14106" width="9.125" style="255" customWidth="1"/>
    <col min="14107" max="14107" width="15.125" style="255" customWidth="1"/>
    <col min="14108" max="14108" width="7.75" style="255" customWidth="1"/>
    <col min="14109" max="14109" width="7.125" style="255" customWidth="1"/>
    <col min="14110" max="14110" width="12.125" style="255" customWidth="1"/>
    <col min="14111" max="14111" width="8.25" style="255" customWidth="1"/>
    <col min="14112" max="14113" width="10.375" style="255" customWidth="1"/>
    <col min="14114" max="14114" width="15.625" style="255" customWidth="1"/>
    <col min="14115" max="14115" width="15.875" style="255" customWidth="1"/>
    <col min="14116" max="14116" width="8.125" style="255" customWidth="1"/>
    <col min="14117" max="14120" width="10.375" style="255" customWidth="1"/>
    <col min="14121" max="14121" width="7.25" style="255" customWidth="1"/>
    <col min="14122" max="14122" width="7.125" style="255" customWidth="1"/>
    <col min="14123" max="14123" width="9.5" style="255" customWidth="1"/>
    <col min="14124" max="14125" width="9" style="255" customWidth="1"/>
    <col min="14126" max="14126" width="16.125" style="255" customWidth="1"/>
    <col min="14127" max="14157" width="9" style="255" customWidth="1"/>
    <col min="14158" max="14317" width="25.25" style="255"/>
    <col min="14318" max="14347" width="9" style="255" customWidth="1"/>
    <col min="14348" max="14348" width="0.5" style="255" customWidth="1"/>
    <col min="14349" max="14349" width="25.25" style="255"/>
    <col min="14350" max="14350" width="0.5" style="255" customWidth="1"/>
    <col min="14351" max="14351" width="25.25" style="255"/>
    <col min="14352" max="14352" width="14.75" style="255" customWidth="1"/>
    <col min="14353" max="14353" width="11.5" style="255" customWidth="1"/>
    <col min="14354" max="14354" width="11.25" style="255" customWidth="1"/>
    <col min="14355" max="14355" width="10.75" style="255" customWidth="1"/>
    <col min="14356" max="14356" width="10" style="255" customWidth="1"/>
    <col min="14357" max="14357" width="9.875" style="255" customWidth="1"/>
    <col min="14358" max="14358" width="26.125" style="255" customWidth="1"/>
    <col min="14359" max="14359" width="11.125" style="255" customWidth="1"/>
    <col min="14360" max="14360" width="7.875" style="255" customWidth="1"/>
    <col min="14361" max="14361" width="7.25" style="255" customWidth="1"/>
    <col min="14362" max="14362" width="9.125" style="255" customWidth="1"/>
    <col min="14363" max="14363" width="15.125" style="255" customWidth="1"/>
    <col min="14364" max="14364" width="7.75" style="255" customWidth="1"/>
    <col min="14365" max="14365" width="7.125" style="255" customWidth="1"/>
    <col min="14366" max="14366" width="12.125" style="255" customWidth="1"/>
    <col min="14367" max="14367" width="8.25" style="255" customWidth="1"/>
    <col min="14368" max="14369" width="10.375" style="255" customWidth="1"/>
    <col min="14370" max="14370" width="15.625" style="255" customWidth="1"/>
    <col min="14371" max="14371" width="15.875" style="255" customWidth="1"/>
    <col min="14372" max="14372" width="8.125" style="255" customWidth="1"/>
    <col min="14373" max="14376" width="10.375" style="255" customWidth="1"/>
    <col min="14377" max="14377" width="7.25" style="255" customWidth="1"/>
    <col min="14378" max="14378" width="7.125" style="255" customWidth="1"/>
    <col min="14379" max="14379" width="9.5" style="255" customWidth="1"/>
    <col min="14380" max="14381" width="9" style="255" customWidth="1"/>
    <col min="14382" max="14382" width="16.125" style="255" customWidth="1"/>
    <col min="14383" max="14413" width="9" style="255" customWidth="1"/>
    <col min="14414" max="14573" width="25.25" style="255"/>
    <col min="14574" max="14603" width="9" style="255" customWidth="1"/>
    <col min="14604" max="14604" width="0.5" style="255" customWidth="1"/>
    <col min="14605" max="14605" width="25.25" style="255"/>
    <col min="14606" max="14606" width="0.5" style="255" customWidth="1"/>
    <col min="14607" max="14607" width="25.25" style="255"/>
    <col min="14608" max="14608" width="14.75" style="255" customWidth="1"/>
    <col min="14609" max="14609" width="11.5" style="255" customWidth="1"/>
    <col min="14610" max="14610" width="11.25" style="255" customWidth="1"/>
    <col min="14611" max="14611" width="10.75" style="255" customWidth="1"/>
    <col min="14612" max="14612" width="10" style="255" customWidth="1"/>
    <col min="14613" max="14613" width="9.875" style="255" customWidth="1"/>
    <col min="14614" max="14614" width="26.125" style="255" customWidth="1"/>
    <col min="14615" max="14615" width="11.125" style="255" customWidth="1"/>
    <col min="14616" max="14616" width="7.875" style="255" customWidth="1"/>
    <col min="14617" max="14617" width="7.25" style="255" customWidth="1"/>
    <col min="14618" max="14618" width="9.125" style="255" customWidth="1"/>
    <col min="14619" max="14619" width="15.125" style="255" customWidth="1"/>
    <col min="14620" max="14620" width="7.75" style="255" customWidth="1"/>
    <col min="14621" max="14621" width="7.125" style="255" customWidth="1"/>
    <col min="14622" max="14622" width="12.125" style="255" customWidth="1"/>
    <col min="14623" max="14623" width="8.25" style="255" customWidth="1"/>
    <col min="14624" max="14625" width="10.375" style="255" customWidth="1"/>
    <col min="14626" max="14626" width="15.625" style="255" customWidth="1"/>
    <col min="14627" max="14627" width="15.875" style="255" customWidth="1"/>
    <col min="14628" max="14628" width="8.125" style="255" customWidth="1"/>
    <col min="14629" max="14632" width="10.375" style="255" customWidth="1"/>
    <col min="14633" max="14633" width="7.25" style="255" customWidth="1"/>
    <col min="14634" max="14634" width="7.125" style="255" customWidth="1"/>
    <col min="14635" max="14635" width="9.5" style="255" customWidth="1"/>
    <col min="14636" max="14637" width="9" style="255" customWidth="1"/>
    <col min="14638" max="14638" width="16.125" style="255" customWidth="1"/>
    <col min="14639" max="14669" width="9" style="255" customWidth="1"/>
    <col min="14670" max="14829" width="25.25" style="255"/>
    <col min="14830" max="14859" width="9" style="255" customWidth="1"/>
    <col min="14860" max="14860" width="0.5" style="255" customWidth="1"/>
    <col min="14861" max="14861" width="25.25" style="255"/>
    <col min="14862" max="14862" width="0.5" style="255" customWidth="1"/>
    <col min="14863" max="14863" width="25.25" style="255"/>
    <col min="14864" max="14864" width="14.75" style="255" customWidth="1"/>
    <col min="14865" max="14865" width="11.5" style="255" customWidth="1"/>
    <col min="14866" max="14866" width="11.25" style="255" customWidth="1"/>
    <col min="14867" max="14867" width="10.75" style="255" customWidth="1"/>
    <col min="14868" max="14868" width="10" style="255" customWidth="1"/>
    <col min="14869" max="14869" width="9.875" style="255" customWidth="1"/>
    <col min="14870" max="14870" width="26.125" style="255" customWidth="1"/>
    <col min="14871" max="14871" width="11.125" style="255" customWidth="1"/>
    <col min="14872" max="14872" width="7.875" style="255" customWidth="1"/>
    <col min="14873" max="14873" width="7.25" style="255" customWidth="1"/>
    <col min="14874" max="14874" width="9.125" style="255" customWidth="1"/>
    <col min="14875" max="14875" width="15.125" style="255" customWidth="1"/>
    <col min="14876" max="14876" width="7.75" style="255" customWidth="1"/>
    <col min="14877" max="14877" width="7.125" style="255" customWidth="1"/>
    <col min="14878" max="14878" width="12.125" style="255" customWidth="1"/>
    <col min="14879" max="14879" width="8.25" style="255" customWidth="1"/>
    <col min="14880" max="14881" width="10.375" style="255" customWidth="1"/>
    <col min="14882" max="14882" width="15.625" style="255" customWidth="1"/>
    <col min="14883" max="14883" width="15.875" style="255" customWidth="1"/>
    <col min="14884" max="14884" width="8.125" style="255" customWidth="1"/>
    <col min="14885" max="14888" width="10.375" style="255" customWidth="1"/>
    <col min="14889" max="14889" width="7.25" style="255" customWidth="1"/>
    <col min="14890" max="14890" width="7.125" style="255" customWidth="1"/>
    <col min="14891" max="14891" width="9.5" style="255" customWidth="1"/>
    <col min="14892" max="14893" width="9" style="255" customWidth="1"/>
    <col min="14894" max="14894" width="16.125" style="255" customWidth="1"/>
    <col min="14895" max="14925" width="9" style="255" customWidth="1"/>
    <col min="14926" max="15085" width="25.25" style="255"/>
    <col min="15086" max="15115" width="9" style="255" customWidth="1"/>
    <col min="15116" max="15116" width="0.5" style="255" customWidth="1"/>
    <col min="15117" max="15117" width="25.25" style="255"/>
    <col min="15118" max="15118" width="0.5" style="255" customWidth="1"/>
    <col min="15119" max="15119" width="25.25" style="255"/>
    <col min="15120" max="15120" width="14.75" style="255" customWidth="1"/>
    <col min="15121" max="15121" width="11.5" style="255" customWidth="1"/>
    <col min="15122" max="15122" width="11.25" style="255" customWidth="1"/>
    <col min="15123" max="15123" width="10.75" style="255" customWidth="1"/>
    <col min="15124" max="15124" width="10" style="255" customWidth="1"/>
    <col min="15125" max="15125" width="9.875" style="255" customWidth="1"/>
    <col min="15126" max="15126" width="26.125" style="255" customWidth="1"/>
    <col min="15127" max="15127" width="11.125" style="255" customWidth="1"/>
    <col min="15128" max="15128" width="7.875" style="255" customWidth="1"/>
    <col min="15129" max="15129" width="7.25" style="255" customWidth="1"/>
    <col min="15130" max="15130" width="9.125" style="255" customWidth="1"/>
    <col min="15131" max="15131" width="15.125" style="255" customWidth="1"/>
    <col min="15132" max="15132" width="7.75" style="255" customWidth="1"/>
    <col min="15133" max="15133" width="7.125" style="255" customWidth="1"/>
    <col min="15134" max="15134" width="12.125" style="255" customWidth="1"/>
    <col min="15135" max="15135" width="8.25" style="255" customWidth="1"/>
    <col min="15136" max="15137" width="10.375" style="255" customWidth="1"/>
    <col min="15138" max="15138" width="15.625" style="255" customWidth="1"/>
    <col min="15139" max="15139" width="15.875" style="255" customWidth="1"/>
    <col min="15140" max="15140" width="8.125" style="255" customWidth="1"/>
    <col min="15141" max="15144" width="10.375" style="255" customWidth="1"/>
    <col min="15145" max="15145" width="7.25" style="255" customWidth="1"/>
    <col min="15146" max="15146" width="7.125" style="255" customWidth="1"/>
    <col min="15147" max="15147" width="9.5" style="255" customWidth="1"/>
    <col min="15148" max="15149" width="9" style="255" customWidth="1"/>
    <col min="15150" max="15150" width="16.125" style="255" customWidth="1"/>
    <col min="15151" max="15181" width="9" style="255" customWidth="1"/>
    <col min="15182" max="15341" width="25.25" style="255"/>
    <col min="15342" max="15371" width="9" style="255" customWidth="1"/>
    <col min="15372" max="15372" width="0.5" style="255" customWidth="1"/>
    <col min="15373" max="15373" width="25.25" style="255"/>
    <col min="15374" max="15374" width="0.5" style="255" customWidth="1"/>
    <col min="15375" max="15375" width="25.25" style="255"/>
    <col min="15376" max="15376" width="14.75" style="255" customWidth="1"/>
    <col min="15377" max="15377" width="11.5" style="255" customWidth="1"/>
    <col min="15378" max="15378" width="11.25" style="255" customWidth="1"/>
    <col min="15379" max="15379" width="10.75" style="255" customWidth="1"/>
    <col min="15380" max="15380" width="10" style="255" customWidth="1"/>
    <col min="15381" max="15381" width="9.875" style="255" customWidth="1"/>
    <col min="15382" max="15382" width="26.125" style="255" customWidth="1"/>
    <col min="15383" max="15383" width="11.125" style="255" customWidth="1"/>
    <col min="15384" max="15384" width="7.875" style="255" customWidth="1"/>
    <col min="15385" max="15385" width="7.25" style="255" customWidth="1"/>
    <col min="15386" max="15386" width="9.125" style="255" customWidth="1"/>
    <col min="15387" max="15387" width="15.125" style="255" customWidth="1"/>
    <col min="15388" max="15388" width="7.75" style="255" customWidth="1"/>
    <col min="15389" max="15389" width="7.125" style="255" customWidth="1"/>
    <col min="15390" max="15390" width="12.125" style="255" customWidth="1"/>
    <col min="15391" max="15391" width="8.25" style="255" customWidth="1"/>
    <col min="15392" max="15393" width="10.375" style="255" customWidth="1"/>
    <col min="15394" max="15394" width="15.625" style="255" customWidth="1"/>
    <col min="15395" max="15395" width="15.875" style="255" customWidth="1"/>
    <col min="15396" max="15396" width="8.125" style="255" customWidth="1"/>
    <col min="15397" max="15400" width="10.375" style="255" customWidth="1"/>
    <col min="15401" max="15401" width="7.25" style="255" customWidth="1"/>
    <col min="15402" max="15402" width="7.125" style="255" customWidth="1"/>
    <col min="15403" max="15403" width="9.5" style="255" customWidth="1"/>
    <col min="15404" max="15405" width="9" style="255" customWidth="1"/>
    <col min="15406" max="15406" width="16.125" style="255" customWidth="1"/>
    <col min="15407" max="15437" width="9" style="255" customWidth="1"/>
    <col min="15438" max="15597" width="25.25" style="255"/>
    <col min="15598" max="15627" width="9" style="255" customWidth="1"/>
    <col min="15628" max="15628" width="0.5" style="255" customWidth="1"/>
    <col min="15629" max="15629" width="25.25" style="255"/>
    <col min="15630" max="15630" width="0.5" style="255" customWidth="1"/>
    <col min="15631" max="15631" width="25.25" style="255"/>
    <col min="15632" max="15632" width="14.75" style="255" customWidth="1"/>
    <col min="15633" max="15633" width="11.5" style="255" customWidth="1"/>
    <col min="15634" max="15634" width="11.25" style="255" customWidth="1"/>
    <col min="15635" max="15635" width="10.75" style="255" customWidth="1"/>
    <col min="15636" max="15636" width="10" style="255" customWidth="1"/>
    <col min="15637" max="15637" width="9.875" style="255" customWidth="1"/>
    <col min="15638" max="15638" width="26.125" style="255" customWidth="1"/>
    <col min="15639" max="15639" width="11.125" style="255" customWidth="1"/>
    <col min="15640" max="15640" width="7.875" style="255" customWidth="1"/>
    <col min="15641" max="15641" width="7.25" style="255" customWidth="1"/>
    <col min="15642" max="15642" width="9.125" style="255" customWidth="1"/>
    <col min="15643" max="15643" width="15.125" style="255" customWidth="1"/>
    <col min="15644" max="15644" width="7.75" style="255" customWidth="1"/>
    <col min="15645" max="15645" width="7.125" style="255" customWidth="1"/>
    <col min="15646" max="15646" width="12.125" style="255" customWidth="1"/>
    <col min="15647" max="15647" width="8.25" style="255" customWidth="1"/>
    <col min="15648" max="15649" width="10.375" style="255" customWidth="1"/>
    <col min="15650" max="15650" width="15.625" style="255" customWidth="1"/>
    <col min="15651" max="15651" width="15.875" style="255" customWidth="1"/>
    <col min="15652" max="15652" width="8.125" style="255" customWidth="1"/>
    <col min="15653" max="15656" width="10.375" style="255" customWidth="1"/>
    <col min="15657" max="15657" width="7.25" style="255" customWidth="1"/>
    <col min="15658" max="15658" width="7.125" style="255" customWidth="1"/>
    <col min="15659" max="15659" width="9.5" style="255" customWidth="1"/>
    <col min="15660" max="15661" width="9" style="255" customWidth="1"/>
    <col min="15662" max="15662" width="16.125" style="255" customWidth="1"/>
    <col min="15663" max="15693" width="9" style="255" customWidth="1"/>
    <col min="15694" max="15853" width="25.25" style="255"/>
    <col min="15854" max="15883" width="9" style="255" customWidth="1"/>
    <col min="15884" max="15884" width="0.5" style="255" customWidth="1"/>
    <col min="15885" max="15885" width="25.25" style="255"/>
    <col min="15886" max="15886" width="0.5" style="255" customWidth="1"/>
    <col min="15887" max="15887" width="25.25" style="255"/>
    <col min="15888" max="15888" width="14.75" style="255" customWidth="1"/>
    <col min="15889" max="15889" width="11.5" style="255" customWidth="1"/>
    <col min="15890" max="15890" width="11.25" style="255" customWidth="1"/>
    <col min="15891" max="15891" width="10.75" style="255" customWidth="1"/>
    <col min="15892" max="15892" width="10" style="255" customWidth="1"/>
    <col min="15893" max="15893" width="9.875" style="255" customWidth="1"/>
    <col min="15894" max="15894" width="26.125" style="255" customWidth="1"/>
    <col min="15895" max="15895" width="11.125" style="255" customWidth="1"/>
    <col min="15896" max="15896" width="7.875" style="255" customWidth="1"/>
    <col min="15897" max="15897" width="7.25" style="255" customWidth="1"/>
    <col min="15898" max="15898" width="9.125" style="255" customWidth="1"/>
    <col min="15899" max="15899" width="15.125" style="255" customWidth="1"/>
    <col min="15900" max="15900" width="7.75" style="255" customWidth="1"/>
    <col min="15901" max="15901" width="7.125" style="255" customWidth="1"/>
    <col min="15902" max="15902" width="12.125" style="255" customWidth="1"/>
    <col min="15903" max="15903" width="8.25" style="255" customWidth="1"/>
    <col min="15904" max="15905" width="10.375" style="255" customWidth="1"/>
    <col min="15906" max="15906" width="15.625" style="255" customWidth="1"/>
    <col min="15907" max="15907" width="15.875" style="255" customWidth="1"/>
    <col min="15908" max="15908" width="8.125" style="255" customWidth="1"/>
    <col min="15909" max="15912" width="10.375" style="255" customWidth="1"/>
    <col min="15913" max="15913" width="7.25" style="255" customWidth="1"/>
    <col min="15914" max="15914" width="7.125" style="255" customWidth="1"/>
    <col min="15915" max="15915" width="9.5" style="255" customWidth="1"/>
    <col min="15916" max="15917" width="9" style="255" customWidth="1"/>
    <col min="15918" max="15918" width="16.125" style="255" customWidth="1"/>
    <col min="15919" max="15949" width="9" style="255" customWidth="1"/>
    <col min="15950" max="16109" width="25.25" style="255"/>
    <col min="16110" max="16139" width="9" style="255" customWidth="1"/>
    <col min="16140" max="16140" width="0.5" style="255" customWidth="1"/>
    <col min="16141" max="16384" width="25.25" style="255"/>
  </cols>
  <sheetData>
    <row r="1" spans="1:16" ht="14.25" thickBot="1"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1"/>
      <c r="O1" s="1"/>
      <c r="P1" s="1"/>
    </row>
    <row r="2" spans="1:16" ht="18" customHeight="1">
      <c r="A2" s="5"/>
      <c r="B2" s="6" t="s">
        <v>402</v>
      </c>
      <c r="C2" s="254"/>
      <c r="D2" s="254" t="s">
        <v>9</v>
      </c>
      <c r="E2" s="254" t="s">
        <v>10</v>
      </c>
      <c r="F2" s="661" t="s">
        <v>11</v>
      </c>
      <c r="G2" s="661"/>
      <c r="H2" s="661"/>
      <c r="I2" s="662" t="s">
        <v>12</v>
      </c>
      <c r="J2" s="664" t="s">
        <v>13</v>
      </c>
      <c r="K2" s="665"/>
      <c r="L2" s="665"/>
      <c r="M2" s="666"/>
      <c r="N2" s="8"/>
      <c r="O2" s="8"/>
      <c r="P2" s="8"/>
    </row>
    <row r="3" spans="1:16" ht="18" customHeight="1">
      <c r="B3" s="9" t="s">
        <v>14</v>
      </c>
      <c r="C3" s="10" t="s">
        <v>15</v>
      </c>
      <c r="D3" s="10" t="s">
        <v>16</v>
      </c>
      <c r="E3" s="10" t="s">
        <v>17</v>
      </c>
      <c r="F3" s="10" t="s">
        <v>7</v>
      </c>
      <c r="G3" s="10" t="s">
        <v>5</v>
      </c>
      <c r="H3" s="10" t="s">
        <v>18</v>
      </c>
      <c r="I3" s="663"/>
      <c r="J3" s="11" t="s">
        <v>19</v>
      </c>
      <c r="K3" s="12" t="s">
        <v>20</v>
      </c>
      <c r="L3" s="12" t="s">
        <v>21</v>
      </c>
      <c r="M3" s="13" t="s">
        <v>22</v>
      </c>
      <c r="N3" s="14"/>
      <c r="P3" s="15"/>
    </row>
    <row r="4" spans="1:16" ht="18" customHeight="1">
      <c r="B4" s="667" t="str">
        <f ca="1">MID(CELL("filename",Q13),FIND("]",CELL("filename",Q13))+1,30)</f>
        <v>GDC2338</v>
      </c>
      <c r="C4" s="17" t="s">
        <v>23</v>
      </c>
      <c r="D4" s="17">
        <v>2300</v>
      </c>
      <c r="E4" s="17">
        <v>3800</v>
      </c>
      <c r="F4" s="18">
        <v>6.58</v>
      </c>
      <c r="G4" s="17">
        <v>1</v>
      </c>
      <c r="H4" s="17">
        <f>F4*G4</f>
        <v>6.58</v>
      </c>
      <c r="I4" s="663"/>
      <c r="J4" s="19">
        <v>40</v>
      </c>
      <c r="K4" s="20">
        <v>20</v>
      </c>
      <c r="L4" s="21">
        <v>1.5</v>
      </c>
      <c r="M4" s="22">
        <f t="shared" ref="M4:M11" si="0">ROUND(((J4*K4)-(J4-2*L4)*(K4-2*L4))*7.8/1000,3)</f>
        <v>1.3340000000000001</v>
      </c>
    </row>
    <row r="5" spans="1:16" ht="18" customHeight="1">
      <c r="B5" s="668"/>
      <c r="C5" s="221" t="s">
        <v>299</v>
      </c>
      <c r="D5" s="221">
        <f>D4-70</f>
        <v>2230</v>
      </c>
      <c r="E5" s="221">
        <f>E4-70</f>
        <v>3730</v>
      </c>
      <c r="F5" s="222">
        <f>D5*E5/10^6</f>
        <v>8.3178999999999998</v>
      </c>
      <c r="G5" s="221">
        <v>1</v>
      </c>
      <c r="H5" s="222">
        <f>F5*G5</f>
        <v>8.3178999999999998</v>
      </c>
      <c r="I5" s="663"/>
      <c r="J5" s="19">
        <v>40</v>
      </c>
      <c r="K5" s="20">
        <v>20</v>
      </c>
      <c r="L5" s="21">
        <v>2</v>
      </c>
      <c r="M5" s="22">
        <f t="shared" si="0"/>
        <v>1.7470000000000001</v>
      </c>
    </row>
    <row r="6" spans="1:16" ht="18" customHeight="1">
      <c r="B6" s="669"/>
      <c r="C6" s="17" t="s">
        <v>24</v>
      </c>
      <c r="D6" s="17">
        <f>D4-80</f>
        <v>2220</v>
      </c>
      <c r="E6" s="17">
        <f>E4-80</f>
        <v>3720</v>
      </c>
      <c r="F6" s="18">
        <f>D6*E6/10^6</f>
        <v>8.2584</v>
      </c>
      <c r="G6" s="17">
        <v>1</v>
      </c>
      <c r="H6" s="18">
        <f>F6*G6</f>
        <v>8.2584</v>
      </c>
      <c r="I6" s="663"/>
      <c r="J6" s="19">
        <v>40</v>
      </c>
      <c r="K6" s="20">
        <v>20</v>
      </c>
      <c r="L6" s="21">
        <v>2</v>
      </c>
      <c r="M6" s="22">
        <f t="shared" si="0"/>
        <v>1.7470000000000001</v>
      </c>
    </row>
    <row r="7" spans="1:16" ht="18" customHeight="1">
      <c r="B7" s="23" t="s">
        <v>25</v>
      </c>
      <c r="C7" s="252" t="s">
        <v>16</v>
      </c>
      <c r="D7" s="252" t="s">
        <v>26</v>
      </c>
      <c r="E7" s="252" t="s">
        <v>17</v>
      </c>
      <c r="F7" s="252" t="s">
        <v>27</v>
      </c>
      <c r="G7" s="252" t="s">
        <v>22</v>
      </c>
      <c r="H7" s="252" t="s">
        <v>28</v>
      </c>
      <c r="I7" s="25" t="s">
        <v>29</v>
      </c>
      <c r="J7" s="19">
        <v>80</v>
      </c>
      <c r="K7" s="20">
        <v>40</v>
      </c>
      <c r="L7" s="21">
        <v>2</v>
      </c>
      <c r="M7" s="22">
        <f t="shared" si="0"/>
        <v>3.6190000000000002</v>
      </c>
    </row>
    <row r="8" spans="1:16" ht="18" customHeight="1">
      <c r="B8" s="251" t="s">
        <v>30</v>
      </c>
      <c r="C8" s="27">
        <f>D4-30</f>
        <v>2270</v>
      </c>
      <c r="D8" s="27">
        <v>2</v>
      </c>
      <c r="E8" s="27">
        <f>E4-30</f>
        <v>3770</v>
      </c>
      <c r="F8" s="27">
        <v>2</v>
      </c>
      <c r="G8" s="28">
        <v>1.7470000000000001</v>
      </c>
      <c r="H8" s="29">
        <f>材料价格!B3</f>
        <v>7.5</v>
      </c>
      <c r="I8" s="30">
        <f>ROUND((C8*D8+E8*F8)*G8*H8/1000*1.1,2)</f>
        <v>174.11</v>
      </c>
      <c r="J8" s="19">
        <v>40</v>
      </c>
      <c r="K8" s="20">
        <v>20</v>
      </c>
      <c r="L8" s="21">
        <v>1.4</v>
      </c>
      <c r="M8" s="22">
        <f>ROUND(((J8*K8)-(J8-2*L8)*(K8-2*L8))*2.71/1000,3)</f>
        <v>0.434</v>
      </c>
    </row>
    <row r="9" spans="1:16" ht="18" customHeight="1">
      <c r="B9" s="251" t="s">
        <v>30</v>
      </c>
      <c r="C9" s="250"/>
      <c r="D9" s="250"/>
      <c r="E9" s="250"/>
      <c r="F9" s="250"/>
      <c r="G9" s="28">
        <v>1.7470000000000001</v>
      </c>
      <c r="H9" s="32">
        <f>H8</f>
        <v>7.5</v>
      </c>
      <c r="I9" s="30">
        <f>ROUND((C9*D9+E9*F9)*G9*H9/1000*1.1,2)</f>
        <v>0</v>
      </c>
      <c r="J9" s="19"/>
      <c r="K9" s="20"/>
      <c r="L9" s="21"/>
      <c r="M9" s="22">
        <f t="shared" si="0"/>
        <v>0</v>
      </c>
    </row>
    <row r="10" spans="1:16" ht="18" customHeight="1">
      <c r="B10" s="251" t="s">
        <v>31</v>
      </c>
      <c r="C10" s="250"/>
      <c r="D10" s="250"/>
      <c r="E10" s="250"/>
      <c r="F10" s="250"/>
      <c r="G10" s="28">
        <v>3.6190000000000002</v>
      </c>
      <c r="H10" s="32">
        <f>H9</f>
        <v>7.5</v>
      </c>
      <c r="I10" s="30">
        <f>ROUND((C10*D10+E10*F10)*G10*H10/1000*1.1,2)</f>
        <v>0</v>
      </c>
      <c r="J10" s="19"/>
      <c r="K10" s="20"/>
      <c r="L10" s="12"/>
      <c r="M10" s="22">
        <f t="shared" si="0"/>
        <v>0</v>
      </c>
    </row>
    <row r="11" spans="1:16" ht="18" customHeight="1" thickBot="1">
      <c r="B11" s="251" t="s">
        <v>32</v>
      </c>
      <c r="C11" s="250"/>
      <c r="D11" s="250"/>
      <c r="E11" s="250"/>
      <c r="F11" s="250"/>
      <c r="G11" s="28">
        <v>2.9950000000000001</v>
      </c>
      <c r="H11" s="32">
        <f>H10</f>
        <v>7.5</v>
      </c>
      <c r="I11" s="30">
        <f>ROUND((C11*D11+E11*F11)*G11*H11/1000*1.1,2)</f>
        <v>0</v>
      </c>
      <c r="J11" s="33"/>
      <c r="K11" s="34"/>
      <c r="L11" s="35"/>
      <c r="M11" s="36">
        <f t="shared" si="0"/>
        <v>0</v>
      </c>
    </row>
    <row r="12" spans="1:16" ht="18" customHeight="1">
      <c r="B12" s="37" t="s">
        <v>33</v>
      </c>
      <c r="C12" s="38">
        <f>((I9+I10+I8+I11)/H8)/F4</f>
        <v>3.5280648429584605</v>
      </c>
      <c r="D12" s="39" t="s">
        <v>34</v>
      </c>
      <c r="E12" s="38">
        <f>(I9+I10+I8+I11)/F4</f>
        <v>26.460486322188451</v>
      </c>
      <c r="F12" s="40" t="s">
        <v>35</v>
      </c>
      <c r="G12" s="39"/>
      <c r="H12" s="39">
        <f>ROUND(SUM(I8:I11)/H8,2)</f>
        <v>23.21</v>
      </c>
      <c r="I12" s="41">
        <f>SUM(I8:I11)</f>
        <v>174.11</v>
      </c>
      <c r="J12" s="42"/>
    </row>
    <row r="13" spans="1:16" ht="18" customHeight="1">
      <c r="B13" s="23" t="s">
        <v>36</v>
      </c>
      <c r="C13" s="252" t="s">
        <v>14</v>
      </c>
      <c r="D13" s="252" t="s">
        <v>37</v>
      </c>
      <c r="E13" s="252" t="s">
        <v>38</v>
      </c>
      <c r="F13" s="252" t="s">
        <v>39</v>
      </c>
      <c r="G13" s="252" t="s">
        <v>8</v>
      </c>
      <c r="H13" s="252" t="s">
        <v>22</v>
      </c>
      <c r="I13" s="25" t="s">
        <v>40</v>
      </c>
    </row>
    <row r="14" spans="1:16" ht="18" customHeight="1">
      <c r="B14" s="648" t="s">
        <v>41</v>
      </c>
      <c r="C14" s="649" t="s">
        <v>404</v>
      </c>
      <c r="D14" s="250">
        <f>D6</f>
        <v>2220</v>
      </c>
      <c r="E14" s="250">
        <v>1150</v>
      </c>
      <c r="F14" s="44">
        <f>ROUND((D14+E14)*2/1000,4)</f>
        <v>6.74</v>
      </c>
      <c r="G14" s="250">
        <v>1</v>
      </c>
      <c r="H14" s="250">
        <v>1.47</v>
      </c>
      <c r="I14" s="284">
        <f>ROUND(F14*G14*H14,3)*2</f>
        <v>19.815999999999999</v>
      </c>
      <c r="J14" s="42"/>
      <c r="K14" s="46"/>
      <c r="L14" s="46"/>
      <c r="M14" s="42"/>
    </row>
    <row r="15" spans="1:16" ht="18" customHeight="1">
      <c r="B15" s="648"/>
      <c r="C15" s="650"/>
      <c r="D15" s="250">
        <f>D14</f>
        <v>2220</v>
      </c>
      <c r="E15" s="250">
        <f>E6-E14</f>
        <v>2570</v>
      </c>
      <c r="F15" s="44">
        <f t="shared" ref="F15:F21" si="1">ROUND((D15+E15)*2/1000,4)</f>
        <v>9.58</v>
      </c>
      <c r="G15" s="250">
        <v>1</v>
      </c>
      <c r="H15" s="250">
        <f t="shared" ref="H15:H21" si="2">H14</f>
        <v>1.47</v>
      </c>
      <c r="I15" s="247">
        <f>ROUND(F15*G15*H15,3)</f>
        <v>14.083</v>
      </c>
      <c r="K15" s="47"/>
      <c r="M15" s="255"/>
    </row>
    <row r="16" spans="1:16" ht="18" customHeight="1">
      <c r="B16" s="648"/>
      <c r="C16" s="650"/>
      <c r="D16" s="250"/>
      <c r="E16" s="250"/>
      <c r="F16" s="44">
        <f t="shared" si="1"/>
        <v>0</v>
      </c>
      <c r="G16" s="250"/>
      <c r="H16" s="250">
        <f t="shared" si="2"/>
        <v>1.47</v>
      </c>
      <c r="I16" s="247">
        <f t="shared" ref="I16:I21" si="3">ROUND(F16*G16*H16,3)</f>
        <v>0</v>
      </c>
      <c r="K16" s="47"/>
      <c r="L16" s="46"/>
      <c r="M16" s="42"/>
    </row>
    <row r="17" spans="2:15" ht="18" customHeight="1">
      <c r="B17" s="648"/>
      <c r="C17" s="650"/>
      <c r="D17" s="250"/>
      <c r="E17" s="250"/>
      <c r="F17" s="44">
        <f t="shared" si="1"/>
        <v>0</v>
      </c>
      <c r="G17" s="250"/>
      <c r="H17" s="250">
        <f t="shared" si="2"/>
        <v>1.47</v>
      </c>
      <c r="I17" s="247">
        <f t="shared" si="3"/>
        <v>0</v>
      </c>
      <c r="K17" s="47"/>
      <c r="M17" s="42"/>
    </row>
    <row r="18" spans="2:15" ht="18" customHeight="1">
      <c r="B18" s="648"/>
      <c r="C18" s="650"/>
      <c r="D18" s="250"/>
      <c r="E18" s="250"/>
      <c r="F18" s="44">
        <f t="shared" si="1"/>
        <v>0</v>
      </c>
      <c r="G18" s="250"/>
      <c r="H18" s="250">
        <f t="shared" si="2"/>
        <v>1.47</v>
      </c>
      <c r="I18" s="247">
        <f t="shared" si="3"/>
        <v>0</v>
      </c>
      <c r="M18" s="42"/>
    </row>
    <row r="19" spans="2:15" ht="18" customHeight="1">
      <c r="B19" s="648"/>
      <c r="C19" s="650"/>
      <c r="D19" s="250"/>
      <c r="E19" s="250"/>
      <c r="F19" s="44">
        <f t="shared" si="1"/>
        <v>0</v>
      </c>
      <c r="G19" s="250"/>
      <c r="H19" s="250">
        <f t="shared" si="2"/>
        <v>1.47</v>
      </c>
      <c r="I19" s="247">
        <f t="shared" si="3"/>
        <v>0</v>
      </c>
      <c r="M19" s="42"/>
    </row>
    <row r="20" spans="2:15" ht="18" customHeight="1">
      <c r="B20" s="648"/>
      <c r="C20" s="650"/>
      <c r="D20" s="250"/>
      <c r="E20" s="250"/>
      <c r="F20" s="44">
        <f t="shared" si="1"/>
        <v>0</v>
      </c>
      <c r="G20" s="250"/>
      <c r="H20" s="250">
        <f t="shared" si="2"/>
        <v>1.47</v>
      </c>
      <c r="I20" s="247">
        <f t="shared" si="3"/>
        <v>0</v>
      </c>
      <c r="K20" s="47"/>
      <c r="M20" s="42"/>
    </row>
    <row r="21" spans="2:15" ht="18" customHeight="1">
      <c r="B21" s="648"/>
      <c r="C21" s="651"/>
      <c r="D21" s="250"/>
      <c r="E21" s="250"/>
      <c r="F21" s="44">
        <f t="shared" si="1"/>
        <v>0</v>
      </c>
      <c r="G21" s="250"/>
      <c r="H21" s="250">
        <f t="shared" si="2"/>
        <v>1.47</v>
      </c>
      <c r="I21" s="247">
        <f t="shared" si="3"/>
        <v>0</v>
      </c>
    </row>
    <row r="22" spans="2:15" ht="18" customHeight="1">
      <c r="B22" s="48" t="s">
        <v>42</v>
      </c>
      <c r="C22" s="49">
        <f>SUMPRODUCT(F14:F21*G14:G21)</f>
        <v>16.32</v>
      </c>
      <c r="D22" s="50" t="s">
        <v>43</v>
      </c>
      <c r="E22" s="49">
        <f>SUM(I14:I21)*1.1</f>
        <v>37.288900000000005</v>
      </c>
      <c r="F22" s="50" t="s">
        <v>44</v>
      </c>
      <c r="G22" s="51">
        <f>(C$218+C$219)/1000</f>
        <v>46.081499999999998</v>
      </c>
      <c r="H22" s="52" t="s">
        <v>45</v>
      </c>
      <c r="I22" s="53">
        <f>ROUND(E22*G22,2)</f>
        <v>1718.33</v>
      </c>
      <c r="J22" s="243">
        <f>SUM(G14:G21)</f>
        <v>2</v>
      </c>
    </row>
    <row r="23" spans="2:15" ht="18" customHeight="1">
      <c r="B23" s="48" t="s">
        <v>46</v>
      </c>
      <c r="C23" s="50">
        <v>207.36</v>
      </c>
      <c r="D23" s="50" t="s">
        <v>47</v>
      </c>
      <c r="E23" s="49">
        <f>ROUND(C22*(C23/1000),2)</f>
        <v>3.38</v>
      </c>
      <c r="F23" s="50" t="s">
        <v>48</v>
      </c>
      <c r="G23" s="50">
        <v>10</v>
      </c>
      <c r="H23" s="52" t="s">
        <v>49</v>
      </c>
      <c r="I23" s="53">
        <f>E23*G23</f>
        <v>33.799999999999997</v>
      </c>
    </row>
    <row r="24" spans="2:15" ht="18" customHeight="1" thickBot="1">
      <c r="B24" s="48" t="s">
        <v>50</v>
      </c>
      <c r="C24" s="50">
        <v>169.96</v>
      </c>
      <c r="D24" s="50" t="s">
        <v>51</v>
      </c>
      <c r="E24" s="49">
        <f>ROUND(C22*(C24/1000),2)</f>
        <v>2.77</v>
      </c>
      <c r="F24" s="50" t="s">
        <v>48</v>
      </c>
      <c r="G24" s="50">
        <v>10</v>
      </c>
      <c r="H24" s="52" t="s">
        <v>49</v>
      </c>
      <c r="I24" s="53">
        <f>E24*G24</f>
        <v>27.7</v>
      </c>
    </row>
    <row r="25" spans="2:15" ht="18" customHeight="1">
      <c r="B25" s="23" t="s">
        <v>36</v>
      </c>
      <c r="C25" s="252" t="s">
        <v>14</v>
      </c>
      <c r="D25" s="252" t="s">
        <v>37</v>
      </c>
      <c r="E25" s="252" t="s">
        <v>38</v>
      </c>
      <c r="F25" s="252" t="s">
        <v>39</v>
      </c>
      <c r="G25" s="252" t="s">
        <v>8</v>
      </c>
      <c r="H25" s="252" t="s">
        <v>22</v>
      </c>
      <c r="I25" s="25" t="s">
        <v>40</v>
      </c>
      <c r="J25" s="54" t="s">
        <v>2</v>
      </c>
      <c r="K25" s="55" t="s">
        <v>3</v>
      </c>
      <c r="L25" s="55" t="s">
        <v>52</v>
      </c>
      <c r="M25" s="55" t="s">
        <v>53</v>
      </c>
      <c r="N25" s="56" t="s">
        <v>14</v>
      </c>
    </row>
    <row r="26" spans="2:15" ht="18" customHeight="1">
      <c r="B26" s="648" t="s">
        <v>54</v>
      </c>
      <c r="C26" s="649" t="s">
        <v>55</v>
      </c>
      <c r="D26" s="253">
        <f>J26-IF(L26=1,44,IF(L26=2,30,IF(L26=3,16,0)))</f>
        <v>0</v>
      </c>
      <c r="E26" s="253">
        <f>K26-IF(M26=1,44,IF(M26=2,30,IF(M26=3,16,0)))</f>
        <v>0</v>
      </c>
      <c r="F26" s="44">
        <f>ROUND((D26+E26)*2/1000,4)</f>
        <v>0</v>
      </c>
      <c r="G26" s="250"/>
      <c r="H26" s="58">
        <v>1.62</v>
      </c>
      <c r="I26" s="59">
        <f>IF(AND(D26&gt;0,E26&gt;0,F26&gt;0),F26*G26*H26,0)</f>
        <v>0</v>
      </c>
      <c r="J26" s="60"/>
      <c r="K26" s="61"/>
      <c r="L26" s="61"/>
      <c r="M26" s="61"/>
      <c r="N26" s="62" t="s">
        <v>56</v>
      </c>
      <c r="O26" s="63" t="s">
        <v>57</v>
      </c>
    </row>
    <row r="27" spans="2:15" ht="18" customHeight="1">
      <c r="B27" s="648"/>
      <c r="C27" s="650"/>
      <c r="D27" s="253">
        <f t="shared" ref="D27:E30" si="4">J27-IF(L27=1,44,IF(L27=2,30,IF(L27=3,16,0)))</f>
        <v>0</v>
      </c>
      <c r="E27" s="253">
        <f t="shared" si="4"/>
        <v>0</v>
      </c>
      <c r="F27" s="44">
        <f>ROUND((D27+E27)*2/1000,4)</f>
        <v>0</v>
      </c>
      <c r="G27" s="250"/>
      <c r="H27" s="58">
        <f>H26</f>
        <v>1.62</v>
      </c>
      <c r="I27" s="59">
        <f>IF(AND(D27&gt;0,E27&gt;0,F27&gt;0),F27*G27*H27,0)</f>
        <v>0</v>
      </c>
      <c r="J27" s="60"/>
      <c r="K27" s="61"/>
      <c r="L27" s="61"/>
      <c r="M27" s="61"/>
      <c r="N27" s="62" t="s">
        <v>58</v>
      </c>
      <c r="O27" s="63" t="s">
        <v>59</v>
      </c>
    </row>
    <row r="28" spans="2:15" ht="18" customHeight="1">
      <c r="B28" s="648"/>
      <c r="C28" s="650"/>
      <c r="D28" s="253">
        <f t="shared" si="4"/>
        <v>0</v>
      </c>
      <c r="E28" s="253">
        <f t="shared" si="4"/>
        <v>0</v>
      </c>
      <c r="F28" s="44">
        <f>ROUND((D28+E28)*2/1000,4)</f>
        <v>0</v>
      </c>
      <c r="G28" s="250"/>
      <c r="H28" s="58">
        <f>H27</f>
        <v>1.62</v>
      </c>
      <c r="I28" s="59">
        <f>IF(AND(D28&gt;0,E28&gt;0,F28&gt;0),F28*G28*H28,0)</f>
        <v>0</v>
      </c>
      <c r="J28" s="60"/>
      <c r="K28" s="61"/>
      <c r="L28" s="61"/>
      <c r="M28" s="61"/>
      <c r="N28" s="62" t="s">
        <v>60</v>
      </c>
      <c r="O28" s="63" t="s">
        <v>59</v>
      </c>
    </row>
    <row r="29" spans="2:15" ht="18" customHeight="1">
      <c r="B29" s="648"/>
      <c r="C29" s="650"/>
      <c r="D29" s="253">
        <f t="shared" si="4"/>
        <v>0</v>
      </c>
      <c r="E29" s="253">
        <f t="shared" si="4"/>
        <v>0</v>
      </c>
      <c r="F29" s="44">
        <f>ROUND((D29+E29)*2/1000,4)</f>
        <v>0</v>
      </c>
      <c r="G29" s="250"/>
      <c r="H29" s="58">
        <f>H28</f>
        <v>1.62</v>
      </c>
      <c r="I29" s="59">
        <f>IF(AND(D29&gt;0,E29&gt;0,F29&gt;0),F29*G29*H29,0)</f>
        <v>0</v>
      </c>
      <c r="J29" s="60"/>
      <c r="K29" s="61"/>
      <c r="L29" s="61"/>
      <c r="M29" s="61"/>
      <c r="N29" s="62"/>
    </row>
    <row r="30" spans="2:15" ht="18" customHeight="1" thickBot="1">
      <c r="B30" s="648"/>
      <c r="C30" s="651"/>
      <c r="D30" s="253">
        <f t="shared" si="4"/>
        <v>0</v>
      </c>
      <c r="E30" s="253">
        <f t="shared" si="4"/>
        <v>0</v>
      </c>
      <c r="F30" s="44">
        <f>ROUND((D30+E30)*2/1000,4)</f>
        <v>0</v>
      </c>
      <c r="G30" s="250"/>
      <c r="H30" s="58">
        <f>H29</f>
        <v>1.62</v>
      </c>
      <c r="I30" s="59">
        <f>IF(AND(D30&gt;0,E30&gt;0,F30&gt;0),F30*G30*H30,0)</f>
        <v>0</v>
      </c>
      <c r="J30" s="64"/>
      <c r="K30" s="65"/>
      <c r="L30" s="65"/>
      <c r="M30" s="65"/>
      <c r="N30" s="66"/>
    </row>
    <row r="31" spans="2:15" ht="18" customHeight="1">
      <c r="B31" s="48" t="s">
        <v>42</v>
      </c>
      <c r="C31" s="49">
        <f>SUMPRODUCT(F26:F30*G26:G30)</f>
        <v>0</v>
      </c>
      <c r="D31" s="50" t="s">
        <v>43</v>
      </c>
      <c r="E31" s="49">
        <f>SUM(I26:I30)*1.1</f>
        <v>0</v>
      </c>
      <c r="F31" s="50" t="s">
        <v>44</v>
      </c>
      <c r="G31" s="51">
        <f>(C$218+C$221)/1000</f>
        <v>46.081499999999998</v>
      </c>
      <c r="H31" s="52" t="s">
        <v>45</v>
      </c>
      <c r="I31" s="53">
        <f>ROUND(E31*G31,2)</f>
        <v>0</v>
      </c>
      <c r="J31" s="243">
        <f>SUM(G26:G30)</f>
        <v>0</v>
      </c>
    </row>
    <row r="32" spans="2:15" ht="18" customHeight="1">
      <c r="B32" s="48" t="s">
        <v>46</v>
      </c>
      <c r="C32" s="50">
        <v>183.32</v>
      </c>
      <c r="D32" s="50" t="s">
        <v>47</v>
      </c>
      <c r="E32" s="49">
        <f>ROUND(C31*(C32/1000),2)</f>
        <v>0</v>
      </c>
      <c r="F32" s="50" t="s">
        <v>48</v>
      </c>
      <c r="G32" s="50">
        <f>G$23</f>
        <v>10</v>
      </c>
      <c r="H32" s="52" t="s">
        <v>49</v>
      </c>
      <c r="I32" s="53">
        <f>E32*G32</f>
        <v>0</v>
      </c>
    </row>
    <row r="33" spans="2:14" ht="18" customHeight="1" thickBot="1">
      <c r="B33" s="48" t="s">
        <v>50</v>
      </c>
      <c r="C33" s="50">
        <v>257.82</v>
      </c>
      <c r="D33" s="50" t="s">
        <v>51</v>
      </c>
      <c r="E33" s="49">
        <f>ROUND(C31*(C33/1000),2)</f>
        <v>0</v>
      </c>
      <c r="F33" s="50" t="s">
        <v>48</v>
      </c>
      <c r="G33" s="50">
        <f>G$24</f>
        <v>10</v>
      </c>
      <c r="H33" s="52" t="s">
        <v>49</v>
      </c>
      <c r="I33" s="53">
        <f>E33*G33</f>
        <v>0</v>
      </c>
    </row>
    <row r="34" spans="2:14" ht="18" customHeight="1" thickBot="1">
      <c r="B34" s="67" t="s">
        <v>36</v>
      </c>
      <c r="C34" s="68" t="s">
        <v>14</v>
      </c>
      <c r="D34" s="68" t="s">
        <v>37</v>
      </c>
      <c r="E34" s="68" t="s">
        <v>38</v>
      </c>
      <c r="F34" s="68" t="s">
        <v>39</v>
      </c>
      <c r="G34" s="68" t="s">
        <v>8</v>
      </c>
      <c r="H34" s="68" t="s">
        <v>22</v>
      </c>
      <c r="I34" s="69" t="s">
        <v>40</v>
      </c>
      <c r="J34" s="54" t="s">
        <v>2</v>
      </c>
      <c r="K34" s="55" t="s">
        <v>3</v>
      </c>
      <c r="L34" s="55" t="s">
        <v>61</v>
      </c>
      <c r="M34" s="55" t="s">
        <v>62</v>
      </c>
      <c r="N34" s="70" t="s">
        <v>14</v>
      </c>
    </row>
    <row r="35" spans="2:14" ht="18" customHeight="1">
      <c r="B35" s="648" t="s">
        <v>63</v>
      </c>
      <c r="C35" s="649" t="s">
        <v>64</v>
      </c>
      <c r="D35" s="253">
        <f t="shared" ref="D35:E37" si="5">J35-IF(L35=1,44,IF(L35=2,30,IF(L35=3,16,IF(L35=11,118,IF(L35=12,100,IF(L35=13,76.8,0))))))</f>
        <v>0</v>
      </c>
      <c r="E35" s="253">
        <f t="shared" si="5"/>
        <v>0</v>
      </c>
      <c r="F35" s="250">
        <f>ROUND((D35+E35)*2/1000,4)</f>
        <v>0</v>
      </c>
      <c r="G35" s="250"/>
      <c r="H35" s="58">
        <v>1.8140000000000001</v>
      </c>
      <c r="I35" s="59">
        <f>ROUND(F35*G35*H35,3)</f>
        <v>0</v>
      </c>
      <c r="J35" s="60"/>
      <c r="K35" s="61"/>
      <c r="L35" s="61"/>
      <c r="M35" s="61"/>
      <c r="N35" s="71" t="s">
        <v>56</v>
      </c>
    </row>
    <row r="36" spans="2:14" ht="18" customHeight="1">
      <c r="B36" s="660"/>
      <c r="C36" s="650"/>
      <c r="D36" s="253">
        <f t="shared" si="5"/>
        <v>0</v>
      </c>
      <c r="E36" s="253">
        <f t="shared" si="5"/>
        <v>0</v>
      </c>
      <c r="F36" s="250">
        <f>ROUND((D36+E36)*2/1000,4)</f>
        <v>0</v>
      </c>
      <c r="G36" s="250"/>
      <c r="H36" s="58">
        <f>H35</f>
        <v>1.8140000000000001</v>
      </c>
      <c r="I36" s="59">
        <f>ROUND(F36*G36*H36,3)</f>
        <v>0</v>
      </c>
      <c r="J36" s="60"/>
      <c r="K36" s="61"/>
      <c r="L36" s="61"/>
      <c r="M36" s="61"/>
      <c r="N36" s="72" t="s">
        <v>58</v>
      </c>
    </row>
    <row r="37" spans="2:14" ht="18" customHeight="1">
      <c r="B37" s="660"/>
      <c r="C37" s="651"/>
      <c r="D37" s="253">
        <f t="shared" si="5"/>
        <v>0</v>
      </c>
      <c r="E37" s="253">
        <f t="shared" si="5"/>
        <v>0</v>
      </c>
      <c r="F37" s="250">
        <f>ROUND((D37+E37)*2/1000,4)</f>
        <v>0</v>
      </c>
      <c r="G37" s="250"/>
      <c r="H37" s="58">
        <f>H36</f>
        <v>1.8140000000000001</v>
      </c>
      <c r="I37" s="59">
        <f>ROUND(F37*G37*H37,3)</f>
        <v>0</v>
      </c>
      <c r="J37" s="60"/>
      <c r="K37" s="61"/>
      <c r="L37" s="61"/>
      <c r="M37" s="61"/>
      <c r="N37" s="72" t="s">
        <v>60</v>
      </c>
    </row>
    <row r="38" spans="2:14" ht="18" customHeight="1">
      <c r="B38" s="48" t="s">
        <v>42</v>
      </c>
      <c r="C38" s="49">
        <f>SUMPRODUCT(F35:F37*G35:G37)</f>
        <v>0</v>
      </c>
      <c r="D38" s="50" t="s">
        <v>43</v>
      </c>
      <c r="E38" s="49">
        <f>SUM(I35:I37)*1.1</f>
        <v>0</v>
      </c>
      <c r="F38" s="50" t="s">
        <v>44</v>
      </c>
      <c r="G38" s="51">
        <f>(C$218+C$219)/1000</f>
        <v>46.081499999999998</v>
      </c>
      <c r="H38" s="52" t="s">
        <v>45</v>
      </c>
      <c r="I38" s="53">
        <f>ROUND(E38*G38,2)</f>
        <v>0</v>
      </c>
      <c r="J38" s="243">
        <f>SUM(G35:G37)</f>
        <v>0</v>
      </c>
      <c r="K38" s="255"/>
      <c r="L38" s="255"/>
      <c r="M38" s="255"/>
      <c r="N38" s="73" t="s">
        <v>65</v>
      </c>
    </row>
    <row r="39" spans="2:14" ht="18" customHeight="1">
      <c r="B39" s="48" t="s">
        <v>46</v>
      </c>
      <c r="C39" s="50">
        <v>320.14</v>
      </c>
      <c r="D39" s="50" t="s">
        <v>47</v>
      </c>
      <c r="E39" s="49">
        <f>ROUND(C38*(C39/1000),2)</f>
        <v>0</v>
      </c>
      <c r="F39" s="50" t="s">
        <v>48</v>
      </c>
      <c r="G39" s="50">
        <f>G$23</f>
        <v>10</v>
      </c>
      <c r="H39" s="52" t="s">
        <v>49</v>
      </c>
      <c r="I39" s="53">
        <f>E39*G39</f>
        <v>0</v>
      </c>
      <c r="J39" s="255"/>
      <c r="K39" s="255"/>
      <c r="L39" s="255"/>
      <c r="M39" s="255"/>
      <c r="N39" s="73" t="s">
        <v>66</v>
      </c>
    </row>
    <row r="40" spans="2:14" ht="18" customHeight="1" thickBot="1">
      <c r="B40" s="48" t="s">
        <v>50</v>
      </c>
      <c r="C40" s="50">
        <v>156.99</v>
      </c>
      <c r="D40" s="50" t="s">
        <v>51</v>
      </c>
      <c r="E40" s="49">
        <f>ROUND(C38*(C40/1000),2)</f>
        <v>0</v>
      </c>
      <c r="F40" s="50" t="s">
        <v>48</v>
      </c>
      <c r="G40" s="50">
        <f>G$24</f>
        <v>10</v>
      </c>
      <c r="H40" s="52" t="s">
        <v>49</v>
      </c>
      <c r="I40" s="53">
        <f>E40*G40</f>
        <v>0</v>
      </c>
      <c r="J40" s="255"/>
      <c r="K40" s="255"/>
      <c r="L40" s="255"/>
      <c r="M40" s="255"/>
      <c r="N40" s="74" t="s">
        <v>67</v>
      </c>
    </row>
    <row r="41" spans="2:14" ht="18" customHeight="1" thickBot="1">
      <c r="B41" s="23" t="s">
        <v>36</v>
      </c>
      <c r="C41" s="252" t="s">
        <v>14</v>
      </c>
      <c r="D41" s="252" t="s">
        <v>37</v>
      </c>
      <c r="E41" s="252" t="s">
        <v>38</v>
      </c>
      <c r="F41" s="252" t="s">
        <v>39</v>
      </c>
      <c r="G41" s="252" t="s">
        <v>8</v>
      </c>
      <c r="H41" s="252" t="s">
        <v>22</v>
      </c>
      <c r="I41" s="25" t="s">
        <v>40</v>
      </c>
      <c r="J41" s="54" t="s">
        <v>2</v>
      </c>
      <c r="K41" s="55" t="s">
        <v>3</v>
      </c>
      <c r="L41" s="55" t="s">
        <v>61</v>
      </c>
      <c r="M41" s="55" t="s">
        <v>62</v>
      </c>
      <c r="N41" s="70" t="s">
        <v>14</v>
      </c>
    </row>
    <row r="42" spans="2:14" ht="18" customHeight="1">
      <c r="B42" s="648" t="s">
        <v>68</v>
      </c>
      <c r="C42" s="649" t="s">
        <v>69</v>
      </c>
      <c r="D42" s="253">
        <f>J42-IF(L42=1,46,IF(L42=2,34.5,IF(L42=3,23)))</f>
        <v>0</v>
      </c>
      <c r="E42" s="253">
        <f>K42-IF(M42=1,46,IF(M42=2,34.5,IF(M42=3,23)))</f>
        <v>0</v>
      </c>
      <c r="F42" s="250">
        <f t="shared" ref="F42:F47" si="6">ROUND((D42+E42)*2/1000,4)</f>
        <v>0</v>
      </c>
      <c r="G42" s="250">
        <f>G35</f>
        <v>0</v>
      </c>
      <c r="H42" s="250">
        <v>1.26</v>
      </c>
      <c r="I42" s="59">
        <f t="shared" ref="I42:I47" si="7">ROUND(F42*G42*H42,3)</f>
        <v>0</v>
      </c>
      <c r="J42" s="60">
        <f>J35</f>
        <v>0</v>
      </c>
      <c r="K42" s="61">
        <f>K35</f>
        <v>0</v>
      </c>
      <c r="L42" s="61"/>
      <c r="M42" s="61"/>
      <c r="N42" s="71" t="s">
        <v>56</v>
      </c>
    </row>
    <row r="43" spans="2:14" ht="18" customHeight="1">
      <c r="B43" s="648"/>
      <c r="C43" s="650"/>
      <c r="D43" s="253">
        <f t="shared" ref="D43:E47" si="8">J43-IF(L43=1,46,IF(L43=2,34.5,IF(L43=3,23)))</f>
        <v>0</v>
      </c>
      <c r="E43" s="253">
        <f t="shared" si="8"/>
        <v>0</v>
      </c>
      <c r="F43" s="250">
        <f t="shared" si="6"/>
        <v>0</v>
      </c>
      <c r="G43" s="250"/>
      <c r="H43" s="250">
        <f>H42</f>
        <v>1.26</v>
      </c>
      <c r="I43" s="59">
        <f t="shared" si="7"/>
        <v>0</v>
      </c>
      <c r="J43" s="60"/>
      <c r="K43" s="61"/>
      <c r="L43" s="61"/>
      <c r="M43" s="61"/>
      <c r="N43" s="72" t="s">
        <v>58</v>
      </c>
    </row>
    <row r="44" spans="2:14" ht="18" customHeight="1">
      <c r="B44" s="648"/>
      <c r="C44" s="651"/>
      <c r="D44" s="253">
        <f t="shared" si="8"/>
        <v>0</v>
      </c>
      <c r="E44" s="253">
        <f t="shared" si="8"/>
        <v>0</v>
      </c>
      <c r="F44" s="250">
        <f t="shared" si="6"/>
        <v>0</v>
      </c>
      <c r="G44" s="250"/>
      <c r="H44" s="250">
        <f>H43</f>
        <v>1.26</v>
      </c>
      <c r="I44" s="59">
        <f t="shared" si="7"/>
        <v>0</v>
      </c>
      <c r="J44" s="60"/>
      <c r="K44" s="61"/>
      <c r="L44" s="61"/>
      <c r="M44" s="61"/>
      <c r="N44" s="72" t="s">
        <v>60</v>
      </c>
    </row>
    <row r="45" spans="2:14" ht="18" customHeight="1">
      <c r="B45" s="648"/>
      <c r="C45" s="649" t="s">
        <v>70</v>
      </c>
      <c r="D45" s="253">
        <f t="shared" si="8"/>
        <v>0</v>
      </c>
      <c r="E45" s="253">
        <f t="shared" si="8"/>
        <v>0</v>
      </c>
      <c r="F45" s="250">
        <f t="shared" si="6"/>
        <v>0</v>
      </c>
      <c r="G45" s="250"/>
      <c r="H45" s="250">
        <f>H44</f>
        <v>1.26</v>
      </c>
      <c r="I45" s="59">
        <f t="shared" si="7"/>
        <v>0</v>
      </c>
      <c r="J45" s="60"/>
      <c r="K45" s="61"/>
      <c r="L45" s="61"/>
      <c r="M45" s="61"/>
      <c r="N45" s="71" t="s">
        <v>56</v>
      </c>
    </row>
    <row r="46" spans="2:14" ht="18" customHeight="1">
      <c r="B46" s="648"/>
      <c r="C46" s="650"/>
      <c r="D46" s="253">
        <f t="shared" si="8"/>
        <v>0</v>
      </c>
      <c r="E46" s="253">
        <f t="shared" si="8"/>
        <v>0</v>
      </c>
      <c r="F46" s="250">
        <f t="shared" si="6"/>
        <v>0</v>
      </c>
      <c r="G46" s="250"/>
      <c r="H46" s="250">
        <f>H45</f>
        <v>1.26</v>
      </c>
      <c r="I46" s="59">
        <f t="shared" si="7"/>
        <v>0</v>
      </c>
      <c r="J46" s="60"/>
      <c r="K46" s="61"/>
      <c r="L46" s="61"/>
      <c r="M46" s="61"/>
      <c r="N46" s="72" t="s">
        <v>58</v>
      </c>
    </row>
    <row r="47" spans="2:14" ht="18" customHeight="1" thickBot="1">
      <c r="B47" s="648"/>
      <c r="C47" s="651"/>
      <c r="D47" s="253">
        <f t="shared" si="8"/>
        <v>0</v>
      </c>
      <c r="E47" s="253">
        <f t="shared" si="8"/>
        <v>0</v>
      </c>
      <c r="F47" s="250">
        <f t="shared" si="6"/>
        <v>0</v>
      </c>
      <c r="G47" s="250"/>
      <c r="H47" s="250">
        <f>H46</f>
        <v>1.26</v>
      </c>
      <c r="I47" s="59">
        <f t="shared" si="7"/>
        <v>0</v>
      </c>
      <c r="J47" s="64"/>
      <c r="K47" s="65"/>
      <c r="L47" s="65"/>
      <c r="M47" s="65"/>
      <c r="N47" s="75" t="s">
        <v>60</v>
      </c>
    </row>
    <row r="48" spans="2:14" ht="18" customHeight="1">
      <c r="B48" s="48" t="s">
        <v>42</v>
      </c>
      <c r="C48" s="49">
        <f>SUMPRODUCT(F42:F47*G42:G47)</f>
        <v>0</v>
      </c>
      <c r="D48" s="50" t="s">
        <v>43</v>
      </c>
      <c r="E48" s="49">
        <f>SUM(I42:I47)*1.1</f>
        <v>0</v>
      </c>
      <c r="F48" s="50" t="s">
        <v>44</v>
      </c>
      <c r="G48" s="51">
        <f>(C$218+C$219)/1000</f>
        <v>46.081499999999998</v>
      </c>
      <c r="H48" s="52" t="s">
        <v>45</v>
      </c>
      <c r="I48" s="53">
        <f>ROUND(E48*G48,2)</f>
        <v>0</v>
      </c>
      <c r="J48" s="243">
        <f>SUM(G42:G47)</f>
        <v>0</v>
      </c>
      <c r="K48" s="255"/>
      <c r="L48" s="255"/>
      <c r="M48" s="255"/>
    </row>
    <row r="49" spans="2:14" ht="18" customHeight="1">
      <c r="B49" s="48" t="s">
        <v>46</v>
      </c>
      <c r="C49" s="50">
        <v>132.47999999999999</v>
      </c>
      <c r="D49" s="50" t="s">
        <v>47</v>
      </c>
      <c r="E49" s="49">
        <f>ROUND(C48*(C49/1000),2)</f>
        <v>0</v>
      </c>
      <c r="F49" s="50" t="s">
        <v>48</v>
      </c>
      <c r="G49" s="50">
        <f>G$23</f>
        <v>10</v>
      </c>
      <c r="H49" s="52" t="s">
        <v>49</v>
      </c>
      <c r="I49" s="53">
        <f>E49*G49</f>
        <v>0</v>
      </c>
      <c r="J49" s="255"/>
      <c r="K49" s="255"/>
      <c r="L49" s="255"/>
      <c r="M49" s="255"/>
    </row>
    <row r="50" spans="2:14" ht="18" customHeight="1" thickBot="1">
      <c r="B50" s="48" t="s">
        <v>50</v>
      </c>
      <c r="C50" s="50">
        <v>202.06</v>
      </c>
      <c r="D50" s="50" t="s">
        <v>51</v>
      </c>
      <c r="E50" s="49">
        <f>ROUND(C48*(C50/1000),2)</f>
        <v>0</v>
      </c>
      <c r="F50" s="50" t="s">
        <v>48</v>
      </c>
      <c r="G50" s="50">
        <f>G$24</f>
        <v>10</v>
      </c>
      <c r="H50" s="52" t="s">
        <v>49</v>
      </c>
      <c r="I50" s="53">
        <f>E50*G50</f>
        <v>0</v>
      </c>
      <c r="J50" s="255"/>
    </row>
    <row r="51" spans="2:14" ht="18" customHeight="1" thickBot="1">
      <c r="B51" s="23" t="s">
        <v>36</v>
      </c>
      <c r="C51" s="252" t="s">
        <v>14</v>
      </c>
      <c r="D51" s="252" t="s">
        <v>37</v>
      </c>
      <c r="E51" s="252" t="s">
        <v>71</v>
      </c>
      <c r="F51" s="252" t="s">
        <v>38</v>
      </c>
      <c r="G51" s="252" t="s">
        <v>72</v>
      </c>
      <c r="H51" s="252" t="s">
        <v>22</v>
      </c>
      <c r="I51" s="25" t="s">
        <v>40</v>
      </c>
      <c r="J51" s="54" t="s">
        <v>2</v>
      </c>
      <c r="K51" s="55" t="s">
        <v>3</v>
      </c>
      <c r="L51" s="55" t="s">
        <v>61</v>
      </c>
      <c r="M51" s="55" t="s">
        <v>62</v>
      </c>
      <c r="N51" s="70" t="s">
        <v>14</v>
      </c>
    </row>
    <row r="52" spans="2:14" ht="18" customHeight="1">
      <c r="B52" s="648" t="s">
        <v>73</v>
      </c>
      <c r="C52" s="649" t="s">
        <v>405</v>
      </c>
      <c r="D52" s="253">
        <f>J52-IF(L52=1,46,IF(L52=2,32,IF(L52=3,18,0)))</f>
        <v>1078</v>
      </c>
      <c r="E52" s="253">
        <v>4</v>
      </c>
      <c r="F52" s="253">
        <f>K52-IF(M52=1,46,IF(M52=2,32,IF(M52=3,118,0)))</f>
        <v>0</v>
      </c>
      <c r="G52" s="250"/>
      <c r="H52" s="250">
        <v>1.6379999999999999</v>
      </c>
      <c r="I52" s="59">
        <f>ROUND((D52*E52+F52*G52)/1000*H52,3)</f>
        <v>7.0629999999999997</v>
      </c>
      <c r="J52" s="60">
        <f>D15/2</f>
        <v>1110</v>
      </c>
      <c r="K52" s="61"/>
      <c r="L52" s="61">
        <v>2</v>
      </c>
      <c r="M52" s="61"/>
      <c r="N52" s="76" t="s">
        <v>56</v>
      </c>
    </row>
    <row r="53" spans="2:14" ht="18" customHeight="1">
      <c r="B53" s="648"/>
      <c r="C53" s="650"/>
      <c r="D53" s="253">
        <f t="shared" ref="D53:D55" si="9">J53-IF(L53=1,46,IF(L53=2,32,IF(L53=3,18,0)))</f>
        <v>0</v>
      </c>
      <c r="E53" s="253"/>
      <c r="F53" s="253">
        <f t="shared" ref="F53:F55" si="10">K53-IF(M53=1,46,IF(M53=2,32,IF(M53=3,118,0)))</f>
        <v>0</v>
      </c>
      <c r="G53" s="250"/>
      <c r="H53" s="250">
        <f>H52</f>
        <v>1.6379999999999999</v>
      </c>
      <c r="I53" s="59">
        <f>ROUND((D53*E53+F53*G53)/1000*H53,3)</f>
        <v>0</v>
      </c>
      <c r="J53" s="60"/>
      <c r="K53" s="61"/>
      <c r="L53" s="61"/>
      <c r="M53" s="61"/>
      <c r="N53" s="76" t="s">
        <v>58</v>
      </c>
    </row>
    <row r="54" spans="2:14" ht="18" customHeight="1">
      <c r="B54" s="648"/>
      <c r="C54" s="650"/>
      <c r="D54" s="253">
        <f t="shared" si="9"/>
        <v>0</v>
      </c>
      <c r="E54" s="253"/>
      <c r="F54" s="253">
        <f t="shared" si="10"/>
        <v>0</v>
      </c>
      <c r="G54" s="250"/>
      <c r="H54" s="250">
        <f>H53</f>
        <v>1.6379999999999999</v>
      </c>
      <c r="I54" s="59">
        <f>ROUND((D54*E54+F54*G54)/1000*H54,3)</f>
        <v>0</v>
      </c>
      <c r="J54" s="60"/>
      <c r="K54" s="61"/>
      <c r="L54" s="61"/>
      <c r="M54" s="61"/>
      <c r="N54" s="76" t="s">
        <v>60</v>
      </c>
    </row>
    <row r="55" spans="2:14" ht="18" customHeight="1" thickBot="1">
      <c r="B55" s="648"/>
      <c r="C55" s="651"/>
      <c r="D55" s="253">
        <f t="shared" si="9"/>
        <v>0</v>
      </c>
      <c r="E55" s="253"/>
      <c r="F55" s="253">
        <f t="shared" si="10"/>
        <v>0</v>
      </c>
      <c r="G55" s="250"/>
      <c r="H55" s="77">
        <f>H54</f>
        <v>1.6379999999999999</v>
      </c>
      <c r="I55" s="59">
        <f>ROUND((D55*E55+F55*G55)/1000*H55,3)</f>
        <v>0</v>
      </c>
      <c r="J55" s="78"/>
      <c r="K55" s="79"/>
      <c r="L55" s="79"/>
      <c r="M55" s="79"/>
      <c r="N55" s="80"/>
    </row>
    <row r="56" spans="2:14" ht="18" customHeight="1">
      <c r="B56" s="48" t="s">
        <v>42</v>
      </c>
      <c r="C56" s="49">
        <f>SUMPRODUCT(D52:D55*E52:E55+F52:F55*G52:G55)/1000</f>
        <v>4.3120000000000003</v>
      </c>
      <c r="D56" s="50" t="s">
        <v>43</v>
      </c>
      <c r="E56" s="49">
        <f>SUM(I52:I55)*1.1</f>
        <v>7.7693000000000003</v>
      </c>
      <c r="F56" s="50" t="s">
        <v>44</v>
      </c>
      <c r="G56" s="51">
        <f>(C$218+C$219)/1000</f>
        <v>46.081499999999998</v>
      </c>
      <c r="H56" s="52" t="s">
        <v>45</v>
      </c>
      <c r="I56" s="53">
        <f>ROUND(E56*G56,2)</f>
        <v>358.02</v>
      </c>
      <c r="J56" s="243">
        <f>SUM(E52:E55)+SUM(G52:G55)</f>
        <v>4</v>
      </c>
    </row>
    <row r="57" spans="2:14" ht="18" customHeight="1">
      <c r="B57" s="48" t="s">
        <v>46</v>
      </c>
      <c r="C57" s="50">
        <v>265.52999999999997</v>
      </c>
      <c r="D57" s="50" t="s">
        <v>47</v>
      </c>
      <c r="E57" s="49">
        <f>ROUND(C56*(C57/1000),2)</f>
        <v>1.1399999999999999</v>
      </c>
      <c r="F57" s="50" t="s">
        <v>48</v>
      </c>
      <c r="G57" s="50">
        <f>G$23</f>
        <v>10</v>
      </c>
      <c r="H57" s="52" t="s">
        <v>49</v>
      </c>
      <c r="I57" s="53">
        <f>E57*G57</f>
        <v>11.399999999999999</v>
      </c>
      <c r="L57" s="47"/>
    </row>
    <row r="58" spans="2:14" ht="18" customHeight="1">
      <c r="B58" s="48" t="s">
        <v>50</v>
      </c>
      <c r="C58" s="50">
        <v>173.62</v>
      </c>
      <c r="D58" s="50" t="s">
        <v>51</v>
      </c>
      <c r="E58" s="49">
        <f>ROUND(C56*(C58/1000),2)</f>
        <v>0.75</v>
      </c>
      <c r="F58" s="50" t="s">
        <v>48</v>
      </c>
      <c r="G58" s="50">
        <f>G$24</f>
        <v>10</v>
      </c>
      <c r="H58" s="52" t="s">
        <v>49</v>
      </c>
      <c r="I58" s="53">
        <f>E58*G58</f>
        <v>7.5</v>
      </c>
      <c r="L58" s="47"/>
    </row>
    <row r="59" spans="2:14" ht="18" customHeight="1">
      <c r="B59" s="23" t="s">
        <v>36</v>
      </c>
      <c r="C59" s="252" t="s">
        <v>14</v>
      </c>
      <c r="D59" s="652" t="s">
        <v>74</v>
      </c>
      <c r="E59" s="652"/>
      <c r="F59" s="652"/>
      <c r="G59" s="252" t="s">
        <v>75</v>
      </c>
      <c r="H59" s="252" t="s">
        <v>22</v>
      </c>
      <c r="I59" s="25" t="s">
        <v>40</v>
      </c>
      <c r="L59" s="47"/>
    </row>
    <row r="60" spans="2:14" ht="18" customHeight="1">
      <c r="B60" s="648" t="s">
        <v>76</v>
      </c>
      <c r="C60" s="649" t="s">
        <v>77</v>
      </c>
      <c r="D60" s="646">
        <f>E15</f>
        <v>2570</v>
      </c>
      <c r="E60" s="646"/>
      <c r="F60" s="646"/>
      <c r="G60" s="250">
        <v>3</v>
      </c>
      <c r="H60" s="250">
        <v>1.9339999999999999</v>
      </c>
      <c r="I60" s="59">
        <f>ROUND(D60*G60*H60/1000,3)</f>
        <v>14.911</v>
      </c>
      <c r="L60" s="47"/>
    </row>
    <row r="61" spans="2:14" ht="18" customHeight="1">
      <c r="B61" s="648"/>
      <c r="C61" s="651"/>
      <c r="D61" s="646"/>
      <c r="E61" s="646"/>
      <c r="F61" s="646"/>
      <c r="G61" s="250"/>
      <c r="H61" s="250">
        <v>1.9339999999999999</v>
      </c>
      <c r="I61" s="59">
        <f>ROUND(D61*G61*H61/1000,3)</f>
        <v>0</v>
      </c>
    </row>
    <row r="62" spans="2:14" ht="18" customHeight="1">
      <c r="B62" s="648"/>
      <c r="C62" s="649" t="s">
        <v>78</v>
      </c>
      <c r="D62" s="646"/>
      <c r="E62" s="646"/>
      <c r="F62" s="646"/>
      <c r="G62" s="250"/>
      <c r="H62" s="250">
        <v>2.3130000000000002</v>
      </c>
      <c r="I62" s="59">
        <f>ROUND(D62*G62*H62/1000,3)</f>
        <v>0</v>
      </c>
    </row>
    <row r="63" spans="2:14" ht="18" customHeight="1">
      <c r="B63" s="648"/>
      <c r="C63" s="651"/>
      <c r="D63" s="646"/>
      <c r="E63" s="646"/>
      <c r="F63" s="646"/>
      <c r="G63" s="250"/>
      <c r="H63" s="250">
        <v>2.3130000000000002</v>
      </c>
      <c r="I63" s="59">
        <f>ROUND(D63*G63*H63/1000,3)</f>
        <v>0</v>
      </c>
    </row>
    <row r="64" spans="2:14" ht="18" customHeight="1">
      <c r="B64" s="48" t="s">
        <v>42</v>
      </c>
      <c r="C64" s="49">
        <f>SUMPRODUCT(D60:F63*G60:G63)/1000</f>
        <v>7.71</v>
      </c>
      <c r="D64" s="50" t="s">
        <v>43</v>
      </c>
      <c r="E64" s="49">
        <f>SUM(I60:I63)*1.1</f>
        <v>16.402100000000001</v>
      </c>
      <c r="F64" s="50" t="s">
        <v>44</v>
      </c>
      <c r="G64" s="51">
        <f>(C$218+C$219)/1000</f>
        <v>46.081499999999998</v>
      </c>
      <c r="H64" s="52" t="s">
        <v>45</v>
      </c>
      <c r="I64" s="53">
        <f>ROUND(E64*G64,2)</f>
        <v>755.83</v>
      </c>
      <c r="J64" s="43">
        <f>SUM(G60:G63)</f>
        <v>3</v>
      </c>
    </row>
    <row r="65" spans="2:14" ht="18" customHeight="1">
      <c r="B65" s="48" t="s">
        <v>46</v>
      </c>
      <c r="C65" s="50">
        <v>337.92</v>
      </c>
      <c r="D65" s="50" t="s">
        <v>47</v>
      </c>
      <c r="E65" s="49">
        <f>ROUND(C64*(C65/1000),2)</f>
        <v>2.61</v>
      </c>
      <c r="F65" s="50" t="s">
        <v>48</v>
      </c>
      <c r="G65" s="50">
        <f>G$23</f>
        <v>10</v>
      </c>
      <c r="H65" s="52" t="s">
        <v>49</v>
      </c>
      <c r="I65" s="53">
        <f>E65*G65</f>
        <v>26.099999999999998</v>
      </c>
    </row>
    <row r="66" spans="2:14" ht="18" customHeight="1" thickBot="1">
      <c r="B66" s="48" t="s">
        <v>50</v>
      </c>
      <c r="C66" s="50">
        <v>175.93</v>
      </c>
      <c r="D66" s="50" t="s">
        <v>51</v>
      </c>
      <c r="E66" s="49">
        <f>ROUND(C64*(C66/1000),2)</f>
        <v>1.36</v>
      </c>
      <c r="F66" s="50" t="s">
        <v>48</v>
      </c>
      <c r="G66" s="50">
        <f>G$24</f>
        <v>10</v>
      </c>
      <c r="H66" s="52" t="s">
        <v>49</v>
      </c>
      <c r="I66" s="53">
        <f>E66*G66</f>
        <v>13.600000000000001</v>
      </c>
    </row>
    <row r="67" spans="2:14" ht="18" customHeight="1" thickBot="1">
      <c r="B67" s="23" t="s">
        <v>36</v>
      </c>
      <c r="C67" s="252" t="s">
        <v>14</v>
      </c>
      <c r="D67" s="252" t="s">
        <v>37</v>
      </c>
      <c r="E67" s="252" t="s">
        <v>38</v>
      </c>
      <c r="F67" s="252" t="s">
        <v>39</v>
      </c>
      <c r="G67" s="252" t="s">
        <v>8</v>
      </c>
      <c r="H67" s="252" t="s">
        <v>22</v>
      </c>
      <c r="I67" s="25" t="s">
        <v>40</v>
      </c>
      <c r="J67" s="54" t="s">
        <v>2</v>
      </c>
      <c r="K67" s="55" t="s">
        <v>3</v>
      </c>
      <c r="L67" s="55" t="s">
        <v>52</v>
      </c>
      <c r="M67" s="55" t="s">
        <v>53</v>
      </c>
      <c r="N67" s="70" t="s">
        <v>14</v>
      </c>
    </row>
    <row r="68" spans="2:14" ht="18" customHeight="1">
      <c r="B68" s="648" t="s">
        <v>79</v>
      </c>
      <c r="C68" s="649" t="s">
        <v>323</v>
      </c>
      <c r="D68" s="81">
        <f>J68-IF(L68=1,72,IF(L68=2,54,IF(L68=3,26,IF(L68=11,102.8,IF(L68=12,88.8,IF(L68=13,74.8,0))))))</f>
        <v>2148</v>
      </c>
      <c r="E68" s="81">
        <f>K68-IF(M68=1,72,IF(M68=2,24,IF(M68=3,26,IF(M68=11,102.8,IF(M68=12,88.8,IF(M68=13,74.8,0))))))</f>
        <v>1078</v>
      </c>
      <c r="F68" s="81">
        <f>2*(D68+E68)/1000</f>
        <v>6.452</v>
      </c>
      <c r="G68" s="82">
        <v>1</v>
      </c>
      <c r="H68" s="250">
        <v>0.224</v>
      </c>
      <c r="I68" s="283">
        <f>ROUND(F68*G68*H68,3)*2</f>
        <v>2.89</v>
      </c>
      <c r="J68" s="83">
        <f>D14</f>
        <v>2220</v>
      </c>
      <c r="K68" s="83">
        <f>E14</f>
        <v>1150</v>
      </c>
      <c r="L68" s="84">
        <v>1</v>
      </c>
      <c r="M68" s="84">
        <v>1</v>
      </c>
      <c r="N68" s="71" t="s">
        <v>56</v>
      </c>
    </row>
    <row r="69" spans="2:14" ht="18" customHeight="1">
      <c r="B69" s="648"/>
      <c r="C69" s="650"/>
      <c r="D69" s="81">
        <f t="shared" ref="D69:D87" si="11">J69-IF(L69=1,72,IF(L69=2,54,IF(L69=3,26,IF(L69=11,102.8,IF(L69=12,88.8,IF(L69=13,74.8,0))))))</f>
        <v>501</v>
      </c>
      <c r="E69" s="81">
        <f t="shared" ref="E69:E87" si="12">K69-IF(M69=1,72,IF(M69=2,24,IF(M69=3,26,IF(M69=11,102.8,IF(M69=12,88.8,IF(M69=13,74.8,0))))))</f>
        <v>832.66666666666663</v>
      </c>
      <c r="F69" s="81">
        <f t="shared" ref="F69:F87" si="13">2*(D69+E69)/1000</f>
        <v>2.6673333333333331</v>
      </c>
      <c r="G69" s="82">
        <v>12</v>
      </c>
      <c r="H69" s="250">
        <f>H68</f>
        <v>0.224</v>
      </c>
      <c r="I69" s="59">
        <f t="shared" ref="I69:I87" si="14">ROUND(F69*G69*H69,3)</f>
        <v>7.17</v>
      </c>
      <c r="J69" s="83">
        <f>D15/4</f>
        <v>555</v>
      </c>
      <c r="K69" s="84">
        <f>E15/3</f>
        <v>856.66666666666663</v>
      </c>
      <c r="L69" s="84">
        <v>2</v>
      </c>
      <c r="M69" s="84">
        <v>2</v>
      </c>
      <c r="N69" s="72" t="s">
        <v>58</v>
      </c>
    </row>
    <row r="70" spans="2:14" ht="18" customHeight="1">
      <c r="B70" s="648"/>
      <c r="C70" s="650"/>
      <c r="D70" s="81">
        <f t="shared" si="11"/>
        <v>0</v>
      </c>
      <c r="E70" s="81">
        <f t="shared" si="12"/>
        <v>0</v>
      </c>
      <c r="F70" s="81">
        <f t="shared" si="13"/>
        <v>0</v>
      </c>
      <c r="G70" s="82"/>
      <c r="H70" s="250">
        <f>H69</f>
        <v>0.224</v>
      </c>
      <c r="I70" s="59">
        <f t="shared" si="14"/>
        <v>0</v>
      </c>
      <c r="J70" s="83"/>
      <c r="K70" s="84"/>
      <c r="L70" s="84"/>
      <c r="M70" s="84"/>
      <c r="N70" s="72" t="s">
        <v>60</v>
      </c>
    </row>
    <row r="71" spans="2:14" ht="18" customHeight="1">
      <c r="B71" s="648"/>
      <c r="C71" s="650"/>
      <c r="D71" s="81">
        <f t="shared" si="11"/>
        <v>0</v>
      </c>
      <c r="E71" s="81">
        <f t="shared" si="12"/>
        <v>0</v>
      </c>
      <c r="F71" s="81">
        <f t="shared" si="13"/>
        <v>0</v>
      </c>
      <c r="G71" s="82"/>
      <c r="H71" s="77">
        <f>H70</f>
        <v>0.224</v>
      </c>
      <c r="I71" s="59">
        <f t="shared" si="14"/>
        <v>0</v>
      </c>
      <c r="J71" s="85"/>
      <c r="K71" s="86"/>
      <c r="L71" s="86"/>
      <c r="M71" s="86"/>
      <c r="N71" s="72" t="s">
        <v>65</v>
      </c>
    </row>
    <row r="72" spans="2:14" ht="18" customHeight="1">
      <c r="B72" s="648"/>
      <c r="C72" s="650"/>
      <c r="D72" s="81">
        <f t="shared" si="11"/>
        <v>0</v>
      </c>
      <c r="E72" s="81">
        <f t="shared" si="12"/>
        <v>0</v>
      </c>
      <c r="F72" s="81">
        <f t="shared" si="13"/>
        <v>0</v>
      </c>
      <c r="G72" s="82"/>
      <c r="H72" s="77">
        <f>H71</f>
        <v>0.224</v>
      </c>
      <c r="I72" s="87">
        <f t="shared" si="14"/>
        <v>0</v>
      </c>
      <c r="J72" s="85"/>
      <c r="K72" s="86"/>
      <c r="L72" s="86"/>
      <c r="M72" s="86"/>
      <c r="N72" s="72" t="s">
        <v>66</v>
      </c>
    </row>
    <row r="73" spans="2:14" ht="18" customHeight="1">
      <c r="B73" s="648"/>
      <c r="C73" s="650"/>
      <c r="D73" s="81">
        <f t="shared" si="11"/>
        <v>0</v>
      </c>
      <c r="E73" s="81">
        <f t="shared" si="12"/>
        <v>0</v>
      </c>
      <c r="F73" s="81">
        <f t="shared" si="13"/>
        <v>0</v>
      </c>
      <c r="G73" s="82"/>
      <c r="H73" s="250">
        <f>H70</f>
        <v>0.224</v>
      </c>
      <c r="I73" s="87">
        <f t="shared" si="14"/>
        <v>0</v>
      </c>
      <c r="J73" s="83"/>
      <c r="K73" s="84"/>
      <c r="L73" s="84"/>
      <c r="M73" s="84"/>
      <c r="N73" s="72" t="s">
        <v>67</v>
      </c>
    </row>
    <row r="74" spans="2:14" ht="18" customHeight="1">
      <c r="B74" s="648"/>
      <c r="C74" s="651"/>
      <c r="D74" s="81">
        <f t="shared" si="11"/>
        <v>0</v>
      </c>
      <c r="E74" s="81">
        <f t="shared" si="12"/>
        <v>0</v>
      </c>
      <c r="F74" s="81">
        <f t="shared" si="13"/>
        <v>0</v>
      </c>
      <c r="G74" s="82"/>
      <c r="H74" s="250">
        <f>H73</f>
        <v>0.224</v>
      </c>
      <c r="I74" s="87">
        <f t="shared" si="14"/>
        <v>0</v>
      </c>
      <c r="J74" s="83"/>
      <c r="K74" s="84"/>
      <c r="L74" s="84"/>
      <c r="M74" s="84"/>
      <c r="N74" s="88"/>
    </row>
    <row r="75" spans="2:14" ht="18" customHeight="1">
      <c r="B75" s="648"/>
      <c r="C75" s="649" t="s">
        <v>324</v>
      </c>
      <c r="D75" s="89">
        <f t="shared" si="11"/>
        <v>0</v>
      </c>
      <c r="E75" s="89">
        <f t="shared" si="12"/>
        <v>0</v>
      </c>
      <c r="F75" s="89">
        <f t="shared" si="13"/>
        <v>0</v>
      </c>
      <c r="G75" s="90"/>
      <c r="H75" s="91">
        <f>H74</f>
        <v>0.224</v>
      </c>
      <c r="I75" s="92">
        <f t="shared" si="14"/>
        <v>0</v>
      </c>
      <c r="J75" s="83"/>
      <c r="K75" s="84"/>
      <c r="L75" s="84"/>
      <c r="M75" s="84"/>
      <c r="N75" s="93" t="s">
        <v>80</v>
      </c>
    </row>
    <row r="76" spans="2:14" ht="18" customHeight="1">
      <c r="B76" s="648"/>
      <c r="C76" s="650"/>
      <c r="D76" s="89">
        <f t="shared" si="11"/>
        <v>0</v>
      </c>
      <c r="E76" s="89">
        <f t="shared" si="12"/>
        <v>0</v>
      </c>
      <c r="F76" s="89">
        <f t="shared" si="13"/>
        <v>0</v>
      </c>
      <c r="G76" s="90"/>
      <c r="H76" s="91">
        <f>H72</f>
        <v>0.224</v>
      </c>
      <c r="I76" s="92">
        <f t="shared" si="14"/>
        <v>0</v>
      </c>
      <c r="J76" s="83"/>
      <c r="K76" s="84"/>
      <c r="L76" s="84"/>
      <c r="M76" s="84"/>
      <c r="N76" s="93" t="s">
        <v>80</v>
      </c>
    </row>
    <row r="77" spans="2:14" ht="18" customHeight="1">
      <c r="B77" s="648"/>
      <c r="C77" s="650"/>
      <c r="D77" s="89">
        <f t="shared" si="11"/>
        <v>0</v>
      </c>
      <c r="E77" s="89">
        <f t="shared" si="12"/>
        <v>0</v>
      </c>
      <c r="F77" s="89">
        <f t="shared" si="13"/>
        <v>0</v>
      </c>
      <c r="G77" s="90"/>
      <c r="H77" s="91">
        <f t="shared" ref="H77:H87" si="15">H76</f>
        <v>0.224</v>
      </c>
      <c r="I77" s="92">
        <f t="shared" si="14"/>
        <v>0</v>
      </c>
      <c r="J77" s="83"/>
      <c r="K77" s="84"/>
      <c r="L77" s="84"/>
      <c r="M77" s="84"/>
      <c r="N77" s="93" t="s">
        <v>80</v>
      </c>
    </row>
    <row r="78" spans="2:14" ht="18" customHeight="1">
      <c r="B78" s="648"/>
      <c r="C78" s="650"/>
      <c r="D78" s="89">
        <f t="shared" si="11"/>
        <v>0</v>
      </c>
      <c r="E78" s="89">
        <f t="shared" si="12"/>
        <v>0</v>
      </c>
      <c r="F78" s="89">
        <f t="shared" si="13"/>
        <v>0</v>
      </c>
      <c r="G78" s="90"/>
      <c r="H78" s="91">
        <f t="shared" si="15"/>
        <v>0.224</v>
      </c>
      <c r="I78" s="92">
        <f t="shared" si="14"/>
        <v>0</v>
      </c>
      <c r="J78" s="83"/>
      <c r="K78" s="84"/>
      <c r="L78" s="84"/>
      <c r="M78" s="84"/>
      <c r="N78" s="93" t="s">
        <v>80</v>
      </c>
    </row>
    <row r="79" spans="2:14" ht="18" customHeight="1">
      <c r="B79" s="648"/>
      <c r="C79" s="650"/>
      <c r="D79" s="89">
        <f t="shared" si="11"/>
        <v>0</v>
      </c>
      <c r="E79" s="89">
        <f t="shared" si="12"/>
        <v>0</v>
      </c>
      <c r="F79" s="89">
        <f t="shared" si="13"/>
        <v>0</v>
      </c>
      <c r="G79" s="90"/>
      <c r="H79" s="91">
        <f t="shared" si="15"/>
        <v>0.224</v>
      </c>
      <c r="I79" s="94">
        <f t="shared" si="14"/>
        <v>0</v>
      </c>
      <c r="J79" s="83"/>
      <c r="K79" s="84"/>
      <c r="L79" s="84"/>
      <c r="M79" s="84"/>
      <c r="N79" s="93" t="s">
        <v>80</v>
      </c>
    </row>
    <row r="80" spans="2:14" ht="18" customHeight="1">
      <c r="B80" s="648"/>
      <c r="C80" s="650"/>
      <c r="D80" s="89">
        <f t="shared" si="11"/>
        <v>0</v>
      </c>
      <c r="E80" s="89">
        <f t="shared" si="12"/>
        <v>0</v>
      </c>
      <c r="F80" s="89">
        <f t="shared" si="13"/>
        <v>0</v>
      </c>
      <c r="G80" s="90"/>
      <c r="H80" s="91">
        <f t="shared" si="15"/>
        <v>0.224</v>
      </c>
      <c r="I80" s="94">
        <f t="shared" si="14"/>
        <v>0</v>
      </c>
      <c r="J80" s="83"/>
      <c r="K80" s="84"/>
      <c r="L80" s="84"/>
      <c r="M80" s="84"/>
      <c r="N80" s="93" t="s">
        <v>80</v>
      </c>
    </row>
    <row r="81" spans="2:14" ht="18" customHeight="1">
      <c r="B81" s="648"/>
      <c r="C81" s="651"/>
      <c r="D81" s="89">
        <f t="shared" si="11"/>
        <v>0</v>
      </c>
      <c r="E81" s="89">
        <f t="shared" si="12"/>
        <v>0</v>
      </c>
      <c r="F81" s="89">
        <f t="shared" si="13"/>
        <v>0</v>
      </c>
      <c r="G81" s="90"/>
      <c r="H81" s="91">
        <f t="shared" si="15"/>
        <v>0.224</v>
      </c>
      <c r="I81" s="94">
        <f t="shared" si="14"/>
        <v>0</v>
      </c>
      <c r="J81" s="95"/>
      <c r="K81" s="96"/>
      <c r="L81" s="96"/>
      <c r="M81" s="96"/>
      <c r="N81" s="93" t="s">
        <v>81</v>
      </c>
    </row>
    <row r="82" spans="2:14" ht="18" customHeight="1">
      <c r="B82" s="648"/>
      <c r="C82" s="639" t="s">
        <v>325</v>
      </c>
      <c r="D82" s="81">
        <f t="shared" si="11"/>
        <v>0</v>
      </c>
      <c r="E82" s="81">
        <f t="shared" si="12"/>
        <v>0</v>
      </c>
      <c r="F82" s="81">
        <f t="shared" si="13"/>
        <v>0</v>
      </c>
      <c r="G82" s="82"/>
      <c r="H82" s="250">
        <f t="shared" si="15"/>
        <v>0.224</v>
      </c>
      <c r="I82" s="59">
        <f t="shared" si="14"/>
        <v>0</v>
      </c>
      <c r="J82" s="83"/>
      <c r="K82" s="84"/>
      <c r="L82" s="84"/>
      <c r="M82" s="84"/>
      <c r="N82" s="88"/>
    </row>
    <row r="83" spans="2:14" ht="18" customHeight="1">
      <c r="B83" s="648"/>
      <c r="C83" s="645"/>
      <c r="D83" s="81">
        <f t="shared" si="11"/>
        <v>0</v>
      </c>
      <c r="E83" s="81">
        <f t="shared" si="12"/>
        <v>0</v>
      </c>
      <c r="F83" s="81">
        <f t="shared" si="13"/>
        <v>0</v>
      </c>
      <c r="G83" s="82"/>
      <c r="H83" s="250">
        <f t="shared" si="15"/>
        <v>0.224</v>
      </c>
      <c r="I83" s="59">
        <f t="shared" si="14"/>
        <v>0</v>
      </c>
      <c r="J83" s="83"/>
      <c r="K83" s="84"/>
      <c r="L83" s="84"/>
      <c r="M83" s="84"/>
      <c r="N83" s="88"/>
    </row>
    <row r="84" spans="2:14" ht="18" customHeight="1">
      <c r="B84" s="648"/>
      <c r="C84" s="645"/>
      <c r="D84" s="81">
        <f t="shared" si="11"/>
        <v>0</v>
      </c>
      <c r="E84" s="81">
        <f t="shared" si="12"/>
        <v>0</v>
      </c>
      <c r="F84" s="81">
        <f t="shared" si="13"/>
        <v>0</v>
      </c>
      <c r="G84" s="82"/>
      <c r="H84" s="250">
        <f t="shared" si="15"/>
        <v>0.224</v>
      </c>
      <c r="I84" s="59">
        <f t="shared" si="14"/>
        <v>0</v>
      </c>
      <c r="J84" s="83"/>
      <c r="K84" s="84"/>
      <c r="L84" s="84"/>
      <c r="M84" s="84"/>
      <c r="N84" s="76"/>
    </row>
    <row r="85" spans="2:14" ht="18" customHeight="1">
      <c r="B85" s="648"/>
      <c r="C85" s="645"/>
      <c r="D85" s="81">
        <f t="shared" si="11"/>
        <v>0</v>
      </c>
      <c r="E85" s="81">
        <f t="shared" si="12"/>
        <v>0</v>
      </c>
      <c r="F85" s="81">
        <f t="shared" si="13"/>
        <v>0</v>
      </c>
      <c r="G85" s="82"/>
      <c r="H85" s="250">
        <f t="shared" si="15"/>
        <v>0.224</v>
      </c>
      <c r="I85" s="59">
        <f t="shared" si="14"/>
        <v>0</v>
      </c>
      <c r="J85" s="83"/>
      <c r="K85" s="84"/>
      <c r="L85" s="84"/>
      <c r="M85" s="84"/>
      <c r="N85" s="76"/>
    </row>
    <row r="86" spans="2:14" ht="18" customHeight="1">
      <c r="B86" s="648"/>
      <c r="C86" s="645"/>
      <c r="D86" s="81">
        <f t="shared" si="11"/>
        <v>0</v>
      </c>
      <c r="E86" s="81">
        <f t="shared" si="12"/>
        <v>0</v>
      </c>
      <c r="F86" s="81">
        <f t="shared" si="13"/>
        <v>0</v>
      </c>
      <c r="G86" s="82"/>
      <c r="H86" s="250">
        <f t="shared" si="15"/>
        <v>0.224</v>
      </c>
      <c r="I86" s="59">
        <f t="shared" si="14"/>
        <v>0</v>
      </c>
      <c r="J86" s="85"/>
      <c r="K86" s="86"/>
      <c r="L86" s="86"/>
      <c r="M86" s="86"/>
      <c r="N86" s="76"/>
    </row>
    <row r="87" spans="2:14" ht="18" customHeight="1" thickBot="1">
      <c r="B87" s="648"/>
      <c r="C87" s="640"/>
      <c r="D87" s="81">
        <f t="shared" si="11"/>
        <v>0</v>
      </c>
      <c r="E87" s="81">
        <f t="shared" si="12"/>
        <v>0</v>
      </c>
      <c r="F87" s="81">
        <f t="shared" si="13"/>
        <v>0</v>
      </c>
      <c r="G87" s="82"/>
      <c r="H87" s="250">
        <f t="shared" si="15"/>
        <v>0.224</v>
      </c>
      <c r="I87" s="59">
        <f t="shared" si="14"/>
        <v>0</v>
      </c>
      <c r="J87" s="97"/>
      <c r="K87" s="98"/>
      <c r="L87" s="98"/>
      <c r="M87" s="98"/>
      <c r="N87" s="80"/>
    </row>
    <row r="88" spans="2:14" ht="18" customHeight="1">
      <c r="B88" s="48" t="s">
        <v>42</v>
      </c>
      <c r="C88" s="49">
        <f>SUMPRODUCT(F68:F87*G68:G87)</f>
        <v>38.459999999999994</v>
      </c>
      <c r="D88" s="50" t="s">
        <v>43</v>
      </c>
      <c r="E88" s="49">
        <f>SUM(I68:I87)*1.1</f>
        <v>11.066000000000001</v>
      </c>
      <c r="F88" s="50" t="s">
        <v>44</v>
      </c>
      <c r="G88" s="51">
        <f>(C$218+C$222)/1000</f>
        <v>39.781500000000001</v>
      </c>
      <c r="H88" s="52" t="s">
        <v>45</v>
      </c>
      <c r="I88" s="53">
        <f>ROUND(E88*G88,2)</f>
        <v>440.22</v>
      </c>
      <c r="J88" s="255"/>
      <c r="K88" s="255"/>
      <c r="L88" s="255"/>
      <c r="M88" s="255"/>
    </row>
    <row r="89" spans="2:14" ht="18" customHeight="1">
      <c r="B89" s="48" t="s">
        <v>46</v>
      </c>
      <c r="C89" s="50">
        <v>181.72</v>
      </c>
      <c r="D89" s="50" t="s">
        <v>47</v>
      </c>
      <c r="E89" s="49">
        <f>ROUND(C88*(C89/1000),2)</f>
        <v>6.99</v>
      </c>
      <c r="F89" s="50" t="s">
        <v>48</v>
      </c>
      <c r="G89" s="50">
        <f>G$23</f>
        <v>10</v>
      </c>
      <c r="H89" s="52" t="s">
        <v>49</v>
      </c>
      <c r="I89" s="53">
        <f>E89*G89</f>
        <v>69.900000000000006</v>
      </c>
      <c r="J89" s="255"/>
      <c r="K89" s="255"/>
      <c r="L89" s="255"/>
      <c r="M89" s="255"/>
    </row>
    <row r="90" spans="2:14" ht="18" customHeight="1">
      <c r="B90" s="48" t="s">
        <v>50</v>
      </c>
      <c r="C90" s="50"/>
      <c r="D90" s="50" t="s">
        <v>51</v>
      </c>
      <c r="E90" s="49">
        <f>ROUND(C88*(C90/1000),2)</f>
        <v>0</v>
      </c>
      <c r="F90" s="50" t="s">
        <v>48</v>
      </c>
      <c r="G90" s="50">
        <f>G$24</f>
        <v>10</v>
      </c>
      <c r="H90" s="52" t="s">
        <v>49</v>
      </c>
      <c r="I90" s="53">
        <f>E90*G90</f>
        <v>0</v>
      </c>
      <c r="J90" s="255"/>
      <c r="K90" s="255"/>
      <c r="L90" s="255"/>
      <c r="M90" s="255"/>
    </row>
    <row r="91" spans="2:14" ht="18" customHeight="1">
      <c r="B91" s="23" t="s">
        <v>36</v>
      </c>
      <c r="C91" s="252" t="s">
        <v>14</v>
      </c>
      <c r="D91" s="252" t="s">
        <v>37</v>
      </c>
      <c r="E91" s="252" t="s">
        <v>38</v>
      </c>
      <c r="F91" s="252" t="s">
        <v>39</v>
      </c>
      <c r="G91" s="252" t="s">
        <v>8</v>
      </c>
      <c r="H91" s="252" t="s">
        <v>22</v>
      </c>
      <c r="I91" s="25" t="s">
        <v>40</v>
      </c>
      <c r="J91" s="255"/>
      <c r="K91" s="255"/>
      <c r="L91" s="255"/>
      <c r="M91" s="255"/>
    </row>
    <row r="92" spans="2:14" ht="18" customHeight="1">
      <c r="B92" s="648" t="s">
        <v>82</v>
      </c>
      <c r="C92" s="653" t="s">
        <v>326</v>
      </c>
      <c r="D92" s="253">
        <f>D26-90</f>
        <v>-90</v>
      </c>
      <c r="E92" s="253">
        <f>E26-90</f>
        <v>-90</v>
      </c>
      <c r="F92" s="253">
        <f>2*(D92+E92)/1000</f>
        <v>-0.36</v>
      </c>
      <c r="G92" s="250">
        <f>G26</f>
        <v>0</v>
      </c>
      <c r="H92" s="250">
        <v>0.27100000000000002</v>
      </c>
      <c r="I92" s="59">
        <f>ROUND(F92*G92*H92,3)</f>
        <v>0</v>
      </c>
    </row>
    <row r="93" spans="2:14" ht="18" customHeight="1">
      <c r="B93" s="648"/>
      <c r="C93" s="658"/>
      <c r="D93" s="253">
        <f t="shared" ref="D93:E96" si="16">D27-90</f>
        <v>-90</v>
      </c>
      <c r="E93" s="253">
        <f t="shared" si="16"/>
        <v>-90</v>
      </c>
      <c r="F93" s="253">
        <f>2*(D93+E93)/1000</f>
        <v>-0.36</v>
      </c>
      <c r="G93" s="250">
        <f>G27</f>
        <v>0</v>
      </c>
      <c r="H93" s="250">
        <f>H92</f>
        <v>0.27100000000000002</v>
      </c>
      <c r="I93" s="59">
        <f>ROUND(F93*G93*H93,3)</f>
        <v>0</v>
      </c>
      <c r="M93" s="42"/>
    </row>
    <row r="94" spans="2:14" ht="18" customHeight="1">
      <c r="B94" s="648"/>
      <c r="C94" s="658"/>
      <c r="D94" s="253">
        <f t="shared" si="16"/>
        <v>-90</v>
      </c>
      <c r="E94" s="253">
        <f t="shared" si="16"/>
        <v>-90</v>
      </c>
      <c r="F94" s="253">
        <f>2*(D94+E94)/1000</f>
        <v>-0.36</v>
      </c>
      <c r="G94" s="250">
        <f>G28</f>
        <v>0</v>
      </c>
      <c r="H94" s="250">
        <f>H93</f>
        <v>0.27100000000000002</v>
      </c>
      <c r="I94" s="59">
        <f>ROUND(F94*G94*H94,3)</f>
        <v>0</v>
      </c>
    </row>
    <row r="95" spans="2:14" ht="18" customHeight="1">
      <c r="B95" s="648"/>
      <c r="C95" s="658"/>
      <c r="D95" s="253">
        <f t="shared" si="16"/>
        <v>-90</v>
      </c>
      <c r="E95" s="253">
        <f t="shared" si="16"/>
        <v>-90</v>
      </c>
      <c r="F95" s="253">
        <f>2*(D95+E95)/1000</f>
        <v>-0.36</v>
      </c>
      <c r="G95" s="250">
        <f>G29</f>
        <v>0</v>
      </c>
      <c r="H95" s="250">
        <f>H94</f>
        <v>0.27100000000000002</v>
      </c>
      <c r="I95" s="59">
        <f>ROUND(F95*G95*H95,3)</f>
        <v>0</v>
      </c>
    </row>
    <row r="96" spans="2:14" ht="18" customHeight="1">
      <c r="B96" s="648"/>
      <c r="C96" s="659"/>
      <c r="D96" s="253">
        <f t="shared" si="16"/>
        <v>-90</v>
      </c>
      <c r="E96" s="253">
        <f t="shared" si="16"/>
        <v>-90</v>
      </c>
      <c r="F96" s="253">
        <f>2*(D96+E96)/1000</f>
        <v>-0.36</v>
      </c>
      <c r="G96" s="250">
        <f>G30</f>
        <v>0</v>
      </c>
      <c r="H96" s="250">
        <f>H95</f>
        <v>0.27100000000000002</v>
      </c>
      <c r="I96" s="59">
        <f>ROUND(F96*G96*H96,3)</f>
        <v>0</v>
      </c>
    </row>
    <row r="97" spans="2:13" ht="18" customHeight="1">
      <c r="B97" s="48" t="s">
        <v>42</v>
      </c>
      <c r="C97" s="49">
        <f>SUMPRODUCT(F92:F96*G92:G96)</f>
        <v>0</v>
      </c>
      <c r="D97" s="50" t="s">
        <v>43</v>
      </c>
      <c r="E97" s="49">
        <f>SUM(I92:I96)*1.1</f>
        <v>0</v>
      </c>
      <c r="F97" s="50" t="s">
        <v>44</v>
      </c>
      <c r="G97" s="51">
        <f>(C$218+C$222)/1000</f>
        <v>39.781500000000001</v>
      </c>
      <c r="H97" s="52" t="s">
        <v>45</v>
      </c>
      <c r="I97" s="53">
        <f>ROUND(E97*G97,2)</f>
        <v>0</v>
      </c>
    </row>
    <row r="98" spans="2:13" ht="18" customHeight="1">
      <c r="B98" s="48" t="s">
        <v>46</v>
      </c>
      <c r="C98" s="50">
        <v>186.72</v>
      </c>
      <c r="D98" s="50" t="s">
        <v>47</v>
      </c>
      <c r="E98" s="49">
        <f>ROUND(C97*(C98/1000),2)</f>
        <v>0</v>
      </c>
      <c r="F98" s="50" t="s">
        <v>48</v>
      </c>
      <c r="G98" s="50">
        <f>G$23</f>
        <v>10</v>
      </c>
      <c r="H98" s="52" t="s">
        <v>49</v>
      </c>
      <c r="I98" s="53">
        <f>E98*G98</f>
        <v>0</v>
      </c>
    </row>
    <row r="99" spans="2:13" ht="18" customHeight="1">
      <c r="B99" s="48" t="s">
        <v>50</v>
      </c>
      <c r="C99" s="50">
        <v>0</v>
      </c>
      <c r="D99" s="50" t="s">
        <v>51</v>
      </c>
      <c r="E99" s="49">
        <f>ROUND(C97*(C99/1000),2)</f>
        <v>0</v>
      </c>
      <c r="F99" s="50" t="s">
        <v>48</v>
      </c>
      <c r="G99" s="50">
        <f>G$24</f>
        <v>10</v>
      </c>
      <c r="H99" s="52" t="s">
        <v>49</v>
      </c>
      <c r="I99" s="53">
        <f>E99*G99</f>
        <v>0</v>
      </c>
    </row>
    <row r="100" spans="2:13" ht="18" customHeight="1">
      <c r="B100" s="23" t="s">
        <v>36</v>
      </c>
      <c r="C100" s="252" t="s">
        <v>14</v>
      </c>
      <c r="D100" s="252" t="s">
        <v>37</v>
      </c>
      <c r="E100" s="252" t="s">
        <v>38</v>
      </c>
      <c r="F100" s="252" t="s">
        <v>39</v>
      </c>
      <c r="G100" s="252" t="s">
        <v>8</v>
      </c>
      <c r="H100" s="252" t="s">
        <v>22</v>
      </c>
      <c r="I100" s="25" t="s">
        <v>40</v>
      </c>
    </row>
    <row r="101" spans="2:13" ht="18" customHeight="1">
      <c r="B101" s="648" t="s">
        <v>84</v>
      </c>
      <c r="C101" s="653" t="str">
        <f>C92</f>
        <v>SDL2281</v>
      </c>
      <c r="D101" s="253">
        <f>D35-122</f>
        <v>-122</v>
      </c>
      <c r="E101" s="253">
        <f t="shared" ref="D101:E103" si="17">E35-122</f>
        <v>-122</v>
      </c>
      <c r="F101" s="253">
        <f>2*(D101+E101)/1000</f>
        <v>-0.48799999999999999</v>
      </c>
      <c r="G101" s="250">
        <f>G35</f>
        <v>0</v>
      </c>
      <c r="H101" s="250">
        <f>H96</f>
        <v>0.27100000000000002</v>
      </c>
      <c r="I101" s="59">
        <f>ROUND(F101*G101*H101,3)</f>
        <v>0</v>
      </c>
    </row>
    <row r="102" spans="2:13" ht="18" customHeight="1">
      <c r="B102" s="648"/>
      <c r="C102" s="650"/>
      <c r="D102" s="253">
        <f t="shared" si="17"/>
        <v>-122</v>
      </c>
      <c r="E102" s="253">
        <f t="shared" si="17"/>
        <v>-122</v>
      </c>
      <c r="F102" s="253">
        <f>2*(D102+E102)/1000</f>
        <v>-0.48799999999999999</v>
      </c>
      <c r="G102" s="250">
        <f>G36</f>
        <v>0</v>
      </c>
      <c r="H102" s="250">
        <f>H101</f>
        <v>0.27100000000000002</v>
      </c>
      <c r="I102" s="59">
        <f>ROUND(F102*G102*H102,3)</f>
        <v>0</v>
      </c>
      <c r="K102" s="99"/>
      <c r="M102" s="99"/>
    </row>
    <row r="103" spans="2:13" ht="18" customHeight="1">
      <c r="B103" s="648"/>
      <c r="C103" s="651"/>
      <c r="D103" s="253">
        <f t="shared" si="17"/>
        <v>-122</v>
      </c>
      <c r="E103" s="253">
        <f t="shared" si="17"/>
        <v>-122</v>
      </c>
      <c r="F103" s="253">
        <f>2*(D103+E103)/1000</f>
        <v>-0.48799999999999999</v>
      </c>
      <c r="G103" s="250">
        <f>G37</f>
        <v>0</v>
      </c>
      <c r="H103" s="250">
        <f>H102</f>
        <v>0.27100000000000002</v>
      </c>
      <c r="I103" s="59">
        <f>ROUND(F103*G103*H103,3)</f>
        <v>0</v>
      </c>
      <c r="M103" s="99"/>
    </row>
    <row r="104" spans="2:13" ht="18" customHeight="1">
      <c r="B104" s="48" t="s">
        <v>42</v>
      </c>
      <c r="C104" s="49">
        <f>SUMPRODUCT(F101:F103*G101:G103)</f>
        <v>0</v>
      </c>
      <c r="D104" s="50" t="s">
        <v>43</v>
      </c>
      <c r="E104" s="49">
        <f>SUM(I101:I103)*1.1</f>
        <v>0</v>
      </c>
      <c r="F104" s="50" t="s">
        <v>44</v>
      </c>
      <c r="G104" s="51">
        <f>(C$218+C$222)/1000</f>
        <v>39.781500000000001</v>
      </c>
      <c r="H104" s="52" t="s">
        <v>45</v>
      </c>
      <c r="I104" s="53">
        <f>ROUND(E104*G104,2)</f>
        <v>0</v>
      </c>
    </row>
    <row r="105" spans="2:13" ht="18" customHeight="1">
      <c r="B105" s="48" t="s">
        <v>46</v>
      </c>
      <c r="C105" s="50">
        <v>186.72</v>
      </c>
      <c r="D105" s="50" t="s">
        <v>47</v>
      </c>
      <c r="E105" s="49">
        <f>ROUND(C104*(C105/1000),2)</f>
        <v>0</v>
      </c>
      <c r="F105" s="50" t="s">
        <v>48</v>
      </c>
      <c r="G105" s="50">
        <f>G$23</f>
        <v>10</v>
      </c>
      <c r="H105" s="52" t="s">
        <v>49</v>
      </c>
      <c r="I105" s="53">
        <f>ROUND(E105*G105,2)</f>
        <v>0</v>
      </c>
    </row>
    <row r="106" spans="2:13" ht="18" customHeight="1">
      <c r="B106" s="48" t="s">
        <v>50</v>
      </c>
      <c r="C106" s="50">
        <v>0</v>
      </c>
      <c r="D106" s="50" t="s">
        <v>51</v>
      </c>
      <c r="E106" s="49">
        <f>ROUND(C104*(C106/1000),2)</f>
        <v>0</v>
      </c>
      <c r="F106" s="50" t="s">
        <v>48</v>
      </c>
      <c r="G106" s="50">
        <f>G$24</f>
        <v>10</v>
      </c>
      <c r="H106" s="52" t="s">
        <v>49</v>
      </c>
      <c r="I106" s="53">
        <f>ROUND(E106*G106,2)</f>
        <v>0</v>
      </c>
    </row>
    <row r="107" spans="2:13" ht="18" customHeight="1">
      <c r="B107" s="23" t="s">
        <v>36</v>
      </c>
      <c r="C107" s="252" t="s">
        <v>14</v>
      </c>
      <c r="D107" s="252" t="s">
        <v>37</v>
      </c>
      <c r="E107" s="252" t="s">
        <v>38</v>
      </c>
      <c r="F107" s="252" t="s">
        <v>39</v>
      </c>
      <c r="G107" s="252" t="s">
        <v>8</v>
      </c>
      <c r="H107" s="252" t="s">
        <v>22</v>
      </c>
      <c r="I107" s="25" t="s">
        <v>40</v>
      </c>
    </row>
    <row r="108" spans="2:13" ht="18" customHeight="1">
      <c r="B108" s="648" t="s">
        <v>85</v>
      </c>
      <c r="C108" s="655" t="s">
        <v>86</v>
      </c>
      <c r="D108" s="250"/>
      <c r="E108" s="250"/>
      <c r="F108" s="250">
        <f>ROUND((D108+E108)*2/1000,4)</f>
        <v>0</v>
      </c>
      <c r="G108" s="250"/>
      <c r="H108" s="250">
        <v>1.857</v>
      </c>
      <c r="I108" s="59">
        <f>ROUND(F108*G108*H108,3)</f>
        <v>0</v>
      </c>
    </row>
    <row r="109" spans="2:13" ht="18" customHeight="1">
      <c r="B109" s="648"/>
      <c r="C109" s="656"/>
      <c r="D109" s="250"/>
      <c r="E109" s="250"/>
      <c r="F109" s="250">
        <f>ROUND((D109+E109)*2/1000,4)</f>
        <v>0</v>
      </c>
      <c r="G109" s="250"/>
      <c r="H109" s="250">
        <f>H108</f>
        <v>1.857</v>
      </c>
      <c r="I109" s="59">
        <f>ROUND(F109*G109*H109,3)</f>
        <v>0</v>
      </c>
      <c r="K109" s="42"/>
      <c r="L109" s="42"/>
      <c r="M109" s="42"/>
    </row>
    <row r="110" spans="2:13" ht="18" customHeight="1">
      <c r="B110" s="648"/>
      <c r="C110" s="656"/>
      <c r="D110" s="250"/>
      <c r="E110" s="250"/>
      <c r="F110" s="250">
        <f>ROUND((D110+E110)*2/1000,4)</f>
        <v>0</v>
      </c>
      <c r="G110" s="250"/>
      <c r="H110" s="250">
        <f>H109</f>
        <v>1.857</v>
      </c>
      <c r="I110" s="59">
        <f>ROUND(F110*G110*H110,3)</f>
        <v>0</v>
      </c>
      <c r="K110" s="42"/>
      <c r="L110" s="42"/>
      <c r="M110" s="42"/>
    </row>
    <row r="111" spans="2:13" ht="18" customHeight="1">
      <c r="B111" s="648"/>
      <c r="C111" s="657"/>
      <c r="D111" s="250"/>
      <c r="E111" s="250"/>
      <c r="F111" s="250">
        <f>ROUND((D111+E111)*2/1000,4)</f>
        <v>0</v>
      </c>
      <c r="G111" s="250"/>
      <c r="H111" s="250">
        <f>H110</f>
        <v>1.857</v>
      </c>
      <c r="I111" s="59">
        <f>ROUND(F111*G111*H111,3)</f>
        <v>0</v>
      </c>
      <c r="K111" s="42"/>
      <c r="L111" s="42"/>
      <c r="M111" s="42"/>
    </row>
    <row r="112" spans="2:13" ht="18" customHeight="1">
      <c r="B112" s="48" t="s">
        <v>42</v>
      </c>
      <c r="C112" s="49">
        <f>SUMPRODUCT(F108:F111*G108:G111)</f>
        <v>0</v>
      </c>
      <c r="D112" s="50" t="s">
        <v>43</v>
      </c>
      <c r="E112" s="49">
        <f>SUM(I108:I111)*1.1</f>
        <v>0</v>
      </c>
      <c r="F112" s="50" t="s">
        <v>44</v>
      </c>
      <c r="G112" s="51">
        <f>(C$218+C$219)/1000</f>
        <v>46.081499999999998</v>
      </c>
      <c r="H112" s="52" t="s">
        <v>45</v>
      </c>
      <c r="I112" s="53">
        <f>ROUND(E112*G112,2)</f>
        <v>0</v>
      </c>
      <c r="J112" s="243">
        <f>SUM(G108:G111)</f>
        <v>0</v>
      </c>
      <c r="K112" s="42"/>
      <c r="L112" s="42"/>
      <c r="M112" s="42"/>
    </row>
    <row r="113" spans="2:14" ht="18" customHeight="1">
      <c r="B113" s="48" t="s">
        <v>46</v>
      </c>
      <c r="C113" s="50">
        <v>241.03</v>
      </c>
      <c r="D113" s="50" t="s">
        <v>47</v>
      </c>
      <c r="E113" s="49">
        <f>ROUND(C112*(C113/1000),2)</f>
        <v>0</v>
      </c>
      <c r="F113" s="50" t="s">
        <v>48</v>
      </c>
      <c r="G113" s="50">
        <f>G$23</f>
        <v>10</v>
      </c>
      <c r="H113" s="52" t="s">
        <v>49</v>
      </c>
      <c r="I113" s="53">
        <f>E113*G113</f>
        <v>0</v>
      </c>
      <c r="K113" s="42"/>
      <c r="L113" s="42"/>
      <c r="M113" s="42"/>
    </row>
    <row r="114" spans="2:14" ht="18" customHeight="1" thickBot="1">
      <c r="B114" s="48" t="s">
        <v>50</v>
      </c>
      <c r="C114" s="50">
        <v>204.38</v>
      </c>
      <c r="D114" s="50" t="s">
        <v>51</v>
      </c>
      <c r="E114" s="49">
        <f>ROUND(C112*(C114/1000),2)</f>
        <v>0</v>
      </c>
      <c r="F114" s="50" t="s">
        <v>48</v>
      </c>
      <c r="G114" s="50">
        <f>G$24</f>
        <v>10</v>
      </c>
      <c r="H114" s="52" t="s">
        <v>49</v>
      </c>
      <c r="I114" s="53">
        <f>E114*G114</f>
        <v>0</v>
      </c>
    </row>
    <row r="115" spans="2:14" ht="18" customHeight="1" thickBot="1">
      <c r="B115" s="23" t="s">
        <v>36</v>
      </c>
      <c r="C115" s="252" t="s">
        <v>14</v>
      </c>
      <c r="D115" s="252" t="s">
        <v>37</v>
      </c>
      <c r="E115" s="252" t="s">
        <v>38</v>
      </c>
      <c r="F115" s="252" t="s">
        <v>39</v>
      </c>
      <c r="G115" s="252" t="s">
        <v>8</v>
      </c>
      <c r="H115" s="252" t="s">
        <v>22</v>
      </c>
      <c r="I115" s="25" t="s">
        <v>40</v>
      </c>
      <c r="J115" s="54" t="s">
        <v>2</v>
      </c>
      <c r="K115" s="55" t="s">
        <v>3</v>
      </c>
      <c r="L115" s="55" t="s">
        <v>61</v>
      </c>
      <c r="M115" s="55" t="s">
        <v>62</v>
      </c>
      <c r="N115" s="70" t="s">
        <v>14</v>
      </c>
    </row>
    <row r="116" spans="2:14" ht="18" customHeight="1">
      <c r="B116" s="648" t="s">
        <v>87</v>
      </c>
      <c r="C116" s="649" t="s">
        <v>88</v>
      </c>
      <c r="D116" s="253">
        <f t="shared" ref="D116:E118" si="18">J116-IF(L116=1,78,IF(L116=2,55.5,IF(L116=3,41,0)))</f>
        <v>0</v>
      </c>
      <c r="E116" s="253">
        <f t="shared" si="18"/>
        <v>0</v>
      </c>
      <c r="F116" s="250">
        <f>ROUND((D116+E116)*2/1000,4)</f>
        <v>0</v>
      </c>
      <c r="G116" s="250"/>
      <c r="H116" s="58">
        <v>2.456</v>
      </c>
      <c r="I116" s="59">
        <f>ROUND(F116*G116*H116,3)</f>
        <v>0</v>
      </c>
      <c r="J116" s="60"/>
      <c r="K116" s="61"/>
      <c r="L116" s="61"/>
      <c r="M116" s="61"/>
      <c r="N116" s="76" t="s">
        <v>56</v>
      </c>
    </row>
    <row r="117" spans="2:14" ht="18" customHeight="1">
      <c r="B117" s="648"/>
      <c r="C117" s="650"/>
      <c r="D117" s="253">
        <f t="shared" si="18"/>
        <v>0</v>
      </c>
      <c r="E117" s="253">
        <f t="shared" si="18"/>
        <v>0</v>
      </c>
      <c r="F117" s="250">
        <f>ROUND((D117+E117)*2/1000,4)</f>
        <v>0</v>
      </c>
      <c r="G117" s="250">
        <v>0</v>
      </c>
      <c r="H117" s="58">
        <f>H116</f>
        <v>2.456</v>
      </c>
      <c r="I117" s="59">
        <f>ROUND(F117*G117*H117,3)</f>
        <v>0</v>
      </c>
      <c r="J117" s="60"/>
      <c r="K117" s="61"/>
      <c r="L117" s="61"/>
      <c r="M117" s="61"/>
      <c r="N117" s="76" t="s">
        <v>58</v>
      </c>
    </row>
    <row r="118" spans="2:14" ht="18" customHeight="1" thickBot="1">
      <c r="B118" s="648"/>
      <c r="C118" s="651"/>
      <c r="D118" s="253">
        <f t="shared" si="18"/>
        <v>0</v>
      </c>
      <c r="E118" s="253">
        <f t="shared" si="18"/>
        <v>0</v>
      </c>
      <c r="F118" s="250">
        <f>ROUND((D118+E118)*2/1000,4)</f>
        <v>0</v>
      </c>
      <c r="G118" s="250">
        <v>0</v>
      </c>
      <c r="H118" s="58">
        <f>H117</f>
        <v>2.456</v>
      </c>
      <c r="I118" s="59">
        <f>ROUND(F118*G118*H118,3)</f>
        <v>0</v>
      </c>
      <c r="J118" s="64"/>
      <c r="K118" s="65"/>
      <c r="L118" s="65"/>
      <c r="M118" s="65"/>
      <c r="N118" s="80" t="s">
        <v>89</v>
      </c>
    </row>
    <row r="119" spans="2:14" ht="18" customHeight="1">
      <c r="B119" s="48" t="s">
        <v>42</v>
      </c>
      <c r="C119" s="49">
        <f>SUMPRODUCT(F116:F118*G116:G118)</f>
        <v>0</v>
      </c>
      <c r="D119" s="100" t="s">
        <v>43</v>
      </c>
      <c r="E119" s="100">
        <f>SUM(I116:I118)*1.1</f>
        <v>0</v>
      </c>
      <c r="F119" s="50" t="s">
        <v>44</v>
      </c>
      <c r="G119" s="51">
        <f>(C$218+C$219)/1000</f>
        <v>46.081499999999998</v>
      </c>
      <c r="H119" s="52" t="s">
        <v>45</v>
      </c>
      <c r="I119" s="53">
        <f>ROUND(E119*G119,2)</f>
        <v>0</v>
      </c>
      <c r="J119" s="243">
        <f>SUM(G116:G118)</f>
        <v>0</v>
      </c>
      <c r="K119" s="255"/>
      <c r="L119" s="255"/>
      <c r="M119" s="255"/>
    </row>
    <row r="120" spans="2:14" ht="18" customHeight="1">
      <c r="B120" s="48" t="s">
        <v>46</v>
      </c>
      <c r="C120" s="50">
        <v>350.56</v>
      </c>
      <c r="D120" s="100" t="s">
        <v>47</v>
      </c>
      <c r="E120" s="100">
        <f>ROUND(C119*(C120/1000),2)</f>
        <v>0</v>
      </c>
      <c r="F120" s="50" t="s">
        <v>48</v>
      </c>
      <c r="G120" s="50">
        <f>G$23</f>
        <v>10</v>
      </c>
      <c r="H120" s="52" t="s">
        <v>49</v>
      </c>
      <c r="I120" s="53">
        <f>E120*G120</f>
        <v>0</v>
      </c>
      <c r="J120" s="255"/>
      <c r="K120" s="255"/>
      <c r="L120" s="255"/>
      <c r="M120" s="255"/>
    </row>
    <row r="121" spans="2:14" ht="18" customHeight="1" thickBot="1">
      <c r="B121" s="48" t="s">
        <v>50</v>
      </c>
      <c r="C121" s="50">
        <v>189.03</v>
      </c>
      <c r="D121" s="100" t="s">
        <v>51</v>
      </c>
      <c r="E121" s="100">
        <f>ROUND(C119*(C121/1000),2)</f>
        <v>0</v>
      </c>
      <c r="F121" s="50" t="s">
        <v>48</v>
      </c>
      <c r="G121" s="50">
        <f>G$24</f>
        <v>10</v>
      </c>
      <c r="H121" s="52" t="s">
        <v>49</v>
      </c>
      <c r="I121" s="53">
        <f>E121*G121</f>
        <v>0</v>
      </c>
      <c r="J121" s="255"/>
    </row>
    <row r="122" spans="2:14" ht="18" customHeight="1" thickBot="1">
      <c r="B122" s="23" t="s">
        <v>36</v>
      </c>
      <c r="C122" s="252" t="s">
        <v>14</v>
      </c>
      <c r="D122" s="101" t="s">
        <v>37</v>
      </c>
      <c r="E122" s="101" t="s">
        <v>38</v>
      </c>
      <c r="F122" s="252" t="s">
        <v>39</v>
      </c>
      <c r="G122" s="252" t="s">
        <v>8</v>
      </c>
      <c r="H122" s="252" t="s">
        <v>22</v>
      </c>
      <c r="I122" s="25" t="s">
        <v>40</v>
      </c>
      <c r="J122" s="54" t="s">
        <v>2</v>
      </c>
      <c r="K122" s="55" t="s">
        <v>3</v>
      </c>
      <c r="L122" s="55" t="s">
        <v>61</v>
      </c>
      <c r="M122" s="55" t="s">
        <v>62</v>
      </c>
      <c r="N122" s="70" t="s">
        <v>14</v>
      </c>
    </row>
    <row r="123" spans="2:14" ht="18" customHeight="1">
      <c r="B123" s="648" t="s">
        <v>90</v>
      </c>
      <c r="C123" s="649" t="s">
        <v>91</v>
      </c>
      <c r="D123" s="253">
        <f t="shared" ref="D123:E125" si="19">J123-IF(L123=1,78,IF(L123=2,55.5,IF(L123=3,41,0)))</f>
        <v>0</v>
      </c>
      <c r="E123" s="253">
        <f t="shared" si="19"/>
        <v>0</v>
      </c>
      <c r="F123" s="250">
        <f>ROUND((D123+E123)*2/1000,4)</f>
        <v>0</v>
      </c>
      <c r="G123" s="250"/>
      <c r="H123" s="58">
        <v>2.4710000000000001</v>
      </c>
      <c r="I123" s="59">
        <f>ROUND(F123*G123*H123,3)</f>
        <v>0</v>
      </c>
      <c r="J123" s="60"/>
      <c r="K123" s="61"/>
      <c r="L123" s="61"/>
      <c r="M123" s="61"/>
      <c r="N123" s="76" t="s">
        <v>56</v>
      </c>
    </row>
    <row r="124" spans="2:14" ht="18" customHeight="1">
      <c r="B124" s="648"/>
      <c r="C124" s="650"/>
      <c r="D124" s="253">
        <f t="shared" si="19"/>
        <v>0</v>
      </c>
      <c r="E124" s="253">
        <f t="shared" si="19"/>
        <v>0</v>
      </c>
      <c r="F124" s="250">
        <f>ROUND((D124+E124)*2/1000,4)</f>
        <v>0</v>
      </c>
      <c r="G124" s="250"/>
      <c r="H124" s="58">
        <f>H123</f>
        <v>2.4710000000000001</v>
      </c>
      <c r="I124" s="59">
        <f>ROUND(F124*G124*H124,3)</f>
        <v>0</v>
      </c>
      <c r="J124" s="60"/>
      <c r="K124" s="61"/>
      <c r="L124" s="61"/>
      <c r="M124" s="61"/>
      <c r="N124" s="76" t="s">
        <v>58</v>
      </c>
    </row>
    <row r="125" spans="2:14" ht="18" customHeight="1" thickBot="1">
      <c r="B125" s="648"/>
      <c r="C125" s="651"/>
      <c r="D125" s="253">
        <f t="shared" si="19"/>
        <v>0</v>
      </c>
      <c r="E125" s="253">
        <f t="shared" si="19"/>
        <v>0</v>
      </c>
      <c r="F125" s="250">
        <f>ROUND((D125+E125)*2/1000,4)</f>
        <v>0</v>
      </c>
      <c r="G125" s="250"/>
      <c r="H125" s="58">
        <f>H124</f>
        <v>2.4710000000000001</v>
      </c>
      <c r="I125" s="59">
        <f>ROUND(F125*G125*H125,3)</f>
        <v>0</v>
      </c>
      <c r="J125" s="64"/>
      <c r="K125" s="65"/>
      <c r="L125" s="65"/>
      <c r="M125" s="65"/>
      <c r="N125" s="80" t="s">
        <v>89</v>
      </c>
    </row>
    <row r="126" spans="2:14" ht="18" customHeight="1">
      <c r="B126" s="48" t="s">
        <v>42</v>
      </c>
      <c r="C126" s="49">
        <f>SUMPRODUCT(F123:F125*G123:G125)</f>
        <v>0</v>
      </c>
      <c r="D126" s="50" t="s">
        <v>43</v>
      </c>
      <c r="E126" s="49">
        <f>SUM(I123:I125)*1.1</f>
        <v>0</v>
      </c>
      <c r="F126" s="50" t="s">
        <v>44</v>
      </c>
      <c r="G126" s="51">
        <f>(C$218+C$221)/1000</f>
        <v>46.081499999999998</v>
      </c>
      <c r="H126" s="52" t="s">
        <v>45</v>
      </c>
      <c r="I126" s="53">
        <f>ROUND(E126*G126,2)</f>
        <v>0</v>
      </c>
      <c r="J126" s="243">
        <f>SUM(G123:G125)</f>
        <v>0</v>
      </c>
      <c r="K126" s="255"/>
      <c r="L126" s="255"/>
      <c r="M126" s="255"/>
    </row>
    <row r="127" spans="2:14" ht="18" customHeight="1">
      <c r="B127" s="48" t="s">
        <v>46</v>
      </c>
      <c r="C127" s="50">
        <v>236.53</v>
      </c>
      <c r="D127" s="50" t="s">
        <v>47</v>
      </c>
      <c r="E127" s="49">
        <f>ROUND(C126*(C127/1000),2)</f>
        <v>0</v>
      </c>
      <c r="F127" s="50" t="s">
        <v>48</v>
      </c>
      <c r="G127" s="50">
        <f>G$23</f>
        <v>10</v>
      </c>
      <c r="H127" s="52" t="s">
        <v>49</v>
      </c>
      <c r="I127" s="53">
        <f>E127*G127</f>
        <v>0</v>
      </c>
      <c r="J127" s="255"/>
      <c r="K127" s="255"/>
      <c r="L127" s="255"/>
      <c r="M127" s="255"/>
    </row>
    <row r="128" spans="2:14" ht="18" customHeight="1" thickBot="1">
      <c r="B128" s="48" t="s">
        <v>50</v>
      </c>
      <c r="C128" s="50">
        <v>311.02999999999997</v>
      </c>
      <c r="D128" s="50" t="s">
        <v>51</v>
      </c>
      <c r="E128" s="49">
        <f>ROUND(C126*(C128/1000),2)</f>
        <v>0</v>
      </c>
      <c r="F128" s="50" t="s">
        <v>48</v>
      </c>
      <c r="G128" s="50">
        <f>G$24</f>
        <v>10</v>
      </c>
      <c r="H128" s="52" t="s">
        <v>49</v>
      </c>
      <c r="I128" s="53">
        <f>E128*G128</f>
        <v>0</v>
      </c>
      <c r="J128" s="255"/>
    </row>
    <row r="129" spans="2:14" ht="18" customHeight="1" thickBot="1">
      <c r="B129" s="23" t="s">
        <v>36</v>
      </c>
      <c r="C129" s="252" t="s">
        <v>14</v>
      </c>
      <c r="D129" s="252" t="s">
        <v>37</v>
      </c>
      <c r="E129" s="252" t="s">
        <v>71</v>
      </c>
      <c r="F129" s="252" t="s">
        <v>38</v>
      </c>
      <c r="G129" s="252" t="s">
        <v>72</v>
      </c>
      <c r="H129" s="252" t="s">
        <v>22</v>
      </c>
      <c r="I129" s="25" t="s">
        <v>40</v>
      </c>
      <c r="J129" s="54" t="s">
        <v>2</v>
      </c>
      <c r="K129" s="55" t="s">
        <v>3</v>
      </c>
      <c r="L129" s="55" t="s">
        <v>61</v>
      </c>
      <c r="M129" s="55" t="s">
        <v>62</v>
      </c>
      <c r="N129" s="70" t="s">
        <v>14</v>
      </c>
    </row>
    <row r="130" spans="2:14" ht="18" customHeight="1">
      <c r="B130" s="648" t="s">
        <v>92</v>
      </c>
      <c r="C130" s="649" t="s">
        <v>93</v>
      </c>
      <c r="D130" s="253">
        <f>J130-IF(L130=1,81,IF(L130=2,58.5,IF(L130=3,36,0)))</f>
        <v>0</v>
      </c>
      <c r="E130" s="253">
        <v>0</v>
      </c>
      <c r="F130" s="253">
        <f>K130-IF(M130=1,81,IF(M130=2,58.5,IF(M130=3,36,0)))</f>
        <v>0</v>
      </c>
      <c r="G130" s="250">
        <v>0</v>
      </c>
      <c r="H130" s="250">
        <v>2.0489999999999999</v>
      </c>
      <c r="I130" s="59">
        <f>ROUND((D130*E130+F130*G130)/1000*H130,3)</f>
        <v>0</v>
      </c>
      <c r="J130" s="60"/>
      <c r="K130" s="61"/>
      <c r="L130" s="61"/>
      <c r="M130" s="61"/>
      <c r="N130" s="76" t="s">
        <v>56</v>
      </c>
    </row>
    <row r="131" spans="2:14" ht="18" customHeight="1">
      <c r="B131" s="648"/>
      <c r="C131" s="650"/>
      <c r="D131" s="253">
        <f>J131-IF(L131=1,81,IF(L131=2,58.5,IF(L131=3,36,0)))</f>
        <v>0</v>
      </c>
      <c r="E131" s="253">
        <v>0</v>
      </c>
      <c r="F131" s="253">
        <f>K131-IF(M131=1,81,IF(M131=2,58.5,IF(M131=3,36,0)))</f>
        <v>0</v>
      </c>
      <c r="G131" s="250"/>
      <c r="H131" s="250">
        <f>H130</f>
        <v>2.0489999999999999</v>
      </c>
      <c r="I131" s="59">
        <f>ROUND((D131*E131+F131*G131)/1000*H131,3)</f>
        <v>0</v>
      </c>
      <c r="J131" s="60"/>
      <c r="K131" s="61"/>
      <c r="L131" s="61"/>
      <c r="M131" s="61"/>
      <c r="N131" s="76" t="s">
        <v>58</v>
      </c>
    </row>
    <row r="132" spans="2:14" ht="18" customHeight="1" thickBot="1">
      <c r="B132" s="648"/>
      <c r="C132" s="651"/>
      <c r="D132" s="253">
        <f>J132-IF(L132=1,81,IF(L132=2,58.5,IF(L132=3,36,0)))</f>
        <v>0</v>
      </c>
      <c r="E132" s="253"/>
      <c r="F132" s="253">
        <f>K132-IF(M132=1,81,IF(M132=2,58.5,IF(M132=3,36,0)))</f>
        <v>0</v>
      </c>
      <c r="G132" s="250"/>
      <c r="H132" s="250">
        <f>H131</f>
        <v>2.0489999999999999</v>
      </c>
      <c r="I132" s="59">
        <f>ROUND((D132*E132+F132*G132)/1000*H132,3)</f>
        <v>0</v>
      </c>
      <c r="J132" s="64"/>
      <c r="K132" s="65"/>
      <c r="L132" s="65"/>
      <c r="M132" s="65"/>
      <c r="N132" s="80" t="s">
        <v>89</v>
      </c>
    </row>
    <row r="133" spans="2:14" ht="18" customHeight="1">
      <c r="B133" s="48" t="s">
        <v>42</v>
      </c>
      <c r="C133" s="49">
        <f>SUMPRODUCT(D130:D132*E130:E132+F130:F132*G130:G132)/1000</f>
        <v>0</v>
      </c>
      <c r="D133" s="50" t="s">
        <v>43</v>
      </c>
      <c r="E133" s="49">
        <f>SUM(I130:I132)*1.1</f>
        <v>0</v>
      </c>
      <c r="F133" s="50" t="s">
        <v>44</v>
      </c>
      <c r="G133" s="51">
        <f>(C$218+C$219)/1000</f>
        <v>46.081499999999998</v>
      </c>
      <c r="H133" s="52" t="s">
        <v>45</v>
      </c>
      <c r="I133" s="53">
        <f>ROUND(E133*G133,2)</f>
        <v>0</v>
      </c>
      <c r="J133" s="243">
        <f>SUM(G130:G132)+SUM(E130:E132)</f>
        <v>0</v>
      </c>
    </row>
    <row r="134" spans="2:14" ht="18" customHeight="1">
      <c r="B134" s="48" t="s">
        <v>46</v>
      </c>
      <c r="C134" s="50">
        <v>298.42</v>
      </c>
      <c r="D134" s="50" t="s">
        <v>47</v>
      </c>
      <c r="E134" s="49">
        <f>ROUND(C133*(C134/1000),2)</f>
        <v>0</v>
      </c>
      <c r="F134" s="50" t="s">
        <v>48</v>
      </c>
      <c r="G134" s="50">
        <f>G$23</f>
        <v>10</v>
      </c>
      <c r="H134" s="52" t="s">
        <v>49</v>
      </c>
      <c r="I134" s="53">
        <f>ROUND(E134*G134,2)</f>
        <v>0</v>
      </c>
    </row>
    <row r="135" spans="2:14" ht="18" customHeight="1">
      <c r="B135" s="48" t="s">
        <v>50</v>
      </c>
      <c r="C135" s="50">
        <v>208.08</v>
      </c>
      <c r="D135" s="50" t="s">
        <v>51</v>
      </c>
      <c r="E135" s="49">
        <f>ROUND(C133*(C135/1000),2)</f>
        <v>0</v>
      </c>
      <c r="F135" s="50" t="s">
        <v>48</v>
      </c>
      <c r="G135" s="50">
        <f>G$24</f>
        <v>10</v>
      </c>
      <c r="H135" s="52" t="s">
        <v>49</v>
      </c>
      <c r="I135" s="53">
        <f>ROUND(E135*G135,2)</f>
        <v>0</v>
      </c>
    </row>
    <row r="136" spans="2:14" ht="18" customHeight="1">
      <c r="B136" s="23" t="s">
        <v>36</v>
      </c>
      <c r="C136" s="252" t="s">
        <v>14</v>
      </c>
      <c r="D136" s="652" t="s">
        <v>38</v>
      </c>
      <c r="E136" s="652"/>
      <c r="F136" s="652"/>
      <c r="G136" s="252" t="s">
        <v>72</v>
      </c>
      <c r="H136" s="252" t="s">
        <v>22</v>
      </c>
      <c r="I136" s="25" t="s">
        <v>40</v>
      </c>
    </row>
    <row r="137" spans="2:14" ht="18" customHeight="1">
      <c r="B137" s="648" t="s">
        <v>94</v>
      </c>
      <c r="C137" s="649" t="s">
        <v>95</v>
      </c>
      <c r="D137" s="654">
        <f>E116</f>
        <v>0</v>
      </c>
      <c r="E137" s="646"/>
      <c r="F137" s="646"/>
      <c r="G137" s="250"/>
      <c r="H137" s="250">
        <v>1.3360000000000001</v>
      </c>
      <c r="I137" s="59">
        <f>ROUND(D137*H137*G137/1000,3)</f>
        <v>0</v>
      </c>
    </row>
    <row r="138" spans="2:14" ht="18" customHeight="1">
      <c r="B138" s="648"/>
      <c r="C138" s="651"/>
      <c r="D138" s="654"/>
      <c r="E138" s="646"/>
      <c r="F138" s="646"/>
      <c r="G138" s="250"/>
      <c r="H138" s="250">
        <f>H137</f>
        <v>1.3360000000000001</v>
      </c>
      <c r="I138" s="59">
        <f>ROUND(D138*H138*G138/1000,3)</f>
        <v>0</v>
      </c>
    </row>
    <row r="139" spans="2:14" ht="18" customHeight="1">
      <c r="B139" s="48" t="s">
        <v>42</v>
      </c>
      <c r="C139" s="49">
        <f>SUMPRODUCT(D137:F138*G137:G138)/1000</f>
        <v>0</v>
      </c>
      <c r="D139" s="50" t="s">
        <v>43</v>
      </c>
      <c r="E139" s="49">
        <f>SUM(I137:I138)*1.1</f>
        <v>0</v>
      </c>
      <c r="F139" s="50" t="s">
        <v>44</v>
      </c>
      <c r="G139" s="51">
        <f>(C$218+C$219)/1000</f>
        <v>46.081499999999998</v>
      </c>
      <c r="H139" s="52" t="s">
        <v>45</v>
      </c>
      <c r="I139" s="53">
        <f>ROUND(E139*G139,2)</f>
        <v>0</v>
      </c>
    </row>
    <row r="140" spans="2:14" ht="18" customHeight="1">
      <c r="B140" s="48" t="s">
        <v>46</v>
      </c>
      <c r="C140" s="50">
        <v>143.24</v>
      </c>
      <c r="D140" s="50" t="s">
        <v>47</v>
      </c>
      <c r="E140" s="49">
        <f>ROUND(C139*(C140/1000),2)</f>
        <v>0</v>
      </c>
      <c r="F140" s="50" t="s">
        <v>48</v>
      </c>
      <c r="G140" s="50">
        <f>G$23</f>
        <v>10</v>
      </c>
      <c r="H140" s="52" t="s">
        <v>49</v>
      </c>
      <c r="I140" s="53">
        <f>E140*G140</f>
        <v>0</v>
      </c>
    </row>
    <row r="141" spans="2:14" ht="18" customHeight="1">
      <c r="B141" s="48" t="s">
        <v>50</v>
      </c>
      <c r="C141" s="50">
        <v>85.04</v>
      </c>
      <c r="D141" s="50" t="s">
        <v>51</v>
      </c>
      <c r="E141" s="49">
        <f>ROUND(C139*(C141/1000),2)</f>
        <v>0</v>
      </c>
      <c r="F141" s="50" t="s">
        <v>48</v>
      </c>
      <c r="G141" s="50">
        <f>G$24</f>
        <v>10</v>
      </c>
      <c r="H141" s="52" t="s">
        <v>49</v>
      </c>
      <c r="I141" s="53">
        <f>E141*G141</f>
        <v>0</v>
      </c>
    </row>
    <row r="142" spans="2:14" ht="18" customHeight="1">
      <c r="B142" s="23" t="s">
        <v>36</v>
      </c>
      <c r="C142" s="252" t="s">
        <v>14</v>
      </c>
      <c r="D142" s="252" t="s">
        <v>37</v>
      </c>
      <c r="E142" s="252" t="s">
        <v>38</v>
      </c>
      <c r="F142" s="252" t="s">
        <v>39</v>
      </c>
      <c r="G142" s="252" t="s">
        <v>8</v>
      </c>
      <c r="H142" s="252" t="s">
        <v>22</v>
      </c>
      <c r="I142" s="25" t="s">
        <v>40</v>
      </c>
    </row>
    <row r="143" spans="2:14" ht="18" customHeight="1">
      <c r="B143" s="648" t="s">
        <v>96</v>
      </c>
      <c r="C143" s="653" t="s">
        <v>83</v>
      </c>
      <c r="D143" s="253">
        <f t="shared" ref="D143:E145" si="20">D116-154</f>
        <v>-154</v>
      </c>
      <c r="E143" s="253">
        <f t="shared" si="20"/>
        <v>-154</v>
      </c>
      <c r="F143" s="253">
        <f>(D143+E143)*2/1000</f>
        <v>-0.61599999999999999</v>
      </c>
      <c r="G143" s="250">
        <f>G116</f>
        <v>0</v>
      </c>
      <c r="H143" s="250">
        <v>0.27100000000000002</v>
      </c>
      <c r="I143" s="59">
        <f>ROUND((F143*G143)*H143,3)</f>
        <v>0</v>
      </c>
    </row>
    <row r="144" spans="2:14" ht="18" customHeight="1">
      <c r="B144" s="648"/>
      <c r="C144" s="650"/>
      <c r="D144" s="253">
        <f t="shared" si="20"/>
        <v>-154</v>
      </c>
      <c r="E144" s="253">
        <f t="shared" si="20"/>
        <v>-154</v>
      </c>
      <c r="F144" s="253">
        <f>(D144+E144)*2/1000</f>
        <v>-0.61599999999999999</v>
      </c>
      <c r="G144" s="250">
        <f>G117</f>
        <v>0</v>
      </c>
      <c r="H144" s="250">
        <f>H143</f>
        <v>0.27100000000000002</v>
      </c>
      <c r="I144" s="59">
        <f>ROUND((F144*G144)*H144,3)</f>
        <v>0</v>
      </c>
    </row>
    <row r="145" spans="2:14" ht="18" customHeight="1">
      <c r="B145" s="648"/>
      <c r="C145" s="651"/>
      <c r="D145" s="253">
        <f t="shared" si="20"/>
        <v>-154</v>
      </c>
      <c r="E145" s="253">
        <f t="shared" si="20"/>
        <v>-154</v>
      </c>
      <c r="F145" s="253">
        <f>(D145+E145)*2/1000</f>
        <v>-0.61599999999999999</v>
      </c>
      <c r="G145" s="250">
        <f>G118</f>
        <v>0</v>
      </c>
      <c r="H145" s="250">
        <f>H144</f>
        <v>0.27100000000000002</v>
      </c>
      <c r="I145" s="59">
        <f>ROUND((F145*G145)*H145,3)</f>
        <v>0</v>
      </c>
    </row>
    <row r="146" spans="2:14" ht="18" customHeight="1">
      <c r="B146" s="48" t="s">
        <v>42</v>
      </c>
      <c r="C146" s="49">
        <f>SUMPRODUCT(F143:F145*G143:G145)</f>
        <v>0</v>
      </c>
      <c r="D146" s="50" t="s">
        <v>43</v>
      </c>
      <c r="E146" s="49">
        <f>SUM(I143:I145)*1.1</f>
        <v>0</v>
      </c>
      <c r="F146" s="50" t="s">
        <v>44</v>
      </c>
      <c r="G146" s="51">
        <f>(C$218+C$222)/1000</f>
        <v>39.781500000000001</v>
      </c>
      <c r="H146" s="52" t="s">
        <v>45</v>
      </c>
      <c r="I146" s="53">
        <f>ROUND(E146*G146,2)</f>
        <v>0</v>
      </c>
    </row>
    <row r="147" spans="2:14" ht="18" customHeight="1">
      <c r="B147" s="48" t="s">
        <v>46</v>
      </c>
      <c r="C147" s="50">
        <v>186.72</v>
      </c>
      <c r="D147" s="50" t="s">
        <v>47</v>
      </c>
      <c r="E147" s="49">
        <f>ROUND(C146*(C147/1000),2)</f>
        <v>0</v>
      </c>
      <c r="F147" s="50" t="s">
        <v>48</v>
      </c>
      <c r="G147" s="50">
        <f>G$23</f>
        <v>10</v>
      </c>
      <c r="H147" s="52" t="s">
        <v>49</v>
      </c>
      <c r="I147" s="53">
        <f>E147*G147</f>
        <v>0</v>
      </c>
      <c r="K147" s="42"/>
      <c r="L147" s="42"/>
      <c r="M147" s="42"/>
    </row>
    <row r="148" spans="2:14" ht="18" customHeight="1">
      <c r="B148" s="48" t="s">
        <v>50</v>
      </c>
      <c r="C148" s="50">
        <v>0</v>
      </c>
      <c r="D148" s="50" t="s">
        <v>51</v>
      </c>
      <c r="E148" s="49">
        <f>ROUND(C146*(C148/1000),2)</f>
        <v>0</v>
      </c>
      <c r="F148" s="50" t="s">
        <v>48</v>
      </c>
      <c r="G148" s="50">
        <f>G$24</f>
        <v>10</v>
      </c>
      <c r="H148" s="52" t="s">
        <v>49</v>
      </c>
      <c r="I148" s="53">
        <f>E148*G148</f>
        <v>0</v>
      </c>
      <c r="K148" s="42"/>
      <c r="L148" s="42"/>
      <c r="M148" s="42"/>
    </row>
    <row r="149" spans="2:14" ht="18" customHeight="1">
      <c r="B149" s="23" t="s">
        <v>36</v>
      </c>
      <c r="C149" s="252" t="s">
        <v>14</v>
      </c>
      <c r="D149" s="252" t="s">
        <v>37</v>
      </c>
      <c r="E149" s="252" t="s">
        <v>38</v>
      </c>
      <c r="F149" s="252" t="s">
        <v>39</v>
      </c>
      <c r="G149" s="252" t="s">
        <v>8</v>
      </c>
      <c r="H149" s="252" t="s">
        <v>22</v>
      </c>
      <c r="I149" s="25" t="s">
        <v>40</v>
      </c>
      <c r="K149" s="42"/>
      <c r="L149" s="42"/>
      <c r="M149" s="42"/>
    </row>
    <row r="150" spans="2:14" ht="18" customHeight="1">
      <c r="B150" s="648" t="s">
        <v>97</v>
      </c>
      <c r="C150" s="653" t="s">
        <v>83</v>
      </c>
      <c r="D150" s="253">
        <f t="shared" ref="D150:E152" si="21">D123-160</f>
        <v>-160</v>
      </c>
      <c r="E150" s="253">
        <f t="shared" si="21"/>
        <v>-160</v>
      </c>
      <c r="F150" s="253">
        <f>(D150+E150)*2/1000</f>
        <v>-0.64</v>
      </c>
      <c r="G150" s="250">
        <f>G123</f>
        <v>0</v>
      </c>
      <c r="H150" s="250">
        <f>H145</f>
        <v>0.27100000000000002</v>
      </c>
      <c r="I150" s="59">
        <f>ROUND((F150*G150)*H150,3)</f>
        <v>0</v>
      </c>
      <c r="K150" s="42"/>
      <c r="L150" s="42"/>
      <c r="M150" s="42"/>
    </row>
    <row r="151" spans="2:14" ht="18" customHeight="1">
      <c r="B151" s="648"/>
      <c r="C151" s="650"/>
      <c r="D151" s="253">
        <f t="shared" si="21"/>
        <v>-160</v>
      </c>
      <c r="E151" s="253">
        <f t="shared" si="21"/>
        <v>-160</v>
      </c>
      <c r="F151" s="253">
        <f>(D151+E151)*2/1000</f>
        <v>-0.64</v>
      </c>
      <c r="G151" s="250">
        <f>G124</f>
        <v>0</v>
      </c>
      <c r="H151" s="250">
        <f>H150</f>
        <v>0.27100000000000002</v>
      </c>
      <c r="I151" s="59">
        <f>ROUND((F151*G151)*H151,3)</f>
        <v>0</v>
      </c>
      <c r="K151" s="42"/>
      <c r="L151" s="42"/>
      <c r="M151" s="42"/>
    </row>
    <row r="152" spans="2:14" ht="18" customHeight="1">
      <c r="B152" s="648"/>
      <c r="C152" s="651"/>
      <c r="D152" s="253">
        <f t="shared" si="21"/>
        <v>-160</v>
      </c>
      <c r="E152" s="253">
        <f t="shared" si="21"/>
        <v>-160</v>
      </c>
      <c r="F152" s="253">
        <f>(D152+E152)*2/1000</f>
        <v>-0.64</v>
      </c>
      <c r="G152" s="250">
        <f>G125</f>
        <v>0</v>
      </c>
      <c r="H152" s="250">
        <f>H151</f>
        <v>0.27100000000000002</v>
      </c>
      <c r="I152" s="59">
        <f>ROUND((F152*G152)*H152,3)</f>
        <v>0</v>
      </c>
      <c r="K152" s="42"/>
      <c r="L152" s="42"/>
      <c r="M152" s="42"/>
    </row>
    <row r="153" spans="2:14" ht="18" customHeight="1">
      <c r="B153" s="48" t="s">
        <v>42</v>
      </c>
      <c r="C153" s="49">
        <f>SUMPRODUCT(F150:F152*G150:G152)</f>
        <v>0</v>
      </c>
      <c r="D153" s="50" t="s">
        <v>43</v>
      </c>
      <c r="E153" s="49">
        <f>SUM(I150:I152)*1.1</f>
        <v>0</v>
      </c>
      <c r="F153" s="50" t="s">
        <v>44</v>
      </c>
      <c r="G153" s="51">
        <f>(C$218+C$222)/1000</f>
        <v>39.781500000000001</v>
      </c>
      <c r="H153" s="52" t="s">
        <v>45</v>
      </c>
      <c r="I153" s="53">
        <f>ROUND(E153*G153,2)</f>
        <v>0</v>
      </c>
      <c r="K153" s="42"/>
      <c r="L153" s="42"/>
      <c r="M153" s="42"/>
    </row>
    <row r="154" spans="2:14" ht="18" customHeight="1">
      <c r="B154" s="48" t="s">
        <v>46</v>
      </c>
      <c r="C154" s="50">
        <v>186.72</v>
      </c>
      <c r="D154" s="50" t="s">
        <v>47</v>
      </c>
      <c r="E154" s="49">
        <f>ROUND(C153*(C154/1000),2)</f>
        <v>0</v>
      </c>
      <c r="F154" s="50" t="s">
        <v>48</v>
      </c>
      <c r="G154" s="50">
        <f>G$23</f>
        <v>10</v>
      </c>
      <c r="H154" s="52" t="s">
        <v>49</v>
      </c>
      <c r="I154" s="53">
        <f>E154*G154</f>
        <v>0</v>
      </c>
    </row>
    <row r="155" spans="2:14" ht="18" customHeight="1" thickBot="1">
      <c r="B155" s="48" t="s">
        <v>50</v>
      </c>
      <c r="C155" s="50">
        <v>0</v>
      </c>
      <c r="D155" s="50" t="s">
        <v>51</v>
      </c>
      <c r="E155" s="49">
        <f>ROUND(C153*(C155/1000),2)</f>
        <v>0</v>
      </c>
      <c r="F155" s="50" t="s">
        <v>48</v>
      </c>
      <c r="G155" s="50">
        <f>G$24</f>
        <v>10</v>
      </c>
      <c r="H155" s="52" t="s">
        <v>49</v>
      </c>
      <c r="I155" s="53">
        <f>E155*G155</f>
        <v>0</v>
      </c>
    </row>
    <row r="156" spans="2:14" ht="18" customHeight="1" thickBot="1">
      <c r="B156" s="23" t="s">
        <v>36</v>
      </c>
      <c r="C156" s="252" t="s">
        <v>14</v>
      </c>
      <c r="D156" s="252" t="s">
        <v>37</v>
      </c>
      <c r="E156" s="252" t="s">
        <v>38</v>
      </c>
      <c r="F156" s="252" t="s">
        <v>39</v>
      </c>
      <c r="G156" s="252" t="s">
        <v>8</v>
      </c>
      <c r="H156" s="252" t="s">
        <v>22</v>
      </c>
      <c r="I156" s="25" t="s">
        <v>40</v>
      </c>
      <c r="J156" s="54" t="s">
        <v>2</v>
      </c>
      <c r="K156" s="55" t="s">
        <v>3</v>
      </c>
      <c r="L156" s="55" t="s">
        <v>61</v>
      </c>
      <c r="M156" s="55" t="s">
        <v>62</v>
      </c>
      <c r="N156" s="70" t="s">
        <v>14</v>
      </c>
    </row>
    <row r="157" spans="2:14" ht="18" customHeight="1">
      <c r="B157" s="648" t="s">
        <v>98</v>
      </c>
      <c r="C157" s="649" t="s">
        <v>99</v>
      </c>
      <c r="D157" s="253">
        <f t="shared" ref="D157:E162" si="22">J157-IF(L157=1,90,IF(L157=2,67.5,IF(L157=3,45,0)))</f>
        <v>0</v>
      </c>
      <c r="E157" s="253">
        <f t="shared" si="22"/>
        <v>0</v>
      </c>
      <c r="F157" s="253">
        <f t="shared" ref="F157:F162" si="23">2*(D157+E157)/1000</f>
        <v>0</v>
      </c>
      <c r="G157" s="250">
        <v>0</v>
      </c>
      <c r="H157" s="250">
        <f>H68</f>
        <v>0.224</v>
      </c>
      <c r="I157" s="59">
        <f t="shared" ref="I157:I162" si="24">ROUND((F157*G157)*H157,3)</f>
        <v>0</v>
      </c>
      <c r="J157" s="60"/>
      <c r="K157" s="61"/>
      <c r="L157" s="61"/>
      <c r="M157" s="61"/>
      <c r="N157" s="76" t="s">
        <v>56</v>
      </c>
    </row>
    <row r="158" spans="2:14" ht="18" customHeight="1">
      <c r="B158" s="648"/>
      <c r="C158" s="650"/>
      <c r="D158" s="253">
        <f t="shared" si="22"/>
        <v>0</v>
      </c>
      <c r="E158" s="253">
        <f t="shared" si="22"/>
        <v>0</v>
      </c>
      <c r="F158" s="253">
        <f t="shared" si="23"/>
        <v>0</v>
      </c>
      <c r="G158" s="250"/>
      <c r="H158" s="250">
        <f>H157</f>
        <v>0.224</v>
      </c>
      <c r="I158" s="59">
        <f t="shared" si="24"/>
        <v>0</v>
      </c>
      <c r="J158" s="60"/>
      <c r="K158" s="61"/>
      <c r="L158" s="61"/>
      <c r="M158" s="61"/>
      <c r="N158" s="76" t="s">
        <v>58</v>
      </c>
    </row>
    <row r="159" spans="2:14" ht="18" customHeight="1">
      <c r="B159" s="648"/>
      <c r="C159" s="650"/>
      <c r="D159" s="253">
        <f t="shared" si="22"/>
        <v>0</v>
      </c>
      <c r="E159" s="253">
        <f t="shared" si="22"/>
        <v>0</v>
      </c>
      <c r="F159" s="253">
        <f t="shared" si="23"/>
        <v>0</v>
      </c>
      <c r="G159" s="250"/>
      <c r="H159" s="250">
        <f>H158</f>
        <v>0.224</v>
      </c>
      <c r="I159" s="59">
        <f t="shared" si="24"/>
        <v>0</v>
      </c>
      <c r="J159" s="60"/>
      <c r="K159" s="61"/>
      <c r="L159" s="61"/>
      <c r="M159" s="61"/>
      <c r="N159" s="76" t="s">
        <v>60</v>
      </c>
    </row>
    <row r="160" spans="2:14" ht="18" customHeight="1">
      <c r="B160" s="648"/>
      <c r="C160" s="650"/>
      <c r="D160" s="253">
        <f t="shared" si="22"/>
        <v>0</v>
      </c>
      <c r="E160" s="253">
        <f t="shared" si="22"/>
        <v>0</v>
      </c>
      <c r="F160" s="253">
        <f t="shared" si="23"/>
        <v>0</v>
      </c>
      <c r="G160" s="250">
        <v>0</v>
      </c>
      <c r="H160" s="77">
        <f>H159</f>
        <v>0.224</v>
      </c>
      <c r="I160" s="59">
        <f t="shared" si="24"/>
        <v>0</v>
      </c>
      <c r="J160" s="60"/>
      <c r="K160" s="61"/>
      <c r="L160" s="61"/>
      <c r="M160" s="61"/>
      <c r="N160" s="76"/>
    </row>
    <row r="161" spans="2:16" ht="18" customHeight="1">
      <c r="B161" s="648"/>
      <c r="C161" s="650"/>
      <c r="D161" s="253">
        <f t="shared" si="22"/>
        <v>0</v>
      </c>
      <c r="E161" s="253">
        <f t="shared" si="22"/>
        <v>0</v>
      </c>
      <c r="F161" s="253">
        <f t="shared" si="23"/>
        <v>0</v>
      </c>
      <c r="G161" s="250"/>
      <c r="H161" s="250">
        <f>H160</f>
        <v>0.224</v>
      </c>
      <c r="I161" s="59">
        <f t="shared" si="24"/>
        <v>0</v>
      </c>
      <c r="J161" s="60"/>
      <c r="K161" s="61"/>
      <c r="L161" s="61"/>
      <c r="M161" s="61"/>
      <c r="N161" s="76"/>
    </row>
    <row r="162" spans="2:16" ht="18" customHeight="1" thickBot="1">
      <c r="B162" s="648"/>
      <c r="C162" s="651"/>
      <c r="D162" s="253">
        <f t="shared" si="22"/>
        <v>0</v>
      </c>
      <c r="E162" s="253">
        <f t="shared" si="22"/>
        <v>0</v>
      </c>
      <c r="F162" s="253">
        <f t="shared" si="23"/>
        <v>0</v>
      </c>
      <c r="G162" s="250"/>
      <c r="H162" s="250">
        <f>H160</f>
        <v>0.224</v>
      </c>
      <c r="I162" s="59">
        <f t="shared" si="24"/>
        <v>0</v>
      </c>
      <c r="J162" s="64"/>
      <c r="K162" s="65"/>
      <c r="L162" s="65"/>
      <c r="M162" s="65"/>
      <c r="N162" s="80"/>
    </row>
    <row r="163" spans="2:16" ht="18" customHeight="1">
      <c r="B163" s="48" t="s">
        <v>42</v>
      </c>
      <c r="C163" s="49">
        <f>SUMPRODUCT(F157:F162*G157:G162)</f>
        <v>0</v>
      </c>
      <c r="D163" s="50" t="s">
        <v>43</v>
      </c>
      <c r="E163" s="49">
        <f>SUM(I157:I162)*1.1</f>
        <v>0</v>
      </c>
      <c r="F163" s="50" t="s">
        <v>44</v>
      </c>
      <c r="G163" s="51">
        <f>(C$218+C$222)/1000</f>
        <v>39.781500000000001</v>
      </c>
      <c r="H163" s="52" t="s">
        <v>45</v>
      </c>
      <c r="I163" s="53">
        <f>ROUND(E163*G163,2)</f>
        <v>0</v>
      </c>
      <c r="J163" s="102"/>
      <c r="K163" s="102"/>
      <c r="L163" s="102"/>
      <c r="M163" s="102"/>
      <c r="O163" s="102"/>
      <c r="P163" s="102"/>
    </row>
    <row r="164" spans="2:16" ht="18" customHeight="1">
      <c r="B164" s="48" t="s">
        <v>46</v>
      </c>
      <c r="C164" s="50">
        <v>181.72</v>
      </c>
      <c r="D164" s="50" t="s">
        <v>47</v>
      </c>
      <c r="E164" s="49">
        <f>ROUND(C163*(C164/1000),2)</f>
        <v>0</v>
      </c>
      <c r="F164" s="50" t="s">
        <v>48</v>
      </c>
      <c r="G164" s="50">
        <f>G$23</f>
        <v>10</v>
      </c>
      <c r="H164" s="52" t="s">
        <v>49</v>
      </c>
      <c r="I164" s="53">
        <f>E164*G164</f>
        <v>0</v>
      </c>
      <c r="J164" s="102"/>
      <c r="K164" s="102"/>
      <c r="L164" s="102"/>
      <c r="M164" s="102"/>
      <c r="O164" s="102"/>
      <c r="P164" s="102"/>
    </row>
    <row r="165" spans="2:16" ht="18" customHeight="1">
      <c r="B165" s="48" t="s">
        <v>50</v>
      </c>
      <c r="C165" s="50"/>
      <c r="D165" s="50" t="s">
        <v>51</v>
      </c>
      <c r="E165" s="49">
        <f>ROUND(C163*(C165/1000),2)</f>
        <v>0</v>
      </c>
      <c r="F165" s="50" t="s">
        <v>48</v>
      </c>
      <c r="G165" s="50">
        <f>G$24</f>
        <v>10</v>
      </c>
      <c r="H165" s="52" t="s">
        <v>49</v>
      </c>
      <c r="I165" s="53">
        <f>E165*G165</f>
        <v>0</v>
      </c>
      <c r="K165" s="43">
        <f>J165*E165</f>
        <v>0</v>
      </c>
    </row>
    <row r="166" spans="2:16" ht="18" customHeight="1">
      <c r="B166" s="23" t="s">
        <v>36</v>
      </c>
      <c r="C166" s="252" t="s">
        <v>14</v>
      </c>
      <c r="D166" s="252" t="s">
        <v>37</v>
      </c>
      <c r="E166" s="252" t="s">
        <v>71</v>
      </c>
      <c r="F166" s="252" t="s">
        <v>38</v>
      </c>
      <c r="G166" s="252" t="s">
        <v>72</v>
      </c>
      <c r="H166" s="252" t="s">
        <v>22</v>
      </c>
      <c r="I166" s="25" t="s">
        <v>40</v>
      </c>
    </row>
    <row r="167" spans="2:16" ht="18" customHeight="1">
      <c r="B167" s="648" t="s">
        <v>100</v>
      </c>
      <c r="C167" s="649" t="s">
        <v>101</v>
      </c>
      <c r="D167" s="250"/>
      <c r="E167" s="250"/>
      <c r="F167" s="250"/>
      <c r="G167" s="250"/>
      <c r="H167" s="28">
        <v>6.3E-2</v>
      </c>
      <c r="I167" s="59">
        <f>ROUND((D167*E167+F167*G167)/1000*H167,3)</f>
        <v>0</v>
      </c>
    </row>
    <row r="168" spans="2:16" ht="18" customHeight="1">
      <c r="B168" s="648"/>
      <c r="C168" s="650"/>
      <c r="D168" s="250"/>
      <c r="E168" s="250"/>
      <c r="F168" s="250"/>
      <c r="G168" s="250"/>
      <c r="H168" s="28">
        <f>H167</f>
        <v>6.3E-2</v>
      </c>
      <c r="I168" s="59">
        <f>ROUND((D168*E168+F168*G168)/1000*H168,3)</f>
        <v>0</v>
      </c>
    </row>
    <row r="169" spans="2:16" ht="18" customHeight="1">
      <c r="B169" s="648"/>
      <c r="C169" s="651"/>
      <c r="D169" s="250"/>
      <c r="E169" s="250"/>
      <c r="F169" s="250"/>
      <c r="G169" s="250"/>
      <c r="H169" s="28">
        <f>H168</f>
        <v>6.3E-2</v>
      </c>
      <c r="I169" s="59">
        <f>ROUND((D169*E169+F169*G169)/1000*H169,3)</f>
        <v>0</v>
      </c>
    </row>
    <row r="170" spans="2:16" ht="18" customHeight="1">
      <c r="B170" s="48" t="s">
        <v>42</v>
      </c>
      <c r="C170" s="49">
        <f>SUMPRODUCT(D167:D169*E167:E169+F167:F169*G167:G169)/1000</f>
        <v>0</v>
      </c>
      <c r="D170" s="50" t="s">
        <v>43</v>
      </c>
      <c r="E170" s="49">
        <f>SUM(I167:I169)*1.1</f>
        <v>0</v>
      </c>
      <c r="F170" s="50" t="s">
        <v>44</v>
      </c>
      <c r="G170" s="51">
        <f>(C$218+$C$222)/1000</f>
        <v>39.781500000000001</v>
      </c>
      <c r="H170" s="52" t="s">
        <v>45</v>
      </c>
      <c r="I170" s="53">
        <f>ROUND(E170*G170,2)</f>
        <v>0</v>
      </c>
    </row>
    <row r="171" spans="2:16" ht="18" customHeight="1">
      <c r="B171" s="48" t="s">
        <v>46</v>
      </c>
      <c r="C171" s="50">
        <v>105.66</v>
      </c>
      <c r="D171" s="50" t="s">
        <v>47</v>
      </c>
      <c r="E171" s="49">
        <f>ROUND(C170*(C171/1000),2)</f>
        <v>0</v>
      </c>
      <c r="F171" s="50" t="s">
        <v>48</v>
      </c>
      <c r="G171" s="50">
        <f>G$23</f>
        <v>10</v>
      </c>
      <c r="H171" s="52" t="s">
        <v>49</v>
      </c>
      <c r="I171" s="53">
        <f>E171*G171</f>
        <v>0</v>
      </c>
    </row>
    <row r="172" spans="2:16" ht="18" customHeight="1">
      <c r="B172" s="48" t="s">
        <v>50</v>
      </c>
      <c r="C172" s="50">
        <v>125.66</v>
      </c>
      <c r="D172" s="50" t="s">
        <v>51</v>
      </c>
      <c r="E172" s="49">
        <f>ROUND(C170*(C172/1000),2)</f>
        <v>0</v>
      </c>
      <c r="F172" s="50" t="s">
        <v>48</v>
      </c>
      <c r="G172" s="50">
        <f>G$24</f>
        <v>10</v>
      </c>
      <c r="H172" s="52" t="s">
        <v>49</v>
      </c>
      <c r="I172" s="53">
        <f>E172*G172</f>
        <v>0</v>
      </c>
    </row>
    <row r="173" spans="2:16" ht="18" customHeight="1">
      <c r="B173" s="23" t="s">
        <v>36</v>
      </c>
      <c r="C173" s="252" t="s">
        <v>14</v>
      </c>
      <c r="D173" s="252" t="s">
        <v>37</v>
      </c>
      <c r="E173" s="252" t="s">
        <v>71</v>
      </c>
      <c r="F173" s="252" t="s">
        <v>38</v>
      </c>
      <c r="G173" s="252" t="s">
        <v>72</v>
      </c>
      <c r="H173" s="252" t="s">
        <v>22</v>
      </c>
      <c r="I173" s="25" t="s">
        <v>40</v>
      </c>
    </row>
    <row r="174" spans="2:16" ht="18" customHeight="1">
      <c r="B174" s="648" t="s">
        <v>102</v>
      </c>
      <c r="C174" s="649" t="s">
        <v>103</v>
      </c>
      <c r="D174" s="250"/>
      <c r="E174" s="250"/>
      <c r="F174" s="250"/>
      <c r="G174" s="250"/>
      <c r="H174" s="28">
        <v>1.0980000000000001</v>
      </c>
      <c r="I174" s="59">
        <f>ROUND((D174*E174+F174*G174)/1000*H174,3)</f>
        <v>0</v>
      </c>
    </row>
    <row r="175" spans="2:16" ht="18" customHeight="1">
      <c r="B175" s="648"/>
      <c r="C175" s="650"/>
      <c r="D175" s="250"/>
      <c r="E175" s="250"/>
      <c r="F175" s="250"/>
      <c r="G175" s="250"/>
      <c r="H175" s="28">
        <f>H174</f>
        <v>1.0980000000000001</v>
      </c>
      <c r="I175" s="59">
        <f>ROUND((D175*E175+F175*G175)/1000*H175,3)</f>
        <v>0</v>
      </c>
    </row>
    <row r="176" spans="2:16" ht="18" customHeight="1">
      <c r="B176" s="648"/>
      <c r="C176" s="651"/>
      <c r="D176" s="250"/>
      <c r="E176" s="250"/>
      <c r="F176" s="250"/>
      <c r="G176" s="250"/>
      <c r="H176" s="28">
        <f>H175</f>
        <v>1.0980000000000001</v>
      </c>
      <c r="I176" s="59">
        <f>ROUND((D176*E176+F176*G176)/1000*H176,3)</f>
        <v>0</v>
      </c>
    </row>
    <row r="177" spans="2:9" ht="18" customHeight="1">
      <c r="B177" s="48" t="s">
        <v>42</v>
      </c>
      <c r="C177" s="49">
        <f>SUMPRODUCT(D174:D176*E174:E176+F174:F176*G174:G176)/1000</f>
        <v>0</v>
      </c>
      <c r="D177" s="50" t="s">
        <v>43</v>
      </c>
      <c r="E177" s="49">
        <f>SUM(I174:I176)*1.1</f>
        <v>0</v>
      </c>
      <c r="F177" s="50" t="s">
        <v>44</v>
      </c>
      <c r="G177" s="51">
        <f>(C$218+C$219)/1000</f>
        <v>46.081499999999998</v>
      </c>
      <c r="H177" s="52" t="s">
        <v>45</v>
      </c>
      <c r="I177" s="53">
        <f>ROUND(E177*G177,2)</f>
        <v>0</v>
      </c>
    </row>
    <row r="178" spans="2:9" ht="18" customHeight="1">
      <c r="B178" s="48" t="s">
        <v>46</v>
      </c>
      <c r="C178" s="50">
        <v>105.66</v>
      </c>
      <c r="D178" s="50" t="s">
        <v>47</v>
      </c>
      <c r="E178" s="49">
        <f>ROUND(C177*(C178/1000),2)</f>
        <v>0</v>
      </c>
      <c r="F178" s="50" t="s">
        <v>48</v>
      </c>
      <c r="G178" s="50">
        <f>G$23</f>
        <v>10</v>
      </c>
      <c r="H178" s="52" t="s">
        <v>49</v>
      </c>
      <c r="I178" s="53">
        <f>E178*G178</f>
        <v>0</v>
      </c>
    </row>
    <row r="179" spans="2:9" ht="18" customHeight="1">
      <c r="B179" s="48" t="s">
        <v>50</v>
      </c>
      <c r="C179" s="50">
        <v>125.66</v>
      </c>
      <c r="D179" s="50" t="s">
        <v>51</v>
      </c>
      <c r="E179" s="49">
        <f>ROUND(C177*(C179/1000),2)</f>
        <v>0</v>
      </c>
      <c r="F179" s="50" t="s">
        <v>48</v>
      </c>
      <c r="G179" s="50">
        <f>G$24</f>
        <v>10</v>
      </c>
      <c r="H179" s="52" t="s">
        <v>49</v>
      </c>
      <c r="I179" s="53">
        <f>E179*G179</f>
        <v>0</v>
      </c>
    </row>
    <row r="180" spans="2:9" ht="18" customHeight="1">
      <c r="B180" s="23" t="s">
        <v>36</v>
      </c>
      <c r="C180" s="252" t="s">
        <v>14</v>
      </c>
      <c r="D180" s="252" t="s">
        <v>37</v>
      </c>
      <c r="E180" s="252" t="s">
        <v>71</v>
      </c>
      <c r="F180" s="252" t="s">
        <v>38</v>
      </c>
      <c r="G180" s="252" t="s">
        <v>72</v>
      </c>
      <c r="H180" s="252" t="s">
        <v>22</v>
      </c>
      <c r="I180" s="25" t="s">
        <v>40</v>
      </c>
    </row>
    <row r="181" spans="2:9" ht="18" customHeight="1">
      <c r="B181" s="648" t="s">
        <v>104</v>
      </c>
      <c r="C181" s="649" t="s">
        <v>105</v>
      </c>
      <c r="D181" s="250">
        <f>D6</f>
        <v>2220</v>
      </c>
      <c r="E181" s="250">
        <v>1</v>
      </c>
      <c r="F181" s="250"/>
      <c r="G181" s="250"/>
      <c r="H181" s="28">
        <v>1.5629999999999999</v>
      </c>
      <c r="I181" s="59">
        <f>ROUND((D181*E181+F181*G181)/1000*H181,3)</f>
        <v>3.47</v>
      </c>
    </row>
    <row r="182" spans="2:9" ht="18" customHeight="1">
      <c r="B182" s="648"/>
      <c r="C182" s="650"/>
      <c r="D182" s="250"/>
      <c r="E182" s="250"/>
      <c r="F182" s="250"/>
      <c r="G182" s="250"/>
      <c r="H182" s="28">
        <f>H181</f>
        <v>1.5629999999999999</v>
      </c>
      <c r="I182" s="59">
        <f>ROUND((D182*E182+F182*G182)/1000*H182,3)</f>
        <v>0</v>
      </c>
    </row>
    <row r="183" spans="2:9" ht="18" customHeight="1">
      <c r="B183" s="648"/>
      <c r="C183" s="651"/>
      <c r="D183" s="250"/>
      <c r="E183" s="250"/>
      <c r="F183" s="250"/>
      <c r="G183" s="250"/>
      <c r="H183" s="28">
        <f>H182</f>
        <v>1.5629999999999999</v>
      </c>
      <c r="I183" s="59">
        <f>ROUND((D183*E183+F183*G183)/1000*H183,3)</f>
        <v>0</v>
      </c>
    </row>
    <row r="184" spans="2:9" ht="18" customHeight="1">
      <c r="B184" s="48" t="s">
        <v>42</v>
      </c>
      <c r="C184" s="49">
        <f>SUMPRODUCT(D181:D183*E181:E183+F181:F183*G181:G183)/1000</f>
        <v>2.2200000000000002</v>
      </c>
      <c r="D184" s="50" t="s">
        <v>43</v>
      </c>
      <c r="E184" s="49">
        <f>SUM(I181:I183)*1.1</f>
        <v>3.8170000000000006</v>
      </c>
      <c r="F184" s="50" t="s">
        <v>44</v>
      </c>
      <c r="G184" s="51">
        <f>(C$218+C$219)/1000</f>
        <v>46.081499999999998</v>
      </c>
      <c r="H184" s="52" t="s">
        <v>45</v>
      </c>
      <c r="I184" s="53">
        <f>ROUND(E184*G184,2)</f>
        <v>175.89</v>
      </c>
    </row>
    <row r="185" spans="2:9" ht="18" customHeight="1">
      <c r="B185" s="48" t="s">
        <v>46</v>
      </c>
      <c r="C185" s="50">
        <v>105.66</v>
      </c>
      <c r="D185" s="50" t="s">
        <v>47</v>
      </c>
      <c r="E185" s="49">
        <f>ROUND(C184*(C185/1000),2)</f>
        <v>0.23</v>
      </c>
      <c r="F185" s="50" t="s">
        <v>48</v>
      </c>
      <c r="G185" s="50">
        <f>G$23</f>
        <v>10</v>
      </c>
      <c r="H185" s="52" t="s">
        <v>49</v>
      </c>
      <c r="I185" s="53">
        <f>E185*G185</f>
        <v>2.3000000000000003</v>
      </c>
    </row>
    <row r="186" spans="2:9" ht="18" customHeight="1">
      <c r="B186" s="48" t="s">
        <v>50</v>
      </c>
      <c r="C186" s="50">
        <v>125.66</v>
      </c>
      <c r="D186" s="50" t="s">
        <v>51</v>
      </c>
      <c r="E186" s="49">
        <f>ROUND(C184*(C186/1000),2)</f>
        <v>0.28000000000000003</v>
      </c>
      <c r="F186" s="50" t="s">
        <v>48</v>
      </c>
      <c r="G186" s="50">
        <f>G$24</f>
        <v>10</v>
      </c>
      <c r="H186" s="52" t="s">
        <v>49</v>
      </c>
      <c r="I186" s="53">
        <f>E186*G186</f>
        <v>2.8000000000000003</v>
      </c>
    </row>
    <row r="187" spans="2:9" ht="18" customHeight="1">
      <c r="B187" s="23" t="s">
        <v>36</v>
      </c>
      <c r="C187" s="252" t="s">
        <v>14</v>
      </c>
      <c r="D187" s="252" t="s">
        <v>37</v>
      </c>
      <c r="E187" s="252" t="s">
        <v>71</v>
      </c>
      <c r="F187" s="252" t="s">
        <v>38</v>
      </c>
      <c r="G187" s="252" t="s">
        <v>72</v>
      </c>
      <c r="H187" s="252" t="s">
        <v>22</v>
      </c>
      <c r="I187" s="25" t="s">
        <v>40</v>
      </c>
    </row>
    <row r="188" spans="2:9" ht="18" customHeight="1">
      <c r="B188" s="648" t="s">
        <v>106</v>
      </c>
      <c r="C188" s="649" t="s">
        <v>107</v>
      </c>
      <c r="D188" s="250"/>
      <c r="E188" s="250"/>
      <c r="F188" s="250"/>
      <c r="G188" s="250"/>
      <c r="H188" s="28">
        <v>1.732</v>
      </c>
      <c r="I188" s="59">
        <f>ROUND((D188*E188+F188*G188)/1000*H188,3)</f>
        <v>0</v>
      </c>
    </row>
    <row r="189" spans="2:9" ht="18" customHeight="1">
      <c r="B189" s="648"/>
      <c r="C189" s="650"/>
      <c r="D189" s="250"/>
      <c r="E189" s="250"/>
      <c r="F189" s="250"/>
      <c r="G189" s="250"/>
      <c r="H189" s="28">
        <f>H188</f>
        <v>1.732</v>
      </c>
      <c r="I189" s="59">
        <f>ROUND((D189*E189+F189*G189)/1000*H189,3)</f>
        <v>0</v>
      </c>
    </row>
    <row r="190" spans="2:9" ht="18" customHeight="1">
      <c r="B190" s="648"/>
      <c r="C190" s="651"/>
      <c r="D190" s="250"/>
      <c r="E190" s="250"/>
      <c r="F190" s="250">
        <f>E6</f>
        <v>3720</v>
      </c>
      <c r="G190" s="250"/>
      <c r="H190" s="28">
        <f>H189</f>
        <v>1.732</v>
      </c>
      <c r="I190" s="59">
        <f>ROUND((D190*E190+F190*G190)/1000*H190,3)</f>
        <v>0</v>
      </c>
    </row>
    <row r="191" spans="2:9" ht="18" customHeight="1">
      <c r="B191" s="48" t="s">
        <v>42</v>
      </c>
      <c r="C191" s="49">
        <f>SUMPRODUCT(D188:D190*E188:E190+F188:F190*G188:G190)/1000</f>
        <v>0</v>
      </c>
      <c r="D191" s="50" t="s">
        <v>43</v>
      </c>
      <c r="E191" s="49">
        <f>SUM(I188:I190)*1.1</f>
        <v>0</v>
      </c>
      <c r="F191" s="50" t="s">
        <v>44</v>
      </c>
      <c r="G191" s="51">
        <f>(C$218+C$219)/1000</f>
        <v>46.081499999999998</v>
      </c>
      <c r="H191" s="52" t="s">
        <v>45</v>
      </c>
      <c r="I191" s="53">
        <f>ROUND(E191*G191,2)</f>
        <v>0</v>
      </c>
    </row>
    <row r="192" spans="2:9" ht="18" customHeight="1">
      <c r="B192" s="48" t="s">
        <v>46</v>
      </c>
      <c r="C192" s="50">
        <v>105.66</v>
      </c>
      <c r="D192" s="50" t="s">
        <v>47</v>
      </c>
      <c r="E192" s="49">
        <f>ROUND(C191*(C192/1000),2)</f>
        <v>0</v>
      </c>
      <c r="F192" s="50" t="s">
        <v>48</v>
      </c>
      <c r="G192" s="50">
        <f>G$23</f>
        <v>10</v>
      </c>
      <c r="H192" s="52" t="s">
        <v>49</v>
      </c>
      <c r="I192" s="53">
        <f>E192*G192</f>
        <v>0</v>
      </c>
    </row>
    <row r="193" spans="2:15" ht="18" customHeight="1">
      <c r="B193" s="48" t="s">
        <v>50</v>
      </c>
      <c r="C193" s="50">
        <v>125.66</v>
      </c>
      <c r="D193" s="50" t="s">
        <v>51</v>
      </c>
      <c r="E193" s="49">
        <f>ROUND(C191*(C193/1000),2)</f>
        <v>0</v>
      </c>
      <c r="F193" s="50" t="s">
        <v>48</v>
      </c>
      <c r="G193" s="50">
        <f>G$24</f>
        <v>10</v>
      </c>
      <c r="H193" s="52" t="s">
        <v>49</v>
      </c>
      <c r="I193" s="53">
        <f>E193*G193</f>
        <v>0</v>
      </c>
    </row>
    <row r="194" spans="2:15" ht="18" customHeight="1">
      <c r="B194" s="23" t="s">
        <v>36</v>
      </c>
      <c r="C194" s="252" t="s">
        <v>14</v>
      </c>
      <c r="D194" s="652" t="s">
        <v>38</v>
      </c>
      <c r="E194" s="652"/>
      <c r="F194" s="652"/>
      <c r="G194" s="252" t="s">
        <v>72</v>
      </c>
      <c r="H194" s="252" t="s">
        <v>22</v>
      </c>
      <c r="I194" s="25" t="s">
        <v>40</v>
      </c>
    </row>
    <row r="195" spans="2:15" ht="18" customHeight="1">
      <c r="B195" s="643" t="s">
        <v>108</v>
      </c>
      <c r="C195" s="645" t="s">
        <v>109</v>
      </c>
      <c r="D195" s="646"/>
      <c r="E195" s="646"/>
      <c r="F195" s="646"/>
      <c r="G195" s="250"/>
      <c r="H195" s="250">
        <v>1.796</v>
      </c>
      <c r="I195" s="59">
        <f>ROUND((D195*G195*H195)/1000,3)</f>
        <v>0</v>
      </c>
    </row>
    <row r="196" spans="2:15" ht="18" customHeight="1">
      <c r="B196" s="644"/>
      <c r="C196" s="640"/>
      <c r="D196" s="646"/>
      <c r="E196" s="646"/>
      <c r="F196" s="646"/>
      <c r="G196" s="250"/>
      <c r="H196" s="250">
        <f>H195</f>
        <v>1.796</v>
      </c>
      <c r="I196" s="59">
        <f>ROUND((D196*G196*H196)/1000,3)</f>
        <v>0</v>
      </c>
    </row>
    <row r="197" spans="2:15" ht="18" customHeight="1">
      <c r="B197" s="643" t="s">
        <v>110</v>
      </c>
      <c r="C197" s="645" t="s">
        <v>111</v>
      </c>
      <c r="D197" s="646"/>
      <c r="E197" s="646"/>
      <c r="F197" s="646"/>
      <c r="G197" s="250"/>
      <c r="H197" s="250">
        <v>1.355</v>
      </c>
      <c r="I197" s="59"/>
    </row>
    <row r="198" spans="2:15" ht="18" customHeight="1">
      <c r="B198" s="644"/>
      <c r="C198" s="640"/>
      <c r="D198" s="646"/>
      <c r="E198" s="646"/>
      <c r="F198" s="646"/>
      <c r="G198" s="250"/>
      <c r="H198" s="250">
        <f>H197</f>
        <v>1.355</v>
      </c>
      <c r="I198" s="59"/>
    </row>
    <row r="199" spans="2:15" ht="18" customHeight="1">
      <c r="B199" s="48" t="s">
        <v>42</v>
      </c>
      <c r="C199" s="49">
        <f>SUMPRODUCT(D195:F198*G195:G198)/1000</f>
        <v>0</v>
      </c>
      <c r="D199" s="50" t="s">
        <v>43</v>
      </c>
      <c r="E199" s="49">
        <f>SUM(I195:I198)*1.1</f>
        <v>0</v>
      </c>
      <c r="F199" s="50" t="s">
        <v>44</v>
      </c>
      <c r="G199" s="51">
        <f>(C$218+C$219)/1000</f>
        <v>46.081499999999998</v>
      </c>
      <c r="H199" s="52" t="s">
        <v>45</v>
      </c>
      <c r="I199" s="53">
        <f>ROUND(E199*G199,2)</f>
        <v>0</v>
      </c>
    </row>
    <row r="200" spans="2:15" ht="18" customHeight="1">
      <c r="B200" s="48" t="s">
        <v>46</v>
      </c>
      <c r="C200" s="50">
        <v>267.77999999999997</v>
      </c>
      <c r="D200" s="50" t="s">
        <v>47</v>
      </c>
      <c r="E200" s="49">
        <f>ROUND(C199*(C200/1000),2)</f>
        <v>0</v>
      </c>
      <c r="F200" s="50" t="s">
        <v>48</v>
      </c>
      <c r="G200" s="50">
        <f>G$23</f>
        <v>10</v>
      </c>
      <c r="H200" s="52" t="s">
        <v>49</v>
      </c>
      <c r="I200" s="53">
        <f>E200*G200</f>
        <v>0</v>
      </c>
    </row>
    <row r="201" spans="2:15" ht="18" customHeight="1">
      <c r="B201" s="48" t="s">
        <v>50</v>
      </c>
      <c r="C201" s="50">
        <v>104.29</v>
      </c>
      <c r="D201" s="50" t="s">
        <v>51</v>
      </c>
      <c r="E201" s="49">
        <f>ROUND(C199*(C201/1000),2)</f>
        <v>0</v>
      </c>
      <c r="F201" s="50" t="s">
        <v>48</v>
      </c>
      <c r="G201" s="50">
        <f>G$24</f>
        <v>10</v>
      </c>
      <c r="H201" s="52" t="s">
        <v>49</v>
      </c>
      <c r="I201" s="53">
        <f>E201*G201</f>
        <v>0</v>
      </c>
    </row>
    <row r="202" spans="2:15" ht="18" customHeight="1">
      <c r="B202" s="103" t="s">
        <v>112</v>
      </c>
      <c r="C202" s="104" t="s">
        <v>113</v>
      </c>
      <c r="D202" s="104" t="s">
        <v>28</v>
      </c>
      <c r="E202" s="104" t="s">
        <v>8</v>
      </c>
      <c r="F202" s="104" t="s">
        <v>112</v>
      </c>
      <c r="G202" s="104" t="s">
        <v>113</v>
      </c>
      <c r="H202" s="104" t="s">
        <v>28</v>
      </c>
      <c r="I202" s="105" t="s">
        <v>8</v>
      </c>
      <c r="N202" s="106"/>
      <c r="O202" s="102"/>
    </row>
    <row r="203" spans="2:15" ht="18" customHeight="1">
      <c r="B203" s="251" t="s">
        <v>327</v>
      </c>
      <c r="C203" s="107" t="s">
        <v>114</v>
      </c>
      <c r="D203" s="108">
        <v>2.15</v>
      </c>
      <c r="E203" s="253">
        <f>SUM(G14:G21)*4</f>
        <v>8</v>
      </c>
      <c r="F203" s="647" t="s">
        <v>115</v>
      </c>
      <c r="G203" s="107" t="s">
        <v>116</v>
      </c>
      <c r="H203" s="108">
        <v>2.46</v>
      </c>
      <c r="I203" s="247">
        <f>SUM(G108:G111)*4</f>
        <v>0</v>
      </c>
      <c r="J203" s="42"/>
      <c r="N203" s="106"/>
      <c r="O203" s="102"/>
    </row>
    <row r="204" spans="2:15" ht="18" customHeight="1">
      <c r="B204" s="251" t="s">
        <v>328</v>
      </c>
      <c r="C204" s="107" t="s">
        <v>117</v>
      </c>
      <c r="D204" s="108">
        <v>1.72</v>
      </c>
      <c r="E204" s="253">
        <f>E203</f>
        <v>8</v>
      </c>
      <c r="F204" s="646"/>
      <c r="G204" s="107" t="s">
        <v>118</v>
      </c>
      <c r="H204" s="108">
        <v>3.11</v>
      </c>
      <c r="I204" s="247">
        <f>I203</f>
        <v>0</v>
      </c>
      <c r="J204" s="42"/>
      <c r="N204" s="106"/>
      <c r="O204" s="102"/>
    </row>
    <row r="205" spans="2:15" ht="18" customHeight="1">
      <c r="B205" s="109" t="s">
        <v>330</v>
      </c>
      <c r="C205" s="107" t="s">
        <v>119</v>
      </c>
      <c r="D205" s="108">
        <v>2.68</v>
      </c>
      <c r="E205" s="253">
        <f>SUM(G26:G30)*4</f>
        <v>0</v>
      </c>
      <c r="F205" s="110" t="s">
        <v>120</v>
      </c>
      <c r="G205" s="107" t="s">
        <v>121</v>
      </c>
      <c r="H205" s="111">
        <v>4.76</v>
      </c>
      <c r="I205" s="247">
        <f>SUM(G123:G125)*4</f>
        <v>0</v>
      </c>
      <c r="J205" s="42"/>
      <c r="N205" s="106"/>
      <c r="O205" s="102"/>
    </row>
    <row r="206" spans="2:15" ht="18" customHeight="1">
      <c r="B206" s="109" t="s">
        <v>329</v>
      </c>
      <c r="C206" s="107" t="s">
        <v>122</v>
      </c>
      <c r="D206" s="108">
        <v>1.27</v>
      </c>
      <c r="E206" s="253">
        <f>E205</f>
        <v>0</v>
      </c>
      <c r="F206" s="110" t="s">
        <v>123</v>
      </c>
      <c r="G206" s="107" t="s">
        <v>124</v>
      </c>
      <c r="H206" s="111">
        <v>3.85</v>
      </c>
      <c r="I206" s="247">
        <f>I205</f>
        <v>0</v>
      </c>
      <c r="J206" s="42"/>
      <c r="N206" s="106"/>
      <c r="O206" s="102"/>
    </row>
    <row r="207" spans="2:15" ht="18" customHeight="1">
      <c r="B207" s="109" t="s">
        <v>331</v>
      </c>
      <c r="C207" s="107" t="s">
        <v>125</v>
      </c>
      <c r="D207" s="111" t="s">
        <v>126</v>
      </c>
      <c r="E207" s="253">
        <f>SUM(G35:G37)*4</f>
        <v>0</v>
      </c>
      <c r="F207" s="110" t="s">
        <v>127</v>
      </c>
      <c r="G207" s="107" t="s">
        <v>128</v>
      </c>
      <c r="H207" s="111">
        <v>4.29</v>
      </c>
      <c r="I207" s="247">
        <f>SUM(G116:G118)*4</f>
        <v>0</v>
      </c>
      <c r="J207" s="42"/>
      <c r="N207" s="106"/>
      <c r="O207" s="102"/>
    </row>
    <row r="208" spans="2:15" ht="18" customHeight="1">
      <c r="B208" s="109" t="s">
        <v>332</v>
      </c>
      <c r="C208" s="107" t="s">
        <v>129</v>
      </c>
      <c r="D208" s="111" t="s">
        <v>130</v>
      </c>
      <c r="E208" s="253">
        <f>E207</f>
        <v>0</v>
      </c>
      <c r="F208" s="110" t="s">
        <v>131</v>
      </c>
      <c r="G208" s="107" t="s">
        <v>132</v>
      </c>
      <c r="H208" s="111">
        <v>4.5</v>
      </c>
      <c r="I208" s="247">
        <f>I207</f>
        <v>0</v>
      </c>
      <c r="J208" s="42"/>
      <c r="N208" s="106"/>
      <c r="O208" s="102"/>
    </row>
    <row r="209" spans="2:15" ht="18" customHeight="1">
      <c r="B209" s="249" t="s">
        <v>333</v>
      </c>
      <c r="C209" s="250">
        <v>12.6</v>
      </c>
      <c r="D209" s="111">
        <v>1.32</v>
      </c>
      <c r="E209" s="253">
        <f>SUM(G42:G47)*4</f>
        <v>0</v>
      </c>
      <c r="F209" s="639"/>
      <c r="G209" s="107"/>
      <c r="H209" s="28"/>
      <c r="I209" s="247"/>
      <c r="N209" s="106"/>
      <c r="O209" s="102"/>
    </row>
    <row r="210" spans="2:15" ht="18" customHeight="1">
      <c r="B210" s="249" t="s">
        <v>334</v>
      </c>
      <c r="C210" s="250">
        <v>15.8</v>
      </c>
      <c r="D210" s="111">
        <v>1.18</v>
      </c>
      <c r="E210" s="253">
        <f>E209</f>
        <v>0</v>
      </c>
      <c r="F210" s="640"/>
      <c r="G210" s="107"/>
      <c r="H210" s="28"/>
      <c r="I210" s="231"/>
      <c r="N210" s="106"/>
      <c r="O210" s="102"/>
    </row>
    <row r="211" spans="2:15" ht="18" customHeight="1">
      <c r="B211" s="251" t="s">
        <v>335</v>
      </c>
      <c r="C211" s="107" t="s">
        <v>337</v>
      </c>
      <c r="D211" s="111">
        <v>2.81</v>
      </c>
      <c r="E211" s="250">
        <f>SUM(E52+E53+E54+E55+G52+G53+G54+G55+G60+G61+G62+G63)*2</f>
        <v>14</v>
      </c>
      <c r="F211" s="641" t="s">
        <v>133</v>
      </c>
      <c r="G211" s="111">
        <f>SUMPRODUCT(D35:D37,G35:G37)/1000</f>
        <v>0</v>
      </c>
      <c r="H211" s="28">
        <v>0.16</v>
      </c>
      <c r="I211" s="232">
        <f>G211*H211</f>
        <v>0</v>
      </c>
      <c r="N211" s="106"/>
      <c r="O211" s="102"/>
    </row>
    <row r="212" spans="2:15" ht="18" customHeight="1">
      <c r="B212" s="251" t="s">
        <v>336</v>
      </c>
      <c r="C212" s="107" t="s">
        <v>338</v>
      </c>
      <c r="D212" s="111">
        <v>3.51</v>
      </c>
      <c r="E212" s="250">
        <f>E211</f>
        <v>14</v>
      </c>
      <c r="F212" s="641"/>
      <c r="G212" s="111">
        <f>SUMPRODUCT(D26:D30,G26:G30)/1000</f>
        <v>0</v>
      </c>
      <c r="H212" s="28">
        <v>0.16</v>
      </c>
      <c r="I212" s="232">
        <f>G212*H212</f>
        <v>0</v>
      </c>
      <c r="N212" s="106"/>
      <c r="O212" s="102"/>
    </row>
    <row r="213" spans="2:15" ht="18" customHeight="1">
      <c r="B213" s="251" t="s">
        <v>134</v>
      </c>
      <c r="C213" s="250">
        <v>30.6</v>
      </c>
      <c r="D213" s="111">
        <v>2.81</v>
      </c>
      <c r="E213" s="253">
        <f>SUM(+E130+E131+E132+G130+G131+G132)*2</f>
        <v>0</v>
      </c>
      <c r="F213" s="641" t="s">
        <v>135</v>
      </c>
      <c r="G213" s="111">
        <f>SUMPRODUCT(E26:E30,G26:G30)/1000</f>
        <v>0</v>
      </c>
      <c r="H213" s="28">
        <v>0.16</v>
      </c>
      <c r="I213" s="232">
        <f>G213*H213</f>
        <v>0</v>
      </c>
      <c r="N213" s="106"/>
      <c r="O213" s="102"/>
    </row>
    <row r="214" spans="2:15" ht="18" customHeight="1">
      <c r="B214" s="251" t="s">
        <v>136</v>
      </c>
      <c r="C214" s="250">
        <v>30.6</v>
      </c>
      <c r="D214" s="111">
        <v>3.51</v>
      </c>
      <c r="E214" s="253">
        <f>E213</f>
        <v>0</v>
      </c>
      <c r="F214" s="641"/>
      <c r="G214" s="111">
        <f>SUMPRODUCT(E35:E37,G35:G37)/1000</f>
        <v>0</v>
      </c>
      <c r="H214" s="28">
        <v>0.16</v>
      </c>
      <c r="I214" s="232">
        <f>G214*H214</f>
        <v>0</v>
      </c>
      <c r="N214" s="106"/>
      <c r="O214" s="102"/>
    </row>
    <row r="215" spans="2:15" ht="18" customHeight="1">
      <c r="B215" s="52" t="s">
        <v>137</v>
      </c>
      <c r="C215" s="112" cm="1">
        <f t="array" ref="C215">SUMPRODUCT(D203:D214*E203:E214)+SUMPRODUCT(H203:H210*I203:I210)</f>
        <v>119.44000000000001</v>
      </c>
      <c r="D215" s="52"/>
      <c r="E215" s="52"/>
      <c r="F215" s="52"/>
      <c r="G215" s="52" t="s">
        <v>138</v>
      </c>
      <c r="H215" s="52" cm="1">
        <f t="array" ref="H215">SUMPRODUCT(G211:G214*H211:H214)</f>
        <v>0</v>
      </c>
      <c r="I215" s="233">
        <f>H215*1.08</f>
        <v>0</v>
      </c>
      <c r="N215" s="106"/>
      <c r="O215" s="102"/>
    </row>
    <row r="216" spans="2:15" ht="18" customHeight="1">
      <c r="B216" s="23" t="s">
        <v>139</v>
      </c>
      <c r="C216" s="252" t="s">
        <v>14</v>
      </c>
      <c r="D216" s="252" t="s">
        <v>22</v>
      </c>
      <c r="E216" s="252" t="s">
        <v>8</v>
      </c>
      <c r="F216" s="252" t="s">
        <v>113</v>
      </c>
      <c r="G216" s="252" t="s">
        <v>40</v>
      </c>
      <c r="H216" s="252" t="s">
        <v>28</v>
      </c>
      <c r="I216" s="25" t="s">
        <v>29</v>
      </c>
      <c r="N216" s="106"/>
      <c r="O216" s="102"/>
    </row>
    <row r="217" spans="2:15" ht="18" customHeight="1">
      <c r="B217" s="48" t="s">
        <v>140</v>
      </c>
      <c r="C217" s="52" t="s">
        <v>141</v>
      </c>
      <c r="D217" s="50">
        <v>0.14199999999999999</v>
      </c>
      <c r="E217" s="50">
        <v>1</v>
      </c>
      <c r="F217" s="50">
        <f>D6</f>
        <v>2220</v>
      </c>
      <c r="G217" s="128">
        <f>D217*F217*E217/1000*1.1</f>
        <v>0.34676400000000002</v>
      </c>
      <c r="H217" s="52">
        <f>(C218+C222)/1000</f>
        <v>39.781500000000001</v>
      </c>
      <c r="I217" s="193">
        <f>G217*H217</f>
        <v>13.794792066000001</v>
      </c>
      <c r="N217" s="106"/>
      <c r="O217" s="102"/>
    </row>
    <row r="218" spans="2:15" ht="18" customHeight="1">
      <c r="B218" s="37" t="s">
        <v>142</v>
      </c>
      <c r="C218" s="113">
        <f>材料价格!B4</f>
        <v>22081.5</v>
      </c>
      <c r="D218" s="39" t="s">
        <v>143</v>
      </c>
      <c r="E218" s="114">
        <f>E139+E133+E126+E119+E112+E199+E177+E64+E56+E48+E38+E31+E22+E184+E191</f>
        <v>65.277300000000011</v>
      </c>
      <c r="F218" s="39" t="s">
        <v>144</v>
      </c>
      <c r="G218" s="115">
        <f>I218/E218-C218/1000</f>
        <v>23.999909617125695</v>
      </c>
      <c r="H218" s="39" t="s">
        <v>145</v>
      </c>
      <c r="I218" s="116">
        <f>I22+I31+I38+I48+I56+I64+I199+I112+I119+I126+I133+I139+I177+I184+I191</f>
        <v>3008.0699999999997</v>
      </c>
      <c r="N218" s="106"/>
      <c r="O218" s="102"/>
    </row>
    <row r="219" spans="2:15" ht="18" customHeight="1">
      <c r="B219" s="117" t="s">
        <v>146</v>
      </c>
      <c r="C219" s="118">
        <f>材料价格!B5</f>
        <v>24000</v>
      </c>
      <c r="D219" s="39" t="s">
        <v>147</v>
      </c>
      <c r="E219" s="114">
        <f>E163+E153+E146+E104+E97+E88+G217+E170</f>
        <v>11.412764000000001</v>
      </c>
      <c r="F219" s="39" t="s">
        <v>148</v>
      </c>
      <c r="G219" s="119">
        <f>I219/E219-C218/1000</f>
        <v>17.699817835539228</v>
      </c>
      <c r="H219" s="39" t="s">
        <v>149</v>
      </c>
      <c r="I219" s="116">
        <f>I88+I97+I104+I146+I153+I163+I217+I170</f>
        <v>454.01479206600004</v>
      </c>
      <c r="N219" s="106"/>
      <c r="O219" s="102"/>
    </row>
    <row r="220" spans="2:15" ht="18" customHeight="1">
      <c r="B220" s="117" t="s">
        <v>150</v>
      </c>
      <c r="C220" s="118">
        <f>C219</f>
        <v>24000</v>
      </c>
      <c r="D220" s="39" t="s">
        <v>151</v>
      </c>
      <c r="E220" s="120">
        <f>I215</f>
        <v>0</v>
      </c>
      <c r="F220" s="39" t="s">
        <v>152</v>
      </c>
      <c r="G220" s="119" t="e">
        <f>I220/E220-C218/1000</f>
        <v>#DIV/0!</v>
      </c>
      <c r="H220" s="39" t="s">
        <v>153</v>
      </c>
      <c r="I220" s="116">
        <f>ROUND(E220*(C218+C223)/1000,2)</f>
        <v>0</v>
      </c>
      <c r="N220" s="106"/>
      <c r="O220" s="102"/>
    </row>
    <row r="221" spans="2:15" ht="18" customHeight="1">
      <c r="B221" s="117" t="s">
        <v>154</v>
      </c>
      <c r="C221" s="121">
        <f>C220</f>
        <v>24000</v>
      </c>
      <c r="D221" s="39" t="s">
        <v>155</v>
      </c>
      <c r="E221" s="39"/>
      <c r="F221" s="39" t="s">
        <v>156</v>
      </c>
      <c r="G221" s="39"/>
      <c r="H221" s="39" t="s">
        <v>49</v>
      </c>
      <c r="I221" s="116">
        <f>E221*G221</f>
        <v>0</v>
      </c>
      <c r="J221" s="42"/>
      <c r="K221" s="255"/>
    </row>
    <row r="222" spans="2:15" ht="18" customHeight="1">
      <c r="B222" s="117" t="s">
        <v>148</v>
      </c>
      <c r="C222" s="122">
        <f>材料价格!B6</f>
        <v>17700</v>
      </c>
      <c r="D222" s="39" t="s">
        <v>157</v>
      </c>
      <c r="E222" s="39"/>
      <c r="F222" s="39" t="s">
        <v>156</v>
      </c>
      <c r="G222" s="39"/>
      <c r="H222" s="39" t="s">
        <v>49</v>
      </c>
      <c r="I222" s="116">
        <f>E222*G222</f>
        <v>0</v>
      </c>
      <c r="J222" s="123"/>
      <c r="K222" s="123"/>
      <c r="L222" s="123"/>
    </row>
    <row r="223" spans="2:15" ht="18" customHeight="1">
      <c r="B223" s="117" t="s">
        <v>152</v>
      </c>
      <c r="C223" s="122">
        <f>材料价格!B9</f>
        <v>2900</v>
      </c>
      <c r="D223" s="39" t="s">
        <v>158</v>
      </c>
      <c r="E223" s="114">
        <f>SUM(E218:E220)</f>
        <v>76.690064000000007</v>
      </c>
      <c r="F223" s="39"/>
      <c r="G223" s="39" t="s">
        <v>339</v>
      </c>
      <c r="H223" s="39"/>
      <c r="I223" s="234">
        <f>SUM(I218:I222)+C215</f>
        <v>3581.5247920659999</v>
      </c>
      <c r="J223" s="123"/>
      <c r="K223" s="123"/>
      <c r="L223" s="123"/>
    </row>
    <row r="224" spans="2:15" ht="18" customHeight="1">
      <c r="B224" s="23" t="s">
        <v>159</v>
      </c>
      <c r="C224" s="252" t="s">
        <v>113</v>
      </c>
      <c r="D224" s="252" t="s">
        <v>16</v>
      </c>
      <c r="E224" s="252" t="s">
        <v>7</v>
      </c>
      <c r="F224" s="252" t="s">
        <v>8</v>
      </c>
      <c r="G224" s="252" t="s">
        <v>28</v>
      </c>
      <c r="H224" s="252" t="s">
        <v>160</v>
      </c>
      <c r="I224" s="25" t="s">
        <v>1</v>
      </c>
      <c r="J224" s="255"/>
      <c r="K224" s="255"/>
      <c r="L224" s="255"/>
      <c r="M224" s="255"/>
    </row>
    <row r="225" spans="2:13" ht="18" customHeight="1">
      <c r="B225" s="124" t="str">
        <f>材料价格!A10</f>
        <v>6单银Low-E+12A+6</v>
      </c>
      <c r="C225" s="253">
        <f t="shared" ref="C225:D229" si="25">D92</f>
        <v>-90</v>
      </c>
      <c r="D225" s="253">
        <f t="shared" si="25"/>
        <v>-90</v>
      </c>
      <c r="E225" s="32">
        <f>C225*D225/10^6</f>
        <v>8.0999999999999996E-3</v>
      </c>
      <c r="F225" s="250">
        <f>G26</f>
        <v>0</v>
      </c>
      <c r="G225" s="125">
        <f>材料价格!B10</f>
        <v>148</v>
      </c>
      <c r="H225" s="250">
        <f>ROUND(E225*G225*F225,2)</f>
        <v>0</v>
      </c>
      <c r="I225" s="247" t="s">
        <v>161</v>
      </c>
      <c r="J225" s="255"/>
      <c r="K225" s="255"/>
      <c r="L225" s="255"/>
      <c r="M225" s="255"/>
    </row>
    <row r="226" spans="2:13" ht="18" customHeight="1">
      <c r="B226" s="124" t="str">
        <f t="shared" ref="B226:B232" si="26">B225</f>
        <v>6单银Low-E+12A+6</v>
      </c>
      <c r="C226" s="253">
        <f t="shared" si="25"/>
        <v>-90</v>
      </c>
      <c r="D226" s="253">
        <f t="shared" si="25"/>
        <v>-90</v>
      </c>
      <c r="E226" s="32">
        <f t="shared" ref="E226:E284" si="27">C226*D226/10^6</f>
        <v>8.0999999999999996E-3</v>
      </c>
      <c r="F226" s="250">
        <f>G27</f>
        <v>0</v>
      </c>
      <c r="G226" s="126">
        <f t="shared" ref="G226:G232" si="28">G225</f>
        <v>148</v>
      </c>
      <c r="H226" s="250">
        <f t="shared" ref="H226:H241" si="29">ROUND(E226*G226*F226,2)</f>
        <v>0</v>
      </c>
      <c r="I226" s="247" t="s">
        <v>162</v>
      </c>
      <c r="J226" s="255"/>
      <c r="K226" s="255"/>
      <c r="L226" s="255"/>
      <c r="M226" s="255"/>
    </row>
    <row r="227" spans="2:13" ht="18" customHeight="1">
      <c r="B227" s="124" t="str">
        <f t="shared" si="26"/>
        <v>6单银Low-E+12A+6</v>
      </c>
      <c r="C227" s="253">
        <f t="shared" si="25"/>
        <v>-90</v>
      </c>
      <c r="D227" s="253">
        <f t="shared" si="25"/>
        <v>-90</v>
      </c>
      <c r="E227" s="32">
        <f t="shared" si="27"/>
        <v>8.0999999999999996E-3</v>
      </c>
      <c r="F227" s="250">
        <f>G28</f>
        <v>0</v>
      </c>
      <c r="G227" s="126">
        <f t="shared" si="28"/>
        <v>148</v>
      </c>
      <c r="H227" s="250">
        <f t="shared" si="29"/>
        <v>0</v>
      </c>
      <c r="I227" s="247" t="s">
        <v>162</v>
      </c>
      <c r="J227" s="255"/>
      <c r="K227" s="255"/>
      <c r="L227" s="255"/>
      <c r="M227" s="255"/>
    </row>
    <row r="228" spans="2:13" ht="18" customHeight="1">
      <c r="B228" s="124" t="str">
        <f t="shared" si="26"/>
        <v>6单银Low-E+12A+6</v>
      </c>
      <c r="C228" s="253">
        <f t="shared" si="25"/>
        <v>-90</v>
      </c>
      <c r="D228" s="253">
        <f t="shared" si="25"/>
        <v>-90</v>
      </c>
      <c r="E228" s="32">
        <f t="shared" si="27"/>
        <v>8.0999999999999996E-3</v>
      </c>
      <c r="F228" s="250">
        <f>G29</f>
        <v>0</v>
      </c>
      <c r="G228" s="126">
        <f t="shared" si="28"/>
        <v>148</v>
      </c>
      <c r="H228" s="250">
        <f t="shared" si="29"/>
        <v>0</v>
      </c>
      <c r="I228" s="247" t="s">
        <v>162</v>
      </c>
      <c r="J228" s="255"/>
      <c r="K228" s="255"/>
      <c r="L228" s="255"/>
      <c r="M228" s="255"/>
    </row>
    <row r="229" spans="2:13" ht="18" customHeight="1">
      <c r="B229" s="124" t="str">
        <f t="shared" si="26"/>
        <v>6单银Low-E+12A+6</v>
      </c>
      <c r="C229" s="253">
        <f t="shared" si="25"/>
        <v>-90</v>
      </c>
      <c r="D229" s="253">
        <f t="shared" si="25"/>
        <v>-90</v>
      </c>
      <c r="E229" s="32">
        <f t="shared" si="27"/>
        <v>8.0999999999999996E-3</v>
      </c>
      <c r="F229" s="250">
        <f>G30</f>
        <v>0</v>
      </c>
      <c r="G229" s="126">
        <f t="shared" si="28"/>
        <v>148</v>
      </c>
      <c r="H229" s="250">
        <f t="shared" si="29"/>
        <v>0</v>
      </c>
      <c r="I229" s="247" t="s">
        <v>162</v>
      </c>
      <c r="J229" s="123"/>
      <c r="K229" s="123"/>
      <c r="L229" s="123"/>
    </row>
    <row r="230" spans="2:13" ht="18" customHeight="1">
      <c r="B230" s="124" t="str">
        <f t="shared" si="26"/>
        <v>6单银Low-E+12A+6</v>
      </c>
      <c r="C230" s="253">
        <f t="shared" ref="C230:D232" si="30">D101</f>
        <v>-122</v>
      </c>
      <c r="D230" s="253">
        <f t="shared" si="30"/>
        <v>-122</v>
      </c>
      <c r="E230" s="32">
        <f t="shared" si="27"/>
        <v>1.4884E-2</v>
      </c>
      <c r="F230" s="250">
        <f>G101</f>
        <v>0</v>
      </c>
      <c r="G230" s="126">
        <f t="shared" si="28"/>
        <v>148</v>
      </c>
      <c r="H230" s="250">
        <f t="shared" si="29"/>
        <v>0</v>
      </c>
      <c r="I230" s="127" t="s">
        <v>163</v>
      </c>
      <c r="J230" s="123"/>
      <c r="K230" s="123"/>
      <c r="L230" s="123"/>
    </row>
    <row r="231" spans="2:13" ht="18" customHeight="1">
      <c r="B231" s="124" t="str">
        <f t="shared" si="26"/>
        <v>6单银Low-E+12A+6</v>
      </c>
      <c r="C231" s="253">
        <f t="shared" si="30"/>
        <v>-122</v>
      </c>
      <c r="D231" s="253">
        <f t="shared" si="30"/>
        <v>-122</v>
      </c>
      <c r="E231" s="32">
        <f t="shared" si="27"/>
        <v>1.4884E-2</v>
      </c>
      <c r="F231" s="250">
        <f>G102</f>
        <v>0</v>
      </c>
      <c r="G231" s="126">
        <f t="shared" si="28"/>
        <v>148</v>
      </c>
      <c r="H231" s="250">
        <f t="shared" si="29"/>
        <v>0</v>
      </c>
      <c r="I231" s="127" t="s">
        <v>163</v>
      </c>
    </row>
    <row r="232" spans="2:13" ht="18" customHeight="1">
      <c r="B232" s="124" t="str">
        <f t="shared" si="26"/>
        <v>6单银Low-E+12A+6</v>
      </c>
      <c r="C232" s="253">
        <f t="shared" si="30"/>
        <v>-122</v>
      </c>
      <c r="D232" s="253">
        <f t="shared" si="30"/>
        <v>-122</v>
      </c>
      <c r="E232" s="32">
        <f t="shared" si="27"/>
        <v>1.4884E-2</v>
      </c>
      <c r="F232" s="250">
        <f>G103</f>
        <v>0</v>
      </c>
      <c r="G232" s="126">
        <f t="shared" si="28"/>
        <v>148</v>
      </c>
      <c r="H232" s="250">
        <f t="shared" si="29"/>
        <v>0</v>
      </c>
      <c r="I232" s="127" t="s">
        <v>163</v>
      </c>
    </row>
    <row r="233" spans="2:13" ht="18" customHeight="1">
      <c r="B233" s="48" t="s">
        <v>164</v>
      </c>
      <c r="C233" s="52"/>
      <c r="D233" s="50"/>
      <c r="E233" s="128"/>
      <c r="F233" s="50">
        <f>SUM(F225:F232)</f>
        <v>0</v>
      </c>
      <c r="G233" s="50"/>
      <c r="H233" s="52">
        <f>SUM(H225:H232)</f>
        <v>0</v>
      </c>
      <c r="I233" s="53">
        <f>ROUND((E225*F225+E226*F226+E227*F227+E228*F228+E229*F229+E230*F230+E231*F231+E232*F232),2)</f>
        <v>0</v>
      </c>
    </row>
    <row r="234" spans="2:13" ht="18" customHeight="1">
      <c r="B234" s="124" t="str">
        <f>B232</f>
        <v>6单银Low-E+12A+6</v>
      </c>
      <c r="C234" s="253">
        <f>C225</f>
        <v>-90</v>
      </c>
      <c r="D234" s="253">
        <f>D225</f>
        <v>-90</v>
      </c>
      <c r="E234" s="32">
        <f t="shared" si="27"/>
        <v>8.0999999999999996E-3</v>
      </c>
      <c r="F234" s="250">
        <f>IF(F225=0,G26,0)</f>
        <v>0</v>
      </c>
      <c r="G234" s="126">
        <f>G232</f>
        <v>148</v>
      </c>
      <c r="H234" s="250">
        <f t="shared" si="29"/>
        <v>0</v>
      </c>
      <c r="I234" s="247" t="s">
        <v>165</v>
      </c>
      <c r="J234" s="129"/>
    </row>
    <row r="235" spans="2:13" ht="18" customHeight="1">
      <c r="B235" s="124" t="str">
        <f t="shared" ref="B235:B241" si="31">B234</f>
        <v>6单银Low-E+12A+6</v>
      </c>
      <c r="C235" s="253">
        <f t="shared" ref="C235:D241" si="32">C226</f>
        <v>-90</v>
      </c>
      <c r="D235" s="253">
        <f t="shared" si="32"/>
        <v>-90</v>
      </c>
      <c r="E235" s="32">
        <f t="shared" si="27"/>
        <v>8.0999999999999996E-3</v>
      </c>
      <c r="F235" s="250">
        <f>IF(F226=0,G27,0)</f>
        <v>0</v>
      </c>
      <c r="G235" s="126">
        <f>G234</f>
        <v>148</v>
      </c>
      <c r="H235" s="250">
        <f t="shared" si="29"/>
        <v>0</v>
      </c>
      <c r="I235" s="247" t="s">
        <v>165</v>
      </c>
      <c r="J235" s="129"/>
    </row>
    <row r="236" spans="2:13" ht="18" customHeight="1">
      <c r="B236" s="124" t="str">
        <f t="shared" si="31"/>
        <v>6单银Low-E+12A+6</v>
      </c>
      <c r="C236" s="253">
        <f t="shared" si="32"/>
        <v>-90</v>
      </c>
      <c r="D236" s="253">
        <f t="shared" si="32"/>
        <v>-90</v>
      </c>
      <c r="E236" s="32">
        <f t="shared" si="27"/>
        <v>8.0999999999999996E-3</v>
      </c>
      <c r="F236" s="250">
        <f>IF(F227=0,G28,0)</f>
        <v>0</v>
      </c>
      <c r="G236" s="126">
        <f t="shared" ref="G236:G241" si="33">G234</f>
        <v>148</v>
      </c>
      <c r="H236" s="250">
        <f t="shared" si="29"/>
        <v>0</v>
      </c>
      <c r="I236" s="247" t="s">
        <v>165</v>
      </c>
      <c r="J236" s="129"/>
    </row>
    <row r="237" spans="2:13" ht="18" customHeight="1">
      <c r="B237" s="124" t="str">
        <f t="shared" si="31"/>
        <v>6单银Low-E+12A+6</v>
      </c>
      <c r="C237" s="253">
        <f t="shared" si="32"/>
        <v>-90</v>
      </c>
      <c r="D237" s="253">
        <f t="shared" si="32"/>
        <v>-90</v>
      </c>
      <c r="E237" s="32">
        <f t="shared" si="27"/>
        <v>8.0999999999999996E-3</v>
      </c>
      <c r="F237" s="250">
        <f>IF(F228=0,G29,0)</f>
        <v>0</v>
      </c>
      <c r="G237" s="126">
        <f t="shared" si="33"/>
        <v>148</v>
      </c>
      <c r="H237" s="250">
        <f t="shared" si="29"/>
        <v>0</v>
      </c>
      <c r="I237" s="247" t="s">
        <v>165</v>
      </c>
      <c r="J237" s="129"/>
    </row>
    <row r="238" spans="2:13" ht="18" customHeight="1">
      <c r="B238" s="124" t="str">
        <f t="shared" si="31"/>
        <v>6单银Low-E+12A+6</v>
      </c>
      <c r="C238" s="253">
        <f t="shared" si="32"/>
        <v>-90</v>
      </c>
      <c r="D238" s="253">
        <f t="shared" si="32"/>
        <v>-90</v>
      </c>
      <c r="E238" s="32">
        <f t="shared" si="27"/>
        <v>8.0999999999999996E-3</v>
      </c>
      <c r="F238" s="250">
        <f>IF(F229=0,G30,0)</f>
        <v>0</v>
      </c>
      <c r="G238" s="126">
        <f t="shared" si="33"/>
        <v>148</v>
      </c>
      <c r="H238" s="250">
        <f t="shared" si="29"/>
        <v>0</v>
      </c>
      <c r="I238" s="247" t="s">
        <v>165</v>
      </c>
      <c r="J238" s="129"/>
    </row>
    <row r="239" spans="2:13" ht="18" customHeight="1">
      <c r="B239" s="124" t="str">
        <f t="shared" si="31"/>
        <v>6单银Low-E+12A+6</v>
      </c>
      <c r="C239" s="253">
        <f t="shared" si="32"/>
        <v>-122</v>
      </c>
      <c r="D239" s="253">
        <f t="shared" si="32"/>
        <v>-122</v>
      </c>
      <c r="E239" s="32">
        <f t="shared" si="27"/>
        <v>1.4884E-2</v>
      </c>
      <c r="F239" s="250">
        <f>IF(F230=0,G35,0)</f>
        <v>0</v>
      </c>
      <c r="G239" s="126">
        <f t="shared" si="33"/>
        <v>148</v>
      </c>
      <c r="H239" s="250">
        <f t="shared" si="29"/>
        <v>0</v>
      </c>
      <c r="I239" s="127" t="s">
        <v>166</v>
      </c>
      <c r="J239" s="129"/>
    </row>
    <row r="240" spans="2:13" ht="18" customHeight="1">
      <c r="B240" s="124" t="str">
        <f t="shared" si="31"/>
        <v>6单银Low-E+12A+6</v>
      </c>
      <c r="C240" s="253">
        <f t="shared" si="32"/>
        <v>-122</v>
      </c>
      <c r="D240" s="253">
        <f t="shared" si="32"/>
        <v>-122</v>
      </c>
      <c r="E240" s="32">
        <f t="shared" si="27"/>
        <v>1.4884E-2</v>
      </c>
      <c r="F240" s="250">
        <f>IF(F231=0,G36,0)</f>
        <v>0</v>
      </c>
      <c r="G240" s="126">
        <f t="shared" si="33"/>
        <v>148</v>
      </c>
      <c r="H240" s="250">
        <f t="shared" si="29"/>
        <v>0</v>
      </c>
      <c r="I240" s="127" t="s">
        <v>166</v>
      </c>
      <c r="J240" s="129"/>
    </row>
    <row r="241" spans="1:16" ht="18" customHeight="1">
      <c r="B241" s="124" t="str">
        <f t="shared" si="31"/>
        <v>6单银Low-E+12A+6</v>
      </c>
      <c r="C241" s="253">
        <f t="shared" si="32"/>
        <v>-122</v>
      </c>
      <c r="D241" s="253">
        <f t="shared" si="32"/>
        <v>-122</v>
      </c>
      <c r="E241" s="32">
        <f t="shared" si="27"/>
        <v>1.4884E-2</v>
      </c>
      <c r="F241" s="250">
        <f>IF(F232=0,G37,0)</f>
        <v>0</v>
      </c>
      <c r="G241" s="126">
        <f t="shared" si="33"/>
        <v>148</v>
      </c>
      <c r="H241" s="250">
        <f t="shared" si="29"/>
        <v>0</v>
      </c>
      <c r="I241" s="127" t="s">
        <v>166</v>
      </c>
      <c r="J241" s="129"/>
    </row>
    <row r="242" spans="1:16" s="43" customFormat="1" ht="18" customHeight="1">
      <c r="A242" s="1"/>
      <c r="B242" s="48" t="s">
        <v>167</v>
      </c>
      <c r="C242" s="52"/>
      <c r="D242" s="50"/>
      <c r="E242" s="128"/>
      <c r="F242" s="50">
        <f>SUM(F234:F241)</f>
        <v>0</v>
      </c>
      <c r="G242" s="50"/>
      <c r="H242" s="52">
        <f>SUM(H234:H241)</f>
        <v>0</v>
      </c>
      <c r="I242" s="53">
        <f>ROUND(SUMPRODUCT(E234:E241*F234:F241),2)</f>
        <v>0</v>
      </c>
      <c r="J242" s="129"/>
      <c r="N242" s="255"/>
      <c r="O242" s="255"/>
      <c r="P242" s="255"/>
    </row>
    <row r="243" spans="1:16" s="43" customFormat="1" ht="18" customHeight="1">
      <c r="A243" s="1"/>
      <c r="B243" s="124" t="str">
        <f>B240</f>
        <v>6单银Low-E+12A+6</v>
      </c>
      <c r="C243" s="253">
        <f t="shared" ref="C243:D249" si="34">D68-12</f>
        <v>2136</v>
      </c>
      <c r="D243" s="253">
        <f t="shared" si="34"/>
        <v>1066</v>
      </c>
      <c r="E243" s="32">
        <f t="shared" si="27"/>
        <v>2.2769759999999999</v>
      </c>
      <c r="F243" s="82">
        <f t="shared" ref="F243:F249" si="35">G68</f>
        <v>1</v>
      </c>
      <c r="G243" s="130">
        <f>G241</f>
        <v>148</v>
      </c>
      <c r="H243" s="250">
        <f t="shared" ref="H243:H249" si="36">ROUND(E243*G243*F243,2)</f>
        <v>336.99</v>
      </c>
      <c r="I243" s="247" t="s">
        <v>168</v>
      </c>
      <c r="J243" s="129"/>
      <c r="N243" s="255"/>
      <c r="O243" s="255"/>
      <c r="P243" s="255"/>
    </row>
    <row r="244" spans="1:16" s="43" customFormat="1" ht="18" customHeight="1">
      <c r="A244" s="1"/>
      <c r="B244" s="124" t="str">
        <f t="shared" ref="B244:B249" si="37">B243</f>
        <v>6单银Low-E+12A+6</v>
      </c>
      <c r="C244" s="253">
        <f t="shared" si="34"/>
        <v>489</v>
      </c>
      <c r="D244" s="253">
        <f t="shared" si="34"/>
        <v>820.66666666666663</v>
      </c>
      <c r="E244" s="32">
        <f t="shared" si="27"/>
        <v>0.401306</v>
      </c>
      <c r="F244" s="82">
        <f t="shared" si="35"/>
        <v>12</v>
      </c>
      <c r="G244" s="130">
        <f t="shared" ref="G244:G249" si="38">G243</f>
        <v>148</v>
      </c>
      <c r="H244" s="250">
        <f t="shared" si="36"/>
        <v>712.72</v>
      </c>
      <c r="I244" s="247" t="s">
        <v>168</v>
      </c>
      <c r="J244" s="129"/>
      <c r="N244" s="255"/>
      <c r="O244" s="255"/>
      <c r="P244" s="255"/>
    </row>
    <row r="245" spans="1:16" s="43" customFormat="1" ht="18" customHeight="1">
      <c r="A245" s="1"/>
      <c r="B245" s="124" t="str">
        <f t="shared" si="37"/>
        <v>6单银Low-E+12A+6</v>
      </c>
      <c r="C245" s="253">
        <f t="shared" si="34"/>
        <v>-12</v>
      </c>
      <c r="D245" s="253">
        <f t="shared" si="34"/>
        <v>-12</v>
      </c>
      <c r="E245" s="32">
        <f t="shared" si="27"/>
        <v>1.44E-4</v>
      </c>
      <c r="F245" s="82">
        <f t="shared" si="35"/>
        <v>0</v>
      </c>
      <c r="G245" s="130">
        <f t="shared" si="38"/>
        <v>148</v>
      </c>
      <c r="H245" s="250">
        <f t="shared" si="36"/>
        <v>0</v>
      </c>
      <c r="I245" s="247" t="s">
        <v>168</v>
      </c>
      <c r="J245" s="129"/>
      <c r="N245" s="255"/>
      <c r="O245" s="255"/>
      <c r="P245" s="255"/>
    </row>
    <row r="246" spans="1:16" s="43" customFormat="1" ht="18" customHeight="1">
      <c r="A246" s="1"/>
      <c r="B246" s="124" t="str">
        <f t="shared" si="37"/>
        <v>6单银Low-E+12A+6</v>
      </c>
      <c r="C246" s="253">
        <f t="shared" si="34"/>
        <v>-12</v>
      </c>
      <c r="D246" s="253">
        <f t="shared" si="34"/>
        <v>-12</v>
      </c>
      <c r="E246" s="32">
        <f t="shared" si="27"/>
        <v>1.44E-4</v>
      </c>
      <c r="F246" s="82">
        <f t="shared" si="35"/>
        <v>0</v>
      </c>
      <c r="G246" s="130">
        <f t="shared" si="38"/>
        <v>148</v>
      </c>
      <c r="H246" s="250">
        <f t="shared" si="36"/>
        <v>0</v>
      </c>
      <c r="I246" s="247" t="s">
        <v>168</v>
      </c>
      <c r="J246" s="129"/>
      <c r="N246" s="255"/>
      <c r="O246" s="255"/>
      <c r="P246" s="255"/>
    </row>
    <row r="247" spans="1:16" s="43" customFormat="1" ht="18" customHeight="1">
      <c r="A247" s="1"/>
      <c r="B247" s="124" t="str">
        <f t="shared" si="37"/>
        <v>6单银Low-E+12A+6</v>
      </c>
      <c r="C247" s="253">
        <f t="shared" si="34"/>
        <v>-12</v>
      </c>
      <c r="D247" s="253">
        <f t="shared" si="34"/>
        <v>-12</v>
      </c>
      <c r="E247" s="32">
        <f t="shared" si="27"/>
        <v>1.44E-4</v>
      </c>
      <c r="F247" s="82">
        <f t="shared" si="35"/>
        <v>0</v>
      </c>
      <c r="G247" s="130">
        <f t="shared" si="38"/>
        <v>148</v>
      </c>
      <c r="H247" s="250">
        <f t="shared" si="36"/>
        <v>0</v>
      </c>
      <c r="I247" s="247" t="s">
        <v>168</v>
      </c>
      <c r="J247" s="129"/>
      <c r="N247" s="255"/>
      <c r="O247" s="255"/>
      <c r="P247" s="255"/>
    </row>
    <row r="248" spans="1:16" s="43" customFormat="1" ht="18" customHeight="1">
      <c r="A248" s="1"/>
      <c r="B248" s="124" t="str">
        <f t="shared" si="37"/>
        <v>6单银Low-E+12A+6</v>
      </c>
      <c r="C248" s="253">
        <f t="shared" si="34"/>
        <v>-12</v>
      </c>
      <c r="D248" s="253">
        <f t="shared" si="34"/>
        <v>-12</v>
      </c>
      <c r="E248" s="32">
        <f t="shared" si="27"/>
        <v>1.44E-4</v>
      </c>
      <c r="F248" s="82">
        <f t="shared" si="35"/>
        <v>0</v>
      </c>
      <c r="G248" s="130">
        <f t="shared" si="38"/>
        <v>148</v>
      </c>
      <c r="H248" s="250">
        <f t="shared" si="36"/>
        <v>0</v>
      </c>
      <c r="I248" s="247" t="s">
        <v>168</v>
      </c>
      <c r="J248" s="129"/>
      <c r="N248" s="255"/>
      <c r="O248" s="255"/>
      <c r="P248" s="255"/>
    </row>
    <row r="249" spans="1:16" s="43" customFormat="1" ht="18" customHeight="1">
      <c r="A249" s="1"/>
      <c r="B249" s="124" t="str">
        <f t="shared" si="37"/>
        <v>6单银Low-E+12A+6</v>
      </c>
      <c r="C249" s="253">
        <f t="shared" si="34"/>
        <v>-12</v>
      </c>
      <c r="D249" s="253">
        <f t="shared" si="34"/>
        <v>-12</v>
      </c>
      <c r="E249" s="32">
        <f t="shared" si="27"/>
        <v>1.44E-4</v>
      </c>
      <c r="F249" s="82">
        <f t="shared" si="35"/>
        <v>0</v>
      </c>
      <c r="G249" s="130">
        <f t="shared" si="38"/>
        <v>148</v>
      </c>
      <c r="H249" s="250">
        <f t="shared" si="36"/>
        <v>0</v>
      </c>
      <c r="I249" s="247" t="s">
        <v>168</v>
      </c>
      <c r="J249" s="129"/>
      <c r="N249" s="255"/>
      <c r="O249" s="255"/>
      <c r="P249" s="255"/>
    </row>
    <row r="250" spans="1:16" s="43" customFormat="1" ht="18" customHeight="1">
      <c r="A250" s="1"/>
      <c r="B250" s="131" t="str">
        <f>B246</f>
        <v>6单银Low-E+12A+6</v>
      </c>
      <c r="C250" s="52"/>
      <c r="D250" s="50"/>
      <c r="E250" s="128"/>
      <c r="F250" s="50">
        <f>SUM(F243:F249)</f>
        <v>13</v>
      </c>
      <c r="G250" s="50"/>
      <c r="H250" s="52">
        <f>SUM(H243:H249)</f>
        <v>1049.71</v>
      </c>
      <c r="I250" s="53">
        <f>ROUND((E243*F243+E244*F244+E245*F245+E246*F246+E247*F247+E248*F248+E249*F249),2)</f>
        <v>7.09</v>
      </c>
      <c r="J250" s="43">
        <f>(I242+I258+I273+I280)</f>
        <v>0</v>
      </c>
      <c r="N250" s="255"/>
      <c r="O250" s="255"/>
      <c r="P250" s="255"/>
    </row>
    <row r="251" spans="1:16" s="43" customFormat="1" ht="18" customHeight="1">
      <c r="A251" s="1"/>
      <c r="B251" s="124" t="str">
        <f>B249</f>
        <v>6单银Low-E+12A+6</v>
      </c>
      <c r="C251" s="253">
        <f t="shared" ref="C251:D257" si="39">D75-12</f>
        <v>-12</v>
      </c>
      <c r="D251" s="253">
        <f t="shared" si="39"/>
        <v>-12</v>
      </c>
      <c r="E251" s="32">
        <f t="shared" si="27"/>
        <v>1.44E-4</v>
      </c>
      <c r="F251" s="82">
        <f t="shared" ref="F251:F257" si="40">G75</f>
        <v>0</v>
      </c>
      <c r="G251" s="130">
        <f>G249</f>
        <v>148</v>
      </c>
      <c r="H251" s="250">
        <f>ROUND(E251*G251*F251,2)</f>
        <v>0</v>
      </c>
      <c r="I251" s="132" t="s">
        <v>169</v>
      </c>
      <c r="N251" s="255"/>
      <c r="O251" s="255"/>
      <c r="P251" s="255"/>
    </row>
    <row r="252" spans="1:16" s="43" customFormat="1" ht="18" customHeight="1">
      <c r="A252" s="1"/>
      <c r="B252" s="124" t="str">
        <f t="shared" ref="B252:B257" si="41">B251</f>
        <v>6单银Low-E+12A+6</v>
      </c>
      <c r="C252" s="253">
        <f t="shared" si="39"/>
        <v>-12</v>
      </c>
      <c r="D252" s="253">
        <f t="shared" si="39"/>
        <v>-12</v>
      </c>
      <c r="E252" s="32">
        <f t="shared" si="27"/>
        <v>1.44E-4</v>
      </c>
      <c r="F252" s="82">
        <f t="shared" si="40"/>
        <v>0</v>
      </c>
      <c r="G252" s="130">
        <f t="shared" ref="G252:G257" si="42">G251</f>
        <v>148</v>
      </c>
      <c r="H252" s="250">
        <f t="shared" ref="H252:H264" si="43">ROUND(E252*G252*F252,2)</f>
        <v>0</v>
      </c>
      <c r="I252" s="132" t="str">
        <f t="shared" ref="I252:I257" si="44">I251</f>
        <v>固定钢化中空</v>
      </c>
      <c r="N252" s="255"/>
      <c r="O252" s="255"/>
      <c r="P252" s="255"/>
    </row>
    <row r="253" spans="1:16" s="43" customFormat="1" ht="18" customHeight="1">
      <c r="A253" s="1"/>
      <c r="B253" s="124" t="str">
        <f t="shared" si="41"/>
        <v>6单银Low-E+12A+6</v>
      </c>
      <c r="C253" s="253">
        <f t="shared" si="39"/>
        <v>-12</v>
      </c>
      <c r="D253" s="253">
        <f t="shared" si="39"/>
        <v>-12</v>
      </c>
      <c r="E253" s="32">
        <f t="shared" si="27"/>
        <v>1.44E-4</v>
      </c>
      <c r="F253" s="82">
        <f t="shared" si="40"/>
        <v>0</v>
      </c>
      <c r="G253" s="130">
        <f t="shared" si="42"/>
        <v>148</v>
      </c>
      <c r="H253" s="250">
        <f t="shared" si="43"/>
        <v>0</v>
      </c>
      <c r="I253" s="132" t="str">
        <f t="shared" si="44"/>
        <v>固定钢化中空</v>
      </c>
      <c r="N253" s="255"/>
      <c r="O253" s="255"/>
      <c r="P253" s="255"/>
    </row>
    <row r="254" spans="1:16" s="43" customFormat="1" ht="18" customHeight="1">
      <c r="A254" s="1"/>
      <c r="B254" s="124" t="str">
        <f t="shared" si="41"/>
        <v>6单银Low-E+12A+6</v>
      </c>
      <c r="C254" s="253">
        <f t="shared" si="39"/>
        <v>-12</v>
      </c>
      <c r="D254" s="253">
        <f t="shared" si="39"/>
        <v>-12</v>
      </c>
      <c r="E254" s="32">
        <f t="shared" si="27"/>
        <v>1.44E-4</v>
      </c>
      <c r="F254" s="82">
        <f t="shared" si="40"/>
        <v>0</v>
      </c>
      <c r="G254" s="130">
        <f t="shared" si="42"/>
        <v>148</v>
      </c>
      <c r="H254" s="250">
        <f t="shared" si="43"/>
        <v>0</v>
      </c>
      <c r="I254" s="132" t="str">
        <f t="shared" si="44"/>
        <v>固定钢化中空</v>
      </c>
      <c r="J254" s="42"/>
      <c r="N254" s="255"/>
      <c r="O254" s="255"/>
      <c r="P254" s="255"/>
    </row>
    <row r="255" spans="1:16" s="43" customFormat="1" ht="18" customHeight="1">
      <c r="A255" s="1"/>
      <c r="B255" s="124" t="str">
        <f t="shared" si="41"/>
        <v>6单银Low-E+12A+6</v>
      </c>
      <c r="C255" s="253">
        <f t="shared" si="39"/>
        <v>-12</v>
      </c>
      <c r="D255" s="253">
        <f t="shared" si="39"/>
        <v>-12</v>
      </c>
      <c r="E255" s="32">
        <f t="shared" si="27"/>
        <v>1.44E-4</v>
      </c>
      <c r="F255" s="82">
        <f t="shared" si="40"/>
        <v>0</v>
      </c>
      <c r="G255" s="130">
        <f t="shared" si="42"/>
        <v>148</v>
      </c>
      <c r="H255" s="250">
        <f t="shared" si="43"/>
        <v>0</v>
      </c>
      <c r="I255" s="132" t="str">
        <f t="shared" si="44"/>
        <v>固定钢化中空</v>
      </c>
      <c r="N255" s="255"/>
      <c r="O255" s="255"/>
      <c r="P255" s="255"/>
    </row>
    <row r="256" spans="1:16" s="43" customFormat="1" ht="18" customHeight="1">
      <c r="A256" s="1"/>
      <c r="B256" s="124" t="str">
        <f t="shared" si="41"/>
        <v>6单银Low-E+12A+6</v>
      </c>
      <c r="C256" s="253">
        <f t="shared" si="39"/>
        <v>-12</v>
      </c>
      <c r="D256" s="253">
        <f t="shared" si="39"/>
        <v>-12</v>
      </c>
      <c r="E256" s="32">
        <f t="shared" si="27"/>
        <v>1.44E-4</v>
      </c>
      <c r="F256" s="82">
        <f t="shared" si="40"/>
        <v>0</v>
      </c>
      <c r="G256" s="130">
        <f t="shared" si="42"/>
        <v>148</v>
      </c>
      <c r="H256" s="250">
        <f t="shared" si="43"/>
        <v>0</v>
      </c>
      <c r="I256" s="132" t="str">
        <f t="shared" si="44"/>
        <v>固定钢化中空</v>
      </c>
      <c r="N256" s="255"/>
      <c r="O256" s="255"/>
      <c r="P256" s="255"/>
    </row>
    <row r="257" spans="1:16" s="43" customFormat="1" ht="18" customHeight="1">
      <c r="A257" s="1"/>
      <c r="B257" s="124" t="str">
        <f t="shared" si="41"/>
        <v>6单银Low-E+12A+6</v>
      </c>
      <c r="C257" s="253">
        <f t="shared" si="39"/>
        <v>-12</v>
      </c>
      <c r="D257" s="253">
        <f t="shared" si="39"/>
        <v>-12</v>
      </c>
      <c r="E257" s="32">
        <f t="shared" si="27"/>
        <v>1.44E-4</v>
      </c>
      <c r="F257" s="82">
        <f t="shared" si="40"/>
        <v>0</v>
      </c>
      <c r="G257" s="130">
        <f t="shared" si="42"/>
        <v>148</v>
      </c>
      <c r="H257" s="250">
        <f t="shared" si="43"/>
        <v>0</v>
      </c>
      <c r="I257" s="132" t="str">
        <f t="shared" si="44"/>
        <v>固定钢化中空</v>
      </c>
      <c r="N257" s="255"/>
      <c r="O257" s="255"/>
      <c r="P257" s="255"/>
    </row>
    <row r="258" spans="1:16" s="43" customFormat="1" ht="18" customHeight="1">
      <c r="A258" s="1"/>
      <c r="B258" s="48" t="s">
        <v>170</v>
      </c>
      <c r="C258" s="52"/>
      <c r="D258" s="50"/>
      <c r="E258" s="128"/>
      <c r="F258" s="50">
        <f>SUM(F251:F257)</f>
        <v>0</v>
      </c>
      <c r="G258" s="50"/>
      <c r="H258" s="52">
        <f>SUM(H251:H257)</f>
        <v>0</v>
      </c>
      <c r="I258" s="53">
        <f>ROUND((E251*F251+E252*F252+E253*F253+E254*F254+E255*F255+E256*F256+E257*F257),2)</f>
        <v>0</v>
      </c>
      <c r="N258" s="255"/>
      <c r="O258" s="255"/>
      <c r="P258" s="255"/>
    </row>
    <row r="259" spans="1:16" s="43" customFormat="1" ht="18" customHeight="1">
      <c r="A259" s="1"/>
      <c r="B259" s="124" t="str">
        <f>B257</f>
        <v>6单银Low-E+12A+6</v>
      </c>
      <c r="C259" s="253">
        <f t="shared" ref="C259:D264" si="45">D82-12</f>
        <v>-12</v>
      </c>
      <c r="D259" s="253">
        <f t="shared" si="45"/>
        <v>-12</v>
      </c>
      <c r="E259" s="32">
        <f t="shared" si="27"/>
        <v>1.44E-4</v>
      </c>
      <c r="F259" s="82">
        <f t="shared" ref="F259:F264" si="46">G82</f>
        <v>0</v>
      </c>
      <c r="G259" s="130">
        <f>G257</f>
        <v>148</v>
      </c>
      <c r="H259" s="250">
        <f t="shared" si="43"/>
        <v>0</v>
      </c>
      <c r="I259" s="247" t="s">
        <v>171</v>
      </c>
      <c r="N259" s="255"/>
      <c r="O259" s="255"/>
      <c r="P259" s="255"/>
    </row>
    <row r="260" spans="1:16" s="43" customFormat="1" ht="18" customHeight="1">
      <c r="A260" s="1"/>
      <c r="B260" s="124" t="str">
        <f>B259</f>
        <v>6单银Low-E+12A+6</v>
      </c>
      <c r="C260" s="253">
        <f t="shared" si="45"/>
        <v>-12</v>
      </c>
      <c r="D260" s="253">
        <f t="shared" si="45"/>
        <v>-12</v>
      </c>
      <c r="E260" s="32">
        <f t="shared" si="27"/>
        <v>1.44E-4</v>
      </c>
      <c r="F260" s="82">
        <f t="shared" si="46"/>
        <v>0</v>
      </c>
      <c r="G260" s="130">
        <f>G259</f>
        <v>148</v>
      </c>
      <c r="H260" s="250">
        <f t="shared" si="43"/>
        <v>0</v>
      </c>
      <c r="I260" s="247" t="s">
        <v>171</v>
      </c>
      <c r="N260" s="255"/>
      <c r="O260" s="255"/>
      <c r="P260" s="255"/>
    </row>
    <row r="261" spans="1:16" s="43" customFormat="1" ht="18" customHeight="1">
      <c r="A261" s="1"/>
      <c r="B261" s="124" t="str">
        <f>B260</f>
        <v>6单银Low-E+12A+6</v>
      </c>
      <c r="C261" s="253">
        <f t="shared" si="45"/>
        <v>-12</v>
      </c>
      <c r="D261" s="253">
        <f t="shared" si="45"/>
        <v>-12</v>
      </c>
      <c r="E261" s="32">
        <f t="shared" si="27"/>
        <v>1.44E-4</v>
      </c>
      <c r="F261" s="82">
        <f t="shared" si="46"/>
        <v>0</v>
      </c>
      <c r="G261" s="130">
        <f>G260</f>
        <v>148</v>
      </c>
      <c r="H261" s="250">
        <f t="shared" si="43"/>
        <v>0</v>
      </c>
      <c r="I261" s="247" t="s">
        <v>171</v>
      </c>
      <c r="N261" s="255"/>
      <c r="O261" s="255"/>
      <c r="P261" s="255"/>
    </row>
    <row r="262" spans="1:16" s="43" customFormat="1" ht="18" customHeight="1">
      <c r="A262" s="1"/>
      <c r="B262" s="124" t="str">
        <f>B261</f>
        <v>6单银Low-E+12A+6</v>
      </c>
      <c r="C262" s="253">
        <f t="shared" si="45"/>
        <v>-12</v>
      </c>
      <c r="D262" s="253">
        <f t="shared" si="45"/>
        <v>-12</v>
      </c>
      <c r="E262" s="32">
        <f t="shared" si="27"/>
        <v>1.44E-4</v>
      </c>
      <c r="F262" s="82">
        <f t="shared" si="46"/>
        <v>0</v>
      </c>
      <c r="G262" s="130">
        <f>G261</f>
        <v>148</v>
      </c>
      <c r="H262" s="250">
        <f t="shared" si="43"/>
        <v>0</v>
      </c>
      <c r="I262" s="247" t="s">
        <v>171</v>
      </c>
      <c r="N262" s="255"/>
      <c r="O262" s="255"/>
      <c r="P262" s="255"/>
    </row>
    <row r="263" spans="1:16" s="43" customFormat="1" ht="18" customHeight="1">
      <c r="A263" s="1"/>
      <c r="B263" s="124" t="str">
        <f>B262</f>
        <v>6单银Low-E+12A+6</v>
      </c>
      <c r="C263" s="253">
        <f t="shared" si="45"/>
        <v>-12</v>
      </c>
      <c r="D263" s="253">
        <f t="shared" si="45"/>
        <v>-12</v>
      </c>
      <c r="E263" s="32">
        <f t="shared" si="27"/>
        <v>1.44E-4</v>
      </c>
      <c r="F263" s="82">
        <f t="shared" si="46"/>
        <v>0</v>
      </c>
      <c r="G263" s="130">
        <f>G262</f>
        <v>148</v>
      </c>
      <c r="H263" s="250">
        <f t="shared" si="43"/>
        <v>0</v>
      </c>
      <c r="I263" s="247" t="s">
        <v>171</v>
      </c>
      <c r="N263" s="255"/>
      <c r="O263" s="255"/>
      <c r="P263" s="255"/>
    </row>
    <row r="264" spans="1:16" s="43" customFormat="1" ht="18" customHeight="1">
      <c r="A264" s="1"/>
      <c r="B264" s="124" t="str">
        <f>B263</f>
        <v>6单银Low-E+12A+6</v>
      </c>
      <c r="C264" s="253">
        <f t="shared" si="45"/>
        <v>-12</v>
      </c>
      <c r="D264" s="253">
        <f t="shared" si="45"/>
        <v>-12</v>
      </c>
      <c r="E264" s="32">
        <f t="shared" si="27"/>
        <v>1.44E-4</v>
      </c>
      <c r="F264" s="82">
        <f t="shared" si="46"/>
        <v>0</v>
      </c>
      <c r="G264" s="130">
        <f>G263</f>
        <v>148</v>
      </c>
      <c r="H264" s="250">
        <f t="shared" si="43"/>
        <v>0</v>
      </c>
      <c r="I264" s="247" t="s">
        <v>171</v>
      </c>
      <c r="N264" s="255"/>
      <c r="O264" s="255"/>
      <c r="P264" s="255"/>
    </row>
    <row r="265" spans="1:16" s="43" customFormat="1" ht="18" customHeight="1">
      <c r="A265" s="1"/>
      <c r="B265" s="48" t="s">
        <v>172</v>
      </c>
      <c r="C265" s="52"/>
      <c r="D265" s="50"/>
      <c r="E265" s="128"/>
      <c r="F265" s="50">
        <f>SUM(F259:F264)</f>
        <v>0</v>
      </c>
      <c r="G265" s="50"/>
      <c r="H265" s="52">
        <f>SUM(H259:H264)</f>
        <v>0</v>
      </c>
      <c r="I265" s="53">
        <f>ROUND(SUMPRODUCT(E259:E264*F259:F264),2)</f>
        <v>0</v>
      </c>
      <c r="N265" s="255"/>
      <c r="O265" s="255"/>
      <c r="P265" s="255"/>
    </row>
    <row r="266" spans="1:16" s="43" customFormat="1" ht="18" customHeight="1">
      <c r="A266" s="1"/>
      <c r="B266" s="124" t="str">
        <f>B264</f>
        <v>6单银Low-E+12A+6</v>
      </c>
      <c r="C266" s="133">
        <f t="shared" ref="C266:D268" si="47">D143</f>
        <v>-154</v>
      </c>
      <c r="D266" s="133">
        <f t="shared" si="47"/>
        <v>-154</v>
      </c>
      <c r="E266" s="32">
        <f t="shared" si="27"/>
        <v>2.3716000000000001E-2</v>
      </c>
      <c r="F266" s="134">
        <f>G143</f>
        <v>0</v>
      </c>
      <c r="G266" s="135">
        <f>G264</f>
        <v>148</v>
      </c>
      <c r="H266" s="134">
        <f>ROUND(E266*G266*F266,2)</f>
        <v>0</v>
      </c>
      <c r="I266" s="136" t="s">
        <v>173</v>
      </c>
      <c r="N266" s="255"/>
      <c r="O266" s="255"/>
      <c r="P266" s="255"/>
    </row>
    <row r="267" spans="1:16" s="43" customFormat="1" ht="18" customHeight="1">
      <c r="A267" s="1"/>
      <c r="B267" s="124" t="str">
        <f>B264</f>
        <v>6单银Low-E+12A+6</v>
      </c>
      <c r="C267" s="133">
        <f t="shared" si="47"/>
        <v>-154</v>
      </c>
      <c r="D267" s="133">
        <f t="shared" si="47"/>
        <v>-154</v>
      </c>
      <c r="E267" s="32">
        <f t="shared" si="27"/>
        <v>2.3716000000000001E-2</v>
      </c>
      <c r="F267" s="134">
        <f>G144</f>
        <v>0</v>
      </c>
      <c r="G267" s="135">
        <f>G266</f>
        <v>148</v>
      </c>
      <c r="H267" s="134">
        <f>ROUND(E267*G267*F267,2)</f>
        <v>0</v>
      </c>
      <c r="I267" s="136" t="s">
        <v>173</v>
      </c>
      <c r="N267" s="255"/>
      <c r="O267" s="255"/>
      <c r="P267" s="255"/>
    </row>
    <row r="268" spans="1:16" s="43" customFormat="1" ht="18" customHeight="1">
      <c r="A268" s="1"/>
      <c r="B268" s="124" t="str">
        <f>B267</f>
        <v>6单银Low-E+12A+6</v>
      </c>
      <c r="C268" s="133">
        <f t="shared" si="47"/>
        <v>-154</v>
      </c>
      <c r="D268" s="133">
        <f t="shared" si="47"/>
        <v>-154</v>
      </c>
      <c r="E268" s="32">
        <f t="shared" si="27"/>
        <v>2.3716000000000001E-2</v>
      </c>
      <c r="F268" s="134">
        <f>G145</f>
        <v>0</v>
      </c>
      <c r="G268" s="135">
        <f>G267</f>
        <v>148</v>
      </c>
      <c r="H268" s="134">
        <f>ROUND(E268*G268*F268,2)</f>
        <v>0</v>
      </c>
      <c r="I268" s="136" t="s">
        <v>173</v>
      </c>
      <c r="N268" s="255"/>
      <c r="O268" s="255"/>
      <c r="P268" s="255"/>
    </row>
    <row r="269" spans="1:16" s="43" customFormat="1" ht="18" customHeight="1">
      <c r="A269" s="1"/>
      <c r="B269" s="48" t="s">
        <v>174</v>
      </c>
      <c r="C269" s="52"/>
      <c r="D269" s="50"/>
      <c r="E269" s="128"/>
      <c r="F269" s="50">
        <f>SUM(F266:F268)</f>
        <v>0</v>
      </c>
      <c r="G269" s="50"/>
      <c r="H269" s="52">
        <f>SUM(H266:H268)</f>
        <v>0</v>
      </c>
      <c r="I269" s="53">
        <f>ROUND((E266*F266+E267*F267+E268*F268),2)</f>
        <v>0</v>
      </c>
      <c r="N269" s="255"/>
      <c r="O269" s="255"/>
      <c r="P269" s="255"/>
    </row>
    <row r="270" spans="1:16" s="43" customFormat="1" ht="18" customHeight="1">
      <c r="A270" s="1"/>
      <c r="B270" s="124" t="str">
        <f>B268</f>
        <v>6单银Low-E+12A+6</v>
      </c>
      <c r="C270" s="133">
        <f t="shared" ref="C270:D272" si="48">D150</f>
        <v>-160</v>
      </c>
      <c r="D270" s="133">
        <f t="shared" si="48"/>
        <v>-160</v>
      </c>
      <c r="E270" s="32">
        <f t="shared" si="27"/>
        <v>2.5600000000000001E-2</v>
      </c>
      <c r="F270" s="134">
        <f>G150</f>
        <v>0</v>
      </c>
      <c r="G270" s="135">
        <f>G268</f>
        <v>148</v>
      </c>
      <c r="H270" s="134">
        <f>ROUND(E270*G270*F270,2)</f>
        <v>0</v>
      </c>
      <c r="I270" s="136" t="s">
        <v>173</v>
      </c>
      <c r="N270" s="255"/>
      <c r="O270" s="255"/>
      <c r="P270" s="255"/>
    </row>
    <row r="271" spans="1:16" s="43" customFormat="1" ht="18" customHeight="1">
      <c r="A271" s="1"/>
      <c r="B271" s="124" t="str">
        <f>B270</f>
        <v>6单银Low-E+12A+6</v>
      </c>
      <c r="C271" s="133">
        <f t="shared" si="48"/>
        <v>-160</v>
      </c>
      <c r="D271" s="133">
        <f t="shared" si="48"/>
        <v>-160</v>
      </c>
      <c r="E271" s="32">
        <f t="shared" si="27"/>
        <v>2.5600000000000001E-2</v>
      </c>
      <c r="F271" s="134">
        <f>G151</f>
        <v>0</v>
      </c>
      <c r="G271" s="135">
        <f>G270</f>
        <v>148</v>
      </c>
      <c r="H271" s="134">
        <f>ROUND(E271*G271*F271,2)</f>
        <v>0</v>
      </c>
      <c r="I271" s="136" t="s">
        <v>173</v>
      </c>
      <c r="N271" s="255"/>
      <c r="O271" s="255"/>
      <c r="P271" s="255"/>
    </row>
    <row r="272" spans="1:16" s="43" customFormat="1" ht="18" customHeight="1">
      <c r="A272" s="1"/>
      <c r="B272" s="124" t="str">
        <f>B271</f>
        <v>6单银Low-E+12A+6</v>
      </c>
      <c r="C272" s="133">
        <f t="shared" si="48"/>
        <v>-160</v>
      </c>
      <c r="D272" s="133">
        <f t="shared" si="48"/>
        <v>-160</v>
      </c>
      <c r="E272" s="32">
        <f t="shared" si="27"/>
        <v>2.5600000000000001E-2</v>
      </c>
      <c r="F272" s="134">
        <f>G152</f>
        <v>0</v>
      </c>
      <c r="G272" s="135">
        <f>G271</f>
        <v>148</v>
      </c>
      <c r="H272" s="134">
        <f>ROUND(E272*G272*F272,2)</f>
        <v>0</v>
      </c>
      <c r="I272" s="136" t="s">
        <v>173</v>
      </c>
      <c r="N272" s="255"/>
      <c r="O272" s="255"/>
      <c r="P272" s="255"/>
    </row>
    <row r="273" spans="1:16" s="43" customFormat="1" ht="18" customHeight="1">
      <c r="A273" s="1"/>
      <c r="B273" s="48" t="s">
        <v>175</v>
      </c>
      <c r="C273" s="52"/>
      <c r="D273" s="50"/>
      <c r="E273" s="128"/>
      <c r="F273" s="50">
        <f>SUM(F270:F272)</f>
        <v>0</v>
      </c>
      <c r="G273" s="50"/>
      <c r="H273" s="52">
        <f>SUM(H270:H272)</f>
        <v>0</v>
      </c>
      <c r="I273" s="53">
        <f>ROUND((E270*F270+E271*F271+E272*F272),2)</f>
        <v>0</v>
      </c>
      <c r="N273" s="255"/>
      <c r="O273" s="255"/>
      <c r="P273" s="255"/>
    </row>
    <row r="274" spans="1:16" ht="18" customHeight="1">
      <c r="B274" s="124" t="str">
        <f>B272</f>
        <v>6单银Low-E+12A+6</v>
      </c>
      <c r="C274" s="133">
        <f t="shared" ref="C274:D279" si="49">D157-12</f>
        <v>-12</v>
      </c>
      <c r="D274" s="133">
        <f t="shared" si="49"/>
        <v>-12</v>
      </c>
      <c r="E274" s="32">
        <f t="shared" si="27"/>
        <v>1.44E-4</v>
      </c>
      <c r="F274" s="134">
        <f t="shared" ref="F274:F279" si="50">G157</f>
        <v>0</v>
      </c>
      <c r="G274" s="135">
        <f>G272</f>
        <v>148</v>
      </c>
      <c r="H274" s="134">
        <f t="shared" ref="H274:H279" si="51">ROUND(E274*G274*F274,2)</f>
        <v>0</v>
      </c>
      <c r="I274" s="136" t="s">
        <v>176</v>
      </c>
    </row>
    <row r="275" spans="1:16" ht="18" customHeight="1">
      <c r="B275" s="124" t="str">
        <f>B274</f>
        <v>6单银Low-E+12A+6</v>
      </c>
      <c r="C275" s="133">
        <f t="shared" si="49"/>
        <v>-12</v>
      </c>
      <c r="D275" s="133">
        <f t="shared" si="49"/>
        <v>-12</v>
      </c>
      <c r="E275" s="32">
        <f t="shared" si="27"/>
        <v>1.44E-4</v>
      </c>
      <c r="F275" s="134">
        <f t="shared" si="50"/>
        <v>0</v>
      </c>
      <c r="G275" s="135">
        <f>G274</f>
        <v>148</v>
      </c>
      <c r="H275" s="134">
        <f t="shared" si="51"/>
        <v>0</v>
      </c>
      <c r="I275" s="136" t="str">
        <f>I274</f>
        <v>门钢化中空玻璃</v>
      </c>
      <c r="K275" s="43" t="s">
        <v>177</v>
      </c>
    </row>
    <row r="276" spans="1:16" ht="18" customHeight="1">
      <c r="B276" s="124" t="str">
        <f>B275</f>
        <v>6单银Low-E+12A+6</v>
      </c>
      <c r="C276" s="133">
        <f t="shared" si="49"/>
        <v>-12</v>
      </c>
      <c r="D276" s="133">
        <f t="shared" si="49"/>
        <v>-12</v>
      </c>
      <c r="E276" s="32">
        <f t="shared" si="27"/>
        <v>1.44E-4</v>
      </c>
      <c r="F276" s="134">
        <f t="shared" si="50"/>
        <v>0</v>
      </c>
      <c r="G276" s="135">
        <f>G275</f>
        <v>148</v>
      </c>
      <c r="H276" s="134">
        <f t="shared" si="51"/>
        <v>0</v>
      </c>
      <c r="I276" s="136" t="str">
        <f>I275</f>
        <v>门钢化中空玻璃</v>
      </c>
    </row>
    <row r="277" spans="1:16" ht="18" customHeight="1">
      <c r="B277" s="124" t="str">
        <f>B276</f>
        <v>6单银Low-E+12A+6</v>
      </c>
      <c r="C277" s="133">
        <f t="shared" si="49"/>
        <v>-12</v>
      </c>
      <c r="D277" s="133">
        <f t="shared" si="49"/>
        <v>-12</v>
      </c>
      <c r="E277" s="32">
        <f t="shared" si="27"/>
        <v>1.44E-4</v>
      </c>
      <c r="F277" s="134">
        <f t="shared" si="50"/>
        <v>0</v>
      </c>
      <c r="G277" s="135">
        <f>G276</f>
        <v>148</v>
      </c>
      <c r="H277" s="134">
        <f t="shared" si="51"/>
        <v>0</v>
      </c>
      <c r="I277" s="136" t="str">
        <f>I276</f>
        <v>门钢化中空玻璃</v>
      </c>
    </row>
    <row r="278" spans="1:16" ht="18" customHeight="1">
      <c r="B278" s="124" t="str">
        <f>B277</f>
        <v>6单银Low-E+12A+6</v>
      </c>
      <c r="C278" s="133">
        <f t="shared" si="49"/>
        <v>-12</v>
      </c>
      <c r="D278" s="133">
        <f t="shared" si="49"/>
        <v>-12</v>
      </c>
      <c r="E278" s="32">
        <f t="shared" si="27"/>
        <v>1.44E-4</v>
      </c>
      <c r="F278" s="134">
        <f t="shared" si="50"/>
        <v>0</v>
      </c>
      <c r="G278" s="135">
        <f>G277</f>
        <v>148</v>
      </c>
      <c r="H278" s="134">
        <f t="shared" si="51"/>
        <v>0</v>
      </c>
      <c r="I278" s="136" t="str">
        <f>I277</f>
        <v>门钢化中空玻璃</v>
      </c>
    </row>
    <row r="279" spans="1:16" ht="18" customHeight="1">
      <c r="B279" s="124" t="str">
        <f>B278</f>
        <v>6单银Low-E+12A+6</v>
      </c>
      <c r="C279" s="133">
        <f t="shared" si="49"/>
        <v>-12</v>
      </c>
      <c r="D279" s="133">
        <f t="shared" si="49"/>
        <v>-12</v>
      </c>
      <c r="E279" s="32">
        <f t="shared" si="27"/>
        <v>1.44E-4</v>
      </c>
      <c r="F279" s="134">
        <f t="shared" si="50"/>
        <v>0</v>
      </c>
      <c r="G279" s="135">
        <f>G278</f>
        <v>148</v>
      </c>
      <c r="H279" s="134">
        <f t="shared" si="51"/>
        <v>0</v>
      </c>
      <c r="I279" s="136" t="str">
        <f>I278</f>
        <v>门钢化中空玻璃</v>
      </c>
    </row>
    <row r="280" spans="1:16" ht="18" customHeight="1">
      <c r="B280" s="48" t="s">
        <v>178</v>
      </c>
      <c r="C280" s="52"/>
      <c r="D280" s="50"/>
      <c r="E280" s="128"/>
      <c r="F280" s="50">
        <f>SUM(F274:F279)</f>
        <v>0</v>
      </c>
      <c r="G280" s="50"/>
      <c r="H280" s="52">
        <f>SUM(H274:H279)</f>
        <v>0</v>
      </c>
      <c r="I280" s="53">
        <f>ROUND(SUMPRODUCT(E274:E279*F274:F279),2)</f>
        <v>0</v>
      </c>
    </row>
    <row r="281" spans="1:16" ht="18" customHeight="1">
      <c r="B281" s="124" t="str">
        <f>材料价格!A10</f>
        <v>6单银Low-E+12A+6</v>
      </c>
      <c r="C281" s="133">
        <f>C252</f>
        <v>-12</v>
      </c>
      <c r="D281" s="133">
        <f>D252</f>
        <v>-12</v>
      </c>
      <c r="E281" s="32">
        <f t="shared" si="27"/>
        <v>1.44E-4</v>
      </c>
      <c r="F281" s="134"/>
      <c r="G281" s="137">
        <f>材料价格!B10</f>
        <v>148</v>
      </c>
      <c r="H281" s="134">
        <f>ROUND(E281*G281*F281,2)</f>
        <v>0</v>
      </c>
      <c r="I281" s="247" t="s">
        <v>179</v>
      </c>
    </row>
    <row r="282" spans="1:16" ht="18" customHeight="1">
      <c r="B282" s="124" t="str">
        <f>B281</f>
        <v>6单银Low-E+12A+6</v>
      </c>
      <c r="C282" s="133">
        <f>C253</f>
        <v>-12</v>
      </c>
      <c r="D282" s="133">
        <f>D253</f>
        <v>-12</v>
      </c>
      <c r="E282" s="32">
        <f t="shared" si="27"/>
        <v>1.44E-4</v>
      </c>
      <c r="F282" s="134"/>
      <c r="G282" s="135">
        <f>G281</f>
        <v>148</v>
      </c>
      <c r="H282" s="134">
        <f>ROUND(E282*G282*F282,2)</f>
        <v>0</v>
      </c>
      <c r="I282" s="247" t="s">
        <v>179</v>
      </c>
      <c r="J282" s="255"/>
      <c r="K282" s="255"/>
      <c r="L282" s="255"/>
      <c r="M282" s="255"/>
    </row>
    <row r="283" spans="1:16" ht="18" customHeight="1">
      <c r="B283" s="124" t="str">
        <f>B282</f>
        <v>6单银Low-E+12A+6</v>
      </c>
      <c r="C283" s="133">
        <f>D84-12</f>
        <v>-12</v>
      </c>
      <c r="D283" s="133">
        <f>E84-12</f>
        <v>-12</v>
      </c>
      <c r="E283" s="32">
        <f t="shared" si="27"/>
        <v>1.44E-4</v>
      </c>
      <c r="F283" s="134">
        <f>G84</f>
        <v>0</v>
      </c>
      <c r="G283" s="135">
        <f>G282</f>
        <v>148</v>
      </c>
      <c r="H283" s="134">
        <f>ROUND(E283*G283*F283,2)</f>
        <v>0</v>
      </c>
      <c r="I283" s="247" t="s">
        <v>179</v>
      </c>
      <c r="J283" s="255"/>
      <c r="K283" s="255"/>
      <c r="L283" s="255"/>
      <c r="M283" s="255"/>
    </row>
    <row r="284" spans="1:16" ht="18" customHeight="1">
      <c r="B284" s="124" t="str">
        <f>B283</f>
        <v>6单银Low-E+12A+6</v>
      </c>
      <c r="C284" s="133">
        <f>D85-12</f>
        <v>-12</v>
      </c>
      <c r="D284" s="133">
        <f>E85-12</f>
        <v>-12</v>
      </c>
      <c r="E284" s="32">
        <f t="shared" si="27"/>
        <v>1.44E-4</v>
      </c>
      <c r="F284" s="134">
        <f>G85</f>
        <v>0</v>
      </c>
      <c r="G284" s="135">
        <f>G283</f>
        <v>148</v>
      </c>
      <c r="H284" s="134">
        <f>ROUND(E284*G284*F284,2)</f>
        <v>0</v>
      </c>
      <c r="I284" s="247" t="s">
        <v>179</v>
      </c>
      <c r="J284" s="255"/>
      <c r="K284" s="255"/>
      <c r="L284" s="255"/>
      <c r="M284" s="255"/>
    </row>
    <row r="285" spans="1:16" ht="18" customHeight="1">
      <c r="B285" s="48" t="s">
        <v>180</v>
      </c>
      <c r="C285" s="52"/>
      <c r="D285" s="50"/>
      <c r="E285" s="50"/>
      <c r="F285" s="50">
        <f>SUM(F281:F284)</f>
        <v>0</v>
      </c>
      <c r="G285" s="50"/>
      <c r="H285" s="52">
        <f>SUM(H281:H284)</f>
        <v>0</v>
      </c>
      <c r="I285" s="53">
        <f>ROUND((E281*F281+E282*F282+E283*F283+E284*F284),2)</f>
        <v>0</v>
      </c>
      <c r="J285" s="255"/>
      <c r="K285" s="255"/>
      <c r="L285" s="255"/>
      <c r="M285" s="255"/>
    </row>
    <row r="286" spans="1:16" ht="18" customHeight="1">
      <c r="B286" s="124" t="str">
        <f>材料价格!A11</f>
        <v>8单银Low-E+12Ar+8+12A+8mm</v>
      </c>
      <c r="C286" s="133"/>
      <c r="D286" s="133"/>
      <c r="E286" s="32">
        <f>C286*D286/10^6</f>
        <v>0</v>
      </c>
      <c r="F286" s="134"/>
      <c r="G286" s="137">
        <f>材料价格!B11</f>
        <v>312</v>
      </c>
      <c r="H286" s="134">
        <f>ROUND(E286*G286*F286,2)</f>
        <v>0</v>
      </c>
      <c r="I286" s="247" t="s">
        <v>181</v>
      </c>
      <c r="J286" s="255"/>
      <c r="K286" s="255"/>
      <c r="L286" s="255"/>
      <c r="M286" s="255"/>
    </row>
    <row r="287" spans="1:16" ht="18" customHeight="1">
      <c r="B287" s="124" t="str">
        <f>B286</f>
        <v>8单银Low-E+12Ar+8+12A+8mm</v>
      </c>
      <c r="C287" s="133"/>
      <c r="D287" s="133"/>
      <c r="E287" s="32">
        <f>C287*D287/10^6</f>
        <v>0</v>
      </c>
      <c r="F287" s="134"/>
      <c r="G287" s="135">
        <f>G286</f>
        <v>312</v>
      </c>
      <c r="H287" s="134">
        <f>ROUND(E287*G287*F287,2)</f>
        <v>0</v>
      </c>
      <c r="I287" s="247" t="s">
        <v>181</v>
      </c>
      <c r="J287" s="255"/>
      <c r="K287" s="255"/>
      <c r="L287" s="255"/>
      <c r="M287" s="255"/>
    </row>
    <row r="288" spans="1:16" ht="18" customHeight="1">
      <c r="B288" s="138" t="str">
        <f>材料价格!A12</f>
        <v>10单银Low-E+12Ar+10+12A+10mm</v>
      </c>
      <c r="C288" s="139"/>
      <c r="D288" s="139"/>
      <c r="E288" s="140">
        <f>C288*D288/10^6</f>
        <v>0</v>
      </c>
      <c r="F288" s="141"/>
      <c r="G288" s="142">
        <f>材料价格!B12</f>
        <v>395</v>
      </c>
      <c r="H288" s="141">
        <f>ROUND(E288*G288*F288,2)</f>
        <v>0</v>
      </c>
      <c r="I288" s="143" t="s">
        <v>181</v>
      </c>
      <c r="J288" s="255"/>
      <c r="K288" s="255"/>
      <c r="L288" s="255"/>
      <c r="M288" s="255"/>
    </row>
    <row r="289" spans="2:13" ht="18" customHeight="1">
      <c r="B289" s="138" t="str">
        <f>B288</f>
        <v>10单银Low-E+12Ar+10+12A+10mm</v>
      </c>
      <c r="C289" s="139"/>
      <c r="D289" s="139"/>
      <c r="E289" s="140">
        <f>C289*D289/10^6</f>
        <v>0</v>
      </c>
      <c r="F289" s="141"/>
      <c r="G289" s="142">
        <f>G288</f>
        <v>395</v>
      </c>
      <c r="H289" s="141">
        <f>ROUND(E289*G289*F289,2)</f>
        <v>0</v>
      </c>
      <c r="I289" s="143" t="s">
        <v>181</v>
      </c>
      <c r="J289" s="255"/>
      <c r="K289" s="255"/>
      <c r="L289" s="255"/>
      <c r="M289" s="255"/>
    </row>
    <row r="290" spans="2:13" ht="18" customHeight="1">
      <c r="B290" s="48" t="s">
        <v>180</v>
      </c>
      <c r="C290" s="52"/>
      <c r="D290" s="50"/>
      <c r="E290" s="50"/>
      <c r="F290" s="50">
        <f>SUM(F286:F289)</f>
        <v>0</v>
      </c>
      <c r="G290" s="50"/>
      <c r="H290" s="52">
        <f>SUM(H286:H289)</f>
        <v>0</v>
      </c>
      <c r="I290" s="53">
        <f>ROUND((E286*F286+E287*F287+E288*F288+E289*F289),2)</f>
        <v>0</v>
      </c>
      <c r="J290" s="255"/>
      <c r="K290" s="255"/>
      <c r="L290" s="255"/>
      <c r="M290" s="255"/>
    </row>
    <row r="291" spans="2:13" ht="18" customHeight="1">
      <c r="B291" s="642" t="s">
        <v>182</v>
      </c>
      <c r="C291" s="144" t="s">
        <v>183</v>
      </c>
      <c r="D291" s="144" cm="1">
        <f t="array" ref="D291">SUMPRODUCT(E225:E232*F225:F232)+SUMPRODUCT(E243:E249*F243:F249)</f>
        <v>7.0926480000000005</v>
      </c>
      <c r="E291" s="144" t="s">
        <v>184</v>
      </c>
      <c r="F291" s="145">
        <f>F233+F250</f>
        <v>13</v>
      </c>
      <c r="G291" s="145" t="s">
        <v>185</v>
      </c>
      <c r="H291" s="144">
        <f>H233+H250</f>
        <v>1049.71</v>
      </c>
      <c r="I291" s="146">
        <f>H291/F366</f>
        <v>126.19892040058188</v>
      </c>
      <c r="J291" s="255"/>
      <c r="K291" s="255"/>
      <c r="L291" s="255"/>
      <c r="M291" s="255"/>
    </row>
    <row r="292" spans="2:13" ht="18" customHeight="1">
      <c r="B292" s="642"/>
      <c r="C292" s="144" t="s">
        <v>186</v>
      </c>
      <c r="D292" s="144">
        <f>SUMPRODUCT(E234:E241*F234:F241)+SUMPRODUCT(E251:E257*F251:F257)+SUMPRODUCT(E259:E264*F259:F264)+SUMPRODUCT(E266:E268*F266:F268)+SUMPRODUCT(E270:E272*F270:F272)+SUMPRODUCT(E281:E284*F281:F284)+SUMPRODUCT(E286:E289*F286:F289)+SUMPRODUCT(E274:E279*F274:F279)</f>
        <v>0</v>
      </c>
      <c r="E292" s="144" t="s">
        <v>186</v>
      </c>
      <c r="F292" s="145">
        <f>F242+F258+F265+F269+F273+F285+F290+F280</f>
        <v>0</v>
      </c>
      <c r="G292" s="145" t="s">
        <v>185</v>
      </c>
      <c r="H292" s="144">
        <f>H242+H258+H265+H269+H273+H280+H285+H290</f>
        <v>0</v>
      </c>
      <c r="I292" s="146">
        <f>H292/F366</f>
        <v>0</v>
      </c>
      <c r="J292" s="255"/>
      <c r="K292" s="255"/>
      <c r="L292" s="255"/>
      <c r="M292" s="255"/>
    </row>
    <row r="293" spans="2:13" ht="18" customHeight="1">
      <c r="B293" s="23" t="s">
        <v>187</v>
      </c>
      <c r="C293" s="252" t="s">
        <v>188</v>
      </c>
      <c r="D293" s="68" t="s">
        <v>189</v>
      </c>
      <c r="E293" s="252" t="s">
        <v>8</v>
      </c>
      <c r="F293" s="252" t="s">
        <v>190</v>
      </c>
      <c r="G293" s="252" t="s">
        <v>191</v>
      </c>
      <c r="H293" s="252" t="s">
        <v>160</v>
      </c>
      <c r="I293" s="25" t="s">
        <v>1</v>
      </c>
      <c r="J293" s="255"/>
      <c r="K293" s="255"/>
      <c r="L293" s="255"/>
      <c r="M293" s="255"/>
    </row>
    <row r="294" spans="2:13" ht="18" customHeight="1">
      <c r="B294" s="629" t="s">
        <v>192</v>
      </c>
      <c r="C294" s="253">
        <f>D26</f>
        <v>0</v>
      </c>
      <c r="D294" s="250"/>
      <c r="E294" s="250"/>
      <c r="F294" s="250" t="s">
        <v>193</v>
      </c>
      <c r="G294" s="108">
        <f>材料价格!B14</f>
        <v>153</v>
      </c>
      <c r="H294" s="147">
        <f>E294*G294</f>
        <v>0</v>
      </c>
      <c r="I294" s="632" t="s">
        <v>194</v>
      </c>
      <c r="J294" s="255"/>
      <c r="K294" s="255"/>
      <c r="L294" s="255"/>
      <c r="M294" s="255"/>
    </row>
    <row r="295" spans="2:13" ht="18" customHeight="1">
      <c r="B295" s="629"/>
      <c r="C295" s="253"/>
      <c r="D295" s="250"/>
      <c r="E295" s="250"/>
      <c r="F295" s="250"/>
      <c r="G295" s="108"/>
      <c r="H295" s="147">
        <f t="shared" ref="H295:H303" si="52">E295*G295</f>
        <v>0</v>
      </c>
      <c r="I295" s="633"/>
      <c r="J295" s="255"/>
      <c r="K295" s="255"/>
      <c r="L295" s="255"/>
      <c r="M295" s="255"/>
    </row>
    <row r="296" spans="2:13" ht="18" customHeight="1">
      <c r="B296" s="629" t="s">
        <v>195</v>
      </c>
      <c r="C296" s="253"/>
      <c r="D296" s="148"/>
      <c r="E296" s="250"/>
      <c r="F296" s="250" t="str">
        <f>F294</f>
        <v>坚朗</v>
      </c>
      <c r="G296" s="108">
        <f>材料价格!B15</f>
        <v>80</v>
      </c>
      <c r="H296" s="147">
        <f t="shared" si="52"/>
        <v>0</v>
      </c>
      <c r="I296" s="632" t="s">
        <v>196</v>
      </c>
      <c r="J296" s="255"/>
      <c r="K296" s="255"/>
      <c r="L296" s="255"/>
      <c r="M296" s="255"/>
    </row>
    <row r="297" spans="2:13" ht="18" customHeight="1">
      <c r="B297" s="629"/>
      <c r="C297" s="253"/>
      <c r="D297" s="148"/>
      <c r="E297" s="250"/>
      <c r="F297" s="250"/>
      <c r="G297" s="108"/>
      <c r="H297" s="147">
        <f t="shared" si="52"/>
        <v>0</v>
      </c>
      <c r="I297" s="633"/>
      <c r="J297" s="255"/>
      <c r="K297" s="255"/>
      <c r="L297" s="255"/>
      <c r="M297" s="255"/>
    </row>
    <row r="298" spans="2:13" ht="18" customHeight="1">
      <c r="B298" s="629" t="s">
        <v>197</v>
      </c>
      <c r="C298" s="253"/>
      <c r="D298" s="148"/>
      <c r="E298" s="250"/>
      <c r="F298" s="250" t="str">
        <f>F296</f>
        <v>坚朗</v>
      </c>
      <c r="G298" s="108">
        <f>材料价格!B16</f>
        <v>88</v>
      </c>
      <c r="H298" s="147">
        <f t="shared" si="52"/>
        <v>0</v>
      </c>
      <c r="I298" s="633"/>
      <c r="J298" s="255"/>
      <c r="K298" s="255"/>
      <c r="L298" s="255"/>
      <c r="M298" s="255"/>
    </row>
    <row r="299" spans="2:13" ht="18" customHeight="1">
      <c r="B299" s="629"/>
      <c r="C299" s="253"/>
      <c r="D299" s="148"/>
      <c r="E299" s="250"/>
      <c r="F299" s="250"/>
      <c r="G299" s="108"/>
      <c r="H299" s="147">
        <f t="shared" si="52"/>
        <v>0</v>
      </c>
      <c r="I299" s="633"/>
      <c r="J299" s="255"/>
      <c r="K299" s="255"/>
      <c r="L299" s="255"/>
      <c r="M299" s="255"/>
    </row>
    <row r="300" spans="2:13" ht="18" customHeight="1">
      <c r="B300" s="629" t="s">
        <v>198</v>
      </c>
      <c r="C300" s="253">
        <f>D35</f>
        <v>0</v>
      </c>
      <c r="D300" s="148"/>
      <c r="E300" s="250"/>
      <c r="F300" s="250" t="str">
        <f>F298</f>
        <v>坚朗</v>
      </c>
      <c r="G300" s="108">
        <f>材料价格!B17</f>
        <v>115</v>
      </c>
      <c r="H300" s="147">
        <f t="shared" si="52"/>
        <v>0</v>
      </c>
      <c r="I300" s="149"/>
      <c r="J300" s="255"/>
      <c r="K300" s="255"/>
      <c r="L300" s="255"/>
      <c r="M300" s="255"/>
    </row>
    <row r="301" spans="2:13" ht="18" customHeight="1">
      <c r="B301" s="629"/>
      <c r="C301" s="253"/>
      <c r="D301" s="148"/>
      <c r="E301" s="250"/>
      <c r="F301" s="250"/>
      <c r="G301" s="108"/>
      <c r="H301" s="147">
        <f t="shared" si="52"/>
        <v>0</v>
      </c>
      <c r="I301" s="149"/>
      <c r="J301" s="255"/>
      <c r="K301" s="255"/>
      <c r="L301" s="255"/>
      <c r="M301" s="255"/>
    </row>
    <row r="302" spans="2:13" ht="18" customHeight="1">
      <c r="B302" s="629" t="s">
        <v>199</v>
      </c>
      <c r="C302" s="250" t="s">
        <v>200</v>
      </c>
      <c r="D302" s="148"/>
      <c r="E302" s="250"/>
      <c r="F302" s="250" t="str">
        <f>F300</f>
        <v>坚朗</v>
      </c>
      <c r="G302" s="108">
        <f>材料价格!B19</f>
        <v>230</v>
      </c>
      <c r="H302" s="147">
        <f t="shared" si="52"/>
        <v>0</v>
      </c>
      <c r="I302" s="247"/>
      <c r="J302" s="255"/>
      <c r="K302" s="255"/>
      <c r="L302" s="255"/>
      <c r="M302" s="255"/>
    </row>
    <row r="303" spans="2:13" ht="18" customHeight="1">
      <c r="B303" s="629"/>
      <c r="C303" s="250" t="s">
        <v>201</v>
      </c>
      <c r="D303" s="148"/>
      <c r="E303" s="250"/>
      <c r="F303" s="250" t="str">
        <f>F302</f>
        <v>坚朗</v>
      </c>
      <c r="G303" s="108">
        <f>材料价格!B20</f>
        <v>335</v>
      </c>
      <c r="H303" s="147">
        <f t="shared" si="52"/>
        <v>0</v>
      </c>
      <c r="I303" s="247"/>
      <c r="J303" s="255"/>
      <c r="K303" s="255"/>
      <c r="L303" s="255"/>
      <c r="M303" s="255"/>
    </row>
    <row r="304" spans="2:13" ht="18" customHeight="1">
      <c r="B304" s="150" t="s">
        <v>202</v>
      </c>
      <c r="C304" s="50"/>
      <c r="D304" s="50"/>
      <c r="E304" s="50">
        <f>SUM(E294:E303)</f>
        <v>0</v>
      </c>
      <c r="F304" s="50"/>
      <c r="G304" s="166"/>
      <c r="H304" s="151">
        <f>SUM(H294:H303)</f>
        <v>0</v>
      </c>
      <c r="I304" s="152"/>
      <c r="J304" s="42"/>
    </row>
    <row r="305" spans="1:16" ht="18" customHeight="1">
      <c r="B305" s="246" t="s">
        <v>300</v>
      </c>
      <c r="C305" s="250"/>
      <c r="D305" s="148"/>
      <c r="E305" s="253">
        <f>E294+E296</f>
        <v>0</v>
      </c>
      <c r="F305" s="148"/>
      <c r="G305" s="148">
        <f>材料价格!B27</f>
        <v>0</v>
      </c>
      <c r="H305" s="154">
        <f>E305*G305</f>
        <v>0</v>
      </c>
      <c r="I305" s="247" t="s">
        <v>203</v>
      </c>
    </row>
    <row r="306" spans="1:16" s="16" customFormat="1" ht="18" customHeight="1">
      <c r="A306" s="1"/>
      <c r="B306" s="246" t="s">
        <v>204</v>
      </c>
      <c r="C306" s="250"/>
      <c r="D306" s="148"/>
      <c r="E306" s="253">
        <f>E298+E299+E300+E301</f>
        <v>0</v>
      </c>
      <c r="F306" s="148"/>
      <c r="G306" s="148">
        <f>材料价格!B28</f>
        <v>118</v>
      </c>
      <c r="H306" s="154">
        <f>E306*G306</f>
        <v>0</v>
      </c>
      <c r="I306" s="247" t="s">
        <v>205</v>
      </c>
      <c r="J306" s="43"/>
      <c r="K306" s="43"/>
      <c r="L306" s="43"/>
      <c r="M306" s="43"/>
      <c r="N306" s="255"/>
      <c r="O306" s="255"/>
      <c r="P306" s="255"/>
    </row>
    <row r="307" spans="1:16" s="16" customFormat="1" ht="18" customHeight="1">
      <c r="A307" s="1"/>
      <c r="B307" s="246" t="s">
        <v>206</v>
      </c>
      <c r="C307" s="250"/>
      <c r="D307" s="148"/>
      <c r="E307" s="253"/>
      <c r="F307" s="148"/>
      <c r="G307" s="148"/>
      <c r="H307" s="154">
        <f>E307*G307</f>
        <v>0</v>
      </c>
      <c r="I307" s="247" t="s">
        <v>207</v>
      </c>
      <c r="J307" s="43"/>
      <c r="K307" s="43"/>
      <c r="L307" s="43"/>
      <c r="M307" s="43"/>
      <c r="N307" s="255"/>
      <c r="O307" s="255"/>
      <c r="P307" s="255"/>
    </row>
    <row r="308" spans="1:16" s="16" customFormat="1" ht="18" customHeight="1">
      <c r="A308" s="1"/>
      <c r="B308" s="150" t="s">
        <v>208</v>
      </c>
      <c r="C308" s="50"/>
      <c r="D308" s="50"/>
      <c r="E308" s="100">
        <f>SUM(E305:E307)</f>
        <v>0</v>
      </c>
      <c r="F308" s="50"/>
      <c r="G308" s="166"/>
      <c r="H308" s="155">
        <f>SUM(H305:H307)</f>
        <v>0</v>
      </c>
      <c r="I308" s="152"/>
      <c r="J308" s="43"/>
      <c r="K308" s="43"/>
      <c r="L308" s="43"/>
      <c r="M308" s="43"/>
      <c r="N308" s="255"/>
      <c r="O308" s="255"/>
      <c r="P308" s="255"/>
    </row>
    <row r="309" spans="1:16" s="16" customFormat="1" ht="18" customHeight="1">
      <c r="A309" s="1"/>
      <c r="B309" s="156" t="s">
        <v>209</v>
      </c>
      <c r="C309" s="157">
        <f>ROUND(IF(D4&lt;=200,4,0)+IF(D4&gt;200,(D4/200+1))+IF(E4&lt;=200,4,0)+IF(E4&gt;200,(E4/200+1)),0)</f>
        <v>33</v>
      </c>
      <c r="D309" s="148"/>
      <c r="E309" s="148"/>
      <c r="F309" s="148"/>
      <c r="G309" s="158">
        <v>0.5</v>
      </c>
      <c r="H309" s="159">
        <f>ROUND(C309*G309,2)</f>
        <v>16.5</v>
      </c>
      <c r="I309" s="247" t="s">
        <v>210</v>
      </c>
      <c r="J309" s="43"/>
      <c r="K309" s="43"/>
      <c r="L309" s="43"/>
      <c r="M309" s="43"/>
      <c r="N309" s="255"/>
      <c r="O309" s="255"/>
      <c r="P309" s="255"/>
    </row>
    <row r="310" spans="1:16" s="16" customFormat="1" ht="18" customHeight="1">
      <c r="A310" s="1"/>
      <c r="B310" s="156" t="s">
        <v>211</v>
      </c>
      <c r="C310" s="157">
        <f>C309*2</f>
        <v>66</v>
      </c>
      <c r="D310" s="148">
        <f>D309*2</f>
        <v>0</v>
      </c>
      <c r="E310" s="148"/>
      <c r="F310" s="148"/>
      <c r="G310" s="158">
        <v>0.3</v>
      </c>
      <c r="H310" s="159">
        <f>ROUND(C310*G310,2)</f>
        <v>19.8</v>
      </c>
      <c r="I310" s="247" t="s">
        <v>212</v>
      </c>
      <c r="J310" s="43"/>
      <c r="K310" s="43"/>
      <c r="L310" s="255"/>
      <c r="M310" s="255"/>
      <c r="N310" s="255"/>
      <c r="O310" s="255"/>
      <c r="P310" s="255"/>
    </row>
    <row r="311" spans="1:16" s="16" customFormat="1" ht="18" customHeight="1">
      <c r="A311" s="1"/>
      <c r="B311" s="160" t="s">
        <v>213</v>
      </c>
      <c r="C311" s="161">
        <f>F6</f>
        <v>8.2584</v>
      </c>
      <c r="D311" s="162"/>
      <c r="E311" s="162"/>
      <c r="F311" s="162"/>
      <c r="G311" s="163">
        <v>5</v>
      </c>
      <c r="H311" s="159">
        <f>ROUND(C311*G311,2)</f>
        <v>41.29</v>
      </c>
      <c r="I311" s="247"/>
      <c r="J311" s="43"/>
      <c r="K311" s="43"/>
      <c r="L311" s="255"/>
      <c r="M311" s="255"/>
      <c r="N311" s="255"/>
      <c r="O311" s="255"/>
      <c r="P311" s="255"/>
    </row>
    <row r="312" spans="1:16" s="16" customFormat="1" ht="18" customHeight="1">
      <c r="A312" s="1"/>
      <c r="B312" s="160" t="s">
        <v>214</v>
      </c>
      <c r="C312" s="161"/>
      <c r="D312" s="162"/>
      <c r="E312" s="162"/>
      <c r="F312" s="162"/>
      <c r="G312" s="163"/>
      <c r="H312" s="159">
        <f>ROUND(C312*G312,2)</f>
        <v>0</v>
      </c>
      <c r="I312" s="247"/>
      <c r="J312" s="43"/>
      <c r="K312" s="43"/>
      <c r="L312" s="255"/>
      <c r="M312" s="255"/>
      <c r="N312" s="255"/>
      <c r="O312" s="255"/>
      <c r="P312" s="255"/>
    </row>
    <row r="313" spans="1:16" s="16" customFormat="1" ht="18" customHeight="1">
      <c r="A313" s="1"/>
      <c r="B313" s="164" t="s">
        <v>397</v>
      </c>
      <c r="C313" s="161">
        <f>D291+D292</f>
        <v>7.0926480000000005</v>
      </c>
      <c r="D313" s="162"/>
      <c r="E313" s="162"/>
      <c r="F313" s="162"/>
      <c r="G313" s="163">
        <f>10+5</f>
        <v>15</v>
      </c>
      <c r="H313" s="159">
        <f>ROUND(C313*G313,2)</f>
        <v>106.39</v>
      </c>
      <c r="I313" s="247"/>
      <c r="J313" s="43"/>
      <c r="K313" s="43"/>
      <c r="L313" s="255"/>
      <c r="M313" s="255"/>
      <c r="N313" s="255"/>
      <c r="O313" s="255"/>
      <c r="P313" s="255"/>
    </row>
    <row r="314" spans="1:16" s="16" customFormat="1" ht="18" customHeight="1">
      <c r="A314" s="1"/>
      <c r="B314" s="150" t="s">
        <v>215</v>
      </c>
      <c r="C314" s="165"/>
      <c r="D314" s="50"/>
      <c r="E314" s="50"/>
      <c r="F314" s="50"/>
      <c r="G314" s="166"/>
      <c r="H314" s="155">
        <f>SUM(H309:H313)</f>
        <v>183.98000000000002</v>
      </c>
      <c r="I314" s="152"/>
      <c r="J314" s="43"/>
      <c r="K314" s="43"/>
      <c r="L314" s="255"/>
      <c r="M314" s="255"/>
      <c r="N314" s="255"/>
      <c r="O314" s="255"/>
      <c r="P314" s="255"/>
    </row>
    <row r="315" spans="1:16" s="16" customFormat="1" ht="18" customHeight="1">
      <c r="A315" s="1"/>
      <c r="B315" s="156" t="s">
        <v>216</v>
      </c>
      <c r="C315" s="167">
        <f>E203+E205+E207+I203+I205+E209+I207</f>
        <v>8</v>
      </c>
      <c r="D315" s="148"/>
      <c r="E315" s="148"/>
      <c r="F315" s="148"/>
      <c r="G315" s="168">
        <v>1.9</v>
      </c>
      <c r="H315" s="154">
        <f t="shared" ref="H315:H318" si="53">ROUND(C315*G315,2)</f>
        <v>15.2</v>
      </c>
      <c r="I315" s="224" t="s">
        <v>340</v>
      </c>
      <c r="J315" s="255"/>
      <c r="K315" s="43"/>
      <c r="L315" s="255"/>
      <c r="M315" s="255"/>
      <c r="N315" s="255"/>
      <c r="O315" s="255"/>
      <c r="P315" s="255"/>
    </row>
    <row r="316" spans="1:16" s="16" customFormat="1" ht="18" customHeight="1">
      <c r="A316" s="1"/>
      <c r="B316" s="156" t="s">
        <v>217</v>
      </c>
      <c r="C316" s="167">
        <f>ROUND((D4+E4)*2/1000,2)</f>
        <v>12.2</v>
      </c>
      <c r="D316" s="148"/>
      <c r="E316" s="238">
        <v>4</v>
      </c>
      <c r="F316" s="235">
        <f>材料价格!B25</f>
        <v>8.52</v>
      </c>
      <c r="G316" s="168">
        <f t="shared" ref="G316:G321" si="54">F316/E316</f>
        <v>2.13</v>
      </c>
      <c r="H316" s="154">
        <f t="shared" si="53"/>
        <v>25.99</v>
      </c>
      <c r="I316" s="169" t="s">
        <v>218</v>
      </c>
      <c r="J316" s="255"/>
      <c r="K316" s="43"/>
      <c r="L316" s="255"/>
      <c r="M316" s="255"/>
      <c r="N316" s="255"/>
      <c r="O316" s="255"/>
      <c r="P316" s="255"/>
    </row>
    <row r="317" spans="1:16" s="16" customFormat="1" ht="18" customHeight="1">
      <c r="A317" s="1"/>
      <c r="B317" s="156" t="s">
        <v>219</v>
      </c>
      <c r="C317" s="167">
        <f>C316</f>
        <v>12.2</v>
      </c>
      <c r="D317" s="148"/>
      <c r="E317" s="238">
        <v>3</v>
      </c>
      <c r="F317" s="235">
        <f>F316</f>
        <v>8.52</v>
      </c>
      <c r="G317" s="168">
        <f t="shared" si="54"/>
        <v>2.84</v>
      </c>
      <c r="H317" s="154">
        <f t="shared" si="53"/>
        <v>34.65</v>
      </c>
      <c r="I317" s="169" t="s">
        <v>220</v>
      </c>
      <c r="J317" s="255"/>
      <c r="K317" s="43"/>
      <c r="L317" s="255"/>
      <c r="M317" s="255"/>
      <c r="N317" s="255"/>
      <c r="O317" s="255"/>
      <c r="P317" s="255"/>
    </row>
    <row r="318" spans="1:16" s="16" customFormat="1" ht="18" customHeight="1">
      <c r="A318" s="1"/>
      <c r="B318" s="156" t="s">
        <v>221</v>
      </c>
      <c r="C318" s="167">
        <f>C316</f>
        <v>12.2</v>
      </c>
      <c r="D318" s="148"/>
      <c r="E318" s="238">
        <v>6.5</v>
      </c>
      <c r="F318" s="235">
        <f>材料价格!B26</f>
        <v>23</v>
      </c>
      <c r="G318" s="168">
        <f t="shared" si="54"/>
        <v>3.5384615384615383</v>
      </c>
      <c r="H318" s="154">
        <f t="shared" si="53"/>
        <v>43.17</v>
      </c>
      <c r="I318" s="224" t="s">
        <v>222</v>
      </c>
      <c r="J318" s="255"/>
      <c r="K318" s="43"/>
      <c r="L318" s="255"/>
      <c r="M318" s="255"/>
      <c r="N318" s="255"/>
      <c r="O318" s="255"/>
      <c r="P318" s="255"/>
    </row>
    <row r="319" spans="1:16" s="16" customFormat="1" ht="18" customHeight="1">
      <c r="A319" s="1"/>
      <c r="B319" s="156" t="s">
        <v>341</v>
      </c>
      <c r="C319" s="167">
        <f>ROUND((C97+C104+C88+C146+C153+C163)*1,2)</f>
        <v>38.46</v>
      </c>
      <c r="D319" s="77">
        <v>1</v>
      </c>
      <c r="E319" s="238">
        <f>10</f>
        <v>10</v>
      </c>
      <c r="F319" s="235">
        <f>F317</f>
        <v>8.52</v>
      </c>
      <c r="G319" s="168">
        <f>F319/E319</f>
        <v>0.85199999999999998</v>
      </c>
      <c r="H319" s="154">
        <f>ROUND(C319*G319,2)</f>
        <v>32.770000000000003</v>
      </c>
      <c r="I319" s="247" t="s">
        <v>223</v>
      </c>
      <c r="J319" s="255"/>
      <c r="K319" s="43"/>
      <c r="L319" s="255"/>
      <c r="M319" s="255"/>
      <c r="N319" s="255"/>
      <c r="O319" s="255"/>
      <c r="P319" s="255"/>
    </row>
    <row r="320" spans="1:16" s="16" customFormat="1" ht="18" customHeight="1">
      <c r="A320" s="1"/>
      <c r="B320" s="156" t="s">
        <v>342</v>
      </c>
      <c r="C320" s="167">
        <f>C319</f>
        <v>38.46</v>
      </c>
      <c r="D320" s="77">
        <v>1</v>
      </c>
      <c r="E320" s="238">
        <v>6</v>
      </c>
      <c r="F320" s="235">
        <f>F319</f>
        <v>8.52</v>
      </c>
      <c r="G320" s="168">
        <f t="shared" si="54"/>
        <v>1.42</v>
      </c>
      <c r="H320" s="154">
        <f>ROUND(C320*G320,2)</f>
        <v>54.61</v>
      </c>
      <c r="I320" s="247" t="s">
        <v>224</v>
      </c>
      <c r="J320" s="255"/>
      <c r="K320" s="170"/>
      <c r="L320" s="170"/>
      <c r="M320" s="170"/>
      <c r="N320" s="170"/>
      <c r="O320" s="170"/>
      <c r="P320" s="170"/>
    </row>
    <row r="321" spans="1:16" s="16" customFormat="1" ht="18" customHeight="1">
      <c r="A321" s="1"/>
      <c r="B321" s="156" t="s">
        <v>225</v>
      </c>
      <c r="C321" s="167">
        <f>C334*D334+C324*D324+C327*D327</f>
        <v>12.06</v>
      </c>
      <c r="D321" s="77">
        <v>1</v>
      </c>
      <c r="E321" s="238">
        <f>10</f>
        <v>10</v>
      </c>
      <c r="F321" s="235">
        <f>F317</f>
        <v>8.52</v>
      </c>
      <c r="G321" s="168">
        <f t="shared" si="54"/>
        <v>0.85199999999999998</v>
      </c>
      <c r="H321" s="154">
        <f>ROUND(C321*G321,2)</f>
        <v>10.28</v>
      </c>
      <c r="I321" s="247" t="s">
        <v>226</v>
      </c>
      <c r="J321" s="255"/>
      <c r="K321" s="170"/>
      <c r="L321" s="170"/>
      <c r="M321" s="170"/>
      <c r="N321" s="170"/>
      <c r="O321" s="170"/>
      <c r="P321" s="170"/>
    </row>
    <row r="322" spans="1:16" s="16" customFormat="1" ht="18" customHeight="1">
      <c r="A322" s="1"/>
      <c r="B322" s="150" t="s">
        <v>227</v>
      </c>
      <c r="C322" s="165"/>
      <c r="D322" s="50"/>
      <c r="E322" s="50"/>
      <c r="F322" s="50"/>
      <c r="G322" s="166" t="s">
        <v>396</v>
      </c>
      <c r="H322" s="155">
        <f>SUM(H315:H321)</f>
        <v>216.67</v>
      </c>
      <c r="I322" s="152"/>
      <c r="J322" s="244" t="s">
        <v>399</v>
      </c>
      <c r="K322" s="245" t="s">
        <v>379</v>
      </c>
      <c r="L322" s="170"/>
      <c r="M322" s="170"/>
      <c r="N322" s="170"/>
      <c r="O322" s="170"/>
      <c r="P322" s="170"/>
    </row>
    <row r="323" spans="1:16" s="16" customFormat="1" ht="18" customHeight="1">
      <c r="A323" s="1"/>
      <c r="B323" s="156" t="s">
        <v>356</v>
      </c>
      <c r="C323" s="167">
        <f>C31</f>
        <v>0</v>
      </c>
      <c r="D323" s="239">
        <v>1</v>
      </c>
      <c r="E323" s="148"/>
      <c r="F323" s="148"/>
      <c r="G323" s="236">
        <f>0.45+0.85</f>
        <v>1.3</v>
      </c>
      <c r="H323" s="154">
        <f>ROUND(C323*D323*G323,2)</f>
        <v>0</v>
      </c>
      <c r="I323" s="247" t="s">
        <v>345</v>
      </c>
      <c r="J323" s="244">
        <v>1.76</v>
      </c>
      <c r="K323" s="245" t="s">
        <v>400</v>
      </c>
      <c r="L323" s="170"/>
      <c r="M323" s="171"/>
      <c r="N323" s="170"/>
      <c r="O323" s="170"/>
      <c r="P323" s="170"/>
    </row>
    <row r="324" spans="1:16" s="16" customFormat="1" ht="18" customHeight="1">
      <c r="A324" s="1"/>
      <c r="B324" s="156" t="s">
        <v>347</v>
      </c>
      <c r="C324" s="167">
        <f>C323</f>
        <v>0</v>
      </c>
      <c r="D324" s="239">
        <v>1</v>
      </c>
      <c r="E324" s="148"/>
      <c r="F324" s="148"/>
      <c r="G324" s="236">
        <v>6.89</v>
      </c>
      <c r="H324" s="154">
        <f t="shared" ref="H324:H329" si="55">ROUND(C324*D324*G324,2)</f>
        <v>0</v>
      </c>
      <c r="I324" s="247" t="s">
        <v>346</v>
      </c>
      <c r="J324" s="244">
        <v>12.25</v>
      </c>
      <c r="K324" s="245" t="s">
        <v>376</v>
      </c>
      <c r="L324" s="170"/>
      <c r="M324" s="171"/>
      <c r="N324" s="170"/>
      <c r="O324" s="170"/>
      <c r="P324" s="170"/>
    </row>
    <row r="325" spans="1:16" s="16" customFormat="1" ht="18" customHeight="1">
      <c r="A325" s="1"/>
      <c r="B325" s="156" t="s">
        <v>357</v>
      </c>
      <c r="C325" s="167">
        <f>C38</f>
        <v>0</v>
      </c>
      <c r="D325" s="239">
        <v>1</v>
      </c>
      <c r="E325" s="148"/>
      <c r="F325" s="148"/>
      <c r="G325" s="236">
        <f>0.85+0.61</f>
        <v>1.46</v>
      </c>
      <c r="H325" s="154">
        <f t="shared" si="55"/>
        <v>0</v>
      </c>
      <c r="I325" s="247" t="s">
        <v>354</v>
      </c>
      <c r="J325" s="244">
        <v>1.76</v>
      </c>
      <c r="K325" s="245" t="s">
        <v>378</v>
      </c>
      <c r="L325" s="170"/>
      <c r="M325" s="171"/>
      <c r="N325" s="170"/>
      <c r="O325" s="170"/>
      <c r="P325" s="170"/>
    </row>
    <row r="326" spans="1:16" s="16" customFormat="1" ht="18" customHeight="1">
      <c r="A326" s="1"/>
      <c r="B326" s="156" t="s">
        <v>355</v>
      </c>
      <c r="C326" s="167">
        <f>C325</f>
        <v>0</v>
      </c>
      <c r="D326" s="239">
        <v>1</v>
      </c>
      <c r="E326" s="148"/>
      <c r="F326" s="148"/>
      <c r="G326" s="236">
        <v>3.27</v>
      </c>
      <c r="H326" s="154">
        <f>ROUND(C326*D326*G326,2)</f>
        <v>0</v>
      </c>
      <c r="I326" s="247" t="s">
        <v>358</v>
      </c>
      <c r="J326" s="244">
        <v>3.27</v>
      </c>
      <c r="K326" s="245" t="s">
        <v>358</v>
      </c>
      <c r="L326" s="170"/>
      <c r="M326" s="171"/>
      <c r="N326" s="170"/>
      <c r="O326" s="170"/>
      <c r="P326" s="170"/>
    </row>
    <row r="327" spans="1:16" s="16" customFormat="1" ht="18" customHeight="1">
      <c r="A327" s="1"/>
      <c r="B327" s="156" t="s">
        <v>228</v>
      </c>
      <c r="C327" s="167">
        <f>C126</f>
        <v>0</v>
      </c>
      <c r="D327" s="239">
        <v>1</v>
      </c>
      <c r="E327" s="110"/>
      <c r="F327" s="148"/>
      <c r="G327" s="236">
        <v>6.89</v>
      </c>
      <c r="H327" s="154">
        <f t="shared" si="55"/>
        <v>0</v>
      </c>
      <c r="I327" s="247" t="s">
        <v>346</v>
      </c>
      <c r="J327" s="244">
        <v>12.25</v>
      </c>
      <c r="K327" s="245" t="s">
        <v>346</v>
      </c>
      <c r="L327" s="170"/>
      <c r="M327" s="171"/>
      <c r="N327" s="170"/>
      <c r="O327" s="170"/>
      <c r="P327" s="170"/>
    </row>
    <row r="328" spans="1:16" s="16" customFormat="1" ht="18" customHeight="1">
      <c r="A328" s="1"/>
      <c r="B328" s="156" t="s">
        <v>229</v>
      </c>
      <c r="C328" s="167">
        <f>C327</f>
        <v>0</v>
      </c>
      <c r="D328" s="239">
        <v>1</v>
      </c>
      <c r="E328" s="110"/>
      <c r="F328" s="148"/>
      <c r="G328" s="236">
        <f>G3233</f>
        <v>0</v>
      </c>
      <c r="H328" s="154">
        <f t="shared" si="55"/>
        <v>0</v>
      </c>
      <c r="I328" s="247" t="s">
        <v>345</v>
      </c>
      <c r="J328" s="244">
        <v>0</v>
      </c>
      <c r="K328" s="245" t="s">
        <v>400</v>
      </c>
      <c r="L328" s="170"/>
      <c r="M328" s="171"/>
      <c r="N328" s="170"/>
      <c r="O328" s="170"/>
      <c r="P328" s="170"/>
    </row>
    <row r="329" spans="1:16" s="16" customFormat="1" ht="18" customHeight="1">
      <c r="A329" s="1"/>
      <c r="B329" s="156" t="s">
        <v>230</v>
      </c>
      <c r="C329" s="167">
        <f>C119</f>
        <v>0</v>
      </c>
      <c r="D329" s="239">
        <v>1</v>
      </c>
      <c r="E329" s="148"/>
      <c r="F329" s="148"/>
      <c r="G329" s="236">
        <f>G3253</f>
        <v>0</v>
      </c>
      <c r="H329" s="154">
        <f t="shared" si="55"/>
        <v>0</v>
      </c>
      <c r="I329" s="247" t="s">
        <v>354</v>
      </c>
      <c r="J329" s="244">
        <v>0</v>
      </c>
      <c r="K329" s="245" t="s">
        <v>378</v>
      </c>
      <c r="L329" s="170"/>
      <c r="M329" s="171"/>
      <c r="N329" s="170"/>
      <c r="O329" s="170"/>
      <c r="P329" s="170"/>
    </row>
    <row r="330" spans="1:16" s="16" customFormat="1" ht="18" customHeight="1">
      <c r="A330" s="1"/>
      <c r="B330" s="156" t="s">
        <v>362</v>
      </c>
      <c r="C330" s="167">
        <f>C329</f>
        <v>0</v>
      </c>
      <c r="D330" s="239">
        <v>1</v>
      </c>
      <c r="E330" s="148"/>
      <c r="F330" s="148"/>
      <c r="G330" s="236">
        <v>3.27</v>
      </c>
      <c r="H330" s="154">
        <f>ROUND(C330*D330*G330,2)</f>
        <v>0</v>
      </c>
      <c r="I330" s="247" t="s">
        <v>358</v>
      </c>
      <c r="J330" s="244">
        <v>3.27</v>
      </c>
      <c r="K330" s="245" t="s">
        <v>358</v>
      </c>
      <c r="L330" s="170"/>
      <c r="M330" s="171"/>
      <c r="N330" s="170"/>
      <c r="O330" s="170"/>
      <c r="P330" s="170"/>
    </row>
    <row r="331" spans="1:16" s="16" customFormat="1" ht="18" customHeight="1">
      <c r="A331" s="1"/>
      <c r="B331" s="156" t="s">
        <v>343</v>
      </c>
      <c r="C331" s="167">
        <f>C319</f>
        <v>38.46</v>
      </c>
      <c r="D331" s="239">
        <v>1</v>
      </c>
      <c r="E331" s="148"/>
      <c r="F331" s="148"/>
      <c r="G331" s="236">
        <v>1.25</v>
      </c>
      <c r="H331" s="154">
        <f>C331*D331*G331</f>
        <v>48.075000000000003</v>
      </c>
      <c r="I331" s="247" t="s">
        <v>344</v>
      </c>
      <c r="J331" s="244">
        <v>1.25</v>
      </c>
      <c r="K331" s="245" t="s">
        <v>344</v>
      </c>
      <c r="L331" s="170"/>
      <c r="M331" s="171"/>
      <c r="N331" s="170"/>
      <c r="O331" s="170"/>
      <c r="P331" s="170"/>
    </row>
    <row r="332" spans="1:16" s="16" customFormat="1" ht="18" customHeight="1">
      <c r="A332" s="1"/>
      <c r="B332" s="156" t="s">
        <v>350</v>
      </c>
      <c r="C332" s="167" cm="1">
        <f t="array" ref="C332">SUMPRODUCT(D26:D30*G26:G30)/1000</f>
        <v>0</v>
      </c>
      <c r="D332" s="239">
        <v>1</v>
      </c>
      <c r="E332" s="148"/>
      <c r="F332" s="148"/>
      <c r="G332" s="236">
        <v>0.41</v>
      </c>
      <c r="H332" s="154">
        <f>C332*D332*G332</f>
        <v>0</v>
      </c>
      <c r="I332" s="247" t="s">
        <v>348</v>
      </c>
      <c r="J332" s="244">
        <v>0.41</v>
      </c>
      <c r="K332" s="245" t="s">
        <v>348</v>
      </c>
      <c r="L332" s="170"/>
      <c r="M332" s="171"/>
      <c r="N332" s="170"/>
      <c r="O332" s="170"/>
      <c r="P332" s="170"/>
    </row>
    <row r="333" spans="1:16" s="16" customFormat="1" ht="18" customHeight="1">
      <c r="A333" s="1"/>
      <c r="B333" s="156" t="s">
        <v>349</v>
      </c>
      <c r="C333" s="167">
        <f>C88+C97+C104+C153+C163+C146</f>
        <v>38.459999999999994</v>
      </c>
      <c r="D333" s="239">
        <v>1</v>
      </c>
      <c r="E333" s="148"/>
      <c r="F333" s="148"/>
      <c r="G333" s="236">
        <v>0.49</v>
      </c>
      <c r="H333" s="154">
        <f>C333*D333*G333</f>
        <v>18.845399999999998</v>
      </c>
      <c r="I333" s="247" t="s">
        <v>351</v>
      </c>
      <c r="J333" s="244">
        <v>0.49</v>
      </c>
      <c r="K333" s="245" t="s">
        <v>351</v>
      </c>
      <c r="L333" s="170"/>
      <c r="M333" s="171"/>
      <c r="N333" s="170"/>
      <c r="O333" s="170"/>
      <c r="P333" s="170"/>
    </row>
    <row r="334" spans="1:16" s="16" customFormat="1" ht="18" customHeight="1">
      <c r="A334" s="1"/>
      <c r="B334" s="156" t="s">
        <v>353</v>
      </c>
      <c r="C334" s="167">
        <f t="array" ref="C334">SUMPRODUCT(D157:D162*G157:G162)/1000+SUM(G157:G162)*0.3+SUMPRODUCT(D68:D87*G68:G87)/1000+SUM(G68:G87)*0.3</f>
        <v>12.06</v>
      </c>
      <c r="D334" s="239">
        <v>1</v>
      </c>
      <c r="E334" s="148"/>
      <c r="F334" s="148"/>
      <c r="G334" s="237">
        <v>5.36</v>
      </c>
      <c r="H334" s="154">
        <f>C334*G334</f>
        <v>64.641600000000011</v>
      </c>
      <c r="I334" s="247" t="s">
        <v>352</v>
      </c>
      <c r="J334" s="244">
        <v>9.5500000000000007</v>
      </c>
      <c r="K334" s="245" t="s">
        <v>377</v>
      </c>
      <c r="L334" s="170"/>
      <c r="M334" s="171"/>
      <c r="N334" s="170"/>
      <c r="O334" s="170"/>
      <c r="P334" s="170"/>
    </row>
    <row r="335" spans="1:16" s="16" customFormat="1" ht="18" customHeight="1">
      <c r="A335" s="1"/>
      <c r="B335" s="156" t="s">
        <v>364</v>
      </c>
      <c r="C335" s="167">
        <f>C319</f>
        <v>38.46</v>
      </c>
      <c r="D335" s="239">
        <v>1</v>
      </c>
      <c r="E335" s="148"/>
      <c r="F335" s="148"/>
      <c r="G335" s="237">
        <v>1.25</v>
      </c>
      <c r="H335" s="154"/>
      <c r="I335" s="149" t="s">
        <v>363</v>
      </c>
      <c r="J335" s="244">
        <v>1.25</v>
      </c>
      <c r="K335" s="245" t="s">
        <v>363</v>
      </c>
      <c r="L335" s="170"/>
      <c r="M335" s="171"/>
      <c r="N335" s="170"/>
      <c r="O335" s="170"/>
      <c r="P335" s="170"/>
    </row>
    <row r="336" spans="1:16" s="16" customFormat="1" ht="18" customHeight="1">
      <c r="A336" s="1"/>
      <c r="B336" s="156" t="s">
        <v>365</v>
      </c>
      <c r="C336" s="167">
        <f>C320</f>
        <v>38.46</v>
      </c>
      <c r="D336" s="239">
        <v>1</v>
      </c>
      <c r="E336" s="148"/>
      <c r="F336" s="148"/>
      <c r="G336" s="237">
        <v>1.63</v>
      </c>
      <c r="H336" s="154"/>
      <c r="I336" s="149" t="s">
        <v>363</v>
      </c>
      <c r="J336" s="244">
        <v>1.63</v>
      </c>
      <c r="K336" s="245" t="s">
        <v>363</v>
      </c>
      <c r="L336" s="170"/>
      <c r="M336" s="171"/>
      <c r="N336" s="170"/>
      <c r="O336" s="170"/>
      <c r="P336" s="170"/>
    </row>
    <row r="337" spans="1:16" s="16" customFormat="1" ht="18" customHeight="1">
      <c r="A337" s="1"/>
      <c r="B337" s="150" t="s">
        <v>231</v>
      </c>
      <c r="C337" s="165"/>
      <c r="D337" s="50"/>
      <c r="E337" s="50"/>
      <c r="F337" s="50"/>
      <c r="G337" s="166"/>
      <c r="H337" s="155">
        <f>SUM(H323:H336)*1.05</f>
        <v>138.14010000000002</v>
      </c>
      <c r="I337" s="152"/>
      <c r="J337" s="172"/>
      <c r="K337" s="170"/>
      <c r="L337" s="170"/>
      <c r="M337" s="170"/>
      <c r="N337" s="170"/>
      <c r="O337" s="170"/>
      <c r="P337" s="170"/>
    </row>
    <row r="338" spans="1:16" s="16" customFormat="1" ht="18" customHeight="1">
      <c r="A338" s="1"/>
      <c r="B338" s="173" t="s">
        <v>366</v>
      </c>
      <c r="C338" s="174">
        <f>F250+F258+F265+F280+F285+F290</f>
        <v>13</v>
      </c>
      <c r="D338" s="175">
        <v>2</v>
      </c>
      <c r="E338" s="176"/>
      <c r="F338" s="176"/>
      <c r="G338" s="240">
        <v>0.5</v>
      </c>
      <c r="H338" s="177">
        <f t="shared" ref="H338:H343" si="56">D338*G338*C338</f>
        <v>13</v>
      </c>
      <c r="I338" s="178" t="s">
        <v>233</v>
      </c>
      <c r="J338" s="172"/>
      <c r="K338" s="170"/>
      <c r="L338" s="170"/>
      <c r="M338" s="170"/>
      <c r="N338" s="170"/>
      <c r="O338" s="170"/>
      <c r="P338" s="170"/>
    </row>
    <row r="339" spans="1:16" s="16" customFormat="1" ht="18" customHeight="1">
      <c r="A339" s="1"/>
      <c r="B339" s="173" t="s">
        <v>367</v>
      </c>
      <c r="C339" s="174">
        <f>F233+F242+F269+F273</f>
        <v>0</v>
      </c>
      <c r="D339" s="175">
        <v>4</v>
      </c>
      <c r="E339" s="176"/>
      <c r="F339" s="176"/>
      <c r="G339" s="240">
        <v>0.63</v>
      </c>
      <c r="H339" s="177">
        <f t="shared" si="56"/>
        <v>0</v>
      </c>
      <c r="I339" s="178" t="s">
        <v>234</v>
      </c>
      <c r="J339" s="172"/>
      <c r="K339" s="170"/>
      <c r="L339" s="170"/>
      <c r="M339" s="170"/>
      <c r="N339" s="170"/>
      <c r="O339" s="170"/>
      <c r="P339" s="170"/>
    </row>
    <row r="340" spans="1:16" s="16" customFormat="1" ht="18" customHeight="1">
      <c r="A340" s="1"/>
      <c r="B340" s="173" t="s">
        <v>366</v>
      </c>
      <c r="C340" s="174">
        <f>SUM(G157:G162)</f>
        <v>0</v>
      </c>
      <c r="D340" s="175">
        <f>IF(E113&gt;2200,2,0)</f>
        <v>0</v>
      </c>
      <c r="E340" s="176"/>
      <c r="F340" s="176"/>
      <c r="G340" s="240">
        <v>0.5</v>
      </c>
      <c r="H340" s="177">
        <f t="shared" si="56"/>
        <v>0</v>
      </c>
      <c r="I340" s="178" t="s">
        <v>235</v>
      </c>
      <c r="J340" s="172"/>
      <c r="K340" s="170"/>
      <c r="L340" s="170"/>
      <c r="M340" s="170"/>
      <c r="N340" s="170"/>
      <c r="O340" s="170"/>
      <c r="P340" s="170"/>
    </row>
    <row r="341" spans="1:16" s="16" customFormat="1" ht="18" customHeight="1">
      <c r="A341" s="1"/>
      <c r="B341" s="173" t="s">
        <v>367</v>
      </c>
      <c r="C341" s="174">
        <f>SUM(G116:G118)</f>
        <v>0</v>
      </c>
      <c r="D341" s="175">
        <v>4</v>
      </c>
      <c r="E341" s="176"/>
      <c r="F341" s="176"/>
      <c r="G341" s="240">
        <v>0.63</v>
      </c>
      <c r="H341" s="177">
        <f t="shared" si="56"/>
        <v>0</v>
      </c>
      <c r="I341" s="178" t="s">
        <v>236</v>
      </c>
      <c r="J341" s="172"/>
      <c r="K341" s="170"/>
      <c r="L341" s="170"/>
      <c r="M341" s="170"/>
      <c r="N341" s="170"/>
      <c r="O341" s="170"/>
      <c r="P341" s="170"/>
    </row>
    <row r="342" spans="1:16" ht="18" customHeight="1">
      <c r="B342" s="173" t="s">
        <v>237</v>
      </c>
      <c r="C342" s="174">
        <v>1</v>
      </c>
      <c r="D342" s="175">
        <f>(F291+F292)*10</f>
        <v>130</v>
      </c>
      <c r="E342" s="176"/>
      <c r="F342" s="176"/>
      <c r="G342" s="240">
        <v>0.37</v>
      </c>
      <c r="H342" s="177">
        <f t="shared" si="56"/>
        <v>48.1</v>
      </c>
      <c r="I342" s="178"/>
      <c r="J342" s="172"/>
      <c r="K342" s="172"/>
      <c r="L342" s="172"/>
      <c r="N342" s="43"/>
    </row>
    <row r="343" spans="1:16" ht="18" customHeight="1">
      <c r="B343" s="173" t="s">
        <v>232</v>
      </c>
      <c r="C343" s="174">
        <f>C338</f>
        <v>13</v>
      </c>
      <c r="D343" s="175">
        <v>0</v>
      </c>
      <c r="E343" s="176"/>
      <c r="F343" s="176"/>
      <c r="G343" s="240">
        <v>0.49</v>
      </c>
      <c r="H343" s="177">
        <f t="shared" si="56"/>
        <v>0</v>
      </c>
      <c r="I343" s="178" t="s">
        <v>238</v>
      </c>
      <c r="J343" s="172"/>
      <c r="K343" s="172"/>
      <c r="L343" s="172"/>
      <c r="N343" s="43"/>
    </row>
    <row r="344" spans="1:16" ht="18" customHeight="1">
      <c r="B344" s="156" t="s">
        <v>239</v>
      </c>
      <c r="C344" s="157"/>
      <c r="D344" s="250">
        <f>E203+E205*2+E207*2+I203+I205*2+I207*2</f>
        <v>8</v>
      </c>
      <c r="E344" s="148"/>
      <c r="F344" s="148"/>
      <c r="G344" s="148">
        <v>0.2</v>
      </c>
      <c r="H344" s="179">
        <f>D344*G344</f>
        <v>1.6</v>
      </c>
      <c r="I344" s="247" t="s">
        <v>368</v>
      </c>
      <c r="J344" s="172"/>
      <c r="K344" s="172"/>
      <c r="L344" s="172"/>
    </row>
    <row r="345" spans="1:16" ht="18" customHeight="1">
      <c r="B345" s="156" t="s">
        <v>240</v>
      </c>
      <c r="C345" s="157"/>
      <c r="D345" s="250">
        <f>4*(E52+E53+E54+E55+G52+G53+G54+G55+G60+G61+G62+G63+E130+E131+E132+G130+G131+G132+G137+G138)</f>
        <v>28</v>
      </c>
      <c r="E345" s="148"/>
      <c r="F345" s="148"/>
      <c r="G345" s="148">
        <v>0.22</v>
      </c>
      <c r="H345" s="179">
        <f>D345*G345</f>
        <v>6.16</v>
      </c>
      <c r="I345" s="247" t="s">
        <v>241</v>
      </c>
      <c r="J345" s="172"/>
      <c r="K345" s="172"/>
      <c r="L345" s="172"/>
    </row>
    <row r="346" spans="1:16" ht="18" customHeight="1">
      <c r="B346" s="156" t="s">
        <v>242</v>
      </c>
      <c r="C346" s="157"/>
      <c r="D346" s="250">
        <f>D345/2</f>
        <v>14</v>
      </c>
      <c r="E346" s="148"/>
      <c r="F346" s="148"/>
      <c r="G346" s="148">
        <v>0.22</v>
      </c>
      <c r="H346" s="179">
        <f>ROUND(D346*G346,2)</f>
        <v>3.08</v>
      </c>
      <c r="I346" s="247" t="s">
        <v>243</v>
      </c>
      <c r="J346" s="172"/>
      <c r="K346" s="172"/>
      <c r="L346" s="172"/>
    </row>
    <row r="347" spans="1:16" ht="18" customHeight="1">
      <c r="B347" s="156" t="s">
        <v>369</v>
      </c>
      <c r="C347" s="157"/>
      <c r="D347" s="250">
        <f>D346</f>
        <v>14</v>
      </c>
      <c r="E347" s="148"/>
      <c r="F347" s="148"/>
      <c r="G347" s="148">
        <v>1.37</v>
      </c>
      <c r="H347" s="179">
        <f>ROUND(D347*G347,2)</f>
        <v>19.18</v>
      </c>
      <c r="I347" s="247" t="s">
        <v>370</v>
      </c>
      <c r="J347" s="172"/>
      <c r="K347" s="172"/>
      <c r="L347" s="172"/>
    </row>
    <row r="348" spans="1:16" ht="18" customHeight="1">
      <c r="B348" s="156" t="s">
        <v>244</v>
      </c>
      <c r="C348" s="157"/>
      <c r="D348" s="250">
        <f>(F291+F292)*2</f>
        <v>26</v>
      </c>
      <c r="E348" s="148"/>
      <c r="F348" s="148"/>
      <c r="G348" s="148">
        <v>0.48</v>
      </c>
      <c r="H348" s="179">
        <f>ROUND(D348*G348,2)</f>
        <v>12.48</v>
      </c>
      <c r="I348" s="247" t="s">
        <v>245</v>
      </c>
      <c r="J348" s="255"/>
    </row>
    <row r="349" spans="1:16" ht="18" customHeight="1">
      <c r="B349" s="156" t="s">
        <v>246</v>
      </c>
      <c r="C349" s="157"/>
      <c r="D349" s="250">
        <f>ROUND((D4+E4-240)*2/200+E217*F217/200,0)</f>
        <v>70</v>
      </c>
      <c r="E349" s="148"/>
      <c r="F349" s="148"/>
      <c r="G349" s="148">
        <v>0.05</v>
      </c>
      <c r="H349" s="179">
        <f>ROUND(D349*G349,2)</f>
        <v>3.5</v>
      </c>
      <c r="I349" s="247" t="s">
        <v>247</v>
      </c>
      <c r="J349" s="255"/>
    </row>
    <row r="350" spans="1:16" ht="18" customHeight="1">
      <c r="B350" s="150" t="s">
        <v>248</v>
      </c>
      <c r="C350" s="165"/>
      <c r="D350" s="50"/>
      <c r="E350" s="50"/>
      <c r="F350" s="50"/>
      <c r="G350" s="166"/>
      <c r="H350" s="155">
        <f>SUM(H338:H349)</f>
        <v>107.10000000000001</v>
      </c>
      <c r="I350" s="152"/>
    </row>
    <row r="351" spans="1:16" ht="18" customHeight="1">
      <c r="B351" s="156" t="s">
        <v>359</v>
      </c>
      <c r="C351" s="157"/>
      <c r="D351" s="250">
        <f>SUMPRODUCT(G26:G30)*8+SUMPRODUCT(G35:G37)*8+SUMPRODUCT(G116:G118)*8+SUMPRODUCT(G123:G125)*8</f>
        <v>0</v>
      </c>
      <c r="E351" s="148"/>
      <c r="F351" s="148"/>
      <c r="G351" s="148">
        <v>1.26</v>
      </c>
      <c r="H351" s="154">
        <f>ROUND(D351*G351,2)</f>
        <v>0</v>
      </c>
      <c r="I351" s="247" t="s">
        <v>386</v>
      </c>
    </row>
    <row r="352" spans="1:16" ht="18" customHeight="1">
      <c r="B352" s="156" t="s">
        <v>360</v>
      </c>
      <c r="C352" s="157"/>
      <c r="D352" s="250">
        <f>G26*4+G27*4+G28*4+G29*4+G30*4</f>
        <v>0</v>
      </c>
      <c r="E352" s="148"/>
      <c r="F352" s="148"/>
      <c r="G352" s="148">
        <v>2</v>
      </c>
      <c r="H352" s="154">
        <f>ROUND(D352*G352,2)</f>
        <v>0</v>
      </c>
      <c r="I352" s="247" t="s">
        <v>361</v>
      </c>
    </row>
    <row r="353" spans="1:22" ht="18" customHeight="1">
      <c r="B353" s="156" t="s">
        <v>249</v>
      </c>
      <c r="C353" s="157"/>
      <c r="D353" s="250"/>
      <c r="E353" s="148"/>
      <c r="F353" s="148"/>
      <c r="G353" s="148">
        <v>1.6</v>
      </c>
      <c r="H353" s="154"/>
      <c r="I353" s="247"/>
    </row>
    <row r="354" spans="1:22" ht="18" customHeight="1">
      <c r="B354" s="156" t="s">
        <v>250</v>
      </c>
      <c r="C354" s="157"/>
      <c r="D354" s="44">
        <f>C22+C31+C38+C48+C56+C64+C112+C119+C126+C133+C139+C199</f>
        <v>28.342000000000002</v>
      </c>
      <c r="E354" s="148"/>
      <c r="F354" s="148"/>
      <c r="G354" s="179">
        <v>4</v>
      </c>
      <c r="H354" s="154">
        <f t="shared" ref="H354:H356" si="57">ROUND(D354*G354,2)</f>
        <v>113.37</v>
      </c>
      <c r="I354" s="247"/>
    </row>
    <row r="355" spans="1:22" ht="18" customHeight="1">
      <c r="B355" s="156" t="s">
        <v>251</v>
      </c>
      <c r="C355" s="157" t="s">
        <v>252</v>
      </c>
      <c r="D355" s="44">
        <f>C88+C163</f>
        <v>38.459999999999994</v>
      </c>
      <c r="E355" s="148"/>
      <c r="F355" s="148"/>
      <c r="G355" s="179">
        <v>3.15</v>
      </c>
      <c r="H355" s="154">
        <f t="shared" si="57"/>
        <v>121.15</v>
      </c>
      <c r="I355" s="247"/>
    </row>
    <row r="356" spans="1:22" ht="18" customHeight="1">
      <c r="B356" s="156" t="s">
        <v>253</v>
      </c>
      <c r="C356" s="157" t="s">
        <v>254</v>
      </c>
      <c r="D356" s="44">
        <f>C97+C104+C146+C153</f>
        <v>0</v>
      </c>
      <c r="E356" s="148"/>
      <c r="F356" s="148"/>
      <c r="G356" s="179">
        <v>3.65</v>
      </c>
      <c r="H356" s="154">
        <f t="shared" si="57"/>
        <v>0</v>
      </c>
      <c r="I356" s="247"/>
    </row>
    <row r="357" spans="1:22" ht="18" customHeight="1">
      <c r="B357" s="156" t="s">
        <v>387</v>
      </c>
      <c r="C357" s="157"/>
      <c r="D357" s="44">
        <f>F291+F292</f>
        <v>13</v>
      </c>
      <c r="E357" s="148"/>
      <c r="F357" s="148"/>
      <c r="G357" s="179">
        <v>6</v>
      </c>
      <c r="H357" s="154"/>
      <c r="I357" s="247"/>
    </row>
    <row r="358" spans="1:22" ht="18" customHeight="1">
      <c r="B358" s="156" t="s">
        <v>255</v>
      </c>
      <c r="C358" s="157"/>
      <c r="D358" s="180">
        <f>F14*1.5</f>
        <v>10.11</v>
      </c>
      <c r="E358" s="148"/>
      <c r="F358" s="148"/>
      <c r="G358" s="148">
        <v>70</v>
      </c>
      <c r="H358" s="154">
        <f>D358*G358</f>
        <v>707.69999999999993</v>
      </c>
      <c r="I358" s="247"/>
    </row>
    <row r="359" spans="1:22" ht="18" customHeight="1">
      <c r="B359" s="156" t="s">
        <v>858</v>
      </c>
      <c r="C359" s="157"/>
      <c r="D359" s="180"/>
      <c r="E359" s="148"/>
      <c r="F359" s="148"/>
      <c r="G359" s="148">
        <v>180</v>
      </c>
      <c r="H359" s="154">
        <f>D359*G359</f>
        <v>0</v>
      </c>
      <c r="I359" s="247"/>
    </row>
    <row r="360" spans="1:22" ht="18" customHeight="1">
      <c r="B360" s="156" t="s">
        <v>388</v>
      </c>
      <c r="C360" s="157"/>
      <c r="D360" s="250">
        <v>1</v>
      </c>
      <c r="E360" s="148"/>
      <c r="F360" s="148"/>
      <c r="G360" s="148">
        <v>9.6</v>
      </c>
      <c r="H360" s="154">
        <f>ROUND(D360*G360,2)</f>
        <v>9.6</v>
      </c>
      <c r="I360" s="247"/>
    </row>
    <row r="361" spans="1:22" ht="18" customHeight="1">
      <c r="B361" s="156" t="s">
        <v>901</v>
      </c>
      <c r="C361" s="157"/>
      <c r="D361" s="463">
        <f>(D4+E4)*2/1000</f>
        <v>12.2</v>
      </c>
      <c r="E361" s="148"/>
      <c r="F361" s="148"/>
      <c r="G361" s="148">
        <v>45</v>
      </c>
      <c r="H361" s="154">
        <f>ROUND(D361*G361,2)</f>
        <v>549</v>
      </c>
      <c r="I361" s="468"/>
    </row>
    <row r="362" spans="1:22" ht="18" customHeight="1">
      <c r="B362" s="181" t="s">
        <v>398</v>
      </c>
      <c r="C362" s="157"/>
      <c r="D362" s="182">
        <f>F366</f>
        <v>8.3178999999999998</v>
      </c>
      <c r="E362" s="148"/>
      <c r="F362" s="148"/>
      <c r="G362" s="148">
        <v>3</v>
      </c>
      <c r="H362" s="154">
        <f>D362*G362</f>
        <v>24.953699999999998</v>
      </c>
      <c r="I362" s="247"/>
    </row>
    <row r="363" spans="1:22" ht="18" customHeight="1">
      <c r="B363" s="150" t="s">
        <v>256</v>
      </c>
      <c r="C363" s="50"/>
      <c r="D363" s="50"/>
      <c r="E363" s="50"/>
      <c r="F363" s="50"/>
      <c r="G363" s="166"/>
      <c r="H363" s="155">
        <f>SUM(H351:H362)</f>
        <v>1525.7737</v>
      </c>
      <c r="I363" s="183"/>
    </row>
    <row r="364" spans="1:22" ht="18" customHeight="1">
      <c r="B364" s="248" t="s">
        <v>257</v>
      </c>
      <c r="C364" s="185"/>
      <c r="D364" s="186"/>
      <c r="E364" s="185"/>
      <c r="F364" s="186"/>
      <c r="G364" s="186"/>
      <c r="H364" s="187">
        <f>SUM(H363,H350,H337,H322,H314,H308,H304)</f>
        <v>2171.6638000000003</v>
      </c>
      <c r="I364" s="188"/>
    </row>
    <row r="365" spans="1:22" ht="18" customHeight="1">
      <c r="A365" s="189"/>
      <c r="B365" s="190" t="s">
        <v>258</v>
      </c>
      <c r="C365" s="10" t="s">
        <v>14</v>
      </c>
      <c r="D365" s="10" t="s">
        <v>16</v>
      </c>
      <c r="E365" s="10" t="s">
        <v>17</v>
      </c>
      <c r="F365" s="10" t="s">
        <v>7</v>
      </c>
      <c r="G365" s="10" t="s">
        <v>5</v>
      </c>
      <c r="H365" s="10" t="s">
        <v>18</v>
      </c>
      <c r="I365" s="191" t="s">
        <v>259</v>
      </c>
      <c r="L365" s="192"/>
      <c r="M365" s="192"/>
    </row>
    <row r="366" spans="1:22" ht="18" customHeight="1">
      <c r="B366" s="48">
        <f>ROUND(I366/F366,2)</f>
        <v>838.79</v>
      </c>
      <c r="C366" s="50" t="s">
        <v>299</v>
      </c>
      <c r="D366" s="50">
        <f>D5</f>
        <v>2230</v>
      </c>
      <c r="E366" s="50">
        <f>E5</f>
        <v>3730</v>
      </c>
      <c r="F366" s="49">
        <f>E366*D366/1000000</f>
        <v>8.3178999999999998</v>
      </c>
      <c r="G366" s="50">
        <f>G4</f>
        <v>1</v>
      </c>
      <c r="H366" s="49">
        <f>F366</f>
        <v>8.3178999999999998</v>
      </c>
      <c r="I366" s="193">
        <f>H364+H291+H292+I223+I12</f>
        <v>6977.0085920659994</v>
      </c>
      <c r="K366" s="192"/>
    </row>
    <row r="367" spans="1:22" ht="18" customHeight="1">
      <c r="B367" s="194" t="s">
        <v>258</v>
      </c>
      <c r="C367" s="195" t="s">
        <v>260</v>
      </c>
      <c r="D367" s="195" t="s">
        <v>261</v>
      </c>
      <c r="E367" s="195" t="s">
        <v>262</v>
      </c>
      <c r="F367" s="195" t="s">
        <v>263</v>
      </c>
      <c r="G367" s="195" t="s">
        <v>264</v>
      </c>
      <c r="H367" s="195" t="s">
        <v>265</v>
      </c>
      <c r="I367" s="196" t="s">
        <v>266</v>
      </c>
    </row>
    <row r="368" spans="1:22" ht="30" customHeight="1" thickBot="1">
      <c r="B368" s="197">
        <f>ROUND(I366/H366,2)</f>
        <v>838.79</v>
      </c>
      <c r="C368" s="198">
        <f>E294+E296+E298+E300+E302+E303+E297+E299</f>
        <v>0</v>
      </c>
      <c r="D368" s="199"/>
      <c r="E368" s="199"/>
      <c r="F368" s="200"/>
      <c r="G368" s="200"/>
      <c r="H368" s="200"/>
      <c r="I368" s="201"/>
      <c r="O368" s="631" t="s">
        <v>603</v>
      </c>
      <c r="P368" s="631"/>
      <c r="Q368" s="631"/>
      <c r="R368" s="631"/>
      <c r="S368" s="631"/>
      <c r="T368" s="631"/>
      <c r="U368" s="631"/>
      <c r="V368" s="631"/>
    </row>
    <row r="369" spans="2:22" ht="20.100000000000001" customHeight="1">
      <c r="B369" s="42"/>
      <c r="L369" s="202"/>
      <c r="M369" s="202"/>
      <c r="N369" s="202"/>
      <c r="O369" s="634" t="s">
        <v>604</v>
      </c>
      <c r="P369" s="634"/>
      <c r="Q369" s="634"/>
      <c r="R369" s="634"/>
      <c r="S369" s="634"/>
      <c r="T369" s="634"/>
      <c r="U369" s="634"/>
      <c r="V369" s="634"/>
    </row>
    <row r="370" spans="2:22" ht="20.100000000000001" customHeight="1">
      <c r="B370" s="102" t="s">
        <v>862</v>
      </c>
      <c r="C370" s="203"/>
      <c r="D370" s="203" t="s">
        <v>267</v>
      </c>
      <c r="E370" s="203"/>
      <c r="J370" s="102"/>
      <c r="O370" s="285" t="s">
        <v>279</v>
      </c>
      <c r="P370" s="624" t="s">
        <v>633</v>
      </c>
      <c r="Q370" s="625"/>
      <c r="R370" s="312" t="str">
        <f ca="1">B4</f>
        <v>GDC2338</v>
      </c>
      <c r="S370" s="312"/>
      <c r="T370" s="313"/>
      <c r="U370" s="287" t="s">
        <v>605</v>
      </c>
      <c r="V370" s="288"/>
    </row>
    <row r="371" spans="2:22" ht="24.95" customHeight="1">
      <c r="B371" s="102">
        <f>ROUND(I366/F6,2)</f>
        <v>844.84</v>
      </c>
      <c r="C371" s="203">
        <f>U392</f>
        <v>1456.6505463950155</v>
      </c>
      <c r="D371" s="203">
        <f>E304</f>
        <v>0</v>
      </c>
      <c r="E371" s="203"/>
      <c r="J371" s="102"/>
      <c r="O371" s="635" t="s">
        <v>606</v>
      </c>
      <c r="P371" s="623" t="s">
        <v>626</v>
      </c>
      <c r="Q371" s="623"/>
      <c r="R371" s="623"/>
      <c r="S371" s="623"/>
      <c r="T371" s="637"/>
      <c r="U371" s="291" t="s">
        <v>607</v>
      </c>
      <c r="V371" s="292" t="s">
        <v>313</v>
      </c>
    </row>
    <row r="372" spans="2:22" ht="24.95" customHeight="1">
      <c r="L372" s="102"/>
      <c r="M372" s="102"/>
      <c r="N372" s="102"/>
      <c r="O372" s="636"/>
      <c r="P372" s="638"/>
      <c r="Q372" s="638"/>
      <c r="R372" s="638"/>
      <c r="S372" s="638"/>
      <c r="T372" s="638"/>
      <c r="U372" s="291" t="s">
        <v>268</v>
      </c>
      <c r="V372" s="293">
        <f>F4</f>
        <v>6.58</v>
      </c>
    </row>
    <row r="373" spans="2:22" ht="24.95" customHeight="1">
      <c r="J373" s="102"/>
      <c r="K373" s="102"/>
      <c r="L373" s="102"/>
      <c r="M373" s="102"/>
      <c r="N373" s="102"/>
      <c r="O373" s="311" t="s">
        <v>0</v>
      </c>
      <c r="P373" s="289" t="s">
        <v>608</v>
      </c>
      <c r="Q373" s="289" t="s">
        <v>627</v>
      </c>
      <c r="R373" s="289" t="s">
        <v>269</v>
      </c>
      <c r="S373" s="294" t="s">
        <v>8</v>
      </c>
      <c r="T373" s="295" t="s">
        <v>609</v>
      </c>
      <c r="U373" s="296" t="s">
        <v>270</v>
      </c>
      <c r="V373" s="295" t="s">
        <v>610</v>
      </c>
    </row>
    <row r="374" spans="2:22" ht="20.100000000000001" customHeight="1">
      <c r="J374" s="102"/>
      <c r="K374" s="102"/>
      <c r="L374" s="102"/>
      <c r="M374" s="102"/>
      <c r="N374" s="102"/>
      <c r="O374" s="297" t="s">
        <v>305</v>
      </c>
      <c r="P374" s="298" t="s">
        <v>611</v>
      </c>
      <c r="Q374" s="298"/>
      <c r="R374" s="286"/>
      <c r="S374" s="299"/>
      <c r="T374" s="300"/>
      <c r="U374" s="301">
        <f>SUM(U375:U383)</f>
        <v>6802.9004960660004</v>
      </c>
      <c r="V374" s="286"/>
    </row>
    <row r="375" spans="2:22" ht="20.100000000000001" customHeight="1">
      <c r="J375" s="102"/>
      <c r="K375" s="102"/>
      <c r="L375" s="102"/>
      <c r="M375" s="102"/>
      <c r="N375" s="102"/>
      <c r="O375" s="286">
        <v>1</v>
      </c>
      <c r="P375" s="302" t="s">
        <v>612</v>
      </c>
      <c r="Q375" s="307"/>
      <c r="R375" s="286" t="s">
        <v>271</v>
      </c>
      <c r="S375" s="303">
        <f>E223</f>
        <v>76.690064000000007</v>
      </c>
      <c r="T375" s="304">
        <f>I223/E223</f>
        <v>46.70128834507166</v>
      </c>
      <c r="U375" s="305">
        <f t="shared" ref="U375:U383" si="58">T375*S375</f>
        <v>3581.5247920659999</v>
      </c>
      <c r="V375" s="306"/>
    </row>
    <row r="376" spans="2:22" ht="20.100000000000001" customHeight="1">
      <c r="J376" s="102"/>
      <c r="K376" s="102"/>
      <c r="L376" s="102"/>
      <c r="M376" s="102"/>
      <c r="N376" s="102"/>
      <c r="O376" s="286">
        <v>2</v>
      </c>
      <c r="P376" s="290" t="s">
        <v>613</v>
      </c>
      <c r="Q376" s="307"/>
      <c r="R376" s="286" t="s">
        <v>276</v>
      </c>
      <c r="S376" s="303">
        <f>D358</f>
        <v>10.11</v>
      </c>
      <c r="T376" s="304">
        <f>G358</f>
        <v>70</v>
      </c>
      <c r="U376" s="305">
        <f t="shared" si="58"/>
        <v>707.69999999999993</v>
      </c>
      <c r="V376" s="306"/>
    </row>
    <row r="377" spans="2:22" ht="20.100000000000001" customHeight="1">
      <c r="J377" s="102"/>
      <c r="K377" s="102"/>
      <c r="L377" s="102"/>
      <c r="M377" s="102"/>
      <c r="N377" s="102"/>
      <c r="O377" s="286">
        <v>3</v>
      </c>
      <c r="P377" s="302" t="s">
        <v>614</v>
      </c>
      <c r="Q377" s="302"/>
      <c r="R377" s="286" t="s">
        <v>312</v>
      </c>
      <c r="S377" s="303">
        <f>D291+D292</f>
        <v>7.0926480000000005</v>
      </c>
      <c r="T377" s="304">
        <f>材料价格!B10</f>
        <v>148</v>
      </c>
      <c r="U377" s="305">
        <f t="shared" si="58"/>
        <v>1049.711904</v>
      </c>
      <c r="V377" s="306"/>
    </row>
    <row r="378" spans="2:22" ht="20.100000000000001" customHeight="1">
      <c r="B378" s="630" t="s">
        <v>277</v>
      </c>
      <c r="C378" s="630"/>
      <c r="D378" s="630"/>
      <c r="E378" s="630"/>
      <c r="F378" s="630"/>
      <c r="G378" s="630"/>
      <c r="H378" s="630"/>
      <c r="I378" s="630"/>
      <c r="J378" s="102"/>
      <c r="K378" s="102"/>
      <c r="L378" s="102"/>
      <c r="M378" s="102"/>
      <c r="N378" s="102"/>
      <c r="O378" s="286">
        <v>4</v>
      </c>
      <c r="P378" s="302" t="s">
        <v>615</v>
      </c>
      <c r="Q378" s="306"/>
      <c r="R378" s="286" t="s">
        <v>278</v>
      </c>
      <c r="S378" s="303">
        <f>(H316+H317+H319+H320+H321)/F316</f>
        <v>18.579812206572768</v>
      </c>
      <c r="T378" s="304">
        <f>材料价格!B25</f>
        <v>8.52</v>
      </c>
      <c r="U378" s="305">
        <f t="shared" si="58"/>
        <v>158.29999999999998</v>
      </c>
      <c r="V378" s="306"/>
    </row>
    <row r="379" spans="2:22" ht="20.100000000000001" customHeight="1">
      <c r="B379" s="204" t="s">
        <v>279</v>
      </c>
      <c r="C379" s="205" t="s">
        <v>280</v>
      </c>
      <c r="D379" s="205" t="s">
        <v>281</v>
      </c>
      <c r="E379" s="205" t="s">
        <v>282</v>
      </c>
      <c r="F379" s="205" t="s">
        <v>379</v>
      </c>
      <c r="G379" s="205"/>
      <c r="H379" s="205" t="s">
        <v>28</v>
      </c>
      <c r="I379" s="205" t="s">
        <v>259</v>
      </c>
      <c r="J379" s="102"/>
      <c r="K379" s="102"/>
      <c r="L379" s="102"/>
      <c r="M379" s="102"/>
      <c r="N379" s="102"/>
      <c r="O379" s="286">
        <v>5</v>
      </c>
      <c r="P379" s="306" t="s">
        <v>616</v>
      </c>
      <c r="Q379" s="302"/>
      <c r="R379" s="286" t="s">
        <v>628</v>
      </c>
      <c r="S379" s="303">
        <f>H337/21</f>
        <v>6.5781000000000009</v>
      </c>
      <c r="T379" s="304">
        <v>21</v>
      </c>
      <c r="U379" s="305">
        <f t="shared" si="58"/>
        <v>138.14010000000002</v>
      </c>
      <c r="V379" s="306"/>
    </row>
    <row r="380" spans="2:22" ht="20.100000000000001" customHeight="1">
      <c r="B380" s="206" t="s">
        <v>284</v>
      </c>
      <c r="C380" s="208" t="s">
        <v>384</v>
      </c>
      <c r="D380" s="207">
        <f>C22+C31+C38+C48+C56+C112+C119+C126+C133+C139+C177+C184+C191+C199</f>
        <v>22.852</v>
      </c>
      <c r="E380" s="207" t="s">
        <v>383</v>
      </c>
      <c r="F380" s="206"/>
      <c r="G380" s="206"/>
      <c r="H380" s="241">
        <v>2.4</v>
      </c>
      <c r="I380" s="207"/>
      <c r="J380" s="102"/>
      <c r="K380" s="102"/>
      <c r="L380" s="102"/>
      <c r="M380" s="102"/>
      <c r="N380" s="102"/>
      <c r="O380" s="286">
        <v>6</v>
      </c>
      <c r="P380" s="302" t="s">
        <v>319</v>
      </c>
      <c r="Q380" s="302"/>
      <c r="R380" s="286" t="s">
        <v>273</v>
      </c>
      <c r="S380" s="303">
        <f>E298</f>
        <v>0</v>
      </c>
      <c r="T380" s="304">
        <f>材料价格!B16</f>
        <v>88</v>
      </c>
      <c r="U380" s="305">
        <f t="shared" si="58"/>
        <v>0</v>
      </c>
      <c r="V380" s="306"/>
    </row>
    <row r="381" spans="2:22" ht="20.100000000000001" customHeight="1">
      <c r="B381" s="206" t="s">
        <v>286</v>
      </c>
      <c r="C381" s="206" t="s">
        <v>287</v>
      </c>
      <c r="D381" s="209">
        <f>(J22+J31+J38+J48+J112+J119+J126)*4+(J56+J133)*2</f>
        <v>16</v>
      </c>
      <c r="E381" s="207" t="s">
        <v>285</v>
      </c>
      <c r="F381" s="206"/>
      <c r="G381" s="206"/>
      <c r="H381" s="241">
        <v>0.5</v>
      </c>
      <c r="I381" s="207">
        <f>H381*D381</f>
        <v>8</v>
      </c>
      <c r="J381" s="102"/>
      <c r="K381" s="102"/>
      <c r="L381" s="102"/>
      <c r="M381" s="102"/>
      <c r="N381" s="102"/>
      <c r="O381" s="286">
        <v>7</v>
      </c>
      <c r="P381" s="302" t="s">
        <v>295</v>
      </c>
      <c r="Q381" s="302"/>
      <c r="R381" s="286" t="s">
        <v>273</v>
      </c>
      <c r="S381" s="303"/>
      <c r="T381" s="304">
        <f>材料价格!B19</f>
        <v>230</v>
      </c>
      <c r="U381" s="305">
        <f t="shared" si="58"/>
        <v>0</v>
      </c>
      <c r="V381" s="306"/>
    </row>
    <row r="382" spans="2:22" ht="20.100000000000001" customHeight="1">
      <c r="B382" s="206" t="s">
        <v>289</v>
      </c>
      <c r="C382" s="206"/>
      <c r="D382" s="210">
        <f>ROUND((C22+C56*2+C64*2+C112+C133*2+C139*2)/0.3,0)+2</f>
        <v>137</v>
      </c>
      <c r="E382" s="207" t="s">
        <v>285</v>
      </c>
      <c r="F382" s="206"/>
      <c r="G382" s="206"/>
      <c r="H382" s="241">
        <v>0.3</v>
      </c>
      <c r="I382" s="207">
        <f t="shared" ref="I382:I387" si="59">H382*D382</f>
        <v>41.1</v>
      </c>
      <c r="J382" s="102"/>
      <c r="K382" s="102"/>
      <c r="L382" s="102"/>
      <c r="M382" s="102"/>
      <c r="N382" s="102"/>
      <c r="O382" s="286">
        <v>8</v>
      </c>
      <c r="P382" s="302" t="s">
        <v>296</v>
      </c>
      <c r="Q382" s="302"/>
      <c r="R382" s="286" t="s">
        <v>273</v>
      </c>
      <c r="S382" s="303">
        <f>E303</f>
        <v>0</v>
      </c>
      <c r="T382" s="304">
        <f>材料价格!B20</f>
        <v>335</v>
      </c>
      <c r="U382" s="305">
        <f t="shared" si="58"/>
        <v>0</v>
      </c>
      <c r="V382" s="306"/>
    </row>
    <row r="383" spans="2:22" ht="20.100000000000001" customHeight="1">
      <c r="B383" s="206" t="s">
        <v>381</v>
      </c>
      <c r="C383" s="206" t="s">
        <v>389</v>
      </c>
      <c r="D383" s="211">
        <f>C22+C31+C38+C56*2+C64*2+C112+C119+C126+C133*2</f>
        <v>40.364000000000004</v>
      </c>
      <c r="E383" s="207" t="s">
        <v>285</v>
      </c>
      <c r="F383" s="206" t="s">
        <v>380</v>
      </c>
      <c r="G383" s="206"/>
      <c r="H383" s="241">
        <v>2.81</v>
      </c>
      <c r="I383" s="207">
        <f>H383*D383</f>
        <v>113.42284000000001</v>
      </c>
      <c r="J383" s="102"/>
      <c r="K383" s="102"/>
      <c r="L383" s="102"/>
      <c r="M383" s="102"/>
      <c r="N383" s="102"/>
      <c r="O383" s="286">
        <v>9</v>
      </c>
      <c r="P383" s="302" t="s">
        <v>617</v>
      </c>
      <c r="Q383" s="302"/>
      <c r="R383" s="286" t="s">
        <v>618</v>
      </c>
      <c r="S383" s="296">
        <v>1</v>
      </c>
      <c r="T383" s="304">
        <f>H363-H358+H350+H318+H315+H314</f>
        <v>1167.5237000000002</v>
      </c>
      <c r="U383" s="305">
        <f t="shared" si="58"/>
        <v>1167.5237000000002</v>
      </c>
      <c r="V383" s="306"/>
    </row>
    <row r="384" spans="2:22" ht="20.100000000000001" customHeight="1">
      <c r="B384" s="206" t="s">
        <v>390</v>
      </c>
      <c r="C384" s="206" t="s">
        <v>392</v>
      </c>
      <c r="D384" s="211">
        <f>C22+C88+C112+C163</f>
        <v>54.779999999999994</v>
      </c>
      <c r="E384" s="207" t="s">
        <v>285</v>
      </c>
      <c r="F384" s="206" t="s">
        <v>394</v>
      </c>
      <c r="G384" s="206"/>
      <c r="H384" s="241">
        <v>3.27</v>
      </c>
      <c r="I384" s="207">
        <f t="shared" ref="I384" si="60">H384*D384</f>
        <v>179.13059999999999</v>
      </c>
      <c r="J384" s="102"/>
      <c r="K384" s="102"/>
      <c r="L384" s="102"/>
      <c r="M384" s="102"/>
      <c r="N384" s="102"/>
      <c r="O384" s="297" t="s">
        <v>306</v>
      </c>
      <c r="P384" s="308" t="s">
        <v>314</v>
      </c>
      <c r="Q384" s="298"/>
      <c r="R384" s="286"/>
      <c r="S384" s="296"/>
      <c r="T384" s="309"/>
      <c r="U384" s="301">
        <f>SUM(U385:U386)</f>
        <v>1052.8</v>
      </c>
      <c r="V384" s="286"/>
    </row>
    <row r="385" spans="2:22" ht="20.100000000000001" customHeight="1">
      <c r="B385" s="206" t="s">
        <v>391</v>
      </c>
      <c r="C385" s="206" t="s">
        <v>393</v>
      </c>
      <c r="D385" s="211">
        <f>(C97+C104+C119+C126)*2</f>
        <v>0</v>
      </c>
      <c r="E385" s="207" t="s">
        <v>285</v>
      </c>
      <c r="F385" s="206" t="s">
        <v>395</v>
      </c>
      <c r="G385" s="206"/>
      <c r="H385" s="241">
        <v>1.74</v>
      </c>
      <c r="I385" s="207">
        <f t="shared" si="59"/>
        <v>0</v>
      </c>
      <c r="J385" s="102"/>
      <c r="K385" s="102"/>
      <c r="L385" s="102"/>
      <c r="M385" s="102"/>
      <c r="N385" s="102"/>
      <c r="O385" s="286">
        <v>1</v>
      </c>
      <c r="P385" s="307" t="s">
        <v>619</v>
      </c>
      <c r="Q385" s="307"/>
      <c r="R385" s="300" t="s">
        <v>312</v>
      </c>
      <c r="S385" s="296">
        <f>V372</f>
        <v>6.58</v>
      </c>
      <c r="T385" s="310">
        <v>60</v>
      </c>
      <c r="U385" s="305">
        <f>T385*S385</f>
        <v>394.8</v>
      </c>
      <c r="V385" s="286"/>
    </row>
    <row r="386" spans="2:22" ht="20.100000000000001" customHeight="1">
      <c r="B386" s="208" t="s">
        <v>382</v>
      </c>
      <c r="C386" s="206" t="s">
        <v>291</v>
      </c>
      <c r="D386" s="211">
        <f>D338+D339+D341</f>
        <v>10</v>
      </c>
      <c r="E386" s="207" t="s">
        <v>285</v>
      </c>
      <c r="F386" s="206"/>
      <c r="G386" s="206"/>
      <c r="H386" s="241">
        <v>0.56999999999999995</v>
      </c>
      <c r="I386" s="207">
        <f>H386*D386</f>
        <v>5.6999999999999993</v>
      </c>
      <c r="J386" s="102"/>
      <c r="K386" s="102"/>
      <c r="L386" s="102"/>
      <c r="M386" s="102"/>
      <c r="N386" s="102"/>
      <c r="O386" s="286">
        <v>2</v>
      </c>
      <c r="P386" s="307" t="s">
        <v>288</v>
      </c>
      <c r="Q386" s="307"/>
      <c r="R386" s="300" t="s">
        <v>312</v>
      </c>
      <c r="S386" s="296">
        <f>V372</f>
        <v>6.58</v>
      </c>
      <c r="T386" s="310">
        <v>100</v>
      </c>
      <c r="U386" s="305">
        <f>T386*S386</f>
        <v>658</v>
      </c>
      <c r="V386" s="286"/>
    </row>
    <row r="387" spans="2:22" ht="20.100000000000001" customHeight="1">
      <c r="B387" s="206" t="s">
        <v>292</v>
      </c>
      <c r="C387" s="206"/>
      <c r="D387" s="211">
        <f>H366</f>
        <v>8.3178999999999998</v>
      </c>
      <c r="E387" s="207" t="s">
        <v>285</v>
      </c>
      <c r="F387" s="206"/>
      <c r="G387" s="206"/>
      <c r="H387" s="241">
        <v>20</v>
      </c>
      <c r="I387" s="207">
        <f t="shared" si="59"/>
        <v>166.358</v>
      </c>
      <c r="J387" s="102"/>
      <c r="K387" s="102"/>
      <c r="L387" s="102"/>
      <c r="M387" s="102"/>
      <c r="N387" s="102"/>
      <c r="O387" s="297" t="s">
        <v>307</v>
      </c>
      <c r="P387" s="308" t="s">
        <v>290</v>
      </c>
      <c r="Q387" s="298"/>
      <c r="R387" s="286"/>
      <c r="S387" s="296"/>
      <c r="T387" s="309"/>
      <c r="U387" s="301">
        <f>SUM(U388)</f>
        <v>131.6</v>
      </c>
      <c r="V387" s="286"/>
    </row>
    <row r="388" spans="2:22" ht="20.100000000000001" customHeight="1">
      <c r="B388" s="212" t="s">
        <v>4</v>
      </c>
      <c r="C388" s="213"/>
      <c r="D388" s="212"/>
      <c r="E388" s="212"/>
      <c r="F388" s="212"/>
      <c r="G388" s="212"/>
      <c r="H388" s="212"/>
      <c r="I388" s="213">
        <f>SUM(I380:I387)</f>
        <v>513.71144000000004</v>
      </c>
      <c r="J388" s="242"/>
      <c r="K388" s="102"/>
      <c r="L388" s="102"/>
      <c r="M388" s="102"/>
      <c r="N388" s="102"/>
      <c r="O388" s="286">
        <v>1</v>
      </c>
      <c r="P388" s="307" t="s">
        <v>290</v>
      </c>
      <c r="Q388" s="307"/>
      <c r="R388" s="300" t="s">
        <v>312</v>
      </c>
      <c r="S388" s="296">
        <f>V372</f>
        <v>6.58</v>
      </c>
      <c r="T388" s="310">
        <v>20</v>
      </c>
      <c r="U388" s="305">
        <f>T388*S388</f>
        <v>131.6</v>
      </c>
      <c r="V388" s="286"/>
    </row>
    <row r="389" spans="2:22" ht="20.100000000000001" customHeight="1">
      <c r="J389" s="102"/>
      <c r="K389" s="102"/>
      <c r="L389" s="102"/>
      <c r="M389" s="102"/>
      <c r="N389" s="102"/>
      <c r="O389" s="286" t="s">
        <v>308</v>
      </c>
      <c r="P389" s="618" t="s">
        <v>620</v>
      </c>
      <c r="Q389" s="619"/>
      <c r="R389" s="620"/>
      <c r="S389" s="621"/>
      <c r="T389" s="622"/>
      <c r="U389" s="301">
        <f>U374+U384+U387</f>
        <v>7987.300496066001</v>
      </c>
      <c r="V389" s="286"/>
    </row>
    <row r="390" spans="2:22" ht="20.100000000000001" customHeight="1">
      <c r="J390" s="102"/>
      <c r="K390" s="102"/>
      <c r="L390" s="102"/>
      <c r="M390" s="102"/>
      <c r="N390" s="102"/>
      <c r="O390" s="286" t="s">
        <v>309</v>
      </c>
      <c r="P390" s="618" t="s">
        <v>621</v>
      </c>
      <c r="Q390" s="619"/>
      <c r="R390" s="626">
        <v>0.2</v>
      </c>
      <c r="S390" s="627"/>
      <c r="T390" s="628"/>
      <c r="U390" s="301">
        <f>U389*R390</f>
        <v>1597.4600992132002</v>
      </c>
      <c r="V390" s="286"/>
    </row>
    <row r="391" spans="2:22" ht="20.100000000000001" customHeight="1">
      <c r="J391" s="102"/>
      <c r="K391" s="102"/>
      <c r="L391" s="102"/>
      <c r="M391" s="102"/>
      <c r="N391" s="102"/>
      <c r="O391" s="286" t="s">
        <v>310</v>
      </c>
      <c r="P391" s="618" t="s">
        <v>622</v>
      </c>
      <c r="Q391" s="619"/>
      <c r="R391" s="620"/>
      <c r="S391" s="621"/>
      <c r="T391" s="622"/>
      <c r="U391" s="301">
        <f>U389+U390</f>
        <v>9584.7605952792019</v>
      </c>
      <c r="V391" s="286"/>
    </row>
    <row r="392" spans="2:22" ht="30" customHeight="1">
      <c r="L392" s="102"/>
      <c r="M392" s="102"/>
      <c r="N392" s="102"/>
      <c r="O392" s="297" t="s">
        <v>311</v>
      </c>
      <c r="P392" s="618" t="s">
        <v>623</v>
      </c>
      <c r="Q392" s="619"/>
      <c r="R392" s="620"/>
      <c r="S392" s="621"/>
      <c r="T392" s="622"/>
      <c r="U392" s="301">
        <f>U391/V372</f>
        <v>1456.6505463950155</v>
      </c>
      <c r="V392" s="286" t="s">
        <v>624</v>
      </c>
    </row>
    <row r="393" spans="2:22" ht="45" customHeight="1">
      <c r="L393" s="102"/>
      <c r="M393" s="102"/>
      <c r="N393" s="102"/>
      <c r="O393" s="623" t="s">
        <v>625</v>
      </c>
      <c r="P393" s="623"/>
      <c r="Q393" s="623"/>
      <c r="R393" s="623"/>
      <c r="S393" s="623"/>
      <c r="T393" s="623"/>
      <c r="U393" s="623"/>
      <c r="V393" s="623"/>
    </row>
    <row r="394" spans="2:22" ht="18" customHeight="1">
      <c r="L394" s="102"/>
      <c r="M394" s="102"/>
      <c r="N394" s="102"/>
      <c r="O394" s="102"/>
      <c r="P394" s="102"/>
    </row>
    <row r="395" spans="2:22">
      <c r="L395" s="102"/>
      <c r="M395" s="102"/>
      <c r="N395" s="102"/>
      <c r="O395" s="102"/>
      <c r="P395" s="102"/>
    </row>
    <row r="396" spans="2:22">
      <c r="L396" s="102"/>
      <c r="M396" s="102"/>
      <c r="N396" s="102"/>
      <c r="O396" s="102"/>
      <c r="P396" s="102"/>
    </row>
    <row r="397" spans="2:22">
      <c r="L397" s="102"/>
      <c r="M397" s="102"/>
      <c r="N397" s="102"/>
      <c r="O397" s="102"/>
      <c r="P397" s="102"/>
    </row>
    <row r="398" spans="2:22">
      <c r="L398" s="102"/>
      <c r="M398" s="102"/>
      <c r="N398" s="102"/>
      <c r="O398" s="102"/>
      <c r="P398" s="102"/>
    </row>
    <row r="399" spans="2:22">
      <c r="L399" s="102"/>
      <c r="M399" s="102"/>
      <c r="N399" s="102"/>
      <c r="O399" s="102"/>
      <c r="P399" s="102"/>
    </row>
    <row r="400" spans="2:22">
      <c r="L400" s="102"/>
      <c r="M400" s="102"/>
      <c r="N400" s="102"/>
      <c r="O400" s="102"/>
      <c r="P400" s="102"/>
    </row>
    <row r="401" spans="12:16">
      <c r="L401" s="102"/>
      <c r="M401" s="102"/>
      <c r="N401" s="102"/>
      <c r="O401" s="102"/>
      <c r="P401" s="102"/>
    </row>
    <row r="402" spans="12:16">
      <c r="L402" s="102"/>
      <c r="M402" s="102"/>
      <c r="N402" s="102"/>
      <c r="O402" s="102"/>
      <c r="P402" s="102"/>
    </row>
    <row r="403" spans="12:16">
      <c r="L403" s="102"/>
      <c r="M403" s="102"/>
      <c r="N403" s="102"/>
      <c r="O403" s="102"/>
      <c r="P403" s="102"/>
    </row>
    <row r="404" spans="12:16">
      <c r="L404" s="102"/>
      <c r="M404" s="102"/>
      <c r="N404" s="102"/>
      <c r="O404" s="102"/>
      <c r="P404" s="102"/>
    </row>
    <row r="405" spans="12:16">
      <c r="L405" s="102"/>
      <c r="M405" s="102"/>
      <c r="N405" s="102"/>
      <c r="O405" s="102"/>
      <c r="P405" s="102"/>
    </row>
    <row r="406" spans="12:16">
      <c r="L406" s="102"/>
      <c r="M406" s="102"/>
      <c r="N406" s="102"/>
      <c r="O406" s="102"/>
      <c r="P406" s="102"/>
    </row>
    <row r="407" spans="12:16">
      <c r="L407" s="102"/>
      <c r="M407" s="102"/>
      <c r="N407" s="102"/>
      <c r="O407" s="102"/>
      <c r="P407" s="102"/>
    </row>
    <row r="408" spans="12:16">
      <c r="L408" s="102"/>
      <c r="M408" s="102"/>
      <c r="N408" s="102"/>
      <c r="O408" s="102"/>
      <c r="P408" s="102"/>
    </row>
    <row r="409" spans="12:16">
      <c r="L409" s="102"/>
      <c r="M409" s="102"/>
      <c r="N409" s="102"/>
      <c r="O409" s="102"/>
      <c r="P409" s="102"/>
    </row>
    <row r="410" spans="12:16">
      <c r="L410" s="102"/>
      <c r="M410" s="102"/>
      <c r="N410" s="102"/>
      <c r="O410" s="102"/>
      <c r="P410" s="102"/>
    </row>
    <row r="411" spans="12:16">
      <c r="L411" s="102"/>
      <c r="M411" s="102"/>
      <c r="N411" s="102"/>
      <c r="O411" s="102"/>
      <c r="P411" s="102"/>
    </row>
    <row r="412" spans="12:16">
      <c r="L412" s="102"/>
      <c r="M412" s="102"/>
      <c r="N412" s="102"/>
      <c r="O412" s="102"/>
      <c r="P412" s="102"/>
    </row>
    <row r="413" spans="12:16">
      <c r="L413" s="102"/>
      <c r="M413" s="102"/>
      <c r="N413" s="102"/>
      <c r="O413" s="102"/>
      <c r="P413" s="102"/>
    </row>
    <row r="414" spans="12:16">
      <c r="L414" s="102"/>
      <c r="M414" s="102"/>
      <c r="N414" s="102"/>
      <c r="O414" s="102"/>
      <c r="P414" s="102"/>
    </row>
    <row r="415" spans="12:16">
      <c r="L415" s="102"/>
      <c r="M415" s="102"/>
      <c r="N415" s="102"/>
      <c r="O415" s="102"/>
      <c r="P415" s="102"/>
    </row>
    <row r="416" spans="12:16">
      <c r="L416" s="102"/>
      <c r="M416" s="102"/>
      <c r="N416" s="102"/>
      <c r="O416" s="102"/>
      <c r="P416" s="102"/>
    </row>
    <row r="417" spans="10:16">
      <c r="L417" s="102"/>
      <c r="M417" s="102"/>
      <c r="N417" s="102"/>
      <c r="O417" s="102"/>
      <c r="P417" s="102"/>
    </row>
    <row r="418" spans="10:16">
      <c r="L418" s="102"/>
      <c r="M418" s="102"/>
      <c r="N418" s="102"/>
      <c r="O418" s="102"/>
      <c r="P418" s="102"/>
    </row>
    <row r="419" spans="10:16">
      <c r="L419" s="102"/>
      <c r="M419" s="102"/>
      <c r="N419" s="102"/>
      <c r="O419" s="102"/>
      <c r="P419" s="102"/>
    </row>
    <row r="420" spans="10:16">
      <c r="L420" s="102"/>
      <c r="M420" s="102"/>
      <c r="N420" s="102"/>
      <c r="O420" s="102"/>
      <c r="P420" s="102"/>
    </row>
    <row r="421" spans="10:16">
      <c r="L421" s="102"/>
      <c r="M421" s="102"/>
      <c r="N421" s="102"/>
      <c r="O421" s="102"/>
      <c r="P421" s="102"/>
    </row>
    <row r="422" spans="10:16">
      <c r="L422" s="102"/>
      <c r="M422" s="102"/>
      <c r="N422" s="102"/>
      <c r="O422" s="102"/>
      <c r="P422" s="102"/>
    </row>
    <row r="423" spans="10:16">
      <c r="L423" s="102"/>
      <c r="M423" s="102"/>
      <c r="N423" s="102"/>
      <c r="O423" s="102"/>
      <c r="P423" s="102"/>
    </row>
    <row r="424" spans="10:16">
      <c r="L424" s="102"/>
      <c r="M424" s="102"/>
      <c r="N424" s="102"/>
      <c r="O424" s="102"/>
      <c r="P424" s="102"/>
    </row>
    <row r="425" spans="10:16">
      <c r="L425" s="102"/>
      <c r="M425" s="102"/>
      <c r="N425" s="102"/>
      <c r="O425" s="102"/>
      <c r="P425" s="102"/>
    </row>
    <row r="426" spans="10:16">
      <c r="L426" s="102"/>
      <c r="M426" s="102"/>
      <c r="N426" s="102"/>
      <c r="O426" s="102"/>
      <c r="P426" s="102"/>
    </row>
    <row r="427" spans="10:16">
      <c r="J427" s="102"/>
      <c r="K427" s="102"/>
      <c r="L427" s="102"/>
      <c r="M427" s="102"/>
      <c r="N427" s="102"/>
      <c r="O427" s="102"/>
      <c r="P427" s="102"/>
    </row>
    <row r="428" spans="10:16">
      <c r="J428" s="102"/>
      <c r="K428" s="102"/>
      <c r="L428" s="102"/>
      <c r="M428" s="102"/>
      <c r="N428" s="102"/>
      <c r="O428" s="102"/>
      <c r="P428" s="102"/>
    </row>
    <row r="429" spans="10:16">
      <c r="J429" s="102"/>
      <c r="K429" s="102"/>
      <c r="L429" s="102"/>
      <c r="M429" s="102"/>
      <c r="N429" s="102"/>
      <c r="O429" s="102"/>
      <c r="P429" s="102"/>
    </row>
    <row r="430" spans="10:16">
      <c r="J430" s="102"/>
      <c r="K430" s="102"/>
      <c r="L430" s="102"/>
      <c r="M430" s="102"/>
      <c r="N430" s="102"/>
      <c r="O430" s="102"/>
      <c r="P430" s="102"/>
    </row>
    <row r="431" spans="10:16">
      <c r="J431" s="102"/>
      <c r="K431" s="102"/>
      <c r="L431" s="102"/>
      <c r="M431" s="102"/>
      <c r="N431" s="102"/>
      <c r="O431" s="102"/>
      <c r="P431" s="102"/>
    </row>
    <row r="432" spans="10:16">
      <c r="J432" s="102"/>
      <c r="K432" s="102"/>
      <c r="L432" s="102"/>
      <c r="M432" s="102"/>
      <c r="N432" s="102"/>
      <c r="O432" s="102"/>
      <c r="P432" s="102"/>
    </row>
    <row r="433" spans="10:16">
      <c r="J433" s="102"/>
      <c r="K433" s="102"/>
      <c r="L433" s="102"/>
      <c r="M433" s="102"/>
      <c r="N433" s="102"/>
      <c r="O433" s="102"/>
      <c r="P433" s="102"/>
    </row>
    <row r="434" spans="10:16">
      <c r="J434" s="102"/>
      <c r="K434" s="102"/>
      <c r="L434" s="102"/>
      <c r="M434" s="102"/>
      <c r="N434" s="102"/>
      <c r="O434" s="102"/>
      <c r="P434" s="102"/>
    </row>
    <row r="435" spans="10:16">
      <c r="J435" s="102"/>
      <c r="K435" s="102"/>
      <c r="L435" s="102"/>
      <c r="M435" s="102"/>
      <c r="N435" s="102"/>
      <c r="O435" s="102"/>
      <c r="P435" s="102"/>
    </row>
    <row r="436" spans="10:16">
      <c r="J436" s="102"/>
      <c r="K436" s="102"/>
      <c r="L436" s="102"/>
      <c r="M436" s="102"/>
      <c r="N436" s="102"/>
      <c r="O436" s="102"/>
      <c r="P436" s="102"/>
    </row>
    <row r="437" spans="10:16">
      <c r="J437" s="102"/>
      <c r="K437" s="102"/>
      <c r="L437" s="102"/>
      <c r="M437" s="102"/>
      <c r="N437" s="102"/>
      <c r="O437" s="102"/>
      <c r="P437" s="102"/>
    </row>
    <row r="438" spans="10:16">
      <c r="J438" s="102"/>
      <c r="K438" s="102"/>
      <c r="L438" s="102"/>
      <c r="M438" s="102"/>
      <c r="N438" s="102"/>
      <c r="O438" s="102"/>
      <c r="P438" s="102"/>
    </row>
    <row r="439" spans="10:16">
      <c r="J439" s="102"/>
      <c r="K439" s="102"/>
      <c r="L439" s="102"/>
      <c r="M439" s="102"/>
      <c r="N439" s="102"/>
      <c r="O439" s="102"/>
      <c r="P439" s="102"/>
    </row>
    <row r="440" spans="10:16">
      <c r="J440" s="102"/>
      <c r="K440" s="102"/>
      <c r="L440" s="102"/>
      <c r="M440" s="102"/>
      <c r="N440" s="102"/>
      <c r="O440" s="102"/>
      <c r="P440" s="102"/>
    </row>
    <row r="441" spans="10:16">
      <c r="J441" s="102"/>
      <c r="K441" s="102"/>
      <c r="L441" s="102"/>
      <c r="M441" s="102"/>
      <c r="N441" s="102"/>
      <c r="O441" s="102"/>
      <c r="P441" s="102"/>
    </row>
    <row r="442" spans="10:16">
      <c r="J442" s="102"/>
      <c r="K442" s="102"/>
      <c r="L442" s="102"/>
      <c r="M442" s="102"/>
      <c r="N442" s="102"/>
      <c r="O442" s="102"/>
      <c r="P442" s="102"/>
    </row>
    <row r="443" spans="10:16">
      <c r="J443" s="102"/>
      <c r="K443" s="102"/>
      <c r="L443" s="102"/>
      <c r="M443" s="102"/>
      <c r="N443" s="102"/>
      <c r="O443" s="102"/>
      <c r="P443" s="102"/>
    </row>
    <row r="444" spans="10:16">
      <c r="J444" s="102"/>
      <c r="K444" s="102"/>
      <c r="L444" s="102"/>
      <c r="M444" s="102"/>
      <c r="N444" s="102"/>
      <c r="O444" s="102"/>
      <c r="P444" s="102"/>
    </row>
    <row r="445" spans="10:16">
      <c r="J445" s="102"/>
      <c r="K445" s="102"/>
      <c r="L445" s="102"/>
      <c r="M445" s="102"/>
      <c r="N445" s="102"/>
      <c r="O445" s="102"/>
      <c r="P445" s="102"/>
    </row>
    <row r="446" spans="10:16">
      <c r="J446" s="102"/>
      <c r="K446" s="102"/>
      <c r="L446" s="102"/>
      <c r="M446" s="102"/>
      <c r="N446" s="102"/>
      <c r="O446" s="102"/>
      <c r="P446" s="102"/>
    </row>
    <row r="447" spans="10:16">
      <c r="J447" s="102"/>
      <c r="K447" s="102"/>
      <c r="L447" s="102"/>
      <c r="M447" s="102"/>
      <c r="N447" s="102"/>
      <c r="O447" s="102"/>
      <c r="P447" s="102"/>
    </row>
    <row r="448" spans="10:16">
      <c r="J448" s="102"/>
      <c r="K448" s="102"/>
      <c r="L448" s="102"/>
      <c r="M448" s="102"/>
      <c r="N448" s="102"/>
      <c r="O448" s="102"/>
      <c r="P448" s="102"/>
    </row>
    <row r="449" spans="10:16">
      <c r="J449" s="102"/>
      <c r="K449" s="102"/>
      <c r="L449" s="102"/>
      <c r="M449" s="102"/>
      <c r="N449" s="102"/>
      <c r="O449" s="102"/>
      <c r="P449" s="102"/>
    </row>
    <row r="450" spans="10:16">
      <c r="J450" s="102"/>
      <c r="K450" s="102"/>
      <c r="L450" s="102"/>
      <c r="M450" s="102"/>
      <c r="N450" s="102"/>
      <c r="O450" s="102"/>
      <c r="P450" s="102"/>
    </row>
    <row r="451" spans="10:16">
      <c r="J451" s="102"/>
      <c r="K451" s="102"/>
      <c r="L451" s="102"/>
      <c r="M451" s="102"/>
      <c r="N451" s="102"/>
      <c r="O451" s="102"/>
      <c r="P451" s="102"/>
    </row>
    <row r="452" spans="10:16">
      <c r="J452" s="102"/>
      <c r="K452" s="102"/>
      <c r="L452" s="102"/>
      <c r="M452" s="102"/>
      <c r="N452" s="102"/>
      <c r="O452" s="102"/>
      <c r="P452" s="102"/>
    </row>
    <row r="453" spans="10:16">
      <c r="J453" s="102"/>
      <c r="K453" s="102"/>
      <c r="L453" s="102"/>
      <c r="M453" s="102"/>
      <c r="N453" s="102"/>
      <c r="O453" s="102"/>
      <c r="P453" s="102"/>
    </row>
    <row r="454" spans="10:16">
      <c r="J454" s="102"/>
      <c r="K454" s="102"/>
      <c r="L454" s="102"/>
      <c r="M454" s="102"/>
      <c r="N454" s="102"/>
      <c r="O454" s="102"/>
      <c r="P454" s="102"/>
    </row>
    <row r="455" spans="10:16">
      <c r="J455" s="102"/>
      <c r="K455" s="102"/>
      <c r="L455" s="102"/>
      <c r="M455" s="102"/>
      <c r="N455" s="102"/>
      <c r="O455" s="102"/>
      <c r="P455" s="102"/>
    </row>
    <row r="456" spans="10:16">
      <c r="J456" s="102"/>
      <c r="K456" s="102"/>
      <c r="L456" s="102"/>
      <c r="M456" s="102"/>
      <c r="N456" s="102"/>
      <c r="O456" s="102"/>
      <c r="P456" s="102"/>
    </row>
    <row r="457" spans="10:16">
      <c r="J457" s="102"/>
      <c r="K457" s="102"/>
      <c r="L457" s="102"/>
      <c r="M457" s="102"/>
      <c r="N457" s="102"/>
      <c r="O457" s="102"/>
      <c r="P457" s="102"/>
    </row>
    <row r="458" spans="10:16">
      <c r="J458" s="102"/>
      <c r="K458" s="102"/>
      <c r="L458" s="102"/>
      <c r="M458" s="102"/>
      <c r="N458" s="102"/>
      <c r="O458" s="102"/>
      <c r="P458" s="102"/>
    </row>
    <row r="459" spans="10:16">
      <c r="J459" s="102"/>
      <c r="K459" s="102"/>
      <c r="L459" s="102"/>
      <c r="M459" s="102"/>
      <c r="N459" s="102"/>
      <c r="O459" s="102"/>
      <c r="P459" s="102"/>
    </row>
    <row r="460" spans="10:16">
      <c r="J460" s="102"/>
      <c r="K460" s="102"/>
      <c r="L460" s="102"/>
      <c r="M460" s="102"/>
      <c r="N460" s="102"/>
      <c r="O460" s="102"/>
      <c r="P460" s="102"/>
    </row>
    <row r="461" spans="10:16">
      <c r="J461" s="102"/>
      <c r="K461" s="102"/>
      <c r="L461" s="102"/>
      <c r="M461" s="102"/>
      <c r="N461" s="102"/>
      <c r="O461" s="102"/>
      <c r="P461" s="102"/>
    </row>
    <row r="462" spans="10:16">
      <c r="J462" s="102"/>
      <c r="K462" s="102"/>
      <c r="L462" s="102"/>
      <c r="M462" s="102"/>
      <c r="N462" s="102"/>
      <c r="O462" s="102"/>
      <c r="P462" s="102"/>
    </row>
    <row r="463" spans="10:16">
      <c r="J463" s="102"/>
      <c r="K463" s="102"/>
      <c r="L463" s="102"/>
      <c r="M463" s="102"/>
      <c r="N463" s="102"/>
      <c r="O463" s="102"/>
      <c r="P463" s="102"/>
    </row>
    <row r="464" spans="10:16">
      <c r="J464" s="102"/>
      <c r="K464" s="102"/>
      <c r="L464" s="102"/>
      <c r="M464" s="102"/>
      <c r="N464" s="102"/>
      <c r="O464" s="102"/>
      <c r="P464" s="102"/>
    </row>
  </sheetData>
  <mergeCells count="95">
    <mergeCell ref="F2:H2"/>
    <mergeCell ref="I2:I6"/>
    <mergeCell ref="J2:M2"/>
    <mergeCell ref="B4:B6"/>
    <mergeCell ref="B14:B21"/>
    <mergeCell ref="C14:C21"/>
    <mergeCell ref="B26:B30"/>
    <mergeCell ref="C26:C30"/>
    <mergeCell ref="B35:B37"/>
    <mergeCell ref="C35:C37"/>
    <mergeCell ref="B42:B47"/>
    <mergeCell ref="C42:C44"/>
    <mergeCell ref="C45:C47"/>
    <mergeCell ref="B52:B55"/>
    <mergeCell ref="C52:C55"/>
    <mergeCell ref="D59:F59"/>
    <mergeCell ref="B60:B63"/>
    <mergeCell ref="C60:C61"/>
    <mergeCell ref="D60:F60"/>
    <mergeCell ref="D61:F61"/>
    <mergeCell ref="C62:C63"/>
    <mergeCell ref="D62:F62"/>
    <mergeCell ref="D63:F63"/>
    <mergeCell ref="B68:B87"/>
    <mergeCell ref="C68:C74"/>
    <mergeCell ref="C75:C81"/>
    <mergeCell ref="C82:C87"/>
    <mergeCell ref="B92:B96"/>
    <mergeCell ref="C92:C96"/>
    <mergeCell ref="B137:B138"/>
    <mergeCell ref="C137:C138"/>
    <mergeCell ref="D137:F137"/>
    <mergeCell ref="D138:F138"/>
    <mergeCell ref="B101:B103"/>
    <mergeCell ref="C101:C103"/>
    <mergeCell ref="B108:B111"/>
    <mergeCell ref="C108:C111"/>
    <mergeCell ref="B116:B118"/>
    <mergeCell ref="C116:C118"/>
    <mergeCell ref="B123:B125"/>
    <mergeCell ref="C123:C125"/>
    <mergeCell ref="B130:B132"/>
    <mergeCell ref="C130:C132"/>
    <mergeCell ref="D136:F136"/>
    <mergeCell ref="B143:B145"/>
    <mergeCell ref="C143:C145"/>
    <mergeCell ref="B150:B152"/>
    <mergeCell ref="C150:C152"/>
    <mergeCell ref="B157:B162"/>
    <mergeCell ref="C157:C162"/>
    <mergeCell ref="B167:B169"/>
    <mergeCell ref="C167:C169"/>
    <mergeCell ref="B174:B176"/>
    <mergeCell ref="C174:C176"/>
    <mergeCell ref="B181:B183"/>
    <mergeCell ref="C181:C183"/>
    <mergeCell ref="F209:F210"/>
    <mergeCell ref="B188:B190"/>
    <mergeCell ref="C188:C190"/>
    <mergeCell ref="D194:F194"/>
    <mergeCell ref="B195:B196"/>
    <mergeCell ref="C195:C196"/>
    <mergeCell ref="D195:F195"/>
    <mergeCell ref="D196:F196"/>
    <mergeCell ref="B197:B198"/>
    <mergeCell ref="C197:C198"/>
    <mergeCell ref="D197:F197"/>
    <mergeCell ref="D198:F198"/>
    <mergeCell ref="F203:F204"/>
    <mergeCell ref="O369:V369"/>
    <mergeCell ref="F211:F212"/>
    <mergeCell ref="F213:F214"/>
    <mergeCell ref="B291:B292"/>
    <mergeCell ref="B294:B295"/>
    <mergeCell ref="I294:I295"/>
    <mergeCell ref="B296:B297"/>
    <mergeCell ref="I296:I297"/>
    <mergeCell ref="B298:B299"/>
    <mergeCell ref="I298:I299"/>
    <mergeCell ref="B300:B301"/>
    <mergeCell ref="B302:B303"/>
    <mergeCell ref="O368:V368"/>
    <mergeCell ref="P370:Q370"/>
    <mergeCell ref="O371:O372"/>
    <mergeCell ref="P371:T372"/>
    <mergeCell ref="B378:I378"/>
    <mergeCell ref="P389:Q389"/>
    <mergeCell ref="R389:T389"/>
    <mergeCell ref="O393:V393"/>
    <mergeCell ref="P390:Q390"/>
    <mergeCell ref="R390:T390"/>
    <mergeCell ref="P391:Q391"/>
    <mergeCell ref="R391:T391"/>
    <mergeCell ref="P392:Q392"/>
    <mergeCell ref="R392:T392"/>
  </mergeCells>
  <phoneticPr fontId="5" type="noConversion"/>
  <pageMargins left="0.19685039370078741" right="0.19685039370078741" top="0.74803149606299213" bottom="0.74803149606299213" header="0.31496062992125984" footer="0.31496062992125984"/>
  <pageSetup paperSize="9" scale="78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0A957-6002-48E4-848A-39C55241FC37}">
  <sheetPr>
    <tabColor rgb="FF7030A0"/>
    <pageSetUpPr fitToPage="1"/>
  </sheetPr>
  <dimension ref="A1:V464"/>
  <sheetViews>
    <sheetView showZeros="0" topLeftCell="A352" zoomScaleNormal="100" workbookViewId="0">
      <selection activeCell="C372" sqref="C372"/>
    </sheetView>
  </sheetViews>
  <sheetFormatPr defaultColWidth="25.25" defaultRowHeight="13.5"/>
  <cols>
    <col min="1" max="1" width="0.5" style="1" customWidth="1"/>
    <col min="2" max="2" width="25.25" style="102" customWidth="1"/>
    <col min="3" max="3" width="14.75" style="102" customWidth="1"/>
    <col min="4" max="4" width="11.5" style="102" customWidth="1"/>
    <col min="5" max="5" width="11.25" style="102" customWidth="1"/>
    <col min="6" max="6" width="12.25" style="102" customWidth="1"/>
    <col min="7" max="7" width="10" style="102" customWidth="1"/>
    <col min="8" max="8" width="9.875" style="102" customWidth="1"/>
    <col min="9" max="9" width="26.875" style="102" customWidth="1"/>
    <col min="10" max="10" width="11.125" style="43" customWidth="1"/>
    <col min="11" max="11" width="7.875" style="43" customWidth="1"/>
    <col min="12" max="12" width="7.25" style="43" customWidth="1"/>
    <col min="13" max="13" width="9.125" style="43" customWidth="1"/>
    <col min="14" max="14" width="15.125" style="255" customWidth="1"/>
    <col min="15" max="15" width="13.125" style="255" customWidth="1"/>
    <col min="16" max="16" width="24.375" style="255" customWidth="1"/>
    <col min="17" max="17" width="13.75" style="255" customWidth="1"/>
    <col min="18" max="18" width="11.25" style="255" customWidth="1"/>
    <col min="19" max="19" width="10.75" style="255" customWidth="1"/>
    <col min="20" max="20" width="10" style="255" customWidth="1"/>
    <col min="21" max="21" width="9.875" style="255" customWidth="1"/>
    <col min="22" max="22" width="26.125" style="255" customWidth="1"/>
    <col min="23" max="23" width="11.125" style="255" customWidth="1"/>
    <col min="24" max="24" width="7.875" style="255" customWidth="1"/>
    <col min="25" max="25" width="7.25" style="255" customWidth="1"/>
    <col min="26" max="26" width="9.125" style="255" customWidth="1"/>
    <col min="27" max="27" width="15.125" style="255" customWidth="1"/>
    <col min="28" max="28" width="7.75" style="255" customWidth="1"/>
    <col min="29" max="29" width="7.125" style="255" customWidth="1"/>
    <col min="30" max="30" width="12.125" style="255" customWidth="1"/>
    <col min="31" max="31" width="8.25" style="255" customWidth="1"/>
    <col min="32" max="33" width="10.375" style="255" customWidth="1"/>
    <col min="34" max="34" width="15.625" style="255" customWidth="1"/>
    <col min="35" max="35" width="15.875" style="255" customWidth="1"/>
    <col min="36" max="36" width="8.125" style="255" customWidth="1"/>
    <col min="37" max="40" width="10.375" style="255" customWidth="1"/>
    <col min="41" max="41" width="7.25" style="255" customWidth="1"/>
    <col min="42" max="42" width="7.125" style="255" customWidth="1"/>
    <col min="43" max="43" width="9.5" style="255" customWidth="1"/>
    <col min="44" max="45" width="9" style="255" customWidth="1"/>
    <col min="46" max="46" width="16.125" style="255" customWidth="1"/>
    <col min="47" max="77" width="9" style="255" customWidth="1"/>
    <col min="78" max="237" width="25.25" style="255"/>
    <col min="238" max="267" width="9" style="255" customWidth="1"/>
    <col min="268" max="268" width="0.5" style="255" customWidth="1"/>
    <col min="269" max="269" width="25.25" style="255"/>
    <col min="270" max="270" width="0.5" style="255" customWidth="1"/>
    <col min="271" max="271" width="25.25" style="255"/>
    <col min="272" max="272" width="14.75" style="255" customWidth="1"/>
    <col min="273" max="273" width="11.5" style="255" customWidth="1"/>
    <col min="274" max="274" width="11.25" style="255" customWidth="1"/>
    <col min="275" max="275" width="10.75" style="255" customWidth="1"/>
    <col min="276" max="276" width="10" style="255" customWidth="1"/>
    <col min="277" max="277" width="9.875" style="255" customWidth="1"/>
    <col min="278" max="278" width="26.125" style="255" customWidth="1"/>
    <col min="279" max="279" width="11.125" style="255" customWidth="1"/>
    <col min="280" max="280" width="7.875" style="255" customWidth="1"/>
    <col min="281" max="281" width="7.25" style="255" customWidth="1"/>
    <col min="282" max="282" width="9.125" style="255" customWidth="1"/>
    <col min="283" max="283" width="15.125" style="255" customWidth="1"/>
    <col min="284" max="284" width="7.75" style="255" customWidth="1"/>
    <col min="285" max="285" width="7.125" style="255" customWidth="1"/>
    <col min="286" max="286" width="12.125" style="255" customWidth="1"/>
    <col min="287" max="287" width="8.25" style="255" customWidth="1"/>
    <col min="288" max="289" width="10.375" style="255" customWidth="1"/>
    <col min="290" max="290" width="15.625" style="255" customWidth="1"/>
    <col min="291" max="291" width="15.875" style="255" customWidth="1"/>
    <col min="292" max="292" width="8.125" style="255" customWidth="1"/>
    <col min="293" max="296" width="10.375" style="255" customWidth="1"/>
    <col min="297" max="297" width="7.25" style="255" customWidth="1"/>
    <col min="298" max="298" width="7.125" style="255" customWidth="1"/>
    <col min="299" max="299" width="9.5" style="255" customWidth="1"/>
    <col min="300" max="301" width="9" style="255" customWidth="1"/>
    <col min="302" max="302" width="16.125" style="255" customWidth="1"/>
    <col min="303" max="333" width="9" style="255" customWidth="1"/>
    <col min="334" max="493" width="25.25" style="255"/>
    <col min="494" max="523" width="9" style="255" customWidth="1"/>
    <col min="524" max="524" width="0.5" style="255" customWidth="1"/>
    <col min="525" max="525" width="25.25" style="255"/>
    <col min="526" max="526" width="0.5" style="255" customWidth="1"/>
    <col min="527" max="527" width="25.25" style="255"/>
    <col min="528" max="528" width="14.75" style="255" customWidth="1"/>
    <col min="529" max="529" width="11.5" style="255" customWidth="1"/>
    <col min="530" max="530" width="11.25" style="255" customWidth="1"/>
    <col min="531" max="531" width="10.75" style="255" customWidth="1"/>
    <col min="532" max="532" width="10" style="255" customWidth="1"/>
    <col min="533" max="533" width="9.875" style="255" customWidth="1"/>
    <col min="534" max="534" width="26.125" style="255" customWidth="1"/>
    <col min="535" max="535" width="11.125" style="255" customWidth="1"/>
    <col min="536" max="536" width="7.875" style="255" customWidth="1"/>
    <col min="537" max="537" width="7.25" style="255" customWidth="1"/>
    <col min="538" max="538" width="9.125" style="255" customWidth="1"/>
    <col min="539" max="539" width="15.125" style="255" customWidth="1"/>
    <col min="540" max="540" width="7.75" style="255" customWidth="1"/>
    <col min="541" max="541" width="7.125" style="255" customWidth="1"/>
    <col min="542" max="542" width="12.125" style="255" customWidth="1"/>
    <col min="543" max="543" width="8.25" style="255" customWidth="1"/>
    <col min="544" max="545" width="10.375" style="255" customWidth="1"/>
    <col min="546" max="546" width="15.625" style="255" customWidth="1"/>
    <col min="547" max="547" width="15.875" style="255" customWidth="1"/>
    <col min="548" max="548" width="8.125" style="255" customWidth="1"/>
    <col min="549" max="552" width="10.375" style="255" customWidth="1"/>
    <col min="553" max="553" width="7.25" style="255" customWidth="1"/>
    <col min="554" max="554" width="7.125" style="255" customWidth="1"/>
    <col min="555" max="555" width="9.5" style="255" customWidth="1"/>
    <col min="556" max="557" width="9" style="255" customWidth="1"/>
    <col min="558" max="558" width="16.125" style="255" customWidth="1"/>
    <col min="559" max="589" width="9" style="255" customWidth="1"/>
    <col min="590" max="749" width="25.25" style="255"/>
    <col min="750" max="779" width="9" style="255" customWidth="1"/>
    <col min="780" max="780" width="0.5" style="255" customWidth="1"/>
    <col min="781" max="781" width="25.25" style="255"/>
    <col min="782" max="782" width="0.5" style="255" customWidth="1"/>
    <col min="783" max="783" width="25.25" style="255"/>
    <col min="784" max="784" width="14.75" style="255" customWidth="1"/>
    <col min="785" max="785" width="11.5" style="255" customWidth="1"/>
    <col min="786" max="786" width="11.25" style="255" customWidth="1"/>
    <col min="787" max="787" width="10.75" style="255" customWidth="1"/>
    <col min="788" max="788" width="10" style="255" customWidth="1"/>
    <col min="789" max="789" width="9.875" style="255" customWidth="1"/>
    <col min="790" max="790" width="26.125" style="255" customWidth="1"/>
    <col min="791" max="791" width="11.125" style="255" customWidth="1"/>
    <col min="792" max="792" width="7.875" style="255" customWidth="1"/>
    <col min="793" max="793" width="7.25" style="255" customWidth="1"/>
    <col min="794" max="794" width="9.125" style="255" customWidth="1"/>
    <col min="795" max="795" width="15.125" style="255" customWidth="1"/>
    <col min="796" max="796" width="7.75" style="255" customWidth="1"/>
    <col min="797" max="797" width="7.125" style="255" customWidth="1"/>
    <col min="798" max="798" width="12.125" style="255" customWidth="1"/>
    <col min="799" max="799" width="8.25" style="255" customWidth="1"/>
    <col min="800" max="801" width="10.375" style="255" customWidth="1"/>
    <col min="802" max="802" width="15.625" style="255" customWidth="1"/>
    <col min="803" max="803" width="15.875" style="255" customWidth="1"/>
    <col min="804" max="804" width="8.125" style="255" customWidth="1"/>
    <col min="805" max="808" width="10.375" style="255" customWidth="1"/>
    <col min="809" max="809" width="7.25" style="255" customWidth="1"/>
    <col min="810" max="810" width="7.125" style="255" customWidth="1"/>
    <col min="811" max="811" width="9.5" style="255" customWidth="1"/>
    <col min="812" max="813" width="9" style="255" customWidth="1"/>
    <col min="814" max="814" width="16.125" style="255" customWidth="1"/>
    <col min="815" max="845" width="9" style="255" customWidth="1"/>
    <col min="846" max="1005" width="25.25" style="255"/>
    <col min="1006" max="1035" width="9" style="255" customWidth="1"/>
    <col min="1036" max="1036" width="0.5" style="255" customWidth="1"/>
    <col min="1037" max="1037" width="25.25" style="255"/>
    <col min="1038" max="1038" width="0.5" style="255" customWidth="1"/>
    <col min="1039" max="1039" width="25.25" style="255"/>
    <col min="1040" max="1040" width="14.75" style="255" customWidth="1"/>
    <col min="1041" max="1041" width="11.5" style="255" customWidth="1"/>
    <col min="1042" max="1042" width="11.25" style="255" customWidth="1"/>
    <col min="1043" max="1043" width="10.75" style="255" customWidth="1"/>
    <col min="1044" max="1044" width="10" style="255" customWidth="1"/>
    <col min="1045" max="1045" width="9.875" style="255" customWidth="1"/>
    <col min="1046" max="1046" width="26.125" style="255" customWidth="1"/>
    <col min="1047" max="1047" width="11.125" style="255" customWidth="1"/>
    <col min="1048" max="1048" width="7.875" style="255" customWidth="1"/>
    <col min="1049" max="1049" width="7.25" style="255" customWidth="1"/>
    <col min="1050" max="1050" width="9.125" style="255" customWidth="1"/>
    <col min="1051" max="1051" width="15.125" style="255" customWidth="1"/>
    <col min="1052" max="1052" width="7.75" style="255" customWidth="1"/>
    <col min="1053" max="1053" width="7.125" style="255" customWidth="1"/>
    <col min="1054" max="1054" width="12.125" style="255" customWidth="1"/>
    <col min="1055" max="1055" width="8.25" style="255" customWidth="1"/>
    <col min="1056" max="1057" width="10.375" style="255" customWidth="1"/>
    <col min="1058" max="1058" width="15.625" style="255" customWidth="1"/>
    <col min="1059" max="1059" width="15.875" style="255" customWidth="1"/>
    <col min="1060" max="1060" width="8.125" style="255" customWidth="1"/>
    <col min="1061" max="1064" width="10.375" style="255" customWidth="1"/>
    <col min="1065" max="1065" width="7.25" style="255" customWidth="1"/>
    <col min="1066" max="1066" width="7.125" style="255" customWidth="1"/>
    <col min="1067" max="1067" width="9.5" style="255" customWidth="1"/>
    <col min="1068" max="1069" width="9" style="255" customWidth="1"/>
    <col min="1070" max="1070" width="16.125" style="255" customWidth="1"/>
    <col min="1071" max="1101" width="9" style="255" customWidth="1"/>
    <col min="1102" max="1261" width="25.25" style="255"/>
    <col min="1262" max="1291" width="9" style="255" customWidth="1"/>
    <col min="1292" max="1292" width="0.5" style="255" customWidth="1"/>
    <col min="1293" max="1293" width="25.25" style="255"/>
    <col min="1294" max="1294" width="0.5" style="255" customWidth="1"/>
    <col min="1295" max="1295" width="25.25" style="255"/>
    <col min="1296" max="1296" width="14.75" style="255" customWidth="1"/>
    <col min="1297" max="1297" width="11.5" style="255" customWidth="1"/>
    <col min="1298" max="1298" width="11.25" style="255" customWidth="1"/>
    <col min="1299" max="1299" width="10.75" style="255" customWidth="1"/>
    <col min="1300" max="1300" width="10" style="255" customWidth="1"/>
    <col min="1301" max="1301" width="9.875" style="255" customWidth="1"/>
    <col min="1302" max="1302" width="26.125" style="255" customWidth="1"/>
    <col min="1303" max="1303" width="11.125" style="255" customWidth="1"/>
    <col min="1304" max="1304" width="7.875" style="255" customWidth="1"/>
    <col min="1305" max="1305" width="7.25" style="255" customWidth="1"/>
    <col min="1306" max="1306" width="9.125" style="255" customWidth="1"/>
    <col min="1307" max="1307" width="15.125" style="255" customWidth="1"/>
    <col min="1308" max="1308" width="7.75" style="255" customWidth="1"/>
    <col min="1309" max="1309" width="7.125" style="255" customWidth="1"/>
    <col min="1310" max="1310" width="12.125" style="255" customWidth="1"/>
    <col min="1311" max="1311" width="8.25" style="255" customWidth="1"/>
    <col min="1312" max="1313" width="10.375" style="255" customWidth="1"/>
    <col min="1314" max="1314" width="15.625" style="255" customWidth="1"/>
    <col min="1315" max="1315" width="15.875" style="255" customWidth="1"/>
    <col min="1316" max="1316" width="8.125" style="255" customWidth="1"/>
    <col min="1317" max="1320" width="10.375" style="255" customWidth="1"/>
    <col min="1321" max="1321" width="7.25" style="255" customWidth="1"/>
    <col min="1322" max="1322" width="7.125" style="255" customWidth="1"/>
    <col min="1323" max="1323" width="9.5" style="255" customWidth="1"/>
    <col min="1324" max="1325" width="9" style="255" customWidth="1"/>
    <col min="1326" max="1326" width="16.125" style="255" customWidth="1"/>
    <col min="1327" max="1357" width="9" style="255" customWidth="1"/>
    <col min="1358" max="1517" width="25.25" style="255"/>
    <col min="1518" max="1547" width="9" style="255" customWidth="1"/>
    <col min="1548" max="1548" width="0.5" style="255" customWidth="1"/>
    <col min="1549" max="1549" width="25.25" style="255"/>
    <col min="1550" max="1550" width="0.5" style="255" customWidth="1"/>
    <col min="1551" max="1551" width="25.25" style="255"/>
    <col min="1552" max="1552" width="14.75" style="255" customWidth="1"/>
    <col min="1553" max="1553" width="11.5" style="255" customWidth="1"/>
    <col min="1554" max="1554" width="11.25" style="255" customWidth="1"/>
    <col min="1555" max="1555" width="10.75" style="255" customWidth="1"/>
    <col min="1556" max="1556" width="10" style="255" customWidth="1"/>
    <col min="1557" max="1557" width="9.875" style="255" customWidth="1"/>
    <col min="1558" max="1558" width="26.125" style="255" customWidth="1"/>
    <col min="1559" max="1559" width="11.125" style="255" customWidth="1"/>
    <col min="1560" max="1560" width="7.875" style="255" customWidth="1"/>
    <col min="1561" max="1561" width="7.25" style="255" customWidth="1"/>
    <col min="1562" max="1562" width="9.125" style="255" customWidth="1"/>
    <col min="1563" max="1563" width="15.125" style="255" customWidth="1"/>
    <col min="1564" max="1564" width="7.75" style="255" customWidth="1"/>
    <col min="1565" max="1565" width="7.125" style="255" customWidth="1"/>
    <col min="1566" max="1566" width="12.125" style="255" customWidth="1"/>
    <col min="1567" max="1567" width="8.25" style="255" customWidth="1"/>
    <col min="1568" max="1569" width="10.375" style="255" customWidth="1"/>
    <col min="1570" max="1570" width="15.625" style="255" customWidth="1"/>
    <col min="1571" max="1571" width="15.875" style="255" customWidth="1"/>
    <col min="1572" max="1572" width="8.125" style="255" customWidth="1"/>
    <col min="1573" max="1576" width="10.375" style="255" customWidth="1"/>
    <col min="1577" max="1577" width="7.25" style="255" customWidth="1"/>
    <col min="1578" max="1578" width="7.125" style="255" customWidth="1"/>
    <col min="1579" max="1579" width="9.5" style="255" customWidth="1"/>
    <col min="1580" max="1581" width="9" style="255" customWidth="1"/>
    <col min="1582" max="1582" width="16.125" style="255" customWidth="1"/>
    <col min="1583" max="1613" width="9" style="255" customWidth="1"/>
    <col min="1614" max="1773" width="25.25" style="255"/>
    <col min="1774" max="1803" width="9" style="255" customWidth="1"/>
    <col min="1804" max="1804" width="0.5" style="255" customWidth="1"/>
    <col min="1805" max="1805" width="25.25" style="255"/>
    <col min="1806" max="1806" width="0.5" style="255" customWidth="1"/>
    <col min="1807" max="1807" width="25.25" style="255"/>
    <col min="1808" max="1808" width="14.75" style="255" customWidth="1"/>
    <col min="1809" max="1809" width="11.5" style="255" customWidth="1"/>
    <col min="1810" max="1810" width="11.25" style="255" customWidth="1"/>
    <col min="1811" max="1811" width="10.75" style="255" customWidth="1"/>
    <col min="1812" max="1812" width="10" style="255" customWidth="1"/>
    <col min="1813" max="1813" width="9.875" style="255" customWidth="1"/>
    <col min="1814" max="1814" width="26.125" style="255" customWidth="1"/>
    <col min="1815" max="1815" width="11.125" style="255" customWidth="1"/>
    <col min="1816" max="1816" width="7.875" style="255" customWidth="1"/>
    <col min="1817" max="1817" width="7.25" style="255" customWidth="1"/>
    <col min="1818" max="1818" width="9.125" style="255" customWidth="1"/>
    <col min="1819" max="1819" width="15.125" style="255" customWidth="1"/>
    <col min="1820" max="1820" width="7.75" style="255" customWidth="1"/>
    <col min="1821" max="1821" width="7.125" style="255" customWidth="1"/>
    <col min="1822" max="1822" width="12.125" style="255" customWidth="1"/>
    <col min="1823" max="1823" width="8.25" style="255" customWidth="1"/>
    <col min="1824" max="1825" width="10.375" style="255" customWidth="1"/>
    <col min="1826" max="1826" width="15.625" style="255" customWidth="1"/>
    <col min="1827" max="1827" width="15.875" style="255" customWidth="1"/>
    <col min="1828" max="1828" width="8.125" style="255" customWidth="1"/>
    <col min="1829" max="1832" width="10.375" style="255" customWidth="1"/>
    <col min="1833" max="1833" width="7.25" style="255" customWidth="1"/>
    <col min="1834" max="1834" width="7.125" style="255" customWidth="1"/>
    <col min="1835" max="1835" width="9.5" style="255" customWidth="1"/>
    <col min="1836" max="1837" width="9" style="255" customWidth="1"/>
    <col min="1838" max="1838" width="16.125" style="255" customWidth="1"/>
    <col min="1839" max="1869" width="9" style="255" customWidth="1"/>
    <col min="1870" max="2029" width="25.25" style="255"/>
    <col min="2030" max="2059" width="9" style="255" customWidth="1"/>
    <col min="2060" max="2060" width="0.5" style="255" customWidth="1"/>
    <col min="2061" max="2061" width="25.25" style="255"/>
    <col min="2062" max="2062" width="0.5" style="255" customWidth="1"/>
    <col min="2063" max="2063" width="25.25" style="255"/>
    <col min="2064" max="2064" width="14.75" style="255" customWidth="1"/>
    <col min="2065" max="2065" width="11.5" style="255" customWidth="1"/>
    <col min="2066" max="2066" width="11.25" style="255" customWidth="1"/>
    <col min="2067" max="2067" width="10.75" style="255" customWidth="1"/>
    <col min="2068" max="2068" width="10" style="255" customWidth="1"/>
    <col min="2069" max="2069" width="9.875" style="255" customWidth="1"/>
    <col min="2070" max="2070" width="26.125" style="255" customWidth="1"/>
    <col min="2071" max="2071" width="11.125" style="255" customWidth="1"/>
    <col min="2072" max="2072" width="7.875" style="255" customWidth="1"/>
    <col min="2073" max="2073" width="7.25" style="255" customWidth="1"/>
    <col min="2074" max="2074" width="9.125" style="255" customWidth="1"/>
    <col min="2075" max="2075" width="15.125" style="255" customWidth="1"/>
    <col min="2076" max="2076" width="7.75" style="255" customWidth="1"/>
    <col min="2077" max="2077" width="7.125" style="255" customWidth="1"/>
    <col min="2078" max="2078" width="12.125" style="255" customWidth="1"/>
    <col min="2079" max="2079" width="8.25" style="255" customWidth="1"/>
    <col min="2080" max="2081" width="10.375" style="255" customWidth="1"/>
    <col min="2082" max="2082" width="15.625" style="255" customWidth="1"/>
    <col min="2083" max="2083" width="15.875" style="255" customWidth="1"/>
    <col min="2084" max="2084" width="8.125" style="255" customWidth="1"/>
    <col min="2085" max="2088" width="10.375" style="255" customWidth="1"/>
    <col min="2089" max="2089" width="7.25" style="255" customWidth="1"/>
    <col min="2090" max="2090" width="7.125" style="255" customWidth="1"/>
    <col min="2091" max="2091" width="9.5" style="255" customWidth="1"/>
    <col min="2092" max="2093" width="9" style="255" customWidth="1"/>
    <col min="2094" max="2094" width="16.125" style="255" customWidth="1"/>
    <col min="2095" max="2125" width="9" style="255" customWidth="1"/>
    <col min="2126" max="2285" width="25.25" style="255"/>
    <col min="2286" max="2315" width="9" style="255" customWidth="1"/>
    <col min="2316" max="2316" width="0.5" style="255" customWidth="1"/>
    <col min="2317" max="2317" width="25.25" style="255"/>
    <col min="2318" max="2318" width="0.5" style="255" customWidth="1"/>
    <col min="2319" max="2319" width="25.25" style="255"/>
    <col min="2320" max="2320" width="14.75" style="255" customWidth="1"/>
    <col min="2321" max="2321" width="11.5" style="255" customWidth="1"/>
    <col min="2322" max="2322" width="11.25" style="255" customWidth="1"/>
    <col min="2323" max="2323" width="10.75" style="255" customWidth="1"/>
    <col min="2324" max="2324" width="10" style="255" customWidth="1"/>
    <col min="2325" max="2325" width="9.875" style="255" customWidth="1"/>
    <col min="2326" max="2326" width="26.125" style="255" customWidth="1"/>
    <col min="2327" max="2327" width="11.125" style="255" customWidth="1"/>
    <col min="2328" max="2328" width="7.875" style="255" customWidth="1"/>
    <col min="2329" max="2329" width="7.25" style="255" customWidth="1"/>
    <col min="2330" max="2330" width="9.125" style="255" customWidth="1"/>
    <col min="2331" max="2331" width="15.125" style="255" customWidth="1"/>
    <col min="2332" max="2332" width="7.75" style="255" customWidth="1"/>
    <col min="2333" max="2333" width="7.125" style="255" customWidth="1"/>
    <col min="2334" max="2334" width="12.125" style="255" customWidth="1"/>
    <col min="2335" max="2335" width="8.25" style="255" customWidth="1"/>
    <col min="2336" max="2337" width="10.375" style="255" customWidth="1"/>
    <col min="2338" max="2338" width="15.625" style="255" customWidth="1"/>
    <col min="2339" max="2339" width="15.875" style="255" customWidth="1"/>
    <col min="2340" max="2340" width="8.125" style="255" customWidth="1"/>
    <col min="2341" max="2344" width="10.375" style="255" customWidth="1"/>
    <col min="2345" max="2345" width="7.25" style="255" customWidth="1"/>
    <col min="2346" max="2346" width="7.125" style="255" customWidth="1"/>
    <col min="2347" max="2347" width="9.5" style="255" customWidth="1"/>
    <col min="2348" max="2349" width="9" style="255" customWidth="1"/>
    <col min="2350" max="2350" width="16.125" style="255" customWidth="1"/>
    <col min="2351" max="2381" width="9" style="255" customWidth="1"/>
    <col min="2382" max="2541" width="25.25" style="255"/>
    <col min="2542" max="2571" width="9" style="255" customWidth="1"/>
    <col min="2572" max="2572" width="0.5" style="255" customWidth="1"/>
    <col min="2573" max="2573" width="25.25" style="255"/>
    <col min="2574" max="2574" width="0.5" style="255" customWidth="1"/>
    <col min="2575" max="2575" width="25.25" style="255"/>
    <col min="2576" max="2576" width="14.75" style="255" customWidth="1"/>
    <col min="2577" max="2577" width="11.5" style="255" customWidth="1"/>
    <col min="2578" max="2578" width="11.25" style="255" customWidth="1"/>
    <col min="2579" max="2579" width="10.75" style="255" customWidth="1"/>
    <col min="2580" max="2580" width="10" style="255" customWidth="1"/>
    <col min="2581" max="2581" width="9.875" style="255" customWidth="1"/>
    <col min="2582" max="2582" width="26.125" style="255" customWidth="1"/>
    <col min="2583" max="2583" width="11.125" style="255" customWidth="1"/>
    <col min="2584" max="2584" width="7.875" style="255" customWidth="1"/>
    <col min="2585" max="2585" width="7.25" style="255" customWidth="1"/>
    <col min="2586" max="2586" width="9.125" style="255" customWidth="1"/>
    <col min="2587" max="2587" width="15.125" style="255" customWidth="1"/>
    <col min="2588" max="2588" width="7.75" style="255" customWidth="1"/>
    <col min="2589" max="2589" width="7.125" style="255" customWidth="1"/>
    <col min="2590" max="2590" width="12.125" style="255" customWidth="1"/>
    <col min="2591" max="2591" width="8.25" style="255" customWidth="1"/>
    <col min="2592" max="2593" width="10.375" style="255" customWidth="1"/>
    <col min="2594" max="2594" width="15.625" style="255" customWidth="1"/>
    <col min="2595" max="2595" width="15.875" style="255" customWidth="1"/>
    <col min="2596" max="2596" width="8.125" style="255" customWidth="1"/>
    <col min="2597" max="2600" width="10.375" style="255" customWidth="1"/>
    <col min="2601" max="2601" width="7.25" style="255" customWidth="1"/>
    <col min="2602" max="2602" width="7.125" style="255" customWidth="1"/>
    <col min="2603" max="2603" width="9.5" style="255" customWidth="1"/>
    <col min="2604" max="2605" width="9" style="255" customWidth="1"/>
    <col min="2606" max="2606" width="16.125" style="255" customWidth="1"/>
    <col min="2607" max="2637" width="9" style="255" customWidth="1"/>
    <col min="2638" max="2797" width="25.25" style="255"/>
    <col min="2798" max="2827" width="9" style="255" customWidth="1"/>
    <col min="2828" max="2828" width="0.5" style="255" customWidth="1"/>
    <col min="2829" max="2829" width="25.25" style="255"/>
    <col min="2830" max="2830" width="0.5" style="255" customWidth="1"/>
    <col min="2831" max="2831" width="25.25" style="255"/>
    <col min="2832" max="2832" width="14.75" style="255" customWidth="1"/>
    <col min="2833" max="2833" width="11.5" style="255" customWidth="1"/>
    <col min="2834" max="2834" width="11.25" style="255" customWidth="1"/>
    <col min="2835" max="2835" width="10.75" style="255" customWidth="1"/>
    <col min="2836" max="2836" width="10" style="255" customWidth="1"/>
    <col min="2837" max="2837" width="9.875" style="255" customWidth="1"/>
    <col min="2838" max="2838" width="26.125" style="255" customWidth="1"/>
    <col min="2839" max="2839" width="11.125" style="255" customWidth="1"/>
    <col min="2840" max="2840" width="7.875" style="255" customWidth="1"/>
    <col min="2841" max="2841" width="7.25" style="255" customWidth="1"/>
    <col min="2842" max="2842" width="9.125" style="255" customWidth="1"/>
    <col min="2843" max="2843" width="15.125" style="255" customWidth="1"/>
    <col min="2844" max="2844" width="7.75" style="255" customWidth="1"/>
    <col min="2845" max="2845" width="7.125" style="255" customWidth="1"/>
    <col min="2846" max="2846" width="12.125" style="255" customWidth="1"/>
    <col min="2847" max="2847" width="8.25" style="255" customWidth="1"/>
    <col min="2848" max="2849" width="10.375" style="255" customWidth="1"/>
    <col min="2850" max="2850" width="15.625" style="255" customWidth="1"/>
    <col min="2851" max="2851" width="15.875" style="255" customWidth="1"/>
    <col min="2852" max="2852" width="8.125" style="255" customWidth="1"/>
    <col min="2853" max="2856" width="10.375" style="255" customWidth="1"/>
    <col min="2857" max="2857" width="7.25" style="255" customWidth="1"/>
    <col min="2858" max="2858" width="7.125" style="255" customWidth="1"/>
    <col min="2859" max="2859" width="9.5" style="255" customWidth="1"/>
    <col min="2860" max="2861" width="9" style="255" customWidth="1"/>
    <col min="2862" max="2862" width="16.125" style="255" customWidth="1"/>
    <col min="2863" max="2893" width="9" style="255" customWidth="1"/>
    <col min="2894" max="3053" width="25.25" style="255"/>
    <col min="3054" max="3083" width="9" style="255" customWidth="1"/>
    <col min="3084" max="3084" width="0.5" style="255" customWidth="1"/>
    <col min="3085" max="3085" width="25.25" style="255"/>
    <col min="3086" max="3086" width="0.5" style="255" customWidth="1"/>
    <col min="3087" max="3087" width="25.25" style="255"/>
    <col min="3088" max="3088" width="14.75" style="255" customWidth="1"/>
    <col min="3089" max="3089" width="11.5" style="255" customWidth="1"/>
    <col min="3090" max="3090" width="11.25" style="255" customWidth="1"/>
    <col min="3091" max="3091" width="10.75" style="255" customWidth="1"/>
    <col min="3092" max="3092" width="10" style="255" customWidth="1"/>
    <col min="3093" max="3093" width="9.875" style="255" customWidth="1"/>
    <col min="3094" max="3094" width="26.125" style="255" customWidth="1"/>
    <col min="3095" max="3095" width="11.125" style="255" customWidth="1"/>
    <col min="3096" max="3096" width="7.875" style="255" customWidth="1"/>
    <col min="3097" max="3097" width="7.25" style="255" customWidth="1"/>
    <col min="3098" max="3098" width="9.125" style="255" customWidth="1"/>
    <col min="3099" max="3099" width="15.125" style="255" customWidth="1"/>
    <col min="3100" max="3100" width="7.75" style="255" customWidth="1"/>
    <col min="3101" max="3101" width="7.125" style="255" customWidth="1"/>
    <col min="3102" max="3102" width="12.125" style="255" customWidth="1"/>
    <col min="3103" max="3103" width="8.25" style="255" customWidth="1"/>
    <col min="3104" max="3105" width="10.375" style="255" customWidth="1"/>
    <col min="3106" max="3106" width="15.625" style="255" customWidth="1"/>
    <col min="3107" max="3107" width="15.875" style="255" customWidth="1"/>
    <col min="3108" max="3108" width="8.125" style="255" customWidth="1"/>
    <col min="3109" max="3112" width="10.375" style="255" customWidth="1"/>
    <col min="3113" max="3113" width="7.25" style="255" customWidth="1"/>
    <col min="3114" max="3114" width="7.125" style="255" customWidth="1"/>
    <col min="3115" max="3115" width="9.5" style="255" customWidth="1"/>
    <col min="3116" max="3117" width="9" style="255" customWidth="1"/>
    <col min="3118" max="3118" width="16.125" style="255" customWidth="1"/>
    <col min="3119" max="3149" width="9" style="255" customWidth="1"/>
    <col min="3150" max="3309" width="25.25" style="255"/>
    <col min="3310" max="3339" width="9" style="255" customWidth="1"/>
    <col min="3340" max="3340" width="0.5" style="255" customWidth="1"/>
    <col min="3341" max="3341" width="25.25" style="255"/>
    <col min="3342" max="3342" width="0.5" style="255" customWidth="1"/>
    <col min="3343" max="3343" width="25.25" style="255"/>
    <col min="3344" max="3344" width="14.75" style="255" customWidth="1"/>
    <col min="3345" max="3345" width="11.5" style="255" customWidth="1"/>
    <col min="3346" max="3346" width="11.25" style="255" customWidth="1"/>
    <col min="3347" max="3347" width="10.75" style="255" customWidth="1"/>
    <col min="3348" max="3348" width="10" style="255" customWidth="1"/>
    <col min="3349" max="3349" width="9.875" style="255" customWidth="1"/>
    <col min="3350" max="3350" width="26.125" style="255" customWidth="1"/>
    <col min="3351" max="3351" width="11.125" style="255" customWidth="1"/>
    <col min="3352" max="3352" width="7.875" style="255" customWidth="1"/>
    <col min="3353" max="3353" width="7.25" style="255" customWidth="1"/>
    <col min="3354" max="3354" width="9.125" style="255" customWidth="1"/>
    <col min="3355" max="3355" width="15.125" style="255" customWidth="1"/>
    <col min="3356" max="3356" width="7.75" style="255" customWidth="1"/>
    <col min="3357" max="3357" width="7.125" style="255" customWidth="1"/>
    <col min="3358" max="3358" width="12.125" style="255" customWidth="1"/>
    <col min="3359" max="3359" width="8.25" style="255" customWidth="1"/>
    <col min="3360" max="3361" width="10.375" style="255" customWidth="1"/>
    <col min="3362" max="3362" width="15.625" style="255" customWidth="1"/>
    <col min="3363" max="3363" width="15.875" style="255" customWidth="1"/>
    <col min="3364" max="3364" width="8.125" style="255" customWidth="1"/>
    <col min="3365" max="3368" width="10.375" style="255" customWidth="1"/>
    <col min="3369" max="3369" width="7.25" style="255" customWidth="1"/>
    <col min="3370" max="3370" width="7.125" style="255" customWidth="1"/>
    <col min="3371" max="3371" width="9.5" style="255" customWidth="1"/>
    <col min="3372" max="3373" width="9" style="255" customWidth="1"/>
    <col min="3374" max="3374" width="16.125" style="255" customWidth="1"/>
    <col min="3375" max="3405" width="9" style="255" customWidth="1"/>
    <col min="3406" max="3565" width="25.25" style="255"/>
    <col min="3566" max="3595" width="9" style="255" customWidth="1"/>
    <col min="3596" max="3596" width="0.5" style="255" customWidth="1"/>
    <col min="3597" max="3597" width="25.25" style="255"/>
    <col min="3598" max="3598" width="0.5" style="255" customWidth="1"/>
    <col min="3599" max="3599" width="25.25" style="255"/>
    <col min="3600" max="3600" width="14.75" style="255" customWidth="1"/>
    <col min="3601" max="3601" width="11.5" style="255" customWidth="1"/>
    <col min="3602" max="3602" width="11.25" style="255" customWidth="1"/>
    <col min="3603" max="3603" width="10.75" style="255" customWidth="1"/>
    <col min="3604" max="3604" width="10" style="255" customWidth="1"/>
    <col min="3605" max="3605" width="9.875" style="255" customWidth="1"/>
    <col min="3606" max="3606" width="26.125" style="255" customWidth="1"/>
    <col min="3607" max="3607" width="11.125" style="255" customWidth="1"/>
    <col min="3608" max="3608" width="7.875" style="255" customWidth="1"/>
    <col min="3609" max="3609" width="7.25" style="255" customWidth="1"/>
    <col min="3610" max="3610" width="9.125" style="255" customWidth="1"/>
    <col min="3611" max="3611" width="15.125" style="255" customWidth="1"/>
    <col min="3612" max="3612" width="7.75" style="255" customWidth="1"/>
    <col min="3613" max="3613" width="7.125" style="255" customWidth="1"/>
    <col min="3614" max="3614" width="12.125" style="255" customWidth="1"/>
    <col min="3615" max="3615" width="8.25" style="255" customWidth="1"/>
    <col min="3616" max="3617" width="10.375" style="255" customWidth="1"/>
    <col min="3618" max="3618" width="15.625" style="255" customWidth="1"/>
    <col min="3619" max="3619" width="15.875" style="255" customWidth="1"/>
    <col min="3620" max="3620" width="8.125" style="255" customWidth="1"/>
    <col min="3621" max="3624" width="10.375" style="255" customWidth="1"/>
    <col min="3625" max="3625" width="7.25" style="255" customWidth="1"/>
    <col min="3626" max="3626" width="7.125" style="255" customWidth="1"/>
    <col min="3627" max="3627" width="9.5" style="255" customWidth="1"/>
    <col min="3628" max="3629" width="9" style="255" customWidth="1"/>
    <col min="3630" max="3630" width="16.125" style="255" customWidth="1"/>
    <col min="3631" max="3661" width="9" style="255" customWidth="1"/>
    <col min="3662" max="3821" width="25.25" style="255"/>
    <col min="3822" max="3851" width="9" style="255" customWidth="1"/>
    <col min="3852" max="3852" width="0.5" style="255" customWidth="1"/>
    <col min="3853" max="3853" width="25.25" style="255"/>
    <col min="3854" max="3854" width="0.5" style="255" customWidth="1"/>
    <col min="3855" max="3855" width="25.25" style="255"/>
    <col min="3856" max="3856" width="14.75" style="255" customWidth="1"/>
    <col min="3857" max="3857" width="11.5" style="255" customWidth="1"/>
    <col min="3858" max="3858" width="11.25" style="255" customWidth="1"/>
    <col min="3859" max="3859" width="10.75" style="255" customWidth="1"/>
    <col min="3860" max="3860" width="10" style="255" customWidth="1"/>
    <col min="3861" max="3861" width="9.875" style="255" customWidth="1"/>
    <col min="3862" max="3862" width="26.125" style="255" customWidth="1"/>
    <col min="3863" max="3863" width="11.125" style="255" customWidth="1"/>
    <col min="3864" max="3864" width="7.875" style="255" customWidth="1"/>
    <col min="3865" max="3865" width="7.25" style="255" customWidth="1"/>
    <col min="3866" max="3866" width="9.125" style="255" customWidth="1"/>
    <col min="3867" max="3867" width="15.125" style="255" customWidth="1"/>
    <col min="3868" max="3868" width="7.75" style="255" customWidth="1"/>
    <col min="3869" max="3869" width="7.125" style="255" customWidth="1"/>
    <col min="3870" max="3870" width="12.125" style="255" customWidth="1"/>
    <col min="3871" max="3871" width="8.25" style="255" customWidth="1"/>
    <col min="3872" max="3873" width="10.375" style="255" customWidth="1"/>
    <col min="3874" max="3874" width="15.625" style="255" customWidth="1"/>
    <col min="3875" max="3875" width="15.875" style="255" customWidth="1"/>
    <col min="3876" max="3876" width="8.125" style="255" customWidth="1"/>
    <col min="3877" max="3880" width="10.375" style="255" customWidth="1"/>
    <col min="3881" max="3881" width="7.25" style="255" customWidth="1"/>
    <col min="3882" max="3882" width="7.125" style="255" customWidth="1"/>
    <col min="3883" max="3883" width="9.5" style="255" customWidth="1"/>
    <col min="3884" max="3885" width="9" style="255" customWidth="1"/>
    <col min="3886" max="3886" width="16.125" style="255" customWidth="1"/>
    <col min="3887" max="3917" width="9" style="255" customWidth="1"/>
    <col min="3918" max="4077" width="25.25" style="255"/>
    <col min="4078" max="4107" width="9" style="255" customWidth="1"/>
    <col min="4108" max="4108" width="0.5" style="255" customWidth="1"/>
    <col min="4109" max="4109" width="25.25" style="255"/>
    <col min="4110" max="4110" width="0.5" style="255" customWidth="1"/>
    <col min="4111" max="4111" width="25.25" style="255"/>
    <col min="4112" max="4112" width="14.75" style="255" customWidth="1"/>
    <col min="4113" max="4113" width="11.5" style="255" customWidth="1"/>
    <col min="4114" max="4114" width="11.25" style="255" customWidth="1"/>
    <col min="4115" max="4115" width="10.75" style="255" customWidth="1"/>
    <col min="4116" max="4116" width="10" style="255" customWidth="1"/>
    <col min="4117" max="4117" width="9.875" style="255" customWidth="1"/>
    <col min="4118" max="4118" width="26.125" style="255" customWidth="1"/>
    <col min="4119" max="4119" width="11.125" style="255" customWidth="1"/>
    <col min="4120" max="4120" width="7.875" style="255" customWidth="1"/>
    <col min="4121" max="4121" width="7.25" style="255" customWidth="1"/>
    <col min="4122" max="4122" width="9.125" style="255" customWidth="1"/>
    <col min="4123" max="4123" width="15.125" style="255" customWidth="1"/>
    <col min="4124" max="4124" width="7.75" style="255" customWidth="1"/>
    <col min="4125" max="4125" width="7.125" style="255" customWidth="1"/>
    <col min="4126" max="4126" width="12.125" style="255" customWidth="1"/>
    <col min="4127" max="4127" width="8.25" style="255" customWidth="1"/>
    <col min="4128" max="4129" width="10.375" style="255" customWidth="1"/>
    <col min="4130" max="4130" width="15.625" style="255" customWidth="1"/>
    <col min="4131" max="4131" width="15.875" style="255" customWidth="1"/>
    <col min="4132" max="4132" width="8.125" style="255" customWidth="1"/>
    <col min="4133" max="4136" width="10.375" style="255" customWidth="1"/>
    <col min="4137" max="4137" width="7.25" style="255" customWidth="1"/>
    <col min="4138" max="4138" width="7.125" style="255" customWidth="1"/>
    <col min="4139" max="4139" width="9.5" style="255" customWidth="1"/>
    <col min="4140" max="4141" width="9" style="255" customWidth="1"/>
    <col min="4142" max="4142" width="16.125" style="255" customWidth="1"/>
    <col min="4143" max="4173" width="9" style="255" customWidth="1"/>
    <col min="4174" max="4333" width="25.25" style="255"/>
    <col min="4334" max="4363" width="9" style="255" customWidth="1"/>
    <col min="4364" max="4364" width="0.5" style="255" customWidth="1"/>
    <col min="4365" max="4365" width="25.25" style="255"/>
    <col min="4366" max="4366" width="0.5" style="255" customWidth="1"/>
    <col min="4367" max="4367" width="25.25" style="255"/>
    <col min="4368" max="4368" width="14.75" style="255" customWidth="1"/>
    <col min="4369" max="4369" width="11.5" style="255" customWidth="1"/>
    <col min="4370" max="4370" width="11.25" style="255" customWidth="1"/>
    <col min="4371" max="4371" width="10.75" style="255" customWidth="1"/>
    <col min="4372" max="4372" width="10" style="255" customWidth="1"/>
    <col min="4373" max="4373" width="9.875" style="255" customWidth="1"/>
    <col min="4374" max="4374" width="26.125" style="255" customWidth="1"/>
    <col min="4375" max="4375" width="11.125" style="255" customWidth="1"/>
    <col min="4376" max="4376" width="7.875" style="255" customWidth="1"/>
    <col min="4377" max="4377" width="7.25" style="255" customWidth="1"/>
    <col min="4378" max="4378" width="9.125" style="255" customWidth="1"/>
    <col min="4379" max="4379" width="15.125" style="255" customWidth="1"/>
    <col min="4380" max="4380" width="7.75" style="255" customWidth="1"/>
    <col min="4381" max="4381" width="7.125" style="255" customWidth="1"/>
    <col min="4382" max="4382" width="12.125" style="255" customWidth="1"/>
    <col min="4383" max="4383" width="8.25" style="255" customWidth="1"/>
    <col min="4384" max="4385" width="10.375" style="255" customWidth="1"/>
    <col min="4386" max="4386" width="15.625" style="255" customWidth="1"/>
    <col min="4387" max="4387" width="15.875" style="255" customWidth="1"/>
    <col min="4388" max="4388" width="8.125" style="255" customWidth="1"/>
    <col min="4389" max="4392" width="10.375" style="255" customWidth="1"/>
    <col min="4393" max="4393" width="7.25" style="255" customWidth="1"/>
    <col min="4394" max="4394" width="7.125" style="255" customWidth="1"/>
    <col min="4395" max="4395" width="9.5" style="255" customWidth="1"/>
    <col min="4396" max="4397" width="9" style="255" customWidth="1"/>
    <col min="4398" max="4398" width="16.125" style="255" customWidth="1"/>
    <col min="4399" max="4429" width="9" style="255" customWidth="1"/>
    <col min="4430" max="4589" width="25.25" style="255"/>
    <col min="4590" max="4619" width="9" style="255" customWidth="1"/>
    <col min="4620" max="4620" width="0.5" style="255" customWidth="1"/>
    <col min="4621" max="4621" width="25.25" style="255"/>
    <col min="4622" max="4622" width="0.5" style="255" customWidth="1"/>
    <col min="4623" max="4623" width="25.25" style="255"/>
    <col min="4624" max="4624" width="14.75" style="255" customWidth="1"/>
    <col min="4625" max="4625" width="11.5" style="255" customWidth="1"/>
    <col min="4626" max="4626" width="11.25" style="255" customWidth="1"/>
    <col min="4627" max="4627" width="10.75" style="255" customWidth="1"/>
    <col min="4628" max="4628" width="10" style="255" customWidth="1"/>
    <col min="4629" max="4629" width="9.875" style="255" customWidth="1"/>
    <col min="4630" max="4630" width="26.125" style="255" customWidth="1"/>
    <col min="4631" max="4631" width="11.125" style="255" customWidth="1"/>
    <col min="4632" max="4632" width="7.875" style="255" customWidth="1"/>
    <col min="4633" max="4633" width="7.25" style="255" customWidth="1"/>
    <col min="4634" max="4634" width="9.125" style="255" customWidth="1"/>
    <col min="4635" max="4635" width="15.125" style="255" customWidth="1"/>
    <col min="4636" max="4636" width="7.75" style="255" customWidth="1"/>
    <col min="4637" max="4637" width="7.125" style="255" customWidth="1"/>
    <col min="4638" max="4638" width="12.125" style="255" customWidth="1"/>
    <col min="4639" max="4639" width="8.25" style="255" customWidth="1"/>
    <col min="4640" max="4641" width="10.375" style="255" customWidth="1"/>
    <col min="4642" max="4642" width="15.625" style="255" customWidth="1"/>
    <col min="4643" max="4643" width="15.875" style="255" customWidth="1"/>
    <col min="4644" max="4644" width="8.125" style="255" customWidth="1"/>
    <col min="4645" max="4648" width="10.375" style="255" customWidth="1"/>
    <col min="4649" max="4649" width="7.25" style="255" customWidth="1"/>
    <col min="4650" max="4650" width="7.125" style="255" customWidth="1"/>
    <col min="4651" max="4651" width="9.5" style="255" customWidth="1"/>
    <col min="4652" max="4653" width="9" style="255" customWidth="1"/>
    <col min="4654" max="4654" width="16.125" style="255" customWidth="1"/>
    <col min="4655" max="4685" width="9" style="255" customWidth="1"/>
    <col min="4686" max="4845" width="25.25" style="255"/>
    <col min="4846" max="4875" width="9" style="255" customWidth="1"/>
    <col min="4876" max="4876" width="0.5" style="255" customWidth="1"/>
    <col min="4877" max="4877" width="25.25" style="255"/>
    <col min="4878" max="4878" width="0.5" style="255" customWidth="1"/>
    <col min="4879" max="4879" width="25.25" style="255"/>
    <col min="4880" max="4880" width="14.75" style="255" customWidth="1"/>
    <col min="4881" max="4881" width="11.5" style="255" customWidth="1"/>
    <col min="4882" max="4882" width="11.25" style="255" customWidth="1"/>
    <col min="4883" max="4883" width="10.75" style="255" customWidth="1"/>
    <col min="4884" max="4884" width="10" style="255" customWidth="1"/>
    <col min="4885" max="4885" width="9.875" style="255" customWidth="1"/>
    <col min="4886" max="4886" width="26.125" style="255" customWidth="1"/>
    <col min="4887" max="4887" width="11.125" style="255" customWidth="1"/>
    <col min="4888" max="4888" width="7.875" style="255" customWidth="1"/>
    <col min="4889" max="4889" width="7.25" style="255" customWidth="1"/>
    <col min="4890" max="4890" width="9.125" style="255" customWidth="1"/>
    <col min="4891" max="4891" width="15.125" style="255" customWidth="1"/>
    <col min="4892" max="4892" width="7.75" style="255" customWidth="1"/>
    <col min="4893" max="4893" width="7.125" style="255" customWidth="1"/>
    <col min="4894" max="4894" width="12.125" style="255" customWidth="1"/>
    <col min="4895" max="4895" width="8.25" style="255" customWidth="1"/>
    <col min="4896" max="4897" width="10.375" style="255" customWidth="1"/>
    <col min="4898" max="4898" width="15.625" style="255" customWidth="1"/>
    <col min="4899" max="4899" width="15.875" style="255" customWidth="1"/>
    <col min="4900" max="4900" width="8.125" style="255" customWidth="1"/>
    <col min="4901" max="4904" width="10.375" style="255" customWidth="1"/>
    <col min="4905" max="4905" width="7.25" style="255" customWidth="1"/>
    <col min="4906" max="4906" width="7.125" style="255" customWidth="1"/>
    <col min="4907" max="4907" width="9.5" style="255" customWidth="1"/>
    <col min="4908" max="4909" width="9" style="255" customWidth="1"/>
    <col min="4910" max="4910" width="16.125" style="255" customWidth="1"/>
    <col min="4911" max="4941" width="9" style="255" customWidth="1"/>
    <col min="4942" max="5101" width="25.25" style="255"/>
    <col min="5102" max="5131" width="9" style="255" customWidth="1"/>
    <col min="5132" max="5132" width="0.5" style="255" customWidth="1"/>
    <col min="5133" max="5133" width="25.25" style="255"/>
    <col min="5134" max="5134" width="0.5" style="255" customWidth="1"/>
    <col min="5135" max="5135" width="25.25" style="255"/>
    <col min="5136" max="5136" width="14.75" style="255" customWidth="1"/>
    <col min="5137" max="5137" width="11.5" style="255" customWidth="1"/>
    <col min="5138" max="5138" width="11.25" style="255" customWidth="1"/>
    <col min="5139" max="5139" width="10.75" style="255" customWidth="1"/>
    <col min="5140" max="5140" width="10" style="255" customWidth="1"/>
    <col min="5141" max="5141" width="9.875" style="255" customWidth="1"/>
    <col min="5142" max="5142" width="26.125" style="255" customWidth="1"/>
    <col min="5143" max="5143" width="11.125" style="255" customWidth="1"/>
    <col min="5144" max="5144" width="7.875" style="255" customWidth="1"/>
    <col min="5145" max="5145" width="7.25" style="255" customWidth="1"/>
    <col min="5146" max="5146" width="9.125" style="255" customWidth="1"/>
    <col min="5147" max="5147" width="15.125" style="255" customWidth="1"/>
    <col min="5148" max="5148" width="7.75" style="255" customWidth="1"/>
    <col min="5149" max="5149" width="7.125" style="255" customWidth="1"/>
    <col min="5150" max="5150" width="12.125" style="255" customWidth="1"/>
    <col min="5151" max="5151" width="8.25" style="255" customWidth="1"/>
    <col min="5152" max="5153" width="10.375" style="255" customWidth="1"/>
    <col min="5154" max="5154" width="15.625" style="255" customWidth="1"/>
    <col min="5155" max="5155" width="15.875" style="255" customWidth="1"/>
    <col min="5156" max="5156" width="8.125" style="255" customWidth="1"/>
    <col min="5157" max="5160" width="10.375" style="255" customWidth="1"/>
    <col min="5161" max="5161" width="7.25" style="255" customWidth="1"/>
    <col min="5162" max="5162" width="7.125" style="255" customWidth="1"/>
    <col min="5163" max="5163" width="9.5" style="255" customWidth="1"/>
    <col min="5164" max="5165" width="9" style="255" customWidth="1"/>
    <col min="5166" max="5166" width="16.125" style="255" customWidth="1"/>
    <col min="5167" max="5197" width="9" style="255" customWidth="1"/>
    <col min="5198" max="5357" width="25.25" style="255"/>
    <col min="5358" max="5387" width="9" style="255" customWidth="1"/>
    <col min="5388" max="5388" width="0.5" style="255" customWidth="1"/>
    <col min="5389" max="5389" width="25.25" style="255"/>
    <col min="5390" max="5390" width="0.5" style="255" customWidth="1"/>
    <col min="5391" max="5391" width="25.25" style="255"/>
    <col min="5392" max="5392" width="14.75" style="255" customWidth="1"/>
    <col min="5393" max="5393" width="11.5" style="255" customWidth="1"/>
    <col min="5394" max="5394" width="11.25" style="255" customWidth="1"/>
    <col min="5395" max="5395" width="10.75" style="255" customWidth="1"/>
    <col min="5396" max="5396" width="10" style="255" customWidth="1"/>
    <col min="5397" max="5397" width="9.875" style="255" customWidth="1"/>
    <col min="5398" max="5398" width="26.125" style="255" customWidth="1"/>
    <col min="5399" max="5399" width="11.125" style="255" customWidth="1"/>
    <col min="5400" max="5400" width="7.875" style="255" customWidth="1"/>
    <col min="5401" max="5401" width="7.25" style="255" customWidth="1"/>
    <col min="5402" max="5402" width="9.125" style="255" customWidth="1"/>
    <col min="5403" max="5403" width="15.125" style="255" customWidth="1"/>
    <col min="5404" max="5404" width="7.75" style="255" customWidth="1"/>
    <col min="5405" max="5405" width="7.125" style="255" customWidth="1"/>
    <col min="5406" max="5406" width="12.125" style="255" customWidth="1"/>
    <col min="5407" max="5407" width="8.25" style="255" customWidth="1"/>
    <col min="5408" max="5409" width="10.375" style="255" customWidth="1"/>
    <col min="5410" max="5410" width="15.625" style="255" customWidth="1"/>
    <col min="5411" max="5411" width="15.875" style="255" customWidth="1"/>
    <col min="5412" max="5412" width="8.125" style="255" customWidth="1"/>
    <col min="5413" max="5416" width="10.375" style="255" customWidth="1"/>
    <col min="5417" max="5417" width="7.25" style="255" customWidth="1"/>
    <col min="5418" max="5418" width="7.125" style="255" customWidth="1"/>
    <col min="5419" max="5419" width="9.5" style="255" customWidth="1"/>
    <col min="5420" max="5421" width="9" style="255" customWidth="1"/>
    <col min="5422" max="5422" width="16.125" style="255" customWidth="1"/>
    <col min="5423" max="5453" width="9" style="255" customWidth="1"/>
    <col min="5454" max="5613" width="25.25" style="255"/>
    <col min="5614" max="5643" width="9" style="255" customWidth="1"/>
    <col min="5644" max="5644" width="0.5" style="255" customWidth="1"/>
    <col min="5645" max="5645" width="25.25" style="255"/>
    <col min="5646" max="5646" width="0.5" style="255" customWidth="1"/>
    <col min="5647" max="5647" width="25.25" style="255"/>
    <col min="5648" max="5648" width="14.75" style="255" customWidth="1"/>
    <col min="5649" max="5649" width="11.5" style="255" customWidth="1"/>
    <col min="5650" max="5650" width="11.25" style="255" customWidth="1"/>
    <col min="5651" max="5651" width="10.75" style="255" customWidth="1"/>
    <col min="5652" max="5652" width="10" style="255" customWidth="1"/>
    <col min="5653" max="5653" width="9.875" style="255" customWidth="1"/>
    <col min="5654" max="5654" width="26.125" style="255" customWidth="1"/>
    <col min="5655" max="5655" width="11.125" style="255" customWidth="1"/>
    <col min="5656" max="5656" width="7.875" style="255" customWidth="1"/>
    <col min="5657" max="5657" width="7.25" style="255" customWidth="1"/>
    <col min="5658" max="5658" width="9.125" style="255" customWidth="1"/>
    <col min="5659" max="5659" width="15.125" style="255" customWidth="1"/>
    <col min="5660" max="5660" width="7.75" style="255" customWidth="1"/>
    <col min="5661" max="5661" width="7.125" style="255" customWidth="1"/>
    <col min="5662" max="5662" width="12.125" style="255" customWidth="1"/>
    <col min="5663" max="5663" width="8.25" style="255" customWidth="1"/>
    <col min="5664" max="5665" width="10.375" style="255" customWidth="1"/>
    <col min="5666" max="5666" width="15.625" style="255" customWidth="1"/>
    <col min="5667" max="5667" width="15.875" style="255" customWidth="1"/>
    <col min="5668" max="5668" width="8.125" style="255" customWidth="1"/>
    <col min="5669" max="5672" width="10.375" style="255" customWidth="1"/>
    <col min="5673" max="5673" width="7.25" style="255" customWidth="1"/>
    <col min="5674" max="5674" width="7.125" style="255" customWidth="1"/>
    <col min="5675" max="5675" width="9.5" style="255" customWidth="1"/>
    <col min="5676" max="5677" width="9" style="255" customWidth="1"/>
    <col min="5678" max="5678" width="16.125" style="255" customWidth="1"/>
    <col min="5679" max="5709" width="9" style="255" customWidth="1"/>
    <col min="5710" max="5869" width="25.25" style="255"/>
    <col min="5870" max="5899" width="9" style="255" customWidth="1"/>
    <col min="5900" max="5900" width="0.5" style="255" customWidth="1"/>
    <col min="5901" max="5901" width="25.25" style="255"/>
    <col min="5902" max="5902" width="0.5" style="255" customWidth="1"/>
    <col min="5903" max="5903" width="25.25" style="255"/>
    <col min="5904" max="5904" width="14.75" style="255" customWidth="1"/>
    <col min="5905" max="5905" width="11.5" style="255" customWidth="1"/>
    <col min="5906" max="5906" width="11.25" style="255" customWidth="1"/>
    <col min="5907" max="5907" width="10.75" style="255" customWidth="1"/>
    <col min="5908" max="5908" width="10" style="255" customWidth="1"/>
    <col min="5909" max="5909" width="9.875" style="255" customWidth="1"/>
    <col min="5910" max="5910" width="26.125" style="255" customWidth="1"/>
    <col min="5911" max="5911" width="11.125" style="255" customWidth="1"/>
    <col min="5912" max="5912" width="7.875" style="255" customWidth="1"/>
    <col min="5913" max="5913" width="7.25" style="255" customWidth="1"/>
    <col min="5914" max="5914" width="9.125" style="255" customWidth="1"/>
    <col min="5915" max="5915" width="15.125" style="255" customWidth="1"/>
    <col min="5916" max="5916" width="7.75" style="255" customWidth="1"/>
    <col min="5917" max="5917" width="7.125" style="255" customWidth="1"/>
    <col min="5918" max="5918" width="12.125" style="255" customWidth="1"/>
    <col min="5919" max="5919" width="8.25" style="255" customWidth="1"/>
    <col min="5920" max="5921" width="10.375" style="255" customWidth="1"/>
    <col min="5922" max="5922" width="15.625" style="255" customWidth="1"/>
    <col min="5923" max="5923" width="15.875" style="255" customWidth="1"/>
    <col min="5924" max="5924" width="8.125" style="255" customWidth="1"/>
    <col min="5925" max="5928" width="10.375" style="255" customWidth="1"/>
    <col min="5929" max="5929" width="7.25" style="255" customWidth="1"/>
    <col min="5930" max="5930" width="7.125" style="255" customWidth="1"/>
    <col min="5931" max="5931" width="9.5" style="255" customWidth="1"/>
    <col min="5932" max="5933" width="9" style="255" customWidth="1"/>
    <col min="5934" max="5934" width="16.125" style="255" customWidth="1"/>
    <col min="5935" max="5965" width="9" style="255" customWidth="1"/>
    <col min="5966" max="6125" width="25.25" style="255"/>
    <col min="6126" max="6155" width="9" style="255" customWidth="1"/>
    <col min="6156" max="6156" width="0.5" style="255" customWidth="1"/>
    <col min="6157" max="6157" width="25.25" style="255"/>
    <col min="6158" max="6158" width="0.5" style="255" customWidth="1"/>
    <col min="6159" max="6159" width="25.25" style="255"/>
    <col min="6160" max="6160" width="14.75" style="255" customWidth="1"/>
    <col min="6161" max="6161" width="11.5" style="255" customWidth="1"/>
    <col min="6162" max="6162" width="11.25" style="255" customWidth="1"/>
    <col min="6163" max="6163" width="10.75" style="255" customWidth="1"/>
    <col min="6164" max="6164" width="10" style="255" customWidth="1"/>
    <col min="6165" max="6165" width="9.875" style="255" customWidth="1"/>
    <col min="6166" max="6166" width="26.125" style="255" customWidth="1"/>
    <col min="6167" max="6167" width="11.125" style="255" customWidth="1"/>
    <col min="6168" max="6168" width="7.875" style="255" customWidth="1"/>
    <col min="6169" max="6169" width="7.25" style="255" customWidth="1"/>
    <col min="6170" max="6170" width="9.125" style="255" customWidth="1"/>
    <col min="6171" max="6171" width="15.125" style="255" customWidth="1"/>
    <col min="6172" max="6172" width="7.75" style="255" customWidth="1"/>
    <col min="6173" max="6173" width="7.125" style="255" customWidth="1"/>
    <col min="6174" max="6174" width="12.125" style="255" customWidth="1"/>
    <col min="6175" max="6175" width="8.25" style="255" customWidth="1"/>
    <col min="6176" max="6177" width="10.375" style="255" customWidth="1"/>
    <col min="6178" max="6178" width="15.625" style="255" customWidth="1"/>
    <col min="6179" max="6179" width="15.875" style="255" customWidth="1"/>
    <col min="6180" max="6180" width="8.125" style="255" customWidth="1"/>
    <col min="6181" max="6184" width="10.375" style="255" customWidth="1"/>
    <col min="6185" max="6185" width="7.25" style="255" customWidth="1"/>
    <col min="6186" max="6186" width="7.125" style="255" customWidth="1"/>
    <col min="6187" max="6187" width="9.5" style="255" customWidth="1"/>
    <col min="6188" max="6189" width="9" style="255" customWidth="1"/>
    <col min="6190" max="6190" width="16.125" style="255" customWidth="1"/>
    <col min="6191" max="6221" width="9" style="255" customWidth="1"/>
    <col min="6222" max="6381" width="25.25" style="255"/>
    <col min="6382" max="6411" width="9" style="255" customWidth="1"/>
    <col min="6412" max="6412" width="0.5" style="255" customWidth="1"/>
    <col min="6413" max="6413" width="25.25" style="255"/>
    <col min="6414" max="6414" width="0.5" style="255" customWidth="1"/>
    <col min="6415" max="6415" width="25.25" style="255"/>
    <col min="6416" max="6416" width="14.75" style="255" customWidth="1"/>
    <col min="6417" max="6417" width="11.5" style="255" customWidth="1"/>
    <col min="6418" max="6418" width="11.25" style="255" customWidth="1"/>
    <col min="6419" max="6419" width="10.75" style="255" customWidth="1"/>
    <col min="6420" max="6420" width="10" style="255" customWidth="1"/>
    <col min="6421" max="6421" width="9.875" style="255" customWidth="1"/>
    <col min="6422" max="6422" width="26.125" style="255" customWidth="1"/>
    <col min="6423" max="6423" width="11.125" style="255" customWidth="1"/>
    <col min="6424" max="6424" width="7.875" style="255" customWidth="1"/>
    <col min="6425" max="6425" width="7.25" style="255" customWidth="1"/>
    <col min="6426" max="6426" width="9.125" style="255" customWidth="1"/>
    <col min="6427" max="6427" width="15.125" style="255" customWidth="1"/>
    <col min="6428" max="6428" width="7.75" style="255" customWidth="1"/>
    <col min="6429" max="6429" width="7.125" style="255" customWidth="1"/>
    <col min="6430" max="6430" width="12.125" style="255" customWidth="1"/>
    <col min="6431" max="6431" width="8.25" style="255" customWidth="1"/>
    <col min="6432" max="6433" width="10.375" style="255" customWidth="1"/>
    <col min="6434" max="6434" width="15.625" style="255" customWidth="1"/>
    <col min="6435" max="6435" width="15.875" style="255" customWidth="1"/>
    <col min="6436" max="6436" width="8.125" style="255" customWidth="1"/>
    <col min="6437" max="6440" width="10.375" style="255" customWidth="1"/>
    <col min="6441" max="6441" width="7.25" style="255" customWidth="1"/>
    <col min="6442" max="6442" width="7.125" style="255" customWidth="1"/>
    <col min="6443" max="6443" width="9.5" style="255" customWidth="1"/>
    <col min="6444" max="6445" width="9" style="255" customWidth="1"/>
    <col min="6446" max="6446" width="16.125" style="255" customWidth="1"/>
    <col min="6447" max="6477" width="9" style="255" customWidth="1"/>
    <col min="6478" max="6637" width="25.25" style="255"/>
    <col min="6638" max="6667" width="9" style="255" customWidth="1"/>
    <col min="6668" max="6668" width="0.5" style="255" customWidth="1"/>
    <col min="6669" max="6669" width="25.25" style="255"/>
    <col min="6670" max="6670" width="0.5" style="255" customWidth="1"/>
    <col min="6671" max="6671" width="25.25" style="255"/>
    <col min="6672" max="6672" width="14.75" style="255" customWidth="1"/>
    <col min="6673" max="6673" width="11.5" style="255" customWidth="1"/>
    <col min="6674" max="6674" width="11.25" style="255" customWidth="1"/>
    <col min="6675" max="6675" width="10.75" style="255" customWidth="1"/>
    <col min="6676" max="6676" width="10" style="255" customWidth="1"/>
    <col min="6677" max="6677" width="9.875" style="255" customWidth="1"/>
    <col min="6678" max="6678" width="26.125" style="255" customWidth="1"/>
    <col min="6679" max="6679" width="11.125" style="255" customWidth="1"/>
    <col min="6680" max="6680" width="7.875" style="255" customWidth="1"/>
    <col min="6681" max="6681" width="7.25" style="255" customWidth="1"/>
    <col min="6682" max="6682" width="9.125" style="255" customWidth="1"/>
    <col min="6683" max="6683" width="15.125" style="255" customWidth="1"/>
    <col min="6684" max="6684" width="7.75" style="255" customWidth="1"/>
    <col min="6685" max="6685" width="7.125" style="255" customWidth="1"/>
    <col min="6686" max="6686" width="12.125" style="255" customWidth="1"/>
    <col min="6687" max="6687" width="8.25" style="255" customWidth="1"/>
    <col min="6688" max="6689" width="10.375" style="255" customWidth="1"/>
    <col min="6690" max="6690" width="15.625" style="255" customWidth="1"/>
    <col min="6691" max="6691" width="15.875" style="255" customWidth="1"/>
    <col min="6692" max="6692" width="8.125" style="255" customWidth="1"/>
    <col min="6693" max="6696" width="10.375" style="255" customWidth="1"/>
    <col min="6697" max="6697" width="7.25" style="255" customWidth="1"/>
    <col min="6698" max="6698" width="7.125" style="255" customWidth="1"/>
    <col min="6699" max="6699" width="9.5" style="255" customWidth="1"/>
    <col min="6700" max="6701" width="9" style="255" customWidth="1"/>
    <col min="6702" max="6702" width="16.125" style="255" customWidth="1"/>
    <col min="6703" max="6733" width="9" style="255" customWidth="1"/>
    <col min="6734" max="6893" width="25.25" style="255"/>
    <col min="6894" max="6923" width="9" style="255" customWidth="1"/>
    <col min="6924" max="6924" width="0.5" style="255" customWidth="1"/>
    <col min="6925" max="6925" width="25.25" style="255"/>
    <col min="6926" max="6926" width="0.5" style="255" customWidth="1"/>
    <col min="6927" max="6927" width="25.25" style="255"/>
    <col min="6928" max="6928" width="14.75" style="255" customWidth="1"/>
    <col min="6929" max="6929" width="11.5" style="255" customWidth="1"/>
    <col min="6930" max="6930" width="11.25" style="255" customWidth="1"/>
    <col min="6931" max="6931" width="10.75" style="255" customWidth="1"/>
    <col min="6932" max="6932" width="10" style="255" customWidth="1"/>
    <col min="6933" max="6933" width="9.875" style="255" customWidth="1"/>
    <col min="6934" max="6934" width="26.125" style="255" customWidth="1"/>
    <col min="6935" max="6935" width="11.125" style="255" customWidth="1"/>
    <col min="6936" max="6936" width="7.875" style="255" customWidth="1"/>
    <col min="6937" max="6937" width="7.25" style="255" customWidth="1"/>
    <col min="6938" max="6938" width="9.125" style="255" customWidth="1"/>
    <col min="6939" max="6939" width="15.125" style="255" customWidth="1"/>
    <col min="6940" max="6940" width="7.75" style="255" customWidth="1"/>
    <col min="6941" max="6941" width="7.125" style="255" customWidth="1"/>
    <col min="6942" max="6942" width="12.125" style="255" customWidth="1"/>
    <col min="6943" max="6943" width="8.25" style="255" customWidth="1"/>
    <col min="6944" max="6945" width="10.375" style="255" customWidth="1"/>
    <col min="6946" max="6946" width="15.625" style="255" customWidth="1"/>
    <col min="6947" max="6947" width="15.875" style="255" customWidth="1"/>
    <col min="6948" max="6948" width="8.125" style="255" customWidth="1"/>
    <col min="6949" max="6952" width="10.375" style="255" customWidth="1"/>
    <col min="6953" max="6953" width="7.25" style="255" customWidth="1"/>
    <col min="6954" max="6954" width="7.125" style="255" customWidth="1"/>
    <col min="6955" max="6955" width="9.5" style="255" customWidth="1"/>
    <col min="6956" max="6957" width="9" style="255" customWidth="1"/>
    <col min="6958" max="6958" width="16.125" style="255" customWidth="1"/>
    <col min="6959" max="6989" width="9" style="255" customWidth="1"/>
    <col min="6990" max="7149" width="25.25" style="255"/>
    <col min="7150" max="7179" width="9" style="255" customWidth="1"/>
    <col min="7180" max="7180" width="0.5" style="255" customWidth="1"/>
    <col min="7181" max="7181" width="25.25" style="255"/>
    <col min="7182" max="7182" width="0.5" style="255" customWidth="1"/>
    <col min="7183" max="7183" width="25.25" style="255"/>
    <col min="7184" max="7184" width="14.75" style="255" customWidth="1"/>
    <col min="7185" max="7185" width="11.5" style="255" customWidth="1"/>
    <col min="7186" max="7186" width="11.25" style="255" customWidth="1"/>
    <col min="7187" max="7187" width="10.75" style="255" customWidth="1"/>
    <col min="7188" max="7188" width="10" style="255" customWidth="1"/>
    <col min="7189" max="7189" width="9.875" style="255" customWidth="1"/>
    <col min="7190" max="7190" width="26.125" style="255" customWidth="1"/>
    <col min="7191" max="7191" width="11.125" style="255" customWidth="1"/>
    <col min="7192" max="7192" width="7.875" style="255" customWidth="1"/>
    <col min="7193" max="7193" width="7.25" style="255" customWidth="1"/>
    <col min="7194" max="7194" width="9.125" style="255" customWidth="1"/>
    <col min="7195" max="7195" width="15.125" style="255" customWidth="1"/>
    <col min="7196" max="7196" width="7.75" style="255" customWidth="1"/>
    <col min="7197" max="7197" width="7.125" style="255" customWidth="1"/>
    <col min="7198" max="7198" width="12.125" style="255" customWidth="1"/>
    <col min="7199" max="7199" width="8.25" style="255" customWidth="1"/>
    <col min="7200" max="7201" width="10.375" style="255" customWidth="1"/>
    <col min="7202" max="7202" width="15.625" style="255" customWidth="1"/>
    <col min="7203" max="7203" width="15.875" style="255" customWidth="1"/>
    <col min="7204" max="7204" width="8.125" style="255" customWidth="1"/>
    <col min="7205" max="7208" width="10.375" style="255" customWidth="1"/>
    <col min="7209" max="7209" width="7.25" style="255" customWidth="1"/>
    <col min="7210" max="7210" width="7.125" style="255" customWidth="1"/>
    <col min="7211" max="7211" width="9.5" style="255" customWidth="1"/>
    <col min="7212" max="7213" width="9" style="255" customWidth="1"/>
    <col min="7214" max="7214" width="16.125" style="255" customWidth="1"/>
    <col min="7215" max="7245" width="9" style="255" customWidth="1"/>
    <col min="7246" max="7405" width="25.25" style="255"/>
    <col min="7406" max="7435" width="9" style="255" customWidth="1"/>
    <col min="7436" max="7436" width="0.5" style="255" customWidth="1"/>
    <col min="7437" max="7437" width="25.25" style="255"/>
    <col min="7438" max="7438" width="0.5" style="255" customWidth="1"/>
    <col min="7439" max="7439" width="25.25" style="255"/>
    <col min="7440" max="7440" width="14.75" style="255" customWidth="1"/>
    <col min="7441" max="7441" width="11.5" style="255" customWidth="1"/>
    <col min="7442" max="7442" width="11.25" style="255" customWidth="1"/>
    <col min="7443" max="7443" width="10.75" style="255" customWidth="1"/>
    <col min="7444" max="7444" width="10" style="255" customWidth="1"/>
    <col min="7445" max="7445" width="9.875" style="255" customWidth="1"/>
    <col min="7446" max="7446" width="26.125" style="255" customWidth="1"/>
    <col min="7447" max="7447" width="11.125" style="255" customWidth="1"/>
    <col min="7448" max="7448" width="7.875" style="255" customWidth="1"/>
    <col min="7449" max="7449" width="7.25" style="255" customWidth="1"/>
    <col min="7450" max="7450" width="9.125" style="255" customWidth="1"/>
    <col min="7451" max="7451" width="15.125" style="255" customWidth="1"/>
    <col min="7452" max="7452" width="7.75" style="255" customWidth="1"/>
    <col min="7453" max="7453" width="7.125" style="255" customWidth="1"/>
    <col min="7454" max="7454" width="12.125" style="255" customWidth="1"/>
    <col min="7455" max="7455" width="8.25" style="255" customWidth="1"/>
    <col min="7456" max="7457" width="10.375" style="255" customWidth="1"/>
    <col min="7458" max="7458" width="15.625" style="255" customWidth="1"/>
    <col min="7459" max="7459" width="15.875" style="255" customWidth="1"/>
    <col min="7460" max="7460" width="8.125" style="255" customWidth="1"/>
    <col min="7461" max="7464" width="10.375" style="255" customWidth="1"/>
    <col min="7465" max="7465" width="7.25" style="255" customWidth="1"/>
    <col min="7466" max="7466" width="7.125" style="255" customWidth="1"/>
    <col min="7467" max="7467" width="9.5" style="255" customWidth="1"/>
    <col min="7468" max="7469" width="9" style="255" customWidth="1"/>
    <col min="7470" max="7470" width="16.125" style="255" customWidth="1"/>
    <col min="7471" max="7501" width="9" style="255" customWidth="1"/>
    <col min="7502" max="7661" width="25.25" style="255"/>
    <col min="7662" max="7691" width="9" style="255" customWidth="1"/>
    <col min="7692" max="7692" width="0.5" style="255" customWidth="1"/>
    <col min="7693" max="7693" width="25.25" style="255"/>
    <col min="7694" max="7694" width="0.5" style="255" customWidth="1"/>
    <col min="7695" max="7695" width="25.25" style="255"/>
    <col min="7696" max="7696" width="14.75" style="255" customWidth="1"/>
    <col min="7697" max="7697" width="11.5" style="255" customWidth="1"/>
    <col min="7698" max="7698" width="11.25" style="255" customWidth="1"/>
    <col min="7699" max="7699" width="10.75" style="255" customWidth="1"/>
    <col min="7700" max="7700" width="10" style="255" customWidth="1"/>
    <col min="7701" max="7701" width="9.875" style="255" customWidth="1"/>
    <col min="7702" max="7702" width="26.125" style="255" customWidth="1"/>
    <col min="7703" max="7703" width="11.125" style="255" customWidth="1"/>
    <col min="7704" max="7704" width="7.875" style="255" customWidth="1"/>
    <col min="7705" max="7705" width="7.25" style="255" customWidth="1"/>
    <col min="7706" max="7706" width="9.125" style="255" customWidth="1"/>
    <col min="7707" max="7707" width="15.125" style="255" customWidth="1"/>
    <col min="7708" max="7708" width="7.75" style="255" customWidth="1"/>
    <col min="7709" max="7709" width="7.125" style="255" customWidth="1"/>
    <col min="7710" max="7710" width="12.125" style="255" customWidth="1"/>
    <col min="7711" max="7711" width="8.25" style="255" customWidth="1"/>
    <col min="7712" max="7713" width="10.375" style="255" customWidth="1"/>
    <col min="7714" max="7714" width="15.625" style="255" customWidth="1"/>
    <col min="7715" max="7715" width="15.875" style="255" customWidth="1"/>
    <col min="7716" max="7716" width="8.125" style="255" customWidth="1"/>
    <col min="7717" max="7720" width="10.375" style="255" customWidth="1"/>
    <col min="7721" max="7721" width="7.25" style="255" customWidth="1"/>
    <col min="7722" max="7722" width="7.125" style="255" customWidth="1"/>
    <col min="7723" max="7723" width="9.5" style="255" customWidth="1"/>
    <col min="7724" max="7725" width="9" style="255" customWidth="1"/>
    <col min="7726" max="7726" width="16.125" style="255" customWidth="1"/>
    <col min="7727" max="7757" width="9" style="255" customWidth="1"/>
    <col min="7758" max="7917" width="25.25" style="255"/>
    <col min="7918" max="7947" width="9" style="255" customWidth="1"/>
    <col min="7948" max="7948" width="0.5" style="255" customWidth="1"/>
    <col min="7949" max="7949" width="25.25" style="255"/>
    <col min="7950" max="7950" width="0.5" style="255" customWidth="1"/>
    <col min="7951" max="7951" width="25.25" style="255"/>
    <col min="7952" max="7952" width="14.75" style="255" customWidth="1"/>
    <col min="7953" max="7953" width="11.5" style="255" customWidth="1"/>
    <col min="7954" max="7954" width="11.25" style="255" customWidth="1"/>
    <col min="7955" max="7955" width="10.75" style="255" customWidth="1"/>
    <col min="7956" max="7956" width="10" style="255" customWidth="1"/>
    <col min="7957" max="7957" width="9.875" style="255" customWidth="1"/>
    <col min="7958" max="7958" width="26.125" style="255" customWidth="1"/>
    <col min="7959" max="7959" width="11.125" style="255" customWidth="1"/>
    <col min="7960" max="7960" width="7.875" style="255" customWidth="1"/>
    <col min="7961" max="7961" width="7.25" style="255" customWidth="1"/>
    <col min="7962" max="7962" width="9.125" style="255" customWidth="1"/>
    <col min="7963" max="7963" width="15.125" style="255" customWidth="1"/>
    <col min="7964" max="7964" width="7.75" style="255" customWidth="1"/>
    <col min="7965" max="7965" width="7.125" style="255" customWidth="1"/>
    <col min="7966" max="7966" width="12.125" style="255" customWidth="1"/>
    <col min="7967" max="7967" width="8.25" style="255" customWidth="1"/>
    <col min="7968" max="7969" width="10.375" style="255" customWidth="1"/>
    <col min="7970" max="7970" width="15.625" style="255" customWidth="1"/>
    <col min="7971" max="7971" width="15.875" style="255" customWidth="1"/>
    <col min="7972" max="7972" width="8.125" style="255" customWidth="1"/>
    <col min="7973" max="7976" width="10.375" style="255" customWidth="1"/>
    <col min="7977" max="7977" width="7.25" style="255" customWidth="1"/>
    <col min="7978" max="7978" width="7.125" style="255" customWidth="1"/>
    <col min="7979" max="7979" width="9.5" style="255" customWidth="1"/>
    <col min="7980" max="7981" width="9" style="255" customWidth="1"/>
    <col min="7982" max="7982" width="16.125" style="255" customWidth="1"/>
    <col min="7983" max="8013" width="9" style="255" customWidth="1"/>
    <col min="8014" max="8173" width="25.25" style="255"/>
    <col min="8174" max="8203" width="9" style="255" customWidth="1"/>
    <col min="8204" max="8204" width="0.5" style="255" customWidth="1"/>
    <col min="8205" max="8205" width="25.25" style="255"/>
    <col min="8206" max="8206" width="0.5" style="255" customWidth="1"/>
    <col min="8207" max="8207" width="25.25" style="255"/>
    <col min="8208" max="8208" width="14.75" style="255" customWidth="1"/>
    <col min="8209" max="8209" width="11.5" style="255" customWidth="1"/>
    <col min="8210" max="8210" width="11.25" style="255" customWidth="1"/>
    <col min="8211" max="8211" width="10.75" style="255" customWidth="1"/>
    <col min="8212" max="8212" width="10" style="255" customWidth="1"/>
    <col min="8213" max="8213" width="9.875" style="255" customWidth="1"/>
    <col min="8214" max="8214" width="26.125" style="255" customWidth="1"/>
    <col min="8215" max="8215" width="11.125" style="255" customWidth="1"/>
    <col min="8216" max="8216" width="7.875" style="255" customWidth="1"/>
    <col min="8217" max="8217" width="7.25" style="255" customWidth="1"/>
    <col min="8218" max="8218" width="9.125" style="255" customWidth="1"/>
    <col min="8219" max="8219" width="15.125" style="255" customWidth="1"/>
    <col min="8220" max="8220" width="7.75" style="255" customWidth="1"/>
    <col min="8221" max="8221" width="7.125" style="255" customWidth="1"/>
    <col min="8222" max="8222" width="12.125" style="255" customWidth="1"/>
    <col min="8223" max="8223" width="8.25" style="255" customWidth="1"/>
    <col min="8224" max="8225" width="10.375" style="255" customWidth="1"/>
    <col min="8226" max="8226" width="15.625" style="255" customWidth="1"/>
    <col min="8227" max="8227" width="15.875" style="255" customWidth="1"/>
    <col min="8228" max="8228" width="8.125" style="255" customWidth="1"/>
    <col min="8229" max="8232" width="10.375" style="255" customWidth="1"/>
    <col min="8233" max="8233" width="7.25" style="255" customWidth="1"/>
    <col min="8234" max="8234" width="7.125" style="255" customWidth="1"/>
    <col min="8235" max="8235" width="9.5" style="255" customWidth="1"/>
    <col min="8236" max="8237" width="9" style="255" customWidth="1"/>
    <col min="8238" max="8238" width="16.125" style="255" customWidth="1"/>
    <col min="8239" max="8269" width="9" style="255" customWidth="1"/>
    <col min="8270" max="8429" width="25.25" style="255"/>
    <col min="8430" max="8459" width="9" style="255" customWidth="1"/>
    <col min="8460" max="8460" width="0.5" style="255" customWidth="1"/>
    <col min="8461" max="8461" width="25.25" style="255"/>
    <col min="8462" max="8462" width="0.5" style="255" customWidth="1"/>
    <col min="8463" max="8463" width="25.25" style="255"/>
    <col min="8464" max="8464" width="14.75" style="255" customWidth="1"/>
    <col min="8465" max="8465" width="11.5" style="255" customWidth="1"/>
    <col min="8466" max="8466" width="11.25" style="255" customWidth="1"/>
    <col min="8467" max="8467" width="10.75" style="255" customWidth="1"/>
    <col min="8468" max="8468" width="10" style="255" customWidth="1"/>
    <col min="8469" max="8469" width="9.875" style="255" customWidth="1"/>
    <col min="8470" max="8470" width="26.125" style="255" customWidth="1"/>
    <col min="8471" max="8471" width="11.125" style="255" customWidth="1"/>
    <col min="8472" max="8472" width="7.875" style="255" customWidth="1"/>
    <col min="8473" max="8473" width="7.25" style="255" customWidth="1"/>
    <col min="8474" max="8474" width="9.125" style="255" customWidth="1"/>
    <col min="8475" max="8475" width="15.125" style="255" customWidth="1"/>
    <col min="8476" max="8476" width="7.75" style="255" customWidth="1"/>
    <col min="8477" max="8477" width="7.125" style="255" customWidth="1"/>
    <col min="8478" max="8478" width="12.125" style="255" customWidth="1"/>
    <col min="8479" max="8479" width="8.25" style="255" customWidth="1"/>
    <col min="8480" max="8481" width="10.375" style="255" customWidth="1"/>
    <col min="8482" max="8482" width="15.625" style="255" customWidth="1"/>
    <col min="8483" max="8483" width="15.875" style="255" customWidth="1"/>
    <col min="8484" max="8484" width="8.125" style="255" customWidth="1"/>
    <col min="8485" max="8488" width="10.375" style="255" customWidth="1"/>
    <col min="8489" max="8489" width="7.25" style="255" customWidth="1"/>
    <col min="8490" max="8490" width="7.125" style="255" customWidth="1"/>
    <col min="8491" max="8491" width="9.5" style="255" customWidth="1"/>
    <col min="8492" max="8493" width="9" style="255" customWidth="1"/>
    <col min="8494" max="8494" width="16.125" style="255" customWidth="1"/>
    <col min="8495" max="8525" width="9" style="255" customWidth="1"/>
    <col min="8526" max="8685" width="25.25" style="255"/>
    <col min="8686" max="8715" width="9" style="255" customWidth="1"/>
    <col min="8716" max="8716" width="0.5" style="255" customWidth="1"/>
    <col min="8717" max="8717" width="25.25" style="255"/>
    <col min="8718" max="8718" width="0.5" style="255" customWidth="1"/>
    <col min="8719" max="8719" width="25.25" style="255"/>
    <col min="8720" max="8720" width="14.75" style="255" customWidth="1"/>
    <col min="8721" max="8721" width="11.5" style="255" customWidth="1"/>
    <col min="8722" max="8722" width="11.25" style="255" customWidth="1"/>
    <col min="8723" max="8723" width="10.75" style="255" customWidth="1"/>
    <col min="8724" max="8724" width="10" style="255" customWidth="1"/>
    <col min="8725" max="8725" width="9.875" style="255" customWidth="1"/>
    <col min="8726" max="8726" width="26.125" style="255" customWidth="1"/>
    <col min="8727" max="8727" width="11.125" style="255" customWidth="1"/>
    <col min="8728" max="8728" width="7.875" style="255" customWidth="1"/>
    <col min="8729" max="8729" width="7.25" style="255" customWidth="1"/>
    <col min="8730" max="8730" width="9.125" style="255" customWidth="1"/>
    <col min="8731" max="8731" width="15.125" style="255" customWidth="1"/>
    <col min="8732" max="8732" width="7.75" style="255" customWidth="1"/>
    <col min="8733" max="8733" width="7.125" style="255" customWidth="1"/>
    <col min="8734" max="8734" width="12.125" style="255" customWidth="1"/>
    <col min="8735" max="8735" width="8.25" style="255" customWidth="1"/>
    <col min="8736" max="8737" width="10.375" style="255" customWidth="1"/>
    <col min="8738" max="8738" width="15.625" style="255" customWidth="1"/>
    <col min="8739" max="8739" width="15.875" style="255" customWidth="1"/>
    <col min="8740" max="8740" width="8.125" style="255" customWidth="1"/>
    <col min="8741" max="8744" width="10.375" style="255" customWidth="1"/>
    <col min="8745" max="8745" width="7.25" style="255" customWidth="1"/>
    <col min="8746" max="8746" width="7.125" style="255" customWidth="1"/>
    <col min="8747" max="8747" width="9.5" style="255" customWidth="1"/>
    <col min="8748" max="8749" width="9" style="255" customWidth="1"/>
    <col min="8750" max="8750" width="16.125" style="255" customWidth="1"/>
    <col min="8751" max="8781" width="9" style="255" customWidth="1"/>
    <col min="8782" max="8941" width="25.25" style="255"/>
    <col min="8942" max="8971" width="9" style="255" customWidth="1"/>
    <col min="8972" max="8972" width="0.5" style="255" customWidth="1"/>
    <col min="8973" max="8973" width="25.25" style="255"/>
    <col min="8974" max="8974" width="0.5" style="255" customWidth="1"/>
    <col min="8975" max="8975" width="25.25" style="255"/>
    <col min="8976" max="8976" width="14.75" style="255" customWidth="1"/>
    <col min="8977" max="8977" width="11.5" style="255" customWidth="1"/>
    <col min="8978" max="8978" width="11.25" style="255" customWidth="1"/>
    <col min="8979" max="8979" width="10.75" style="255" customWidth="1"/>
    <col min="8980" max="8980" width="10" style="255" customWidth="1"/>
    <col min="8981" max="8981" width="9.875" style="255" customWidth="1"/>
    <col min="8982" max="8982" width="26.125" style="255" customWidth="1"/>
    <col min="8983" max="8983" width="11.125" style="255" customWidth="1"/>
    <col min="8984" max="8984" width="7.875" style="255" customWidth="1"/>
    <col min="8985" max="8985" width="7.25" style="255" customWidth="1"/>
    <col min="8986" max="8986" width="9.125" style="255" customWidth="1"/>
    <col min="8987" max="8987" width="15.125" style="255" customWidth="1"/>
    <col min="8988" max="8988" width="7.75" style="255" customWidth="1"/>
    <col min="8989" max="8989" width="7.125" style="255" customWidth="1"/>
    <col min="8990" max="8990" width="12.125" style="255" customWidth="1"/>
    <col min="8991" max="8991" width="8.25" style="255" customWidth="1"/>
    <col min="8992" max="8993" width="10.375" style="255" customWidth="1"/>
    <col min="8994" max="8994" width="15.625" style="255" customWidth="1"/>
    <col min="8995" max="8995" width="15.875" style="255" customWidth="1"/>
    <col min="8996" max="8996" width="8.125" style="255" customWidth="1"/>
    <col min="8997" max="9000" width="10.375" style="255" customWidth="1"/>
    <col min="9001" max="9001" width="7.25" style="255" customWidth="1"/>
    <col min="9002" max="9002" width="7.125" style="255" customWidth="1"/>
    <col min="9003" max="9003" width="9.5" style="255" customWidth="1"/>
    <col min="9004" max="9005" width="9" style="255" customWidth="1"/>
    <col min="9006" max="9006" width="16.125" style="255" customWidth="1"/>
    <col min="9007" max="9037" width="9" style="255" customWidth="1"/>
    <col min="9038" max="9197" width="25.25" style="255"/>
    <col min="9198" max="9227" width="9" style="255" customWidth="1"/>
    <col min="9228" max="9228" width="0.5" style="255" customWidth="1"/>
    <col min="9229" max="9229" width="25.25" style="255"/>
    <col min="9230" max="9230" width="0.5" style="255" customWidth="1"/>
    <col min="9231" max="9231" width="25.25" style="255"/>
    <col min="9232" max="9232" width="14.75" style="255" customWidth="1"/>
    <col min="9233" max="9233" width="11.5" style="255" customWidth="1"/>
    <col min="9234" max="9234" width="11.25" style="255" customWidth="1"/>
    <col min="9235" max="9235" width="10.75" style="255" customWidth="1"/>
    <col min="9236" max="9236" width="10" style="255" customWidth="1"/>
    <col min="9237" max="9237" width="9.875" style="255" customWidth="1"/>
    <col min="9238" max="9238" width="26.125" style="255" customWidth="1"/>
    <col min="9239" max="9239" width="11.125" style="255" customWidth="1"/>
    <col min="9240" max="9240" width="7.875" style="255" customWidth="1"/>
    <col min="9241" max="9241" width="7.25" style="255" customWidth="1"/>
    <col min="9242" max="9242" width="9.125" style="255" customWidth="1"/>
    <col min="9243" max="9243" width="15.125" style="255" customWidth="1"/>
    <col min="9244" max="9244" width="7.75" style="255" customWidth="1"/>
    <col min="9245" max="9245" width="7.125" style="255" customWidth="1"/>
    <col min="9246" max="9246" width="12.125" style="255" customWidth="1"/>
    <col min="9247" max="9247" width="8.25" style="255" customWidth="1"/>
    <col min="9248" max="9249" width="10.375" style="255" customWidth="1"/>
    <col min="9250" max="9250" width="15.625" style="255" customWidth="1"/>
    <col min="9251" max="9251" width="15.875" style="255" customWidth="1"/>
    <col min="9252" max="9252" width="8.125" style="255" customWidth="1"/>
    <col min="9253" max="9256" width="10.375" style="255" customWidth="1"/>
    <col min="9257" max="9257" width="7.25" style="255" customWidth="1"/>
    <col min="9258" max="9258" width="7.125" style="255" customWidth="1"/>
    <col min="9259" max="9259" width="9.5" style="255" customWidth="1"/>
    <col min="9260" max="9261" width="9" style="255" customWidth="1"/>
    <col min="9262" max="9262" width="16.125" style="255" customWidth="1"/>
    <col min="9263" max="9293" width="9" style="255" customWidth="1"/>
    <col min="9294" max="9453" width="25.25" style="255"/>
    <col min="9454" max="9483" width="9" style="255" customWidth="1"/>
    <col min="9484" max="9484" width="0.5" style="255" customWidth="1"/>
    <col min="9485" max="9485" width="25.25" style="255"/>
    <col min="9486" max="9486" width="0.5" style="255" customWidth="1"/>
    <col min="9487" max="9487" width="25.25" style="255"/>
    <col min="9488" max="9488" width="14.75" style="255" customWidth="1"/>
    <col min="9489" max="9489" width="11.5" style="255" customWidth="1"/>
    <col min="9490" max="9490" width="11.25" style="255" customWidth="1"/>
    <col min="9491" max="9491" width="10.75" style="255" customWidth="1"/>
    <col min="9492" max="9492" width="10" style="255" customWidth="1"/>
    <col min="9493" max="9493" width="9.875" style="255" customWidth="1"/>
    <col min="9494" max="9494" width="26.125" style="255" customWidth="1"/>
    <col min="9495" max="9495" width="11.125" style="255" customWidth="1"/>
    <col min="9496" max="9496" width="7.875" style="255" customWidth="1"/>
    <col min="9497" max="9497" width="7.25" style="255" customWidth="1"/>
    <col min="9498" max="9498" width="9.125" style="255" customWidth="1"/>
    <col min="9499" max="9499" width="15.125" style="255" customWidth="1"/>
    <col min="9500" max="9500" width="7.75" style="255" customWidth="1"/>
    <col min="9501" max="9501" width="7.125" style="255" customWidth="1"/>
    <col min="9502" max="9502" width="12.125" style="255" customWidth="1"/>
    <col min="9503" max="9503" width="8.25" style="255" customWidth="1"/>
    <col min="9504" max="9505" width="10.375" style="255" customWidth="1"/>
    <col min="9506" max="9506" width="15.625" style="255" customWidth="1"/>
    <col min="9507" max="9507" width="15.875" style="255" customWidth="1"/>
    <col min="9508" max="9508" width="8.125" style="255" customWidth="1"/>
    <col min="9509" max="9512" width="10.375" style="255" customWidth="1"/>
    <col min="9513" max="9513" width="7.25" style="255" customWidth="1"/>
    <col min="9514" max="9514" width="7.125" style="255" customWidth="1"/>
    <col min="9515" max="9515" width="9.5" style="255" customWidth="1"/>
    <col min="9516" max="9517" width="9" style="255" customWidth="1"/>
    <col min="9518" max="9518" width="16.125" style="255" customWidth="1"/>
    <col min="9519" max="9549" width="9" style="255" customWidth="1"/>
    <col min="9550" max="9709" width="25.25" style="255"/>
    <col min="9710" max="9739" width="9" style="255" customWidth="1"/>
    <col min="9740" max="9740" width="0.5" style="255" customWidth="1"/>
    <col min="9741" max="9741" width="25.25" style="255"/>
    <col min="9742" max="9742" width="0.5" style="255" customWidth="1"/>
    <col min="9743" max="9743" width="25.25" style="255"/>
    <col min="9744" max="9744" width="14.75" style="255" customWidth="1"/>
    <col min="9745" max="9745" width="11.5" style="255" customWidth="1"/>
    <col min="9746" max="9746" width="11.25" style="255" customWidth="1"/>
    <col min="9747" max="9747" width="10.75" style="255" customWidth="1"/>
    <col min="9748" max="9748" width="10" style="255" customWidth="1"/>
    <col min="9749" max="9749" width="9.875" style="255" customWidth="1"/>
    <col min="9750" max="9750" width="26.125" style="255" customWidth="1"/>
    <col min="9751" max="9751" width="11.125" style="255" customWidth="1"/>
    <col min="9752" max="9752" width="7.875" style="255" customWidth="1"/>
    <col min="9753" max="9753" width="7.25" style="255" customWidth="1"/>
    <col min="9754" max="9754" width="9.125" style="255" customWidth="1"/>
    <col min="9755" max="9755" width="15.125" style="255" customWidth="1"/>
    <col min="9756" max="9756" width="7.75" style="255" customWidth="1"/>
    <col min="9757" max="9757" width="7.125" style="255" customWidth="1"/>
    <col min="9758" max="9758" width="12.125" style="255" customWidth="1"/>
    <col min="9759" max="9759" width="8.25" style="255" customWidth="1"/>
    <col min="9760" max="9761" width="10.375" style="255" customWidth="1"/>
    <col min="9762" max="9762" width="15.625" style="255" customWidth="1"/>
    <col min="9763" max="9763" width="15.875" style="255" customWidth="1"/>
    <col min="9764" max="9764" width="8.125" style="255" customWidth="1"/>
    <col min="9765" max="9768" width="10.375" style="255" customWidth="1"/>
    <col min="9769" max="9769" width="7.25" style="255" customWidth="1"/>
    <col min="9770" max="9770" width="7.125" style="255" customWidth="1"/>
    <col min="9771" max="9771" width="9.5" style="255" customWidth="1"/>
    <col min="9772" max="9773" width="9" style="255" customWidth="1"/>
    <col min="9774" max="9774" width="16.125" style="255" customWidth="1"/>
    <col min="9775" max="9805" width="9" style="255" customWidth="1"/>
    <col min="9806" max="9965" width="25.25" style="255"/>
    <col min="9966" max="9995" width="9" style="255" customWidth="1"/>
    <col min="9996" max="9996" width="0.5" style="255" customWidth="1"/>
    <col min="9997" max="9997" width="25.25" style="255"/>
    <col min="9998" max="9998" width="0.5" style="255" customWidth="1"/>
    <col min="9999" max="9999" width="25.25" style="255"/>
    <col min="10000" max="10000" width="14.75" style="255" customWidth="1"/>
    <col min="10001" max="10001" width="11.5" style="255" customWidth="1"/>
    <col min="10002" max="10002" width="11.25" style="255" customWidth="1"/>
    <col min="10003" max="10003" width="10.75" style="255" customWidth="1"/>
    <col min="10004" max="10004" width="10" style="255" customWidth="1"/>
    <col min="10005" max="10005" width="9.875" style="255" customWidth="1"/>
    <col min="10006" max="10006" width="26.125" style="255" customWidth="1"/>
    <col min="10007" max="10007" width="11.125" style="255" customWidth="1"/>
    <col min="10008" max="10008" width="7.875" style="255" customWidth="1"/>
    <col min="10009" max="10009" width="7.25" style="255" customWidth="1"/>
    <col min="10010" max="10010" width="9.125" style="255" customWidth="1"/>
    <col min="10011" max="10011" width="15.125" style="255" customWidth="1"/>
    <col min="10012" max="10012" width="7.75" style="255" customWidth="1"/>
    <col min="10013" max="10013" width="7.125" style="255" customWidth="1"/>
    <col min="10014" max="10014" width="12.125" style="255" customWidth="1"/>
    <col min="10015" max="10015" width="8.25" style="255" customWidth="1"/>
    <col min="10016" max="10017" width="10.375" style="255" customWidth="1"/>
    <col min="10018" max="10018" width="15.625" style="255" customWidth="1"/>
    <col min="10019" max="10019" width="15.875" style="255" customWidth="1"/>
    <col min="10020" max="10020" width="8.125" style="255" customWidth="1"/>
    <col min="10021" max="10024" width="10.375" style="255" customWidth="1"/>
    <col min="10025" max="10025" width="7.25" style="255" customWidth="1"/>
    <col min="10026" max="10026" width="7.125" style="255" customWidth="1"/>
    <col min="10027" max="10027" width="9.5" style="255" customWidth="1"/>
    <col min="10028" max="10029" width="9" style="255" customWidth="1"/>
    <col min="10030" max="10030" width="16.125" style="255" customWidth="1"/>
    <col min="10031" max="10061" width="9" style="255" customWidth="1"/>
    <col min="10062" max="10221" width="25.25" style="255"/>
    <col min="10222" max="10251" width="9" style="255" customWidth="1"/>
    <col min="10252" max="10252" width="0.5" style="255" customWidth="1"/>
    <col min="10253" max="10253" width="25.25" style="255"/>
    <col min="10254" max="10254" width="0.5" style="255" customWidth="1"/>
    <col min="10255" max="10255" width="25.25" style="255"/>
    <col min="10256" max="10256" width="14.75" style="255" customWidth="1"/>
    <col min="10257" max="10257" width="11.5" style="255" customWidth="1"/>
    <col min="10258" max="10258" width="11.25" style="255" customWidth="1"/>
    <col min="10259" max="10259" width="10.75" style="255" customWidth="1"/>
    <col min="10260" max="10260" width="10" style="255" customWidth="1"/>
    <col min="10261" max="10261" width="9.875" style="255" customWidth="1"/>
    <col min="10262" max="10262" width="26.125" style="255" customWidth="1"/>
    <col min="10263" max="10263" width="11.125" style="255" customWidth="1"/>
    <col min="10264" max="10264" width="7.875" style="255" customWidth="1"/>
    <col min="10265" max="10265" width="7.25" style="255" customWidth="1"/>
    <col min="10266" max="10266" width="9.125" style="255" customWidth="1"/>
    <col min="10267" max="10267" width="15.125" style="255" customWidth="1"/>
    <col min="10268" max="10268" width="7.75" style="255" customWidth="1"/>
    <col min="10269" max="10269" width="7.125" style="255" customWidth="1"/>
    <col min="10270" max="10270" width="12.125" style="255" customWidth="1"/>
    <col min="10271" max="10271" width="8.25" style="255" customWidth="1"/>
    <col min="10272" max="10273" width="10.375" style="255" customWidth="1"/>
    <col min="10274" max="10274" width="15.625" style="255" customWidth="1"/>
    <col min="10275" max="10275" width="15.875" style="255" customWidth="1"/>
    <col min="10276" max="10276" width="8.125" style="255" customWidth="1"/>
    <col min="10277" max="10280" width="10.375" style="255" customWidth="1"/>
    <col min="10281" max="10281" width="7.25" style="255" customWidth="1"/>
    <col min="10282" max="10282" width="7.125" style="255" customWidth="1"/>
    <col min="10283" max="10283" width="9.5" style="255" customWidth="1"/>
    <col min="10284" max="10285" width="9" style="255" customWidth="1"/>
    <col min="10286" max="10286" width="16.125" style="255" customWidth="1"/>
    <col min="10287" max="10317" width="9" style="255" customWidth="1"/>
    <col min="10318" max="10477" width="25.25" style="255"/>
    <col min="10478" max="10507" width="9" style="255" customWidth="1"/>
    <col min="10508" max="10508" width="0.5" style="255" customWidth="1"/>
    <col min="10509" max="10509" width="25.25" style="255"/>
    <col min="10510" max="10510" width="0.5" style="255" customWidth="1"/>
    <col min="10511" max="10511" width="25.25" style="255"/>
    <col min="10512" max="10512" width="14.75" style="255" customWidth="1"/>
    <col min="10513" max="10513" width="11.5" style="255" customWidth="1"/>
    <col min="10514" max="10514" width="11.25" style="255" customWidth="1"/>
    <col min="10515" max="10515" width="10.75" style="255" customWidth="1"/>
    <col min="10516" max="10516" width="10" style="255" customWidth="1"/>
    <col min="10517" max="10517" width="9.875" style="255" customWidth="1"/>
    <col min="10518" max="10518" width="26.125" style="255" customWidth="1"/>
    <col min="10519" max="10519" width="11.125" style="255" customWidth="1"/>
    <col min="10520" max="10520" width="7.875" style="255" customWidth="1"/>
    <col min="10521" max="10521" width="7.25" style="255" customWidth="1"/>
    <col min="10522" max="10522" width="9.125" style="255" customWidth="1"/>
    <col min="10523" max="10523" width="15.125" style="255" customWidth="1"/>
    <col min="10524" max="10524" width="7.75" style="255" customWidth="1"/>
    <col min="10525" max="10525" width="7.125" style="255" customWidth="1"/>
    <col min="10526" max="10526" width="12.125" style="255" customWidth="1"/>
    <col min="10527" max="10527" width="8.25" style="255" customWidth="1"/>
    <col min="10528" max="10529" width="10.375" style="255" customWidth="1"/>
    <col min="10530" max="10530" width="15.625" style="255" customWidth="1"/>
    <col min="10531" max="10531" width="15.875" style="255" customWidth="1"/>
    <col min="10532" max="10532" width="8.125" style="255" customWidth="1"/>
    <col min="10533" max="10536" width="10.375" style="255" customWidth="1"/>
    <col min="10537" max="10537" width="7.25" style="255" customWidth="1"/>
    <col min="10538" max="10538" width="7.125" style="255" customWidth="1"/>
    <col min="10539" max="10539" width="9.5" style="255" customWidth="1"/>
    <col min="10540" max="10541" width="9" style="255" customWidth="1"/>
    <col min="10542" max="10542" width="16.125" style="255" customWidth="1"/>
    <col min="10543" max="10573" width="9" style="255" customWidth="1"/>
    <col min="10574" max="10733" width="25.25" style="255"/>
    <col min="10734" max="10763" width="9" style="255" customWidth="1"/>
    <col min="10764" max="10764" width="0.5" style="255" customWidth="1"/>
    <col min="10765" max="10765" width="25.25" style="255"/>
    <col min="10766" max="10766" width="0.5" style="255" customWidth="1"/>
    <col min="10767" max="10767" width="25.25" style="255"/>
    <col min="10768" max="10768" width="14.75" style="255" customWidth="1"/>
    <col min="10769" max="10769" width="11.5" style="255" customWidth="1"/>
    <col min="10770" max="10770" width="11.25" style="255" customWidth="1"/>
    <col min="10771" max="10771" width="10.75" style="255" customWidth="1"/>
    <col min="10772" max="10772" width="10" style="255" customWidth="1"/>
    <col min="10773" max="10773" width="9.875" style="255" customWidth="1"/>
    <col min="10774" max="10774" width="26.125" style="255" customWidth="1"/>
    <col min="10775" max="10775" width="11.125" style="255" customWidth="1"/>
    <col min="10776" max="10776" width="7.875" style="255" customWidth="1"/>
    <col min="10777" max="10777" width="7.25" style="255" customWidth="1"/>
    <col min="10778" max="10778" width="9.125" style="255" customWidth="1"/>
    <col min="10779" max="10779" width="15.125" style="255" customWidth="1"/>
    <col min="10780" max="10780" width="7.75" style="255" customWidth="1"/>
    <col min="10781" max="10781" width="7.125" style="255" customWidth="1"/>
    <col min="10782" max="10782" width="12.125" style="255" customWidth="1"/>
    <col min="10783" max="10783" width="8.25" style="255" customWidth="1"/>
    <col min="10784" max="10785" width="10.375" style="255" customWidth="1"/>
    <col min="10786" max="10786" width="15.625" style="255" customWidth="1"/>
    <col min="10787" max="10787" width="15.875" style="255" customWidth="1"/>
    <col min="10788" max="10788" width="8.125" style="255" customWidth="1"/>
    <col min="10789" max="10792" width="10.375" style="255" customWidth="1"/>
    <col min="10793" max="10793" width="7.25" style="255" customWidth="1"/>
    <col min="10794" max="10794" width="7.125" style="255" customWidth="1"/>
    <col min="10795" max="10795" width="9.5" style="255" customWidth="1"/>
    <col min="10796" max="10797" width="9" style="255" customWidth="1"/>
    <col min="10798" max="10798" width="16.125" style="255" customWidth="1"/>
    <col min="10799" max="10829" width="9" style="255" customWidth="1"/>
    <col min="10830" max="10989" width="25.25" style="255"/>
    <col min="10990" max="11019" width="9" style="255" customWidth="1"/>
    <col min="11020" max="11020" width="0.5" style="255" customWidth="1"/>
    <col min="11021" max="11021" width="25.25" style="255"/>
    <col min="11022" max="11022" width="0.5" style="255" customWidth="1"/>
    <col min="11023" max="11023" width="25.25" style="255"/>
    <col min="11024" max="11024" width="14.75" style="255" customWidth="1"/>
    <col min="11025" max="11025" width="11.5" style="255" customWidth="1"/>
    <col min="11026" max="11026" width="11.25" style="255" customWidth="1"/>
    <col min="11027" max="11027" width="10.75" style="255" customWidth="1"/>
    <col min="11028" max="11028" width="10" style="255" customWidth="1"/>
    <col min="11029" max="11029" width="9.875" style="255" customWidth="1"/>
    <col min="11030" max="11030" width="26.125" style="255" customWidth="1"/>
    <col min="11031" max="11031" width="11.125" style="255" customWidth="1"/>
    <col min="11032" max="11032" width="7.875" style="255" customWidth="1"/>
    <col min="11033" max="11033" width="7.25" style="255" customWidth="1"/>
    <col min="11034" max="11034" width="9.125" style="255" customWidth="1"/>
    <col min="11035" max="11035" width="15.125" style="255" customWidth="1"/>
    <col min="11036" max="11036" width="7.75" style="255" customWidth="1"/>
    <col min="11037" max="11037" width="7.125" style="255" customWidth="1"/>
    <col min="11038" max="11038" width="12.125" style="255" customWidth="1"/>
    <col min="11039" max="11039" width="8.25" style="255" customWidth="1"/>
    <col min="11040" max="11041" width="10.375" style="255" customWidth="1"/>
    <col min="11042" max="11042" width="15.625" style="255" customWidth="1"/>
    <col min="11043" max="11043" width="15.875" style="255" customWidth="1"/>
    <col min="11044" max="11044" width="8.125" style="255" customWidth="1"/>
    <col min="11045" max="11048" width="10.375" style="255" customWidth="1"/>
    <col min="11049" max="11049" width="7.25" style="255" customWidth="1"/>
    <col min="11050" max="11050" width="7.125" style="255" customWidth="1"/>
    <col min="11051" max="11051" width="9.5" style="255" customWidth="1"/>
    <col min="11052" max="11053" width="9" style="255" customWidth="1"/>
    <col min="11054" max="11054" width="16.125" style="255" customWidth="1"/>
    <col min="11055" max="11085" width="9" style="255" customWidth="1"/>
    <col min="11086" max="11245" width="25.25" style="255"/>
    <col min="11246" max="11275" width="9" style="255" customWidth="1"/>
    <col min="11276" max="11276" width="0.5" style="255" customWidth="1"/>
    <col min="11277" max="11277" width="25.25" style="255"/>
    <col min="11278" max="11278" width="0.5" style="255" customWidth="1"/>
    <col min="11279" max="11279" width="25.25" style="255"/>
    <col min="11280" max="11280" width="14.75" style="255" customWidth="1"/>
    <col min="11281" max="11281" width="11.5" style="255" customWidth="1"/>
    <col min="11282" max="11282" width="11.25" style="255" customWidth="1"/>
    <col min="11283" max="11283" width="10.75" style="255" customWidth="1"/>
    <col min="11284" max="11284" width="10" style="255" customWidth="1"/>
    <col min="11285" max="11285" width="9.875" style="255" customWidth="1"/>
    <col min="11286" max="11286" width="26.125" style="255" customWidth="1"/>
    <col min="11287" max="11287" width="11.125" style="255" customWidth="1"/>
    <col min="11288" max="11288" width="7.875" style="255" customWidth="1"/>
    <col min="11289" max="11289" width="7.25" style="255" customWidth="1"/>
    <col min="11290" max="11290" width="9.125" style="255" customWidth="1"/>
    <col min="11291" max="11291" width="15.125" style="255" customWidth="1"/>
    <col min="11292" max="11292" width="7.75" style="255" customWidth="1"/>
    <col min="11293" max="11293" width="7.125" style="255" customWidth="1"/>
    <col min="11294" max="11294" width="12.125" style="255" customWidth="1"/>
    <col min="11295" max="11295" width="8.25" style="255" customWidth="1"/>
    <col min="11296" max="11297" width="10.375" style="255" customWidth="1"/>
    <col min="11298" max="11298" width="15.625" style="255" customWidth="1"/>
    <col min="11299" max="11299" width="15.875" style="255" customWidth="1"/>
    <col min="11300" max="11300" width="8.125" style="255" customWidth="1"/>
    <col min="11301" max="11304" width="10.375" style="255" customWidth="1"/>
    <col min="11305" max="11305" width="7.25" style="255" customWidth="1"/>
    <col min="11306" max="11306" width="7.125" style="255" customWidth="1"/>
    <col min="11307" max="11307" width="9.5" style="255" customWidth="1"/>
    <col min="11308" max="11309" width="9" style="255" customWidth="1"/>
    <col min="11310" max="11310" width="16.125" style="255" customWidth="1"/>
    <col min="11311" max="11341" width="9" style="255" customWidth="1"/>
    <col min="11342" max="11501" width="25.25" style="255"/>
    <col min="11502" max="11531" width="9" style="255" customWidth="1"/>
    <col min="11532" max="11532" width="0.5" style="255" customWidth="1"/>
    <col min="11533" max="11533" width="25.25" style="255"/>
    <col min="11534" max="11534" width="0.5" style="255" customWidth="1"/>
    <col min="11535" max="11535" width="25.25" style="255"/>
    <col min="11536" max="11536" width="14.75" style="255" customWidth="1"/>
    <col min="11537" max="11537" width="11.5" style="255" customWidth="1"/>
    <col min="11538" max="11538" width="11.25" style="255" customWidth="1"/>
    <col min="11539" max="11539" width="10.75" style="255" customWidth="1"/>
    <col min="11540" max="11540" width="10" style="255" customWidth="1"/>
    <col min="11541" max="11541" width="9.875" style="255" customWidth="1"/>
    <col min="11542" max="11542" width="26.125" style="255" customWidth="1"/>
    <col min="11543" max="11543" width="11.125" style="255" customWidth="1"/>
    <col min="11544" max="11544" width="7.875" style="255" customWidth="1"/>
    <col min="11545" max="11545" width="7.25" style="255" customWidth="1"/>
    <col min="11546" max="11546" width="9.125" style="255" customWidth="1"/>
    <col min="11547" max="11547" width="15.125" style="255" customWidth="1"/>
    <col min="11548" max="11548" width="7.75" style="255" customWidth="1"/>
    <col min="11549" max="11549" width="7.125" style="255" customWidth="1"/>
    <col min="11550" max="11550" width="12.125" style="255" customWidth="1"/>
    <col min="11551" max="11551" width="8.25" style="255" customWidth="1"/>
    <col min="11552" max="11553" width="10.375" style="255" customWidth="1"/>
    <col min="11554" max="11554" width="15.625" style="255" customWidth="1"/>
    <col min="11555" max="11555" width="15.875" style="255" customWidth="1"/>
    <col min="11556" max="11556" width="8.125" style="255" customWidth="1"/>
    <col min="11557" max="11560" width="10.375" style="255" customWidth="1"/>
    <col min="11561" max="11561" width="7.25" style="255" customWidth="1"/>
    <col min="11562" max="11562" width="7.125" style="255" customWidth="1"/>
    <col min="11563" max="11563" width="9.5" style="255" customWidth="1"/>
    <col min="11564" max="11565" width="9" style="255" customWidth="1"/>
    <col min="11566" max="11566" width="16.125" style="255" customWidth="1"/>
    <col min="11567" max="11597" width="9" style="255" customWidth="1"/>
    <col min="11598" max="11757" width="25.25" style="255"/>
    <col min="11758" max="11787" width="9" style="255" customWidth="1"/>
    <col min="11788" max="11788" width="0.5" style="255" customWidth="1"/>
    <col min="11789" max="11789" width="25.25" style="255"/>
    <col min="11790" max="11790" width="0.5" style="255" customWidth="1"/>
    <col min="11791" max="11791" width="25.25" style="255"/>
    <col min="11792" max="11792" width="14.75" style="255" customWidth="1"/>
    <col min="11793" max="11793" width="11.5" style="255" customWidth="1"/>
    <col min="11794" max="11794" width="11.25" style="255" customWidth="1"/>
    <col min="11795" max="11795" width="10.75" style="255" customWidth="1"/>
    <col min="11796" max="11796" width="10" style="255" customWidth="1"/>
    <col min="11797" max="11797" width="9.875" style="255" customWidth="1"/>
    <col min="11798" max="11798" width="26.125" style="255" customWidth="1"/>
    <col min="11799" max="11799" width="11.125" style="255" customWidth="1"/>
    <col min="11800" max="11800" width="7.875" style="255" customWidth="1"/>
    <col min="11801" max="11801" width="7.25" style="255" customWidth="1"/>
    <col min="11802" max="11802" width="9.125" style="255" customWidth="1"/>
    <col min="11803" max="11803" width="15.125" style="255" customWidth="1"/>
    <col min="11804" max="11804" width="7.75" style="255" customWidth="1"/>
    <col min="11805" max="11805" width="7.125" style="255" customWidth="1"/>
    <col min="11806" max="11806" width="12.125" style="255" customWidth="1"/>
    <col min="11807" max="11807" width="8.25" style="255" customWidth="1"/>
    <col min="11808" max="11809" width="10.375" style="255" customWidth="1"/>
    <col min="11810" max="11810" width="15.625" style="255" customWidth="1"/>
    <col min="11811" max="11811" width="15.875" style="255" customWidth="1"/>
    <col min="11812" max="11812" width="8.125" style="255" customWidth="1"/>
    <col min="11813" max="11816" width="10.375" style="255" customWidth="1"/>
    <col min="11817" max="11817" width="7.25" style="255" customWidth="1"/>
    <col min="11818" max="11818" width="7.125" style="255" customWidth="1"/>
    <col min="11819" max="11819" width="9.5" style="255" customWidth="1"/>
    <col min="11820" max="11821" width="9" style="255" customWidth="1"/>
    <col min="11822" max="11822" width="16.125" style="255" customWidth="1"/>
    <col min="11823" max="11853" width="9" style="255" customWidth="1"/>
    <col min="11854" max="12013" width="25.25" style="255"/>
    <col min="12014" max="12043" width="9" style="255" customWidth="1"/>
    <col min="12044" max="12044" width="0.5" style="255" customWidth="1"/>
    <col min="12045" max="12045" width="25.25" style="255"/>
    <col min="12046" max="12046" width="0.5" style="255" customWidth="1"/>
    <col min="12047" max="12047" width="25.25" style="255"/>
    <col min="12048" max="12048" width="14.75" style="255" customWidth="1"/>
    <col min="12049" max="12049" width="11.5" style="255" customWidth="1"/>
    <col min="12050" max="12050" width="11.25" style="255" customWidth="1"/>
    <col min="12051" max="12051" width="10.75" style="255" customWidth="1"/>
    <col min="12052" max="12052" width="10" style="255" customWidth="1"/>
    <col min="12053" max="12053" width="9.875" style="255" customWidth="1"/>
    <col min="12054" max="12054" width="26.125" style="255" customWidth="1"/>
    <col min="12055" max="12055" width="11.125" style="255" customWidth="1"/>
    <col min="12056" max="12056" width="7.875" style="255" customWidth="1"/>
    <col min="12057" max="12057" width="7.25" style="255" customWidth="1"/>
    <col min="12058" max="12058" width="9.125" style="255" customWidth="1"/>
    <col min="12059" max="12059" width="15.125" style="255" customWidth="1"/>
    <col min="12060" max="12060" width="7.75" style="255" customWidth="1"/>
    <col min="12061" max="12061" width="7.125" style="255" customWidth="1"/>
    <col min="12062" max="12062" width="12.125" style="255" customWidth="1"/>
    <col min="12063" max="12063" width="8.25" style="255" customWidth="1"/>
    <col min="12064" max="12065" width="10.375" style="255" customWidth="1"/>
    <col min="12066" max="12066" width="15.625" style="255" customWidth="1"/>
    <col min="12067" max="12067" width="15.875" style="255" customWidth="1"/>
    <col min="12068" max="12068" width="8.125" style="255" customWidth="1"/>
    <col min="12069" max="12072" width="10.375" style="255" customWidth="1"/>
    <col min="12073" max="12073" width="7.25" style="255" customWidth="1"/>
    <col min="12074" max="12074" width="7.125" style="255" customWidth="1"/>
    <col min="12075" max="12075" width="9.5" style="255" customWidth="1"/>
    <col min="12076" max="12077" width="9" style="255" customWidth="1"/>
    <col min="12078" max="12078" width="16.125" style="255" customWidth="1"/>
    <col min="12079" max="12109" width="9" style="255" customWidth="1"/>
    <col min="12110" max="12269" width="25.25" style="255"/>
    <col min="12270" max="12299" width="9" style="255" customWidth="1"/>
    <col min="12300" max="12300" width="0.5" style="255" customWidth="1"/>
    <col min="12301" max="12301" width="25.25" style="255"/>
    <col min="12302" max="12302" width="0.5" style="255" customWidth="1"/>
    <col min="12303" max="12303" width="25.25" style="255"/>
    <col min="12304" max="12304" width="14.75" style="255" customWidth="1"/>
    <col min="12305" max="12305" width="11.5" style="255" customWidth="1"/>
    <col min="12306" max="12306" width="11.25" style="255" customWidth="1"/>
    <col min="12307" max="12307" width="10.75" style="255" customWidth="1"/>
    <col min="12308" max="12308" width="10" style="255" customWidth="1"/>
    <col min="12309" max="12309" width="9.875" style="255" customWidth="1"/>
    <col min="12310" max="12310" width="26.125" style="255" customWidth="1"/>
    <col min="12311" max="12311" width="11.125" style="255" customWidth="1"/>
    <col min="12312" max="12312" width="7.875" style="255" customWidth="1"/>
    <col min="12313" max="12313" width="7.25" style="255" customWidth="1"/>
    <col min="12314" max="12314" width="9.125" style="255" customWidth="1"/>
    <col min="12315" max="12315" width="15.125" style="255" customWidth="1"/>
    <col min="12316" max="12316" width="7.75" style="255" customWidth="1"/>
    <col min="12317" max="12317" width="7.125" style="255" customWidth="1"/>
    <col min="12318" max="12318" width="12.125" style="255" customWidth="1"/>
    <col min="12319" max="12319" width="8.25" style="255" customWidth="1"/>
    <col min="12320" max="12321" width="10.375" style="255" customWidth="1"/>
    <col min="12322" max="12322" width="15.625" style="255" customWidth="1"/>
    <col min="12323" max="12323" width="15.875" style="255" customWidth="1"/>
    <col min="12324" max="12324" width="8.125" style="255" customWidth="1"/>
    <col min="12325" max="12328" width="10.375" style="255" customWidth="1"/>
    <col min="12329" max="12329" width="7.25" style="255" customWidth="1"/>
    <col min="12330" max="12330" width="7.125" style="255" customWidth="1"/>
    <col min="12331" max="12331" width="9.5" style="255" customWidth="1"/>
    <col min="12332" max="12333" width="9" style="255" customWidth="1"/>
    <col min="12334" max="12334" width="16.125" style="255" customWidth="1"/>
    <col min="12335" max="12365" width="9" style="255" customWidth="1"/>
    <col min="12366" max="12525" width="25.25" style="255"/>
    <col min="12526" max="12555" width="9" style="255" customWidth="1"/>
    <col min="12556" max="12556" width="0.5" style="255" customWidth="1"/>
    <col min="12557" max="12557" width="25.25" style="255"/>
    <col min="12558" max="12558" width="0.5" style="255" customWidth="1"/>
    <col min="12559" max="12559" width="25.25" style="255"/>
    <col min="12560" max="12560" width="14.75" style="255" customWidth="1"/>
    <col min="12561" max="12561" width="11.5" style="255" customWidth="1"/>
    <col min="12562" max="12562" width="11.25" style="255" customWidth="1"/>
    <col min="12563" max="12563" width="10.75" style="255" customWidth="1"/>
    <col min="12564" max="12564" width="10" style="255" customWidth="1"/>
    <col min="12565" max="12565" width="9.875" style="255" customWidth="1"/>
    <col min="12566" max="12566" width="26.125" style="255" customWidth="1"/>
    <col min="12567" max="12567" width="11.125" style="255" customWidth="1"/>
    <col min="12568" max="12568" width="7.875" style="255" customWidth="1"/>
    <col min="12569" max="12569" width="7.25" style="255" customWidth="1"/>
    <col min="12570" max="12570" width="9.125" style="255" customWidth="1"/>
    <col min="12571" max="12571" width="15.125" style="255" customWidth="1"/>
    <col min="12572" max="12572" width="7.75" style="255" customWidth="1"/>
    <col min="12573" max="12573" width="7.125" style="255" customWidth="1"/>
    <col min="12574" max="12574" width="12.125" style="255" customWidth="1"/>
    <col min="12575" max="12575" width="8.25" style="255" customWidth="1"/>
    <col min="12576" max="12577" width="10.375" style="255" customWidth="1"/>
    <col min="12578" max="12578" width="15.625" style="255" customWidth="1"/>
    <col min="12579" max="12579" width="15.875" style="255" customWidth="1"/>
    <col min="12580" max="12580" width="8.125" style="255" customWidth="1"/>
    <col min="12581" max="12584" width="10.375" style="255" customWidth="1"/>
    <col min="12585" max="12585" width="7.25" style="255" customWidth="1"/>
    <col min="12586" max="12586" width="7.125" style="255" customWidth="1"/>
    <col min="12587" max="12587" width="9.5" style="255" customWidth="1"/>
    <col min="12588" max="12589" width="9" style="255" customWidth="1"/>
    <col min="12590" max="12590" width="16.125" style="255" customWidth="1"/>
    <col min="12591" max="12621" width="9" style="255" customWidth="1"/>
    <col min="12622" max="12781" width="25.25" style="255"/>
    <col min="12782" max="12811" width="9" style="255" customWidth="1"/>
    <col min="12812" max="12812" width="0.5" style="255" customWidth="1"/>
    <col min="12813" max="12813" width="25.25" style="255"/>
    <col min="12814" max="12814" width="0.5" style="255" customWidth="1"/>
    <col min="12815" max="12815" width="25.25" style="255"/>
    <col min="12816" max="12816" width="14.75" style="255" customWidth="1"/>
    <col min="12817" max="12817" width="11.5" style="255" customWidth="1"/>
    <col min="12818" max="12818" width="11.25" style="255" customWidth="1"/>
    <col min="12819" max="12819" width="10.75" style="255" customWidth="1"/>
    <col min="12820" max="12820" width="10" style="255" customWidth="1"/>
    <col min="12821" max="12821" width="9.875" style="255" customWidth="1"/>
    <col min="12822" max="12822" width="26.125" style="255" customWidth="1"/>
    <col min="12823" max="12823" width="11.125" style="255" customWidth="1"/>
    <col min="12824" max="12824" width="7.875" style="255" customWidth="1"/>
    <col min="12825" max="12825" width="7.25" style="255" customWidth="1"/>
    <col min="12826" max="12826" width="9.125" style="255" customWidth="1"/>
    <col min="12827" max="12827" width="15.125" style="255" customWidth="1"/>
    <col min="12828" max="12828" width="7.75" style="255" customWidth="1"/>
    <col min="12829" max="12829" width="7.125" style="255" customWidth="1"/>
    <col min="12830" max="12830" width="12.125" style="255" customWidth="1"/>
    <col min="12831" max="12831" width="8.25" style="255" customWidth="1"/>
    <col min="12832" max="12833" width="10.375" style="255" customWidth="1"/>
    <col min="12834" max="12834" width="15.625" style="255" customWidth="1"/>
    <col min="12835" max="12835" width="15.875" style="255" customWidth="1"/>
    <col min="12836" max="12836" width="8.125" style="255" customWidth="1"/>
    <col min="12837" max="12840" width="10.375" style="255" customWidth="1"/>
    <col min="12841" max="12841" width="7.25" style="255" customWidth="1"/>
    <col min="12842" max="12842" width="7.125" style="255" customWidth="1"/>
    <col min="12843" max="12843" width="9.5" style="255" customWidth="1"/>
    <col min="12844" max="12845" width="9" style="255" customWidth="1"/>
    <col min="12846" max="12846" width="16.125" style="255" customWidth="1"/>
    <col min="12847" max="12877" width="9" style="255" customWidth="1"/>
    <col min="12878" max="13037" width="25.25" style="255"/>
    <col min="13038" max="13067" width="9" style="255" customWidth="1"/>
    <col min="13068" max="13068" width="0.5" style="255" customWidth="1"/>
    <col min="13069" max="13069" width="25.25" style="255"/>
    <col min="13070" max="13070" width="0.5" style="255" customWidth="1"/>
    <col min="13071" max="13071" width="25.25" style="255"/>
    <col min="13072" max="13072" width="14.75" style="255" customWidth="1"/>
    <col min="13073" max="13073" width="11.5" style="255" customWidth="1"/>
    <col min="13074" max="13074" width="11.25" style="255" customWidth="1"/>
    <col min="13075" max="13075" width="10.75" style="255" customWidth="1"/>
    <col min="13076" max="13076" width="10" style="255" customWidth="1"/>
    <col min="13077" max="13077" width="9.875" style="255" customWidth="1"/>
    <col min="13078" max="13078" width="26.125" style="255" customWidth="1"/>
    <col min="13079" max="13079" width="11.125" style="255" customWidth="1"/>
    <col min="13080" max="13080" width="7.875" style="255" customWidth="1"/>
    <col min="13081" max="13081" width="7.25" style="255" customWidth="1"/>
    <col min="13082" max="13082" width="9.125" style="255" customWidth="1"/>
    <col min="13083" max="13083" width="15.125" style="255" customWidth="1"/>
    <col min="13084" max="13084" width="7.75" style="255" customWidth="1"/>
    <col min="13085" max="13085" width="7.125" style="255" customWidth="1"/>
    <col min="13086" max="13086" width="12.125" style="255" customWidth="1"/>
    <col min="13087" max="13087" width="8.25" style="255" customWidth="1"/>
    <col min="13088" max="13089" width="10.375" style="255" customWidth="1"/>
    <col min="13090" max="13090" width="15.625" style="255" customWidth="1"/>
    <col min="13091" max="13091" width="15.875" style="255" customWidth="1"/>
    <col min="13092" max="13092" width="8.125" style="255" customWidth="1"/>
    <col min="13093" max="13096" width="10.375" style="255" customWidth="1"/>
    <col min="13097" max="13097" width="7.25" style="255" customWidth="1"/>
    <col min="13098" max="13098" width="7.125" style="255" customWidth="1"/>
    <col min="13099" max="13099" width="9.5" style="255" customWidth="1"/>
    <col min="13100" max="13101" width="9" style="255" customWidth="1"/>
    <col min="13102" max="13102" width="16.125" style="255" customWidth="1"/>
    <col min="13103" max="13133" width="9" style="255" customWidth="1"/>
    <col min="13134" max="13293" width="25.25" style="255"/>
    <col min="13294" max="13323" width="9" style="255" customWidth="1"/>
    <col min="13324" max="13324" width="0.5" style="255" customWidth="1"/>
    <col min="13325" max="13325" width="25.25" style="255"/>
    <col min="13326" max="13326" width="0.5" style="255" customWidth="1"/>
    <col min="13327" max="13327" width="25.25" style="255"/>
    <col min="13328" max="13328" width="14.75" style="255" customWidth="1"/>
    <col min="13329" max="13329" width="11.5" style="255" customWidth="1"/>
    <col min="13330" max="13330" width="11.25" style="255" customWidth="1"/>
    <col min="13331" max="13331" width="10.75" style="255" customWidth="1"/>
    <col min="13332" max="13332" width="10" style="255" customWidth="1"/>
    <col min="13333" max="13333" width="9.875" style="255" customWidth="1"/>
    <col min="13334" max="13334" width="26.125" style="255" customWidth="1"/>
    <col min="13335" max="13335" width="11.125" style="255" customWidth="1"/>
    <col min="13336" max="13336" width="7.875" style="255" customWidth="1"/>
    <col min="13337" max="13337" width="7.25" style="255" customWidth="1"/>
    <col min="13338" max="13338" width="9.125" style="255" customWidth="1"/>
    <col min="13339" max="13339" width="15.125" style="255" customWidth="1"/>
    <col min="13340" max="13340" width="7.75" style="255" customWidth="1"/>
    <col min="13341" max="13341" width="7.125" style="255" customWidth="1"/>
    <col min="13342" max="13342" width="12.125" style="255" customWidth="1"/>
    <col min="13343" max="13343" width="8.25" style="255" customWidth="1"/>
    <col min="13344" max="13345" width="10.375" style="255" customWidth="1"/>
    <col min="13346" max="13346" width="15.625" style="255" customWidth="1"/>
    <col min="13347" max="13347" width="15.875" style="255" customWidth="1"/>
    <col min="13348" max="13348" width="8.125" style="255" customWidth="1"/>
    <col min="13349" max="13352" width="10.375" style="255" customWidth="1"/>
    <col min="13353" max="13353" width="7.25" style="255" customWidth="1"/>
    <col min="13354" max="13354" width="7.125" style="255" customWidth="1"/>
    <col min="13355" max="13355" width="9.5" style="255" customWidth="1"/>
    <col min="13356" max="13357" width="9" style="255" customWidth="1"/>
    <col min="13358" max="13358" width="16.125" style="255" customWidth="1"/>
    <col min="13359" max="13389" width="9" style="255" customWidth="1"/>
    <col min="13390" max="13549" width="25.25" style="255"/>
    <col min="13550" max="13579" width="9" style="255" customWidth="1"/>
    <col min="13580" max="13580" width="0.5" style="255" customWidth="1"/>
    <col min="13581" max="13581" width="25.25" style="255"/>
    <col min="13582" max="13582" width="0.5" style="255" customWidth="1"/>
    <col min="13583" max="13583" width="25.25" style="255"/>
    <col min="13584" max="13584" width="14.75" style="255" customWidth="1"/>
    <col min="13585" max="13585" width="11.5" style="255" customWidth="1"/>
    <col min="13586" max="13586" width="11.25" style="255" customWidth="1"/>
    <col min="13587" max="13587" width="10.75" style="255" customWidth="1"/>
    <col min="13588" max="13588" width="10" style="255" customWidth="1"/>
    <col min="13589" max="13589" width="9.875" style="255" customWidth="1"/>
    <col min="13590" max="13590" width="26.125" style="255" customWidth="1"/>
    <col min="13591" max="13591" width="11.125" style="255" customWidth="1"/>
    <col min="13592" max="13592" width="7.875" style="255" customWidth="1"/>
    <col min="13593" max="13593" width="7.25" style="255" customWidth="1"/>
    <col min="13594" max="13594" width="9.125" style="255" customWidth="1"/>
    <col min="13595" max="13595" width="15.125" style="255" customWidth="1"/>
    <col min="13596" max="13596" width="7.75" style="255" customWidth="1"/>
    <col min="13597" max="13597" width="7.125" style="255" customWidth="1"/>
    <col min="13598" max="13598" width="12.125" style="255" customWidth="1"/>
    <col min="13599" max="13599" width="8.25" style="255" customWidth="1"/>
    <col min="13600" max="13601" width="10.375" style="255" customWidth="1"/>
    <col min="13602" max="13602" width="15.625" style="255" customWidth="1"/>
    <col min="13603" max="13603" width="15.875" style="255" customWidth="1"/>
    <col min="13604" max="13604" width="8.125" style="255" customWidth="1"/>
    <col min="13605" max="13608" width="10.375" style="255" customWidth="1"/>
    <col min="13609" max="13609" width="7.25" style="255" customWidth="1"/>
    <col min="13610" max="13610" width="7.125" style="255" customWidth="1"/>
    <col min="13611" max="13611" width="9.5" style="255" customWidth="1"/>
    <col min="13612" max="13613" width="9" style="255" customWidth="1"/>
    <col min="13614" max="13614" width="16.125" style="255" customWidth="1"/>
    <col min="13615" max="13645" width="9" style="255" customWidth="1"/>
    <col min="13646" max="13805" width="25.25" style="255"/>
    <col min="13806" max="13835" width="9" style="255" customWidth="1"/>
    <col min="13836" max="13836" width="0.5" style="255" customWidth="1"/>
    <col min="13837" max="13837" width="25.25" style="255"/>
    <col min="13838" max="13838" width="0.5" style="255" customWidth="1"/>
    <col min="13839" max="13839" width="25.25" style="255"/>
    <col min="13840" max="13840" width="14.75" style="255" customWidth="1"/>
    <col min="13841" max="13841" width="11.5" style="255" customWidth="1"/>
    <col min="13842" max="13842" width="11.25" style="255" customWidth="1"/>
    <col min="13843" max="13843" width="10.75" style="255" customWidth="1"/>
    <col min="13844" max="13844" width="10" style="255" customWidth="1"/>
    <col min="13845" max="13845" width="9.875" style="255" customWidth="1"/>
    <col min="13846" max="13846" width="26.125" style="255" customWidth="1"/>
    <col min="13847" max="13847" width="11.125" style="255" customWidth="1"/>
    <col min="13848" max="13848" width="7.875" style="255" customWidth="1"/>
    <col min="13849" max="13849" width="7.25" style="255" customWidth="1"/>
    <col min="13850" max="13850" width="9.125" style="255" customWidth="1"/>
    <col min="13851" max="13851" width="15.125" style="255" customWidth="1"/>
    <col min="13852" max="13852" width="7.75" style="255" customWidth="1"/>
    <col min="13853" max="13853" width="7.125" style="255" customWidth="1"/>
    <col min="13854" max="13854" width="12.125" style="255" customWidth="1"/>
    <col min="13855" max="13855" width="8.25" style="255" customWidth="1"/>
    <col min="13856" max="13857" width="10.375" style="255" customWidth="1"/>
    <col min="13858" max="13858" width="15.625" style="255" customWidth="1"/>
    <col min="13859" max="13859" width="15.875" style="255" customWidth="1"/>
    <col min="13860" max="13860" width="8.125" style="255" customWidth="1"/>
    <col min="13861" max="13864" width="10.375" style="255" customWidth="1"/>
    <col min="13865" max="13865" width="7.25" style="255" customWidth="1"/>
    <col min="13866" max="13866" width="7.125" style="255" customWidth="1"/>
    <col min="13867" max="13867" width="9.5" style="255" customWidth="1"/>
    <col min="13868" max="13869" width="9" style="255" customWidth="1"/>
    <col min="13870" max="13870" width="16.125" style="255" customWidth="1"/>
    <col min="13871" max="13901" width="9" style="255" customWidth="1"/>
    <col min="13902" max="14061" width="25.25" style="255"/>
    <col min="14062" max="14091" width="9" style="255" customWidth="1"/>
    <col min="14092" max="14092" width="0.5" style="255" customWidth="1"/>
    <col min="14093" max="14093" width="25.25" style="255"/>
    <col min="14094" max="14094" width="0.5" style="255" customWidth="1"/>
    <col min="14095" max="14095" width="25.25" style="255"/>
    <col min="14096" max="14096" width="14.75" style="255" customWidth="1"/>
    <col min="14097" max="14097" width="11.5" style="255" customWidth="1"/>
    <col min="14098" max="14098" width="11.25" style="255" customWidth="1"/>
    <col min="14099" max="14099" width="10.75" style="255" customWidth="1"/>
    <col min="14100" max="14100" width="10" style="255" customWidth="1"/>
    <col min="14101" max="14101" width="9.875" style="255" customWidth="1"/>
    <col min="14102" max="14102" width="26.125" style="255" customWidth="1"/>
    <col min="14103" max="14103" width="11.125" style="255" customWidth="1"/>
    <col min="14104" max="14104" width="7.875" style="255" customWidth="1"/>
    <col min="14105" max="14105" width="7.25" style="255" customWidth="1"/>
    <col min="14106" max="14106" width="9.125" style="255" customWidth="1"/>
    <col min="14107" max="14107" width="15.125" style="255" customWidth="1"/>
    <col min="14108" max="14108" width="7.75" style="255" customWidth="1"/>
    <col min="14109" max="14109" width="7.125" style="255" customWidth="1"/>
    <col min="14110" max="14110" width="12.125" style="255" customWidth="1"/>
    <col min="14111" max="14111" width="8.25" style="255" customWidth="1"/>
    <col min="14112" max="14113" width="10.375" style="255" customWidth="1"/>
    <col min="14114" max="14114" width="15.625" style="255" customWidth="1"/>
    <col min="14115" max="14115" width="15.875" style="255" customWidth="1"/>
    <col min="14116" max="14116" width="8.125" style="255" customWidth="1"/>
    <col min="14117" max="14120" width="10.375" style="255" customWidth="1"/>
    <col min="14121" max="14121" width="7.25" style="255" customWidth="1"/>
    <col min="14122" max="14122" width="7.125" style="255" customWidth="1"/>
    <col min="14123" max="14123" width="9.5" style="255" customWidth="1"/>
    <col min="14124" max="14125" width="9" style="255" customWidth="1"/>
    <col min="14126" max="14126" width="16.125" style="255" customWidth="1"/>
    <col min="14127" max="14157" width="9" style="255" customWidth="1"/>
    <col min="14158" max="14317" width="25.25" style="255"/>
    <col min="14318" max="14347" width="9" style="255" customWidth="1"/>
    <col min="14348" max="14348" width="0.5" style="255" customWidth="1"/>
    <col min="14349" max="14349" width="25.25" style="255"/>
    <col min="14350" max="14350" width="0.5" style="255" customWidth="1"/>
    <col min="14351" max="14351" width="25.25" style="255"/>
    <col min="14352" max="14352" width="14.75" style="255" customWidth="1"/>
    <col min="14353" max="14353" width="11.5" style="255" customWidth="1"/>
    <col min="14354" max="14354" width="11.25" style="255" customWidth="1"/>
    <col min="14355" max="14355" width="10.75" style="255" customWidth="1"/>
    <col min="14356" max="14356" width="10" style="255" customWidth="1"/>
    <col min="14357" max="14357" width="9.875" style="255" customWidth="1"/>
    <col min="14358" max="14358" width="26.125" style="255" customWidth="1"/>
    <col min="14359" max="14359" width="11.125" style="255" customWidth="1"/>
    <col min="14360" max="14360" width="7.875" style="255" customWidth="1"/>
    <col min="14361" max="14361" width="7.25" style="255" customWidth="1"/>
    <col min="14362" max="14362" width="9.125" style="255" customWidth="1"/>
    <col min="14363" max="14363" width="15.125" style="255" customWidth="1"/>
    <col min="14364" max="14364" width="7.75" style="255" customWidth="1"/>
    <col min="14365" max="14365" width="7.125" style="255" customWidth="1"/>
    <col min="14366" max="14366" width="12.125" style="255" customWidth="1"/>
    <col min="14367" max="14367" width="8.25" style="255" customWidth="1"/>
    <col min="14368" max="14369" width="10.375" style="255" customWidth="1"/>
    <col min="14370" max="14370" width="15.625" style="255" customWidth="1"/>
    <col min="14371" max="14371" width="15.875" style="255" customWidth="1"/>
    <col min="14372" max="14372" width="8.125" style="255" customWidth="1"/>
    <col min="14373" max="14376" width="10.375" style="255" customWidth="1"/>
    <col min="14377" max="14377" width="7.25" style="255" customWidth="1"/>
    <col min="14378" max="14378" width="7.125" style="255" customWidth="1"/>
    <col min="14379" max="14379" width="9.5" style="255" customWidth="1"/>
    <col min="14380" max="14381" width="9" style="255" customWidth="1"/>
    <col min="14382" max="14382" width="16.125" style="255" customWidth="1"/>
    <col min="14383" max="14413" width="9" style="255" customWidth="1"/>
    <col min="14414" max="14573" width="25.25" style="255"/>
    <col min="14574" max="14603" width="9" style="255" customWidth="1"/>
    <col min="14604" max="14604" width="0.5" style="255" customWidth="1"/>
    <col min="14605" max="14605" width="25.25" style="255"/>
    <col min="14606" max="14606" width="0.5" style="255" customWidth="1"/>
    <col min="14607" max="14607" width="25.25" style="255"/>
    <col min="14608" max="14608" width="14.75" style="255" customWidth="1"/>
    <col min="14609" max="14609" width="11.5" style="255" customWidth="1"/>
    <col min="14610" max="14610" width="11.25" style="255" customWidth="1"/>
    <col min="14611" max="14611" width="10.75" style="255" customWidth="1"/>
    <col min="14612" max="14612" width="10" style="255" customWidth="1"/>
    <col min="14613" max="14613" width="9.875" style="255" customWidth="1"/>
    <col min="14614" max="14614" width="26.125" style="255" customWidth="1"/>
    <col min="14615" max="14615" width="11.125" style="255" customWidth="1"/>
    <col min="14616" max="14616" width="7.875" style="255" customWidth="1"/>
    <col min="14617" max="14617" width="7.25" style="255" customWidth="1"/>
    <col min="14618" max="14618" width="9.125" style="255" customWidth="1"/>
    <col min="14619" max="14619" width="15.125" style="255" customWidth="1"/>
    <col min="14620" max="14620" width="7.75" style="255" customWidth="1"/>
    <col min="14621" max="14621" width="7.125" style="255" customWidth="1"/>
    <col min="14622" max="14622" width="12.125" style="255" customWidth="1"/>
    <col min="14623" max="14623" width="8.25" style="255" customWidth="1"/>
    <col min="14624" max="14625" width="10.375" style="255" customWidth="1"/>
    <col min="14626" max="14626" width="15.625" style="255" customWidth="1"/>
    <col min="14627" max="14627" width="15.875" style="255" customWidth="1"/>
    <col min="14628" max="14628" width="8.125" style="255" customWidth="1"/>
    <col min="14629" max="14632" width="10.375" style="255" customWidth="1"/>
    <col min="14633" max="14633" width="7.25" style="255" customWidth="1"/>
    <col min="14634" max="14634" width="7.125" style="255" customWidth="1"/>
    <col min="14635" max="14635" width="9.5" style="255" customWidth="1"/>
    <col min="14636" max="14637" width="9" style="255" customWidth="1"/>
    <col min="14638" max="14638" width="16.125" style="255" customWidth="1"/>
    <col min="14639" max="14669" width="9" style="255" customWidth="1"/>
    <col min="14670" max="14829" width="25.25" style="255"/>
    <col min="14830" max="14859" width="9" style="255" customWidth="1"/>
    <col min="14860" max="14860" width="0.5" style="255" customWidth="1"/>
    <col min="14861" max="14861" width="25.25" style="255"/>
    <col min="14862" max="14862" width="0.5" style="255" customWidth="1"/>
    <col min="14863" max="14863" width="25.25" style="255"/>
    <col min="14864" max="14864" width="14.75" style="255" customWidth="1"/>
    <col min="14865" max="14865" width="11.5" style="255" customWidth="1"/>
    <col min="14866" max="14866" width="11.25" style="255" customWidth="1"/>
    <col min="14867" max="14867" width="10.75" style="255" customWidth="1"/>
    <col min="14868" max="14868" width="10" style="255" customWidth="1"/>
    <col min="14869" max="14869" width="9.875" style="255" customWidth="1"/>
    <col min="14870" max="14870" width="26.125" style="255" customWidth="1"/>
    <col min="14871" max="14871" width="11.125" style="255" customWidth="1"/>
    <col min="14872" max="14872" width="7.875" style="255" customWidth="1"/>
    <col min="14873" max="14873" width="7.25" style="255" customWidth="1"/>
    <col min="14874" max="14874" width="9.125" style="255" customWidth="1"/>
    <col min="14875" max="14875" width="15.125" style="255" customWidth="1"/>
    <col min="14876" max="14876" width="7.75" style="255" customWidth="1"/>
    <col min="14877" max="14877" width="7.125" style="255" customWidth="1"/>
    <col min="14878" max="14878" width="12.125" style="255" customWidth="1"/>
    <col min="14879" max="14879" width="8.25" style="255" customWidth="1"/>
    <col min="14880" max="14881" width="10.375" style="255" customWidth="1"/>
    <col min="14882" max="14882" width="15.625" style="255" customWidth="1"/>
    <col min="14883" max="14883" width="15.875" style="255" customWidth="1"/>
    <col min="14884" max="14884" width="8.125" style="255" customWidth="1"/>
    <col min="14885" max="14888" width="10.375" style="255" customWidth="1"/>
    <col min="14889" max="14889" width="7.25" style="255" customWidth="1"/>
    <col min="14890" max="14890" width="7.125" style="255" customWidth="1"/>
    <col min="14891" max="14891" width="9.5" style="255" customWidth="1"/>
    <col min="14892" max="14893" width="9" style="255" customWidth="1"/>
    <col min="14894" max="14894" width="16.125" style="255" customWidth="1"/>
    <col min="14895" max="14925" width="9" style="255" customWidth="1"/>
    <col min="14926" max="15085" width="25.25" style="255"/>
    <col min="15086" max="15115" width="9" style="255" customWidth="1"/>
    <col min="15116" max="15116" width="0.5" style="255" customWidth="1"/>
    <col min="15117" max="15117" width="25.25" style="255"/>
    <col min="15118" max="15118" width="0.5" style="255" customWidth="1"/>
    <col min="15119" max="15119" width="25.25" style="255"/>
    <col min="15120" max="15120" width="14.75" style="255" customWidth="1"/>
    <col min="15121" max="15121" width="11.5" style="255" customWidth="1"/>
    <col min="15122" max="15122" width="11.25" style="255" customWidth="1"/>
    <col min="15123" max="15123" width="10.75" style="255" customWidth="1"/>
    <col min="15124" max="15124" width="10" style="255" customWidth="1"/>
    <col min="15125" max="15125" width="9.875" style="255" customWidth="1"/>
    <col min="15126" max="15126" width="26.125" style="255" customWidth="1"/>
    <col min="15127" max="15127" width="11.125" style="255" customWidth="1"/>
    <col min="15128" max="15128" width="7.875" style="255" customWidth="1"/>
    <col min="15129" max="15129" width="7.25" style="255" customWidth="1"/>
    <col min="15130" max="15130" width="9.125" style="255" customWidth="1"/>
    <col min="15131" max="15131" width="15.125" style="255" customWidth="1"/>
    <col min="15132" max="15132" width="7.75" style="255" customWidth="1"/>
    <col min="15133" max="15133" width="7.125" style="255" customWidth="1"/>
    <col min="15134" max="15134" width="12.125" style="255" customWidth="1"/>
    <col min="15135" max="15135" width="8.25" style="255" customWidth="1"/>
    <col min="15136" max="15137" width="10.375" style="255" customWidth="1"/>
    <col min="15138" max="15138" width="15.625" style="255" customWidth="1"/>
    <col min="15139" max="15139" width="15.875" style="255" customWidth="1"/>
    <col min="15140" max="15140" width="8.125" style="255" customWidth="1"/>
    <col min="15141" max="15144" width="10.375" style="255" customWidth="1"/>
    <col min="15145" max="15145" width="7.25" style="255" customWidth="1"/>
    <col min="15146" max="15146" width="7.125" style="255" customWidth="1"/>
    <col min="15147" max="15147" width="9.5" style="255" customWidth="1"/>
    <col min="15148" max="15149" width="9" style="255" customWidth="1"/>
    <col min="15150" max="15150" width="16.125" style="255" customWidth="1"/>
    <col min="15151" max="15181" width="9" style="255" customWidth="1"/>
    <col min="15182" max="15341" width="25.25" style="255"/>
    <col min="15342" max="15371" width="9" style="255" customWidth="1"/>
    <col min="15372" max="15372" width="0.5" style="255" customWidth="1"/>
    <col min="15373" max="15373" width="25.25" style="255"/>
    <col min="15374" max="15374" width="0.5" style="255" customWidth="1"/>
    <col min="15375" max="15375" width="25.25" style="255"/>
    <col min="15376" max="15376" width="14.75" style="255" customWidth="1"/>
    <col min="15377" max="15377" width="11.5" style="255" customWidth="1"/>
    <col min="15378" max="15378" width="11.25" style="255" customWidth="1"/>
    <col min="15379" max="15379" width="10.75" style="255" customWidth="1"/>
    <col min="15380" max="15380" width="10" style="255" customWidth="1"/>
    <col min="15381" max="15381" width="9.875" style="255" customWidth="1"/>
    <col min="15382" max="15382" width="26.125" style="255" customWidth="1"/>
    <col min="15383" max="15383" width="11.125" style="255" customWidth="1"/>
    <col min="15384" max="15384" width="7.875" style="255" customWidth="1"/>
    <col min="15385" max="15385" width="7.25" style="255" customWidth="1"/>
    <col min="15386" max="15386" width="9.125" style="255" customWidth="1"/>
    <col min="15387" max="15387" width="15.125" style="255" customWidth="1"/>
    <col min="15388" max="15388" width="7.75" style="255" customWidth="1"/>
    <col min="15389" max="15389" width="7.125" style="255" customWidth="1"/>
    <col min="15390" max="15390" width="12.125" style="255" customWidth="1"/>
    <col min="15391" max="15391" width="8.25" style="255" customWidth="1"/>
    <col min="15392" max="15393" width="10.375" style="255" customWidth="1"/>
    <col min="15394" max="15394" width="15.625" style="255" customWidth="1"/>
    <col min="15395" max="15395" width="15.875" style="255" customWidth="1"/>
    <col min="15396" max="15396" width="8.125" style="255" customWidth="1"/>
    <col min="15397" max="15400" width="10.375" style="255" customWidth="1"/>
    <col min="15401" max="15401" width="7.25" style="255" customWidth="1"/>
    <col min="15402" max="15402" width="7.125" style="255" customWidth="1"/>
    <col min="15403" max="15403" width="9.5" style="255" customWidth="1"/>
    <col min="15404" max="15405" width="9" style="255" customWidth="1"/>
    <col min="15406" max="15406" width="16.125" style="255" customWidth="1"/>
    <col min="15407" max="15437" width="9" style="255" customWidth="1"/>
    <col min="15438" max="15597" width="25.25" style="255"/>
    <col min="15598" max="15627" width="9" style="255" customWidth="1"/>
    <col min="15628" max="15628" width="0.5" style="255" customWidth="1"/>
    <col min="15629" max="15629" width="25.25" style="255"/>
    <col min="15630" max="15630" width="0.5" style="255" customWidth="1"/>
    <col min="15631" max="15631" width="25.25" style="255"/>
    <col min="15632" max="15632" width="14.75" style="255" customWidth="1"/>
    <col min="15633" max="15633" width="11.5" style="255" customWidth="1"/>
    <col min="15634" max="15634" width="11.25" style="255" customWidth="1"/>
    <col min="15635" max="15635" width="10.75" style="255" customWidth="1"/>
    <col min="15636" max="15636" width="10" style="255" customWidth="1"/>
    <col min="15637" max="15637" width="9.875" style="255" customWidth="1"/>
    <col min="15638" max="15638" width="26.125" style="255" customWidth="1"/>
    <col min="15639" max="15639" width="11.125" style="255" customWidth="1"/>
    <col min="15640" max="15640" width="7.875" style="255" customWidth="1"/>
    <col min="15641" max="15641" width="7.25" style="255" customWidth="1"/>
    <col min="15642" max="15642" width="9.125" style="255" customWidth="1"/>
    <col min="15643" max="15643" width="15.125" style="255" customWidth="1"/>
    <col min="15644" max="15644" width="7.75" style="255" customWidth="1"/>
    <col min="15645" max="15645" width="7.125" style="255" customWidth="1"/>
    <col min="15646" max="15646" width="12.125" style="255" customWidth="1"/>
    <col min="15647" max="15647" width="8.25" style="255" customWidth="1"/>
    <col min="15648" max="15649" width="10.375" style="255" customWidth="1"/>
    <col min="15650" max="15650" width="15.625" style="255" customWidth="1"/>
    <col min="15651" max="15651" width="15.875" style="255" customWidth="1"/>
    <col min="15652" max="15652" width="8.125" style="255" customWidth="1"/>
    <col min="15653" max="15656" width="10.375" style="255" customWidth="1"/>
    <col min="15657" max="15657" width="7.25" style="255" customWidth="1"/>
    <col min="15658" max="15658" width="7.125" style="255" customWidth="1"/>
    <col min="15659" max="15659" width="9.5" style="255" customWidth="1"/>
    <col min="15660" max="15661" width="9" style="255" customWidth="1"/>
    <col min="15662" max="15662" width="16.125" style="255" customWidth="1"/>
    <col min="15663" max="15693" width="9" style="255" customWidth="1"/>
    <col min="15694" max="15853" width="25.25" style="255"/>
    <col min="15854" max="15883" width="9" style="255" customWidth="1"/>
    <col min="15884" max="15884" width="0.5" style="255" customWidth="1"/>
    <col min="15885" max="15885" width="25.25" style="255"/>
    <col min="15886" max="15886" width="0.5" style="255" customWidth="1"/>
    <col min="15887" max="15887" width="25.25" style="255"/>
    <col min="15888" max="15888" width="14.75" style="255" customWidth="1"/>
    <col min="15889" max="15889" width="11.5" style="255" customWidth="1"/>
    <col min="15890" max="15890" width="11.25" style="255" customWidth="1"/>
    <col min="15891" max="15891" width="10.75" style="255" customWidth="1"/>
    <col min="15892" max="15892" width="10" style="255" customWidth="1"/>
    <col min="15893" max="15893" width="9.875" style="255" customWidth="1"/>
    <col min="15894" max="15894" width="26.125" style="255" customWidth="1"/>
    <col min="15895" max="15895" width="11.125" style="255" customWidth="1"/>
    <col min="15896" max="15896" width="7.875" style="255" customWidth="1"/>
    <col min="15897" max="15897" width="7.25" style="255" customWidth="1"/>
    <col min="15898" max="15898" width="9.125" style="255" customWidth="1"/>
    <col min="15899" max="15899" width="15.125" style="255" customWidth="1"/>
    <col min="15900" max="15900" width="7.75" style="255" customWidth="1"/>
    <col min="15901" max="15901" width="7.125" style="255" customWidth="1"/>
    <col min="15902" max="15902" width="12.125" style="255" customWidth="1"/>
    <col min="15903" max="15903" width="8.25" style="255" customWidth="1"/>
    <col min="15904" max="15905" width="10.375" style="255" customWidth="1"/>
    <col min="15906" max="15906" width="15.625" style="255" customWidth="1"/>
    <col min="15907" max="15907" width="15.875" style="255" customWidth="1"/>
    <col min="15908" max="15908" width="8.125" style="255" customWidth="1"/>
    <col min="15909" max="15912" width="10.375" style="255" customWidth="1"/>
    <col min="15913" max="15913" width="7.25" style="255" customWidth="1"/>
    <col min="15914" max="15914" width="7.125" style="255" customWidth="1"/>
    <col min="15915" max="15915" width="9.5" style="255" customWidth="1"/>
    <col min="15916" max="15917" width="9" style="255" customWidth="1"/>
    <col min="15918" max="15918" width="16.125" style="255" customWidth="1"/>
    <col min="15919" max="15949" width="9" style="255" customWidth="1"/>
    <col min="15950" max="16109" width="25.25" style="255"/>
    <col min="16110" max="16139" width="9" style="255" customWidth="1"/>
    <col min="16140" max="16140" width="0.5" style="255" customWidth="1"/>
    <col min="16141" max="16384" width="25.25" style="255"/>
  </cols>
  <sheetData>
    <row r="1" spans="1:16" ht="14.25" thickBot="1"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1"/>
      <c r="O1" s="1"/>
      <c r="P1" s="1"/>
    </row>
    <row r="2" spans="1:16" ht="18" customHeight="1">
      <c r="A2" s="5"/>
      <c r="B2" s="6" t="s">
        <v>402</v>
      </c>
      <c r="C2" s="254"/>
      <c r="D2" s="254" t="s">
        <v>9</v>
      </c>
      <c r="E2" s="254" t="s">
        <v>10</v>
      </c>
      <c r="F2" s="661" t="s">
        <v>11</v>
      </c>
      <c r="G2" s="661"/>
      <c r="H2" s="661"/>
      <c r="I2" s="662" t="s">
        <v>12</v>
      </c>
      <c r="J2" s="664" t="s">
        <v>13</v>
      </c>
      <c r="K2" s="665"/>
      <c r="L2" s="665"/>
      <c r="M2" s="666"/>
      <c r="N2" s="8"/>
      <c r="O2" s="8"/>
      <c r="P2" s="8"/>
    </row>
    <row r="3" spans="1:16" ht="18" customHeight="1">
      <c r="B3" s="9" t="s">
        <v>14</v>
      </c>
      <c r="C3" s="10" t="s">
        <v>15</v>
      </c>
      <c r="D3" s="10" t="s">
        <v>16</v>
      </c>
      <c r="E3" s="10" t="s">
        <v>17</v>
      </c>
      <c r="F3" s="10" t="s">
        <v>7</v>
      </c>
      <c r="G3" s="10" t="s">
        <v>5</v>
      </c>
      <c r="H3" s="10" t="s">
        <v>18</v>
      </c>
      <c r="I3" s="663"/>
      <c r="J3" s="11" t="s">
        <v>19</v>
      </c>
      <c r="K3" s="12" t="s">
        <v>20</v>
      </c>
      <c r="L3" s="12" t="s">
        <v>21</v>
      </c>
      <c r="M3" s="13" t="s">
        <v>22</v>
      </c>
      <c r="N3" s="14"/>
      <c r="P3" s="15"/>
    </row>
    <row r="4" spans="1:16" ht="18" customHeight="1">
      <c r="B4" s="667" t="str">
        <f ca="1">MID(CELL("filename",Q13),FIND("]",CELL("filename",Q13))+1,30)</f>
        <v>C2327</v>
      </c>
      <c r="C4" s="17" t="s">
        <v>23</v>
      </c>
      <c r="D4" s="17">
        <v>2300</v>
      </c>
      <c r="E4" s="17">
        <v>2650</v>
      </c>
      <c r="F4" s="222">
        <f>D4*E4/10^6</f>
        <v>6.0949999999999998</v>
      </c>
      <c r="G4" s="17">
        <v>1</v>
      </c>
      <c r="H4" s="17">
        <f>F4*G4</f>
        <v>6.0949999999999998</v>
      </c>
      <c r="I4" s="663"/>
      <c r="J4" s="19">
        <v>40</v>
      </c>
      <c r="K4" s="20">
        <v>20</v>
      </c>
      <c r="L4" s="21">
        <v>1.5</v>
      </c>
      <c r="M4" s="22">
        <f t="shared" ref="M4:M11" si="0">ROUND(((J4*K4)-(J4-2*L4)*(K4-2*L4))*7.8/1000,3)</f>
        <v>1.3340000000000001</v>
      </c>
    </row>
    <row r="5" spans="1:16" ht="18" customHeight="1">
      <c r="B5" s="668"/>
      <c r="C5" s="221" t="s">
        <v>299</v>
      </c>
      <c r="D5" s="221">
        <f>D4-70</f>
        <v>2230</v>
      </c>
      <c r="E5" s="221">
        <f>E4-70</f>
        <v>2580</v>
      </c>
      <c r="F5" s="222">
        <f>D5*E5/10^6</f>
        <v>5.7534000000000001</v>
      </c>
      <c r="G5" s="221">
        <v>1</v>
      </c>
      <c r="H5" s="222">
        <f>F5*G5</f>
        <v>5.7534000000000001</v>
      </c>
      <c r="I5" s="663"/>
      <c r="J5" s="19">
        <v>40</v>
      </c>
      <c r="K5" s="20">
        <v>20</v>
      </c>
      <c r="L5" s="21">
        <v>2</v>
      </c>
      <c r="M5" s="22">
        <f t="shared" si="0"/>
        <v>1.7470000000000001</v>
      </c>
    </row>
    <row r="6" spans="1:16" ht="18" customHeight="1">
      <c r="B6" s="669"/>
      <c r="C6" s="17" t="s">
        <v>24</v>
      </c>
      <c r="D6" s="17">
        <f>D4-80</f>
        <v>2220</v>
      </c>
      <c r="E6" s="17">
        <f>E4-80</f>
        <v>2570</v>
      </c>
      <c r="F6" s="18">
        <f>D6*E6/10^6</f>
        <v>5.7054</v>
      </c>
      <c r="G6" s="17">
        <v>1</v>
      </c>
      <c r="H6" s="18">
        <f>F6*G6</f>
        <v>5.7054</v>
      </c>
      <c r="I6" s="663"/>
      <c r="J6" s="19">
        <v>40</v>
      </c>
      <c r="K6" s="20">
        <v>20</v>
      </c>
      <c r="L6" s="21">
        <v>2</v>
      </c>
      <c r="M6" s="22">
        <f t="shared" si="0"/>
        <v>1.7470000000000001</v>
      </c>
    </row>
    <row r="7" spans="1:16" ht="18" customHeight="1">
      <c r="B7" s="23" t="s">
        <v>25</v>
      </c>
      <c r="C7" s="252" t="s">
        <v>16</v>
      </c>
      <c r="D7" s="252" t="s">
        <v>26</v>
      </c>
      <c r="E7" s="252" t="s">
        <v>17</v>
      </c>
      <c r="F7" s="252" t="s">
        <v>27</v>
      </c>
      <c r="G7" s="252" t="s">
        <v>22</v>
      </c>
      <c r="H7" s="252" t="s">
        <v>28</v>
      </c>
      <c r="I7" s="25" t="s">
        <v>29</v>
      </c>
      <c r="J7" s="19">
        <v>80</v>
      </c>
      <c r="K7" s="20">
        <v>40</v>
      </c>
      <c r="L7" s="21">
        <v>2</v>
      </c>
      <c r="M7" s="22">
        <f t="shared" si="0"/>
        <v>3.6190000000000002</v>
      </c>
    </row>
    <row r="8" spans="1:16" ht="18" customHeight="1">
      <c r="B8" s="251" t="s">
        <v>30</v>
      </c>
      <c r="C8" s="27">
        <f>D4-30</f>
        <v>2270</v>
      </c>
      <c r="D8" s="27">
        <v>2</v>
      </c>
      <c r="E8" s="27">
        <f>E4-30</f>
        <v>2620</v>
      </c>
      <c r="F8" s="27">
        <v>2</v>
      </c>
      <c r="G8" s="28">
        <v>1.7470000000000001</v>
      </c>
      <c r="H8" s="29">
        <f>材料价格!B3</f>
        <v>7.5</v>
      </c>
      <c r="I8" s="30">
        <f>ROUND((C8*D8+E8*F8)*G8*H8/1000*1.1,2)</f>
        <v>140.96</v>
      </c>
      <c r="J8" s="19">
        <v>40</v>
      </c>
      <c r="K8" s="20">
        <v>20</v>
      </c>
      <c r="L8" s="21">
        <v>1.4</v>
      </c>
      <c r="M8" s="22">
        <f>ROUND(((J8*K8)-(J8-2*L8)*(K8-2*L8))*2.71/1000,3)</f>
        <v>0.434</v>
      </c>
    </row>
    <row r="9" spans="1:16" ht="18" customHeight="1">
      <c r="B9" s="251" t="s">
        <v>30</v>
      </c>
      <c r="C9" s="250"/>
      <c r="D9" s="250"/>
      <c r="E9" s="250"/>
      <c r="F9" s="250"/>
      <c r="G9" s="28">
        <v>1.7470000000000001</v>
      </c>
      <c r="H9" s="32">
        <f>H8</f>
        <v>7.5</v>
      </c>
      <c r="I9" s="30">
        <f>ROUND((C9*D9+E9*F9)*G9*H9/1000*1.1,2)</f>
        <v>0</v>
      </c>
      <c r="J9" s="19"/>
      <c r="K9" s="20"/>
      <c r="L9" s="21"/>
      <c r="M9" s="22">
        <f t="shared" si="0"/>
        <v>0</v>
      </c>
    </row>
    <row r="10" spans="1:16" ht="18" customHeight="1">
      <c r="B10" s="251" t="s">
        <v>31</v>
      </c>
      <c r="C10" s="250"/>
      <c r="D10" s="250"/>
      <c r="E10" s="250"/>
      <c r="F10" s="250"/>
      <c r="G10" s="28">
        <v>3.6190000000000002</v>
      </c>
      <c r="H10" s="32">
        <f>H9</f>
        <v>7.5</v>
      </c>
      <c r="I10" s="30">
        <f>ROUND((C10*D10+E10*F10)*G10*H10/1000*1.1,2)</f>
        <v>0</v>
      </c>
      <c r="J10" s="19"/>
      <c r="K10" s="20"/>
      <c r="L10" s="12"/>
      <c r="M10" s="22">
        <f t="shared" si="0"/>
        <v>0</v>
      </c>
    </row>
    <row r="11" spans="1:16" ht="18" customHeight="1" thickBot="1">
      <c r="B11" s="251" t="s">
        <v>32</v>
      </c>
      <c r="C11" s="250"/>
      <c r="D11" s="250"/>
      <c r="E11" s="250"/>
      <c r="F11" s="250"/>
      <c r="G11" s="28">
        <v>2.9950000000000001</v>
      </c>
      <c r="H11" s="32">
        <f>H10</f>
        <v>7.5</v>
      </c>
      <c r="I11" s="30">
        <f>ROUND((C11*D11+E11*F11)*G11*H11/1000*1.1,2)</f>
        <v>0</v>
      </c>
      <c r="J11" s="33"/>
      <c r="K11" s="34"/>
      <c r="L11" s="35"/>
      <c r="M11" s="36">
        <f t="shared" si="0"/>
        <v>0</v>
      </c>
    </row>
    <row r="12" spans="1:16" ht="18" customHeight="1">
      <c r="B12" s="37" t="s">
        <v>33</v>
      </c>
      <c r="C12" s="38">
        <f>((I9+I10+I8+I11)/H8)/F4</f>
        <v>3.0836204539239818</v>
      </c>
      <c r="D12" s="39" t="s">
        <v>34</v>
      </c>
      <c r="E12" s="38">
        <f>(I9+I10+I8+I11)/F4</f>
        <v>23.127153404429862</v>
      </c>
      <c r="F12" s="40" t="s">
        <v>35</v>
      </c>
      <c r="G12" s="39"/>
      <c r="H12" s="39">
        <f>ROUND(SUM(I8:I11)/H8,2)</f>
        <v>18.79</v>
      </c>
      <c r="I12" s="41">
        <f>SUM(I8:I11)</f>
        <v>140.96</v>
      </c>
      <c r="J12" s="42"/>
    </row>
    <row r="13" spans="1:16" ht="18" customHeight="1">
      <c r="B13" s="23" t="s">
        <v>36</v>
      </c>
      <c r="C13" s="252" t="s">
        <v>14</v>
      </c>
      <c r="D13" s="252" t="s">
        <v>37</v>
      </c>
      <c r="E13" s="252" t="s">
        <v>38</v>
      </c>
      <c r="F13" s="252" t="s">
        <v>39</v>
      </c>
      <c r="G13" s="252" t="s">
        <v>8</v>
      </c>
      <c r="H13" s="252" t="s">
        <v>22</v>
      </c>
      <c r="I13" s="25" t="s">
        <v>40</v>
      </c>
    </row>
    <row r="14" spans="1:16" ht="18" customHeight="1">
      <c r="B14" s="648" t="s">
        <v>41</v>
      </c>
      <c r="C14" s="649" t="s">
        <v>404</v>
      </c>
      <c r="D14" s="250">
        <f>D6</f>
        <v>2220</v>
      </c>
      <c r="E14" s="250">
        <f>E6</f>
        <v>2570</v>
      </c>
      <c r="F14" s="44">
        <f>ROUND((D14+E14)*2/1000,4)</f>
        <v>9.58</v>
      </c>
      <c r="G14" s="250">
        <v>1</v>
      </c>
      <c r="H14" s="250">
        <v>1.47</v>
      </c>
      <c r="I14" s="284">
        <f>ROUND(F14*G14*H14,3)*2</f>
        <v>28.166</v>
      </c>
      <c r="J14" s="42"/>
      <c r="K14" s="46"/>
      <c r="L14" s="46"/>
      <c r="M14" s="42"/>
    </row>
    <row r="15" spans="1:16" ht="18" customHeight="1">
      <c r="B15" s="648"/>
      <c r="C15" s="650"/>
      <c r="D15" s="250"/>
      <c r="E15" s="250"/>
      <c r="F15" s="44">
        <f t="shared" ref="F15:F21" si="1">ROUND((D15+E15)*2/1000,4)</f>
        <v>0</v>
      </c>
      <c r="G15" s="250"/>
      <c r="H15" s="250">
        <f t="shared" ref="H15:H21" si="2">H14</f>
        <v>1.47</v>
      </c>
      <c r="I15" s="247">
        <f>ROUND(F15*G15*H15,3)</f>
        <v>0</v>
      </c>
      <c r="K15" s="47"/>
      <c r="M15" s="255"/>
    </row>
    <row r="16" spans="1:16" ht="18" customHeight="1">
      <c r="B16" s="648"/>
      <c r="C16" s="650"/>
      <c r="D16" s="250"/>
      <c r="E16" s="250"/>
      <c r="F16" s="44">
        <f t="shared" si="1"/>
        <v>0</v>
      </c>
      <c r="G16" s="250"/>
      <c r="H16" s="250">
        <f t="shared" si="2"/>
        <v>1.47</v>
      </c>
      <c r="I16" s="247">
        <f t="shared" ref="I16:I21" si="3">ROUND(F16*G16*H16,3)</f>
        <v>0</v>
      </c>
      <c r="K16" s="47"/>
      <c r="L16" s="46"/>
      <c r="M16" s="42"/>
    </row>
    <row r="17" spans="2:15" ht="18" customHeight="1">
      <c r="B17" s="648"/>
      <c r="C17" s="650"/>
      <c r="D17" s="250"/>
      <c r="E17" s="250"/>
      <c r="F17" s="44">
        <f t="shared" si="1"/>
        <v>0</v>
      </c>
      <c r="G17" s="250"/>
      <c r="H17" s="250">
        <f t="shared" si="2"/>
        <v>1.47</v>
      </c>
      <c r="I17" s="247">
        <f t="shared" si="3"/>
        <v>0</v>
      </c>
      <c r="K17" s="47"/>
      <c r="M17" s="42"/>
    </row>
    <row r="18" spans="2:15" ht="18" customHeight="1">
      <c r="B18" s="648"/>
      <c r="C18" s="650"/>
      <c r="D18" s="250"/>
      <c r="E18" s="250"/>
      <c r="F18" s="44">
        <f t="shared" si="1"/>
        <v>0</v>
      </c>
      <c r="G18" s="250"/>
      <c r="H18" s="250">
        <f t="shared" si="2"/>
        <v>1.47</v>
      </c>
      <c r="I18" s="247">
        <f t="shared" si="3"/>
        <v>0</v>
      </c>
      <c r="M18" s="42"/>
    </row>
    <row r="19" spans="2:15" ht="18" customHeight="1">
      <c r="B19" s="648"/>
      <c r="C19" s="650"/>
      <c r="D19" s="250"/>
      <c r="E19" s="250"/>
      <c r="F19" s="44">
        <f t="shared" si="1"/>
        <v>0</v>
      </c>
      <c r="G19" s="250"/>
      <c r="H19" s="250">
        <f t="shared" si="2"/>
        <v>1.47</v>
      </c>
      <c r="I19" s="247">
        <f t="shared" si="3"/>
        <v>0</v>
      </c>
      <c r="M19" s="42"/>
    </row>
    <row r="20" spans="2:15" ht="18" customHeight="1">
      <c r="B20" s="648"/>
      <c r="C20" s="650"/>
      <c r="D20" s="250"/>
      <c r="E20" s="250"/>
      <c r="F20" s="44">
        <f t="shared" si="1"/>
        <v>0</v>
      </c>
      <c r="G20" s="250"/>
      <c r="H20" s="250">
        <f t="shared" si="2"/>
        <v>1.47</v>
      </c>
      <c r="I20" s="247">
        <f t="shared" si="3"/>
        <v>0</v>
      </c>
      <c r="K20" s="47"/>
      <c r="M20" s="42"/>
    </row>
    <row r="21" spans="2:15" ht="18" customHeight="1">
      <c r="B21" s="648"/>
      <c r="C21" s="651"/>
      <c r="D21" s="250"/>
      <c r="E21" s="250"/>
      <c r="F21" s="44">
        <f t="shared" si="1"/>
        <v>0</v>
      </c>
      <c r="G21" s="250"/>
      <c r="H21" s="250">
        <f t="shared" si="2"/>
        <v>1.47</v>
      </c>
      <c r="I21" s="247">
        <f t="shared" si="3"/>
        <v>0</v>
      </c>
    </row>
    <row r="22" spans="2:15" ht="18" customHeight="1">
      <c r="B22" s="48" t="s">
        <v>42</v>
      </c>
      <c r="C22" s="49">
        <f>SUMPRODUCT(F14:F21*G14:G21)</f>
        <v>9.58</v>
      </c>
      <c r="D22" s="50" t="s">
        <v>43</v>
      </c>
      <c r="E22" s="49">
        <f>SUM(I14:I21)*1.1</f>
        <v>30.982600000000001</v>
      </c>
      <c r="F22" s="50" t="s">
        <v>44</v>
      </c>
      <c r="G22" s="51">
        <f>(C$218+C$219)/1000</f>
        <v>46.081499999999998</v>
      </c>
      <c r="H22" s="52" t="s">
        <v>45</v>
      </c>
      <c r="I22" s="53">
        <f>ROUND(E22*G22,2)</f>
        <v>1427.72</v>
      </c>
      <c r="J22" s="243">
        <f>SUM(G14:G21)</f>
        <v>1</v>
      </c>
    </row>
    <row r="23" spans="2:15" ht="18" customHeight="1">
      <c r="B23" s="48" t="s">
        <v>46</v>
      </c>
      <c r="C23" s="50">
        <v>207.36</v>
      </c>
      <c r="D23" s="50" t="s">
        <v>47</v>
      </c>
      <c r="E23" s="49">
        <f>ROUND(C22*(C23/1000),2)</f>
        <v>1.99</v>
      </c>
      <c r="F23" s="50" t="s">
        <v>48</v>
      </c>
      <c r="G23" s="50">
        <v>10</v>
      </c>
      <c r="H23" s="52" t="s">
        <v>49</v>
      </c>
      <c r="I23" s="53">
        <f>E23*G23</f>
        <v>19.899999999999999</v>
      </c>
    </row>
    <row r="24" spans="2:15" ht="18" customHeight="1" thickBot="1">
      <c r="B24" s="48" t="s">
        <v>50</v>
      </c>
      <c r="C24" s="50">
        <v>169.96</v>
      </c>
      <c r="D24" s="50" t="s">
        <v>51</v>
      </c>
      <c r="E24" s="49">
        <f>ROUND(C22*(C24/1000),2)</f>
        <v>1.63</v>
      </c>
      <c r="F24" s="50" t="s">
        <v>48</v>
      </c>
      <c r="G24" s="50">
        <v>10</v>
      </c>
      <c r="H24" s="52" t="s">
        <v>49</v>
      </c>
      <c r="I24" s="53">
        <f>E24*G24</f>
        <v>16.299999999999997</v>
      </c>
    </row>
    <row r="25" spans="2:15" ht="18" customHeight="1">
      <c r="B25" s="23" t="s">
        <v>36</v>
      </c>
      <c r="C25" s="252" t="s">
        <v>14</v>
      </c>
      <c r="D25" s="252" t="s">
        <v>37</v>
      </c>
      <c r="E25" s="252" t="s">
        <v>38</v>
      </c>
      <c r="F25" s="252" t="s">
        <v>39</v>
      </c>
      <c r="G25" s="252" t="s">
        <v>8</v>
      </c>
      <c r="H25" s="252" t="s">
        <v>22</v>
      </c>
      <c r="I25" s="25" t="s">
        <v>40</v>
      </c>
      <c r="J25" s="54" t="s">
        <v>2</v>
      </c>
      <c r="K25" s="55" t="s">
        <v>3</v>
      </c>
      <c r="L25" s="55" t="s">
        <v>52</v>
      </c>
      <c r="M25" s="55" t="s">
        <v>53</v>
      </c>
      <c r="N25" s="56" t="s">
        <v>14</v>
      </c>
    </row>
    <row r="26" spans="2:15" ht="18" customHeight="1">
      <c r="B26" s="648" t="s">
        <v>54</v>
      </c>
      <c r="C26" s="649" t="s">
        <v>55</v>
      </c>
      <c r="D26" s="253">
        <f>J26-IF(L26=1,44,IF(L26=2,30,IF(L26=3,16,0)))</f>
        <v>0</v>
      </c>
      <c r="E26" s="253">
        <f>K26-IF(M26=1,44,IF(M26=2,30,IF(M26=3,16,0)))</f>
        <v>0</v>
      </c>
      <c r="F26" s="44">
        <f>ROUND((D26+E26)*2/1000,4)</f>
        <v>0</v>
      </c>
      <c r="G26" s="250"/>
      <c r="H26" s="58">
        <v>1.62</v>
      </c>
      <c r="I26" s="59">
        <f>IF(AND(D26&gt;0,E26&gt;0,F26&gt;0),F26*G26*H26,0)</f>
        <v>0</v>
      </c>
      <c r="J26" s="60"/>
      <c r="K26" s="61"/>
      <c r="L26" s="61"/>
      <c r="M26" s="61"/>
      <c r="N26" s="62" t="s">
        <v>56</v>
      </c>
      <c r="O26" s="63" t="s">
        <v>57</v>
      </c>
    </row>
    <row r="27" spans="2:15" ht="18" customHeight="1">
      <c r="B27" s="648"/>
      <c r="C27" s="650"/>
      <c r="D27" s="253">
        <f t="shared" ref="D27:E30" si="4">J27-IF(L27=1,44,IF(L27=2,30,IF(L27=3,16,0)))</f>
        <v>0</v>
      </c>
      <c r="E27" s="253">
        <f t="shared" si="4"/>
        <v>0</v>
      </c>
      <c r="F27" s="44">
        <f>ROUND((D27+E27)*2/1000,4)</f>
        <v>0</v>
      </c>
      <c r="G27" s="250"/>
      <c r="H27" s="58">
        <f>H26</f>
        <v>1.62</v>
      </c>
      <c r="I27" s="59">
        <f>IF(AND(D27&gt;0,E27&gt;0,F27&gt;0),F27*G27*H27,0)</f>
        <v>0</v>
      </c>
      <c r="J27" s="60"/>
      <c r="K27" s="61"/>
      <c r="L27" s="61"/>
      <c r="M27" s="61"/>
      <c r="N27" s="62" t="s">
        <v>58</v>
      </c>
      <c r="O27" s="63" t="s">
        <v>59</v>
      </c>
    </row>
    <row r="28" spans="2:15" ht="18" customHeight="1">
      <c r="B28" s="648"/>
      <c r="C28" s="650"/>
      <c r="D28" s="253">
        <f t="shared" si="4"/>
        <v>0</v>
      </c>
      <c r="E28" s="253">
        <f t="shared" si="4"/>
        <v>0</v>
      </c>
      <c r="F28" s="44">
        <f>ROUND((D28+E28)*2/1000,4)</f>
        <v>0</v>
      </c>
      <c r="G28" s="250"/>
      <c r="H28" s="58">
        <f>H27</f>
        <v>1.62</v>
      </c>
      <c r="I28" s="59">
        <f>IF(AND(D28&gt;0,E28&gt;0,F28&gt;0),F28*G28*H28,0)</f>
        <v>0</v>
      </c>
      <c r="J28" s="60"/>
      <c r="K28" s="61"/>
      <c r="L28" s="61"/>
      <c r="M28" s="61"/>
      <c r="N28" s="62" t="s">
        <v>60</v>
      </c>
      <c r="O28" s="63" t="s">
        <v>59</v>
      </c>
    </row>
    <row r="29" spans="2:15" ht="18" customHeight="1">
      <c r="B29" s="648"/>
      <c r="C29" s="650"/>
      <c r="D29" s="253">
        <f t="shared" si="4"/>
        <v>0</v>
      </c>
      <c r="E29" s="253">
        <f t="shared" si="4"/>
        <v>0</v>
      </c>
      <c r="F29" s="44">
        <f>ROUND((D29+E29)*2/1000,4)</f>
        <v>0</v>
      </c>
      <c r="G29" s="250"/>
      <c r="H29" s="58">
        <f>H28</f>
        <v>1.62</v>
      </c>
      <c r="I29" s="59">
        <f>IF(AND(D29&gt;0,E29&gt;0,F29&gt;0),F29*G29*H29,0)</f>
        <v>0</v>
      </c>
      <c r="J29" s="60"/>
      <c r="K29" s="61"/>
      <c r="L29" s="61"/>
      <c r="M29" s="61"/>
      <c r="N29" s="62"/>
    </row>
    <row r="30" spans="2:15" ht="18" customHeight="1" thickBot="1">
      <c r="B30" s="648"/>
      <c r="C30" s="651"/>
      <c r="D30" s="253">
        <f t="shared" si="4"/>
        <v>0</v>
      </c>
      <c r="E30" s="253">
        <f t="shared" si="4"/>
        <v>0</v>
      </c>
      <c r="F30" s="44">
        <f>ROUND((D30+E30)*2/1000,4)</f>
        <v>0</v>
      </c>
      <c r="G30" s="250"/>
      <c r="H30" s="58">
        <f>H29</f>
        <v>1.62</v>
      </c>
      <c r="I30" s="59">
        <f>IF(AND(D30&gt;0,E30&gt;0,F30&gt;0),F30*G30*H30,0)</f>
        <v>0</v>
      </c>
      <c r="J30" s="64"/>
      <c r="K30" s="65"/>
      <c r="L30" s="65"/>
      <c r="M30" s="65"/>
      <c r="N30" s="66"/>
    </row>
    <row r="31" spans="2:15" ht="18" customHeight="1">
      <c r="B31" s="48" t="s">
        <v>42</v>
      </c>
      <c r="C31" s="49">
        <f>SUMPRODUCT(F26:F30*G26:G30)</f>
        <v>0</v>
      </c>
      <c r="D31" s="50" t="s">
        <v>43</v>
      </c>
      <c r="E31" s="49">
        <f>SUM(I26:I30)*1.1</f>
        <v>0</v>
      </c>
      <c r="F31" s="50" t="s">
        <v>44</v>
      </c>
      <c r="G31" s="51">
        <f>(C$218+C$221)/1000</f>
        <v>46.081499999999998</v>
      </c>
      <c r="H31" s="52" t="s">
        <v>45</v>
      </c>
      <c r="I31" s="53">
        <f>ROUND(E31*G31,2)</f>
        <v>0</v>
      </c>
      <c r="J31" s="243">
        <f>SUM(G26:G30)</f>
        <v>0</v>
      </c>
    </row>
    <row r="32" spans="2:15" ht="18" customHeight="1">
      <c r="B32" s="48" t="s">
        <v>46</v>
      </c>
      <c r="C32" s="50">
        <v>183.32</v>
      </c>
      <c r="D32" s="50" t="s">
        <v>47</v>
      </c>
      <c r="E32" s="49">
        <f>ROUND(C31*(C32/1000),2)</f>
        <v>0</v>
      </c>
      <c r="F32" s="50" t="s">
        <v>48</v>
      </c>
      <c r="G32" s="50">
        <f>G$23</f>
        <v>10</v>
      </c>
      <c r="H32" s="52" t="s">
        <v>49</v>
      </c>
      <c r="I32" s="53">
        <f>E32*G32</f>
        <v>0</v>
      </c>
    </row>
    <row r="33" spans="2:14" ht="18" customHeight="1" thickBot="1">
      <c r="B33" s="48" t="s">
        <v>50</v>
      </c>
      <c r="C33" s="50">
        <v>257.82</v>
      </c>
      <c r="D33" s="50" t="s">
        <v>51</v>
      </c>
      <c r="E33" s="49">
        <f>ROUND(C31*(C33/1000),2)</f>
        <v>0</v>
      </c>
      <c r="F33" s="50" t="s">
        <v>48</v>
      </c>
      <c r="G33" s="50">
        <f>G$24</f>
        <v>10</v>
      </c>
      <c r="H33" s="52" t="s">
        <v>49</v>
      </c>
      <c r="I33" s="53">
        <f>E33*G33</f>
        <v>0</v>
      </c>
    </row>
    <row r="34" spans="2:14" ht="18" customHeight="1" thickBot="1">
      <c r="B34" s="67" t="s">
        <v>36</v>
      </c>
      <c r="C34" s="68" t="s">
        <v>14</v>
      </c>
      <c r="D34" s="68" t="s">
        <v>37</v>
      </c>
      <c r="E34" s="68" t="s">
        <v>38</v>
      </c>
      <c r="F34" s="68" t="s">
        <v>39</v>
      </c>
      <c r="G34" s="68" t="s">
        <v>8</v>
      </c>
      <c r="H34" s="68" t="s">
        <v>22</v>
      </c>
      <c r="I34" s="69" t="s">
        <v>40</v>
      </c>
      <c r="J34" s="54" t="s">
        <v>2</v>
      </c>
      <c r="K34" s="55" t="s">
        <v>3</v>
      </c>
      <c r="L34" s="55" t="s">
        <v>61</v>
      </c>
      <c r="M34" s="55" t="s">
        <v>62</v>
      </c>
      <c r="N34" s="70" t="s">
        <v>14</v>
      </c>
    </row>
    <row r="35" spans="2:14" ht="18" customHeight="1">
      <c r="B35" s="648" t="s">
        <v>63</v>
      </c>
      <c r="C35" s="649" t="s">
        <v>64</v>
      </c>
      <c r="D35" s="253">
        <f t="shared" ref="D35:E37" si="5">J35-IF(L35=1,44,IF(L35=2,30,IF(L35=3,16,IF(L35=11,118,IF(L35=12,100,IF(L35=13,76.8,0))))))</f>
        <v>375</v>
      </c>
      <c r="E35" s="253">
        <f t="shared" si="5"/>
        <v>740</v>
      </c>
      <c r="F35" s="250">
        <f>ROUND((D35+E35)*2/1000,4)</f>
        <v>2.23</v>
      </c>
      <c r="G35" s="250">
        <v>2</v>
      </c>
      <c r="H35" s="58">
        <v>1.8140000000000001</v>
      </c>
      <c r="I35" s="59">
        <f>ROUND(F35*G35*H35,3)</f>
        <v>8.09</v>
      </c>
      <c r="J35" s="60">
        <v>475</v>
      </c>
      <c r="K35" s="61">
        <v>840</v>
      </c>
      <c r="L35" s="61">
        <v>12</v>
      </c>
      <c r="M35" s="61">
        <v>12</v>
      </c>
      <c r="N35" s="71" t="s">
        <v>56</v>
      </c>
    </row>
    <row r="36" spans="2:14" ht="18" customHeight="1">
      <c r="B36" s="660"/>
      <c r="C36" s="650"/>
      <c r="D36" s="253">
        <f t="shared" si="5"/>
        <v>0</v>
      </c>
      <c r="E36" s="253">
        <f t="shared" si="5"/>
        <v>0</v>
      </c>
      <c r="F36" s="250">
        <f>ROUND((D36+E36)*2/1000,4)</f>
        <v>0</v>
      </c>
      <c r="G36" s="250"/>
      <c r="H36" s="58">
        <f>H35</f>
        <v>1.8140000000000001</v>
      </c>
      <c r="I36" s="59">
        <f>ROUND(F36*G36*H36,3)</f>
        <v>0</v>
      </c>
      <c r="J36" s="60"/>
      <c r="K36" s="61"/>
      <c r="L36" s="61"/>
      <c r="M36" s="61"/>
      <c r="N36" s="72" t="s">
        <v>58</v>
      </c>
    </row>
    <row r="37" spans="2:14" ht="18" customHeight="1">
      <c r="B37" s="660"/>
      <c r="C37" s="651"/>
      <c r="D37" s="253">
        <f t="shared" si="5"/>
        <v>0</v>
      </c>
      <c r="E37" s="253">
        <f t="shared" si="5"/>
        <v>0</v>
      </c>
      <c r="F37" s="250">
        <f>ROUND((D37+E37)*2/1000,4)</f>
        <v>0</v>
      </c>
      <c r="G37" s="250"/>
      <c r="H37" s="58">
        <f>H36</f>
        <v>1.8140000000000001</v>
      </c>
      <c r="I37" s="59">
        <f>ROUND(F37*G37*H37,3)</f>
        <v>0</v>
      </c>
      <c r="J37" s="60"/>
      <c r="K37" s="61"/>
      <c r="L37" s="61"/>
      <c r="M37" s="61"/>
      <c r="N37" s="72" t="s">
        <v>60</v>
      </c>
    </row>
    <row r="38" spans="2:14" ht="18" customHeight="1">
      <c r="B38" s="48" t="s">
        <v>42</v>
      </c>
      <c r="C38" s="49">
        <f>SUMPRODUCT(F35:F37*G35:G37)</f>
        <v>4.46</v>
      </c>
      <c r="D38" s="50" t="s">
        <v>43</v>
      </c>
      <c r="E38" s="49">
        <f>SUM(I35:I37)*1.1</f>
        <v>8.8990000000000009</v>
      </c>
      <c r="F38" s="50" t="s">
        <v>44</v>
      </c>
      <c r="G38" s="51">
        <f>(C$218+C$219)/1000</f>
        <v>46.081499999999998</v>
      </c>
      <c r="H38" s="52" t="s">
        <v>45</v>
      </c>
      <c r="I38" s="53">
        <f>ROUND(E38*G38,2)</f>
        <v>410.08</v>
      </c>
      <c r="J38" s="243">
        <f>SUM(G35:G37)</f>
        <v>2</v>
      </c>
      <c r="K38" s="255"/>
      <c r="L38" s="255"/>
      <c r="M38" s="255"/>
      <c r="N38" s="73" t="s">
        <v>65</v>
      </c>
    </row>
    <row r="39" spans="2:14" ht="18" customHeight="1">
      <c r="B39" s="48" t="s">
        <v>46</v>
      </c>
      <c r="C39" s="50">
        <v>320.14</v>
      </c>
      <c r="D39" s="50" t="s">
        <v>47</v>
      </c>
      <c r="E39" s="49">
        <f>ROUND(C38*(C39/1000),2)</f>
        <v>1.43</v>
      </c>
      <c r="F39" s="50" t="s">
        <v>48</v>
      </c>
      <c r="G39" s="50">
        <f>G$23</f>
        <v>10</v>
      </c>
      <c r="H39" s="52" t="s">
        <v>49</v>
      </c>
      <c r="I39" s="53">
        <f>E39*G39</f>
        <v>14.299999999999999</v>
      </c>
      <c r="J39" s="255"/>
      <c r="K39" s="255"/>
      <c r="L39" s="255"/>
      <c r="M39" s="255"/>
      <c r="N39" s="73" t="s">
        <v>66</v>
      </c>
    </row>
    <row r="40" spans="2:14" ht="18" customHeight="1" thickBot="1">
      <c r="B40" s="48" t="s">
        <v>50</v>
      </c>
      <c r="C40" s="50">
        <v>156.99</v>
      </c>
      <c r="D40" s="50" t="s">
        <v>51</v>
      </c>
      <c r="E40" s="49">
        <f>ROUND(C38*(C40/1000),2)</f>
        <v>0.7</v>
      </c>
      <c r="F40" s="50" t="s">
        <v>48</v>
      </c>
      <c r="G40" s="50">
        <f>G$24</f>
        <v>10</v>
      </c>
      <c r="H40" s="52" t="s">
        <v>49</v>
      </c>
      <c r="I40" s="53">
        <f>E40*G40</f>
        <v>7</v>
      </c>
      <c r="J40" s="255"/>
      <c r="K40" s="255"/>
      <c r="L40" s="255"/>
      <c r="M40" s="255"/>
      <c r="N40" s="74" t="s">
        <v>67</v>
      </c>
    </row>
    <row r="41" spans="2:14" ht="18" customHeight="1" thickBot="1">
      <c r="B41" s="23" t="s">
        <v>36</v>
      </c>
      <c r="C41" s="252" t="s">
        <v>14</v>
      </c>
      <c r="D41" s="252" t="s">
        <v>37</v>
      </c>
      <c r="E41" s="252" t="s">
        <v>38</v>
      </c>
      <c r="F41" s="252" t="s">
        <v>39</v>
      </c>
      <c r="G41" s="252" t="s">
        <v>8</v>
      </c>
      <c r="H41" s="252" t="s">
        <v>22</v>
      </c>
      <c r="I41" s="25" t="s">
        <v>40</v>
      </c>
      <c r="J41" s="54" t="s">
        <v>2</v>
      </c>
      <c r="K41" s="55" t="s">
        <v>3</v>
      </c>
      <c r="L41" s="55" t="s">
        <v>61</v>
      </c>
      <c r="M41" s="55" t="s">
        <v>62</v>
      </c>
      <c r="N41" s="70" t="s">
        <v>14</v>
      </c>
    </row>
    <row r="42" spans="2:14" ht="18" customHeight="1">
      <c r="B42" s="648" t="s">
        <v>68</v>
      </c>
      <c r="C42" s="649" t="s">
        <v>69</v>
      </c>
      <c r="D42" s="253">
        <f>J42-IF(L42=1,46,IF(L42=2,34.5,IF(L42=3,23)))</f>
        <v>440.5</v>
      </c>
      <c r="E42" s="253">
        <f>K42-IF(M42=1,46,IF(M42=2,34.5,IF(M42=3,23)))</f>
        <v>805.5</v>
      </c>
      <c r="F42" s="250">
        <f t="shared" ref="F42:F47" si="6">ROUND((D42+E42)*2/1000,4)</f>
        <v>2.492</v>
      </c>
      <c r="G42" s="250">
        <f>G35</f>
        <v>2</v>
      </c>
      <c r="H42" s="250">
        <v>1.26</v>
      </c>
      <c r="I42" s="59">
        <f t="shared" ref="I42:I47" si="7">ROUND(F42*G42*H42,3)</f>
        <v>6.28</v>
      </c>
      <c r="J42" s="60">
        <f>J35</f>
        <v>475</v>
      </c>
      <c r="K42" s="61">
        <f>K35</f>
        <v>840</v>
      </c>
      <c r="L42" s="61">
        <v>2</v>
      </c>
      <c r="M42" s="61">
        <v>2</v>
      </c>
      <c r="N42" s="71" t="s">
        <v>56</v>
      </c>
    </row>
    <row r="43" spans="2:14" ht="18" customHeight="1">
      <c r="B43" s="648"/>
      <c r="C43" s="650"/>
      <c r="D43" s="253">
        <f t="shared" ref="D43:E47" si="8">J43-IF(L43=1,46,IF(L43=2,34.5,IF(L43=3,23)))</f>
        <v>0</v>
      </c>
      <c r="E43" s="253">
        <f t="shared" si="8"/>
        <v>0</v>
      </c>
      <c r="F43" s="250">
        <f t="shared" si="6"/>
        <v>0</v>
      </c>
      <c r="G43" s="250"/>
      <c r="H43" s="250">
        <f>H42</f>
        <v>1.26</v>
      </c>
      <c r="I43" s="59">
        <f t="shared" si="7"/>
        <v>0</v>
      </c>
      <c r="J43" s="60"/>
      <c r="K43" s="61"/>
      <c r="L43" s="61"/>
      <c r="M43" s="61"/>
      <c r="N43" s="72" t="s">
        <v>58</v>
      </c>
    </row>
    <row r="44" spans="2:14" ht="18" customHeight="1">
      <c r="B44" s="648"/>
      <c r="C44" s="651"/>
      <c r="D44" s="253">
        <f t="shared" si="8"/>
        <v>0</v>
      </c>
      <c r="E44" s="253">
        <f t="shared" si="8"/>
        <v>0</v>
      </c>
      <c r="F44" s="250">
        <f t="shared" si="6"/>
        <v>0</v>
      </c>
      <c r="G44" s="250"/>
      <c r="H44" s="250">
        <f>H43</f>
        <v>1.26</v>
      </c>
      <c r="I44" s="59">
        <f t="shared" si="7"/>
        <v>0</v>
      </c>
      <c r="J44" s="60"/>
      <c r="K44" s="61"/>
      <c r="L44" s="61"/>
      <c r="M44" s="61"/>
      <c r="N44" s="72" t="s">
        <v>60</v>
      </c>
    </row>
    <row r="45" spans="2:14" ht="18" customHeight="1">
      <c r="B45" s="648"/>
      <c r="C45" s="649" t="s">
        <v>70</v>
      </c>
      <c r="D45" s="253">
        <f t="shared" si="8"/>
        <v>0</v>
      </c>
      <c r="E45" s="253">
        <f t="shared" si="8"/>
        <v>0</v>
      </c>
      <c r="F45" s="250">
        <f t="shared" si="6"/>
        <v>0</v>
      </c>
      <c r="G45" s="250"/>
      <c r="H45" s="250">
        <f>H44</f>
        <v>1.26</v>
      </c>
      <c r="I45" s="59">
        <f t="shared" si="7"/>
        <v>0</v>
      </c>
      <c r="J45" s="60"/>
      <c r="K45" s="61"/>
      <c r="L45" s="61"/>
      <c r="M45" s="61"/>
      <c r="N45" s="71" t="s">
        <v>56</v>
      </c>
    </row>
    <row r="46" spans="2:14" ht="18" customHeight="1">
      <c r="B46" s="648"/>
      <c r="C46" s="650"/>
      <c r="D46" s="253">
        <f t="shared" si="8"/>
        <v>0</v>
      </c>
      <c r="E46" s="253">
        <f t="shared" si="8"/>
        <v>0</v>
      </c>
      <c r="F46" s="250">
        <f t="shared" si="6"/>
        <v>0</v>
      </c>
      <c r="G46" s="250"/>
      <c r="H46" s="250">
        <f>H45</f>
        <v>1.26</v>
      </c>
      <c r="I46" s="59">
        <f t="shared" si="7"/>
        <v>0</v>
      </c>
      <c r="J46" s="60"/>
      <c r="K46" s="61"/>
      <c r="L46" s="61"/>
      <c r="M46" s="61"/>
      <c r="N46" s="72" t="s">
        <v>58</v>
      </c>
    </row>
    <row r="47" spans="2:14" ht="18" customHeight="1" thickBot="1">
      <c r="B47" s="648"/>
      <c r="C47" s="651"/>
      <c r="D47" s="253">
        <f t="shared" si="8"/>
        <v>0</v>
      </c>
      <c r="E47" s="253">
        <f t="shared" si="8"/>
        <v>0</v>
      </c>
      <c r="F47" s="250">
        <f t="shared" si="6"/>
        <v>0</v>
      </c>
      <c r="G47" s="250"/>
      <c r="H47" s="250">
        <f>H46</f>
        <v>1.26</v>
      </c>
      <c r="I47" s="59">
        <f t="shared" si="7"/>
        <v>0</v>
      </c>
      <c r="J47" s="64"/>
      <c r="K47" s="65"/>
      <c r="L47" s="65"/>
      <c r="M47" s="65"/>
      <c r="N47" s="75" t="s">
        <v>60</v>
      </c>
    </row>
    <row r="48" spans="2:14" ht="18" customHeight="1">
      <c r="B48" s="48" t="s">
        <v>42</v>
      </c>
      <c r="C48" s="49">
        <f>SUMPRODUCT(F42:F47*G42:G47)</f>
        <v>4.984</v>
      </c>
      <c r="D48" s="50" t="s">
        <v>43</v>
      </c>
      <c r="E48" s="49">
        <f>SUM(I42:I47)*1.1</f>
        <v>6.9080000000000013</v>
      </c>
      <c r="F48" s="50" t="s">
        <v>44</v>
      </c>
      <c r="G48" s="51">
        <f>(C$218+C$219)/1000</f>
        <v>46.081499999999998</v>
      </c>
      <c r="H48" s="52" t="s">
        <v>45</v>
      </c>
      <c r="I48" s="53">
        <f>ROUND(E48*G48,2)</f>
        <v>318.33</v>
      </c>
      <c r="J48" s="243">
        <f>SUM(G42:G47)</f>
        <v>2</v>
      </c>
      <c r="K48" s="255"/>
      <c r="L48" s="255"/>
      <c r="M48" s="255"/>
    </row>
    <row r="49" spans="2:14" ht="18" customHeight="1">
      <c r="B49" s="48" t="s">
        <v>46</v>
      </c>
      <c r="C49" s="50">
        <v>132.47999999999999</v>
      </c>
      <c r="D49" s="50" t="s">
        <v>47</v>
      </c>
      <c r="E49" s="49">
        <f>ROUND(C48*(C49/1000),2)</f>
        <v>0.66</v>
      </c>
      <c r="F49" s="50" t="s">
        <v>48</v>
      </c>
      <c r="G49" s="50">
        <f>G$23</f>
        <v>10</v>
      </c>
      <c r="H49" s="52" t="s">
        <v>49</v>
      </c>
      <c r="I49" s="53">
        <f>E49*G49</f>
        <v>6.6000000000000005</v>
      </c>
      <c r="J49" s="255"/>
      <c r="K49" s="255"/>
      <c r="L49" s="255"/>
      <c r="M49" s="255"/>
    </row>
    <row r="50" spans="2:14" ht="18" customHeight="1" thickBot="1">
      <c r="B50" s="48" t="s">
        <v>50</v>
      </c>
      <c r="C50" s="50">
        <v>202.06</v>
      </c>
      <c r="D50" s="50" t="s">
        <v>51</v>
      </c>
      <c r="E50" s="49">
        <f>ROUND(C48*(C50/1000),2)</f>
        <v>1.01</v>
      </c>
      <c r="F50" s="50" t="s">
        <v>48</v>
      </c>
      <c r="G50" s="50">
        <f>G$24</f>
        <v>10</v>
      </c>
      <c r="H50" s="52" t="s">
        <v>49</v>
      </c>
      <c r="I50" s="53">
        <f>E50*G50</f>
        <v>10.1</v>
      </c>
      <c r="J50" s="255"/>
    </row>
    <row r="51" spans="2:14" ht="18" customHeight="1" thickBot="1">
      <c r="B51" s="23" t="s">
        <v>36</v>
      </c>
      <c r="C51" s="252" t="s">
        <v>14</v>
      </c>
      <c r="D51" s="252" t="s">
        <v>37</v>
      </c>
      <c r="E51" s="252" t="s">
        <v>71</v>
      </c>
      <c r="F51" s="252" t="s">
        <v>38</v>
      </c>
      <c r="G51" s="252" t="s">
        <v>72</v>
      </c>
      <c r="H51" s="252" t="s">
        <v>22</v>
      </c>
      <c r="I51" s="25" t="s">
        <v>40</v>
      </c>
      <c r="J51" s="54" t="s">
        <v>2</v>
      </c>
      <c r="K51" s="55" t="s">
        <v>3</v>
      </c>
      <c r="L51" s="55" t="s">
        <v>61</v>
      </c>
      <c r="M51" s="55" t="s">
        <v>62</v>
      </c>
      <c r="N51" s="70" t="s">
        <v>14</v>
      </c>
    </row>
    <row r="52" spans="2:14" ht="18" customHeight="1">
      <c r="B52" s="648" t="s">
        <v>73</v>
      </c>
      <c r="C52" s="649" t="s">
        <v>405</v>
      </c>
      <c r="D52" s="253">
        <f>J52-IF(L52=1,46,IF(L52=2,32,IF(L52=3,18,0)))</f>
        <v>523</v>
      </c>
      <c r="E52" s="253">
        <v>10</v>
      </c>
      <c r="F52" s="253">
        <f>K52-IF(M52=1,46,IF(M52=2,32,IF(M52=3,118,0)))</f>
        <v>0</v>
      </c>
      <c r="G52" s="250"/>
      <c r="H52" s="250">
        <v>1.6379999999999999</v>
      </c>
      <c r="I52" s="59">
        <f>ROUND((D52*E52+F52*G52)/1000*H52,3)</f>
        <v>8.5670000000000002</v>
      </c>
      <c r="J52" s="60">
        <f>D14/4</f>
        <v>555</v>
      </c>
      <c r="K52" s="61"/>
      <c r="L52" s="61">
        <v>2</v>
      </c>
      <c r="M52" s="61"/>
      <c r="N52" s="76" t="s">
        <v>56</v>
      </c>
    </row>
    <row r="53" spans="2:14" ht="18" customHeight="1">
      <c r="B53" s="648"/>
      <c r="C53" s="650"/>
      <c r="D53" s="253">
        <f t="shared" ref="D53:D55" si="9">J53-IF(L53=1,46,IF(L53=2,32,IF(L53=3,18,0)))</f>
        <v>0</v>
      </c>
      <c r="E53" s="253"/>
      <c r="F53" s="253">
        <f t="shared" ref="F53:F55" si="10">K53-IF(M53=1,46,IF(M53=2,32,IF(M53=3,118,0)))</f>
        <v>0</v>
      </c>
      <c r="G53" s="250"/>
      <c r="H53" s="250">
        <f>H52</f>
        <v>1.6379999999999999</v>
      </c>
      <c r="I53" s="59">
        <f>ROUND((D53*E53+F53*G53)/1000*H53,3)</f>
        <v>0</v>
      </c>
      <c r="J53" s="60"/>
      <c r="K53" s="61"/>
      <c r="L53" s="61"/>
      <c r="M53" s="61"/>
      <c r="N53" s="76" t="s">
        <v>58</v>
      </c>
    </row>
    <row r="54" spans="2:14" ht="18" customHeight="1">
      <c r="B54" s="648"/>
      <c r="C54" s="650"/>
      <c r="D54" s="253">
        <f t="shared" si="9"/>
        <v>0</v>
      </c>
      <c r="E54" s="253"/>
      <c r="F54" s="253">
        <f t="shared" si="10"/>
        <v>0</v>
      </c>
      <c r="G54" s="250"/>
      <c r="H54" s="250">
        <f>H53</f>
        <v>1.6379999999999999</v>
      </c>
      <c r="I54" s="59">
        <f>ROUND((D54*E54+F54*G54)/1000*H54,3)</f>
        <v>0</v>
      </c>
      <c r="J54" s="60"/>
      <c r="K54" s="61"/>
      <c r="L54" s="61"/>
      <c r="M54" s="61"/>
      <c r="N54" s="76" t="s">
        <v>60</v>
      </c>
    </row>
    <row r="55" spans="2:14" ht="18" customHeight="1" thickBot="1">
      <c r="B55" s="648"/>
      <c r="C55" s="651"/>
      <c r="D55" s="253">
        <f t="shared" si="9"/>
        <v>0</v>
      </c>
      <c r="E55" s="253"/>
      <c r="F55" s="253">
        <f t="shared" si="10"/>
        <v>0</v>
      </c>
      <c r="G55" s="250"/>
      <c r="H55" s="77">
        <f>H54</f>
        <v>1.6379999999999999</v>
      </c>
      <c r="I55" s="59">
        <f>ROUND((D55*E55+F55*G55)/1000*H55,3)</f>
        <v>0</v>
      </c>
      <c r="J55" s="78"/>
      <c r="K55" s="79"/>
      <c r="L55" s="79"/>
      <c r="M55" s="79"/>
      <c r="N55" s="80"/>
    </row>
    <row r="56" spans="2:14" ht="18" customHeight="1">
      <c r="B56" s="48" t="s">
        <v>42</v>
      </c>
      <c r="C56" s="49">
        <f>SUMPRODUCT(D52:D55*E52:E55+F52:F55*G52:G55)/1000</f>
        <v>5.23</v>
      </c>
      <c r="D56" s="50" t="s">
        <v>43</v>
      </c>
      <c r="E56" s="49">
        <f>SUM(I52:I55)*1.1</f>
        <v>9.4237000000000002</v>
      </c>
      <c r="F56" s="50" t="s">
        <v>44</v>
      </c>
      <c r="G56" s="51">
        <f>(C$218+C$219)/1000</f>
        <v>46.081499999999998</v>
      </c>
      <c r="H56" s="52" t="s">
        <v>45</v>
      </c>
      <c r="I56" s="53">
        <f>ROUND(E56*G56,2)</f>
        <v>434.26</v>
      </c>
      <c r="J56" s="243">
        <f>SUM(E52:E55)+SUM(G52:G55)</f>
        <v>10</v>
      </c>
    </row>
    <row r="57" spans="2:14" ht="18" customHeight="1">
      <c r="B57" s="48" t="s">
        <v>46</v>
      </c>
      <c r="C57" s="50">
        <v>265.52999999999997</v>
      </c>
      <c r="D57" s="50" t="s">
        <v>47</v>
      </c>
      <c r="E57" s="49">
        <f>ROUND(C56*(C57/1000),2)</f>
        <v>1.39</v>
      </c>
      <c r="F57" s="50" t="s">
        <v>48</v>
      </c>
      <c r="G57" s="50">
        <f>G$23</f>
        <v>10</v>
      </c>
      <c r="H57" s="52" t="s">
        <v>49</v>
      </c>
      <c r="I57" s="53">
        <f>E57*G57</f>
        <v>13.899999999999999</v>
      </c>
      <c r="L57" s="47"/>
    </row>
    <row r="58" spans="2:14" ht="18" customHeight="1">
      <c r="B58" s="48" t="s">
        <v>50</v>
      </c>
      <c r="C58" s="50">
        <v>173.62</v>
      </c>
      <c r="D58" s="50" t="s">
        <v>51</v>
      </c>
      <c r="E58" s="49">
        <f>ROUND(C56*(C58/1000),2)</f>
        <v>0.91</v>
      </c>
      <c r="F58" s="50" t="s">
        <v>48</v>
      </c>
      <c r="G58" s="50">
        <f>G$24</f>
        <v>10</v>
      </c>
      <c r="H58" s="52" t="s">
        <v>49</v>
      </c>
      <c r="I58" s="53">
        <f>E58*G58</f>
        <v>9.1</v>
      </c>
      <c r="L58" s="47"/>
    </row>
    <row r="59" spans="2:14" ht="18" customHeight="1">
      <c r="B59" s="23" t="s">
        <v>36</v>
      </c>
      <c r="C59" s="252" t="s">
        <v>14</v>
      </c>
      <c r="D59" s="652" t="s">
        <v>74</v>
      </c>
      <c r="E59" s="652"/>
      <c r="F59" s="652"/>
      <c r="G59" s="252" t="s">
        <v>75</v>
      </c>
      <c r="H59" s="252" t="s">
        <v>22</v>
      </c>
      <c r="I59" s="25" t="s">
        <v>40</v>
      </c>
      <c r="L59" s="47"/>
    </row>
    <row r="60" spans="2:14" ht="18" customHeight="1">
      <c r="B60" s="648" t="s">
        <v>76</v>
      </c>
      <c r="C60" s="649" t="s">
        <v>77</v>
      </c>
      <c r="D60" s="646"/>
      <c r="E60" s="646"/>
      <c r="F60" s="646"/>
      <c r="G60" s="250"/>
      <c r="H60" s="250">
        <v>1.9339999999999999</v>
      </c>
      <c r="I60" s="59">
        <f>ROUND(D60*G60*H60/1000,3)</f>
        <v>0</v>
      </c>
      <c r="L60" s="47"/>
    </row>
    <row r="61" spans="2:14" ht="18" customHeight="1">
      <c r="B61" s="648"/>
      <c r="C61" s="651"/>
      <c r="D61" s="646"/>
      <c r="E61" s="646"/>
      <c r="F61" s="646"/>
      <c r="G61" s="250"/>
      <c r="H61" s="250">
        <v>1.9339999999999999</v>
      </c>
      <c r="I61" s="59">
        <f>ROUND(D61*G61*H61/1000,3)</f>
        <v>0</v>
      </c>
    </row>
    <row r="62" spans="2:14" ht="18" customHeight="1">
      <c r="B62" s="648"/>
      <c r="C62" s="649" t="s">
        <v>78</v>
      </c>
      <c r="D62" s="646">
        <f>E14</f>
        <v>2570</v>
      </c>
      <c r="E62" s="646"/>
      <c r="F62" s="646"/>
      <c r="G62" s="250">
        <v>4</v>
      </c>
      <c r="H62" s="250">
        <v>2.3130000000000002</v>
      </c>
      <c r="I62" s="59">
        <f>ROUND(D62*G62*H62/1000,3)</f>
        <v>23.777999999999999</v>
      </c>
    </row>
    <row r="63" spans="2:14" ht="18" customHeight="1">
      <c r="B63" s="648"/>
      <c r="C63" s="651"/>
      <c r="D63" s="646"/>
      <c r="E63" s="646"/>
      <c r="F63" s="646"/>
      <c r="G63" s="250"/>
      <c r="H63" s="250">
        <v>2.3130000000000002</v>
      </c>
      <c r="I63" s="59">
        <f>ROUND(D63*G63*H63/1000,3)</f>
        <v>0</v>
      </c>
    </row>
    <row r="64" spans="2:14" ht="18" customHeight="1">
      <c r="B64" s="48" t="s">
        <v>42</v>
      </c>
      <c r="C64" s="49">
        <f>SUMPRODUCT(D60:F63*G60:G63)/1000</f>
        <v>10.28</v>
      </c>
      <c r="D64" s="50" t="s">
        <v>43</v>
      </c>
      <c r="E64" s="49">
        <f>SUM(I60:I63)*1.1</f>
        <v>26.155799999999999</v>
      </c>
      <c r="F64" s="50" t="s">
        <v>44</v>
      </c>
      <c r="G64" s="51">
        <f>(C$218+C$219)/1000</f>
        <v>46.081499999999998</v>
      </c>
      <c r="H64" s="52" t="s">
        <v>45</v>
      </c>
      <c r="I64" s="53">
        <f>ROUND(E64*G64,2)</f>
        <v>1205.3</v>
      </c>
      <c r="J64" s="43">
        <f>SUM(G60:G63)</f>
        <v>4</v>
      </c>
    </row>
    <row r="65" spans="2:14" ht="18" customHeight="1">
      <c r="B65" s="48" t="s">
        <v>46</v>
      </c>
      <c r="C65" s="50">
        <v>337.92</v>
      </c>
      <c r="D65" s="50" t="s">
        <v>47</v>
      </c>
      <c r="E65" s="49">
        <f>ROUND(C64*(C65/1000),2)</f>
        <v>3.47</v>
      </c>
      <c r="F65" s="50" t="s">
        <v>48</v>
      </c>
      <c r="G65" s="50">
        <f>G$23</f>
        <v>10</v>
      </c>
      <c r="H65" s="52" t="s">
        <v>49</v>
      </c>
      <c r="I65" s="53">
        <f>E65*G65</f>
        <v>34.700000000000003</v>
      </c>
    </row>
    <row r="66" spans="2:14" ht="18" customHeight="1" thickBot="1">
      <c r="B66" s="48" t="s">
        <v>50</v>
      </c>
      <c r="C66" s="50">
        <v>175.93</v>
      </c>
      <c r="D66" s="50" t="s">
        <v>51</v>
      </c>
      <c r="E66" s="49">
        <f>ROUND(C64*(C66/1000),2)</f>
        <v>1.81</v>
      </c>
      <c r="F66" s="50" t="s">
        <v>48</v>
      </c>
      <c r="G66" s="50">
        <f>G$24</f>
        <v>10</v>
      </c>
      <c r="H66" s="52" t="s">
        <v>49</v>
      </c>
      <c r="I66" s="53">
        <f>E66*G66</f>
        <v>18.100000000000001</v>
      </c>
    </row>
    <row r="67" spans="2:14" ht="18" customHeight="1" thickBot="1">
      <c r="B67" s="23" t="s">
        <v>36</v>
      </c>
      <c r="C67" s="252" t="s">
        <v>14</v>
      </c>
      <c r="D67" s="252" t="s">
        <v>37</v>
      </c>
      <c r="E67" s="252" t="s">
        <v>38</v>
      </c>
      <c r="F67" s="252" t="s">
        <v>39</v>
      </c>
      <c r="G67" s="252" t="s">
        <v>8</v>
      </c>
      <c r="H67" s="252" t="s">
        <v>22</v>
      </c>
      <c r="I67" s="25" t="s">
        <v>40</v>
      </c>
      <c r="J67" s="54" t="s">
        <v>2</v>
      </c>
      <c r="K67" s="55" t="s">
        <v>3</v>
      </c>
      <c r="L67" s="55" t="s">
        <v>52</v>
      </c>
      <c r="M67" s="55" t="s">
        <v>53</v>
      </c>
      <c r="N67" s="70" t="s">
        <v>14</v>
      </c>
    </row>
    <row r="68" spans="2:14" ht="18" customHeight="1">
      <c r="B68" s="648" t="s">
        <v>79</v>
      </c>
      <c r="C68" s="649" t="s">
        <v>323</v>
      </c>
      <c r="D68" s="81">
        <f>J68-IF(L68=1,72,IF(L68=2,54,IF(L68=3,26,IF(L68=11,102.8,IF(L68=12,88.8,IF(L68=13,74.8,0))))))</f>
        <v>0</v>
      </c>
      <c r="E68" s="81">
        <f>K68-IF(M68=1,72,IF(M68=2,24,IF(M68=3,26,IF(M68=11,102.8,IF(M68=12,88.8,IF(M68=13,74.8,0))))))</f>
        <v>0</v>
      </c>
      <c r="F68" s="81">
        <f>2*(D68+E68)/1000</f>
        <v>0</v>
      </c>
      <c r="G68" s="82"/>
      <c r="H68" s="250">
        <v>0.224</v>
      </c>
      <c r="I68" s="283">
        <f>ROUND(F68*G68*H68,3)*2</f>
        <v>0</v>
      </c>
      <c r="J68" s="83"/>
      <c r="K68" s="83"/>
      <c r="L68" s="84"/>
      <c r="M68" s="84"/>
      <c r="N68" s="71" t="s">
        <v>56</v>
      </c>
    </row>
    <row r="69" spans="2:14" ht="18" customHeight="1">
      <c r="B69" s="648"/>
      <c r="C69" s="650"/>
      <c r="D69" s="81">
        <f t="shared" ref="D69:D87" si="11">J69-IF(L69=1,72,IF(L69=2,54,IF(L69=3,26,IF(L69=11,102.8,IF(L69=12,88.8,IF(L69=13,74.8,0))))))</f>
        <v>501</v>
      </c>
      <c r="E69" s="81">
        <f t="shared" ref="E69:E87" si="12">K69-IF(M69=1,72,IF(M69=2,24,IF(M69=3,26,IF(M69=11,102.8,IF(M69=12,88.8,IF(M69=13,74.8,0))))))</f>
        <v>832.66666666666663</v>
      </c>
      <c r="F69" s="81">
        <f t="shared" ref="F69:F87" si="13">2*(D69+E69)/1000</f>
        <v>2.6673333333333331</v>
      </c>
      <c r="G69" s="82">
        <v>13</v>
      </c>
      <c r="H69" s="250">
        <f>H68</f>
        <v>0.224</v>
      </c>
      <c r="I69" s="59">
        <f t="shared" ref="I69:I87" si="14">ROUND(F69*G69*H69,3)</f>
        <v>7.7670000000000003</v>
      </c>
      <c r="J69" s="83">
        <f>J52</f>
        <v>555</v>
      </c>
      <c r="K69" s="84">
        <f>E14/3</f>
        <v>856.66666666666663</v>
      </c>
      <c r="L69" s="84">
        <v>2</v>
      </c>
      <c r="M69" s="84">
        <v>2</v>
      </c>
      <c r="N69" s="72" t="s">
        <v>58</v>
      </c>
    </row>
    <row r="70" spans="2:14" ht="18" customHeight="1">
      <c r="B70" s="648"/>
      <c r="C70" s="650"/>
      <c r="D70" s="81">
        <f t="shared" si="11"/>
        <v>0</v>
      </c>
      <c r="E70" s="81">
        <f t="shared" si="12"/>
        <v>0</v>
      </c>
      <c r="F70" s="81">
        <f t="shared" si="13"/>
        <v>0</v>
      </c>
      <c r="G70" s="82"/>
      <c r="H70" s="250">
        <f>H69</f>
        <v>0.224</v>
      </c>
      <c r="I70" s="59">
        <f t="shared" si="14"/>
        <v>0</v>
      </c>
      <c r="J70" s="83"/>
      <c r="K70" s="84"/>
      <c r="L70" s="84"/>
      <c r="M70" s="84"/>
      <c r="N70" s="72" t="s">
        <v>60</v>
      </c>
    </row>
    <row r="71" spans="2:14" ht="18" customHeight="1">
      <c r="B71" s="648"/>
      <c r="C71" s="650"/>
      <c r="D71" s="81">
        <f t="shared" si="11"/>
        <v>0</v>
      </c>
      <c r="E71" s="81">
        <f t="shared" si="12"/>
        <v>0</v>
      </c>
      <c r="F71" s="81">
        <f t="shared" si="13"/>
        <v>0</v>
      </c>
      <c r="G71" s="82"/>
      <c r="H71" s="77">
        <f>H70</f>
        <v>0.224</v>
      </c>
      <c r="I71" s="59">
        <f t="shared" si="14"/>
        <v>0</v>
      </c>
      <c r="J71" s="85"/>
      <c r="K71" s="86"/>
      <c r="L71" s="86"/>
      <c r="M71" s="86"/>
      <c r="N71" s="72" t="s">
        <v>65</v>
      </c>
    </row>
    <row r="72" spans="2:14" ht="18" customHeight="1">
      <c r="B72" s="648"/>
      <c r="C72" s="650"/>
      <c r="D72" s="81">
        <f t="shared" si="11"/>
        <v>0</v>
      </c>
      <c r="E72" s="81">
        <f t="shared" si="12"/>
        <v>0</v>
      </c>
      <c r="F72" s="81">
        <f t="shared" si="13"/>
        <v>0</v>
      </c>
      <c r="G72" s="82"/>
      <c r="H72" s="77">
        <f>H71</f>
        <v>0.224</v>
      </c>
      <c r="I72" s="87">
        <f t="shared" si="14"/>
        <v>0</v>
      </c>
      <c r="J72" s="85"/>
      <c r="K72" s="86"/>
      <c r="L72" s="86"/>
      <c r="M72" s="86"/>
      <c r="N72" s="72" t="s">
        <v>66</v>
      </c>
    </row>
    <row r="73" spans="2:14" ht="18" customHeight="1">
      <c r="B73" s="648"/>
      <c r="C73" s="650"/>
      <c r="D73" s="81">
        <f t="shared" si="11"/>
        <v>0</v>
      </c>
      <c r="E73" s="81">
        <f t="shared" si="12"/>
        <v>0</v>
      </c>
      <c r="F73" s="81">
        <f t="shared" si="13"/>
        <v>0</v>
      </c>
      <c r="G73" s="82"/>
      <c r="H73" s="250">
        <f>H70</f>
        <v>0.224</v>
      </c>
      <c r="I73" s="87">
        <f t="shared" si="14"/>
        <v>0</v>
      </c>
      <c r="J73" s="83"/>
      <c r="K73" s="84"/>
      <c r="L73" s="84"/>
      <c r="M73" s="84"/>
      <c r="N73" s="72" t="s">
        <v>67</v>
      </c>
    </row>
    <row r="74" spans="2:14" ht="18" customHeight="1">
      <c r="B74" s="648"/>
      <c r="C74" s="651"/>
      <c r="D74" s="81">
        <f t="shared" si="11"/>
        <v>0</v>
      </c>
      <c r="E74" s="81">
        <f t="shared" si="12"/>
        <v>0</v>
      </c>
      <c r="F74" s="81">
        <f t="shared" si="13"/>
        <v>0</v>
      </c>
      <c r="G74" s="82"/>
      <c r="H74" s="250">
        <f>H73</f>
        <v>0.224</v>
      </c>
      <c r="I74" s="87">
        <f t="shared" si="14"/>
        <v>0</v>
      </c>
      <c r="J74" s="83"/>
      <c r="K74" s="84"/>
      <c r="L74" s="84"/>
      <c r="M74" s="84"/>
      <c r="N74" s="88"/>
    </row>
    <row r="75" spans="2:14" ht="18" customHeight="1">
      <c r="B75" s="648"/>
      <c r="C75" s="649" t="s">
        <v>324</v>
      </c>
      <c r="D75" s="89">
        <f t="shared" si="11"/>
        <v>0</v>
      </c>
      <c r="E75" s="89">
        <f t="shared" si="12"/>
        <v>0</v>
      </c>
      <c r="F75" s="89">
        <f t="shared" si="13"/>
        <v>0</v>
      </c>
      <c r="G75" s="90"/>
      <c r="H75" s="91">
        <f>H74</f>
        <v>0.224</v>
      </c>
      <c r="I75" s="92">
        <f t="shared" si="14"/>
        <v>0</v>
      </c>
      <c r="J75" s="83"/>
      <c r="K75" s="84"/>
      <c r="L75" s="84"/>
      <c r="M75" s="84"/>
      <c r="N75" s="93" t="s">
        <v>80</v>
      </c>
    </row>
    <row r="76" spans="2:14" ht="18" customHeight="1">
      <c r="B76" s="648"/>
      <c r="C76" s="650"/>
      <c r="D76" s="89">
        <f t="shared" si="11"/>
        <v>0</v>
      </c>
      <c r="E76" s="89">
        <f t="shared" si="12"/>
        <v>0</v>
      </c>
      <c r="F76" s="89">
        <f t="shared" si="13"/>
        <v>0</v>
      </c>
      <c r="G76" s="90"/>
      <c r="H76" s="91">
        <f>H72</f>
        <v>0.224</v>
      </c>
      <c r="I76" s="92">
        <f t="shared" si="14"/>
        <v>0</v>
      </c>
      <c r="J76" s="83"/>
      <c r="K76" s="84"/>
      <c r="L76" s="84"/>
      <c r="M76" s="84"/>
      <c r="N76" s="93" t="s">
        <v>80</v>
      </c>
    </row>
    <row r="77" spans="2:14" ht="18" customHeight="1">
      <c r="B77" s="648"/>
      <c r="C77" s="650"/>
      <c r="D77" s="89">
        <f t="shared" si="11"/>
        <v>0</v>
      </c>
      <c r="E77" s="89">
        <f t="shared" si="12"/>
        <v>0</v>
      </c>
      <c r="F77" s="89">
        <f t="shared" si="13"/>
        <v>0</v>
      </c>
      <c r="G77" s="90"/>
      <c r="H77" s="91">
        <f t="shared" ref="H77:H87" si="15">H76</f>
        <v>0.224</v>
      </c>
      <c r="I77" s="92">
        <f t="shared" si="14"/>
        <v>0</v>
      </c>
      <c r="J77" s="83"/>
      <c r="K77" s="84"/>
      <c r="L77" s="84"/>
      <c r="M77" s="84"/>
      <c r="N77" s="93" t="s">
        <v>80</v>
      </c>
    </row>
    <row r="78" spans="2:14" ht="18" customHeight="1">
      <c r="B78" s="648"/>
      <c r="C78" s="650"/>
      <c r="D78" s="89">
        <f t="shared" si="11"/>
        <v>0</v>
      </c>
      <c r="E78" s="89">
        <f t="shared" si="12"/>
        <v>0</v>
      </c>
      <c r="F78" s="89">
        <f t="shared" si="13"/>
        <v>0</v>
      </c>
      <c r="G78" s="90"/>
      <c r="H78" s="91">
        <f t="shared" si="15"/>
        <v>0.224</v>
      </c>
      <c r="I78" s="92">
        <f t="shared" si="14"/>
        <v>0</v>
      </c>
      <c r="J78" s="83"/>
      <c r="K78" s="84"/>
      <c r="L78" s="84"/>
      <c r="M78" s="84"/>
      <c r="N78" s="93" t="s">
        <v>80</v>
      </c>
    </row>
    <row r="79" spans="2:14" ht="18" customHeight="1">
      <c r="B79" s="648"/>
      <c r="C79" s="650"/>
      <c r="D79" s="89">
        <f t="shared" si="11"/>
        <v>0</v>
      </c>
      <c r="E79" s="89">
        <f t="shared" si="12"/>
        <v>0</v>
      </c>
      <c r="F79" s="89">
        <f t="shared" si="13"/>
        <v>0</v>
      </c>
      <c r="G79" s="90"/>
      <c r="H79" s="91">
        <f t="shared" si="15"/>
        <v>0.224</v>
      </c>
      <c r="I79" s="94">
        <f t="shared" si="14"/>
        <v>0</v>
      </c>
      <c r="J79" s="83"/>
      <c r="K79" s="84"/>
      <c r="L79" s="84"/>
      <c r="M79" s="84"/>
      <c r="N79" s="93" t="s">
        <v>80</v>
      </c>
    </row>
    <row r="80" spans="2:14" ht="18" customHeight="1">
      <c r="B80" s="648"/>
      <c r="C80" s="650"/>
      <c r="D80" s="89">
        <f t="shared" si="11"/>
        <v>0</v>
      </c>
      <c r="E80" s="89">
        <f t="shared" si="12"/>
        <v>0</v>
      </c>
      <c r="F80" s="89">
        <f t="shared" si="13"/>
        <v>0</v>
      </c>
      <c r="G80" s="90"/>
      <c r="H80" s="91">
        <f t="shared" si="15"/>
        <v>0.224</v>
      </c>
      <c r="I80" s="94">
        <f t="shared" si="14"/>
        <v>0</v>
      </c>
      <c r="J80" s="83"/>
      <c r="K80" s="84"/>
      <c r="L80" s="84"/>
      <c r="M80" s="84"/>
      <c r="N80" s="93" t="s">
        <v>80</v>
      </c>
    </row>
    <row r="81" spans="2:14" ht="18" customHeight="1">
      <c r="B81" s="648"/>
      <c r="C81" s="651"/>
      <c r="D81" s="89">
        <f t="shared" si="11"/>
        <v>0</v>
      </c>
      <c r="E81" s="89">
        <f t="shared" si="12"/>
        <v>0</v>
      </c>
      <c r="F81" s="89">
        <f t="shared" si="13"/>
        <v>0</v>
      </c>
      <c r="G81" s="90"/>
      <c r="H81" s="91">
        <f t="shared" si="15"/>
        <v>0.224</v>
      </c>
      <c r="I81" s="94">
        <f t="shared" si="14"/>
        <v>0</v>
      </c>
      <c r="J81" s="95"/>
      <c r="K81" s="96"/>
      <c r="L81" s="96"/>
      <c r="M81" s="96"/>
      <c r="N81" s="93" t="s">
        <v>81</v>
      </c>
    </row>
    <row r="82" spans="2:14" ht="18" customHeight="1">
      <c r="B82" s="648"/>
      <c r="C82" s="639" t="s">
        <v>325</v>
      </c>
      <c r="D82" s="81">
        <f t="shared" si="11"/>
        <v>0</v>
      </c>
      <c r="E82" s="81">
        <f t="shared" si="12"/>
        <v>0</v>
      </c>
      <c r="F82" s="81">
        <f t="shared" si="13"/>
        <v>0</v>
      </c>
      <c r="G82" s="82"/>
      <c r="H82" s="250">
        <f t="shared" si="15"/>
        <v>0.224</v>
      </c>
      <c r="I82" s="59">
        <f t="shared" si="14"/>
        <v>0</v>
      </c>
      <c r="J82" s="83"/>
      <c r="K82" s="84"/>
      <c r="L82" s="84"/>
      <c r="M82" s="84"/>
      <c r="N82" s="88"/>
    </row>
    <row r="83" spans="2:14" ht="18" customHeight="1">
      <c r="B83" s="648"/>
      <c r="C83" s="645"/>
      <c r="D83" s="81">
        <f t="shared" si="11"/>
        <v>0</v>
      </c>
      <c r="E83" s="81">
        <f t="shared" si="12"/>
        <v>0</v>
      </c>
      <c r="F83" s="81">
        <f t="shared" si="13"/>
        <v>0</v>
      </c>
      <c r="G83" s="82"/>
      <c r="H83" s="250">
        <f t="shared" si="15"/>
        <v>0.224</v>
      </c>
      <c r="I83" s="59">
        <f t="shared" si="14"/>
        <v>0</v>
      </c>
      <c r="J83" s="83"/>
      <c r="K83" s="84"/>
      <c r="L83" s="84"/>
      <c r="M83" s="84"/>
      <c r="N83" s="88"/>
    </row>
    <row r="84" spans="2:14" ht="18" customHeight="1">
      <c r="B84" s="648"/>
      <c r="C84" s="645"/>
      <c r="D84" s="81">
        <f t="shared" si="11"/>
        <v>0</v>
      </c>
      <c r="E84" s="81">
        <f t="shared" si="12"/>
        <v>0</v>
      </c>
      <c r="F84" s="81">
        <f t="shared" si="13"/>
        <v>0</v>
      </c>
      <c r="G84" s="82"/>
      <c r="H84" s="250">
        <f t="shared" si="15"/>
        <v>0.224</v>
      </c>
      <c r="I84" s="59">
        <f t="shared" si="14"/>
        <v>0</v>
      </c>
      <c r="J84" s="83"/>
      <c r="K84" s="84"/>
      <c r="L84" s="84"/>
      <c r="M84" s="84"/>
      <c r="N84" s="76"/>
    </row>
    <row r="85" spans="2:14" ht="18" customHeight="1">
      <c r="B85" s="648"/>
      <c r="C85" s="645"/>
      <c r="D85" s="81">
        <f t="shared" si="11"/>
        <v>0</v>
      </c>
      <c r="E85" s="81">
        <f t="shared" si="12"/>
        <v>0</v>
      </c>
      <c r="F85" s="81">
        <f t="shared" si="13"/>
        <v>0</v>
      </c>
      <c r="G85" s="82"/>
      <c r="H85" s="250">
        <f t="shared" si="15"/>
        <v>0.224</v>
      </c>
      <c r="I85" s="59">
        <f t="shared" si="14"/>
        <v>0</v>
      </c>
      <c r="J85" s="83"/>
      <c r="K85" s="84"/>
      <c r="L85" s="84"/>
      <c r="M85" s="84"/>
      <c r="N85" s="76"/>
    </row>
    <row r="86" spans="2:14" ht="18" customHeight="1">
      <c r="B86" s="648"/>
      <c r="C86" s="645"/>
      <c r="D86" s="81">
        <f t="shared" si="11"/>
        <v>0</v>
      </c>
      <c r="E86" s="81">
        <f t="shared" si="12"/>
        <v>0</v>
      </c>
      <c r="F86" s="81">
        <f t="shared" si="13"/>
        <v>0</v>
      </c>
      <c r="G86" s="82"/>
      <c r="H86" s="250">
        <f t="shared" si="15"/>
        <v>0.224</v>
      </c>
      <c r="I86" s="59">
        <f t="shared" si="14"/>
        <v>0</v>
      </c>
      <c r="J86" s="85"/>
      <c r="K86" s="86"/>
      <c r="L86" s="86"/>
      <c r="M86" s="86"/>
      <c r="N86" s="76"/>
    </row>
    <row r="87" spans="2:14" ht="18" customHeight="1" thickBot="1">
      <c r="B87" s="648"/>
      <c r="C87" s="640"/>
      <c r="D87" s="81">
        <f t="shared" si="11"/>
        <v>0</v>
      </c>
      <c r="E87" s="81">
        <f t="shared" si="12"/>
        <v>0</v>
      </c>
      <c r="F87" s="81">
        <f t="shared" si="13"/>
        <v>0</v>
      </c>
      <c r="G87" s="82"/>
      <c r="H87" s="250">
        <f t="shared" si="15"/>
        <v>0.224</v>
      </c>
      <c r="I87" s="59">
        <f t="shared" si="14"/>
        <v>0</v>
      </c>
      <c r="J87" s="97"/>
      <c r="K87" s="98"/>
      <c r="L87" s="98"/>
      <c r="M87" s="98"/>
      <c r="N87" s="80"/>
    </row>
    <row r="88" spans="2:14" ht="18" customHeight="1">
      <c r="B88" s="48" t="s">
        <v>42</v>
      </c>
      <c r="C88" s="49">
        <f>SUMPRODUCT(F68:F87*G68:G87)</f>
        <v>34.675333333333327</v>
      </c>
      <c r="D88" s="50" t="s">
        <v>43</v>
      </c>
      <c r="E88" s="49">
        <f>SUM(I68:I87)*1.1</f>
        <v>8.5437000000000012</v>
      </c>
      <c r="F88" s="50" t="s">
        <v>44</v>
      </c>
      <c r="G88" s="51">
        <f>(C$218+C$222)/1000</f>
        <v>39.781500000000001</v>
      </c>
      <c r="H88" s="52" t="s">
        <v>45</v>
      </c>
      <c r="I88" s="53">
        <f>ROUND(E88*G88,2)</f>
        <v>339.88</v>
      </c>
      <c r="J88" s="255"/>
      <c r="K88" s="255"/>
      <c r="L88" s="255"/>
      <c r="M88" s="255"/>
    </row>
    <row r="89" spans="2:14" ht="18" customHeight="1">
      <c r="B89" s="48" t="s">
        <v>46</v>
      </c>
      <c r="C89" s="50">
        <v>181.72</v>
      </c>
      <c r="D89" s="50" t="s">
        <v>47</v>
      </c>
      <c r="E89" s="49">
        <f>ROUND(C88*(C89/1000),2)</f>
        <v>6.3</v>
      </c>
      <c r="F89" s="50" t="s">
        <v>48</v>
      </c>
      <c r="G89" s="50">
        <f>G$23</f>
        <v>10</v>
      </c>
      <c r="H89" s="52" t="s">
        <v>49</v>
      </c>
      <c r="I89" s="53">
        <f>E89*G89</f>
        <v>63</v>
      </c>
      <c r="J89" s="255"/>
      <c r="K89" s="255"/>
      <c r="L89" s="255"/>
      <c r="M89" s="255"/>
    </row>
    <row r="90" spans="2:14" ht="18" customHeight="1">
      <c r="B90" s="48" t="s">
        <v>50</v>
      </c>
      <c r="C90" s="50"/>
      <c r="D90" s="50" t="s">
        <v>51</v>
      </c>
      <c r="E90" s="49">
        <f>ROUND(C88*(C90/1000),2)</f>
        <v>0</v>
      </c>
      <c r="F90" s="50" t="s">
        <v>48</v>
      </c>
      <c r="G90" s="50">
        <f>G$24</f>
        <v>10</v>
      </c>
      <c r="H90" s="52" t="s">
        <v>49</v>
      </c>
      <c r="I90" s="53">
        <f>E90*G90</f>
        <v>0</v>
      </c>
      <c r="J90" s="255"/>
      <c r="K90" s="255"/>
      <c r="L90" s="255"/>
      <c r="M90" s="255"/>
    </row>
    <row r="91" spans="2:14" ht="18" customHeight="1">
      <c r="B91" s="23" t="s">
        <v>36</v>
      </c>
      <c r="C91" s="252" t="s">
        <v>14</v>
      </c>
      <c r="D91" s="252" t="s">
        <v>37</v>
      </c>
      <c r="E91" s="252" t="s">
        <v>38</v>
      </c>
      <c r="F91" s="252" t="s">
        <v>39</v>
      </c>
      <c r="G91" s="252" t="s">
        <v>8</v>
      </c>
      <c r="H91" s="252" t="s">
        <v>22</v>
      </c>
      <c r="I91" s="25" t="s">
        <v>40</v>
      </c>
      <c r="J91" s="255"/>
      <c r="K91" s="255"/>
      <c r="L91" s="255"/>
      <c r="M91" s="255"/>
    </row>
    <row r="92" spans="2:14" ht="18" customHeight="1">
      <c r="B92" s="648" t="s">
        <v>82</v>
      </c>
      <c r="C92" s="653" t="s">
        <v>326</v>
      </c>
      <c r="D92" s="253">
        <f>D26-90</f>
        <v>-90</v>
      </c>
      <c r="E92" s="253">
        <f>E26-90</f>
        <v>-90</v>
      </c>
      <c r="F92" s="253">
        <f>2*(D92+E92)/1000</f>
        <v>-0.36</v>
      </c>
      <c r="G92" s="250">
        <f>G26</f>
        <v>0</v>
      </c>
      <c r="H92" s="250">
        <v>0.27100000000000002</v>
      </c>
      <c r="I92" s="59">
        <f>ROUND(F92*G92*H92,3)</f>
        <v>0</v>
      </c>
    </row>
    <row r="93" spans="2:14" ht="18" customHeight="1">
      <c r="B93" s="648"/>
      <c r="C93" s="658"/>
      <c r="D93" s="253">
        <f t="shared" ref="D93:E96" si="16">D27-90</f>
        <v>-90</v>
      </c>
      <c r="E93" s="253">
        <f t="shared" si="16"/>
        <v>-90</v>
      </c>
      <c r="F93" s="253">
        <f>2*(D93+E93)/1000</f>
        <v>-0.36</v>
      </c>
      <c r="G93" s="250">
        <f>G27</f>
        <v>0</v>
      </c>
      <c r="H93" s="250">
        <f>H92</f>
        <v>0.27100000000000002</v>
      </c>
      <c r="I93" s="59">
        <f>ROUND(F93*G93*H93,3)</f>
        <v>0</v>
      </c>
      <c r="M93" s="42"/>
    </row>
    <row r="94" spans="2:14" ht="18" customHeight="1">
      <c r="B94" s="648"/>
      <c r="C94" s="658"/>
      <c r="D94" s="253">
        <f t="shared" si="16"/>
        <v>-90</v>
      </c>
      <c r="E94" s="253">
        <f t="shared" si="16"/>
        <v>-90</v>
      </c>
      <c r="F94" s="253">
        <f>2*(D94+E94)/1000</f>
        <v>-0.36</v>
      </c>
      <c r="G94" s="250">
        <f>G28</f>
        <v>0</v>
      </c>
      <c r="H94" s="250">
        <f>H93</f>
        <v>0.27100000000000002</v>
      </c>
      <c r="I94" s="59">
        <f>ROUND(F94*G94*H94,3)</f>
        <v>0</v>
      </c>
    </row>
    <row r="95" spans="2:14" ht="18" customHeight="1">
      <c r="B95" s="648"/>
      <c r="C95" s="658"/>
      <c r="D95" s="253">
        <f t="shared" si="16"/>
        <v>-90</v>
      </c>
      <c r="E95" s="253">
        <f t="shared" si="16"/>
        <v>-90</v>
      </c>
      <c r="F95" s="253">
        <f>2*(D95+E95)/1000</f>
        <v>-0.36</v>
      </c>
      <c r="G95" s="250">
        <f>G29</f>
        <v>0</v>
      </c>
      <c r="H95" s="250">
        <f>H94</f>
        <v>0.27100000000000002</v>
      </c>
      <c r="I95" s="59">
        <f>ROUND(F95*G95*H95,3)</f>
        <v>0</v>
      </c>
    </row>
    <row r="96" spans="2:14" ht="18" customHeight="1">
      <c r="B96" s="648"/>
      <c r="C96" s="659"/>
      <c r="D96" s="253">
        <f t="shared" si="16"/>
        <v>-90</v>
      </c>
      <c r="E96" s="253">
        <f t="shared" si="16"/>
        <v>-90</v>
      </c>
      <c r="F96" s="253">
        <f>2*(D96+E96)/1000</f>
        <v>-0.36</v>
      </c>
      <c r="G96" s="250">
        <f>G30</f>
        <v>0</v>
      </c>
      <c r="H96" s="250">
        <f>H95</f>
        <v>0.27100000000000002</v>
      </c>
      <c r="I96" s="59">
        <f>ROUND(F96*G96*H96,3)</f>
        <v>0</v>
      </c>
    </row>
    <row r="97" spans="2:13" ht="18" customHeight="1">
      <c r="B97" s="48" t="s">
        <v>42</v>
      </c>
      <c r="C97" s="49">
        <f>SUMPRODUCT(F92:F96*G92:G96)</f>
        <v>0</v>
      </c>
      <c r="D97" s="50" t="s">
        <v>43</v>
      </c>
      <c r="E97" s="49">
        <f>SUM(I92:I96)*1.1</f>
        <v>0</v>
      </c>
      <c r="F97" s="50" t="s">
        <v>44</v>
      </c>
      <c r="G97" s="51">
        <f>(C$218+C$222)/1000</f>
        <v>39.781500000000001</v>
      </c>
      <c r="H97" s="52" t="s">
        <v>45</v>
      </c>
      <c r="I97" s="53">
        <f>ROUND(E97*G97,2)</f>
        <v>0</v>
      </c>
    </row>
    <row r="98" spans="2:13" ht="18" customHeight="1">
      <c r="B98" s="48" t="s">
        <v>46</v>
      </c>
      <c r="C98" s="50">
        <v>186.72</v>
      </c>
      <c r="D98" s="50" t="s">
        <v>47</v>
      </c>
      <c r="E98" s="49">
        <f>ROUND(C97*(C98/1000),2)</f>
        <v>0</v>
      </c>
      <c r="F98" s="50" t="s">
        <v>48</v>
      </c>
      <c r="G98" s="50">
        <f>G$23</f>
        <v>10</v>
      </c>
      <c r="H98" s="52" t="s">
        <v>49</v>
      </c>
      <c r="I98" s="53">
        <f>E98*G98</f>
        <v>0</v>
      </c>
    </row>
    <row r="99" spans="2:13" ht="18" customHeight="1">
      <c r="B99" s="48" t="s">
        <v>50</v>
      </c>
      <c r="C99" s="50">
        <v>0</v>
      </c>
      <c r="D99" s="50" t="s">
        <v>51</v>
      </c>
      <c r="E99" s="49">
        <f>ROUND(C97*(C99/1000),2)</f>
        <v>0</v>
      </c>
      <c r="F99" s="50" t="s">
        <v>48</v>
      </c>
      <c r="G99" s="50">
        <f>G$24</f>
        <v>10</v>
      </c>
      <c r="H99" s="52" t="s">
        <v>49</v>
      </c>
      <c r="I99" s="53">
        <f>E99*G99</f>
        <v>0</v>
      </c>
    </row>
    <row r="100" spans="2:13" ht="18" customHeight="1">
      <c r="B100" s="23" t="s">
        <v>36</v>
      </c>
      <c r="C100" s="252" t="s">
        <v>14</v>
      </c>
      <c r="D100" s="252" t="s">
        <v>37</v>
      </c>
      <c r="E100" s="252" t="s">
        <v>38</v>
      </c>
      <c r="F100" s="252" t="s">
        <v>39</v>
      </c>
      <c r="G100" s="252" t="s">
        <v>8</v>
      </c>
      <c r="H100" s="252" t="s">
        <v>22</v>
      </c>
      <c r="I100" s="25" t="s">
        <v>40</v>
      </c>
    </row>
    <row r="101" spans="2:13" ht="18" customHeight="1">
      <c r="B101" s="648" t="s">
        <v>84</v>
      </c>
      <c r="C101" s="653" t="str">
        <f>C92</f>
        <v>SDL2281</v>
      </c>
      <c r="D101" s="253">
        <f>D35-122</f>
        <v>253</v>
      </c>
      <c r="E101" s="253">
        <f t="shared" ref="D101:E103" si="17">E35-122</f>
        <v>618</v>
      </c>
      <c r="F101" s="253">
        <f>2*(D101+E101)/1000</f>
        <v>1.742</v>
      </c>
      <c r="G101" s="250">
        <f>G35</f>
        <v>2</v>
      </c>
      <c r="H101" s="250">
        <f>H96</f>
        <v>0.27100000000000002</v>
      </c>
      <c r="I101" s="59">
        <f>ROUND(F101*G101*H101,3)</f>
        <v>0.94399999999999995</v>
      </c>
    </row>
    <row r="102" spans="2:13" ht="18" customHeight="1">
      <c r="B102" s="648"/>
      <c r="C102" s="650"/>
      <c r="D102" s="253">
        <f t="shared" si="17"/>
        <v>-122</v>
      </c>
      <c r="E102" s="253">
        <f t="shared" si="17"/>
        <v>-122</v>
      </c>
      <c r="F102" s="253">
        <f>2*(D102+E102)/1000</f>
        <v>-0.48799999999999999</v>
      </c>
      <c r="G102" s="250">
        <f>G36</f>
        <v>0</v>
      </c>
      <c r="H102" s="250">
        <f>H101</f>
        <v>0.27100000000000002</v>
      </c>
      <c r="I102" s="59">
        <f>ROUND(F102*G102*H102,3)</f>
        <v>0</v>
      </c>
      <c r="K102" s="99"/>
      <c r="M102" s="99"/>
    </row>
    <row r="103" spans="2:13" ht="18" customHeight="1">
      <c r="B103" s="648"/>
      <c r="C103" s="651"/>
      <c r="D103" s="253">
        <f t="shared" si="17"/>
        <v>-122</v>
      </c>
      <c r="E103" s="253">
        <f t="shared" si="17"/>
        <v>-122</v>
      </c>
      <c r="F103" s="253">
        <f>2*(D103+E103)/1000</f>
        <v>-0.48799999999999999</v>
      </c>
      <c r="G103" s="250">
        <f>G37</f>
        <v>0</v>
      </c>
      <c r="H103" s="250">
        <f>H102</f>
        <v>0.27100000000000002</v>
      </c>
      <c r="I103" s="59">
        <f>ROUND(F103*G103*H103,3)</f>
        <v>0</v>
      </c>
      <c r="M103" s="99"/>
    </row>
    <row r="104" spans="2:13" ht="18" customHeight="1">
      <c r="B104" s="48" t="s">
        <v>42</v>
      </c>
      <c r="C104" s="49">
        <f>SUMPRODUCT(F101:F103*G101:G103)</f>
        <v>3.484</v>
      </c>
      <c r="D104" s="50" t="s">
        <v>43</v>
      </c>
      <c r="E104" s="49">
        <f>SUM(I101:I103)*1.1</f>
        <v>1.0384</v>
      </c>
      <c r="F104" s="50" t="s">
        <v>44</v>
      </c>
      <c r="G104" s="51">
        <f>(C$218+C$222)/1000</f>
        <v>39.781500000000001</v>
      </c>
      <c r="H104" s="52" t="s">
        <v>45</v>
      </c>
      <c r="I104" s="53">
        <f>ROUND(E104*G104,2)</f>
        <v>41.31</v>
      </c>
    </row>
    <row r="105" spans="2:13" ht="18" customHeight="1">
      <c r="B105" s="48" t="s">
        <v>46</v>
      </c>
      <c r="C105" s="50">
        <v>186.72</v>
      </c>
      <c r="D105" s="50" t="s">
        <v>47</v>
      </c>
      <c r="E105" s="49">
        <f>ROUND(C104*(C105/1000),2)</f>
        <v>0.65</v>
      </c>
      <c r="F105" s="50" t="s">
        <v>48</v>
      </c>
      <c r="G105" s="50">
        <f>G$23</f>
        <v>10</v>
      </c>
      <c r="H105" s="52" t="s">
        <v>49</v>
      </c>
      <c r="I105" s="53">
        <f>ROUND(E105*G105,2)</f>
        <v>6.5</v>
      </c>
    </row>
    <row r="106" spans="2:13" ht="18" customHeight="1">
      <c r="B106" s="48" t="s">
        <v>50</v>
      </c>
      <c r="C106" s="50">
        <v>0</v>
      </c>
      <c r="D106" s="50" t="s">
        <v>51</v>
      </c>
      <c r="E106" s="49">
        <f>ROUND(C104*(C106/1000),2)</f>
        <v>0</v>
      </c>
      <c r="F106" s="50" t="s">
        <v>48</v>
      </c>
      <c r="G106" s="50">
        <f>G$24</f>
        <v>10</v>
      </c>
      <c r="H106" s="52" t="s">
        <v>49</v>
      </c>
      <c r="I106" s="53">
        <f>ROUND(E106*G106,2)</f>
        <v>0</v>
      </c>
    </row>
    <row r="107" spans="2:13" ht="18" customHeight="1">
      <c r="B107" s="23" t="s">
        <v>36</v>
      </c>
      <c r="C107" s="252" t="s">
        <v>14</v>
      </c>
      <c r="D107" s="252" t="s">
        <v>37</v>
      </c>
      <c r="E107" s="252" t="s">
        <v>38</v>
      </c>
      <c r="F107" s="252" t="s">
        <v>39</v>
      </c>
      <c r="G107" s="252" t="s">
        <v>8</v>
      </c>
      <c r="H107" s="252" t="s">
        <v>22</v>
      </c>
      <c r="I107" s="25" t="s">
        <v>40</v>
      </c>
    </row>
    <row r="108" spans="2:13" ht="18" customHeight="1">
      <c r="B108" s="648" t="s">
        <v>85</v>
      </c>
      <c r="C108" s="655" t="s">
        <v>86</v>
      </c>
      <c r="D108" s="250"/>
      <c r="E108" s="250"/>
      <c r="F108" s="250">
        <f>ROUND((D108+E108)*2/1000,4)</f>
        <v>0</v>
      </c>
      <c r="G108" s="250"/>
      <c r="H108" s="250">
        <v>1.857</v>
      </c>
      <c r="I108" s="59">
        <f>ROUND(F108*G108*H108,3)</f>
        <v>0</v>
      </c>
    </row>
    <row r="109" spans="2:13" ht="18" customHeight="1">
      <c r="B109" s="648"/>
      <c r="C109" s="656"/>
      <c r="D109" s="250"/>
      <c r="E109" s="250"/>
      <c r="F109" s="250">
        <f>ROUND((D109+E109)*2/1000,4)</f>
        <v>0</v>
      </c>
      <c r="G109" s="250"/>
      <c r="H109" s="250">
        <f>H108</f>
        <v>1.857</v>
      </c>
      <c r="I109" s="59">
        <f>ROUND(F109*G109*H109,3)</f>
        <v>0</v>
      </c>
      <c r="K109" s="42"/>
      <c r="L109" s="42"/>
      <c r="M109" s="42"/>
    </row>
    <row r="110" spans="2:13" ht="18" customHeight="1">
      <c r="B110" s="648"/>
      <c r="C110" s="656"/>
      <c r="D110" s="250"/>
      <c r="E110" s="250"/>
      <c r="F110" s="250">
        <f>ROUND((D110+E110)*2/1000,4)</f>
        <v>0</v>
      </c>
      <c r="G110" s="250"/>
      <c r="H110" s="250">
        <f>H109</f>
        <v>1.857</v>
      </c>
      <c r="I110" s="59">
        <f>ROUND(F110*G110*H110,3)</f>
        <v>0</v>
      </c>
      <c r="K110" s="42"/>
      <c r="L110" s="42"/>
      <c r="M110" s="42"/>
    </row>
    <row r="111" spans="2:13" ht="18" customHeight="1">
      <c r="B111" s="648"/>
      <c r="C111" s="657"/>
      <c r="D111" s="250"/>
      <c r="E111" s="250"/>
      <c r="F111" s="250">
        <f>ROUND((D111+E111)*2/1000,4)</f>
        <v>0</v>
      </c>
      <c r="G111" s="250"/>
      <c r="H111" s="250">
        <f>H110</f>
        <v>1.857</v>
      </c>
      <c r="I111" s="59">
        <f>ROUND(F111*G111*H111,3)</f>
        <v>0</v>
      </c>
      <c r="K111" s="42"/>
      <c r="L111" s="42"/>
      <c r="M111" s="42"/>
    </row>
    <row r="112" spans="2:13" ht="18" customHeight="1">
      <c r="B112" s="48" t="s">
        <v>42</v>
      </c>
      <c r="C112" s="49">
        <f>SUMPRODUCT(F108:F111*G108:G111)</f>
        <v>0</v>
      </c>
      <c r="D112" s="50" t="s">
        <v>43</v>
      </c>
      <c r="E112" s="49">
        <f>SUM(I108:I111)*1.1</f>
        <v>0</v>
      </c>
      <c r="F112" s="50" t="s">
        <v>44</v>
      </c>
      <c r="G112" s="51">
        <f>(C$218+C$219)/1000</f>
        <v>46.081499999999998</v>
      </c>
      <c r="H112" s="52" t="s">
        <v>45</v>
      </c>
      <c r="I112" s="53">
        <f>ROUND(E112*G112,2)</f>
        <v>0</v>
      </c>
      <c r="J112" s="243">
        <f>SUM(G108:G111)</f>
        <v>0</v>
      </c>
      <c r="K112" s="42"/>
      <c r="L112" s="42"/>
      <c r="M112" s="42"/>
    </row>
    <row r="113" spans="2:14" ht="18" customHeight="1">
      <c r="B113" s="48" t="s">
        <v>46</v>
      </c>
      <c r="C113" s="50">
        <v>241.03</v>
      </c>
      <c r="D113" s="50" t="s">
        <v>47</v>
      </c>
      <c r="E113" s="49">
        <f>ROUND(C112*(C113/1000),2)</f>
        <v>0</v>
      </c>
      <c r="F113" s="50" t="s">
        <v>48</v>
      </c>
      <c r="G113" s="50">
        <f>G$23</f>
        <v>10</v>
      </c>
      <c r="H113" s="52" t="s">
        <v>49</v>
      </c>
      <c r="I113" s="53">
        <f>E113*G113</f>
        <v>0</v>
      </c>
      <c r="K113" s="42"/>
      <c r="L113" s="42"/>
      <c r="M113" s="42"/>
    </row>
    <row r="114" spans="2:14" ht="18" customHeight="1" thickBot="1">
      <c r="B114" s="48" t="s">
        <v>50</v>
      </c>
      <c r="C114" s="50">
        <v>204.38</v>
      </c>
      <c r="D114" s="50" t="s">
        <v>51</v>
      </c>
      <c r="E114" s="49">
        <f>ROUND(C112*(C114/1000),2)</f>
        <v>0</v>
      </c>
      <c r="F114" s="50" t="s">
        <v>48</v>
      </c>
      <c r="G114" s="50">
        <f>G$24</f>
        <v>10</v>
      </c>
      <c r="H114" s="52" t="s">
        <v>49</v>
      </c>
      <c r="I114" s="53">
        <f>E114*G114</f>
        <v>0</v>
      </c>
    </row>
    <row r="115" spans="2:14" ht="18" customHeight="1" thickBot="1">
      <c r="B115" s="23" t="s">
        <v>36</v>
      </c>
      <c r="C115" s="252" t="s">
        <v>14</v>
      </c>
      <c r="D115" s="252" t="s">
        <v>37</v>
      </c>
      <c r="E115" s="252" t="s">
        <v>38</v>
      </c>
      <c r="F115" s="252" t="s">
        <v>39</v>
      </c>
      <c r="G115" s="252" t="s">
        <v>8</v>
      </c>
      <c r="H115" s="252" t="s">
        <v>22</v>
      </c>
      <c r="I115" s="25" t="s">
        <v>40</v>
      </c>
      <c r="J115" s="54" t="s">
        <v>2</v>
      </c>
      <c r="K115" s="55" t="s">
        <v>3</v>
      </c>
      <c r="L115" s="55" t="s">
        <v>61</v>
      </c>
      <c r="M115" s="55" t="s">
        <v>62</v>
      </c>
      <c r="N115" s="70" t="s">
        <v>14</v>
      </c>
    </row>
    <row r="116" spans="2:14" ht="18" customHeight="1">
      <c r="B116" s="648" t="s">
        <v>87</v>
      </c>
      <c r="C116" s="649" t="s">
        <v>88</v>
      </c>
      <c r="D116" s="253">
        <f t="shared" ref="D116:E118" si="18">J116-IF(L116=1,78,IF(L116=2,55.5,IF(L116=3,41,0)))</f>
        <v>0</v>
      </c>
      <c r="E116" s="253">
        <f t="shared" si="18"/>
        <v>0</v>
      </c>
      <c r="F116" s="250">
        <f>ROUND((D116+E116)*2/1000,4)</f>
        <v>0</v>
      </c>
      <c r="G116" s="250"/>
      <c r="H116" s="58">
        <v>2.456</v>
      </c>
      <c r="I116" s="59">
        <f>ROUND(F116*G116*H116,3)</f>
        <v>0</v>
      </c>
      <c r="J116" s="60"/>
      <c r="K116" s="61"/>
      <c r="L116" s="61"/>
      <c r="M116" s="61"/>
      <c r="N116" s="76" t="s">
        <v>56</v>
      </c>
    </row>
    <row r="117" spans="2:14" ht="18" customHeight="1">
      <c r="B117" s="648"/>
      <c r="C117" s="650"/>
      <c r="D117" s="253">
        <f t="shared" si="18"/>
        <v>0</v>
      </c>
      <c r="E117" s="253">
        <f t="shared" si="18"/>
        <v>0</v>
      </c>
      <c r="F117" s="250">
        <f>ROUND((D117+E117)*2/1000,4)</f>
        <v>0</v>
      </c>
      <c r="G117" s="250">
        <v>0</v>
      </c>
      <c r="H117" s="58">
        <f>H116</f>
        <v>2.456</v>
      </c>
      <c r="I117" s="59">
        <f>ROUND(F117*G117*H117,3)</f>
        <v>0</v>
      </c>
      <c r="J117" s="60"/>
      <c r="K117" s="61"/>
      <c r="L117" s="61"/>
      <c r="M117" s="61"/>
      <c r="N117" s="76" t="s">
        <v>58</v>
      </c>
    </row>
    <row r="118" spans="2:14" ht="18" customHeight="1" thickBot="1">
      <c r="B118" s="648"/>
      <c r="C118" s="651"/>
      <c r="D118" s="253">
        <f t="shared" si="18"/>
        <v>0</v>
      </c>
      <c r="E118" s="253">
        <f t="shared" si="18"/>
        <v>0</v>
      </c>
      <c r="F118" s="250">
        <f>ROUND((D118+E118)*2/1000,4)</f>
        <v>0</v>
      </c>
      <c r="G118" s="250">
        <v>0</v>
      </c>
      <c r="H118" s="58">
        <f>H117</f>
        <v>2.456</v>
      </c>
      <c r="I118" s="59">
        <f>ROUND(F118*G118*H118,3)</f>
        <v>0</v>
      </c>
      <c r="J118" s="64"/>
      <c r="K118" s="65"/>
      <c r="L118" s="65"/>
      <c r="M118" s="65"/>
      <c r="N118" s="80" t="s">
        <v>89</v>
      </c>
    </row>
    <row r="119" spans="2:14" ht="18" customHeight="1">
      <c r="B119" s="48" t="s">
        <v>42</v>
      </c>
      <c r="C119" s="49">
        <f>SUMPRODUCT(F116:F118*G116:G118)</f>
        <v>0</v>
      </c>
      <c r="D119" s="100" t="s">
        <v>43</v>
      </c>
      <c r="E119" s="100">
        <f>SUM(I116:I118)*1.1</f>
        <v>0</v>
      </c>
      <c r="F119" s="50" t="s">
        <v>44</v>
      </c>
      <c r="G119" s="51">
        <f>(C$218+C$219)/1000</f>
        <v>46.081499999999998</v>
      </c>
      <c r="H119" s="52" t="s">
        <v>45</v>
      </c>
      <c r="I119" s="53">
        <f>ROUND(E119*G119,2)</f>
        <v>0</v>
      </c>
      <c r="J119" s="243">
        <f>SUM(G116:G118)</f>
        <v>0</v>
      </c>
      <c r="K119" s="255"/>
      <c r="L119" s="255"/>
      <c r="M119" s="255"/>
    </row>
    <row r="120" spans="2:14" ht="18" customHeight="1">
      <c r="B120" s="48" t="s">
        <v>46</v>
      </c>
      <c r="C120" s="50">
        <v>350.56</v>
      </c>
      <c r="D120" s="100" t="s">
        <v>47</v>
      </c>
      <c r="E120" s="100">
        <f>ROUND(C119*(C120/1000),2)</f>
        <v>0</v>
      </c>
      <c r="F120" s="50" t="s">
        <v>48</v>
      </c>
      <c r="G120" s="50">
        <f>G$23</f>
        <v>10</v>
      </c>
      <c r="H120" s="52" t="s">
        <v>49</v>
      </c>
      <c r="I120" s="53">
        <f>E120*G120</f>
        <v>0</v>
      </c>
      <c r="J120" s="255"/>
      <c r="K120" s="255"/>
      <c r="L120" s="255"/>
      <c r="M120" s="255"/>
    </row>
    <row r="121" spans="2:14" ht="18" customHeight="1" thickBot="1">
      <c r="B121" s="48" t="s">
        <v>50</v>
      </c>
      <c r="C121" s="50">
        <v>189.03</v>
      </c>
      <c r="D121" s="100" t="s">
        <v>51</v>
      </c>
      <c r="E121" s="100">
        <f>ROUND(C119*(C121/1000),2)</f>
        <v>0</v>
      </c>
      <c r="F121" s="50" t="s">
        <v>48</v>
      </c>
      <c r="G121" s="50">
        <f>G$24</f>
        <v>10</v>
      </c>
      <c r="H121" s="52" t="s">
        <v>49</v>
      </c>
      <c r="I121" s="53">
        <f>E121*G121</f>
        <v>0</v>
      </c>
      <c r="J121" s="255"/>
    </row>
    <row r="122" spans="2:14" ht="18" customHeight="1" thickBot="1">
      <c r="B122" s="23" t="s">
        <v>36</v>
      </c>
      <c r="C122" s="252" t="s">
        <v>14</v>
      </c>
      <c r="D122" s="101" t="s">
        <v>37</v>
      </c>
      <c r="E122" s="101" t="s">
        <v>38</v>
      </c>
      <c r="F122" s="252" t="s">
        <v>39</v>
      </c>
      <c r="G122" s="252" t="s">
        <v>8</v>
      </c>
      <c r="H122" s="252" t="s">
        <v>22</v>
      </c>
      <c r="I122" s="25" t="s">
        <v>40</v>
      </c>
      <c r="J122" s="54" t="s">
        <v>2</v>
      </c>
      <c r="K122" s="55" t="s">
        <v>3</v>
      </c>
      <c r="L122" s="55" t="s">
        <v>61</v>
      </c>
      <c r="M122" s="55" t="s">
        <v>62</v>
      </c>
      <c r="N122" s="70" t="s">
        <v>14</v>
      </c>
    </row>
    <row r="123" spans="2:14" ht="18" customHeight="1">
      <c r="B123" s="648" t="s">
        <v>90</v>
      </c>
      <c r="C123" s="649" t="s">
        <v>91</v>
      </c>
      <c r="D123" s="253">
        <f t="shared" ref="D123:E125" si="19">J123-IF(L123=1,78,IF(L123=2,55.5,IF(L123=3,41,0)))</f>
        <v>0</v>
      </c>
      <c r="E123" s="253">
        <f t="shared" si="19"/>
        <v>0</v>
      </c>
      <c r="F123" s="250">
        <f>ROUND((D123+E123)*2/1000,4)</f>
        <v>0</v>
      </c>
      <c r="G123" s="250"/>
      <c r="H123" s="58">
        <v>2.4710000000000001</v>
      </c>
      <c r="I123" s="59">
        <f>ROUND(F123*G123*H123,3)</f>
        <v>0</v>
      </c>
      <c r="J123" s="60"/>
      <c r="K123" s="61"/>
      <c r="L123" s="61"/>
      <c r="M123" s="61"/>
      <c r="N123" s="76" t="s">
        <v>56</v>
      </c>
    </row>
    <row r="124" spans="2:14" ht="18" customHeight="1">
      <c r="B124" s="648"/>
      <c r="C124" s="650"/>
      <c r="D124" s="253">
        <f t="shared" si="19"/>
        <v>0</v>
      </c>
      <c r="E124" s="253">
        <f t="shared" si="19"/>
        <v>0</v>
      </c>
      <c r="F124" s="250">
        <f>ROUND((D124+E124)*2/1000,4)</f>
        <v>0</v>
      </c>
      <c r="G124" s="250"/>
      <c r="H124" s="58">
        <f>H123</f>
        <v>2.4710000000000001</v>
      </c>
      <c r="I124" s="59">
        <f>ROUND(F124*G124*H124,3)</f>
        <v>0</v>
      </c>
      <c r="J124" s="60"/>
      <c r="K124" s="61"/>
      <c r="L124" s="61"/>
      <c r="M124" s="61"/>
      <c r="N124" s="76" t="s">
        <v>58</v>
      </c>
    </row>
    <row r="125" spans="2:14" ht="18" customHeight="1" thickBot="1">
      <c r="B125" s="648"/>
      <c r="C125" s="651"/>
      <c r="D125" s="253">
        <f t="shared" si="19"/>
        <v>0</v>
      </c>
      <c r="E125" s="253">
        <f t="shared" si="19"/>
        <v>0</v>
      </c>
      <c r="F125" s="250">
        <f>ROUND((D125+E125)*2/1000,4)</f>
        <v>0</v>
      </c>
      <c r="G125" s="250"/>
      <c r="H125" s="58">
        <f>H124</f>
        <v>2.4710000000000001</v>
      </c>
      <c r="I125" s="59">
        <f>ROUND(F125*G125*H125,3)</f>
        <v>0</v>
      </c>
      <c r="J125" s="64"/>
      <c r="K125" s="65"/>
      <c r="L125" s="65"/>
      <c r="M125" s="65"/>
      <c r="N125" s="80" t="s">
        <v>89</v>
      </c>
    </row>
    <row r="126" spans="2:14" ht="18" customHeight="1">
      <c r="B126" s="48" t="s">
        <v>42</v>
      </c>
      <c r="C126" s="49">
        <f>SUMPRODUCT(F123:F125*G123:G125)</f>
        <v>0</v>
      </c>
      <c r="D126" s="50" t="s">
        <v>43</v>
      </c>
      <c r="E126" s="49">
        <f>SUM(I123:I125)*1.1</f>
        <v>0</v>
      </c>
      <c r="F126" s="50" t="s">
        <v>44</v>
      </c>
      <c r="G126" s="51">
        <f>(C$218+C$221)/1000</f>
        <v>46.081499999999998</v>
      </c>
      <c r="H126" s="52" t="s">
        <v>45</v>
      </c>
      <c r="I126" s="53">
        <f>ROUND(E126*G126,2)</f>
        <v>0</v>
      </c>
      <c r="J126" s="243">
        <f>SUM(G123:G125)</f>
        <v>0</v>
      </c>
      <c r="K126" s="255"/>
      <c r="L126" s="255"/>
      <c r="M126" s="255"/>
    </row>
    <row r="127" spans="2:14" ht="18" customHeight="1">
      <c r="B127" s="48" t="s">
        <v>46</v>
      </c>
      <c r="C127" s="50">
        <v>236.53</v>
      </c>
      <c r="D127" s="50" t="s">
        <v>47</v>
      </c>
      <c r="E127" s="49">
        <f>ROUND(C126*(C127/1000),2)</f>
        <v>0</v>
      </c>
      <c r="F127" s="50" t="s">
        <v>48</v>
      </c>
      <c r="G127" s="50">
        <f>G$23</f>
        <v>10</v>
      </c>
      <c r="H127" s="52" t="s">
        <v>49</v>
      </c>
      <c r="I127" s="53">
        <f>E127*G127</f>
        <v>0</v>
      </c>
      <c r="J127" s="255"/>
      <c r="K127" s="255"/>
      <c r="L127" s="255"/>
      <c r="M127" s="255"/>
    </row>
    <row r="128" spans="2:14" ht="18" customHeight="1" thickBot="1">
      <c r="B128" s="48" t="s">
        <v>50</v>
      </c>
      <c r="C128" s="50">
        <v>311.02999999999997</v>
      </c>
      <c r="D128" s="50" t="s">
        <v>51</v>
      </c>
      <c r="E128" s="49">
        <f>ROUND(C126*(C128/1000),2)</f>
        <v>0</v>
      </c>
      <c r="F128" s="50" t="s">
        <v>48</v>
      </c>
      <c r="G128" s="50">
        <f>G$24</f>
        <v>10</v>
      </c>
      <c r="H128" s="52" t="s">
        <v>49</v>
      </c>
      <c r="I128" s="53">
        <f>E128*G128</f>
        <v>0</v>
      </c>
      <c r="J128" s="255"/>
    </row>
    <row r="129" spans="2:14" ht="18" customHeight="1" thickBot="1">
      <c r="B129" s="23" t="s">
        <v>36</v>
      </c>
      <c r="C129" s="252" t="s">
        <v>14</v>
      </c>
      <c r="D129" s="252" t="s">
        <v>37</v>
      </c>
      <c r="E129" s="252" t="s">
        <v>71</v>
      </c>
      <c r="F129" s="252" t="s">
        <v>38</v>
      </c>
      <c r="G129" s="252" t="s">
        <v>72</v>
      </c>
      <c r="H129" s="252" t="s">
        <v>22</v>
      </c>
      <c r="I129" s="25" t="s">
        <v>40</v>
      </c>
      <c r="J129" s="54" t="s">
        <v>2</v>
      </c>
      <c r="K129" s="55" t="s">
        <v>3</v>
      </c>
      <c r="L129" s="55" t="s">
        <v>61</v>
      </c>
      <c r="M129" s="55" t="s">
        <v>62</v>
      </c>
      <c r="N129" s="70" t="s">
        <v>14</v>
      </c>
    </row>
    <row r="130" spans="2:14" ht="18" customHeight="1">
      <c r="B130" s="648" t="s">
        <v>92</v>
      </c>
      <c r="C130" s="649" t="s">
        <v>93</v>
      </c>
      <c r="D130" s="253">
        <f>J130-IF(L130=1,81,IF(L130=2,58.5,IF(L130=3,36,0)))</f>
        <v>0</v>
      </c>
      <c r="E130" s="253">
        <v>0</v>
      </c>
      <c r="F130" s="253">
        <f>K130-IF(M130=1,81,IF(M130=2,58.5,IF(M130=3,36,0)))</f>
        <v>0</v>
      </c>
      <c r="G130" s="250">
        <v>0</v>
      </c>
      <c r="H130" s="250">
        <v>2.0489999999999999</v>
      </c>
      <c r="I130" s="59">
        <f>ROUND((D130*E130+F130*G130)/1000*H130,3)</f>
        <v>0</v>
      </c>
      <c r="J130" s="60"/>
      <c r="K130" s="61"/>
      <c r="L130" s="61"/>
      <c r="M130" s="61"/>
      <c r="N130" s="76" t="s">
        <v>56</v>
      </c>
    </row>
    <row r="131" spans="2:14" ht="18" customHeight="1">
      <c r="B131" s="648"/>
      <c r="C131" s="650"/>
      <c r="D131" s="253">
        <f>J131-IF(L131=1,81,IF(L131=2,58.5,IF(L131=3,36,0)))</f>
        <v>0</v>
      </c>
      <c r="E131" s="253">
        <v>0</v>
      </c>
      <c r="F131" s="253">
        <f>K131-IF(M131=1,81,IF(M131=2,58.5,IF(M131=3,36,0)))</f>
        <v>0</v>
      </c>
      <c r="G131" s="250"/>
      <c r="H131" s="250">
        <f>H130</f>
        <v>2.0489999999999999</v>
      </c>
      <c r="I131" s="59">
        <f>ROUND((D131*E131+F131*G131)/1000*H131,3)</f>
        <v>0</v>
      </c>
      <c r="J131" s="60"/>
      <c r="K131" s="61"/>
      <c r="L131" s="61"/>
      <c r="M131" s="61"/>
      <c r="N131" s="76" t="s">
        <v>58</v>
      </c>
    </row>
    <row r="132" spans="2:14" ht="18" customHeight="1" thickBot="1">
      <c r="B132" s="648"/>
      <c r="C132" s="651"/>
      <c r="D132" s="253">
        <f>J132-IF(L132=1,81,IF(L132=2,58.5,IF(L132=3,36,0)))</f>
        <v>0</v>
      </c>
      <c r="E132" s="253"/>
      <c r="F132" s="253">
        <f>K132-IF(M132=1,81,IF(M132=2,58.5,IF(M132=3,36,0)))</f>
        <v>0</v>
      </c>
      <c r="G132" s="250"/>
      <c r="H132" s="250">
        <f>H131</f>
        <v>2.0489999999999999</v>
      </c>
      <c r="I132" s="59">
        <f>ROUND((D132*E132+F132*G132)/1000*H132,3)</f>
        <v>0</v>
      </c>
      <c r="J132" s="64"/>
      <c r="K132" s="65"/>
      <c r="L132" s="65"/>
      <c r="M132" s="65"/>
      <c r="N132" s="80" t="s">
        <v>89</v>
      </c>
    </row>
    <row r="133" spans="2:14" ht="18" customHeight="1">
      <c r="B133" s="48" t="s">
        <v>42</v>
      </c>
      <c r="C133" s="49">
        <f>SUMPRODUCT(D130:D132*E130:E132+F130:F132*G130:G132)/1000</f>
        <v>0</v>
      </c>
      <c r="D133" s="50" t="s">
        <v>43</v>
      </c>
      <c r="E133" s="49">
        <f>SUM(I130:I132)*1.1</f>
        <v>0</v>
      </c>
      <c r="F133" s="50" t="s">
        <v>44</v>
      </c>
      <c r="G133" s="51">
        <f>(C$218+C$219)/1000</f>
        <v>46.081499999999998</v>
      </c>
      <c r="H133" s="52" t="s">
        <v>45</v>
      </c>
      <c r="I133" s="53">
        <f>ROUND(E133*G133,2)</f>
        <v>0</v>
      </c>
      <c r="J133" s="243">
        <f>SUM(G130:G132)+SUM(E130:E132)</f>
        <v>0</v>
      </c>
    </row>
    <row r="134" spans="2:14" ht="18" customHeight="1">
      <c r="B134" s="48" t="s">
        <v>46</v>
      </c>
      <c r="C134" s="50">
        <v>298.42</v>
      </c>
      <c r="D134" s="50" t="s">
        <v>47</v>
      </c>
      <c r="E134" s="49">
        <f>ROUND(C133*(C134/1000),2)</f>
        <v>0</v>
      </c>
      <c r="F134" s="50" t="s">
        <v>48</v>
      </c>
      <c r="G134" s="50">
        <f>G$23</f>
        <v>10</v>
      </c>
      <c r="H134" s="52" t="s">
        <v>49</v>
      </c>
      <c r="I134" s="53">
        <f>ROUND(E134*G134,2)</f>
        <v>0</v>
      </c>
    </row>
    <row r="135" spans="2:14" ht="18" customHeight="1">
      <c r="B135" s="48" t="s">
        <v>50</v>
      </c>
      <c r="C135" s="50">
        <v>208.08</v>
      </c>
      <c r="D135" s="50" t="s">
        <v>51</v>
      </c>
      <c r="E135" s="49">
        <f>ROUND(C133*(C135/1000),2)</f>
        <v>0</v>
      </c>
      <c r="F135" s="50" t="s">
        <v>48</v>
      </c>
      <c r="G135" s="50">
        <f>G$24</f>
        <v>10</v>
      </c>
      <c r="H135" s="52" t="s">
        <v>49</v>
      </c>
      <c r="I135" s="53">
        <f>ROUND(E135*G135,2)</f>
        <v>0</v>
      </c>
    </row>
    <row r="136" spans="2:14" ht="18" customHeight="1">
      <c r="B136" s="23" t="s">
        <v>36</v>
      </c>
      <c r="C136" s="252" t="s">
        <v>14</v>
      </c>
      <c r="D136" s="652" t="s">
        <v>38</v>
      </c>
      <c r="E136" s="652"/>
      <c r="F136" s="652"/>
      <c r="G136" s="252" t="s">
        <v>72</v>
      </c>
      <c r="H136" s="252" t="s">
        <v>22</v>
      </c>
      <c r="I136" s="25" t="s">
        <v>40</v>
      </c>
    </row>
    <row r="137" spans="2:14" ht="18" customHeight="1">
      <c r="B137" s="648" t="s">
        <v>94</v>
      </c>
      <c r="C137" s="649" t="s">
        <v>95</v>
      </c>
      <c r="D137" s="654">
        <f>E116</f>
        <v>0</v>
      </c>
      <c r="E137" s="646"/>
      <c r="F137" s="646"/>
      <c r="G137" s="250"/>
      <c r="H137" s="250">
        <v>1.3360000000000001</v>
      </c>
      <c r="I137" s="59">
        <f>ROUND(D137*H137*G137/1000,3)</f>
        <v>0</v>
      </c>
    </row>
    <row r="138" spans="2:14" ht="18" customHeight="1">
      <c r="B138" s="648"/>
      <c r="C138" s="651"/>
      <c r="D138" s="654"/>
      <c r="E138" s="646"/>
      <c r="F138" s="646"/>
      <c r="G138" s="250"/>
      <c r="H138" s="250">
        <f>H137</f>
        <v>1.3360000000000001</v>
      </c>
      <c r="I138" s="59">
        <f>ROUND(D138*H138*G138/1000,3)</f>
        <v>0</v>
      </c>
    </row>
    <row r="139" spans="2:14" ht="18" customHeight="1">
      <c r="B139" s="48" t="s">
        <v>42</v>
      </c>
      <c r="C139" s="49">
        <f>SUMPRODUCT(D137:F138*G137:G138)/1000</f>
        <v>0</v>
      </c>
      <c r="D139" s="50" t="s">
        <v>43</v>
      </c>
      <c r="E139" s="49">
        <f>SUM(I137:I138)*1.1</f>
        <v>0</v>
      </c>
      <c r="F139" s="50" t="s">
        <v>44</v>
      </c>
      <c r="G139" s="51">
        <f>(C$218+C$219)/1000</f>
        <v>46.081499999999998</v>
      </c>
      <c r="H139" s="52" t="s">
        <v>45</v>
      </c>
      <c r="I139" s="53">
        <f>ROUND(E139*G139,2)</f>
        <v>0</v>
      </c>
    </row>
    <row r="140" spans="2:14" ht="18" customHeight="1">
      <c r="B140" s="48" t="s">
        <v>46</v>
      </c>
      <c r="C140" s="50">
        <v>143.24</v>
      </c>
      <c r="D140" s="50" t="s">
        <v>47</v>
      </c>
      <c r="E140" s="49">
        <f>ROUND(C139*(C140/1000),2)</f>
        <v>0</v>
      </c>
      <c r="F140" s="50" t="s">
        <v>48</v>
      </c>
      <c r="G140" s="50">
        <f>G$23</f>
        <v>10</v>
      </c>
      <c r="H140" s="52" t="s">
        <v>49</v>
      </c>
      <c r="I140" s="53">
        <f>E140*G140</f>
        <v>0</v>
      </c>
    </row>
    <row r="141" spans="2:14" ht="18" customHeight="1">
      <c r="B141" s="48" t="s">
        <v>50</v>
      </c>
      <c r="C141" s="50">
        <v>85.04</v>
      </c>
      <c r="D141" s="50" t="s">
        <v>51</v>
      </c>
      <c r="E141" s="49">
        <f>ROUND(C139*(C141/1000),2)</f>
        <v>0</v>
      </c>
      <c r="F141" s="50" t="s">
        <v>48</v>
      </c>
      <c r="G141" s="50">
        <f>G$24</f>
        <v>10</v>
      </c>
      <c r="H141" s="52" t="s">
        <v>49</v>
      </c>
      <c r="I141" s="53">
        <f>E141*G141</f>
        <v>0</v>
      </c>
    </row>
    <row r="142" spans="2:14" ht="18" customHeight="1">
      <c r="B142" s="23" t="s">
        <v>36</v>
      </c>
      <c r="C142" s="252" t="s">
        <v>14</v>
      </c>
      <c r="D142" s="252" t="s">
        <v>37</v>
      </c>
      <c r="E142" s="252" t="s">
        <v>38</v>
      </c>
      <c r="F142" s="252" t="s">
        <v>39</v>
      </c>
      <c r="G142" s="252" t="s">
        <v>8</v>
      </c>
      <c r="H142" s="252" t="s">
        <v>22</v>
      </c>
      <c r="I142" s="25" t="s">
        <v>40</v>
      </c>
    </row>
    <row r="143" spans="2:14" ht="18" customHeight="1">
      <c r="B143" s="648" t="s">
        <v>96</v>
      </c>
      <c r="C143" s="653" t="s">
        <v>83</v>
      </c>
      <c r="D143" s="253">
        <f t="shared" ref="D143:E145" si="20">D116-154</f>
        <v>-154</v>
      </c>
      <c r="E143" s="253">
        <f t="shared" si="20"/>
        <v>-154</v>
      </c>
      <c r="F143" s="253">
        <f>(D143+E143)*2/1000</f>
        <v>-0.61599999999999999</v>
      </c>
      <c r="G143" s="250">
        <f>G116</f>
        <v>0</v>
      </c>
      <c r="H143" s="250">
        <v>0.27100000000000002</v>
      </c>
      <c r="I143" s="59">
        <f>ROUND((F143*G143)*H143,3)</f>
        <v>0</v>
      </c>
    </row>
    <row r="144" spans="2:14" ht="18" customHeight="1">
      <c r="B144" s="648"/>
      <c r="C144" s="650"/>
      <c r="D144" s="253">
        <f t="shared" si="20"/>
        <v>-154</v>
      </c>
      <c r="E144" s="253">
        <f t="shared" si="20"/>
        <v>-154</v>
      </c>
      <c r="F144" s="253">
        <f>(D144+E144)*2/1000</f>
        <v>-0.61599999999999999</v>
      </c>
      <c r="G144" s="250">
        <f>G117</f>
        <v>0</v>
      </c>
      <c r="H144" s="250">
        <f>H143</f>
        <v>0.27100000000000002</v>
      </c>
      <c r="I144" s="59">
        <f>ROUND((F144*G144)*H144,3)</f>
        <v>0</v>
      </c>
    </row>
    <row r="145" spans="2:14" ht="18" customHeight="1">
      <c r="B145" s="648"/>
      <c r="C145" s="651"/>
      <c r="D145" s="253">
        <f t="shared" si="20"/>
        <v>-154</v>
      </c>
      <c r="E145" s="253">
        <f t="shared" si="20"/>
        <v>-154</v>
      </c>
      <c r="F145" s="253">
        <f>(D145+E145)*2/1000</f>
        <v>-0.61599999999999999</v>
      </c>
      <c r="G145" s="250">
        <f>G118</f>
        <v>0</v>
      </c>
      <c r="H145" s="250">
        <f>H144</f>
        <v>0.27100000000000002</v>
      </c>
      <c r="I145" s="59">
        <f>ROUND((F145*G145)*H145,3)</f>
        <v>0</v>
      </c>
    </row>
    <row r="146" spans="2:14" ht="18" customHeight="1">
      <c r="B146" s="48" t="s">
        <v>42</v>
      </c>
      <c r="C146" s="49">
        <f>SUMPRODUCT(F143:F145*G143:G145)</f>
        <v>0</v>
      </c>
      <c r="D146" s="50" t="s">
        <v>43</v>
      </c>
      <c r="E146" s="49">
        <f>SUM(I143:I145)*1.1</f>
        <v>0</v>
      </c>
      <c r="F146" s="50" t="s">
        <v>44</v>
      </c>
      <c r="G146" s="51">
        <f>(C$218+C$222)/1000</f>
        <v>39.781500000000001</v>
      </c>
      <c r="H146" s="52" t="s">
        <v>45</v>
      </c>
      <c r="I146" s="53">
        <f>ROUND(E146*G146,2)</f>
        <v>0</v>
      </c>
    </row>
    <row r="147" spans="2:14" ht="18" customHeight="1">
      <c r="B147" s="48" t="s">
        <v>46</v>
      </c>
      <c r="C147" s="50">
        <v>186.72</v>
      </c>
      <c r="D147" s="50" t="s">
        <v>47</v>
      </c>
      <c r="E147" s="49">
        <f>ROUND(C146*(C147/1000),2)</f>
        <v>0</v>
      </c>
      <c r="F147" s="50" t="s">
        <v>48</v>
      </c>
      <c r="G147" s="50">
        <f>G$23</f>
        <v>10</v>
      </c>
      <c r="H147" s="52" t="s">
        <v>49</v>
      </c>
      <c r="I147" s="53">
        <f>E147*G147</f>
        <v>0</v>
      </c>
      <c r="K147" s="42"/>
      <c r="L147" s="42"/>
      <c r="M147" s="42"/>
    </row>
    <row r="148" spans="2:14" ht="18" customHeight="1">
      <c r="B148" s="48" t="s">
        <v>50</v>
      </c>
      <c r="C148" s="50">
        <v>0</v>
      </c>
      <c r="D148" s="50" t="s">
        <v>51</v>
      </c>
      <c r="E148" s="49">
        <f>ROUND(C146*(C148/1000),2)</f>
        <v>0</v>
      </c>
      <c r="F148" s="50" t="s">
        <v>48</v>
      </c>
      <c r="G148" s="50">
        <f>G$24</f>
        <v>10</v>
      </c>
      <c r="H148" s="52" t="s">
        <v>49</v>
      </c>
      <c r="I148" s="53">
        <f>E148*G148</f>
        <v>0</v>
      </c>
      <c r="K148" s="42"/>
      <c r="L148" s="42"/>
      <c r="M148" s="42"/>
    </row>
    <row r="149" spans="2:14" ht="18" customHeight="1">
      <c r="B149" s="23" t="s">
        <v>36</v>
      </c>
      <c r="C149" s="252" t="s">
        <v>14</v>
      </c>
      <c r="D149" s="252" t="s">
        <v>37</v>
      </c>
      <c r="E149" s="252" t="s">
        <v>38</v>
      </c>
      <c r="F149" s="252" t="s">
        <v>39</v>
      </c>
      <c r="G149" s="252" t="s">
        <v>8</v>
      </c>
      <c r="H149" s="252" t="s">
        <v>22</v>
      </c>
      <c r="I149" s="25" t="s">
        <v>40</v>
      </c>
      <c r="K149" s="42"/>
      <c r="L149" s="42"/>
      <c r="M149" s="42"/>
    </row>
    <row r="150" spans="2:14" ht="18" customHeight="1">
      <c r="B150" s="648" t="s">
        <v>97</v>
      </c>
      <c r="C150" s="653" t="s">
        <v>83</v>
      </c>
      <c r="D150" s="253">
        <f t="shared" ref="D150:E152" si="21">D123-160</f>
        <v>-160</v>
      </c>
      <c r="E150" s="253">
        <f t="shared" si="21"/>
        <v>-160</v>
      </c>
      <c r="F150" s="253">
        <f>(D150+E150)*2/1000</f>
        <v>-0.64</v>
      </c>
      <c r="G150" s="250">
        <f>G123</f>
        <v>0</v>
      </c>
      <c r="H150" s="250">
        <f>H145</f>
        <v>0.27100000000000002</v>
      </c>
      <c r="I150" s="59">
        <f>ROUND((F150*G150)*H150,3)</f>
        <v>0</v>
      </c>
      <c r="K150" s="42"/>
      <c r="L150" s="42"/>
      <c r="M150" s="42"/>
    </row>
    <row r="151" spans="2:14" ht="18" customHeight="1">
      <c r="B151" s="648"/>
      <c r="C151" s="650"/>
      <c r="D151" s="253">
        <f t="shared" si="21"/>
        <v>-160</v>
      </c>
      <c r="E151" s="253">
        <f t="shared" si="21"/>
        <v>-160</v>
      </c>
      <c r="F151" s="253">
        <f>(D151+E151)*2/1000</f>
        <v>-0.64</v>
      </c>
      <c r="G151" s="250">
        <f>G124</f>
        <v>0</v>
      </c>
      <c r="H151" s="250">
        <f>H150</f>
        <v>0.27100000000000002</v>
      </c>
      <c r="I151" s="59">
        <f>ROUND((F151*G151)*H151,3)</f>
        <v>0</v>
      </c>
      <c r="K151" s="42"/>
      <c r="L151" s="42"/>
      <c r="M151" s="42"/>
    </row>
    <row r="152" spans="2:14" ht="18" customHeight="1">
      <c r="B152" s="648"/>
      <c r="C152" s="651"/>
      <c r="D152" s="253">
        <f t="shared" si="21"/>
        <v>-160</v>
      </c>
      <c r="E152" s="253">
        <f t="shared" si="21"/>
        <v>-160</v>
      </c>
      <c r="F152" s="253">
        <f>(D152+E152)*2/1000</f>
        <v>-0.64</v>
      </c>
      <c r="G152" s="250">
        <f>G125</f>
        <v>0</v>
      </c>
      <c r="H152" s="250">
        <f>H151</f>
        <v>0.27100000000000002</v>
      </c>
      <c r="I152" s="59">
        <f>ROUND((F152*G152)*H152,3)</f>
        <v>0</v>
      </c>
      <c r="K152" s="42"/>
      <c r="L152" s="42"/>
      <c r="M152" s="42"/>
    </row>
    <row r="153" spans="2:14" ht="18" customHeight="1">
      <c r="B153" s="48" t="s">
        <v>42</v>
      </c>
      <c r="C153" s="49">
        <f>SUMPRODUCT(F150:F152*G150:G152)</f>
        <v>0</v>
      </c>
      <c r="D153" s="50" t="s">
        <v>43</v>
      </c>
      <c r="E153" s="49">
        <f>SUM(I150:I152)*1.1</f>
        <v>0</v>
      </c>
      <c r="F153" s="50" t="s">
        <v>44</v>
      </c>
      <c r="G153" s="51">
        <f>(C$218+C$222)/1000</f>
        <v>39.781500000000001</v>
      </c>
      <c r="H153" s="52" t="s">
        <v>45</v>
      </c>
      <c r="I153" s="53">
        <f>ROUND(E153*G153,2)</f>
        <v>0</v>
      </c>
      <c r="K153" s="42"/>
      <c r="L153" s="42"/>
      <c r="M153" s="42"/>
    </row>
    <row r="154" spans="2:14" ht="18" customHeight="1">
      <c r="B154" s="48" t="s">
        <v>46</v>
      </c>
      <c r="C154" s="50">
        <v>186.72</v>
      </c>
      <c r="D154" s="50" t="s">
        <v>47</v>
      </c>
      <c r="E154" s="49">
        <f>ROUND(C153*(C154/1000),2)</f>
        <v>0</v>
      </c>
      <c r="F154" s="50" t="s">
        <v>48</v>
      </c>
      <c r="G154" s="50">
        <f>G$23</f>
        <v>10</v>
      </c>
      <c r="H154" s="52" t="s">
        <v>49</v>
      </c>
      <c r="I154" s="53">
        <f>E154*G154</f>
        <v>0</v>
      </c>
    </row>
    <row r="155" spans="2:14" ht="18" customHeight="1" thickBot="1">
      <c r="B155" s="48" t="s">
        <v>50</v>
      </c>
      <c r="C155" s="50">
        <v>0</v>
      </c>
      <c r="D155" s="50" t="s">
        <v>51</v>
      </c>
      <c r="E155" s="49">
        <f>ROUND(C153*(C155/1000),2)</f>
        <v>0</v>
      </c>
      <c r="F155" s="50" t="s">
        <v>48</v>
      </c>
      <c r="G155" s="50">
        <f>G$24</f>
        <v>10</v>
      </c>
      <c r="H155" s="52" t="s">
        <v>49</v>
      </c>
      <c r="I155" s="53">
        <f>E155*G155</f>
        <v>0</v>
      </c>
    </row>
    <row r="156" spans="2:14" ht="18" customHeight="1" thickBot="1">
      <c r="B156" s="23" t="s">
        <v>36</v>
      </c>
      <c r="C156" s="252" t="s">
        <v>14</v>
      </c>
      <c r="D156" s="252" t="s">
        <v>37</v>
      </c>
      <c r="E156" s="252" t="s">
        <v>38</v>
      </c>
      <c r="F156" s="252" t="s">
        <v>39</v>
      </c>
      <c r="G156" s="252" t="s">
        <v>8</v>
      </c>
      <c r="H156" s="252" t="s">
        <v>22</v>
      </c>
      <c r="I156" s="25" t="s">
        <v>40</v>
      </c>
      <c r="J156" s="54" t="s">
        <v>2</v>
      </c>
      <c r="K156" s="55" t="s">
        <v>3</v>
      </c>
      <c r="L156" s="55" t="s">
        <v>61</v>
      </c>
      <c r="M156" s="55" t="s">
        <v>62</v>
      </c>
      <c r="N156" s="70" t="s">
        <v>14</v>
      </c>
    </row>
    <row r="157" spans="2:14" ht="18" customHeight="1">
      <c r="B157" s="648" t="s">
        <v>98</v>
      </c>
      <c r="C157" s="649" t="s">
        <v>99</v>
      </c>
      <c r="D157" s="253">
        <f t="shared" ref="D157:E162" si="22">J157-IF(L157=1,90,IF(L157=2,67.5,IF(L157=3,45,0)))</f>
        <v>0</v>
      </c>
      <c r="E157" s="253">
        <f t="shared" si="22"/>
        <v>0</v>
      </c>
      <c r="F157" s="253">
        <f t="shared" ref="F157:F162" si="23">2*(D157+E157)/1000</f>
        <v>0</v>
      </c>
      <c r="G157" s="250">
        <v>0</v>
      </c>
      <c r="H157" s="250">
        <f>H68</f>
        <v>0.224</v>
      </c>
      <c r="I157" s="59">
        <f t="shared" ref="I157:I162" si="24">ROUND((F157*G157)*H157,3)</f>
        <v>0</v>
      </c>
      <c r="J157" s="60"/>
      <c r="K157" s="61"/>
      <c r="L157" s="61"/>
      <c r="M157" s="61"/>
      <c r="N157" s="76" t="s">
        <v>56</v>
      </c>
    </row>
    <row r="158" spans="2:14" ht="18" customHeight="1">
      <c r="B158" s="648"/>
      <c r="C158" s="650"/>
      <c r="D158" s="253">
        <f t="shared" si="22"/>
        <v>0</v>
      </c>
      <c r="E158" s="253">
        <f t="shared" si="22"/>
        <v>0</v>
      </c>
      <c r="F158" s="253">
        <f t="shared" si="23"/>
        <v>0</v>
      </c>
      <c r="G158" s="250"/>
      <c r="H158" s="250">
        <f>H157</f>
        <v>0.224</v>
      </c>
      <c r="I158" s="59">
        <f t="shared" si="24"/>
        <v>0</v>
      </c>
      <c r="J158" s="60"/>
      <c r="K158" s="61"/>
      <c r="L158" s="61"/>
      <c r="M158" s="61"/>
      <c r="N158" s="76" t="s">
        <v>58</v>
      </c>
    </row>
    <row r="159" spans="2:14" ht="18" customHeight="1">
      <c r="B159" s="648"/>
      <c r="C159" s="650"/>
      <c r="D159" s="253">
        <f t="shared" si="22"/>
        <v>0</v>
      </c>
      <c r="E159" s="253">
        <f t="shared" si="22"/>
        <v>0</v>
      </c>
      <c r="F159" s="253">
        <f t="shared" si="23"/>
        <v>0</v>
      </c>
      <c r="G159" s="250"/>
      <c r="H159" s="250">
        <f>H158</f>
        <v>0.224</v>
      </c>
      <c r="I159" s="59">
        <f t="shared" si="24"/>
        <v>0</v>
      </c>
      <c r="J159" s="60"/>
      <c r="K159" s="61"/>
      <c r="L159" s="61"/>
      <c r="M159" s="61"/>
      <c r="N159" s="76" t="s">
        <v>60</v>
      </c>
    </row>
    <row r="160" spans="2:14" ht="18" customHeight="1">
      <c r="B160" s="648"/>
      <c r="C160" s="650"/>
      <c r="D160" s="253">
        <f t="shared" si="22"/>
        <v>0</v>
      </c>
      <c r="E160" s="253">
        <f t="shared" si="22"/>
        <v>0</v>
      </c>
      <c r="F160" s="253">
        <f t="shared" si="23"/>
        <v>0</v>
      </c>
      <c r="G160" s="250">
        <v>0</v>
      </c>
      <c r="H160" s="77">
        <f>H159</f>
        <v>0.224</v>
      </c>
      <c r="I160" s="59">
        <f t="shared" si="24"/>
        <v>0</v>
      </c>
      <c r="J160" s="60"/>
      <c r="K160" s="61"/>
      <c r="L160" s="61"/>
      <c r="M160" s="61"/>
      <c r="N160" s="76"/>
    </row>
    <row r="161" spans="2:16" ht="18" customHeight="1">
      <c r="B161" s="648"/>
      <c r="C161" s="650"/>
      <c r="D161" s="253">
        <f t="shared" si="22"/>
        <v>0</v>
      </c>
      <c r="E161" s="253">
        <f t="shared" si="22"/>
        <v>0</v>
      </c>
      <c r="F161" s="253">
        <f t="shared" si="23"/>
        <v>0</v>
      </c>
      <c r="G161" s="250"/>
      <c r="H161" s="250">
        <f>H160</f>
        <v>0.224</v>
      </c>
      <c r="I161" s="59">
        <f t="shared" si="24"/>
        <v>0</v>
      </c>
      <c r="J161" s="60"/>
      <c r="K161" s="61"/>
      <c r="L161" s="61"/>
      <c r="M161" s="61"/>
      <c r="N161" s="76"/>
    </row>
    <row r="162" spans="2:16" ht="18" customHeight="1" thickBot="1">
      <c r="B162" s="648"/>
      <c r="C162" s="651"/>
      <c r="D162" s="253">
        <f t="shared" si="22"/>
        <v>0</v>
      </c>
      <c r="E162" s="253">
        <f t="shared" si="22"/>
        <v>0</v>
      </c>
      <c r="F162" s="253">
        <f t="shared" si="23"/>
        <v>0</v>
      </c>
      <c r="G162" s="250"/>
      <c r="H162" s="250">
        <f>H160</f>
        <v>0.224</v>
      </c>
      <c r="I162" s="59">
        <f t="shared" si="24"/>
        <v>0</v>
      </c>
      <c r="J162" s="64"/>
      <c r="K162" s="65"/>
      <c r="L162" s="65"/>
      <c r="M162" s="65"/>
      <c r="N162" s="80"/>
    </row>
    <row r="163" spans="2:16" ht="18" customHeight="1">
      <c r="B163" s="48" t="s">
        <v>42</v>
      </c>
      <c r="C163" s="49">
        <f>SUMPRODUCT(F157:F162*G157:G162)</f>
        <v>0</v>
      </c>
      <c r="D163" s="50" t="s">
        <v>43</v>
      </c>
      <c r="E163" s="49">
        <f>SUM(I157:I162)*1.1</f>
        <v>0</v>
      </c>
      <c r="F163" s="50" t="s">
        <v>44</v>
      </c>
      <c r="G163" s="51">
        <f>(C$218+C$222)/1000</f>
        <v>39.781500000000001</v>
      </c>
      <c r="H163" s="52" t="s">
        <v>45</v>
      </c>
      <c r="I163" s="53">
        <f>ROUND(E163*G163,2)</f>
        <v>0</v>
      </c>
      <c r="J163" s="102"/>
      <c r="K163" s="102"/>
      <c r="L163" s="102"/>
      <c r="M163" s="102"/>
      <c r="O163" s="102"/>
      <c r="P163" s="102"/>
    </row>
    <row r="164" spans="2:16" ht="18" customHeight="1">
      <c r="B164" s="48" t="s">
        <v>46</v>
      </c>
      <c r="C164" s="50">
        <v>181.72</v>
      </c>
      <c r="D164" s="50" t="s">
        <v>47</v>
      </c>
      <c r="E164" s="49">
        <f>ROUND(C163*(C164/1000),2)</f>
        <v>0</v>
      </c>
      <c r="F164" s="50" t="s">
        <v>48</v>
      </c>
      <c r="G164" s="50">
        <f>G$23</f>
        <v>10</v>
      </c>
      <c r="H164" s="52" t="s">
        <v>49</v>
      </c>
      <c r="I164" s="53">
        <f>E164*G164</f>
        <v>0</v>
      </c>
      <c r="J164" s="102"/>
      <c r="K164" s="102"/>
      <c r="L164" s="102"/>
      <c r="M164" s="102"/>
      <c r="O164" s="102"/>
      <c r="P164" s="102"/>
    </row>
    <row r="165" spans="2:16" ht="18" customHeight="1">
      <c r="B165" s="48" t="s">
        <v>50</v>
      </c>
      <c r="C165" s="50"/>
      <c r="D165" s="50" t="s">
        <v>51</v>
      </c>
      <c r="E165" s="49">
        <f>ROUND(C163*(C165/1000),2)</f>
        <v>0</v>
      </c>
      <c r="F165" s="50" t="s">
        <v>48</v>
      </c>
      <c r="G165" s="50">
        <f>G$24</f>
        <v>10</v>
      </c>
      <c r="H165" s="52" t="s">
        <v>49</v>
      </c>
      <c r="I165" s="53">
        <f>E165*G165</f>
        <v>0</v>
      </c>
      <c r="K165" s="43">
        <f>J165*E165</f>
        <v>0</v>
      </c>
    </row>
    <row r="166" spans="2:16" ht="18" customHeight="1">
      <c r="B166" s="23" t="s">
        <v>36</v>
      </c>
      <c r="C166" s="252" t="s">
        <v>14</v>
      </c>
      <c r="D166" s="252" t="s">
        <v>37</v>
      </c>
      <c r="E166" s="252" t="s">
        <v>71</v>
      </c>
      <c r="F166" s="252" t="s">
        <v>38</v>
      </c>
      <c r="G166" s="252" t="s">
        <v>72</v>
      </c>
      <c r="H166" s="252" t="s">
        <v>22</v>
      </c>
      <c r="I166" s="25" t="s">
        <v>40</v>
      </c>
    </row>
    <row r="167" spans="2:16" ht="18" customHeight="1">
      <c r="B167" s="648" t="s">
        <v>100</v>
      </c>
      <c r="C167" s="649" t="s">
        <v>101</v>
      </c>
      <c r="D167" s="250"/>
      <c r="E167" s="250"/>
      <c r="F167" s="250"/>
      <c r="G167" s="250"/>
      <c r="H167" s="28">
        <v>6.3E-2</v>
      </c>
      <c r="I167" s="59">
        <f>ROUND((D167*E167+F167*G167)/1000*H167,3)</f>
        <v>0</v>
      </c>
    </row>
    <row r="168" spans="2:16" ht="18" customHeight="1">
      <c r="B168" s="648"/>
      <c r="C168" s="650"/>
      <c r="D168" s="250"/>
      <c r="E168" s="250"/>
      <c r="F168" s="250"/>
      <c r="G168" s="250"/>
      <c r="H168" s="28">
        <f>H167</f>
        <v>6.3E-2</v>
      </c>
      <c r="I168" s="59">
        <f>ROUND((D168*E168+F168*G168)/1000*H168,3)</f>
        <v>0</v>
      </c>
    </row>
    <row r="169" spans="2:16" ht="18" customHeight="1">
      <c r="B169" s="648"/>
      <c r="C169" s="651"/>
      <c r="D169" s="250"/>
      <c r="E169" s="250"/>
      <c r="F169" s="250"/>
      <c r="G169" s="250"/>
      <c r="H169" s="28">
        <f>H168</f>
        <v>6.3E-2</v>
      </c>
      <c r="I169" s="59">
        <f>ROUND((D169*E169+F169*G169)/1000*H169,3)</f>
        <v>0</v>
      </c>
    </row>
    <row r="170" spans="2:16" ht="18" customHeight="1">
      <c r="B170" s="48" t="s">
        <v>42</v>
      </c>
      <c r="C170" s="49">
        <f>SUMPRODUCT(D167:D169*E167:E169+F167:F169*G167:G169)/1000</f>
        <v>0</v>
      </c>
      <c r="D170" s="50" t="s">
        <v>43</v>
      </c>
      <c r="E170" s="49">
        <f>SUM(I167:I169)*1.1</f>
        <v>0</v>
      </c>
      <c r="F170" s="50" t="s">
        <v>44</v>
      </c>
      <c r="G170" s="51">
        <f>(C$218+$C$222)/1000</f>
        <v>39.781500000000001</v>
      </c>
      <c r="H170" s="52" t="s">
        <v>45</v>
      </c>
      <c r="I170" s="53">
        <f>ROUND(E170*G170,2)</f>
        <v>0</v>
      </c>
    </row>
    <row r="171" spans="2:16" ht="18" customHeight="1">
      <c r="B171" s="48" t="s">
        <v>46</v>
      </c>
      <c r="C171" s="50">
        <v>105.66</v>
      </c>
      <c r="D171" s="50" t="s">
        <v>47</v>
      </c>
      <c r="E171" s="49">
        <f>ROUND(C170*(C171/1000),2)</f>
        <v>0</v>
      </c>
      <c r="F171" s="50" t="s">
        <v>48</v>
      </c>
      <c r="G171" s="50">
        <f>G$23</f>
        <v>10</v>
      </c>
      <c r="H171" s="52" t="s">
        <v>49</v>
      </c>
      <c r="I171" s="53">
        <f>E171*G171</f>
        <v>0</v>
      </c>
    </row>
    <row r="172" spans="2:16" ht="18" customHeight="1">
      <c r="B172" s="48" t="s">
        <v>50</v>
      </c>
      <c r="C172" s="50">
        <v>125.66</v>
      </c>
      <c r="D172" s="50" t="s">
        <v>51</v>
      </c>
      <c r="E172" s="49">
        <f>ROUND(C170*(C172/1000),2)</f>
        <v>0</v>
      </c>
      <c r="F172" s="50" t="s">
        <v>48</v>
      </c>
      <c r="G172" s="50">
        <f>G$24</f>
        <v>10</v>
      </c>
      <c r="H172" s="52" t="s">
        <v>49</v>
      </c>
      <c r="I172" s="53">
        <f>E172*G172</f>
        <v>0</v>
      </c>
    </row>
    <row r="173" spans="2:16" ht="18" customHeight="1">
      <c r="B173" s="23" t="s">
        <v>36</v>
      </c>
      <c r="C173" s="252" t="s">
        <v>14</v>
      </c>
      <c r="D173" s="252" t="s">
        <v>37</v>
      </c>
      <c r="E173" s="252" t="s">
        <v>71</v>
      </c>
      <c r="F173" s="252" t="s">
        <v>38</v>
      </c>
      <c r="G173" s="252" t="s">
        <v>72</v>
      </c>
      <c r="H173" s="252" t="s">
        <v>22</v>
      </c>
      <c r="I173" s="25" t="s">
        <v>40</v>
      </c>
    </row>
    <row r="174" spans="2:16" ht="18" customHeight="1">
      <c r="B174" s="648" t="s">
        <v>102</v>
      </c>
      <c r="C174" s="649" t="s">
        <v>103</v>
      </c>
      <c r="D174" s="250"/>
      <c r="E174" s="250"/>
      <c r="F174" s="250"/>
      <c r="G174" s="250"/>
      <c r="H174" s="28">
        <v>1.0980000000000001</v>
      </c>
      <c r="I174" s="59">
        <f>ROUND((D174*E174+F174*G174)/1000*H174,3)</f>
        <v>0</v>
      </c>
    </row>
    <row r="175" spans="2:16" ht="18" customHeight="1">
      <c r="B175" s="648"/>
      <c r="C175" s="650"/>
      <c r="D175" s="250"/>
      <c r="E175" s="250"/>
      <c r="F175" s="250"/>
      <c r="G175" s="250"/>
      <c r="H175" s="28">
        <f>H174</f>
        <v>1.0980000000000001</v>
      </c>
      <c r="I175" s="59">
        <f>ROUND((D175*E175+F175*G175)/1000*H175,3)</f>
        <v>0</v>
      </c>
    </row>
    <row r="176" spans="2:16" ht="18" customHeight="1">
      <c r="B176" s="648"/>
      <c r="C176" s="651"/>
      <c r="D176" s="250"/>
      <c r="E176" s="250"/>
      <c r="F176" s="250"/>
      <c r="G176" s="250"/>
      <c r="H176" s="28">
        <f>H175</f>
        <v>1.0980000000000001</v>
      </c>
      <c r="I176" s="59">
        <f>ROUND((D176*E176+F176*G176)/1000*H176,3)</f>
        <v>0</v>
      </c>
    </row>
    <row r="177" spans="2:9" ht="18" customHeight="1">
      <c r="B177" s="48" t="s">
        <v>42</v>
      </c>
      <c r="C177" s="49">
        <f>SUMPRODUCT(D174:D176*E174:E176+F174:F176*G174:G176)/1000</f>
        <v>0</v>
      </c>
      <c r="D177" s="50" t="s">
        <v>43</v>
      </c>
      <c r="E177" s="49">
        <f>SUM(I174:I176)*1.1</f>
        <v>0</v>
      </c>
      <c r="F177" s="50" t="s">
        <v>44</v>
      </c>
      <c r="G177" s="51">
        <f>(C$218+C$219)/1000</f>
        <v>46.081499999999998</v>
      </c>
      <c r="H177" s="52" t="s">
        <v>45</v>
      </c>
      <c r="I177" s="53">
        <f>ROUND(E177*G177,2)</f>
        <v>0</v>
      </c>
    </row>
    <row r="178" spans="2:9" ht="18" customHeight="1">
      <c r="B178" s="48" t="s">
        <v>46</v>
      </c>
      <c r="C178" s="50">
        <v>105.66</v>
      </c>
      <c r="D178" s="50" t="s">
        <v>47</v>
      </c>
      <c r="E178" s="49">
        <f>ROUND(C177*(C178/1000),2)</f>
        <v>0</v>
      </c>
      <c r="F178" s="50" t="s">
        <v>48</v>
      </c>
      <c r="G178" s="50">
        <f>G$23</f>
        <v>10</v>
      </c>
      <c r="H178" s="52" t="s">
        <v>49</v>
      </c>
      <c r="I178" s="53">
        <f>E178*G178</f>
        <v>0</v>
      </c>
    </row>
    <row r="179" spans="2:9" ht="18" customHeight="1">
      <c r="B179" s="48" t="s">
        <v>50</v>
      </c>
      <c r="C179" s="50">
        <v>125.66</v>
      </c>
      <c r="D179" s="50" t="s">
        <v>51</v>
      </c>
      <c r="E179" s="49">
        <f>ROUND(C177*(C179/1000),2)</f>
        <v>0</v>
      </c>
      <c r="F179" s="50" t="s">
        <v>48</v>
      </c>
      <c r="G179" s="50">
        <f>G$24</f>
        <v>10</v>
      </c>
      <c r="H179" s="52" t="s">
        <v>49</v>
      </c>
      <c r="I179" s="53">
        <f>E179*G179</f>
        <v>0</v>
      </c>
    </row>
    <row r="180" spans="2:9" ht="18" customHeight="1">
      <c r="B180" s="23" t="s">
        <v>36</v>
      </c>
      <c r="C180" s="252" t="s">
        <v>14</v>
      </c>
      <c r="D180" s="252" t="s">
        <v>37</v>
      </c>
      <c r="E180" s="252" t="s">
        <v>71</v>
      </c>
      <c r="F180" s="252" t="s">
        <v>38</v>
      </c>
      <c r="G180" s="252" t="s">
        <v>72</v>
      </c>
      <c r="H180" s="252" t="s">
        <v>22</v>
      </c>
      <c r="I180" s="25" t="s">
        <v>40</v>
      </c>
    </row>
    <row r="181" spans="2:9" ht="18" customHeight="1">
      <c r="B181" s="648" t="s">
        <v>104</v>
      </c>
      <c r="C181" s="649" t="s">
        <v>105</v>
      </c>
      <c r="D181" s="250">
        <f>D6</f>
        <v>2220</v>
      </c>
      <c r="E181" s="250"/>
      <c r="F181" s="250"/>
      <c r="G181" s="250"/>
      <c r="H181" s="28">
        <v>1.5629999999999999</v>
      </c>
      <c r="I181" s="59">
        <f>ROUND((D181*E181+F181*G181)/1000*H181,3)</f>
        <v>0</v>
      </c>
    </row>
    <row r="182" spans="2:9" ht="18" customHeight="1">
      <c r="B182" s="648"/>
      <c r="C182" s="650"/>
      <c r="D182" s="250"/>
      <c r="E182" s="250"/>
      <c r="F182" s="250"/>
      <c r="G182" s="250"/>
      <c r="H182" s="28">
        <f>H181</f>
        <v>1.5629999999999999</v>
      </c>
      <c r="I182" s="59">
        <f>ROUND((D182*E182+F182*G182)/1000*H182,3)</f>
        <v>0</v>
      </c>
    </row>
    <row r="183" spans="2:9" ht="18" customHeight="1">
      <c r="B183" s="648"/>
      <c r="C183" s="651"/>
      <c r="D183" s="250"/>
      <c r="E183" s="250"/>
      <c r="F183" s="250"/>
      <c r="G183" s="250"/>
      <c r="H183" s="28">
        <f>H182</f>
        <v>1.5629999999999999</v>
      </c>
      <c r="I183" s="59">
        <f>ROUND((D183*E183+F183*G183)/1000*H183,3)</f>
        <v>0</v>
      </c>
    </row>
    <row r="184" spans="2:9" ht="18" customHeight="1">
      <c r="B184" s="48" t="s">
        <v>42</v>
      </c>
      <c r="C184" s="49">
        <f>SUMPRODUCT(D181:D183*E181:E183+F181:F183*G181:G183)/1000</f>
        <v>0</v>
      </c>
      <c r="D184" s="50" t="s">
        <v>43</v>
      </c>
      <c r="E184" s="49">
        <f>SUM(I181:I183)*1.1</f>
        <v>0</v>
      </c>
      <c r="F184" s="50" t="s">
        <v>44</v>
      </c>
      <c r="G184" s="51">
        <f>(C$218+C$219)/1000</f>
        <v>46.081499999999998</v>
      </c>
      <c r="H184" s="52" t="s">
        <v>45</v>
      </c>
      <c r="I184" s="53">
        <f>ROUND(E184*G184,2)</f>
        <v>0</v>
      </c>
    </row>
    <row r="185" spans="2:9" ht="18" customHeight="1">
      <c r="B185" s="48" t="s">
        <v>46</v>
      </c>
      <c r="C185" s="50">
        <v>105.66</v>
      </c>
      <c r="D185" s="50" t="s">
        <v>47</v>
      </c>
      <c r="E185" s="49">
        <f>ROUND(C184*(C185/1000),2)</f>
        <v>0</v>
      </c>
      <c r="F185" s="50" t="s">
        <v>48</v>
      </c>
      <c r="G185" s="50">
        <f>G$23</f>
        <v>10</v>
      </c>
      <c r="H185" s="52" t="s">
        <v>49</v>
      </c>
      <c r="I185" s="53">
        <f>E185*G185</f>
        <v>0</v>
      </c>
    </row>
    <row r="186" spans="2:9" ht="18" customHeight="1">
      <c r="B186" s="48" t="s">
        <v>50</v>
      </c>
      <c r="C186" s="50">
        <v>125.66</v>
      </c>
      <c r="D186" s="50" t="s">
        <v>51</v>
      </c>
      <c r="E186" s="49">
        <f>ROUND(C184*(C186/1000),2)</f>
        <v>0</v>
      </c>
      <c r="F186" s="50" t="s">
        <v>48</v>
      </c>
      <c r="G186" s="50">
        <f>G$24</f>
        <v>10</v>
      </c>
      <c r="H186" s="52" t="s">
        <v>49</v>
      </c>
      <c r="I186" s="53">
        <f>E186*G186</f>
        <v>0</v>
      </c>
    </row>
    <row r="187" spans="2:9" ht="18" customHeight="1">
      <c r="B187" s="23" t="s">
        <v>36</v>
      </c>
      <c r="C187" s="252" t="s">
        <v>14</v>
      </c>
      <c r="D187" s="252" t="s">
        <v>37</v>
      </c>
      <c r="E187" s="252" t="s">
        <v>71</v>
      </c>
      <c r="F187" s="252" t="s">
        <v>38</v>
      </c>
      <c r="G187" s="252" t="s">
        <v>72</v>
      </c>
      <c r="H187" s="252" t="s">
        <v>22</v>
      </c>
      <c r="I187" s="25" t="s">
        <v>40</v>
      </c>
    </row>
    <row r="188" spans="2:9" ht="18" customHeight="1">
      <c r="B188" s="648" t="s">
        <v>106</v>
      </c>
      <c r="C188" s="649" t="s">
        <v>107</v>
      </c>
      <c r="D188" s="250"/>
      <c r="E188" s="250"/>
      <c r="F188" s="250"/>
      <c r="G188" s="250"/>
      <c r="H188" s="28">
        <v>1.732</v>
      </c>
      <c r="I188" s="59">
        <f>ROUND((D188*E188+F188*G188)/1000*H188,3)</f>
        <v>0</v>
      </c>
    </row>
    <row r="189" spans="2:9" ht="18" customHeight="1">
      <c r="B189" s="648"/>
      <c r="C189" s="650"/>
      <c r="D189" s="250"/>
      <c r="E189" s="250"/>
      <c r="F189" s="250"/>
      <c r="G189" s="250"/>
      <c r="H189" s="28">
        <f>H188</f>
        <v>1.732</v>
      </c>
      <c r="I189" s="59">
        <f>ROUND((D189*E189+F189*G189)/1000*H189,3)</f>
        <v>0</v>
      </c>
    </row>
    <row r="190" spans="2:9" ht="18" customHeight="1">
      <c r="B190" s="648"/>
      <c r="C190" s="651"/>
      <c r="D190" s="250"/>
      <c r="E190" s="250"/>
      <c r="F190" s="250">
        <f>E6</f>
        <v>2570</v>
      </c>
      <c r="G190" s="250"/>
      <c r="H190" s="28">
        <f>H189</f>
        <v>1.732</v>
      </c>
      <c r="I190" s="59">
        <f>ROUND((D190*E190+F190*G190)/1000*H190,3)</f>
        <v>0</v>
      </c>
    </row>
    <row r="191" spans="2:9" ht="18" customHeight="1">
      <c r="B191" s="48" t="s">
        <v>42</v>
      </c>
      <c r="C191" s="49">
        <f>SUMPRODUCT(D188:D190*E188:E190+F188:F190*G188:G190)/1000</f>
        <v>0</v>
      </c>
      <c r="D191" s="50" t="s">
        <v>43</v>
      </c>
      <c r="E191" s="49">
        <f>SUM(I188:I190)*1.1</f>
        <v>0</v>
      </c>
      <c r="F191" s="50" t="s">
        <v>44</v>
      </c>
      <c r="G191" s="51">
        <f>(C$218+C$219)/1000</f>
        <v>46.081499999999998</v>
      </c>
      <c r="H191" s="52" t="s">
        <v>45</v>
      </c>
      <c r="I191" s="53">
        <f>ROUND(E191*G191,2)</f>
        <v>0</v>
      </c>
    </row>
    <row r="192" spans="2:9" ht="18" customHeight="1">
      <c r="B192" s="48" t="s">
        <v>46</v>
      </c>
      <c r="C192" s="50">
        <v>105.66</v>
      </c>
      <c r="D192" s="50" t="s">
        <v>47</v>
      </c>
      <c r="E192" s="49">
        <f>ROUND(C191*(C192/1000),2)</f>
        <v>0</v>
      </c>
      <c r="F192" s="50" t="s">
        <v>48</v>
      </c>
      <c r="G192" s="50">
        <f>G$23</f>
        <v>10</v>
      </c>
      <c r="H192" s="52" t="s">
        <v>49</v>
      </c>
      <c r="I192" s="53">
        <f>E192*G192</f>
        <v>0</v>
      </c>
    </row>
    <row r="193" spans="2:15" ht="18" customHeight="1">
      <c r="B193" s="48" t="s">
        <v>50</v>
      </c>
      <c r="C193" s="50">
        <v>125.66</v>
      </c>
      <c r="D193" s="50" t="s">
        <v>51</v>
      </c>
      <c r="E193" s="49">
        <f>ROUND(C191*(C193/1000),2)</f>
        <v>0</v>
      </c>
      <c r="F193" s="50" t="s">
        <v>48</v>
      </c>
      <c r="G193" s="50">
        <f>G$24</f>
        <v>10</v>
      </c>
      <c r="H193" s="52" t="s">
        <v>49</v>
      </c>
      <c r="I193" s="53">
        <f>E193*G193</f>
        <v>0</v>
      </c>
    </row>
    <row r="194" spans="2:15" ht="18" customHeight="1">
      <c r="B194" s="23" t="s">
        <v>36</v>
      </c>
      <c r="C194" s="252" t="s">
        <v>14</v>
      </c>
      <c r="D194" s="652" t="s">
        <v>38</v>
      </c>
      <c r="E194" s="652"/>
      <c r="F194" s="652"/>
      <c r="G194" s="252" t="s">
        <v>72</v>
      </c>
      <c r="H194" s="252" t="s">
        <v>22</v>
      </c>
      <c r="I194" s="25" t="s">
        <v>40</v>
      </c>
    </row>
    <row r="195" spans="2:15" ht="18" customHeight="1">
      <c r="B195" s="643" t="s">
        <v>108</v>
      </c>
      <c r="C195" s="645" t="s">
        <v>109</v>
      </c>
      <c r="D195" s="646"/>
      <c r="E195" s="646"/>
      <c r="F195" s="646"/>
      <c r="G195" s="250"/>
      <c r="H195" s="250">
        <v>1.796</v>
      </c>
      <c r="I195" s="59">
        <f>ROUND((D195*G195*H195)/1000,3)</f>
        <v>0</v>
      </c>
    </row>
    <row r="196" spans="2:15" ht="18" customHeight="1">
      <c r="B196" s="644"/>
      <c r="C196" s="640"/>
      <c r="D196" s="646"/>
      <c r="E196" s="646"/>
      <c r="F196" s="646"/>
      <c r="G196" s="250"/>
      <c r="H196" s="250">
        <f>H195</f>
        <v>1.796</v>
      </c>
      <c r="I196" s="59">
        <f>ROUND((D196*G196*H196)/1000,3)</f>
        <v>0</v>
      </c>
    </row>
    <row r="197" spans="2:15" ht="18" customHeight="1">
      <c r="B197" s="643" t="s">
        <v>110</v>
      </c>
      <c r="C197" s="645" t="s">
        <v>111</v>
      </c>
      <c r="D197" s="646"/>
      <c r="E197" s="646"/>
      <c r="F197" s="646"/>
      <c r="G197" s="250"/>
      <c r="H197" s="250">
        <v>1.355</v>
      </c>
      <c r="I197" s="59"/>
    </row>
    <row r="198" spans="2:15" ht="18" customHeight="1">
      <c r="B198" s="644"/>
      <c r="C198" s="640"/>
      <c r="D198" s="646"/>
      <c r="E198" s="646"/>
      <c r="F198" s="646"/>
      <c r="G198" s="250"/>
      <c r="H198" s="250">
        <f>H197</f>
        <v>1.355</v>
      </c>
      <c r="I198" s="59"/>
    </row>
    <row r="199" spans="2:15" ht="18" customHeight="1">
      <c r="B199" s="48" t="s">
        <v>42</v>
      </c>
      <c r="C199" s="49">
        <f>SUMPRODUCT(D195:F198*G195:G198)/1000</f>
        <v>0</v>
      </c>
      <c r="D199" s="50" t="s">
        <v>43</v>
      </c>
      <c r="E199" s="49">
        <f>SUM(I195:I198)*1.1</f>
        <v>0</v>
      </c>
      <c r="F199" s="50" t="s">
        <v>44</v>
      </c>
      <c r="G199" s="51">
        <f>(C$218+C$219)/1000</f>
        <v>46.081499999999998</v>
      </c>
      <c r="H199" s="52" t="s">
        <v>45</v>
      </c>
      <c r="I199" s="53">
        <f>ROUND(E199*G199,2)</f>
        <v>0</v>
      </c>
    </row>
    <row r="200" spans="2:15" ht="18" customHeight="1">
      <c r="B200" s="48" t="s">
        <v>46</v>
      </c>
      <c r="C200" s="50">
        <v>267.77999999999997</v>
      </c>
      <c r="D200" s="50" t="s">
        <v>47</v>
      </c>
      <c r="E200" s="49">
        <f>ROUND(C199*(C200/1000),2)</f>
        <v>0</v>
      </c>
      <c r="F200" s="50" t="s">
        <v>48</v>
      </c>
      <c r="G200" s="50">
        <f>G$23</f>
        <v>10</v>
      </c>
      <c r="H200" s="52" t="s">
        <v>49</v>
      </c>
      <c r="I200" s="53">
        <f>E200*G200</f>
        <v>0</v>
      </c>
    </row>
    <row r="201" spans="2:15" ht="18" customHeight="1">
      <c r="B201" s="48" t="s">
        <v>50</v>
      </c>
      <c r="C201" s="50">
        <v>104.29</v>
      </c>
      <c r="D201" s="50" t="s">
        <v>51</v>
      </c>
      <c r="E201" s="49">
        <f>ROUND(C199*(C201/1000),2)</f>
        <v>0</v>
      </c>
      <c r="F201" s="50" t="s">
        <v>48</v>
      </c>
      <c r="G201" s="50">
        <f>G$24</f>
        <v>10</v>
      </c>
      <c r="H201" s="52" t="s">
        <v>49</v>
      </c>
      <c r="I201" s="53">
        <f>E201*G201</f>
        <v>0</v>
      </c>
    </row>
    <row r="202" spans="2:15" ht="18" customHeight="1">
      <c r="B202" s="103" t="s">
        <v>112</v>
      </c>
      <c r="C202" s="104" t="s">
        <v>113</v>
      </c>
      <c r="D202" s="104" t="s">
        <v>28</v>
      </c>
      <c r="E202" s="104" t="s">
        <v>8</v>
      </c>
      <c r="F202" s="104" t="s">
        <v>112</v>
      </c>
      <c r="G202" s="104" t="s">
        <v>113</v>
      </c>
      <c r="H202" s="104" t="s">
        <v>28</v>
      </c>
      <c r="I202" s="105" t="s">
        <v>8</v>
      </c>
      <c r="N202" s="106"/>
      <c r="O202" s="102"/>
    </row>
    <row r="203" spans="2:15" ht="18" customHeight="1">
      <c r="B203" s="251" t="s">
        <v>327</v>
      </c>
      <c r="C203" s="107" t="s">
        <v>114</v>
      </c>
      <c r="D203" s="108">
        <v>2.15</v>
      </c>
      <c r="E203" s="253">
        <f>SUM(G14:G21)*4</f>
        <v>4</v>
      </c>
      <c r="F203" s="647" t="s">
        <v>115</v>
      </c>
      <c r="G203" s="107" t="s">
        <v>116</v>
      </c>
      <c r="H203" s="108">
        <v>2.46</v>
      </c>
      <c r="I203" s="247">
        <f>SUM(G108:G111)*4</f>
        <v>0</v>
      </c>
      <c r="J203" s="42"/>
      <c r="N203" s="106"/>
      <c r="O203" s="102"/>
    </row>
    <row r="204" spans="2:15" ht="18" customHeight="1">
      <c r="B204" s="251" t="s">
        <v>328</v>
      </c>
      <c r="C204" s="107" t="s">
        <v>117</v>
      </c>
      <c r="D204" s="108">
        <v>1.72</v>
      </c>
      <c r="E204" s="253">
        <f>E203</f>
        <v>4</v>
      </c>
      <c r="F204" s="646"/>
      <c r="G204" s="107" t="s">
        <v>118</v>
      </c>
      <c r="H204" s="108">
        <v>3.11</v>
      </c>
      <c r="I204" s="247">
        <f>I203</f>
        <v>0</v>
      </c>
      <c r="J204" s="42"/>
      <c r="N204" s="106"/>
      <c r="O204" s="102"/>
    </row>
    <row r="205" spans="2:15" ht="18" customHeight="1">
      <c r="B205" s="109" t="s">
        <v>330</v>
      </c>
      <c r="C205" s="107" t="s">
        <v>119</v>
      </c>
      <c r="D205" s="108">
        <v>2.68</v>
      </c>
      <c r="E205" s="253">
        <f>SUM(G26:G30)*4</f>
        <v>0</v>
      </c>
      <c r="F205" s="110" t="s">
        <v>120</v>
      </c>
      <c r="G205" s="107" t="s">
        <v>121</v>
      </c>
      <c r="H205" s="111">
        <v>4.76</v>
      </c>
      <c r="I205" s="247">
        <f>SUM(G123:G125)*4</f>
        <v>0</v>
      </c>
      <c r="J205" s="42"/>
      <c r="N205" s="106"/>
      <c r="O205" s="102"/>
    </row>
    <row r="206" spans="2:15" ht="18" customHeight="1">
      <c r="B206" s="109" t="s">
        <v>329</v>
      </c>
      <c r="C206" s="107" t="s">
        <v>122</v>
      </c>
      <c r="D206" s="108">
        <v>1.27</v>
      </c>
      <c r="E206" s="253">
        <f>E205</f>
        <v>0</v>
      </c>
      <c r="F206" s="110" t="s">
        <v>123</v>
      </c>
      <c r="G206" s="107" t="s">
        <v>124</v>
      </c>
      <c r="H206" s="111">
        <v>3.85</v>
      </c>
      <c r="I206" s="247">
        <f>I205</f>
        <v>0</v>
      </c>
      <c r="J206" s="42"/>
      <c r="N206" s="106"/>
      <c r="O206" s="102"/>
    </row>
    <row r="207" spans="2:15" ht="18" customHeight="1">
      <c r="B207" s="109" t="s">
        <v>331</v>
      </c>
      <c r="C207" s="107" t="s">
        <v>125</v>
      </c>
      <c r="D207" s="111" t="s">
        <v>126</v>
      </c>
      <c r="E207" s="253">
        <f>SUM(G35:G37)*4</f>
        <v>8</v>
      </c>
      <c r="F207" s="110" t="s">
        <v>127</v>
      </c>
      <c r="G207" s="107" t="s">
        <v>128</v>
      </c>
      <c r="H207" s="111">
        <v>4.29</v>
      </c>
      <c r="I207" s="247">
        <f>SUM(G116:G118)*4</f>
        <v>0</v>
      </c>
      <c r="J207" s="42"/>
      <c r="N207" s="106"/>
      <c r="O207" s="102"/>
    </row>
    <row r="208" spans="2:15" ht="18" customHeight="1">
      <c r="B208" s="109" t="s">
        <v>332</v>
      </c>
      <c r="C208" s="107" t="s">
        <v>129</v>
      </c>
      <c r="D208" s="111" t="s">
        <v>130</v>
      </c>
      <c r="E208" s="253">
        <f>E207</f>
        <v>8</v>
      </c>
      <c r="F208" s="110" t="s">
        <v>131</v>
      </c>
      <c r="G208" s="107" t="s">
        <v>132</v>
      </c>
      <c r="H208" s="111">
        <v>4.5</v>
      </c>
      <c r="I208" s="247">
        <f>I207</f>
        <v>0</v>
      </c>
      <c r="J208" s="42"/>
      <c r="N208" s="106"/>
      <c r="O208" s="102"/>
    </row>
    <row r="209" spans="2:15" ht="18" customHeight="1">
      <c r="B209" s="249" t="s">
        <v>333</v>
      </c>
      <c r="C209" s="250">
        <v>12.6</v>
      </c>
      <c r="D209" s="111">
        <v>1.32</v>
      </c>
      <c r="E209" s="253">
        <f>SUM(G42:G47)*4</f>
        <v>8</v>
      </c>
      <c r="F209" s="639"/>
      <c r="G209" s="107"/>
      <c r="H209" s="28"/>
      <c r="I209" s="247"/>
      <c r="N209" s="106"/>
      <c r="O209" s="102"/>
    </row>
    <row r="210" spans="2:15" ht="18" customHeight="1">
      <c r="B210" s="249" t="s">
        <v>334</v>
      </c>
      <c r="C210" s="250">
        <v>15.8</v>
      </c>
      <c r="D210" s="111">
        <v>1.18</v>
      </c>
      <c r="E210" s="253">
        <f>E209</f>
        <v>8</v>
      </c>
      <c r="F210" s="640"/>
      <c r="G210" s="107"/>
      <c r="H210" s="28"/>
      <c r="I210" s="231"/>
      <c r="N210" s="106"/>
      <c r="O210" s="102"/>
    </row>
    <row r="211" spans="2:15" ht="18" customHeight="1">
      <c r="B211" s="251" t="s">
        <v>335</v>
      </c>
      <c r="C211" s="107" t="s">
        <v>337</v>
      </c>
      <c r="D211" s="111">
        <v>2.81</v>
      </c>
      <c r="E211" s="250">
        <f>SUM(E52+E53+E54+E55+G52+G53+G54+G55+G60+G61+G62+G63)*2</f>
        <v>28</v>
      </c>
      <c r="F211" s="641" t="s">
        <v>133</v>
      </c>
      <c r="G211" s="111">
        <f>SUMPRODUCT(D35:D37,G35:G37)/1000</f>
        <v>0.75</v>
      </c>
      <c r="H211" s="28">
        <v>0.16</v>
      </c>
      <c r="I211" s="232">
        <f>G211*H211</f>
        <v>0.12</v>
      </c>
      <c r="N211" s="106"/>
      <c r="O211" s="102"/>
    </row>
    <row r="212" spans="2:15" ht="18" customHeight="1">
      <c r="B212" s="251" t="s">
        <v>336</v>
      </c>
      <c r="C212" s="107" t="s">
        <v>338</v>
      </c>
      <c r="D212" s="111">
        <v>3.51</v>
      </c>
      <c r="E212" s="250">
        <f>E211</f>
        <v>28</v>
      </c>
      <c r="F212" s="641"/>
      <c r="G212" s="111">
        <f>SUMPRODUCT(D26:D30,G26:G30)/1000</f>
        <v>0</v>
      </c>
      <c r="H212" s="28">
        <v>0.16</v>
      </c>
      <c r="I212" s="232">
        <f>G212*H212</f>
        <v>0</v>
      </c>
      <c r="N212" s="106"/>
      <c r="O212" s="102"/>
    </row>
    <row r="213" spans="2:15" ht="18" customHeight="1">
      <c r="B213" s="251" t="s">
        <v>134</v>
      </c>
      <c r="C213" s="250">
        <v>30.6</v>
      </c>
      <c r="D213" s="111">
        <v>2.81</v>
      </c>
      <c r="E213" s="253">
        <f>SUM(+E130+E131+E132+G130+G131+G132)*2</f>
        <v>0</v>
      </c>
      <c r="F213" s="641" t="s">
        <v>135</v>
      </c>
      <c r="G213" s="111">
        <f>SUMPRODUCT(E26:E30,G26:G30)/1000</f>
        <v>0</v>
      </c>
      <c r="H213" s="28">
        <v>0.16</v>
      </c>
      <c r="I213" s="232">
        <f>G213*H213</f>
        <v>0</v>
      </c>
      <c r="N213" s="106"/>
      <c r="O213" s="102"/>
    </row>
    <row r="214" spans="2:15" ht="18" customHeight="1">
      <c r="B214" s="251" t="s">
        <v>136</v>
      </c>
      <c r="C214" s="250">
        <v>30.6</v>
      </c>
      <c r="D214" s="111">
        <v>3.51</v>
      </c>
      <c r="E214" s="253">
        <f>E213</f>
        <v>0</v>
      </c>
      <c r="F214" s="641"/>
      <c r="G214" s="111">
        <f>SUMPRODUCT(E35:E37,G35:G37)/1000</f>
        <v>1.48</v>
      </c>
      <c r="H214" s="28">
        <v>0.16</v>
      </c>
      <c r="I214" s="232">
        <f>G214*H214</f>
        <v>0.23680000000000001</v>
      </c>
      <c r="N214" s="106"/>
      <c r="O214" s="102"/>
    </row>
    <row r="215" spans="2:15" ht="18" customHeight="1">
      <c r="B215" s="52" t="s">
        <v>137</v>
      </c>
      <c r="C215" s="112" cm="1">
        <f t="array" ref="C215">SUMPRODUCT(D203:D214*E203:E214)+SUMPRODUCT(H203:H210*I203:I210)</f>
        <v>252.76000000000002</v>
      </c>
      <c r="D215" s="52"/>
      <c r="E215" s="52"/>
      <c r="F215" s="52"/>
      <c r="G215" s="52" t="s">
        <v>138</v>
      </c>
      <c r="H215" s="52" cm="1">
        <f t="array" ref="H215">SUMPRODUCT(G211:G214*H211:H214)</f>
        <v>0.35680000000000001</v>
      </c>
      <c r="I215" s="233">
        <f>H215*1.08</f>
        <v>0.38534400000000002</v>
      </c>
      <c r="N215" s="106"/>
      <c r="O215" s="102"/>
    </row>
    <row r="216" spans="2:15" ht="18" customHeight="1">
      <c r="B216" s="23" t="s">
        <v>139</v>
      </c>
      <c r="C216" s="252" t="s">
        <v>14</v>
      </c>
      <c r="D216" s="252" t="s">
        <v>22</v>
      </c>
      <c r="E216" s="252" t="s">
        <v>8</v>
      </c>
      <c r="F216" s="252" t="s">
        <v>113</v>
      </c>
      <c r="G216" s="252" t="s">
        <v>40</v>
      </c>
      <c r="H216" s="252" t="s">
        <v>28</v>
      </c>
      <c r="I216" s="25" t="s">
        <v>29</v>
      </c>
      <c r="N216" s="106"/>
      <c r="O216" s="102"/>
    </row>
    <row r="217" spans="2:15" ht="18" customHeight="1">
      <c r="B217" s="48" t="s">
        <v>140</v>
      </c>
      <c r="C217" s="52" t="s">
        <v>141</v>
      </c>
      <c r="D217" s="50">
        <v>0.14199999999999999</v>
      </c>
      <c r="E217" s="50">
        <v>1</v>
      </c>
      <c r="F217" s="50">
        <f>D6</f>
        <v>2220</v>
      </c>
      <c r="G217" s="128">
        <f>D217*F217*E217/1000*1.1</f>
        <v>0.34676400000000002</v>
      </c>
      <c r="H217" s="52">
        <f>(C218+C222)/1000</f>
        <v>39.781500000000001</v>
      </c>
      <c r="I217" s="193">
        <f>G217*H217</f>
        <v>13.794792066000001</v>
      </c>
      <c r="N217" s="106"/>
      <c r="O217" s="102"/>
    </row>
    <row r="218" spans="2:15" ht="18" customHeight="1">
      <c r="B218" s="37" t="s">
        <v>142</v>
      </c>
      <c r="C218" s="113">
        <f>材料价格!B4</f>
        <v>22081.5</v>
      </c>
      <c r="D218" s="39" t="s">
        <v>143</v>
      </c>
      <c r="E218" s="114">
        <f>E139+E133+E126+E119+E112+E199+E177+E64+E56+E48+E38+E31+E22+E184+E191</f>
        <v>82.369100000000003</v>
      </c>
      <c r="F218" s="39" t="s">
        <v>144</v>
      </c>
      <c r="G218" s="115">
        <f>I218/E218-C218/1000</f>
        <v>23.999979583970209</v>
      </c>
      <c r="H218" s="39" t="s">
        <v>145</v>
      </c>
      <c r="I218" s="116">
        <f>I22+I31+I38+I48+I56+I64+I199+I112+I119+I126+I133+I139+I177+I184+I191</f>
        <v>3795.6900000000005</v>
      </c>
      <c r="N218" s="106"/>
      <c r="O218" s="102"/>
    </row>
    <row r="219" spans="2:15" ht="18" customHeight="1">
      <c r="B219" s="117" t="s">
        <v>146</v>
      </c>
      <c r="C219" s="118">
        <f>材料价格!B5</f>
        <v>24000</v>
      </c>
      <c r="D219" s="39" t="s">
        <v>147</v>
      </c>
      <c r="E219" s="114">
        <f>E163+E153+E146+E104+E97+E88+G217+E170</f>
        <v>9.9288640000000008</v>
      </c>
      <c r="F219" s="39" t="s">
        <v>148</v>
      </c>
      <c r="G219" s="119">
        <f>I219/E219-C218/1000</f>
        <v>17.699968662074532</v>
      </c>
      <c r="H219" s="39" t="s">
        <v>149</v>
      </c>
      <c r="I219" s="116">
        <f>I88+I97+I104+I146+I153+I163+I217+I170</f>
        <v>394.98479206600001</v>
      </c>
      <c r="N219" s="106"/>
      <c r="O219" s="102"/>
    </row>
    <row r="220" spans="2:15" ht="18" customHeight="1">
      <c r="B220" s="117" t="s">
        <v>150</v>
      </c>
      <c r="C220" s="118">
        <f>C219</f>
        <v>24000</v>
      </c>
      <c r="D220" s="39" t="s">
        <v>151</v>
      </c>
      <c r="E220" s="120">
        <f>I215</f>
        <v>0.38534400000000002</v>
      </c>
      <c r="F220" s="39" t="s">
        <v>152</v>
      </c>
      <c r="G220" s="119">
        <f>I220/E220-C218/1000</f>
        <v>2.9091576980568021</v>
      </c>
      <c r="H220" s="39" t="s">
        <v>153</v>
      </c>
      <c r="I220" s="116">
        <f>ROUND(E220*(C218+C223)/1000,2)</f>
        <v>9.6300000000000008</v>
      </c>
      <c r="N220" s="106"/>
      <c r="O220" s="102"/>
    </row>
    <row r="221" spans="2:15" ht="18" customHeight="1">
      <c r="B221" s="117" t="s">
        <v>154</v>
      </c>
      <c r="C221" s="121">
        <f>C220</f>
        <v>24000</v>
      </c>
      <c r="D221" s="39" t="s">
        <v>155</v>
      </c>
      <c r="E221" s="39"/>
      <c r="F221" s="39" t="s">
        <v>156</v>
      </c>
      <c r="G221" s="39"/>
      <c r="H221" s="39" t="s">
        <v>49</v>
      </c>
      <c r="I221" s="116">
        <f>E221*G221</f>
        <v>0</v>
      </c>
      <c r="J221" s="42"/>
      <c r="K221" s="255"/>
    </row>
    <row r="222" spans="2:15" ht="18" customHeight="1">
      <c r="B222" s="117" t="s">
        <v>148</v>
      </c>
      <c r="C222" s="122">
        <f>材料价格!B6</f>
        <v>17700</v>
      </c>
      <c r="D222" s="39" t="s">
        <v>157</v>
      </c>
      <c r="E222" s="39"/>
      <c r="F222" s="39" t="s">
        <v>156</v>
      </c>
      <c r="G222" s="39"/>
      <c r="H222" s="39" t="s">
        <v>49</v>
      </c>
      <c r="I222" s="116">
        <f>E222*G222</f>
        <v>0</v>
      </c>
      <c r="J222" s="123"/>
      <c r="K222" s="123"/>
      <c r="L222" s="123"/>
    </row>
    <row r="223" spans="2:15" ht="18" customHeight="1">
      <c r="B223" s="117" t="s">
        <v>152</v>
      </c>
      <c r="C223" s="122">
        <f>材料价格!B9</f>
        <v>2900</v>
      </c>
      <c r="D223" s="39" t="s">
        <v>158</v>
      </c>
      <c r="E223" s="114">
        <f>SUM(E218:E220)</f>
        <v>92.683308000000011</v>
      </c>
      <c r="F223" s="39"/>
      <c r="G223" s="39" t="s">
        <v>339</v>
      </c>
      <c r="H223" s="39"/>
      <c r="I223" s="234">
        <f>SUM(I218:I222)+C215</f>
        <v>4453.0647920660012</v>
      </c>
      <c r="J223" s="123"/>
      <c r="K223" s="123"/>
      <c r="L223" s="123"/>
    </row>
    <row r="224" spans="2:15" ht="18" customHeight="1">
      <c r="B224" s="23" t="s">
        <v>159</v>
      </c>
      <c r="C224" s="252" t="s">
        <v>113</v>
      </c>
      <c r="D224" s="252" t="s">
        <v>16</v>
      </c>
      <c r="E224" s="252" t="s">
        <v>7</v>
      </c>
      <c r="F224" s="252" t="s">
        <v>8</v>
      </c>
      <c r="G224" s="252" t="s">
        <v>28</v>
      </c>
      <c r="H224" s="252" t="s">
        <v>160</v>
      </c>
      <c r="I224" s="25" t="s">
        <v>1</v>
      </c>
      <c r="J224" s="255"/>
      <c r="K224" s="255"/>
      <c r="L224" s="255"/>
      <c r="M224" s="255"/>
    </row>
    <row r="225" spans="2:13" ht="18" customHeight="1">
      <c r="B225" s="124" t="str">
        <f>材料价格!A10</f>
        <v>6单银Low-E+12A+6</v>
      </c>
      <c r="C225" s="253">
        <f t="shared" ref="C225:D229" si="25">D92</f>
        <v>-90</v>
      </c>
      <c r="D225" s="253">
        <f t="shared" si="25"/>
        <v>-90</v>
      </c>
      <c r="E225" s="32">
        <f>C225*D225/10^6</f>
        <v>8.0999999999999996E-3</v>
      </c>
      <c r="F225" s="250">
        <f>G26</f>
        <v>0</v>
      </c>
      <c r="G225" s="125">
        <f>材料价格!B10</f>
        <v>148</v>
      </c>
      <c r="H225" s="250">
        <f>ROUND(E225*G225*F225,2)</f>
        <v>0</v>
      </c>
      <c r="I225" s="247" t="s">
        <v>161</v>
      </c>
      <c r="J225" s="255"/>
      <c r="K225" s="255"/>
      <c r="L225" s="255"/>
      <c r="M225" s="255"/>
    </row>
    <row r="226" spans="2:13" ht="18" customHeight="1">
      <c r="B226" s="124" t="str">
        <f t="shared" ref="B226:B232" si="26">B225</f>
        <v>6单银Low-E+12A+6</v>
      </c>
      <c r="C226" s="253">
        <f t="shared" si="25"/>
        <v>-90</v>
      </c>
      <c r="D226" s="253">
        <f t="shared" si="25"/>
        <v>-90</v>
      </c>
      <c r="E226" s="32">
        <f t="shared" ref="E226:E284" si="27">C226*D226/10^6</f>
        <v>8.0999999999999996E-3</v>
      </c>
      <c r="F226" s="250">
        <f>G27</f>
        <v>0</v>
      </c>
      <c r="G226" s="126">
        <f t="shared" ref="G226:G232" si="28">G225</f>
        <v>148</v>
      </c>
      <c r="H226" s="250">
        <f t="shared" ref="H226:H241" si="29">ROUND(E226*G226*F226,2)</f>
        <v>0</v>
      </c>
      <c r="I226" s="247" t="s">
        <v>162</v>
      </c>
      <c r="J226" s="255"/>
      <c r="K226" s="255"/>
      <c r="L226" s="255"/>
      <c r="M226" s="255"/>
    </row>
    <row r="227" spans="2:13" ht="18" customHeight="1">
      <c r="B227" s="124" t="str">
        <f t="shared" si="26"/>
        <v>6单银Low-E+12A+6</v>
      </c>
      <c r="C227" s="253">
        <f t="shared" si="25"/>
        <v>-90</v>
      </c>
      <c r="D227" s="253">
        <f t="shared" si="25"/>
        <v>-90</v>
      </c>
      <c r="E227" s="32">
        <f t="shared" si="27"/>
        <v>8.0999999999999996E-3</v>
      </c>
      <c r="F227" s="250">
        <f>G28</f>
        <v>0</v>
      </c>
      <c r="G227" s="126">
        <f t="shared" si="28"/>
        <v>148</v>
      </c>
      <c r="H227" s="250">
        <f t="shared" si="29"/>
        <v>0</v>
      </c>
      <c r="I227" s="247" t="s">
        <v>162</v>
      </c>
      <c r="J227" s="255"/>
      <c r="K227" s="255"/>
      <c r="L227" s="255"/>
      <c r="M227" s="255"/>
    </row>
    <row r="228" spans="2:13" ht="18" customHeight="1">
      <c r="B228" s="124" t="str">
        <f t="shared" si="26"/>
        <v>6单银Low-E+12A+6</v>
      </c>
      <c r="C228" s="253">
        <f t="shared" si="25"/>
        <v>-90</v>
      </c>
      <c r="D228" s="253">
        <f t="shared" si="25"/>
        <v>-90</v>
      </c>
      <c r="E228" s="32">
        <f t="shared" si="27"/>
        <v>8.0999999999999996E-3</v>
      </c>
      <c r="F228" s="250">
        <f>G29</f>
        <v>0</v>
      </c>
      <c r="G228" s="126">
        <f t="shared" si="28"/>
        <v>148</v>
      </c>
      <c r="H228" s="250">
        <f t="shared" si="29"/>
        <v>0</v>
      </c>
      <c r="I228" s="247" t="s">
        <v>162</v>
      </c>
      <c r="J228" s="255"/>
      <c r="K228" s="255"/>
      <c r="L228" s="255"/>
      <c r="M228" s="255"/>
    </row>
    <row r="229" spans="2:13" ht="18" customHeight="1">
      <c r="B229" s="124" t="str">
        <f t="shared" si="26"/>
        <v>6单银Low-E+12A+6</v>
      </c>
      <c r="C229" s="253">
        <f t="shared" si="25"/>
        <v>-90</v>
      </c>
      <c r="D229" s="253">
        <f t="shared" si="25"/>
        <v>-90</v>
      </c>
      <c r="E229" s="32">
        <f t="shared" si="27"/>
        <v>8.0999999999999996E-3</v>
      </c>
      <c r="F229" s="250">
        <f>G30</f>
        <v>0</v>
      </c>
      <c r="G229" s="126">
        <f t="shared" si="28"/>
        <v>148</v>
      </c>
      <c r="H229" s="250">
        <f t="shared" si="29"/>
        <v>0</v>
      </c>
      <c r="I229" s="247" t="s">
        <v>162</v>
      </c>
      <c r="J229" s="123"/>
      <c r="K229" s="123"/>
      <c r="L229" s="123"/>
    </row>
    <row r="230" spans="2:13" ht="18" customHeight="1">
      <c r="B230" s="124" t="str">
        <f t="shared" si="26"/>
        <v>6单银Low-E+12A+6</v>
      </c>
      <c r="C230" s="253">
        <f t="shared" ref="C230:D232" si="30">D101</f>
        <v>253</v>
      </c>
      <c r="D230" s="253">
        <f t="shared" si="30"/>
        <v>618</v>
      </c>
      <c r="E230" s="32">
        <f t="shared" si="27"/>
        <v>0.15635399999999999</v>
      </c>
      <c r="F230" s="250">
        <f>G101</f>
        <v>2</v>
      </c>
      <c r="G230" s="126">
        <f t="shared" si="28"/>
        <v>148</v>
      </c>
      <c r="H230" s="250">
        <f t="shared" si="29"/>
        <v>46.28</v>
      </c>
      <c r="I230" s="127" t="s">
        <v>163</v>
      </c>
      <c r="J230" s="123"/>
      <c r="K230" s="123"/>
      <c r="L230" s="123"/>
    </row>
    <row r="231" spans="2:13" ht="18" customHeight="1">
      <c r="B231" s="124" t="str">
        <f t="shared" si="26"/>
        <v>6单银Low-E+12A+6</v>
      </c>
      <c r="C231" s="253">
        <f t="shared" si="30"/>
        <v>-122</v>
      </c>
      <c r="D231" s="253">
        <f t="shared" si="30"/>
        <v>-122</v>
      </c>
      <c r="E231" s="32">
        <f t="shared" si="27"/>
        <v>1.4884E-2</v>
      </c>
      <c r="F231" s="250">
        <f>G102</f>
        <v>0</v>
      </c>
      <c r="G231" s="126">
        <f t="shared" si="28"/>
        <v>148</v>
      </c>
      <c r="H231" s="250">
        <f t="shared" si="29"/>
        <v>0</v>
      </c>
      <c r="I231" s="127" t="s">
        <v>163</v>
      </c>
    </row>
    <row r="232" spans="2:13" ht="18" customHeight="1">
      <c r="B232" s="124" t="str">
        <f t="shared" si="26"/>
        <v>6单银Low-E+12A+6</v>
      </c>
      <c r="C232" s="253">
        <f t="shared" si="30"/>
        <v>-122</v>
      </c>
      <c r="D232" s="253">
        <f t="shared" si="30"/>
        <v>-122</v>
      </c>
      <c r="E232" s="32">
        <f t="shared" si="27"/>
        <v>1.4884E-2</v>
      </c>
      <c r="F232" s="250">
        <f>G103</f>
        <v>0</v>
      </c>
      <c r="G232" s="126">
        <f t="shared" si="28"/>
        <v>148</v>
      </c>
      <c r="H232" s="250">
        <f t="shared" si="29"/>
        <v>0</v>
      </c>
      <c r="I232" s="127" t="s">
        <v>163</v>
      </c>
    </row>
    <row r="233" spans="2:13" ht="18" customHeight="1">
      <c r="B233" s="48" t="s">
        <v>164</v>
      </c>
      <c r="C233" s="52"/>
      <c r="D233" s="50"/>
      <c r="E233" s="128"/>
      <c r="F233" s="50">
        <f>SUM(F225:F232)</f>
        <v>2</v>
      </c>
      <c r="G233" s="50"/>
      <c r="H233" s="52">
        <f>SUM(H225:H232)</f>
        <v>46.28</v>
      </c>
      <c r="I233" s="53">
        <f>ROUND((E225*F225+E226*F226+E227*F227+E228*F228+E229*F229+E230*F230+E231*F231+E232*F232),2)</f>
        <v>0.31</v>
      </c>
    </row>
    <row r="234" spans="2:13" ht="18" customHeight="1">
      <c r="B234" s="124" t="str">
        <f>B232</f>
        <v>6单银Low-E+12A+6</v>
      </c>
      <c r="C234" s="253">
        <f>C225</f>
        <v>-90</v>
      </c>
      <c r="D234" s="253">
        <f>D225</f>
        <v>-90</v>
      </c>
      <c r="E234" s="32">
        <f t="shared" si="27"/>
        <v>8.0999999999999996E-3</v>
      </c>
      <c r="F234" s="250">
        <f>IF(F225=0,G26,0)</f>
        <v>0</v>
      </c>
      <c r="G234" s="126">
        <f>G232</f>
        <v>148</v>
      </c>
      <c r="H234" s="250">
        <f t="shared" si="29"/>
        <v>0</v>
      </c>
      <c r="I234" s="247" t="s">
        <v>165</v>
      </c>
      <c r="J234" s="129"/>
    </row>
    <row r="235" spans="2:13" ht="18" customHeight="1">
      <c r="B235" s="124" t="str">
        <f t="shared" ref="B235:B241" si="31">B234</f>
        <v>6单银Low-E+12A+6</v>
      </c>
      <c r="C235" s="253">
        <f t="shared" ref="C235:D241" si="32">C226</f>
        <v>-90</v>
      </c>
      <c r="D235" s="253">
        <f t="shared" si="32"/>
        <v>-90</v>
      </c>
      <c r="E235" s="32">
        <f t="shared" si="27"/>
        <v>8.0999999999999996E-3</v>
      </c>
      <c r="F235" s="250">
        <f>IF(F226=0,G27,0)</f>
        <v>0</v>
      </c>
      <c r="G235" s="126">
        <f>G234</f>
        <v>148</v>
      </c>
      <c r="H235" s="250">
        <f t="shared" si="29"/>
        <v>0</v>
      </c>
      <c r="I235" s="247" t="s">
        <v>165</v>
      </c>
      <c r="J235" s="129"/>
    </row>
    <row r="236" spans="2:13" ht="18" customHeight="1">
      <c r="B236" s="124" t="str">
        <f t="shared" si="31"/>
        <v>6单银Low-E+12A+6</v>
      </c>
      <c r="C236" s="253">
        <f t="shared" si="32"/>
        <v>-90</v>
      </c>
      <c r="D236" s="253">
        <f t="shared" si="32"/>
        <v>-90</v>
      </c>
      <c r="E236" s="32">
        <f t="shared" si="27"/>
        <v>8.0999999999999996E-3</v>
      </c>
      <c r="F236" s="250">
        <f>IF(F227=0,G28,0)</f>
        <v>0</v>
      </c>
      <c r="G236" s="126">
        <f t="shared" ref="G236:G241" si="33">G234</f>
        <v>148</v>
      </c>
      <c r="H236" s="250">
        <f t="shared" si="29"/>
        <v>0</v>
      </c>
      <c r="I236" s="247" t="s">
        <v>165</v>
      </c>
      <c r="J236" s="129"/>
    </row>
    <row r="237" spans="2:13" ht="18" customHeight="1">
      <c r="B237" s="124" t="str">
        <f t="shared" si="31"/>
        <v>6单银Low-E+12A+6</v>
      </c>
      <c r="C237" s="253">
        <f t="shared" si="32"/>
        <v>-90</v>
      </c>
      <c r="D237" s="253">
        <f t="shared" si="32"/>
        <v>-90</v>
      </c>
      <c r="E237" s="32">
        <f t="shared" si="27"/>
        <v>8.0999999999999996E-3</v>
      </c>
      <c r="F237" s="250">
        <f>IF(F228=0,G29,0)</f>
        <v>0</v>
      </c>
      <c r="G237" s="126">
        <f t="shared" si="33"/>
        <v>148</v>
      </c>
      <c r="H237" s="250">
        <f t="shared" si="29"/>
        <v>0</v>
      </c>
      <c r="I237" s="247" t="s">
        <v>165</v>
      </c>
      <c r="J237" s="129"/>
    </row>
    <row r="238" spans="2:13" ht="18" customHeight="1">
      <c r="B238" s="124" t="str">
        <f t="shared" si="31"/>
        <v>6单银Low-E+12A+6</v>
      </c>
      <c r="C238" s="253">
        <f t="shared" si="32"/>
        <v>-90</v>
      </c>
      <c r="D238" s="253">
        <f t="shared" si="32"/>
        <v>-90</v>
      </c>
      <c r="E238" s="32">
        <f t="shared" si="27"/>
        <v>8.0999999999999996E-3</v>
      </c>
      <c r="F238" s="250">
        <f>IF(F229=0,G30,0)</f>
        <v>0</v>
      </c>
      <c r="G238" s="126">
        <f t="shared" si="33"/>
        <v>148</v>
      </c>
      <c r="H238" s="250">
        <f t="shared" si="29"/>
        <v>0</v>
      </c>
      <c r="I238" s="247" t="s">
        <v>165</v>
      </c>
      <c r="J238" s="129"/>
    </row>
    <row r="239" spans="2:13" ht="18" customHeight="1">
      <c r="B239" s="124" t="str">
        <f t="shared" si="31"/>
        <v>6单银Low-E+12A+6</v>
      </c>
      <c r="C239" s="253">
        <f t="shared" si="32"/>
        <v>253</v>
      </c>
      <c r="D239" s="253">
        <f t="shared" si="32"/>
        <v>618</v>
      </c>
      <c r="E239" s="32">
        <f t="shared" si="27"/>
        <v>0.15635399999999999</v>
      </c>
      <c r="F239" s="250">
        <f>IF(F230=0,G35,0)</f>
        <v>0</v>
      </c>
      <c r="G239" s="126">
        <f t="shared" si="33"/>
        <v>148</v>
      </c>
      <c r="H239" s="250">
        <f t="shared" si="29"/>
        <v>0</v>
      </c>
      <c r="I239" s="127" t="s">
        <v>166</v>
      </c>
      <c r="J239" s="129"/>
    </row>
    <row r="240" spans="2:13" ht="18" customHeight="1">
      <c r="B240" s="124" t="str">
        <f t="shared" si="31"/>
        <v>6单银Low-E+12A+6</v>
      </c>
      <c r="C240" s="253">
        <f t="shared" si="32"/>
        <v>-122</v>
      </c>
      <c r="D240" s="253">
        <f t="shared" si="32"/>
        <v>-122</v>
      </c>
      <c r="E240" s="32">
        <f t="shared" si="27"/>
        <v>1.4884E-2</v>
      </c>
      <c r="F240" s="250">
        <f>IF(F231=0,G36,0)</f>
        <v>0</v>
      </c>
      <c r="G240" s="126">
        <f t="shared" si="33"/>
        <v>148</v>
      </c>
      <c r="H240" s="250">
        <f t="shared" si="29"/>
        <v>0</v>
      </c>
      <c r="I240" s="127" t="s">
        <v>166</v>
      </c>
      <c r="J240" s="129"/>
    </row>
    <row r="241" spans="1:16" ht="18" customHeight="1">
      <c r="B241" s="124" t="str">
        <f t="shared" si="31"/>
        <v>6单银Low-E+12A+6</v>
      </c>
      <c r="C241" s="253">
        <f t="shared" si="32"/>
        <v>-122</v>
      </c>
      <c r="D241" s="253">
        <f t="shared" si="32"/>
        <v>-122</v>
      </c>
      <c r="E241" s="32">
        <f t="shared" si="27"/>
        <v>1.4884E-2</v>
      </c>
      <c r="F241" s="250">
        <f>IF(F232=0,G37,0)</f>
        <v>0</v>
      </c>
      <c r="G241" s="126">
        <f t="shared" si="33"/>
        <v>148</v>
      </c>
      <c r="H241" s="250">
        <f t="shared" si="29"/>
        <v>0</v>
      </c>
      <c r="I241" s="127" t="s">
        <v>166</v>
      </c>
      <c r="J241" s="129"/>
    </row>
    <row r="242" spans="1:16" s="43" customFormat="1" ht="18" customHeight="1">
      <c r="A242" s="1"/>
      <c r="B242" s="48" t="s">
        <v>167</v>
      </c>
      <c r="C242" s="52"/>
      <c r="D242" s="50"/>
      <c r="E242" s="128"/>
      <c r="F242" s="50">
        <f>SUM(F234:F241)</f>
        <v>0</v>
      </c>
      <c r="G242" s="50"/>
      <c r="H242" s="52">
        <f>SUM(H234:H241)</f>
        <v>0</v>
      </c>
      <c r="I242" s="53">
        <f>ROUND(SUMPRODUCT(E234:E241*F234:F241),2)</f>
        <v>0</v>
      </c>
      <c r="J242" s="129"/>
      <c r="N242" s="255"/>
      <c r="O242" s="255"/>
      <c r="P242" s="255"/>
    </row>
    <row r="243" spans="1:16" s="43" customFormat="1" ht="18" customHeight="1">
      <c r="A243" s="1"/>
      <c r="B243" s="124" t="str">
        <f>B240</f>
        <v>6单银Low-E+12A+6</v>
      </c>
      <c r="C243" s="253">
        <f t="shared" ref="C243:D249" si="34">D68-12</f>
        <v>-12</v>
      </c>
      <c r="D243" s="253">
        <f t="shared" si="34"/>
        <v>-12</v>
      </c>
      <c r="E243" s="32">
        <f t="shared" si="27"/>
        <v>1.44E-4</v>
      </c>
      <c r="F243" s="82">
        <f t="shared" ref="F243:F249" si="35">G68</f>
        <v>0</v>
      </c>
      <c r="G243" s="130">
        <f>G241</f>
        <v>148</v>
      </c>
      <c r="H243" s="250">
        <f t="shared" ref="H243:H249" si="36">ROUND(E243*G243*F243,2)</f>
        <v>0</v>
      </c>
      <c r="I243" s="247" t="s">
        <v>168</v>
      </c>
      <c r="J243" s="129"/>
      <c r="N243" s="255"/>
      <c r="O243" s="255"/>
      <c r="P243" s="255"/>
    </row>
    <row r="244" spans="1:16" s="43" customFormat="1" ht="18" customHeight="1">
      <c r="A244" s="1"/>
      <c r="B244" s="124" t="str">
        <f t="shared" ref="B244:B249" si="37">B243</f>
        <v>6单银Low-E+12A+6</v>
      </c>
      <c r="C244" s="253">
        <f t="shared" si="34"/>
        <v>489</v>
      </c>
      <c r="D244" s="253">
        <f t="shared" si="34"/>
        <v>820.66666666666663</v>
      </c>
      <c r="E244" s="32">
        <f t="shared" si="27"/>
        <v>0.401306</v>
      </c>
      <c r="F244" s="82">
        <f t="shared" si="35"/>
        <v>13</v>
      </c>
      <c r="G244" s="130">
        <f t="shared" ref="G244:G249" si="38">G243</f>
        <v>148</v>
      </c>
      <c r="H244" s="250">
        <f t="shared" si="36"/>
        <v>772.11</v>
      </c>
      <c r="I244" s="247" t="s">
        <v>168</v>
      </c>
      <c r="J244" s="129"/>
      <c r="N244" s="255"/>
      <c r="O244" s="255"/>
      <c r="P244" s="255"/>
    </row>
    <row r="245" spans="1:16" s="43" customFormat="1" ht="18" customHeight="1">
      <c r="A245" s="1"/>
      <c r="B245" s="124" t="str">
        <f t="shared" si="37"/>
        <v>6单银Low-E+12A+6</v>
      </c>
      <c r="C245" s="253">
        <f t="shared" si="34"/>
        <v>-12</v>
      </c>
      <c r="D245" s="253">
        <f t="shared" si="34"/>
        <v>-12</v>
      </c>
      <c r="E245" s="32">
        <f t="shared" si="27"/>
        <v>1.44E-4</v>
      </c>
      <c r="F245" s="82">
        <f t="shared" si="35"/>
        <v>0</v>
      </c>
      <c r="G245" s="130">
        <f t="shared" si="38"/>
        <v>148</v>
      </c>
      <c r="H245" s="250">
        <f t="shared" si="36"/>
        <v>0</v>
      </c>
      <c r="I245" s="247" t="s">
        <v>168</v>
      </c>
      <c r="J245" s="129"/>
      <c r="N245" s="255"/>
      <c r="O245" s="255"/>
      <c r="P245" s="255"/>
    </row>
    <row r="246" spans="1:16" s="43" customFormat="1" ht="18" customHeight="1">
      <c r="A246" s="1"/>
      <c r="B246" s="124" t="str">
        <f t="shared" si="37"/>
        <v>6单银Low-E+12A+6</v>
      </c>
      <c r="C246" s="253">
        <f t="shared" si="34"/>
        <v>-12</v>
      </c>
      <c r="D246" s="253">
        <f t="shared" si="34"/>
        <v>-12</v>
      </c>
      <c r="E246" s="32">
        <f t="shared" si="27"/>
        <v>1.44E-4</v>
      </c>
      <c r="F246" s="82">
        <f t="shared" si="35"/>
        <v>0</v>
      </c>
      <c r="G246" s="130">
        <f t="shared" si="38"/>
        <v>148</v>
      </c>
      <c r="H246" s="250">
        <f t="shared" si="36"/>
        <v>0</v>
      </c>
      <c r="I246" s="247" t="s">
        <v>168</v>
      </c>
      <c r="J246" s="129"/>
      <c r="N246" s="255"/>
      <c r="O246" s="255"/>
      <c r="P246" s="255"/>
    </row>
    <row r="247" spans="1:16" s="43" customFormat="1" ht="18" customHeight="1">
      <c r="A247" s="1"/>
      <c r="B247" s="124" t="str">
        <f t="shared" si="37"/>
        <v>6单银Low-E+12A+6</v>
      </c>
      <c r="C247" s="253">
        <f t="shared" si="34"/>
        <v>-12</v>
      </c>
      <c r="D247" s="253">
        <f t="shared" si="34"/>
        <v>-12</v>
      </c>
      <c r="E247" s="32">
        <f t="shared" si="27"/>
        <v>1.44E-4</v>
      </c>
      <c r="F247" s="82">
        <f t="shared" si="35"/>
        <v>0</v>
      </c>
      <c r="G247" s="130">
        <f t="shared" si="38"/>
        <v>148</v>
      </c>
      <c r="H247" s="250">
        <f t="shared" si="36"/>
        <v>0</v>
      </c>
      <c r="I247" s="247" t="s">
        <v>168</v>
      </c>
      <c r="J247" s="129"/>
      <c r="N247" s="255"/>
      <c r="O247" s="255"/>
      <c r="P247" s="255"/>
    </row>
    <row r="248" spans="1:16" s="43" customFormat="1" ht="18" customHeight="1">
      <c r="A248" s="1"/>
      <c r="B248" s="124" t="str">
        <f t="shared" si="37"/>
        <v>6单银Low-E+12A+6</v>
      </c>
      <c r="C248" s="253">
        <f t="shared" si="34"/>
        <v>-12</v>
      </c>
      <c r="D248" s="253">
        <f t="shared" si="34"/>
        <v>-12</v>
      </c>
      <c r="E248" s="32">
        <f t="shared" si="27"/>
        <v>1.44E-4</v>
      </c>
      <c r="F248" s="82">
        <f t="shared" si="35"/>
        <v>0</v>
      </c>
      <c r="G248" s="130">
        <f t="shared" si="38"/>
        <v>148</v>
      </c>
      <c r="H248" s="250">
        <f t="shared" si="36"/>
        <v>0</v>
      </c>
      <c r="I248" s="247" t="s">
        <v>168</v>
      </c>
      <c r="J248" s="129"/>
      <c r="N248" s="255"/>
      <c r="O248" s="255"/>
      <c r="P248" s="255"/>
    </row>
    <row r="249" spans="1:16" s="43" customFormat="1" ht="18" customHeight="1">
      <c r="A249" s="1"/>
      <c r="B249" s="124" t="str">
        <f t="shared" si="37"/>
        <v>6单银Low-E+12A+6</v>
      </c>
      <c r="C249" s="253">
        <f t="shared" si="34"/>
        <v>-12</v>
      </c>
      <c r="D249" s="253">
        <f t="shared" si="34"/>
        <v>-12</v>
      </c>
      <c r="E249" s="32">
        <f t="shared" si="27"/>
        <v>1.44E-4</v>
      </c>
      <c r="F249" s="82">
        <f t="shared" si="35"/>
        <v>0</v>
      </c>
      <c r="G249" s="130">
        <f t="shared" si="38"/>
        <v>148</v>
      </c>
      <c r="H249" s="250">
        <f t="shared" si="36"/>
        <v>0</v>
      </c>
      <c r="I249" s="247" t="s">
        <v>168</v>
      </c>
      <c r="J249" s="129"/>
      <c r="N249" s="255"/>
      <c r="O249" s="255"/>
      <c r="P249" s="255"/>
    </row>
    <row r="250" spans="1:16" s="43" customFormat="1" ht="18" customHeight="1">
      <c r="A250" s="1"/>
      <c r="B250" s="131" t="str">
        <f>B246</f>
        <v>6单银Low-E+12A+6</v>
      </c>
      <c r="C250" s="52"/>
      <c r="D250" s="50"/>
      <c r="E250" s="128"/>
      <c r="F250" s="50">
        <f>SUM(F243:F249)</f>
        <v>13</v>
      </c>
      <c r="G250" s="50"/>
      <c r="H250" s="52">
        <f>SUM(H243:H249)</f>
        <v>772.11</v>
      </c>
      <c r="I250" s="53">
        <f>ROUND((E243*F243+E244*F244+E245*F245+E246*F246+E247*F247+E248*F248+E249*F249),2)</f>
        <v>5.22</v>
      </c>
      <c r="J250" s="43">
        <f>(I242+I258+I273+I280)</f>
        <v>0</v>
      </c>
      <c r="N250" s="255"/>
      <c r="O250" s="255"/>
      <c r="P250" s="255"/>
    </row>
    <row r="251" spans="1:16" s="43" customFormat="1" ht="18" customHeight="1">
      <c r="A251" s="1"/>
      <c r="B251" s="124" t="str">
        <f>B249</f>
        <v>6单银Low-E+12A+6</v>
      </c>
      <c r="C251" s="253">
        <f t="shared" ref="C251:D257" si="39">D75-12</f>
        <v>-12</v>
      </c>
      <c r="D251" s="253">
        <f t="shared" si="39"/>
        <v>-12</v>
      </c>
      <c r="E251" s="32">
        <f t="shared" si="27"/>
        <v>1.44E-4</v>
      </c>
      <c r="F251" s="82">
        <f t="shared" ref="F251:F257" si="40">G75</f>
        <v>0</v>
      </c>
      <c r="G251" s="130">
        <f>G249</f>
        <v>148</v>
      </c>
      <c r="H251" s="250">
        <f>ROUND(E251*G251*F251,2)</f>
        <v>0</v>
      </c>
      <c r="I251" s="132" t="s">
        <v>169</v>
      </c>
      <c r="N251" s="255"/>
      <c r="O251" s="255"/>
      <c r="P251" s="255"/>
    </row>
    <row r="252" spans="1:16" s="43" customFormat="1" ht="18" customHeight="1">
      <c r="A252" s="1"/>
      <c r="B252" s="124" t="str">
        <f t="shared" ref="B252:B257" si="41">B251</f>
        <v>6单银Low-E+12A+6</v>
      </c>
      <c r="C252" s="253">
        <f t="shared" si="39"/>
        <v>-12</v>
      </c>
      <c r="D252" s="253">
        <f t="shared" si="39"/>
        <v>-12</v>
      </c>
      <c r="E252" s="32">
        <f t="shared" si="27"/>
        <v>1.44E-4</v>
      </c>
      <c r="F252" s="82">
        <f t="shared" si="40"/>
        <v>0</v>
      </c>
      <c r="G252" s="130">
        <f t="shared" ref="G252:G257" si="42">G251</f>
        <v>148</v>
      </c>
      <c r="H252" s="250">
        <f t="shared" ref="H252:H264" si="43">ROUND(E252*G252*F252,2)</f>
        <v>0</v>
      </c>
      <c r="I252" s="132" t="str">
        <f t="shared" ref="I252:I257" si="44">I251</f>
        <v>固定钢化中空</v>
      </c>
      <c r="N252" s="255"/>
      <c r="O252" s="255"/>
      <c r="P252" s="255"/>
    </row>
    <row r="253" spans="1:16" s="43" customFormat="1" ht="18" customHeight="1">
      <c r="A253" s="1"/>
      <c r="B253" s="124" t="str">
        <f t="shared" si="41"/>
        <v>6单银Low-E+12A+6</v>
      </c>
      <c r="C253" s="253">
        <f t="shared" si="39"/>
        <v>-12</v>
      </c>
      <c r="D253" s="253">
        <f t="shared" si="39"/>
        <v>-12</v>
      </c>
      <c r="E253" s="32">
        <f t="shared" si="27"/>
        <v>1.44E-4</v>
      </c>
      <c r="F253" s="82">
        <f t="shared" si="40"/>
        <v>0</v>
      </c>
      <c r="G253" s="130">
        <f t="shared" si="42"/>
        <v>148</v>
      </c>
      <c r="H253" s="250">
        <f t="shared" si="43"/>
        <v>0</v>
      </c>
      <c r="I253" s="132" t="str">
        <f t="shared" si="44"/>
        <v>固定钢化中空</v>
      </c>
      <c r="N253" s="255"/>
      <c r="O253" s="255"/>
      <c r="P253" s="255"/>
    </row>
    <row r="254" spans="1:16" s="43" customFormat="1" ht="18" customHeight="1">
      <c r="A254" s="1"/>
      <c r="B254" s="124" t="str">
        <f t="shared" si="41"/>
        <v>6单银Low-E+12A+6</v>
      </c>
      <c r="C254" s="253">
        <f t="shared" si="39"/>
        <v>-12</v>
      </c>
      <c r="D254" s="253">
        <f t="shared" si="39"/>
        <v>-12</v>
      </c>
      <c r="E254" s="32">
        <f t="shared" si="27"/>
        <v>1.44E-4</v>
      </c>
      <c r="F254" s="82">
        <f t="shared" si="40"/>
        <v>0</v>
      </c>
      <c r="G254" s="130">
        <f t="shared" si="42"/>
        <v>148</v>
      </c>
      <c r="H254" s="250">
        <f t="shared" si="43"/>
        <v>0</v>
      </c>
      <c r="I254" s="132" t="str">
        <f t="shared" si="44"/>
        <v>固定钢化中空</v>
      </c>
      <c r="J254" s="42"/>
      <c r="N254" s="255"/>
      <c r="O254" s="255"/>
      <c r="P254" s="255"/>
    </row>
    <row r="255" spans="1:16" s="43" customFormat="1" ht="18" customHeight="1">
      <c r="A255" s="1"/>
      <c r="B255" s="124" t="str">
        <f t="shared" si="41"/>
        <v>6单银Low-E+12A+6</v>
      </c>
      <c r="C255" s="253">
        <f t="shared" si="39"/>
        <v>-12</v>
      </c>
      <c r="D255" s="253">
        <f t="shared" si="39"/>
        <v>-12</v>
      </c>
      <c r="E255" s="32">
        <f t="shared" si="27"/>
        <v>1.44E-4</v>
      </c>
      <c r="F255" s="82">
        <f t="shared" si="40"/>
        <v>0</v>
      </c>
      <c r="G255" s="130">
        <f t="shared" si="42"/>
        <v>148</v>
      </c>
      <c r="H255" s="250">
        <f t="shared" si="43"/>
        <v>0</v>
      </c>
      <c r="I255" s="132" t="str">
        <f t="shared" si="44"/>
        <v>固定钢化中空</v>
      </c>
      <c r="N255" s="255"/>
      <c r="O255" s="255"/>
      <c r="P255" s="255"/>
    </row>
    <row r="256" spans="1:16" s="43" customFormat="1" ht="18" customHeight="1">
      <c r="A256" s="1"/>
      <c r="B256" s="124" t="str">
        <f t="shared" si="41"/>
        <v>6单银Low-E+12A+6</v>
      </c>
      <c r="C256" s="253">
        <f t="shared" si="39"/>
        <v>-12</v>
      </c>
      <c r="D256" s="253">
        <f t="shared" si="39"/>
        <v>-12</v>
      </c>
      <c r="E256" s="32">
        <f t="shared" si="27"/>
        <v>1.44E-4</v>
      </c>
      <c r="F256" s="82">
        <f t="shared" si="40"/>
        <v>0</v>
      </c>
      <c r="G256" s="130">
        <f t="shared" si="42"/>
        <v>148</v>
      </c>
      <c r="H256" s="250">
        <f t="shared" si="43"/>
        <v>0</v>
      </c>
      <c r="I256" s="132" t="str">
        <f t="shared" si="44"/>
        <v>固定钢化中空</v>
      </c>
      <c r="N256" s="255"/>
      <c r="O256" s="255"/>
      <c r="P256" s="255"/>
    </row>
    <row r="257" spans="1:16" s="43" customFormat="1" ht="18" customHeight="1">
      <c r="A257" s="1"/>
      <c r="B257" s="124" t="str">
        <f t="shared" si="41"/>
        <v>6单银Low-E+12A+6</v>
      </c>
      <c r="C257" s="253">
        <f t="shared" si="39"/>
        <v>-12</v>
      </c>
      <c r="D257" s="253">
        <f t="shared" si="39"/>
        <v>-12</v>
      </c>
      <c r="E257" s="32">
        <f t="shared" si="27"/>
        <v>1.44E-4</v>
      </c>
      <c r="F257" s="82">
        <f t="shared" si="40"/>
        <v>0</v>
      </c>
      <c r="G257" s="130">
        <f t="shared" si="42"/>
        <v>148</v>
      </c>
      <c r="H257" s="250">
        <f t="shared" si="43"/>
        <v>0</v>
      </c>
      <c r="I257" s="132" t="str">
        <f t="shared" si="44"/>
        <v>固定钢化中空</v>
      </c>
      <c r="N257" s="255"/>
      <c r="O257" s="255"/>
      <c r="P257" s="255"/>
    </row>
    <row r="258" spans="1:16" s="43" customFormat="1" ht="18" customHeight="1">
      <c r="A258" s="1"/>
      <c r="B258" s="48" t="s">
        <v>170</v>
      </c>
      <c r="C258" s="52"/>
      <c r="D258" s="50"/>
      <c r="E258" s="128"/>
      <c r="F258" s="50">
        <f>SUM(F251:F257)</f>
        <v>0</v>
      </c>
      <c r="G258" s="50"/>
      <c r="H258" s="52">
        <f>SUM(H251:H257)</f>
        <v>0</v>
      </c>
      <c r="I258" s="53">
        <f>ROUND((E251*F251+E252*F252+E253*F253+E254*F254+E255*F255+E256*F256+E257*F257),2)</f>
        <v>0</v>
      </c>
      <c r="N258" s="255"/>
      <c r="O258" s="255"/>
      <c r="P258" s="255"/>
    </row>
    <row r="259" spans="1:16" s="43" customFormat="1" ht="18" customHeight="1">
      <c r="A259" s="1"/>
      <c r="B259" s="124" t="str">
        <f>B257</f>
        <v>6单银Low-E+12A+6</v>
      </c>
      <c r="C259" s="253">
        <f t="shared" ref="C259:D264" si="45">D82-12</f>
        <v>-12</v>
      </c>
      <c r="D259" s="253">
        <f t="shared" si="45"/>
        <v>-12</v>
      </c>
      <c r="E259" s="32">
        <f t="shared" si="27"/>
        <v>1.44E-4</v>
      </c>
      <c r="F259" s="82">
        <f t="shared" ref="F259:F264" si="46">G82</f>
        <v>0</v>
      </c>
      <c r="G259" s="130">
        <f>G257</f>
        <v>148</v>
      </c>
      <c r="H259" s="250">
        <f t="shared" si="43"/>
        <v>0</v>
      </c>
      <c r="I259" s="247" t="s">
        <v>171</v>
      </c>
      <c r="N259" s="255"/>
      <c r="O259" s="255"/>
      <c r="P259" s="255"/>
    </row>
    <row r="260" spans="1:16" s="43" customFormat="1" ht="18" customHeight="1">
      <c r="A260" s="1"/>
      <c r="B260" s="124" t="str">
        <f>B259</f>
        <v>6单银Low-E+12A+6</v>
      </c>
      <c r="C260" s="253">
        <f t="shared" si="45"/>
        <v>-12</v>
      </c>
      <c r="D260" s="253">
        <f t="shared" si="45"/>
        <v>-12</v>
      </c>
      <c r="E260" s="32">
        <f t="shared" si="27"/>
        <v>1.44E-4</v>
      </c>
      <c r="F260" s="82">
        <f t="shared" si="46"/>
        <v>0</v>
      </c>
      <c r="G260" s="130">
        <f>G259</f>
        <v>148</v>
      </c>
      <c r="H260" s="250">
        <f t="shared" si="43"/>
        <v>0</v>
      </c>
      <c r="I260" s="247" t="s">
        <v>171</v>
      </c>
      <c r="N260" s="255"/>
      <c r="O260" s="255"/>
      <c r="P260" s="255"/>
    </row>
    <row r="261" spans="1:16" s="43" customFormat="1" ht="18" customHeight="1">
      <c r="A261" s="1"/>
      <c r="B261" s="124" t="str">
        <f>B260</f>
        <v>6单银Low-E+12A+6</v>
      </c>
      <c r="C261" s="253">
        <f t="shared" si="45"/>
        <v>-12</v>
      </c>
      <c r="D261" s="253">
        <f t="shared" si="45"/>
        <v>-12</v>
      </c>
      <c r="E261" s="32">
        <f t="shared" si="27"/>
        <v>1.44E-4</v>
      </c>
      <c r="F261" s="82">
        <f t="shared" si="46"/>
        <v>0</v>
      </c>
      <c r="G261" s="130">
        <f>G260</f>
        <v>148</v>
      </c>
      <c r="H261" s="250">
        <f t="shared" si="43"/>
        <v>0</v>
      </c>
      <c r="I261" s="247" t="s">
        <v>171</v>
      </c>
      <c r="N261" s="255"/>
      <c r="O261" s="255"/>
      <c r="P261" s="255"/>
    </row>
    <row r="262" spans="1:16" s="43" customFormat="1" ht="18" customHeight="1">
      <c r="A262" s="1"/>
      <c r="B262" s="124" t="str">
        <f>B261</f>
        <v>6单银Low-E+12A+6</v>
      </c>
      <c r="C262" s="253">
        <f t="shared" si="45"/>
        <v>-12</v>
      </c>
      <c r="D262" s="253">
        <f t="shared" si="45"/>
        <v>-12</v>
      </c>
      <c r="E262" s="32">
        <f t="shared" si="27"/>
        <v>1.44E-4</v>
      </c>
      <c r="F262" s="82">
        <f t="shared" si="46"/>
        <v>0</v>
      </c>
      <c r="G262" s="130">
        <f>G261</f>
        <v>148</v>
      </c>
      <c r="H262" s="250">
        <f t="shared" si="43"/>
        <v>0</v>
      </c>
      <c r="I262" s="247" t="s">
        <v>171</v>
      </c>
      <c r="N262" s="255"/>
      <c r="O262" s="255"/>
      <c r="P262" s="255"/>
    </row>
    <row r="263" spans="1:16" s="43" customFormat="1" ht="18" customHeight="1">
      <c r="A263" s="1"/>
      <c r="B263" s="124" t="str">
        <f>B262</f>
        <v>6单银Low-E+12A+6</v>
      </c>
      <c r="C263" s="253">
        <f t="shared" si="45"/>
        <v>-12</v>
      </c>
      <c r="D263" s="253">
        <f t="shared" si="45"/>
        <v>-12</v>
      </c>
      <c r="E263" s="32">
        <f t="shared" si="27"/>
        <v>1.44E-4</v>
      </c>
      <c r="F263" s="82">
        <f t="shared" si="46"/>
        <v>0</v>
      </c>
      <c r="G263" s="130">
        <f>G262</f>
        <v>148</v>
      </c>
      <c r="H263" s="250">
        <f t="shared" si="43"/>
        <v>0</v>
      </c>
      <c r="I263" s="247" t="s">
        <v>171</v>
      </c>
      <c r="N263" s="255"/>
      <c r="O263" s="255"/>
      <c r="P263" s="255"/>
    </row>
    <row r="264" spans="1:16" s="43" customFormat="1" ht="18" customHeight="1">
      <c r="A264" s="1"/>
      <c r="B264" s="124" t="str">
        <f>B263</f>
        <v>6单银Low-E+12A+6</v>
      </c>
      <c r="C264" s="253">
        <f t="shared" si="45"/>
        <v>-12</v>
      </c>
      <c r="D264" s="253">
        <f t="shared" si="45"/>
        <v>-12</v>
      </c>
      <c r="E264" s="32">
        <f t="shared" si="27"/>
        <v>1.44E-4</v>
      </c>
      <c r="F264" s="82">
        <f t="shared" si="46"/>
        <v>0</v>
      </c>
      <c r="G264" s="130">
        <f>G263</f>
        <v>148</v>
      </c>
      <c r="H264" s="250">
        <f t="shared" si="43"/>
        <v>0</v>
      </c>
      <c r="I264" s="247" t="s">
        <v>171</v>
      </c>
      <c r="N264" s="255"/>
      <c r="O264" s="255"/>
      <c r="P264" s="255"/>
    </row>
    <row r="265" spans="1:16" s="43" customFormat="1" ht="18" customHeight="1">
      <c r="A265" s="1"/>
      <c r="B265" s="48" t="s">
        <v>172</v>
      </c>
      <c r="C265" s="52"/>
      <c r="D265" s="50"/>
      <c r="E265" s="128"/>
      <c r="F265" s="50">
        <f>SUM(F259:F264)</f>
        <v>0</v>
      </c>
      <c r="G265" s="50"/>
      <c r="H265" s="52">
        <f>SUM(H259:H264)</f>
        <v>0</v>
      </c>
      <c r="I265" s="53">
        <f>ROUND(SUMPRODUCT(E259:E264*F259:F264),2)</f>
        <v>0</v>
      </c>
      <c r="N265" s="255"/>
      <c r="O265" s="255"/>
      <c r="P265" s="255"/>
    </row>
    <row r="266" spans="1:16" s="43" customFormat="1" ht="18" customHeight="1">
      <c r="A266" s="1"/>
      <c r="B266" s="124" t="str">
        <f>B264</f>
        <v>6单银Low-E+12A+6</v>
      </c>
      <c r="C266" s="133">
        <f t="shared" ref="C266:D268" si="47">D143</f>
        <v>-154</v>
      </c>
      <c r="D266" s="133">
        <f t="shared" si="47"/>
        <v>-154</v>
      </c>
      <c r="E266" s="32">
        <f t="shared" si="27"/>
        <v>2.3716000000000001E-2</v>
      </c>
      <c r="F266" s="134">
        <f>G143</f>
        <v>0</v>
      </c>
      <c r="G266" s="135">
        <f>G264</f>
        <v>148</v>
      </c>
      <c r="H266" s="134">
        <f>ROUND(E266*G266*F266,2)</f>
        <v>0</v>
      </c>
      <c r="I266" s="136" t="s">
        <v>173</v>
      </c>
      <c r="N266" s="255"/>
      <c r="O266" s="255"/>
      <c r="P266" s="255"/>
    </row>
    <row r="267" spans="1:16" s="43" customFormat="1" ht="18" customHeight="1">
      <c r="A267" s="1"/>
      <c r="B267" s="124" t="str">
        <f>B264</f>
        <v>6单银Low-E+12A+6</v>
      </c>
      <c r="C267" s="133">
        <f t="shared" si="47"/>
        <v>-154</v>
      </c>
      <c r="D267" s="133">
        <f t="shared" si="47"/>
        <v>-154</v>
      </c>
      <c r="E267" s="32">
        <f t="shared" si="27"/>
        <v>2.3716000000000001E-2</v>
      </c>
      <c r="F267" s="134">
        <f>G144</f>
        <v>0</v>
      </c>
      <c r="G267" s="135">
        <f>G266</f>
        <v>148</v>
      </c>
      <c r="H267" s="134">
        <f>ROUND(E267*G267*F267,2)</f>
        <v>0</v>
      </c>
      <c r="I267" s="136" t="s">
        <v>173</v>
      </c>
      <c r="N267" s="255"/>
      <c r="O267" s="255"/>
      <c r="P267" s="255"/>
    </row>
    <row r="268" spans="1:16" s="43" customFormat="1" ht="18" customHeight="1">
      <c r="A268" s="1"/>
      <c r="B268" s="124" t="str">
        <f>B267</f>
        <v>6单银Low-E+12A+6</v>
      </c>
      <c r="C268" s="133">
        <f t="shared" si="47"/>
        <v>-154</v>
      </c>
      <c r="D268" s="133">
        <f t="shared" si="47"/>
        <v>-154</v>
      </c>
      <c r="E268" s="32">
        <f t="shared" si="27"/>
        <v>2.3716000000000001E-2</v>
      </c>
      <c r="F268" s="134">
        <f>G145</f>
        <v>0</v>
      </c>
      <c r="G268" s="135">
        <f>G267</f>
        <v>148</v>
      </c>
      <c r="H268" s="134">
        <f>ROUND(E268*G268*F268,2)</f>
        <v>0</v>
      </c>
      <c r="I268" s="136" t="s">
        <v>173</v>
      </c>
      <c r="N268" s="255"/>
      <c r="O268" s="255"/>
      <c r="P268" s="255"/>
    </row>
    <row r="269" spans="1:16" s="43" customFormat="1" ht="18" customHeight="1">
      <c r="A269" s="1"/>
      <c r="B269" s="48" t="s">
        <v>174</v>
      </c>
      <c r="C269" s="52"/>
      <c r="D269" s="50"/>
      <c r="E269" s="128"/>
      <c r="F269" s="50">
        <f>SUM(F266:F268)</f>
        <v>0</v>
      </c>
      <c r="G269" s="50"/>
      <c r="H269" s="52">
        <f>SUM(H266:H268)</f>
        <v>0</v>
      </c>
      <c r="I269" s="53">
        <f>ROUND((E266*F266+E267*F267+E268*F268),2)</f>
        <v>0</v>
      </c>
      <c r="N269" s="255"/>
      <c r="O269" s="255"/>
      <c r="P269" s="255"/>
    </row>
    <row r="270" spans="1:16" s="43" customFormat="1" ht="18" customHeight="1">
      <c r="A270" s="1"/>
      <c r="B270" s="124" t="str">
        <f>B268</f>
        <v>6单银Low-E+12A+6</v>
      </c>
      <c r="C270" s="133">
        <f t="shared" ref="C270:D272" si="48">D150</f>
        <v>-160</v>
      </c>
      <c r="D270" s="133">
        <f t="shared" si="48"/>
        <v>-160</v>
      </c>
      <c r="E270" s="32">
        <f t="shared" si="27"/>
        <v>2.5600000000000001E-2</v>
      </c>
      <c r="F270" s="134">
        <f>G150</f>
        <v>0</v>
      </c>
      <c r="G270" s="135">
        <f>G268</f>
        <v>148</v>
      </c>
      <c r="H270" s="134">
        <f>ROUND(E270*G270*F270,2)</f>
        <v>0</v>
      </c>
      <c r="I270" s="136" t="s">
        <v>173</v>
      </c>
      <c r="N270" s="255"/>
      <c r="O270" s="255"/>
      <c r="P270" s="255"/>
    </row>
    <row r="271" spans="1:16" s="43" customFormat="1" ht="18" customHeight="1">
      <c r="A271" s="1"/>
      <c r="B271" s="124" t="str">
        <f>B270</f>
        <v>6单银Low-E+12A+6</v>
      </c>
      <c r="C271" s="133">
        <f t="shared" si="48"/>
        <v>-160</v>
      </c>
      <c r="D271" s="133">
        <f t="shared" si="48"/>
        <v>-160</v>
      </c>
      <c r="E271" s="32">
        <f t="shared" si="27"/>
        <v>2.5600000000000001E-2</v>
      </c>
      <c r="F271" s="134">
        <f>G151</f>
        <v>0</v>
      </c>
      <c r="G271" s="135">
        <f>G270</f>
        <v>148</v>
      </c>
      <c r="H271" s="134">
        <f>ROUND(E271*G271*F271,2)</f>
        <v>0</v>
      </c>
      <c r="I271" s="136" t="s">
        <v>173</v>
      </c>
      <c r="N271" s="255"/>
      <c r="O271" s="255"/>
      <c r="P271" s="255"/>
    </row>
    <row r="272" spans="1:16" s="43" customFormat="1" ht="18" customHeight="1">
      <c r="A272" s="1"/>
      <c r="B272" s="124" t="str">
        <f>B271</f>
        <v>6单银Low-E+12A+6</v>
      </c>
      <c r="C272" s="133">
        <f t="shared" si="48"/>
        <v>-160</v>
      </c>
      <c r="D272" s="133">
        <f t="shared" si="48"/>
        <v>-160</v>
      </c>
      <c r="E272" s="32">
        <f t="shared" si="27"/>
        <v>2.5600000000000001E-2</v>
      </c>
      <c r="F272" s="134">
        <f>G152</f>
        <v>0</v>
      </c>
      <c r="G272" s="135">
        <f>G271</f>
        <v>148</v>
      </c>
      <c r="H272" s="134">
        <f>ROUND(E272*G272*F272,2)</f>
        <v>0</v>
      </c>
      <c r="I272" s="136" t="s">
        <v>173</v>
      </c>
      <c r="N272" s="255"/>
      <c r="O272" s="255"/>
      <c r="P272" s="255"/>
    </row>
    <row r="273" spans="1:16" s="43" customFormat="1" ht="18" customHeight="1">
      <c r="A273" s="1"/>
      <c r="B273" s="48" t="s">
        <v>175</v>
      </c>
      <c r="C273" s="52"/>
      <c r="D273" s="50"/>
      <c r="E273" s="128"/>
      <c r="F273" s="50">
        <f>SUM(F270:F272)</f>
        <v>0</v>
      </c>
      <c r="G273" s="50"/>
      <c r="H273" s="52">
        <f>SUM(H270:H272)</f>
        <v>0</v>
      </c>
      <c r="I273" s="53">
        <f>ROUND((E270*F270+E271*F271+E272*F272),2)</f>
        <v>0</v>
      </c>
      <c r="N273" s="255"/>
      <c r="O273" s="255"/>
      <c r="P273" s="255"/>
    </row>
    <row r="274" spans="1:16" ht="18" customHeight="1">
      <c r="B274" s="124" t="str">
        <f>B272</f>
        <v>6单银Low-E+12A+6</v>
      </c>
      <c r="C274" s="133">
        <f t="shared" ref="C274:D279" si="49">D157-12</f>
        <v>-12</v>
      </c>
      <c r="D274" s="133">
        <f t="shared" si="49"/>
        <v>-12</v>
      </c>
      <c r="E274" s="32">
        <f t="shared" si="27"/>
        <v>1.44E-4</v>
      </c>
      <c r="F274" s="134">
        <f t="shared" ref="F274:F279" si="50">G157</f>
        <v>0</v>
      </c>
      <c r="G274" s="135">
        <f>G272</f>
        <v>148</v>
      </c>
      <c r="H274" s="134">
        <f t="shared" ref="H274:H279" si="51">ROUND(E274*G274*F274,2)</f>
        <v>0</v>
      </c>
      <c r="I274" s="136" t="s">
        <v>176</v>
      </c>
    </row>
    <row r="275" spans="1:16" ht="18" customHeight="1">
      <c r="B275" s="124" t="str">
        <f>B274</f>
        <v>6单银Low-E+12A+6</v>
      </c>
      <c r="C275" s="133">
        <f t="shared" si="49"/>
        <v>-12</v>
      </c>
      <c r="D275" s="133">
        <f t="shared" si="49"/>
        <v>-12</v>
      </c>
      <c r="E275" s="32">
        <f t="shared" si="27"/>
        <v>1.44E-4</v>
      </c>
      <c r="F275" s="134">
        <f t="shared" si="50"/>
        <v>0</v>
      </c>
      <c r="G275" s="135">
        <f>G274</f>
        <v>148</v>
      </c>
      <c r="H275" s="134">
        <f t="shared" si="51"/>
        <v>0</v>
      </c>
      <c r="I275" s="136" t="str">
        <f>I274</f>
        <v>门钢化中空玻璃</v>
      </c>
      <c r="K275" s="43" t="s">
        <v>177</v>
      </c>
    </row>
    <row r="276" spans="1:16" ht="18" customHeight="1">
      <c r="B276" s="124" t="str">
        <f>B275</f>
        <v>6单银Low-E+12A+6</v>
      </c>
      <c r="C276" s="133">
        <f t="shared" si="49"/>
        <v>-12</v>
      </c>
      <c r="D276" s="133">
        <f t="shared" si="49"/>
        <v>-12</v>
      </c>
      <c r="E276" s="32">
        <f t="shared" si="27"/>
        <v>1.44E-4</v>
      </c>
      <c r="F276" s="134">
        <f t="shared" si="50"/>
        <v>0</v>
      </c>
      <c r="G276" s="135">
        <f>G275</f>
        <v>148</v>
      </c>
      <c r="H276" s="134">
        <f t="shared" si="51"/>
        <v>0</v>
      </c>
      <c r="I276" s="136" t="str">
        <f>I275</f>
        <v>门钢化中空玻璃</v>
      </c>
    </row>
    <row r="277" spans="1:16" ht="18" customHeight="1">
      <c r="B277" s="124" t="str">
        <f>B276</f>
        <v>6单银Low-E+12A+6</v>
      </c>
      <c r="C277" s="133">
        <f t="shared" si="49"/>
        <v>-12</v>
      </c>
      <c r="D277" s="133">
        <f t="shared" si="49"/>
        <v>-12</v>
      </c>
      <c r="E277" s="32">
        <f t="shared" si="27"/>
        <v>1.44E-4</v>
      </c>
      <c r="F277" s="134">
        <f t="shared" si="50"/>
        <v>0</v>
      </c>
      <c r="G277" s="135">
        <f>G276</f>
        <v>148</v>
      </c>
      <c r="H277" s="134">
        <f t="shared" si="51"/>
        <v>0</v>
      </c>
      <c r="I277" s="136" t="str">
        <f>I276</f>
        <v>门钢化中空玻璃</v>
      </c>
    </row>
    <row r="278" spans="1:16" ht="18" customHeight="1">
      <c r="B278" s="124" t="str">
        <f>B277</f>
        <v>6单银Low-E+12A+6</v>
      </c>
      <c r="C278" s="133">
        <f t="shared" si="49"/>
        <v>-12</v>
      </c>
      <c r="D278" s="133">
        <f t="shared" si="49"/>
        <v>-12</v>
      </c>
      <c r="E278" s="32">
        <f t="shared" si="27"/>
        <v>1.44E-4</v>
      </c>
      <c r="F278" s="134">
        <f t="shared" si="50"/>
        <v>0</v>
      </c>
      <c r="G278" s="135">
        <f>G277</f>
        <v>148</v>
      </c>
      <c r="H278" s="134">
        <f t="shared" si="51"/>
        <v>0</v>
      </c>
      <c r="I278" s="136" t="str">
        <f>I277</f>
        <v>门钢化中空玻璃</v>
      </c>
    </row>
    <row r="279" spans="1:16" ht="18" customHeight="1">
      <c r="B279" s="124" t="str">
        <f>B278</f>
        <v>6单银Low-E+12A+6</v>
      </c>
      <c r="C279" s="133">
        <f t="shared" si="49"/>
        <v>-12</v>
      </c>
      <c r="D279" s="133">
        <f t="shared" si="49"/>
        <v>-12</v>
      </c>
      <c r="E279" s="32">
        <f t="shared" si="27"/>
        <v>1.44E-4</v>
      </c>
      <c r="F279" s="134">
        <f t="shared" si="50"/>
        <v>0</v>
      </c>
      <c r="G279" s="135">
        <f>G278</f>
        <v>148</v>
      </c>
      <c r="H279" s="134">
        <f t="shared" si="51"/>
        <v>0</v>
      </c>
      <c r="I279" s="136" t="str">
        <f>I278</f>
        <v>门钢化中空玻璃</v>
      </c>
    </row>
    <row r="280" spans="1:16" ht="18" customHeight="1">
      <c r="B280" s="48" t="s">
        <v>178</v>
      </c>
      <c r="C280" s="52"/>
      <c r="D280" s="50"/>
      <c r="E280" s="128"/>
      <c r="F280" s="50">
        <f>SUM(F274:F279)</f>
        <v>0</v>
      </c>
      <c r="G280" s="50"/>
      <c r="H280" s="52">
        <f>SUM(H274:H279)</f>
        <v>0</v>
      </c>
      <c r="I280" s="53">
        <f>ROUND(SUMPRODUCT(E274:E279*F274:F279),2)</f>
        <v>0</v>
      </c>
    </row>
    <row r="281" spans="1:16" ht="18" customHeight="1">
      <c r="B281" s="124" t="str">
        <f>材料价格!A10</f>
        <v>6单银Low-E+12A+6</v>
      </c>
      <c r="C281" s="133">
        <f>C252</f>
        <v>-12</v>
      </c>
      <c r="D281" s="133">
        <f>D252</f>
        <v>-12</v>
      </c>
      <c r="E281" s="32">
        <f t="shared" si="27"/>
        <v>1.44E-4</v>
      </c>
      <c r="F281" s="134"/>
      <c r="G281" s="137">
        <f>材料价格!B10</f>
        <v>148</v>
      </c>
      <c r="H281" s="134">
        <f>ROUND(E281*G281*F281,2)</f>
        <v>0</v>
      </c>
      <c r="I281" s="247" t="s">
        <v>179</v>
      </c>
    </row>
    <row r="282" spans="1:16" ht="18" customHeight="1">
      <c r="B282" s="124" t="str">
        <f>B281</f>
        <v>6单银Low-E+12A+6</v>
      </c>
      <c r="C282" s="133">
        <f>C253</f>
        <v>-12</v>
      </c>
      <c r="D282" s="133">
        <f>D253</f>
        <v>-12</v>
      </c>
      <c r="E282" s="32">
        <f t="shared" si="27"/>
        <v>1.44E-4</v>
      </c>
      <c r="F282" s="134"/>
      <c r="G282" s="135">
        <f>G281</f>
        <v>148</v>
      </c>
      <c r="H282" s="134">
        <f>ROUND(E282*G282*F282,2)</f>
        <v>0</v>
      </c>
      <c r="I282" s="247" t="s">
        <v>179</v>
      </c>
      <c r="J282" s="255"/>
      <c r="K282" s="255"/>
      <c r="L282" s="255"/>
      <c r="M282" s="255"/>
    </row>
    <row r="283" spans="1:16" ht="18" customHeight="1">
      <c r="B283" s="124" t="str">
        <f>B282</f>
        <v>6单银Low-E+12A+6</v>
      </c>
      <c r="C283" s="133">
        <f>D84-12</f>
        <v>-12</v>
      </c>
      <c r="D283" s="133">
        <f>E84-12</f>
        <v>-12</v>
      </c>
      <c r="E283" s="32">
        <f t="shared" si="27"/>
        <v>1.44E-4</v>
      </c>
      <c r="F283" s="134">
        <f>G84</f>
        <v>0</v>
      </c>
      <c r="G283" s="135">
        <f>G282</f>
        <v>148</v>
      </c>
      <c r="H283" s="134">
        <f>ROUND(E283*G283*F283,2)</f>
        <v>0</v>
      </c>
      <c r="I283" s="247" t="s">
        <v>179</v>
      </c>
      <c r="J283" s="255"/>
      <c r="K283" s="255"/>
      <c r="L283" s="255"/>
      <c r="M283" s="255"/>
    </row>
    <row r="284" spans="1:16" ht="18" customHeight="1">
      <c r="B284" s="124" t="str">
        <f>B283</f>
        <v>6单银Low-E+12A+6</v>
      </c>
      <c r="C284" s="133">
        <f>D85-12</f>
        <v>-12</v>
      </c>
      <c r="D284" s="133">
        <f>E85-12</f>
        <v>-12</v>
      </c>
      <c r="E284" s="32">
        <f t="shared" si="27"/>
        <v>1.44E-4</v>
      </c>
      <c r="F284" s="134">
        <f>G85</f>
        <v>0</v>
      </c>
      <c r="G284" s="135">
        <f>G283</f>
        <v>148</v>
      </c>
      <c r="H284" s="134">
        <f>ROUND(E284*G284*F284,2)</f>
        <v>0</v>
      </c>
      <c r="I284" s="247" t="s">
        <v>179</v>
      </c>
      <c r="J284" s="255"/>
      <c r="K284" s="255"/>
      <c r="L284" s="255"/>
      <c r="M284" s="255"/>
    </row>
    <row r="285" spans="1:16" ht="18" customHeight="1">
      <c r="B285" s="48" t="s">
        <v>180</v>
      </c>
      <c r="C285" s="52"/>
      <c r="D285" s="50"/>
      <c r="E285" s="50"/>
      <c r="F285" s="50">
        <f>SUM(F281:F284)</f>
        <v>0</v>
      </c>
      <c r="G285" s="50"/>
      <c r="H285" s="52">
        <f>SUM(H281:H284)</f>
        <v>0</v>
      </c>
      <c r="I285" s="53">
        <f>ROUND((E281*F281+E282*F282+E283*F283+E284*F284),2)</f>
        <v>0</v>
      </c>
      <c r="J285" s="255"/>
      <c r="K285" s="255"/>
      <c r="L285" s="255"/>
      <c r="M285" s="255"/>
    </row>
    <row r="286" spans="1:16" ht="18" customHeight="1">
      <c r="B286" s="124" t="str">
        <f>材料价格!A11</f>
        <v>8单银Low-E+12Ar+8+12A+8mm</v>
      </c>
      <c r="C286" s="133"/>
      <c r="D286" s="133"/>
      <c r="E286" s="32">
        <f>C286*D286/10^6</f>
        <v>0</v>
      </c>
      <c r="F286" s="134"/>
      <c r="G286" s="137">
        <f>材料价格!B11</f>
        <v>312</v>
      </c>
      <c r="H286" s="134">
        <f>ROUND(E286*G286*F286,2)</f>
        <v>0</v>
      </c>
      <c r="I286" s="247" t="s">
        <v>181</v>
      </c>
      <c r="J286" s="255"/>
      <c r="K286" s="255"/>
      <c r="L286" s="255"/>
      <c r="M286" s="255"/>
    </row>
    <row r="287" spans="1:16" ht="18" customHeight="1">
      <c r="B287" s="124" t="str">
        <f>B286</f>
        <v>8单银Low-E+12Ar+8+12A+8mm</v>
      </c>
      <c r="C287" s="133"/>
      <c r="D287" s="133"/>
      <c r="E287" s="32">
        <f>C287*D287/10^6</f>
        <v>0</v>
      </c>
      <c r="F287" s="134"/>
      <c r="G287" s="135">
        <f>G286</f>
        <v>312</v>
      </c>
      <c r="H287" s="134">
        <f>ROUND(E287*G287*F287,2)</f>
        <v>0</v>
      </c>
      <c r="I287" s="247" t="s">
        <v>181</v>
      </c>
      <c r="J287" s="255"/>
      <c r="K287" s="255"/>
      <c r="L287" s="255"/>
      <c r="M287" s="255"/>
    </row>
    <row r="288" spans="1:16" ht="18" customHeight="1">
      <c r="B288" s="138" t="str">
        <f>材料价格!A12</f>
        <v>10单银Low-E+12Ar+10+12A+10mm</v>
      </c>
      <c r="C288" s="139"/>
      <c r="D288" s="139"/>
      <c r="E288" s="140">
        <f>C288*D288/10^6</f>
        <v>0</v>
      </c>
      <c r="F288" s="141"/>
      <c r="G288" s="142">
        <f>材料价格!B12</f>
        <v>395</v>
      </c>
      <c r="H288" s="141">
        <f>ROUND(E288*G288*F288,2)</f>
        <v>0</v>
      </c>
      <c r="I288" s="143" t="s">
        <v>181</v>
      </c>
      <c r="J288" s="255"/>
      <c r="K288" s="255"/>
      <c r="L288" s="255"/>
      <c r="M288" s="255"/>
    </row>
    <row r="289" spans="2:13" ht="18" customHeight="1">
      <c r="B289" s="138" t="str">
        <f>B288</f>
        <v>10单银Low-E+12Ar+10+12A+10mm</v>
      </c>
      <c r="C289" s="139"/>
      <c r="D289" s="139"/>
      <c r="E289" s="140">
        <f>C289*D289/10^6</f>
        <v>0</v>
      </c>
      <c r="F289" s="141"/>
      <c r="G289" s="142">
        <f>G288</f>
        <v>395</v>
      </c>
      <c r="H289" s="141">
        <f>ROUND(E289*G289*F289,2)</f>
        <v>0</v>
      </c>
      <c r="I289" s="143" t="s">
        <v>181</v>
      </c>
      <c r="J289" s="255"/>
      <c r="K289" s="255"/>
      <c r="L289" s="255"/>
      <c r="M289" s="255"/>
    </row>
    <row r="290" spans="2:13" ht="18" customHeight="1">
      <c r="B290" s="48" t="s">
        <v>180</v>
      </c>
      <c r="C290" s="52"/>
      <c r="D290" s="50"/>
      <c r="E290" s="50"/>
      <c r="F290" s="50">
        <f>SUM(F286:F289)</f>
        <v>0</v>
      </c>
      <c r="G290" s="50"/>
      <c r="H290" s="52">
        <f>SUM(H286:H289)</f>
        <v>0</v>
      </c>
      <c r="I290" s="53">
        <f>ROUND((E286*F286+E287*F287+E288*F288+E289*F289),2)</f>
        <v>0</v>
      </c>
      <c r="J290" s="255"/>
      <c r="K290" s="255"/>
      <c r="L290" s="255"/>
      <c r="M290" s="255"/>
    </row>
    <row r="291" spans="2:13" ht="18" customHeight="1">
      <c r="B291" s="642" t="s">
        <v>182</v>
      </c>
      <c r="C291" s="144" t="s">
        <v>183</v>
      </c>
      <c r="D291" s="144" cm="1">
        <f t="array" ref="D291">SUMPRODUCT(E225:E232*F225:F232)+SUMPRODUCT(E243:E249*F243:F249)</f>
        <v>5.5296859999999999</v>
      </c>
      <c r="E291" s="144" t="s">
        <v>184</v>
      </c>
      <c r="F291" s="145">
        <f>F233+F250</f>
        <v>15</v>
      </c>
      <c r="G291" s="145" t="s">
        <v>185</v>
      </c>
      <c r="H291" s="144">
        <f>H233+H250</f>
        <v>818.39</v>
      </c>
      <c r="I291" s="146">
        <f>H291/F366</f>
        <v>142.24458581012965</v>
      </c>
      <c r="J291" s="255"/>
      <c r="K291" s="255"/>
      <c r="L291" s="255"/>
      <c r="M291" s="255"/>
    </row>
    <row r="292" spans="2:13" ht="18" customHeight="1">
      <c r="B292" s="642"/>
      <c r="C292" s="144" t="s">
        <v>186</v>
      </c>
      <c r="D292" s="144">
        <f>SUMPRODUCT(E234:E241*F234:F241)+SUMPRODUCT(E251:E257*F251:F257)+SUMPRODUCT(E259:E264*F259:F264)+SUMPRODUCT(E266:E268*F266:F268)+SUMPRODUCT(E270:E272*F270:F272)+SUMPRODUCT(E281:E284*F281:F284)+SUMPRODUCT(E286:E289*F286:F289)+SUMPRODUCT(E274:E279*F274:F279)</f>
        <v>0</v>
      </c>
      <c r="E292" s="144" t="s">
        <v>186</v>
      </c>
      <c r="F292" s="145">
        <f>F242+F258+F265+F269+F273+F285+F290+F280</f>
        <v>0</v>
      </c>
      <c r="G292" s="145" t="s">
        <v>185</v>
      </c>
      <c r="H292" s="144">
        <f>H242+H258+H265+H269+H273+H280+H285+H290</f>
        <v>0</v>
      </c>
      <c r="I292" s="146">
        <f>H292/F366</f>
        <v>0</v>
      </c>
      <c r="J292" s="255"/>
      <c r="K292" s="255"/>
      <c r="L292" s="255"/>
      <c r="M292" s="255"/>
    </row>
    <row r="293" spans="2:13" ht="18" customHeight="1">
      <c r="B293" s="23" t="s">
        <v>187</v>
      </c>
      <c r="C293" s="252" t="s">
        <v>188</v>
      </c>
      <c r="D293" s="68" t="s">
        <v>189</v>
      </c>
      <c r="E293" s="252" t="s">
        <v>8</v>
      </c>
      <c r="F293" s="252" t="s">
        <v>190</v>
      </c>
      <c r="G293" s="252" t="s">
        <v>191</v>
      </c>
      <c r="H293" s="252" t="s">
        <v>160</v>
      </c>
      <c r="I293" s="25" t="s">
        <v>1</v>
      </c>
      <c r="J293" s="255"/>
      <c r="K293" s="255"/>
      <c r="L293" s="255"/>
      <c r="M293" s="255"/>
    </row>
    <row r="294" spans="2:13" ht="18" customHeight="1">
      <c r="B294" s="629" t="s">
        <v>192</v>
      </c>
      <c r="C294" s="253">
        <f>D26</f>
        <v>0</v>
      </c>
      <c r="D294" s="250"/>
      <c r="E294" s="250"/>
      <c r="F294" s="250" t="s">
        <v>193</v>
      </c>
      <c r="G294" s="108">
        <f>材料价格!B14</f>
        <v>153</v>
      </c>
      <c r="H294" s="147">
        <f>E294*G294</f>
        <v>0</v>
      </c>
      <c r="I294" s="632" t="s">
        <v>194</v>
      </c>
      <c r="J294" s="255"/>
      <c r="K294" s="255"/>
      <c r="L294" s="255"/>
      <c r="M294" s="255"/>
    </row>
    <row r="295" spans="2:13" ht="18" customHeight="1">
      <c r="B295" s="629"/>
      <c r="C295" s="253"/>
      <c r="D295" s="250"/>
      <c r="E295" s="250"/>
      <c r="F295" s="250"/>
      <c r="G295" s="108"/>
      <c r="H295" s="147">
        <f t="shared" ref="H295:H303" si="52">E295*G295</f>
        <v>0</v>
      </c>
      <c r="I295" s="633"/>
      <c r="J295" s="255"/>
      <c r="K295" s="255"/>
      <c r="L295" s="255"/>
      <c r="M295" s="255"/>
    </row>
    <row r="296" spans="2:13" ht="18" customHeight="1">
      <c r="B296" s="629" t="s">
        <v>195</v>
      </c>
      <c r="C296" s="253"/>
      <c r="D296" s="148"/>
      <c r="E296" s="250"/>
      <c r="F296" s="250" t="str">
        <f>F294</f>
        <v>坚朗</v>
      </c>
      <c r="G296" s="108">
        <f>材料价格!B15</f>
        <v>80</v>
      </c>
      <c r="H296" s="147">
        <f t="shared" si="52"/>
        <v>0</v>
      </c>
      <c r="I296" s="632" t="s">
        <v>196</v>
      </c>
      <c r="J296" s="255"/>
      <c r="K296" s="255"/>
      <c r="L296" s="255"/>
      <c r="M296" s="255"/>
    </row>
    <row r="297" spans="2:13" ht="18" customHeight="1">
      <c r="B297" s="629"/>
      <c r="C297" s="253"/>
      <c r="D297" s="148"/>
      <c r="E297" s="250"/>
      <c r="F297" s="250"/>
      <c r="G297" s="108"/>
      <c r="H297" s="147">
        <f t="shared" si="52"/>
        <v>0</v>
      </c>
      <c r="I297" s="633"/>
      <c r="J297" s="255"/>
      <c r="K297" s="255"/>
      <c r="L297" s="255"/>
      <c r="M297" s="255"/>
    </row>
    <row r="298" spans="2:13" ht="18" customHeight="1">
      <c r="B298" s="629" t="s">
        <v>197</v>
      </c>
      <c r="C298" s="253"/>
      <c r="D298" s="148"/>
      <c r="E298" s="250">
        <v>2</v>
      </c>
      <c r="F298" s="250" t="str">
        <f>F296</f>
        <v>坚朗</v>
      </c>
      <c r="G298" s="108">
        <f>材料价格!B16</f>
        <v>88</v>
      </c>
      <c r="H298" s="147">
        <f t="shared" si="52"/>
        <v>176</v>
      </c>
      <c r="I298" s="633"/>
      <c r="J298" s="255"/>
      <c r="K298" s="255"/>
      <c r="L298" s="255"/>
      <c r="M298" s="255"/>
    </row>
    <row r="299" spans="2:13" ht="18" customHeight="1">
      <c r="B299" s="629"/>
      <c r="C299" s="253"/>
      <c r="D299" s="148"/>
      <c r="E299" s="250"/>
      <c r="F299" s="250"/>
      <c r="G299" s="108"/>
      <c r="H299" s="147">
        <f t="shared" si="52"/>
        <v>0</v>
      </c>
      <c r="I299" s="633"/>
      <c r="J299" s="255"/>
      <c r="K299" s="255"/>
      <c r="L299" s="255"/>
      <c r="M299" s="255"/>
    </row>
    <row r="300" spans="2:13" ht="18" customHeight="1">
      <c r="B300" s="629" t="s">
        <v>198</v>
      </c>
      <c r="C300" s="253">
        <f>D35</f>
        <v>375</v>
      </c>
      <c r="D300" s="148"/>
      <c r="E300" s="250"/>
      <c r="F300" s="250" t="str">
        <f>F298</f>
        <v>坚朗</v>
      </c>
      <c r="G300" s="108">
        <f>材料价格!B17</f>
        <v>115</v>
      </c>
      <c r="H300" s="147">
        <f t="shared" si="52"/>
        <v>0</v>
      </c>
      <c r="I300" s="149"/>
      <c r="J300" s="255"/>
      <c r="K300" s="255"/>
      <c r="L300" s="255"/>
      <c r="M300" s="255"/>
    </row>
    <row r="301" spans="2:13" ht="18" customHeight="1">
      <c r="B301" s="629"/>
      <c r="C301" s="253"/>
      <c r="D301" s="148"/>
      <c r="E301" s="250"/>
      <c r="F301" s="250"/>
      <c r="G301" s="108"/>
      <c r="H301" s="147">
        <f t="shared" si="52"/>
        <v>0</v>
      </c>
      <c r="I301" s="149"/>
      <c r="J301" s="255"/>
      <c r="K301" s="255"/>
      <c r="L301" s="255"/>
      <c r="M301" s="255"/>
    </row>
    <row r="302" spans="2:13" ht="18" customHeight="1">
      <c r="B302" s="629" t="s">
        <v>199</v>
      </c>
      <c r="C302" s="250" t="s">
        <v>200</v>
      </c>
      <c r="D302" s="148"/>
      <c r="E302" s="250"/>
      <c r="F302" s="250" t="str">
        <f>F300</f>
        <v>坚朗</v>
      </c>
      <c r="G302" s="108">
        <f>材料价格!B19</f>
        <v>230</v>
      </c>
      <c r="H302" s="147">
        <f t="shared" si="52"/>
        <v>0</v>
      </c>
      <c r="I302" s="247"/>
      <c r="J302" s="255"/>
      <c r="K302" s="255"/>
      <c r="L302" s="255"/>
      <c r="M302" s="255"/>
    </row>
    <row r="303" spans="2:13" ht="18" customHeight="1">
      <c r="B303" s="629"/>
      <c r="C303" s="250" t="s">
        <v>201</v>
      </c>
      <c r="D303" s="148"/>
      <c r="E303" s="250"/>
      <c r="F303" s="250" t="str">
        <f>F302</f>
        <v>坚朗</v>
      </c>
      <c r="G303" s="108">
        <f>材料价格!B20</f>
        <v>335</v>
      </c>
      <c r="H303" s="147">
        <f t="shared" si="52"/>
        <v>0</v>
      </c>
      <c r="I303" s="247"/>
      <c r="J303" s="255"/>
      <c r="K303" s="255"/>
      <c r="L303" s="255"/>
      <c r="M303" s="255"/>
    </row>
    <row r="304" spans="2:13" ht="18" customHeight="1">
      <c r="B304" s="150" t="s">
        <v>202</v>
      </c>
      <c r="C304" s="50"/>
      <c r="D304" s="50"/>
      <c r="E304" s="50">
        <f>SUM(E294:E303)</f>
        <v>2</v>
      </c>
      <c r="F304" s="50"/>
      <c r="G304" s="166"/>
      <c r="H304" s="151">
        <f>SUM(H294:H303)</f>
        <v>176</v>
      </c>
      <c r="I304" s="152"/>
      <c r="J304" s="42"/>
    </row>
    <row r="305" spans="1:16" ht="18" customHeight="1">
      <c r="B305" s="246" t="s">
        <v>300</v>
      </c>
      <c r="C305" s="250"/>
      <c r="D305" s="148"/>
      <c r="E305" s="253">
        <f>E294+E296</f>
        <v>0</v>
      </c>
      <c r="F305" s="148"/>
      <c r="G305" s="148">
        <f>材料价格!B27</f>
        <v>0</v>
      </c>
      <c r="H305" s="154">
        <f>E305*G305</f>
        <v>0</v>
      </c>
      <c r="I305" s="247" t="s">
        <v>203</v>
      </c>
    </row>
    <row r="306" spans="1:16" s="16" customFormat="1" ht="18" customHeight="1">
      <c r="A306" s="1"/>
      <c r="B306" s="246" t="s">
        <v>204</v>
      </c>
      <c r="C306" s="250"/>
      <c r="D306" s="148"/>
      <c r="E306" s="253">
        <f>E298+E299+E300+E301</f>
        <v>2</v>
      </c>
      <c r="F306" s="148"/>
      <c r="G306" s="148">
        <f>材料价格!B28</f>
        <v>118</v>
      </c>
      <c r="H306" s="154">
        <f>E306*G306</f>
        <v>236</v>
      </c>
      <c r="I306" s="247" t="s">
        <v>205</v>
      </c>
      <c r="J306" s="43"/>
      <c r="K306" s="43"/>
      <c r="L306" s="43"/>
      <c r="M306" s="43"/>
      <c r="N306" s="255"/>
      <c r="O306" s="255"/>
      <c r="P306" s="255"/>
    </row>
    <row r="307" spans="1:16" s="16" customFormat="1" ht="18" customHeight="1">
      <c r="A307" s="1"/>
      <c r="B307" s="246" t="s">
        <v>206</v>
      </c>
      <c r="C307" s="250"/>
      <c r="D307" s="148"/>
      <c r="E307" s="253"/>
      <c r="F307" s="148"/>
      <c r="G307" s="148"/>
      <c r="H307" s="154">
        <f>E307*G307</f>
        <v>0</v>
      </c>
      <c r="I307" s="247" t="s">
        <v>207</v>
      </c>
      <c r="J307" s="43"/>
      <c r="K307" s="43"/>
      <c r="L307" s="43"/>
      <c r="M307" s="43"/>
      <c r="N307" s="255"/>
      <c r="O307" s="255"/>
      <c r="P307" s="255"/>
    </row>
    <row r="308" spans="1:16" s="16" customFormat="1" ht="18" customHeight="1">
      <c r="A308" s="1"/>
      <c r="B308" s="150" t="s">
        <v>208</v>
      </c>
      <c r="C308" s="50"/>
      <c r="D308" s="50"/>
      <c r="E308" s="100">
        <f>SUM(E305:E307)</f>
        <v>2</v>
      </c>
      <c r="F308" s="50"/>
      <c r="G308" s="166"/>
      <c r="H308" s="155">
        <f>SUM(H305:H307)</f>
        <v>236</v>
      </c>
      <c r="I308" s="152"/>
      <c r="J308" s="43"/>
      <c r="K308" s="43"/>
      <c r="L308" s="43"/>
      <c r="M308" s="43"/>
      <c r="N308" s="255"/>
      <c r="O308" s="255"/>
      <c r="P308" s="255"/>
    </row>
    <row r="309" spans="1:16" s="16" customFormat="1" ht="18" customHeight="1">
      <c r="A309" s="1"/>
      <c r="B309" s="156" t="s">
        <v>209</v>
      </c>
      <c r="C309" s="157">
        <f>ROUND(IF(D4&lt;=200,4,0)+IF(D4&gt;200,(D4/200+1))+IF(E4&lt;=200,4,0)+IF(E4&gt;200,(E4/200+1)),0)</f>
        <v>27</v>
      </c>
      <c r="D309" s="148"/>
      <c r="E309" s="148"/>
      <c r="F309" s="148"/>
      <c r="G309" s="158">
        <v>0.5</v>
      </c>
      <c r="H309" s="159">
        <f>ROUND(C309*G309,2)</f>
        <v>13.5</v>
      </c>
      <c r="I309" s="247" t="s">
        <v>210</v>
      </c>
      <c r="J309" s="43"/>
      <c r="K309" s="43"/>
      <c r="L309" s="43"/>
      <c r="M309" s="43"/>
      <c r="N309" s="255"/>
      <c r="O309" s="255"/>
      <c r="P309" s="255"/>
    </row>
    <row r="310" spans="1:16" s="16" customFormat="1" ht="18" customHeight="1">
      <c r="A310" s="1"/>
      <c r="B310" s="156" t="s">
        <v>211</v>
      </c>
      <c r="C310" s="157">
        <f>C309*2</f>
        <v>54</v>
      </c>
      <c r="D310" s="148">
        <f>D309*2</f>
        <v>0</v>
      </c>
      <c r="E310" s="148"/>
      <c r="F310" s="148"/>
      <c r="G310" s="158">
        <v>0.3</v>
      </c>
      <c r="H310" s="159">
        <f>ROUND(C310*G310,2)</f>
        <v>16.2</v>
      </c>
      <c r="I310" s="247" t="s">
        <v>212</v>
      </c>
      <c r="J310" s="43"/>
      <c r="K310" s="43"/>
      <c r="L310" s="255"/>
      <c r="M310" s="255"/>
      <c r="N310" s="255"/>
      <c r="O310" s="255"/>
      <c r="P310" s="255"/>
    </row>
    <row r="311" spans="1:16" s="16" customFormat="1" ht="18" customHeight="1">
      <c r="A311" s="1"/>
      <c r="B311" s="160" t="s">
        <v>213</v>
      </c>
      <c r="C311" s="161">
        <f>F6</f>
        <v>5.7054</v>
      </c>
      <c r="D311" s="162"/>
      <c r="E311" s="162"/>
      <c r="F311" s="162"/>
      <c r="G311" s="163">
        <v>5</v>
      </c>
      <c r="H311" s="159">
        <f>ROUND(C311*G311,2)</f>
        <v>28.53</v>
      </c>
      <c r="I311" s="247"/>
      <c r="J311" s="43"/>
      <c r="K311" s="43"/>
      <c r="L311" s="255"/>
      <c r="M311" s="255"/>
      <c r="N311" s="255"/>
      <c r="O311" s="255"/>
      <c r="P311" s="255"/>
    </row>
    <row r="312" spans="1:16" s="16" customFormat="1" ht="18" customHeight="1">
      <c r="A312" s="1"/>
      <c r="B312" s="160" t="s">
        <v>214</v>
      </c>
      <c r="C312" s="161"/>
      <c r="D312" s="162"/>
      <c r="E312" s="162"/>
      <c r="F312" s="162"/>
      <c r="G312" s="163"/>
      <c r="H312" s="159">
        <f>ROUND(C312*G312,2)</f>
        <v>0</v>
      </c>
      <c r="I312" s="247"/>
      <c r="J312" s="43"/>
      <c r="K312" s="43"/>
      <c r="L312" s="255"/>
      <c r="M312" s="255"/>
      <c r="N312" s="255"/>
      <c r="O312" s="255"/>
      <c r="P312" s="255"/>
    </row>
    <row r="313" spans="1:16" s="16" customFormat="1" ht="18" customHeight="1">
      <c r="A313" s="1"/>
      <c r="B313" s="164" t="s">
        <v>397</v>
      </c>
      <c r="C313" s="161">
        <f>D291+D292</f>
        <v>5.5296859999999999</v>
      </c>
      <c r="D313" s="162"/>
      <c r="E313" s="162"/>
      <c r="F313" s="162"/>
      <c r="G313" s="163">
        <f>10+5</f>
        <v>15</v>
      </c>
      <c r="H313" s="159">
        <f>ROUND(C313*G313,2)</f>
        <v>82.95</v>
      </c>
      <c r="I313" s="247"/>
      <c r="J313" s="43"/>
      <c r="K313" s="43"/>
      <c r="L313" s="255"/>
      <c r="M313" s="255"/>
      <c r="N313" s="255"/>
      <c r="O313" s="255"/>
      <c r="P313" s="255"/>
    </row>
    <row r="314" spans="1:16" s="16" customFormat="1" ht="18" customHeight="1">
      <c r="A314" s="1"/>
      <c r="B314" s="150" t="s">
        <v>215</v>
      </c>
      <c r="C314" s="165"/>
      <c r="D314" s="50"/>
      <c r="E314" s="50"/>
      <c r="F314" s="50"/>
      <c r="G314" s="166"/>
      <c r="H314" s="155">
        <f>SUM(H309:H313)</f>
        <v>141.18</v>
      </c>
      <c r="I314" s="152"/>
      <c r="J314" s="43"/>
      <c r="K314" s="43"/>
      <c r="L314" s="255"/>
      <c r="M314" s="255"/>
      <c r="N314" s="255"/>
      <c r="O314" s="255"/>
      <c r="P314" s="255"/>
    </row>
    <row r="315" spans="1:16" s="16" customFormat="1" ht="18" customHeight="1">
      <c r="A315" s="1"/>
      <c r="B315" s="156" t="s">
        <v>216</v>
      </c>
      <c r="C315" s="167">
        <f>E203+E205+E207+I203+I205+E209+I207</f>
        <v>20</v>
      </c>
      <c r="D315" s="148"/>
      <c r="E315" s="148"/>
      <c r="F315" s="148"/>
      <c r="G315" s="168">
        <v>1.9</v>
      </c>
      <c r="H315" s="154">
        <f t="shared" ref="H315:H318" si="53">ROUND(C315*G315,2)</f>
        <v>38</v>
      </c>
      <c r="I315" s="224" t="s">
        <v>340</v>
      </c>
      <c r="J315" s="255"/>
      <c r="K315" s="43"/>
      <c r="L315" s="255"/>
      <c r="M315" s="255"/>
      <c r="N315" s="255"/>
      <c r="O315" s="255"/>
      <c r="P315" s="255"/>
    </row>
    <row r="316" spans="1:16" s="16" customFormat="1" ht="18" customHeight="1">
      <c r="A316" s="1"/>
      <c r="B316" s="156" t="s">
        <v>217</v>
      </c>
      <c r="C316" s="167">
        <f>ROUND((D4+E4)*2/1000,2)</f>
        <v>9.9</v>
      </c>
      <c r="D316" s="148"/>
      <c r="E316" s="238">
        <v>4</v>
      </c>
      <c r="F316" s="235">
        <f>材料价格!B25</f>
        <v>8.52</v>
      </c>
      <c r="G316" s="168">
        <f t="shared" ref="G316:G321" si="54">F316/E316</f>
        <v>2.13</v>
      </c>
      <c r="H316" s="154">
        <f t="shared" si="53"/>
        <v>21.09</v>
      </c>
      <c r="I316" s="169" t="s">
        <v>218</v>
      </c>
      <c r="J316" s="255"/>
      <c r="K316" s="43"/>
      <c r="L316" s="255"/>
      <c r="M316" s="255"/>
      <c r="N316" s="255"/>
      <c r="O316" s="255"/>
      <c r="P316" s="255"/>
    </row>
    <row r="317" spans="1:16" s="16" customFormat="1" ht="18" customHeight="1">
      <c r="A317" s="1"/>
      <c r="B317" s="156" t="s">
        <v>219</v>
      </c>
      <c r="C317" s="167">
        <f>C316</f>
        <v>9.9</v>
      </c>
      <c r="D317" s="148"/>
      <c r="E317" s="238">
        <v>3</v>
      </c>
      <c r="F317" s="235">
        <f>F316</f>
        <v>8.52</v>
      </c>
      <c r="G317" s="168">
        <f t="shared" si="54"/>
        <v>2.84</v>
      </c>
      <c r="H317" s="154">
        <f t="shared" si="53"/>
        <v>28.12</v>
      </c>
      <c r="I317" s="169" t="s">
        <v>220</v>
      </c>
      <c r="J317" s="255"/>
      <c r="K317" s="43"/>
      <c r="L317" s="255"/>
      <c r="M317" s="255"/>
      <c r="N317" s="255"/>
      <c r="O317" s="255"/>
      <c r="P317" s="255"/>
    </row>
    <row r="318" spans="1:16" s="16" customFormat="1" ht="18" customHeight="1">
      <c r="A318" s="1"/>
      <c r="B318" s="156" t="s">
        <v>221</v>
      </c>
      <c r="C318" s="167">
        <f>C316</f>
        <v>9.9</v>
      </c>
      <c r="D318" s="148"/>
      <c r="E318" s="238">
        <v>6.5</v>
      </c>
      <c r="F318" s="235">
        <f>材料价格!B26</f>
        <v>23</v>
      </c>
      <c r="G318" s="168">
        <f t="shared" si="54"/>
        <v>3.5384615384615383</v>
      </c>
      <c r="H318" s="154">
        <f t="shared" si="53"/>
        <v>35.03</v>
      </c>
      <c r="I318" s="224" t="s">
        <v>222</v>
      </c>
      <c r="J318" s="255"/>
      <c r="K318" s="43"/>
      <c r="L318" s="255"/>
      <c r="M318" s="255"/>
      <c r="N318" s="255"/>
      <c r="O318" s="255"/>
      <c r="P318" s="255"/>
    </row>
    <row r="319" spans="1:16" s="16" customFormat="1" ht="18" customHeight="1">
      <c r="A319" s="1"/>
      <c r="B319" s="156" t="s">
        <v>341</v>
      </c>
      <c r="C319" s="167">
        <f>ROUND((C97+C104+C88+C146+C153+C163)*1,2)</f>
        <v>38.159999999999997</v>
      </c>
      <c r="D319" s="77">
        <v>1</v>
      </c>
      <c r="E319" s="238">
        <f>10</f>
        <v>10</v>
      </c>
      <c r="F319" s="235">
        <f>F317</f>
        <v>8.52</v>
      </c>
      <c r="G319" s="168">
        <f>F319/E319</f>
        <v>0.85199999999999998</v>
      </c>
      <c r="H319" s="154">
        <f>ROUND(C319*G319,2)</f>
        <v>32.51</v>
      </c>
      <c r="I319" s="247" t="s">
        <v>223</v>
      </c>
      <c r="J319" s="255"/>
      <c r="K319" s="43"/>
      <c r="L319" s="255"/>
      <c r="M319" s="255"/>
      <c r="N319" s="255"/>
      <c r="O319" s="255"/>
      <c r="P319" s="255"/>
    </row>
    <row r="320" spans="1:16" s="16" customFormat="1" ht="18" customHeight="1">
      <c r="A320" s="1"/>
      <c r="B320" s="156" t="s">
        <v>342</v>
      </c>
      <c r="C320" s="167">
        <f>C319</f>
        <v>38.159999999999997</v>
      </c>
      <c r="D320" s="77">
        <v>1</v>
      </c>
      <c r="E320" s="238">
        <v>6</v>
      </c>
      <c r="F320" s="235">
        <f>F319</f>
        <v>8.52</v>
      </c>
      <c r="G320" s="168">
        <f t="shared" si="54"/>
        <v>1.42</v>
      </c>
      <c r="H320" s="154">
        <f>ROUND(C320*G320,2)</f>
        <v>54.19</v>
      </c>
      <c r="I320" s="247" t="s">
        <v>224</v>
      </c>
      <c r="J320" s="255"/>
      <c r="K320" s="170"/>
      <c r="L320" s="170"/>
      <c r="M320" s="170"/>
      <c r="N320" s="170"/>
      <c r="O320" s="170"/>
      <c r="P320" s="170"/>
    </row>
    <row r="321" spans="1:16" s="16" customFormat="1" ht="18" customHeight="1">
      <c r="A321" s="1"/>
      <c r="B321" s="156" t="s">
        <v>225</v>
      </c>
      <c r="C321" s="167">
        <f>C334*D334+C324*D324+C327*D327</f>
        <v>10.413</v>
      </c>
      <c r="D321" s="77">
        <v>1</v>
      </c>
      <c r="E321" s="238">
        <f>10</f>
        <v>10</v>
      </c>
      <c r="F321" s="235">
        <f>F317</f>
        <v>8.52</v>
      </c>
      <c r="G321" s="168">
        <f t="shared" si="54"/>
        <v>0.85199999999999998</v>
      </c>
      <c r="H321" s="154">
        <f>ROUND(C321*G321,2)</f>
        <v>8.8699999999999992</v>
      </c>
      <c r="I321" s="247" t="s">
        <v>226</v>
      </c>
      <c r="J321" s="255"/>
      <c r="K321" s="170"/>
      <c r="L321" s="170"/>
      <c r="M321" s="170"/>
      <c r="N321" s="170"/>
      <c r="O321" s="170"/>
      <c r="P321" s="170"/>
    </row>
    <row r="322" spans="1:16" s="16" customFormat="1" ht="18" customHeight="1">
      <c r="A322" s="1"/>
      <c r="B322" s="150" t="s">
        <v>227</v>
      </c>
      <c r="C322" s="165"/>
      <c r="D322" s="50"/>
      <c r="E322" s="50"/>
      <c r="F322" s="50"/>
      <c r="G322" s="166" t="s">
        <v>396</v>
      </c>
      <c r="H322" s="155">
        <f>SUM(H315:H321)</f>
        <v>217.81</v>
      </c>
      <c r="I322" s="152"/>
      <c r="J322" s="244" t="s">
        <v>399</v>
      </c>
      <c r="K322" s="245" t="s">
        <v>379</v>
      </c>
      <c r="L322" s="170"/>
      <c r="M322" s="170"/>
      <c r="N322" s="170"/>
      <c r="O322" s="170"/>
      <c r="P322" s="170"/>
    </row>
    <row r="323" spans="1:16" s="16" customFormat="1" ht="18" customHeight="1">
      <c r="A323" s="1"/>
      <c r="B323" s="156" t="s">
        <v>356</v>
      </c>
      <c r="C323" s="167">
        <f>C31</f>
        <v>0</v>
      </c>
      <c r="D323" s="239">
        <v>1</v>
      </c>
      <c r="E323" s="148"/>
      <c r="F323" s="148"/>
      <c r="G323" s="236">
        <f>0.45+0.85</f>
        <v>1.3</v>
      </c>
      <c r="H323" s="154">
        <f>ROUND(C323*D323*G323,2)</f>
        <v>0</v>
      </c>
      <c r="I323" s="247" t="s">
        <v>345</v>
      </c>
      <c r="J323" s="244">
        <v>1.76</v>
      </c>
      <c r="K323" s="245" t="s">
        <v>400</v>
      </c>
      <c r="L323" s="170"/>
      <c r="M323" s="171"/>
      <c r="N323" s="170"/>
      <c r="O323" s="170"/>
      <c r="P323" s="170"/>
    </row>
    <row r="324" spans="1:16" s="16" customFormat="1" ht="18" customHeight="1">
      <c r="A324" s="1"/>
      <c r="B324" s="156" t="s">
        <v>347</v>
      </c>
      <c r="C324" s="167">
        <f>C323</f>
        <v>0</v>
      </c>
      <c r="D324" s="239">
        <v>1</v>
      </c>
      <c r="E324" s="148"/>
      <c r="F324" s="148"/>
      <c r="G324" s="236">
        <v>6.89</v>
      </c>
      <c r="H324" s="154">
        <f t="shared" ref="H324:H329" si="55">ROUND(C324*D324*G324,2)</f>
        <v>0</v>
      </c>
      <c r="I324" s="247" t="s">
        <v>346</v>
      </c>
      <c r="J324" s="244">
        <v>12.25</v>
      </c>
      <c r="K324" s="245" t="s">
        <v>376</v>
      </c>
      <c r="L324" s="170"/>
      <c r="M324" s="171"/>
      <c r="N324" s="170"/>
      <c r="O324" s="170"/>
      <c r="P324" s="170"/>
    </row>
    <row r="325" spans="1:16" s="16" customFormat="1" ht="18" customHeight="1">
      <c r="A325" s="1"/>
      <c r="B325" s="156" t="s">
        <v>357</v>
      </c>
      <c r="C325" s="167">
        <f>C38</f>
        <v>4.46</v>
      </c>
      <c r="D325" s="239">
        <v>1</v>
      </c>
      <c r="E325" s="148"/>
      <c r="F325" s="148"/>
      <c r="G325" s="236">
        <f>0.85+0.61</f>
        <v>1.46</v>
      </c>
      <c r="H325" s="154">
        <f t="shared" si="55"/>
        <v>6.51</v>
      </c>
      <c r="I325" s="247" t="s">
        <v>354</v>
      </c>
      <c r="J325" s="244">
        <v>1.76</v>
      </c>
      <c r="K325" s="245" t="s">
        <v>378</v>
      </c>
      <c r="L325" s="170"/>
      <c r="M325" s="171"/>
      <c r="N325" s="170"/>
      <c r="O325" s="170"/>
      <c r="P325" s="170"/>
    </row>
    <row r="326" spans="1:16" s="16" customFormat="1" ht="18" customHeight="1">
      <c r="A326" s="1"/>
      <c r="B326" s="156" t="s">
        <v>355</v>
      </c>
      <c r="C326" s="167">
        <f>C325</f>
        <v>4.46</v>
      </c>
      <c r="D326" s="239">
        <v>1</v>
      </c>
      <c r="E326" s="148"/>
      <c r="F326" s="148"/>
      <c r="G326" s="236">
        <v>3.27</v>
      </c>
      <c r="H326" s="154">
        <f>ROUND(C326*D326*G326,2)</f>
        <v>14.58</v>
      </c>
      <c r="I326" s="247" t="s">
        <v>358</v>
      </c>
      <c r="J326" s="244">
        <v>3.27</v>
      </c>
      <c r="K326" s="245" t="s">
        <v>358</v>
      </c>
      <c r="L326" s="170"/>
      <c r="M326" s="171"/>
      <c r="N326" s="170"/>
      <c r="O326" s="170"/>
      <c r="P326" s="170"/>
    </row>
    <row r="327" spans="1:16" s="16" customFormat="1" ht="18" customHeight="1">
      <c r="A327" s="1"/>
      <c r="B327" s="156" t="s">
        <v>228</v>
      </c>
      <c r="C327" s="167">
        <f>C126</f>
        <v>0</v>
      </c>
      <c r="D327" s="239">
        <v>1</v>
      </c>
      <c r="E327" s="110"/>
      <c r="F327" s="148"/>
      <c r="G327" s="236">
        <v>6.89</v>
      </c>
      <c r="H327" s="154">
        <f t="shared" si="55"/>
        <v>0</v>
      </c>
      <c r="I327" s="247" t="s">
        <v>346</v>
      </c>
      <c r="J327" s="244">
        <v>12.25</v>
      </c>
      <c r="K327" s="245" t="s">
        <v>346</v>
      </c>
      <c r="L327" s="170"/>
      <c r="M327" s="171"/>
      <c r="N327" s="170"/>
      <c r="O327" s="170"/>
      <c r="P327" s="170"/>
    </row>
    <row r="328" spans="1:16" s="16" customFormat="1" ht="18" customHeight="1">
      <c r="A328" s="1"/>
      <c r="B328" s="156" t="s">
        <v>229</v>
      </c>
      <c r="C328" s="167">
        <f>C327</f>
        <v>0</v>
      </c>
      <c r="D328" s="239">
        <v>1</v>
      </c>
      <c r="E328" s="110"/>
      <c r="F328" s="148"/>
      <c r="G328" s="236">
        <f>G3233</f>
        <v>0</v>
      </c>
      <c r="H328" s="154">
        <f t="shared" si="55"/>
        <v>0</v>
      </c>
      <c r="I328" s="247" t="s">
        <v>345</v>
      </c>
      <c r="J328" s="244">
        <v>0</v>
      </c>
      <c r="K328" s="245" t="s">
        <v>400</v>
      </c>
      <c r="L328" s="170"/>
      <c r="M328" s="171"/>
      <c r="N328" s="170"/>
      <c r="O328" s="170"/>
      <c r="P328" s="170"/>
    </row>
    <row r="329" spans="1:16" s="16" customFormat="1" ht="18" customHeight="1">
      <c r="A329" s="1"/>
      <c r="B329" s="156" t="s">
        <v>230</v>
      </c>
      <c r="C329" s="167">
        <f>C119</f>
        <v>0</v>
      </c>
      <c r="D329" s="239">
        <v>1</v>
      </c>
      <c r="E329" s="148"/>
      <c r="F329" s="148"/>
      <c r="G329" s="236">
        <f>G3253</f>
        <v>0</v>
      </c>
      <c r="H329" s="154">
        <f t="shared" si="55"/>
        <v>0</v>
      </c>
      <c r="I329" s="247" t="s">
        <v>354</v>
      </c>
      <c r="J329" s="244">
        <v>0</v>
      </c>
      <c r="K329" s="245" t="s">
        <v>378</v>
      </c>
      <c r="L329" s="170"/>
      <c r="M329" s="171"/>
      <c r="N329" s="170"/>
      <c r="O329" s="170"/>
      <c r="P329" s="170"/>
    </row>
    <row r="330" spans="1:16" s="16" customFormat="1" ht="18" customHeight="1">
      <c r="A330" s="1"/>
      <c r="B330" s="156" t="s">
        <v>362</v>
      </c>
      <c r="C330" s="167">
        <f>C329</f>
        <v>0</v>
      </c>
      <c r="D330" s="239">
        <v>1</v>
      </c>
      <c r="E330" s="148"/>
      <c r="F330" s="148"/>
      <c r="G330" s="236">
        <v>3.27</v>
      </c>
      <c r="H330" s="154">
        <f>ROUND(C330*D330*G330,2)</f>
        <v>0</v>
      </c>
      <c r="I330" s="247" t="s">
        <v>358</v>
      </c>
      <c r="J330" s="244">
        <v>3.27</v>
      </c>
      <c r="K330" s="245" t="s">
        <v>358</v>
      </c>
      <c r="L330" s="170"/>
      <c r="M330" s="171"/>
      <c r="N330" s="170"/>
      <c r="O330" s="170"/>
      <c r="P330" s="170"/>
    </row>
    <row r="331" spans="1:16" s="16" customFormat="1" ht="18" customHeight="1">
      <c r="A331" s="1"/>
      <c r="B331" s="156" t="s">
        <v>343</v>
      </c>
      <c r="C331" s="167">
        <f>C319</f>
        <v>38.159999999999997</v>
      </c>
      <c r="D331" s="239">
        <v>1</v>
      </c>
      <c r="E331" s="148"/>
      <c r="F331" s="148"/>
      <c r="G331" s="236">
        <v>1.25</v>
      </c>
      <c r="H331" s="154">
        <f>C331*D331*G331</f>
        <v>47.699999999999996</v>
      </c>
      <c r="I331" s="247" t="s">
        <v>344</v>
      </c>
      <c r="J331" s="244">
        <v>1.25</v>
      </c>
      <c r="K331" s="245" t="s">
        <v>344</v>
      </c>
      <c r="L331" s="170"/>
      <c r="M331" s="171"/>
      <c r="N331" s="170"/>
      <c r="O331" s="170"/>
      <c r="P331" s="170"/>
    </row>
    <row r="332" spans="1:16" s="16" customFormat="1" ht="18" customHeight="1">
      <c r="A332" s="1"/>
      <c r="B332" s="156" t="s">
        <v>350</v>
      </c>
      <c r="C332" s="167" cm="1">
        <f t="array" ref="C332">SUMPRODUCT(D26:D30*G26:G30)/1000</f>
        <v>0</v>
      </c>
      <c r="D332" s="239">
        <v>1</v>
      </c>
      <c r="E332" s="148"/>
      <c r="F332" s="148"/>
      <c r="G332" s="236">
        <v>0.41</v>
      </c>
      <c r="H332" s="154">
        <f>C332*D332*G332</f>
        <v>0</v>
      </c>
      <c r="I332" s="247" t="s">
        <v>348</v>
      </c>
      <c r="J332" s="244">
        <v>0.41</v>
      </c>
      <c r="K332" s="245" t="s">
        <v>348</v>
      </c>
      <c r="L332" s="170"/>
      <c r="M332" s="171"/>
      <c r="N332" s="170"/>
      <c r="O332" s="170"/>
      <c r="P332" s="170"/>
    </row>
    <row r="333" spans="1:16" s="16" customFormat="1" ht="18" customHeight="1">
      <c r="A333" s="1"/>
      <c r="B333" s="156" t="s">
        <v>349</v>
      </c>
      <c r="C333" s="167">
        <f>C88+C97+C104+C153+C163+C146</f>
        <v>38.159333333333329</v>
      </c>
      <c r="D333" s="239">
        <v>1</v>
      </c>
      <c r="E333" s="148"/>
      <c r="F333" s="148"/>
      <c r="G333" s="236">
        <v>0.49</v>
      </c>
      <c r="H333" s="154">
        <f>C333*D333*G333</f>
        <v>18.69807333333333</v>
      </c>
      <c r="I333" s="247" t="s">
        <v>351</v>
      </c>
      <c r="J333" s="244">
        <v>0.49</v>
      </c>
      <c r="K333" s="245" t="s">
        <v>351</v>
      </c>
      <c r="L333" s="170"/>
      <c r="M333" s="171"/>
      <c r="N333" s="170"/>
      <c r="O333" s="170"/>
      <c r="P333" s="170"/>
    </row>
    <row r="334" spans="1:16" s="16" customFormat="1" ht="18" customHeight="1">
      <c r="A334" s="1"/>
      <c r="B334" s="156" t="s">
        <v>353</v>
      </c>
      <c r="C334" s="167">
        <f t="array" ref="C334">SUMPRODUCT(D157:D162*G157:G162)/1000+SUM(G157:G162)*0.3+SUMPRODUCT(D68:D87*G68:G87)/1000+SUM(G68:G87)*0.3</f>
        <v>10.413</v>
      </c>
      <c r="D334" s="239">
        <v>1</v>
      </c>
      <c r="E334" s="148"/>
      <c r="F334" s="148"/>
      <c r="G334" s="237">
        <v>5.36</v>
      </c>
      <c r="H334" s="154">
        <f>C334*G334</f>
        <v>55.813680000000005</v>
      </c>
      <c r="I334" s="247" t="s">
        <v>352</v>
      </c>
      <c r="J334" s="244">
        <v>9.5500000000000007</v>
      </c>
      <c r="K334" s="245" t="s">
        <v>377</v>
      </c>
      <c r="L334" s="170"/>
      <c r="M334" s="171"/>
      <c r="N334" s="170"/>
      <c r="O334" s="170"/>
      <c r="P334" s="170"/>
    </row>
    <row r="335" spans="1:16" s="16" customFormat="1" ht="18" customHeight="1">
      <c r="A335" s="1"/>
      <c r="B335" s="156" t="s">
        <v>364</v>
      </c>
      <c r="C335" s="167">
        <f>C319</f>
        <v>38.159999999999997</v>
      </c>
      <c r="D335" s="239">
        <v>1</v>
      </c>
      <c r="E335" s="148"/>
      <c r="F335" s="148"/>
      <c r="G335" s="237">
        <v>1.25</v>
      </c>
      <c r="H335" s="154"/>
      <c r="I335" s="149" t="s">
        <v>363</v>
      </c>
      <c r="J335" s="244">
        <v>1.25</v>
      </c>
      <c r="K335" s="245" t="s">
        <v>363</v>
      </c>
      <c r="L335" s="170"/>
      <c r="M335" s="171"/>
      <c r="N335" s="170"/>
      <c r="O335" s="170"/>
      <c r="P335" s="170"/>
    </row>
    <row r="336" spans="1:16" s="16" customFormat="1" ht="18" customHeight="1">
      <c r="A336" s="1"/>
      <c r="B336" s="156" t="s">
        <v>365</v>
      </c>
      <c r="C336" s="167">
        <f>C320</f>
        <v>38.159999999999997</v>
      </c>
      <c r="D336" s="239">
        <v>1</v>
      </c>
      <c r="E336" s="148"/>
      <c r="F336" s="148"/>
      <c r="G336" s="237">
        <v>1.63</v>
      </c>
      <c r="H336" s="154"/>
      <c r="I336" s="149" t="s">
        <v>363</v>
      </c>
      <c r="J336" s="244">
        <v>1.63</v>
      </c>
      <c r="K336" s="245" t="s">
        <v>363</v>
      </c>
      <c r="L336" s="170"/>
      <c r="M336" s="171"/>
      <c r="N336" s="170"/>
      <c r="O336" s="170"/>
      <c r="P336" s="170"/>
    </row>
    <row r="337" spans="1:16" s="16" customFormat="1" ht="18" customHeight="1">
      <c r="A337" s="1"/>
      <c r="B337" s="150" t="s">
        <v>231</v>
      </c>
      <c r="C337" s="165"/>
      <c r="D337" s="50"/>
      <c r="E337" s="50"/>
      <c r="F337" s="50"/>
      <c r="G337" s="166"/>
      <c r="H337" s="155">
        <f>SUM(H323:H336)*1.05</f>
        <v>150.46684099999999</v>
      </c>
      <c r="I337" s="152"/>
      <c r="J337" s="172"/>
      <c r="K337" s="170"/>
      <c r="L337" s="170"/>
      <c r="M337" s="170"/>
      <c r="N337" s="170"/>
      <c r="O337" s="170"/>
      <c r="P337" s="170"/>
    </row>
    <row r="338" spans="1:16" s="16" customFormat="1" ht="18" customHeight="1">
      <c r="A338" s="1"/>
      <c r="B338" s="173" t="s">
        <v>366</v>
      </c>
      <c r="C338" s="174">
        <f>F250+F258+F265+F280+F285+F290</f>
        <v>13</v>
      </c>
      <c r="D338" s="175">
        <v>2</v>
      </c>
      <c r="E338" s="176"/>
      <c r="F338" s="176"/>
      <c r="G338" s="240">
        <v>0.5</v>
      </c>
      <c r="H338" s="177">
        <f t="shared" ref="H338:H343" si="56">D338*G338*C338</f>
        <v>13</v>
      </c>
      <c r="I338" s="178" t="s">
        <v>233</v>
      </c>
      <c r="J338" s="172"/>
      <c r="K338" s="170"/>
      <c r="L338" s="170"/>
      <c r="M338" s="170"/>
      <c r="N338" s="170"/>
      <c r="O338" s="170"/>
      <c r="P338" s="170"/>
    </row>
    <row r="339" spans="1:16" s="16" customFormat="1" ht="18" customHeight="1">
      <c r="A339" s="1"/>
      <c r="B339" s="173" t="s">
        <v>367</v>
      </c>
      <c r="C339" s="174">
        <f>F233+F242+F269+F273</f>
        <v>2</v>
      </c>
      <c r="D339" s="175">
        <v>4</v>
      </c>
      <c r="E339" s="176"/>
      <c r="F339" s="176"/>
      <c r="G339" s="240">
        <v>0.63</v>
      </c>
      <c r="H339" s="177">
        <f t="shared" si="56"/>
        <v>5.04</v>
      </c>
      <c r="I339" s="178" t="s">
        <v>234</v>
      </c>
      <c r="J339" s="172"/>
      <c r="K339" s="170"/>
      <c r="L339" s="170"/>
      <c r="M339" s="170"/>
      <c r="N339" s="170"/>
      <c r="O339" s="170"/>
      <c r="P339" s="170"/>
    </row>
    <row r="340" spans="1:16" s="16" customFormat="1" ht="18" customHeight="1">
      <c r="A340" s="1"/>
      <c r="B340" s="173" t="s">
        <v>366</v>
      </c>
      <c r="C340" s="174">
        <f>SUM(G157:G162)</f>
        <v>0</v>
      </c>
      <c r="D340" s="175">
        <f>IF(E113&gt;2200,2,0)</f>
        <v>0</v>
      </c>
      <c r="E340" s="176"/>
      <c r="F340" s="176"/>
      <c r="G340" s="240">
        <v>0.5</v>
      </c>
      <c r="H340" s="177">
        <f t="shared" si="56"/>
        <v>0</v>
      </c>
      <c r="I340" s="178" t="s">
        <v>235</v>
      </c>
      <c r="J340" s="172"/>
      <c r="K340" s="170"/>
      <c r="L340" s="170"/>
      <c r="M340" s="170"/>
      <c r="N340" s="170"/>
      <c r="O340" s="170"/>
      <c r="P340" s="170"/>
    </row>
    <row r="341" spans="1:16" s="16" customFormat="1" ht="18" customHeight="1">
      <c r="A341" s="1"/>
      <c r="B341" s="173" t="s">
        <v>367</v>
      </c>
      <c r="C341" s="174">
        <f>SUM(G116:G118)</f>
        <v>0</v>
      </c>
      <c r="D341" s="175">
        <v>4</v>
      </c>
      <c r="E341" s="176"/>
      <c r="F341" s="176"/>
      <c r="G341" s="240">
        <v>0.63</v>
      </c>
      <c r="H341" s="177">
        <f t="shared" si="56"/>
        <v>0</v>
      </c>
      <c r="I341" s="178" t="s">
        <v>236</v>
      </c>
      <c r="J341" s="172"/>
      <c r="K341" s="170"/>
      <c r="L341" s="170"/>
      <c r="M341" s="170"/>
      <c r="N341" s="170"/>
      <c r="O341" s="170"/>
      <c r="P341" s="170"/>
    </row>
    <row r="342" spans="1:16" ht="18" customHeight="1">
      <c r="B342" s="173" t="s">
        <v>237</v>
      </c>
      <c r="C342" s="174">
        <v>1</v>
      </c>
      <c r="D342" s="175">
        <f>(F291+F292)*10</f>
        <v>150</v>
      </c>
      <c r="E342" s="176"/>
      <c r="F342" s="176"/>
      <c r="G342" s="240">
        <v>0.37</v>
      </c>
      <c r="H342" s="177">
        <f t="shared" si="56"/>
        <v>55.5</v>
      </c>
      <c r="I342" s="178"/>
      <c r="J342" s="172"/>
      <c r="K342" s="172"/>
      <c r="L342" s="172"/>
      <c r="N342" s="43"/>
    </row>
    <row r="343" spans="1:16" ht="18" customHeight="1">
      <c r="B343" s="173" t="s">
        <v>232</v>
      </c>
      <c r="C343" s="174">
        <f>C338</f>
        <v>13</v>
      </c>
      <c r="D343" s="175">
        <v>0</v>
      </c>
      <c r="E343" s="176"/>
      <c r="F343" s="176"/>
      <c r="G343" s="240">
        <v>0.49</v>
      </c>
      <c r="H343" s="177">
        <f t="shared" si="56"/>
        <v>0</v>
      </c>
      <c r="I343" s="178" t="s">
        <v>238</v>
      </c>
      <c r="J343" s="172"/>
      <c r="K343" s="172"/>
      <c r="L343" s="172"/>
      <c r="N343" s="43"/>
    </row>
    <row r="344" spans="1:16" ht="18" customHeight="1">
      <c r="B344" s="156" t="s">
        <v>239</v>
      </c>
      <c r="C344" s="157"/>
      <c r="D344" s="250">
        <f>E203+E205*2+E207*2+I203+I205*2+I207*2</f>
        <v>20</v>
      </c>
      <c r="E344" s="148"/>
      <c r="F344" s="148"/>
      <c r="G344" s="148">
        <v>0.2</v>
      </c>
      <c r="H344" s="179">
        <f>D344*G344</f>
        <v>4</v>
      </c>
      <c r="I344" s="247" t="s">
        <v>368</v>
      </c>
      <c r="J344" s="172"/>
      <c r="K344" s="172"/>
      <c r="L344" s="172"/>
    </row>
    <row r="345" spans="1:16" ht="18" customHeight="1">
      <c r="B345" s="156" t="s">
        <v>240</v>
      </c>
      <c r="C345" s="157"/>
      <c r="D345" s="250">
        <f>4*(E52+E53+E54+E55+G52+G53+G54+G55+G60+G61+G62+G63+E130+E131+E132+G130+G131+G132+G137+G138)</f>
        <v>56</v>
      </c>
      <c r="E345" s="148"/>
      <c r="F345" s="148"/>
      <c r="G345" s="148">
        <v>0.22</v>
      </c>
      <c r="H345" s="179">
        <f>D345*G345</f>
        <v>12.32</v>
      </c>
      <c r="I345" s="247" t="s">
        <v>241</v>
      </c>
      <c r="J345" s="172"/>
      <c r="K345" s="172"/>
      <c r="L345" s="172"/>
    </row>
    <row r="346" spans="1:16" ht="18" customHeight="1">
      <c r="B346" s="156" t="s">
        <v>242</v>
      </c>
      <c r="C346" s="157"/>
      <c r="D346" s="250">
        <f>D345/2</f>
        <v>28</v>
      </c>
      <c r="E346" s="148"/>
      <c r="F346" s="148"/>
      <c r="G346" s="148">
        <v>0.22</v>
      </c>
      <c r="H346" s="179">
        <f>ROUND(D346*G346,2)</f>
        <v>6.16</v>
      </c>
      <c r="I346" s="247" t="s">
        <v>243</v>
      </c>
      <c r="J346" s="172"/>
      <c r="K346" s="172"/>
      <c r="L346" s="172"/>
    </row>
    <row r="347" spans="1:16" ht="18" customHeight="1">
      <c r="B347" s="156" t="s">
        <v>369</v>
      </c>
      <c r="C347" s="157"/>
      <c r="D347" s="250">
        <f>D346</f>
        <v>28</v>
      </c>
      <c r="E347" s="148"/>
      <c r="F347" s="148"/>
      <c r="G347" s="148">
        <v>1.37</v>
      </c>
      <c r="H347" s="179">
        <f>ROUND(D347*G347,2)</f>
        <v>38.36</v>
      </c>
      <c r="I347" s="247" t="s">
        <v>370</v>
      </c>
      <c r="J347" s="172"/>
      <c r="K347" s="172"/>
      <c r="L347" s="172"/>
    </row>
    <row r="348" spans="1:16" ht="18" customHeight="1">
      <c r="B348" s="156" t="s">
        <v>244</v>
      </c>
      <c r="C348" s="157"/>
      <c r="D348" s="250">
        <f>(F291+F292)*2</f>
        <v>30</v>
      </c>
      <c r="E348" s="148"/>
      <c r="F348" s="148"/>
      <c r="G348" s="148">
        <v>0.48</v>
      </c>
      <c r="H348" s="179">
        <f>ROUND(D348*G348,2)</f>
        <v>14.4</v>
      </c>
      <c r="I348" s="247" t="s">
        <v>245</v>
      </c>
      <c r="J348" s="255"/>
    </row>
    <row r="349" spans="1:16" ht="18" customHeight="1">
      <c r="B349" s="156" t="s">
        <v>246</v>
      </c>
      <c r="C349" s="157"/>
      <c r="D349" s="250">
        <f>ROUND((D4+E4-240)*2/200+E217*F217/200,0)</f>
        <v>58</v>
      </c>
      <c r="E349" s="148"/>
      <c r="F349" s="148"/>
      <c r="G349" s="148">
        <v>0.05</v>
      </c>
      <c r="H349" s="179">
        <f>ROUND(D349*G349,2)</f>
        <v>2.9</v>
      </c>
      <c r="I349" s="247" t="s">
        <v>247</v>
      </c>
      <c r="J349" s="255"/>
    </row>
    <row r="350" spans="1:16" ht="18" customHeight="1">
      <c r="B350" s="150" t="s">
        <v>248</v>
      </c>
      <c r="C350" s="165"/>
      <c r="D350" s="50"/>
      <c r="E350" s="50"/>
      <c r="F350" s="50"/>
      <c r="G350" s="166"/>
      <c r="H350" s="155">
        <f>SUM(H338:H349)</f>
        <v>151.68</v>
      </c>
      <c r="I350" s="152"/>
    </row>
    <row r="351" spans="1:16" ht="18" customHeight="1">
      <c r="B351" s="156" t="s">
        <v>359</v>
      </c>
      <c r="C351" s="157"/>
      <c r="D351" s="250">
        <f>SUMPRODUCT(G26:G30)*8+SUMPRODUCT(G35:G37)*8+SUMPRODUCT(G116:G118)*8+SUMPRODUCT(G123:G125)*8</f>
        <v>16</v>
      </c>
      <c r="E351" s="148"/>
      <c r="F351" s="148"/>
      <c r="G351" s="148">
        <v>1.26</v>
      </c>
      <c r="H351" s="154">
        <f>ROUND(D351*G351,2)</f>
        <v>20.16</v>
      </c>
      <c r="I351" s="247" t="s">
        <v>386</v>
      </c>
    </row>
    <row r="352" spans="1:16" ht="18" customHeight="1">
      <c r="B352" s="156" t="s">
        <v>360</v>
      </c>
      <c r="C352" s="157"/>
      <c r="D352" s="250">
        <f>G26*4+G27*4+G28*4+G29*4+G30*4</f>
        <v>0</v>
      </c>
      <c r="E352" s="148"/>
      <c r="F352" s="148"/>
      <c r="G352" s="148">
        <v>2</v>
      </c>
      <c r="H352" s="154">
        <f>ROUND(D352*G352,2)</f>
        <v>0</v>
      </c>
      <c r="I352" s="247" t="s">
        <v>361</v>
      </c>
    </row>
    <row r="353" spans="1:22" ht="18" customHeight="1">
      <c r="B353" s="156" t="s">
        <v>249</v>
      </c>
      <c r="C353" s="157"/>
      <c r="D353" s="250"/>
      <c r="E353" s="148"/>
      <c r="F353" s="148"/>
      <c r="G353" s="148">
        <v>1.6</v>
      </c>
      <c r="H353" s="154"/>
      <c r="I353" s="247"/>
    </row>
    <row r="354" spans="1:22" ht="18" customHeight="1">
      <c r="B354" s="156" t="s">
        <v>250</v>
      </c>
      <c r="C354" s="157"/>
      <c r="D354" s="44">
        <f>C22+C31+C38+C48+C56+C64+C112+C119+C126+C133+C139+C199</f>
        <v>34.533999999999999</v>
      </c>
      <c r="E354" s="148"/>
      <c r="F354" s="148"/>
      <c r="G354" s="179">
        <v>4</v>
      </c>
      <c r="H354" s="154">
        <f t="shared" ref="H354:H356" si="57">ROUND(D354*G354,2)</f>
        <v>138.13999999999999</v>
      </c>
      <c r="I354" s="247"/>
    </row>
    <row r="355" spans="1:22" ht="18" customHeight="1">
      <c r="B355" s="156" t="s">
        <v>251</v>
      </c>
      <c r="C355" s="157" t="s">
        <v>252</v>
      </c>
      <c r="D355" s="44">
        <f>C88+C163</f>
        <v>34.675333333333327</v>
      </c>
      <c r="E355" s="148"/>
      <c r="F355" s="148"/>
      <c r="G355" s="179">
        <v>3.15</v>
      </c>
      <c r="H355" s="154">
        <f t="shared" si="57"/>
        <v>109.23</v>
      </c>
      <c r="I355" s="247"/>
    </row>
    <row r="356" spans="1:22" ht="18" customHeight="1">
      <c r="B356" s="156" t="s">
        <v>253</v>
      </c>
      <c r="C356" s="157" t="s">
        <v>254</v>
      </c>
      <c r="D356" s="44">
        <f>C97+C104+C146+C153</f>
        <v>3.484</v>
      </c>
      <c r="E356" s="148"/>
      <c r="F356" s="148"/>
      <c r="G356" s="179">
        <v>3.65</v>
      </c>
      <c r="H356" s="154">
        <f t="shared" si="57"/>
        <v>12.72</v>
      </c>
      <c r="I356" s="247"/>
    </row>
    <row r="357" spans="1:22" ht="18" customHeight="1">
      <c r="B357" s="156" t="s">
        <v>387</v>
      </c>
      <c r="C357" s="157"/>
      <c r="D357" s="44">
        <f>F291+F292</f>
        <v>15</v>
      </c>
      <c r="E357" s="148"/>
      <c r="F357" s="148"/>
      <c r="G357" s="179">
        <v>6</v>
      </c>
      <c r="H357" s="154"/>
      <c r="I357" s="247"/>
    </row>
    <row r="358" spans="1:22" ht="18" customHeight="1">
      <c r="B358" s="156" t="s">
        <v>255</v>
      </c>
      <c r="C358" s="157"/>
      <c r="D358" s="180">
        <f>F14*1.5</f>
        <v>14.370000000000001</v>
      </c>
      <c r="E358" s="148"/>
      <c r="F358" s="148"/>
      <c r="G358" s="148">
        <v>70</v>
      </c>
      <c r="H358" s="154">
        <f>D358*G358</f>
        <v>1005.9000000000001</v>
      </c>
      <c r="I358" s="247"/>
    </row>
    <row r="359" spans="1:22" ht="18" customHeight="1">
      <c r="B359" s="156" t="s">
        <v>858</v>
      </c>
      <c r="C359" s="157"/>
      <c r="D359" s="180">
        <f>D4*3/1000</f>
        <v>6.9</v>
      </c>
      <c r="E359" s="148"/>
      <c r="F359" s="148"/>
      <c r="G359" s="148">
        <v>180</v>
      </c>
      <c r="H359" s="154">
        <f>D359*G359</f>
        <v>1242</v>
      </c>
      <c r="I359" s="247"/>
    </row>
    <row r="360" spans="1:22" ht="18" customHeight="1">
      <c r="B360" s="156" t="s">
        <v>388</v>
      </c>
      <c r="C360" s="157"/>
      <c r="D360" s="250">
        <v>1</v>
      </c>
      <c r="E360" s="148"/>
      <c r="F360" s="148"/>
      <c r="G360" s="148">
        <v>9.6</v>
      </c>
      <c r="H360" s="154">
        <f>ROUND(D360*G360,2)</f>
        <v>9.6</v>
      </c>
      <c r="I360" s="247"/>
    </row>
    <row r="361" spans="1:22" ht="18" customHeight="1">
      <c r="B361" s="156" t="s">
        <v>901</v>
      </c>
      <c r="C361" s="157"/>
      <c r="D361" s="463">
        <f>(D4+E4)*2/1000</f>
        <v>9.9</v>
      </c>
      <c r="E361" s="148"/>
      <c r="F361" s="148"/>
      <c r="G361" s="148">
        <v>45</v>
      </c>
      <c r="H361" s="154">
        <f>ROUND(D361*G361,2)</f>
        <v>445.5</v>
      </c>
      <c r="I361" s="468"/>
    </row>
    <row r="362" spans="1:22" ht="18" customHeight="1">
      <c r="B362" s="181" t="s">
        <v>398</v>
      </c>
      <c r="C362" s="157"/>
      <c r="D362" s="182">
        <f>F366</f>
        <v>5.7534000000000001</v>
      </c>
      <c r="E362" s="148"/>
      <c r="F362" s="148"/>
      <c r="G362" s="148">
        <v>3</v>
      </c>
      <c r="H362" s="154">
        <f>D362*G362</f>
        <v>17.260200000000001</v>
      </c>
      <c r="I362" s="247"/>
    </row>
    <row r="363" spans="1:22" ht="18" customHeight="1">
      <c r="B363" s="150" t="s">
        <v>256</v>
      </c>
      <c r="C363" s="50"/>
      <c r="D363" s="50"/>
      <c r="E363" s="50"/>
      <c r="F363" s="50"/>
      <c r="G363" s="166"/>
      <c r="H363" s="155">
        <f>SUM(H351:H362)</f>
        <v>3000.5102000000002</v>
      </c>
      <c r="I363" s="183"/>
    </row>
    <row r="364" spans="1:22" ht="18" customHeight="1">
      <c r="B364" s="248" t="s">
        <v>257</v>
      </c>
      <c r="C364" s="185"/>
      <c r="D364" s="186"/>
      <c r="E364" s="185"/>
      <c r="F364" s="186"/>
      <c r="G364" s="186"/>
      <c r="H364" s="187">
        <f>SUM(H363,H350,H337,H322,H314,H308,H304)</f>
        <v>4073.6470409999997</v>
      </c>
      <c r="I364" s="188"/>
    </row>
    <row r="365" spans="1:22" ht="18" customHeight="1">
      <c r="A365" s="189"/>
      <c r="B365" s="190" t="s">
        <v>258</v>
      </c>
      <c r="C365" s="10" t="s">
        <v>14</v>
      </c>
      <c r="D365" s="10" t="s">
        <v>16</v>
      </c>
      <c r="E365" s="10" t="s">
        <v>17</v>
      </c>
      <c r="F365" s="10" t="s">
        <v>7</v>
      </c>
      <c r="G365" s="10" t="s">
        <v>5</v>
      </c>
      <c r="H365" s="10" t="s">
        <v>18</v>
      </c>
      <c r="I365" s="191" t="s">
        <v>259</v>
      </c>
      <c r="L365" s="192"/>
      <c r="M365" s="192"/>
    </row>
    <row r="366" spans="1:22" ht="18" customHeight="1">
      <c r="B366" s="48">
        <f>ROUND(I366/F366,2)</f>
        <v>1648.77</v>
      </c>
      <c r="C366" s="50" t="s">
        <v>299</v>
      </c>
      <c r="D366" s="50">
        <f>D5</f>
        <v>2230</v>
      </c>
      <c r="E366" s="50">
        <f>E5</f>
        <v>2580</v>
      </c>
      <c r="F366" s="49">
        <f>E366*D366/1000000</f>
        <v>5.7534000000000001</v>
      </c>
      <c r="G366" s="50">
        <f>G4</f>
        <v>1</v>
      </c>
      <c r="H366" s="49">
        <f>F366</f>
        <v>5.7534000000000001</v>
      </c>
      <c r="I366" s="193">
        <f>H364+H291+H292+I223+I12</f>
        <v>9486.061833066</v>
      </c>
      <c r="K366" s="192"/>
    </row>
    <row r="367" spans="1:22" ht="18" customHeight="1">
      <c r="B367" s="194" t="s">
        <v>258</v>
      </c>
      <c r="C367" s="195" t="s">
        <v>260</v>
      </c>
      <c r="D367" s="195" t="s">
        <v>261</v>
      </c>
      <c r="E367" s="195" t="s">
        <v>262</v>
      </c>
      <c r="F367" s="195" t="s">
        <v>263</v>
      </c>
      <c r="G367" s="195" t="s">
        <v>264</v>
      </c>
      <c r="H367" s="195" t="s">
        <v>265</v>
      </c>
      <c r="I367" s="196" t="s">
        <v>266</v>
      </c>
    </row>
    <row r="368" spans="1:22" ht="30" customHeight="1" thickBot="1">
      <c r="B368" s="197">
        <f>ROUND(I366/H366,2)</f>
        <v>1648.77</v>
      </c>
      <c r="C368" s="198">
        <f>E294+E296+E298+E300+E302+E303+E297+E299</f>
        <v>2</v>
      </c>
      <c r="D368" s="199"/>
      <c r="E368" s="199"/>
      <c r="F368" s="200"/>
      <c r="G368" s="200"/>
      <c r="H368" s="200"/>
      <c r="I368" s="201"/>
      <c r="O368" s="631" t="s">
        <v>603</v>
      </c>
      <c r="P368" s="631"/>
      <c r="Q368" s="631"/>
      <c r="R368" s="631"/>
      <c r="S368" s="631"/>
      <c r="T368" s="631"/>
      <c r="U368" s="631"/>
      <c r="V368" s="631"/>
    </row>
    <row r="369" spans="2:22" ht="20.100000000000001" customHeight="1">
      <c r="B369" s="42"/>
      <c r="L369" s="202"/>
      <c r="M369" s="202"/>
      <c r="N369" s="202"/>
      <c r="O369" s="634" t="s">
        <v>604</v>
      </c>
      <c r="P369" s="634"/>
      <c r="Q369" s="634"/>
      <c r="R369" s="634"/>
      <c r="S369" s="634"/>
      <c r="T369" s="634"/>
      <c r="U369" s="634"/>
      <c r="V369" s="634"/>
    </row>
    <row r="370" spans="2:22" ht="20.100000000000001" customHeight="1">
      <c r="B370" s="102" t="s">
        <v>862</v>
      </c>
      <c r="C370" s="203"/>
      <c r="D370" s="203" t="s">
        <v>267</v>
      </c>
      <c r="E370" s="203"/>
      <c r="J370" s="102"/>
      <c r="O370" s="285" t="s">
        <v>279</v>
      </c>
      <c r="P370" s="624" t="s">
        <v>633</v>
      </c>
      <c r="Q370" s="625"/>
      <c r="R370" s="312" t="str">
        <f ca="1">B4</f>
        <v>C2327</v>
      </c>
      <c r="S370" s="312"/>
      <c r="T370" s="313"/>
      <c r="U370" s="287" t="s">
        <v>605</v>
      </c>
      <c r="V370" s="288"/>
    </row>
    <row r="371" spans="2:22" ht="24.95" customHeight="1">
      <c r="B371" s="102">
        <f>ROUND(I366/F6,2)</f>
        <v>1662.65</v>
      </c>
      <c r="C371" s="203">
        <f>U392</f>
        <v>2009.425173630714</v>
      </c>
      <c r="D371" s="203">
        <f>E304</f>
        <v>2</v>
      </c>
      <c r="E371" s="203"/>
      <c r="J371" s="102"/>
      <c r="O371" s="635" t="s">
        <v>606</v>
      </c>
      <c r="P371" s="623" t="s">
        <v>626</v>
      </c>
      <c r="Q371" s="623"/>
      <c r="R371" s="623"/>
      <c r="S371" s="623"/>
      <c r="T371" s="637"/>
      <c r="U371" s="291" t="s">
        <v>607</v>
      </c>
      <c r="V371" s="292" t="s">
        <v>313</v>
      </c>
    </row>
    <row r="372" spans="2:22" ht="24.95" customHeight="1">
      <c r="L372" s="102"/>
      <c r="M372" s="102"/>
      <c r="N372" s="102"/>
      <c r="O372" s="636"/>
      <c r="P372" s="638"/>
      <c r="Q372" s="638"/>
      <c r="R372" s="638"/>
      <c r="S372" s="638"/>
      <c r="T372" s="638"/>
      <c r="U372" s="291" t="s">
        <v>268</v>
      </c>
      <c r="V372" s="293">
        <f>F4</f>
        <v>6.0949999999999998</v>
      </c>
    </row>
    <row r="373" spans="2:22" ht="24.95" customHeight="1">
      <c r="J373" s="102"/>
      <c r="K373" s="102"/>
      <c r="L373" s="102"/>
      <c r="M373" s="102"/>
      <c r="N373" s="102"/>
      <c r="O373" s="311" t="s">
        <v>0</v>
      </c>
      <c r="P373" s="289" t="s">
        <v>608</v>
      </c>
      <c r="Q373" s="289" t="s">
        <v>627</v>
      </c>
      <c r="R373" s="289" t="s">
        <v>269</v>
      </c>
      <c r="S373" s="294" t="s">
        <v>8</v>
      </c>
      <c r="T373" s="295" t="s">
        <v>609</v>
      </c>
      <c r="U373" s="296" t="s">
        <v>270</v>
      </c>
      <c r="V373" s="295" t="s">
        <v>610</v>
      </c>
    </row>
    <row r="374" spans="2:22" ht="20.100000000000001" customHeight="1">
      <c r="J374" s="102"/>
      <c r="K374" s="102"/>
      <c r="L374" s="102"/>
      <c r="M374" s="102"/>
      <c r="N374" s="102"/>
      <c r="O374" s="297" t="s">
        <v>305</v>
      </c>
      <c r="P374" s="298" t="s">
        <v>611</v>
      </c>
      <c r="Q374" s="298"/>
      <c r="R374" s="286"/>
      <c r="S374" s="299"/>
      <c r="T374" s="300"/>
      <c r="U374" s="301">
        <f>SUM(U375:U383)</f>
        <v>9109.1053610660001</v>
      </c>
      <c r="V374" s="286"/>
    </row>
    <row r="375" spans="2:22" ht="20.100000000000001" customHeight="1">
      <c r="J375" s="102"/>
      <c r="K375" s="102"/>
      <c r="L375" s="102"/>
      <c r="M375" s="102"/>
      <c r="N375" s="102"/>
      <c r="O375" s="286">
        <v>1</v>
      </c>
      <c r="P375" s="302" t="s">
        <v>612</v>
      </c>
      <c r="Q375" s="307"/>
      <c r="R375" s="286" t="s">
        <v>271</v>
      </c>
      <c r="S375" s="303">
        <f>E223</f>
        <v>92.683308000000011</v>
      </c>
      <c r="T375" s="304">
        <f>I223/E223</f>
        <v>48.046027792469388</v>
      </c>
      <c r="U375" s="305">
        <f t="shared" ref="U375:U383" si="58">T375*S375</f>
        <v>4453.0647920660012</v>
      </c>
      <c r="V375" s="306"/>
    </row>
    <row r="376" spans="2:22" ht="20.100000000000001" customHeight="1">
      <c r="J376" s="102"/>
      <c r="K376" s="102"/>
      <c r="L376" s="102"/>
      <c r="M376" s="102"/>
      <c r="N376" s="102"/>
      <c r="O376" s="286">
        <v>2</v>
      </c>
      <c r="P376" s="290" t="s">
        <v>613</v>
      </c>
      <c r="Q376" s="307"/>
      <c r="R376" s="286" t="s">
        <v>276</v>
      </c>
      <c r="S376" s="303">
        <f>D358</f>
        <v>14.370000000000001</v>
      </c>
      <c r="T376" s="304">
        <f>G358</f>
        <v>70</v>
      </c>
      <c r="U376" s="305">
        <f t="shared" si="58"/>
        <v>1005.9000000000001</v>
      </c>
      <c r="V376" s="306"/>
    </row>
    <row r="377" spans="2:22" ht="20.100000000000001" customHeight="1">
      <c r="J377" s="102"/>
      <c r="K377" s="102"/>
      <c r="L377" s="102"/>
      <c r="M377" s="102"/>
      <c r="N377" s="102"/>
      <c r="O377" s="286">
        <v>3</v>
      </c>
      <c r="P377" s="302" t="s">
        <v>614</v>
      </c>
      <c r="Q377" s="302"/>
      <c r="R377" s="286" t="s">
        <v>312</v>
      </c>
      <c r="S377" s="303">
        <f>D291+D292</f>
        <v>5.5296859999999999</v>
      </c>
      <c r="T377" s="304">
        <f>材料价格!B10</f>
        <v>148</v>
      </c>
      <c r="U377" s="305">
        <f t="shared" si="58"/>
        <v>818.39352799999995</v>
      </c>
      <c r="V377" s="306"/>
    </row>
    <row r="378" spans="2:22" ht="20.100000000000001" customHeight="1">
      <c r="B378" s="630" t="s">
        <v>277</v>
      </c>
      <c r="C378" s="630"/>
      <c r="D378" s="630"/>
      <c r="E378" s="630"/>
      <c r="F378" s="630"/>
      <c r="G378" s="630"/>
      <c r="H378" s="630"/>
      <c r="I378" s="630"/>
      <c r="J378" s="102"/>
      <c r="K378" s="102"/>
      <c r="L378" s="102"/>
      <c r="M378" s="102"/>
      <c r="N378" s="102"/>
      <c r="O378" s="286">
        <v>4</v>
      </c>
      <c r="P378" s="302" t="s">
        <v>615</v>
      </c>
      <c r="Q378" s="306"/>
      <c r="R378" s="286" t="s">
        <v>278</v>
      </c>
      <c r="S378" s="303">
        <f>(H316+H317+H319+H320+H321)/F316</f>
        <v>16.992957746478876</v>
      </c>
      <c r="T378" s="304">
        <f>材料价格!B25</f>
        <v>8.52</v>
      </c>
      <c r="U378" s="305">
        <f t="shared" si="58"/>
        <v>144.78</v>
      </c>
      <c r="V378" s="306"/>
    </row>
    <row r="379" spans="2:22" ht="20.100000000000001" customHeight="1">
      <c r="B379" s="204" t="s">
        <v>279</v>
      </c>
      <c r="C379" s="205" t="s">
        <v>280</v>
      </c>
      <c r="D379" s="205" t="s">
        <v>281</v>
      </c>
      <c r="E379" s="205" t="s">
        <v>282</v>
      </c>
      <c r="F379" s="205" t="s">
        <v>379</v>
      </c>
      <c r="G379" s="205"/>
      <c r="H379" s="205" t="s">
        <v>28</v>
      </c>
      <c r="I379" s="205" t="s">
        <v>259</v>
      </c>
      <c r="J379" s="102"/>
      <c r="K379" s="102"/>
      <c r="L379" s="102"/>
      <c r="M379" s="102"/>
      <c r="N379" s="102"/>
      <c r="O379" s="286">
        <v>5</v>
      </c>
      <c r="P379" s="306" t="s">
        <v>616</v>
      </c>
      <c r="Q379" s="302"/>
      <c r="R379" s="286" t="s">
        <v>628</v>
      </c>
      <c r="S379" s="303">
        <f>H337/21</f>
        <v>7.1650876666666665</v>
      </c>
      <c r="T379" s="304">
        <v>21</v>
      </c>
      <c r="U379" s="305">
        <f t="shared" si="58"/>
        <v>150.46684099999999</v>
      </c>
      <c r="V379" s="306"/>
    </row>
    <row r="380" spans="2:22" ht="20.100000000000001" customHeight="1">
      <c r="B380" s="206" t="s">
        <v>284</v>
      </c>
      <c r="C380" s="208" t="s">
        <v>384</v>
      </c>
      <c r="D380" s="207">
        <f>C22+C31+C38+C48+C56+C112+C119+C126+C133+C139+C177+C184+C191+C199</f>
        <v>24.254000000000001</v>
      </c>
      <c r="E380" s="207" t="s">
        <v>383</v>
      </c>
      <c r="F380" s="206"/>
      <c r="G380" s="206"/>
      <c r="H380" s="241">
        <v>2.4</v>
      </c>
      <c r="I380" s="207"/>
      <c r="J380" s="102"/>
      <c r="K380" s="102"/>
      <c r="L380" s="102"/>
      <c r="M380" s="102"/>
      <c r="N380" s="102"/>
      <c r="O380" s="286">
        <v>6</v>
      </c>
      <c r="P380" s="302" t="s">
        <v>319</v>
      </c>
      <c r="Q380" s="302"/>
      <c r="R380" s="286" t="s">
        <v>273</v>
      </c>
      <c r="S380" s="303">
        <f>E298</f>
        <v>2</v>
      </c>
      <c r="T380" s="304">
        <f>材料价格!B16</f>
        <v>88</v>
      </c>
      <c r="U380" s="305">
        <f t="shared" si="58"/>
        <v>176</v>
      </c>
      <c r="V380" s="306"/>
    </row>
    <row r="381" spans="2:22" ht="20.100000000000001" customHeight="1">
      <c r="B381" s="206" t="s">
        <v>286</v>
      </c>
      <c r="C381" s="206" t="s">
        <v>287</v>
      </c>
      <c r="D381" s="209">
        <f>(J22+J31+J38+J48+J112+J119+J126)*4+(J56+J133)*2</f>
        <v>40</v>
      </c>
      <c r="E381" s="207" t="s">
        <v>285</v>
      </c>
      <c r="F381" s="206"/>
      <c r="G381" s="206"/>
      <c r="H381" s="241">
        <v>0.5</v>
      </c>
      <c r="I381" s="207">
        <f>H381*D381</f>
        <v>20</v>
      </c>
      <c r="J381" s="102"/>
      <c r="K381" s="102"/>
      <c r="L381" s="102"/>
      <c r="M381" s="102"/>
      <c r="N381" s="102"/>
      <c r="O381" s="286">
        <v>7</v>
      </c>
      <c r="P381" s="302" t="s">
        <v>295</v>
      </c>
      <c r="Q381" s="302"/>
      <c r="R381" s="286" t="s">
        <v>273</v>
      </c>
      <c r="S381" s="303"/>
      <c r="T381" s="304">
        <f>材料价格!B19</f>
        <v>230</v>
      </c>
      <c r="U381" s="305">
        <f t="shared" si="58"/>
        <v>0</v>
      </c>
      <c r="V381" s="306"/>
    </row>
    <row r="382" spans="2:22" ht="20.100000000000001" customHeight="1">
      <c r="B382" s="206" t="s">
        <v>289</v>
      </c>
      <c r="C382" s="206"/>
      <c r="D382" s="210">
        <f>ROUND((C22+C56*2+C64*2+C112+C133*2+C139*2)/0.3,0)+2</f>
        <v>137</v>
      </c>
      <c r="E382" s="207" t="s">
        <v>285</v>
      </c>
      <c r="F382" s="206"/>
      <c r="G382" s="206"/>
      <c r="H382" s="241">
        <v>0.3</v>
      </c>
      <c r="I382" s="207">
        <f t="shared" ref="I382:I387" si="59">H382*D382</f>
        <v>41.1</v>
      </c>
      <c r="J382" s="102"/>
      <c r="K382" s="102"/>
      <c r="L382" s="102"/>
      <c r="M382" s="102"/>
      <c r="N382" s="102"/>
      <c r="O382" s="286">
        <v>8</v>
      </c>
      <c r="P382" s="302" t="s">
        <v>296</v>
      </c>
      <c r="Q382" s="302"/>
      <c r="R382" s="286" t="s">
        <v>273</v>
      </c>
      <c r="S382" s="303">
        <f>E303</f>
        <v>0</v>
      </c>
      <c r="T382" s="304">
        <f>材料价格!B20</f>
        <v>335</v>
      </c>
      <c r="U382" s="305">
        <f t="shared" si="58"/>
        <v>0</v>
      </c>
      <c r="V382" s="306"/>
    </row>
    <row r="383" spans="2:22" ht="20.100000000000001" customHeight="1">
      <c r="B383" s="206" t="s">
        <v>381</v>
      </c>
      <c r="C383" s="206" t="s">
        <v>389</v>
      </c>
      <c r="D383" s="211">
        <f>C22+C31+C38+C56*2+C64*2+C112+C119+C126+C133*2</f>
        <v>45.06</v>
      </c>
      <c r="E383" s="207" t="s">
        <v>285</v>
      </c>
      <c r="F383" s="206" t="s">
        <v>380</v>
      </c>
      <c r="G383" s="206"/>
      <c r="H383" s="241">
        <v>2.81</v>
      </c>
      <c r="I383" s="207">
        <f>H383*D383</f>
        <v>126.61860000000001</v>
      </c>
      <c r="J383" s="102"/>
      <c r="K383" s="102"/>
      <c r="L383" s="102"/>
      <c r="M383" s="102"/>
      <c r="N383" s="102"/>
      <c r="O383" s="286">
        <v>9</v>
      </c>
      <c r="P383" s="302" t="s">
        <v>617</v>
      </c>
      <c r="Q383" s="302"/>
      <c r="R383" s="286" t="s">
        <v>618</v>
      </c>
      <c r="S383" s="296">
        <v>1</v>
      </c>
      <c r="T383" s="304">
        <f>H363-H358+H350+H318+H315+H314</f>
        <v>2360.5001999999999</v>
      </c>
      <c r="U383" s="305">
        <f t="shared" si="58"/>
        <v>2360.5001999999999</v>
      </c>
      <c r="V383" s="306"/>
    </row>
    <row r="384" spans="2:22" ht="20.100000000000001" customHeight="1">
      <c r="B384" s="206" t="s">
        <v>390</v>
      </c>
      <c r="C384" s="206" t="s">
        <v>392</v>
      </c>
      <c r="D384" s="211">
        <f>C22+C88+C112+C163</f>
        <v>44.255333333333326</v>
      </c>
      <c r="E384" s="207" t="s">
        <v>285</v>
      </c>
      <c r="F384" s="206" t="s">
        <v>394</v>
      </c>
      <c r="G384" s="206"/>
      <c r="H384" s="241">
        <v>3.27</v>
      </c>
      <c r="I384" s="207">
        <f t="shared" ref="I384" si="60">H384*D384</f>
        <v>144.71493999999998</v>
      </c>
      <c r="J384" s="102"/>
      <c r="K384" s="102"/>
      <c r="L384" s="102"/>
      <c r="M384" s="102"/>
      <c r="N384" s="102"/>
      <c r="O384" s="297" t="s">
        <v>306</v>
      </c>
      <c r="P384" s="308" t="s">
        <v>314</v>
      </c>
      <c r="Q384" s="298"/>
      <c r="R384" s="286"/>
      <c r="S384" s="296"/>
      <c r="T384" s="309"/>
      <c r="U384" s="301">
        <f>SUM(U385:U386)</f>
        <v>975.2</v>
      </c>
      <c r="V384" s="286"/>
    </row>
    <row r="385" spans="2:22" ht="20.100000000000001" customHeight="1">
      <c r="B385" s="206" t="s">
        <v>391</v>
      </c>
      <c r="C385" s="206" t="s">
        <v>393</v>
      </c>
      <c r="D385" s="211">
        <f>(C97+C104+C119+C126)*2</f>
        <v>6.968</v>
      </c>
      <c r="E385" s="207" t="s">
        <v>285</v>
      </c>
      <c r="F385" s="206" t="s">
        <v>395</v>
      </c>
      <c r="G385" s="206"/>
      <c r="H385" s="241">
        <v>1.74</v>
      </c>
      <c r="I385" s="207">
        <f t="shared" si="59"/>
        <v>12.124319999999999</v>
      </c>
      <c r="J385" s="102"/>
      <c r="K385" s="102"/>
      <c r="L385" s="102"/>
      <c r="M385" s="102"/>
      <c r="N385" s="102"/>
      <c r="O385" s="286">
        <v>1</v>
      </c>
      <c r="P385" s="307" t="s">
        <v>619</v>
      </c>
      <c r="Q385" s="307"/>
      <c r="R385" s="300" t="s">
        <v>312</v>
      </c>
      <c r="S385" s="296">
        <f>V372</f>
        <v>6.0949999999999998</v>
      </c>
      <c r="T385" s="310">
        <v>60</v>
      </c>
      <c r="U385" s="305">
        <f>T385*S385</f>
        <v>365.7</v>
      </c>
      <c r="V385" s="286"/>
    </row>
    <row r="386" spans="2:22" ht="20.100000000000001" customHeight="1">
      <c r="B386" s="208" t="s">
        <v>382</v>
      </c>
      <c r="C386" s="206" t="s">
        <v>291</v>
      </c>
      <c r="D386" s="211">
        <f>D338+D339+D341</f>
        <v>10</v>
      </c>
      <c r="E386" s="207" t="s">
        <v>285</v>
      </c>
      <c r="F386" s="206"/>
      <c r="G386" s="206"/>
      <c r="H386" s="241">
        <v>0.56999999999999995</v>
      </c>
      <c r="I386" s="207">
        <f>H386*D386</f>
        <v>5.6999999999999993</v>
      </c>
      <c r="J386" s="102"/>
      <c r="K386" s="102"/>
      <c r="L386" s="102"/>
      <c r="M386" s="102"/>
      <c r="N386" s="102"/>
      <c r="O386" s="286">
        <v>2</v>
      </c>
      <c r="P386" s="307" t="s">
        <v>288</v>
      </c>
      <c r="Q386" s="307"/>
      <c r="R386" s="300" t="s">
        <v>312</v>
      </c>
      <c r="S386" s="296">
        <f>V372</f>
        <v>6.0949999999999998</v>
      </c>
      <c r="T386" s="310">
        <v>100</v>
      </c>
      <c r="U386" s="305">
        <f>T386*S386</f>
        <v>609.5</v>
      </c>
      <c r="V386" s="286"/>
    </row>
    <row r="387" spans="2:22" ht="20.100000000000001" customHeight="1">
      <c r="B387" s="206" t="s">
        <v>292</v>
      </c>
      <c r="C387" s="206"/>
      <c r="D387" s="211">
        <f>H366</f>
        <v>5.7534000000000001</v>
      </c>
      <c r="E387" s="207" t="s">
        <v>285</v>
      </c>
      <c r="F387" s="206"/>
      <c r="G387" s="206"/>
      <c r="H387" s="241">
        <v>20</v>
      </c>
      <c r="I387" s="207">
        <f t="shared" si="59"/>
        <v>115.068</v>
      </c>
      <c r="J387" s="102"/>
      <c r="K387" s="102"/>
      <c r="L387" s="102"/>
      <c r="M387" s="102"/>
      <c r="N387" s="102"/>
      <c r="O387" s="297" t="s">
        <v>307</v>
      </c>
      <c r="P387" s="308" t="s">
        <v>290</v>
      </c>
      <c r="Q387" s="298"/>
      <c r="R387" s="286"/>
      <c r="S387" s="296"/>
      <c r="T387" s="309"/>
      <c r="U387" s="301">
        <f>SUM(U388)</f>
        <v>121.89999999999999</v>
      </c>
      <c r="V387" s="286"/>
    </row>
    <row r="388" spans="2:22" ht="20.100000000000001" customHeight="1">
      <c r="B388" s="212" t="s">
        <v>4</v>
      </c>
      <c r="C388" s="213"/>
      <c r="D388" s="212"/>
      <c r="E388" s="212"/>
      <c r="F388" s="212"/>
      <c r="G388" s="212"/>
      <c r="H388" s="212"/>
      <c r="I388" s="213">
        <f>SUM(I380:I387)</f>
        <v>465.32585999999998</v>
      </c>
      <c r="J388" s="242"/>
      <c r="K388" s="102"/>
      <c r="L388" s="102"/>
      <c r="M388" s="102"/>
      <c r="N388" s="102"/>
      <c r="O388" s="286">
        <v>1</v>
      </c>
      <c r="P388" s="307" t="s">
        <v>290</v>
      </c>
      <c r="Q388" s="307"/>
      <c r="R388" s="300" t="s">
        <v>312</v>
      </c>
      <c r="S388" s="296">
        <f>V372</f>
        <v>6.0949999999999998</v>
      </c>
      <c r="T388" s="310">
        <v>20</v>
      </c>
      <c r="U388" s="305">
        <f>T388*S388</f>
        <v>121.89999999999999</v>
      </c>
      <c r="V388" s="286"/>
    </row>
    <row r="389" spans="2:22" ht="20.100000000000001" customHeight="1">
      <c r="J389" s="102"/>
      <c r="K389" s="102"/>
      <c r="L389" s="102"/>
      <c r="M389" s="102"/>
      <c r="N389" s="102"/>
      <c r="O389" s="286" t="s">
        <v>308</v>
      </c>
      <c r="P389" s="618" t="s">
        <v>620</v>
      </c>
      <c r="Q389" s="619"/>
      <c r="R389" s="620"/>
      <c r="S389" s="621"/>
      <c r="T389" s="622"/>
      <c r="U389" s="301">
        <f>U374+U384+U387</f>
        <v>10206.205361066</v>
      </c>
      <c r="V389" s="286"/>
    </row>
    <row r="390" spans="2:22" ht="20.100000000000001" customHeight="1">
      <c r="J390" s="102"/>
      <c r="K390" s="102"/>
      <c r="L390" s="102"/>
      <c r="M390" s="102"/>
      <c r="N390" s="102"/>
      <c r="O390" s="286" t="s">
        <v>309</v>
      </c>
      <c r="P390" s="618" t="s">
        <v>621</v>
      </c>
      <c r="Q390" s="619"/>
      <c r="R390" s="626">
        <v>0.2</v>
      </c>
      <c r="S390" s="627"/>
      <c r="T390" s="628"/>
      <c r="U390" s="301">
        <f>U389*R390</f>
        <v>2041.2410722132001</v>
      </c>
      <c r="V390" s="286"/>
    </row>
    <row r="391" spans="2:22" ht="20.100000000000001" customHeight="1">
      <c r="J391" s="102"/>
      <c r="K391" s="102"/>
      <c r="L391" s="102"/>
      <c r="M391" s="102"/>
      <c r="N391" s="102"/>
      <c r="O391" s="286" t="s">
        <v>310</v>
      </c>
      <c r="P391" s="618" t="s">
        <v>622</v>
      </c>
      <c r="Q391" s="619"/>
      <c r="R391" s="620"/>
      <c r="S391" s="621"/>
      <c r="T391" s="622"/>
      <c r="U391" s="301">
        <f>U389+U390</f>
        <v>12247.446433279201</v>
      </c>
      <c r="V391" s="286"/>
    </row>
    <row r="392" spans="2:22" ht="30" customHeight="1">
      <c r="L392" s="102"/>
      <c r="M392" s="102"/>
      <c r="N392" s="102"/>
      <c r="O392" s="297" t="s">
        <v>311</v>
      </c>
      <c r="P392" s="618" t="s">
        <v>623</v>
      </c>
      <c r="Q392" s="619"/>
      <c r="R392" s="620"/>
      <c r="S392" s="621"/>
      <c r="T392" s="622"/>
      <c r="U392" s="301">
        <f>U391/V372</f>
        <v>2009.425173630714</v>
      </c>
      <c r="V392" s="286" t="s">
        <v>624</v>
      </c>
    </row>
    <row r="393" spans="2:22" ht="45" customHeight="1">
      <c r="L393" s="102"/>
      <c r="M393" s="102"/>
      <c r="N393" s="102"/>
      <c r="O393" s="623" t="s">
        <v>625</v>
      </c>
      <c r="P393" s="623"/>
      <c r="Q393" s="623"/>
      <c r="R393" s="623"/>
      <c r="S393" s="623"/>
      <c r="T393" s="623"/>
      <c r="U393" s="623"/>
      <c r="V393" s="623"/>
    </row>
    <row r="394" spans="2:22" ht="18" customHeight="1">
      <c r="L394" s="102"/>
      <c r="M394" s="102"/>
      <c r="N394" s="102"/>
      <c r="O394" s="102"/>
      <c r="P394" s="102"/>
    </row>
    <row r="395" spans="2:22">
      <c r="L395" s="102"/>
      <c r="M395" s="102"/>
      <c r="N395" s="102"/>
      <c r="O395" s="102"/>
      <c r="P395" s="102"/>
    </row>
    <row r="396" spans="2:22">
      <c r="L396" s="102"/>
      <c r="M396" s="102"/>
      <c r="N396" s="102"/>
      <c r="O396" s="102"/>
      <c r="P396" s="102"/>
    </row>
    <row r="397" spans="2:22">
      <c r="L397" s="102"/>
      <c r="M397" s="102"/>
      <c r="N397" s="102"/>
      <c r="O397" s="102"/>
      <c r="P397" s="102"/>
    </row>
    <row r="398" spans="2:22">
      <c r="L398" s="102"/>
      <c r="M398" s="102"/>
      <c r="N398" s="102"/>
      <c r="O398" s="102"/>
      <c r="P398" s="102"/>
    </row>
    <row r="399" spans="2:22">
      <c r="L399" s="102"/>
      <c r="M399" s="102"/>
      <c r="N399" s="102"/>
      <c r="O399" s="102"/>
      <c r="P399" s="102"/>
    </row>
    <row r="400" spans="2:22">
      <c r="L400" s="102"/>
      <c r="M400" s="102"/>
      <c r="N400" s="102"/>
      <c r="O400" s="102"/>
      <c r="P400" s="102"/>
    </row>
    <row r="401" spans="12:16">
      <c r="L401" s="102"/>
      <c r="M401" s="102"/>
      <c r="N401" s="102"/>
      <c r="O401" s="102"/>
      <c r="P401" s="102"/>
    </row>
    <row r="402" spans="12:16">
      <c r="L402" s="102"/>
      <c r="M402" s="102"/>
      <c r="N402" s="102"/>
      <c r="O402" s="102"/>
      <c r="P402" s="102"/>
    </row>
    <row r="403" spans="12:16">
      <c r="L403" s="102"/>
      <c r="M403" s="102"/>
      <c r="N403" s="102"/>
      <c r="O403" s="102"/>
      <c r="P403" s="102"/>
    </row>
    <row r="404" spans="12:16">
      <c r="L404" s="102"/>
      <c r="M404" s="102"/>
      <c r="N404" s="102"/>
      <c r="O404" s="102"/>
      <c r="P404" s="102"/>
    </row>
    <row r="405" spans="12:16">
      <c r="L405" s="102"/>
      <c r="M405" s="102"/>
      <c r="N405" s="102"/>
      <c r="O405" s="102"/>
      <c r="P405" s="102"/>
    </row>
    <row r="406" spans="12:16">
      <c r="L406" s="102"/>
      <c r="M406" s="102"/>
      <c r="N406" s="102"/>
      <c r="O406" s="102"/>
      <c r="P406" s="102"/>
    </row>
    <row r="407" spans="12:16">
      <c r="L407" s="102"/>
      <c r="M407" s="102"/>
      <c r="N407" s="102"/>
      <c r="O407" s="102"/>
      <c r="P407" s="102"/>
    </row>
    <row r="408" spans="12:16">
      <c r="L408" s="102"/>
      <c r="M408" s="102"/>
      <c r="N408" s="102"/>
      <c r="O408" s="102"/>
      <c r="P408" s="102"/>
    </row>
    <row r="409" spans="12:16">
      <c r="L409" s="102"/>
      <c r="M409" s="102"/>
      <c r="N409" s="102"/>
      <c r="O409" s="102"/>
      <c r="P409" s="102"/>
    </row>
    <row r="410" spans="12:16">
      <c r="L410" s="102"/>
      <c r="M410" s="102"/>
      <c r="N410" s="102"/>
      <c r="O410" s="102"/>
      <c r="P410" s="102"/>
    </row>
    <row r="411" spans="12:16">
      <c r="L411" s="102"/>
      <c r="M411" s="102"/>
      <c r="N411" s="102"/>
      <c r="O411" s="102"/>
      <c r="P411" s="102"/>
    </row>
    <row r="412" spans="12:16">
      <c r="L412" s="102"/>
      <c r="M412" s="102"/>
      <c r="N412" s="102"/>
      <c r="O412" s="102"/>
      <c r="P412" s="102"/>
    </row>
    <row r="413" spans="12:16">
      <c r="L413" s="102"/>
      <c r="M413" s="102"/>
      <c r="N413" s="102"/>
      <c r="O413" s="102"/>
      <c r="P413" s="102"/>
    </row>
    <row r="414" spans="12:16">
      <c r="L414" s="102"/>
      <c r="M414" s="102"/>
      <c r="N414" s="102"/>
      <c r="O414" s="102"/>
      <c r="P414" s="102"/>
    </row>
    <row r="415" spans="12:16">
      <c r="L415" s="102"/>
      <c r="M415" s="102"/>
      <c r="N415" s="102"/>
      <c r="O415" s="102"/>
      <c r="P415" s="102"/>
    </row>
    <row r="416" spans="12:16">
      <c r="L416" s="102"/>
      <c r="M416" s="102"/>
      <c r="N416" s="102"/>
      <c r="O416" s="102"/>
      <c r="P416" s="102"/>
    </row>
    <row r="417" spans="10:16">
      <c r="L417" s="102"/>
      <c r="M417" s="102"/>
      <c r="N417" s="102"/>
      <c r="O417" s="102"/>
      <c r="P417" s="102"/>
    </row>
    <row r="418" spans="10:16">
      <c r="L418" s="102"/>
      <c r="M418" s="102"/>
      <c r="N418" s="102"/>
      <c r="O418" s="102"/>
      <c r="P418" s="102"/>
    </row>
    <row r="419" spans="10:16">
      <c r="L419" s="102"/>
      <c r="M419" s="102"/>
      <c r="N419" s="102"/>
      <c r="O419" s="102"/>
      <c r="P419" s="102"/>
    </row>
    <row r="420" spans="10:16">
      <c r="L420" s="102"/>
      <c r="M420" s="102"/>
      <c r="N420" s="102"/>
      <c r="O420" s="102"/>
      <c r="P420" s="102"/>
    </row>
    <row r="421" spans="10:16">
      <c r="L421" s="102"/>
      <c r="M421" s="102"/>
      <c r="N421" s="102"/>
      <c r="O421" s="102"/>
      <c r="P421" s="102"/>
    </row>
    <row r="422" spans="10:16">
      <c r="L422" s="102"/>
      <c r="M422" s="102"/>
      <c r="N422" s="102"/>
      <c r="O422" s="102"/>
      <c r="P422" s="102"/>
    </row>
    <row r="423" spans="10:16">
      <c r="L423" s="102"/>
      <c r="M423" s="102"/>
      <c r="N423" s="102"/>
      <c r="O423" s="102"/>
      <c r="P423" s="102"/>
    </row>
    <row r="424" spans="10:16">
      <c r="L424" s="102"/>
      <c r="M424" s="102"/>
      <c r="N424" s="102"/>
      <c r="O424" s="102"/>
      <c r="P424" s="102"/>
    </row>
    <row r="425" spans="10:16">
      <c r="L425" s="102"/>
      <c r="M425" s="102"/>
      <c r="N425" s="102"/>
      <c r="O425" s="102"/>
      <c r="P425" s="102"/>
    </row>
    <row r="426" spans="10:16">
      <c r="L426" s="102"/>
      <c r="M426" s="102"/>
      <c r="N426" s="102"/>
      <c r="O426" s="102"/>
      <c r="P426" s="102"/>
    </row>
    <row r="427" spans="10:16">
      <c r="J427" s="102"/>
      <c r="K427" s="102"/>
      <c r="L427" s="102"/>
      <c r="M427" s="102"/>
      <c r="N427" s="102"/>
      <c r="O427" s="102"/>
      <c r="P427" s="102"/>
    </row>
    <row r="428" spans="10:16">
      <c r="J428" s="102"/>
      <c r="K428" s="102"/>
      <c r="L428" s="102"/>
      <c r="M428" s="102"/>
      <c r="N428" s="102"/>
      <c r="O428" s="102"/>
      <c r="P428" s="102"/>
    </row>
    <row r="429" spans="10:16">
      <c r="J429" s="102"/>
      <c r="K429" s="102"/>
      <c r="L429" s="102"/>
      <c r="M429" s="102"/>
      <c r="N429" s="102"/>
      <c r="O429" s="102"/>
      <c r="P429" s="102"/>
    </row>
    <row r="430" spans="10:16">
      <c r="J430" s="102"/>
      <c r="K430" s="102"/>
      <c r="L430" s="102"/>
      <c r="M430" s="102"/>
      <c r="N430" s="102"/>
      <c r="O430" s="102"/>
      <c r="P430" s="102"/>
    </row>
    <row r="431" spans="10:16">
      <c r="J431" s="102"/>
      <c r="K431" s="102"/>
      <c r="L431" s="102"/>
      <c r="M431" s="102"/>
      <c r="N431" s="102"/>
      <c r="O431" s="102"/>
      <c r="P431" s="102"/>
    </row>
    <row r="432" spans="10:16">
      <c r="J432" s="102"/>
      <c r="K432" s="102"/>
      <c r="L432" s="102"/>
      <c r="M432" s="102"/>
      <c r="N432" s="102"/>
      <c r="O432" s="102"/>
      <c r="P432" s="102"/>
    </row>
    <row r="433" spans="10:16">
      <c r="J433" s="102"/>
      <c r="K433" s="102"/>
      <c r="L433" s="102"/>
      <c r="M433" s="102"/>
      <c r="N433" s="102"/>
      <c r="O433" s="102"/>
      <c r="P433" s="102"/>
    </row>
    <row r="434" spans="10:16">
      <c r="J434" s="102"/>
      <c r="K434" s="102"/>
      <c r="L434" s="102"/>
      <c r="M434" s="102"/>
      <c r="N434" s="102"/>
      <c r="O434" s="102"/>
      <c r="P434" s="102"/>
    </row>
    <row r="435" spans="10:16">
      <c r="J435" s="102"/>
      <c r="K435" s="102"/>
      <c r="L435" s="102"/>
      <c r="M435" s="102"/>
      <c r="N435" s="102"/>
      <c r="O435" s="102"/>
      <c r="P435" s="102"/>
    </row>
    <row r="436" spans="10:16">
      <c r="J436" s="102"/>
      <c r="K436" s="102"/>
      <c r="L436" s="102"/>
      <c r="M436" s="102"/>
      <c r="N436" s="102"/>
      <c r="O436" s="102"/>
      <c r="P436" s="102"/>
    </row>
    <row r="437" spans="10:16">
      <c r="J437" s="102"/>
      <c r="K437" s="102"/>
      <c r="L437" s="102"/>
      <c r="M437" s="102"/>
      <c r="N437" s="102"/>
      <c r="O437" s="102"/>
      <c r="P437" s="102"/>
    </row>
    <row r="438" spans="10:16">
      <c r="J438" s="102"/>
      <c r="K438" s="102"/>
      <c r="L438" s="102"/>
      <c r="M438" s="102"/>
      <c r="N438" s="102"/>
      <c r="O438" s="102"/>
      <c r="P438" s="102"/>
    </row>
    <row r="439" spans="10:16">
      <c r="J439" s="102"/>
      <c r="K439" s="102"/>
      <c r="L439" s="102"/>
      <c r="M439" s="102"/>
      <c r="N439" s="102"/>
      <c r="O439" s="102"/>
      <c r="P439" s="102"/>
    </row>
    <row r="440" spans="10:16">
      <c r="J440" s="102"/>
      <c r="K440" s="102"/>
      <c r="L440" s="102"/>
      <c r="M440" s="102"/>
      <c r="N440" s="102"/>
      <c r="O440" s="102"/>
      <c r="P440" s="102"/>
    </row>
    <row r="441" spans="10:16">
      <c r="J441" s="102"/>
      <c r="K441" s="102"/>
      <c r="L441" s="102"/>
      <c r="M441" s="102"/>
      <c r="N441" s="102"/>
      <c r="O441" s="102"/>
      <c r="P441" s="102"/>
    </row>
    <row r="442" spans="10:16">
      <c r="J442" s="102"/>
      <c r="K442" s="102"/>
      <c r="L442" s="102"/>
      <c r="M442" s="102"/>
      <c r="N442" s="102"/>
      <c r="O442" s="102"/>
      <c r="P442" s="102"/>
    </row>
    <row r="443" spans="10:16">
      <c r="J443" s="102"/>
      <c r="K443" s="102"/>
      <c r="L443" s="102"/>
      <c r="M443" s="102"/>
      <c r="N443" s="102"/>
      <c r="O443" s="102"/>
      <c r="P443" s="102"/>
    </row>
    <row r="444" spans="10:16">
      <c r="J444" s="102"/>
      <c r="K444" s="102"/>
      <c r="L444" s="102"/>
      <c r="M444" s="102"/>
      <c r="N444" s="102"/>
      <c r="O444" s="102"/>
      <c r="P444" s="102"/>
    </row>
    <row r="445" spans="10:16">
      <c r="J445" s="102"/>
      <c r="K445" s="102"/>
      <c r="L445" s="102"/>
      <c r="M445" s="102"/>
      <c r="N445" s="102"/>
      <c r="O445" s="102"/>
      <c r="P445" s="102"/>
    </row>
    <row r="446" spans="10:16">
      <c r="J446" s="102"/>
      <c r="K446" s="102"/>
      <c r="L446" s="102"/>
      <c r="M446" s="102"/>
      <c r="N446" s="102"/>
      <c r="O446" s="102"/>
      <c r="P446" s="102"/>
    </row>
    <row r="447" spans="10:16">
      <c r="J447" s="102"/>
      <c r="K447" s="102"/>
      <c r="L447" s="102"/>
      <c r="M447" s="102"/>
      <c r="N447" s="102"/>
      <c r="O447" s="102"/>
      <c r="P447" s="102"/>
    </row>
    <row r="448" spans="10:16">
      <c r="J448" s="102"/>
      <c r="K448" s="102"/>
      <c r="L448" s="102"/>
      <c r="M448" s="102"/>
      <c r="N448" s="102"/>
      <c r="O448" s="102"/>
      <c r="P448" s="102"/>
    </row>
    <row r="449" spans="10:16">
      <c r="J449" s="102"/>
      <c r="K449" s="102"/>
      <c r="L449" s="102"/>
      <c r="M449" s="102"/>
      <c r="N449" s="102"/>
      <c r="O449" s="102"/>
      <c r="P449" s="102"/>
    </row>
    <row r="450" spans="10:16">
      <c r="J450" s="102"/>
      <c r="K450" s="102"/>
      <c r="L450" s="102"/>
      <c r="M450" s="102"/>
      <c r="N450" s="102"/>
      <c r="O450" s="102"/>
      <c r="P450" s="102"/>
    </row>
    <row r="451" spans="10:16">
      <c r="J451" s="102"/>
      <c r="K451" s="102"/>
      <c r="L451" s="102"/>
      <c r="M451" s="102"/>
      <c r="N451" s="102"/>
      <c r="O451" s="102"/>
      <c r="P451" s="102"/>
    </row>
    <row r="452" spans="10:16">
      <c r="J452" s="102"/>
      <c r="K452" s="102"/>
      <c r="L452" s="102"/>
      <c r="M452" s="102"/>
      <c r="N452" s="102"/>
      <c r="O452" s="102"/>
      <c r="P452" s="102"/>
    </row>
    <row r="453" spans="10:16">
      <c r="J453" s="102"/>
      <c r="K453" s="102"/>
      <c r="L453" s="102"/>
      <c r="M453" s="102"/>
      <c r="N453" s="102"/>
      <c r="O453" s="102"/>
      <c r="P453" s="102"/>
    </row>
    <row r="454" spans="10:16">
      <c r="J454" s="102"/>
      <c r="K454" s="102"/>
      <c r="L454" s="102"/>
      <c r="M454" s="102"/>
      <c r="N454" s="102"/>
      <c r="O454" s="102"/>
      <c r="P454" s="102"/>
    </row>
    <row r="455" spans="10:16">
      <c r="J455" s="102"/>
      <c r="K455" s="102"/>
      <c r="L455" s="102"/>
      <c r="M455" s="102"/>
      <c r="N455" s="102"/>
      <c r="O455" s="102"/>
      <c r="P455" s="102"/>
    </row>
    <row r="456" spans="10:16">
      <c r="J456" s="102"/>
      <c r="K456" s="102"/>
      <c r="L456" s="102"/>
      <c r="M456" s="102"/>
      <c r="N456" s="102"/>
      <c r="O456" s="102"/>
      <c r="P456" s="102"/>
    </row>
    <row r="457" spans="10:16">
      <c r="J457" s="102"/>
      <c r="K457" s="102"/>
      <c r="L457" s="102"/>
      <c r="M457" s="102"/>
      <c r="N457" s="102"/>
      <c r="O457" s="102"/>
      <c r="P457" s="102"/>
    </row>
    <row r="458" spans="10:16">
      <c r="J458" s="102"/>
      <c r="K458" s="102"/>
      <c r="L458" s="102"/>
      <c r="M458" s="102"/>
      <c r="N458" s="102"/>
      <c r="O458" s="102"/>
      <c r="P458" s="102"/>
    </row>
    <row r="459" spans="10:16">
      <c r="J459" s="102"/>
      <c r="K459" s="102"/>
      <c r="L459" s="102"/>
      <c r="M459" s="102"/>
      <c r="N459" s="102"/>
      <c r="O459" s="102"/>
      <c r="P459" s="102"/>
    </row>
    <row r="460" spans="10:16">
      <c r="J460" s="102"/>
      <c r="K460" s="102"/>
      <c r="L460" s="102"/>
      <c r="M460" s="102"/>
      <c r="N460" s="102"/>
      <c r="O460" s="102"/>
      <c r="P460" s="102"/>
    </row>
    <row r="461" spans="10:16">
      <c r="J461" s="102"/>
      <c r="K461" s="102"/>
      <c r="L461" s="102"/>
      <c r="M461" s="102"/>
      <c r="N461" s="102"/>
      <c r="O461" s="102"/>
      <c r="P461" s="102"/>
    </row>
    <row r="462" spans="10:16">
      <c r="J462" s="102"/>
      <c r="K462" s="102"/>
      <c r="L462" s="102"/>
      <c r="M462" s="102"/>
      <c r="N462" s="102"/>
      <c r="O462" s="102"/>
      <c r="P462" s="102"/>
    </row>
    <row r="463" spans="10:16">
      <c r="J463" s="102"/>
      <c r="K463" s="102"/>
      <c r="L463" s="102"/>
      <c r="M463" s="102"/>
      <c r="N463" s="102"/>
      <c r="O463" s="102"/>
      <c r="P463" s="102"/>
    </row>
    <row r="464" spans="10:16">
      <c r="J464" s="102"/>
      <c r="K464" s="102"/>
      <c r="L464" s="102"/>
      <c r="M464" s="102"/>
      <c r="N464" s="102"/>
      <c r="O464" s="102"/>
      <c r="P464" s="102"/>
    </row>
  </sheetData>
  <mergeCells count="95">
    <mergeCell ref="F2:H2"/>
    <mergeCell ref="I2:I6"/>
    <mergeCell ref="J2:M2"/>
    <mergeCell ref="B4:B6"/>
    <mergeCell ref="B14:B21"/>
    <mergeCell ref="C14:C21"/>
    <mergeCell ref="B26:B30"/>
    <mergeCell ref="C26:C30"/>
    <mergeCell ref="B35:B37"/>
    <mergeCell ref="C35:C37"/>
    <mergeCell ref="B42:B47"/>
    <mergeCell ref="C42:C44"/>
    <mergeCell ref="C45:C47"/>
    <mergeCell ref="B52:B55"/>
    <mergeCell ref="C52:C55"/>
    <mergeCell ref="D59:F59"/>
    <mergeCell ref="B60:B63"/>
    <mergeCell ref="C60:C61"/>
    <mergeCell ref="D60:F60"/>
    <mergeCell ref="D61:F61"/>
    <mergeCell ref="C62:C63"/>
    <mergeCell ref="D62:F62"/>
    <mergeCell ref="D63:F63"/>
    <mergeCell ref="B68:B87"/>
    <mergeCell ref="C68:C74"/>
    <mergeCell ref="C75:C81"/>
    <mergeCell ref="C82:C87"/>
    <mergeCell ref="B92:B96"/>
    <mergeCell ref="C92:C96"/>
    <mergeCell ref="B137:B138"/>
    <mergeCell ref="C137:C138"/>
    <mergeCell ref="D137:F137"/>
    <mergeCell ref="D138:F138"/>
    <mergeCell ref="B101:B103"/>
    <mergeCell ref="C101:C103"/>
    <mergeCell ref="B108:B111"/>
    <mergeCell ref="C108:C111"/>
    <mergeCell ref="B116:B118"/>
    <mergeCell ref="C116:C118"/>
    <mergeCell ref="B123:B125"/>
    <mergeCell ref="C123:C125"/>
    <mergeCell ref="B130:B132"/>
    <mergeCell ref="C130:C132"/>
    <mergeCell ref="D136:F136"/>
    <mergeCell ref="B143:B145"/>
    <mergeCell ref="C143:C145"/>
    <mergeCell ref="B150:B152"/>
    <mergeCell ref="C150:C152"/>
    <mergeCell ref="B157:B162"/>
    <mergeCell ref="C157:C162"/>
    <mergeCell ref="B167:B169"/>
    <mergeCell ref="C167:C169"/>
    <mergeCell ref="B174:B176"/>
    <mergeCell ref="C174:C176"/>
    <mergeCell ref="B181:B183"/>
    <mergeCell ref="C181:C183"/>
    <mergeCell ref="F209:F210"/>
    <mergeCell ref="B188:B190"/>
    <mergeCell ref="C188:C190"/>
    <mergeCell ref="D194:F194"/>
    <mergeCell ref="B195:B196"/>
    <mergeCell ref="C195:C196"/>
    <mergeCell ref="D195:F195"/>
    <mergeCell ref="D196:F196"/>
    <mergeCell ref="B197:B198"/>
    <mergeCell ref="C197:C198"/>
    <mergeCell ref="D197:F197"/>
    <mergeCell ref="D198:F198"/>
    <mergeCell ref="F203:F204"/>
    <mergeCell ref="O369:V369"/>
    <mergeCell ref="F211:F212"/>
    <mergeCell ref="F213:F214"/>
    <mergeCell ref="B291:B292"/>
    <mergeCell ref="B294:B295"/>
    <mergeCell ref="I294:I295"/>
    <mergeCell ref="B296:B297"/>
    <mergeCell ref="I296:I297"/>
    <mergeCell ref="B298:B299"/>
    <mergeCell ref="I298:I299"/>
    <mergeCell ref="B300:B301"/>
    <mergeCell ref="B302:B303"/>
    <mergeCell ref="O368:V368"/>
    <mergeCell ref="P370:Q370"/>
    <mergeCell ref="O371:O372"/>
    <mergeCell ref="P371:T372"/>
    <mergeCell ref="B378:I378"/>
    <mergeCell ref="P389:Q389"/>
    <mergeCell ref="R389:T389"/>
    <mergeCell ref="O393:V393"/>
    <mergeCell ref="P390:Q390"/>
    <mergeCell ref="R390:T390"/>
    <mergeCell ref="P391:Q391"/>
    <mergeCell ref="R391:T391"/>
    <mergeCell ref="P392:Q392"/>
    <mergeCell ref="R392:T392"/>
  </mergeCells>
  <phoneticPr fontId="5" type="noConversion"/>
  <pageMargins left="0.19685039370078741" right="0.19685039370078741" top="0.74803149606299213" bottom="0.74803149606299213" header="0.31496062992125984" footer="0.31496062992125984"/>
  <pageSetup paperSize="9" scale="78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BD5BE-937A-45D2-AD75-0342F2659C6E}">
  <sheetPr>
    <tabColor rgb="FF7030A0"/>
    <pageSetUpPr fitToPage="1"/>
  </sheetPr>
  <dimension ref="A1:V464"/>
  <sheetViews>
    <sheetView showZeros="0" topLeftCell="A348" zoomScaleNormal="100" workbookViewId="0">
      <selection activeCell="C372" sqref="C372"/>
    </sheetView>
  </sheetViews>
  <sheetFormatPr defaultColWidth="25.25" defaultRowHeight="13.5"/>
  <cols>
    <col min="1" max="1" width="0.5" style="1" customWidth="1"/>
    <col min="2" max="2" width="25.25" style="102" customWidth="1"/>
    <col min="3" max="3" width="14.75" style="102" customWidth="1"/>
    <col min="4" max="4" width="11.5" style="102" customWidth="1"/>
    <col min="5" max="5" width="11.25" style="102" customWidth="1"/>
    <col min="6" max="6" width="12.25" style="102" customWidth="1"/>
    <col min="7" max="7" width="10" style="102" customWidth="1"/>
    <col min="8" max="8" width="9.875" style="102" customWidth="1"/>
    <col min="9" max="9" width="26.875" style="102" customWidth="1"/>
    <col min="10" max="10" width="11.125" style="43" customWidth="1"/>
    <col min="11" max="11" width="7.875" style="43" customWidth="1"/>
    <col min="12" max="12" width="7.25" style="43" customWidth="1"/>
    <col min="13" max="13" width="9.125" style="43" customWidth="1"/>
    <col min="14" max="14" width="15.125" style="255" customWidth="1"/>
    <col min="15" max="15" width="13.125" style="255" customWidth="1"/>
    <col min="16" max="16" width="24.375" style="255" customWidth="1"/>
    <col min="17" max="17" width="13.75" style="255" customWidth="1"/>
    <col min="18" max="18" width="11.25" style="255" customWidth="1"/>
    <col min="19" max="19" width="10.75" style="255" customWidth="1"/>
    <col min="20" max="20" width="10" style="255" customWidth="1"/>
    <col min="21" max="21" width="9.875" style="255" customWidth="1"/>
    <col min="22" max="22" width="26.125" style="255" customWidth="1"/>
    <col min="23" max="23" width="11.125" style="255" customWidth="1"/>
    <col min="24" max="24" width="7.875" style="255" customWidth="1"/>
    <col min="25" max="25" width="7.25" style="255" customWidth="1"/>
    <col min="26" max="26" width="9.125" style="255" customWidth="1"/>
    <col min="27" max="27" width="15.125" style="255" customWidth="1"/>
    <col min="28" max="28" width="7.75" style="255" customWidth="1"/>
    <col min="29" max="29" width="7.125" style="255" customWidth="1"/>
    <col min="30" max="30" width="12.125" style="255" customWidth="1"/>
    <col min="31" max="31" width="8.25" style="255" customWidth="1"/>
    <col min="32" max="33" width="10.375" style="255" customWidth="1"/>
    <col min="34" max="34" width="15.625" style="255" customWidth="1"/>
    <col min="35" max="35" width="15.875" style="255" customWidth="1"/>
    <col min="36" max="36" width="8.125" style="255" customWidth="1"/>
    <col min="37" max="40" width="10.375" style="255" customWidth="1"/>
    <col min="41" max="41" width="7.25" style="255" customWidth="1"/>
    <col min="42" max="42" width="7.125" style="255" customWidth="1"/>
    <col min="43" max="43" width="9.5" style="255" customWidth="1"/>
    <col min="44" max="45" width="9" style="255" customWidth="1"/>
    <col min="46" max="46" width="16.125" style="255" customWidth="1"/>
    <col min="47" max="77" width="9" style="255" customWidth="1"/>
    <col min="78" max="237" width="25.25" style="255"/>
    <col min="238" max="267" width="9" style="255" customWidth="1"/>
    <col min="268" max="268" width="0.5" style="255" customWidth="1"/>
    <col min="269" max="269" width="25.25" style="255"/>
    <col min="270" max="270" width="0.5" style="255" customWidth="1"/>
    <col min="271" max="271" width="25.25" style="255"/>
    <col min="272" max="272" width="14.75" style="255" customWidth="1"/>
    <col min="273" max="273" width="11.5" style="255" customWidth="1"/>
    <col min="274" max="274" width="11.25" style="255" customWidth="1"/>
    <col min="275" max="275" width="10.75" style="255" customWidth="1"/>
    <col min="276" max="276" width="10" style="255" customWidth="1"/>
    <col min="277" max="277" width="9.875" style="255" customWidth="1"/>
    <col min="278" max="278" width="26.125" style="255" customWidth="1"/>
    <col min="279" max="279" width="11.125" style="255" customWidth="1"/>
    <col min="280" max="280" width="7.875" style="255" customWidth="1"/>
    <col min="281" max="281" width="7.25" style="255" customWidth="1"/>
    <col min="282" max="282" width="9.125" style="255" customWidth="1"/>
    <col min="283" max="283" width="15.125" style="255" customWidth="1"/>
    <col min="284" max="284" width="7.75" style="255" customWidth="1"/>
    <col min="285" max="285" width="7.125" style="255" customWidth="1"/>
    <col min="286" max="286" width="12.125" style="255" customWidth="1"/>
    <col min="287" max="287" width="8.25" style="255" customWidth="1"/>
    <col min="288" max="289" width="10.375" style="255" customWidth="1"/>
    <col min="290" max="290" width="15.625" style="255" customWidth="1"/>
    <col min="291" max="291" width="15.875" style="255" customWidth="1"/>
    <col min="292" max="292" width="8.125" style="255" customWidth="1"/>
    <col min="293" max="296" width="10.375" style="255" customWidth="1"/>
    <col min="297" max="297" width="7.25" style="255" customWidth="1"/>
    <col min="298" max="298" width="7.125" style="255" customWidth="1"/>
    <col min="299" max="299" width="9.5" style="255" customWidth="1"/>
    <col min="300" max="301" width="9" style="255" customWidth="1"/>
    <col min="302" max="302" width="16.125" style="255" customWidth="1"/>
    <col min="303" max="333" width="9" style="255" customWidth="1"/>
    <col min="334" max="493" width="25.25" style="255"/>
    <col min="494" max="523" width="9" style="255" customWidth="1"/>
    <col min="524" max="524" width="0.5" style="255" customWidth="1"/>
    <col min="525" max="525" width="25.25" style="255"/>
    <col min="526" max="526" width="0.5" style="255" customWidth="1"/>
    <col min="527" max="527" width="25.25" style="255"/>
    <col min="528" max="528" width="14.75" style="255" customWidth="1"/>
    <col min="529" max="529" width="11.5" style="255" customWidth="1"/>
    <col min="530" max="530" width="11.25" style="255" customWidth="1"/>
    <col min="531" max="531" width="10.75" style="255" customWidth="1"/>
    <col min="532" max="532" width="10" style="255" customWidth="1"/>
    <col min="533" max="533" width="9.875" style="255" customWidth="1"/>
    <col min="534" max="534" width="26.125" style="255" customWidth="1"/>
    <col min="535" max="535" width="11.125" style="255" customWidth="1"/>
    <col min="536" max="536" width="7.875" style="255" customWidth="1"/>
    <col min="537" max="537" width="7.25" style="255" customWidth="1"/>
    <col min="538" max="538" width="9.125" style="255" customWidth="1"/>
    <col min="539" max="539" width="15.125" style="255" customWidth="1"/>
    <col min="540" max="540" width="7.75" style="255" customWidth="1"/>
    <col min="541" max="541" width="7.125" style="255" customWidth="1"/>
    <col min="542" max="542" width="12.125" style="255" customWidth="1"/>
    <col min="543" max="543" width="8.25" style="255" customWidth="1"/>
    <col min="544" max="545" width="10.375" style="255" customWidth="1"/>
    <col min="546" max="546" width="15.625" style="255" customWidth="1"/>
    <col min="547" max="547" width="15.875" style="255" customWidth="1"/>
    <col min="548" max="548" width="8.125" style="255" customWidth="1"/>
    <col min="549" max="552" width="10.375" style="255" customWidth="1"/>
    <col min="553" max="553" width="7.25" style="255" customWidth="1"/>
    <col min="554" max="554" width="7.125" style="255" customWidth="1"/>
    <col min="555" max="555" width="9.5" style="255" customWidth="1"/>
    <col min="556" max="557" width="9" style="255" customWidth="1"/>
    <col min="558" max="558" width="16.125" style="255" customWidth="1"/>
    <col min="559" max="589" width="9" style="255" customWidth="1"/>
    <col min="590" max="749" width="25.25" style="255"/>
    <col min="750" max="779" width="9" style="255" customWidth="1"/>
    <col min="780" max="780" width="0.5" style="255" customWidth="1"/>
    <col min="781" max="781" width="25.25" style="255"/>
    <col min="782" max="782" width="0.5" style="255" customWidth="1"/>
    <col min="783" max="783" width="25.25" style="255"/>
    <col min="784" max="784" width="14.75" style="255" customWidth="1"/>
    <col min="785" max="785" width="11.5" style="255" customWidth="1"/>
    <col min="786" max="786" width="11.25" style="255" customWidth="1"/>
    <col min="787" max="787" width="10.75" style="255" customWidth="1"/>
    <col min="788" max="788" width="10" style="255" customWidth="1"/>
    <col min="789" max="789" width="9.875" style="255" customWidth="1"/>
    <col min="790" max="790" width="26.125" style="255" customWidth="1"/>
    <col min="791" max="791" width="11.125" style="255" customWidth="1"/>
    <col min="792" max="792" width="7.875" style="255" customWidth="1"/>
    <col min="793" max="793" width="7.25" style="255" customWidth="1"/>
    <col min="794" max="794" width="9.125" style="255" customWidth="1"/>
    <col min="795" max="795" width="15.125" style="255" customWidth="1"/>
    <col min="796" max="796" width="7.75" style="255" customWidth="1"/>
    <col min="797" max="797" width="7.125" style="255" customWidth="1"/>
    <col min="798" max="798" width="12.125" style="255" customWidth="1"/>
    <col min="799" max="799" width="8.25" style="255" customWidth="1"/>
    <col min="800" max="801" width="10.375" style="255" customWidth="1"/>
    <col min="802" max="802" width="15.625" style="255" customWidth="1"/>
    <col min="803" max="803" width="15.875" style="255" customWidth="1"/>
    <col min="804" max="804" width="8.125" style="255" customWidth="1"/>
    <col min="805" max="808" width="10.375" style="255" customWidth="1"/>
    <col min="809" max="809" width="7.25" style="255" customWidth="1"/>
    <col min="810" max="810" width="7.125" style="255" customWidth="1"/>
    <col min="811" max="811" width="9.5" style="255" customWidth="1"/>
    <col min="812" max="813" width="9" style="255" customWidth="1"/>
    <col min="814" max="814" width="16.125" style="255" customWidth="1"/>
    <col min="815" max="845" width="9" style="255" customWidth="1"/>
    <col min="846" max="1005" width="25.25" style="255"/>
    <col min="1006" max="1035" width="9" style="255" customWidth="1"/>
    <col min="1036" max="1036" width="0.5" style="255" customWidth="1"/>
    <col min="1037" max="1037" width="25.25" style="255"/>
    <col min="1038" max="1038" width="0.5" style="255" customWidth="1"/>
    <col min="1039" max="1039" width="25.25" style="255"/>
    <col min="1040" max="1040" width="14.75" style="255" customWidth="1"/>
    <col min="1041" max="1041" width="11.5" style="255" customWidth="1"/>
    <col min="1042" max="1042" width="11.25" style="255" customWidth="1"/>
    <col min="1043" max="1043" width="10.75" style="255" customWidth="1"/>
    <col min="1044" max="1044" width="10" style="255" customWidth="1"/>
    <col min="1045" max="1045" width="9.875" style="255" customWidth="1"/>
    <col min="1046" max="1046" width="26.125" style="255" customWidth="1"/>
    <col min="1047" max="1047" width="11.125" style="255" customWidth="1"/>
    <col min="1048" max="1048" width="7.875" style="255" customWidth="1"/>
    <col min="1049" max="1049" width="7.25" style="255" customWidth="1"/>
    <col min="1050" max="1050" width="9.125" style="255" customWidth="1"/>
    <col min="1051" max="1051" width="15.125" style="255" customWidth="1"/>
    <col min="1052" max="1052" width="7.75" style="255" customWidth="1"/>
    <col min="1053" max="1053" width="7.125" style="255" customWidth="1"/>
    <col min="1054" max="1054" width="12.125" style="255" customWidth="1"/>
    <col min="1055" max="1055" width="8.25" style="255" customWidth="1"/>
    <col min="1056" max="1057" width="10.375" style="255" customWidth="1"/>
    <col min="1058" max="1058" width="15.625" style="255" customWidth="1"/>
    <col min="1059" max="1059" width="15.875" style="255" customWidth="1"/>
    <col min="1060" max="1060" width="8.125" style="255" customWidth="1"/>
    <col min="1061" max="1064" width="10.375" style="255" customWidth="1"/>
    <col min="1065" max="1065" width="7.25" style="255" customWidth="1"/>
    <col min="1066" max="1066" width="7.125" style="255" customWidth="1"/>
    <col min="1067" max="1067" width="9.5" style="255" customWidth="1"/>
    <col min="1068" max="1069" width="9" style="255" customWidth="1"/>
    <col min="1070" max="1070" width="16.125" style="255" customWidth="1"/>
    <col min="1071" max="1101" width="9" style="255" customWidth="1"/>
    <col min="1102" max="1261" width="25.25" style="255"/>
    <col min="1262" max="1291" width="9" style="255" customWidth="1"/>
    <col min="1292" max="1292" width="0.5" style="255" customWidth="1"/>
    <col min="1293" max="1293" width="25.25" style="255"/>
    <col min="1294" max="1294" width="0.5" style="255" customWidth="1"/>
    <col min="1295" max="1295" width="25.25" style="255"/>
    <col min="1296" max="1296" width="14.75" style="255" customWidth="1"/>
    <col min="1297" max="1297" width="11.5" style="255" customWidth="1"/>
    <col min="1298" max="1298" width="11.25" style="255" customWidth="1"/>
    <col min="1299" max="1299" width="10.75" style="255" customWidth="1"/>
    <col min="1300" max="1300" width="10" style="255" customWidth="1"/>
    <col min="1301" max="1301" width="9.875" style="255" customWidth="1"/>
    <col min="1302" max="1302" width="26.125" style="255" customWidth="1"/>
    <col min="1303" max="1303" width="11.125" style="255" customWidth="1"/>
    <col min="1304" max="1304" width="7.875" style="255" customWidth="1"/>
    <col min="1305" max="1305" width="7.25" style="255" customWidth="1"/>
    <col min="1306" max="1306" width="9.125" style="255" customWidth="1"/>
    <col min="1307" max="1307" width="15.125" style="255" customWidth="1"/>
    <col min="1308" max="1308" width="7.75" style="255" customWidth="1"/>
    <col min="1309" max="1309" width="7.125" style="255" customWidth="1"/>
    <col min="1310" max="1310" width="12.125" style="255" customWidth="1"/>
    <col min="1311" max="1311" width="8.25" style="255" customWidth="1"/>
    <col min="1312" max="1313" width="10.375" style="255" customWidth="1"/>
    <col min="1314" max="1314" width="15.625" style="255" customWidth="1"/>
    <col min="1315" max="1315" width="15.875" style="255" customWidth="1"/>
    <col min="1316" max="1316" width="8.125" style="255" customWidth="1"/>
    <col min="1317" max="1320" width="10.375" style="255" customWidth="1"/>
    <col min="1321" max="1321" width="7.25" style="255" customWidth="1"/>
    <col min="1322" max="1322" width="7.125" style="255" customWidth="1"/>
    <col min="1323" max="1323" width="9.5" style="255" customWidth="1"/>
    <col min="1324" max="1325" width="9" style="255" customWidth="1"/>
    <col min="1326" max="1326" width="16.125" style="255" customWidth="1"/>
    <col min="1327" max="1357" width="9" style="255" customWidth="1"/>
    <col min="1358" max="1517" width="25.25" style="255"/>
    <col min="1518" max="1547" width="9" style="255" customWidth="1"/>
    <col min="1548" max="1548" width="0.5" style="255" customWidth="1"/>
    <col min="1549" max="1549" width="25.25" style="255"/>
    <col min="1550" max="1550" width="0.5" style="255" customWidth="1"/>
    <col min="1551" max="1551" width="25.25" style="255"/>
    <col min="1552" max="1552" width="14.75" style="255" customWidth="1"/>
    <col min="1553" max="1553" width="11.5" style="255" customWidth="1"/>
    <col min="1554" max="1554" width="11.25" style="255" customWidth="1"/>
    <col min="1555" max="1555" width="10.75" style="255" customWidth="1"/>
    <col min="1556" max="1556" width="10" style="255" customWidth="1"/>
    <col min="1557" max="1557" width="9.875" style="255" customWidth="1"/>
    <col min="1558" max="1558" width="26.125" style="255" customWidth="1"/>
    <col min="1559" max="1559" width="11.125" style="255" customWidth="1"/>
    <col min="1560" max="1560" width="7.875" style="255" customWidth="1"/>
    <col min="1561" max="1561" width="7.25" style="255" customWidth="1"/>
    <col min="1562" max="1562" width="9.125" style="255" customWidth="1"/>
    <col min="1563" max="1563" width="15.125" style="255" customWidth="1"/>
    <col min="1564" max="1564" width="7.75" style="255" customWidth="1"/>
    <col min="1565" max="1565" width="7.125" style="255" customWidth="1"/>
    <col min="1566" max="1566" width="12.125" style="255" customWidth="1"/>
    <col min="1567" max="1567" width="8.25" style="255" customWidth="1"/>
    <col min="1568" max="1569" width="10.375" style="255" customWidth="1"/>
    <col min="1570" max="1570" width="15.625" style="255" customWidth="1"/>
    <col min="1571" max="1571" width="15.875" style="255" customWidth="1"/>
    <col min="1572" max="1572" width="8.125" style="255" customWidth="1"/>
    <col min="1573" max="1576" width="10.375" style="255" customWidth="1"/>
    <col min="1577" max="1577" width="7.25" style="255" customWidth="1"/>
    <col min="1578" max="1578" width="7.125" style="255" customWidth="1"/>
    <col min="1579" max="1579" width="9.5" style="255" customWidth="1"/>
    <col min="1580" max="1581" width="9" style="255" customWidth="1"/>
    <col min="1582" max="1582" width="16.125" style="255" customWidth="1"/>
    <col min="1583" max="1613" width="9" style="255" customWidth="1"/>
    <col min="1614" max="1773" width="25.25" style="255"/>
    <col min="1774" max="1803" width="9" style="255" customWidth="1"/>
    <col min="1804" max="1804" width="0.5" style="255" customWidth="1"/>
    <col min="1805" max="1805" width="25.25" style="255"/>
    <col min="1806" max="1806" width="0.5" style="255" customWidth="1"/>
    <col min="1807" max="1807" width="25.25" style="255"/>
    <col min="1808" max="1808" width="14.75" style="255" customWidth="1"/>
    <col min="1809" max="1809" width="11.5" style="255" customWidth="1"/>
    <col min="1810" max="1810" width="11.25" style="255" customWidth="1"/>
    <col min="1811" max="1811" width="10.75" style="255" customWidth="1"/>
    <col min="1812" max="1812" width="10" style="255" customWidth="1"/>
    <col min="1813" max="1813" width="9.875" style="255" customWidth="1"/>
    <col min="1814" max="1814" width="26.125" style="255" customWidth="1"/>
    <col min="1815" max="1815" width="11.125" style="255" customWidth="1"/>
    <col min="1816" max="1816" width="7.875" style="255" customWidth="1"/>
    <col min="1817" max="1817" width="7.25" style="255" customWidth="1"/>
    <col min="1818" max="1818" width="9.125" style="255" customWidth="1"/>
    <col min="1819" max="1819" width="15.125" style="255" customWidth="1"/>
    <col min="1820" max="1820" width="7.75" style="255" customWidth="1"/>
    <col min="1821" max="1821" width="7.125" style="255" customWidth="1"/>
    <col min="1822" max="1822" width="12.125" style="255" customWidth="1"/>
    <col min="1823" max="1823" width="8.25" style="255" customWidth="1"/>
    <col min="1824" max="1825" width="10.375" style="255" customWidth="1"/>
    <col min="1826" max="1826" width="15.625" style="255" customWidth="1"/>
    <col min="1827" max="1827" width="15.875" style="255" customWidth="1"/>
    <col min="1828" max="1828" width="8.125" style="255" customWidth="1"/>
    <col min="1829" max="1832" width="10.375" style="255" customWidth="1"/>
    <col min="1833" max="1833" width="7.25" style="255" customWidth="1"/>
    <col min="1834" max="1834" width="7.125" style="255" customWidth="1"/>
    <col min="1835" max="1835" width="9.5" style="255" customWidth="1"/>
    <col min="1836" max="1837" width="9" style="255" customWidth="1"/>
    <col min="1838" max="1838" width="16.125" style="255" customWidth="1"/>
    <col min="1839" max="1869" width="9" style="255" customWidth="1"/>
    <col min="1870" max="2029" width="25.25" style="255"/>
    <col min="2030" max="2059" width="9" style="255" customWidth="1"/>
    <col min="2060" max="2060" width="0.5" style="255" customWidth="1"/>
    <col min="2061" max="2061" width="25.25" style="255"/>
    <col min="2062" max="2062" width="0.5" style="255" customWidth="1"/>
    <col min="2063" max="2063" width="25.25" style="255"/>
    <col min="2064" max="2064" width="14.75" style="255" customWidth="1"/>
    <col min="2065" max="2065" width="11.5" style="255" customWidth="1"/>
    <col min="2066" max="2066" width="11.25" style="255" customWidth="1"/>
    <col min="2067" max="2067" width="10.75" style="255" customWidth="1"/>
    <col min="2068" max="2068" width="10" style="255" customWidth="1"/>
    <col min="2069" max="2069" width="9.875" style="255" customWidth="1"/>
    <col min="2070" max="2070" width="26.125" style="255" customWidth="1"/>
    <col min="2071" max="2071" width="11.125" style="255" customWidth="1"/>
    <col min="2072" max="2072" width="7.875" style="255" customWidth="1"/>
    <col min="2073" max="2073" width="7.25" style="255" customWidth="1"/>
    <col min="2074" max="2074" width="9.125" style="255" customWidth="1"/>
    <col min="2075" max="2075" width="15.125" style="255" customWidth="1"/>
    <col min="2076" max="2076" width="7.75" style="255" customWidth="1"/>
    <col min="2077" max="2077" width="7.125" style="255" customWidth="1"/>
    <col min="2078" max="2078" width="12.125" style="255" customWidth="1"/>
    <col min="2079" max="2079" width="8.25" style="255" customWidth="1"/>
    <col min="2080" max="2081" width="10.375" style="255" customWidth="1"/>
    <col min="2082" max="2082" width="15.625" style="255" customWidth="1"/>
    <col min="2083" max="2083" width="15.875" style="255" customWidth="1"/>
    <col min="2084" max="2084" width="8.125" style="255" customWidth="1"/>
    <col min="2085" max="2088" width="10.375" style="255" customWidth="1"/>
    <col min="2089" max="2089" width="7.25" style="255" customWidth="1"/>
    <col min="2090" max="2090" width="7.125" style="255" customWidth="1"/>
    <col min="2091" max="2091" width="9.5" style="255" customWidth="1"/>
    <col min="2092" max="2093" width="9" style="255" customWidth="1"/>
    <col min="2094" max="2094" width="16.125" style="255" customWidth="1"/>
    <col min="2095" max="2125" width="9" style="255" customWidth="1"/>
    <col min="2126" max="2285" width="25.25" style="255"/>
    <col min="2286" max="2315" width="9" style="255" customWidth="1"/>
    <col min="2316" max="2316" width="0.5" style="255" customWidth="1"/>
    <col min="2317" max="2317" width="25.25" style="255"/>
    <col min="2318" max="2318" width="0.5" style="255" customWidth="1"/>
    <col min="2319" max="2319" width="25.25" style="255"/>
    <col min="2320" max="2320" width="14.75" style="255" customWidth="1"/>
    <col min="2321" max="2321" width="11.5" style="255" customWidth="1"/>
    <col min="2322" max="2322" width="11.25" style="255" customWidth="1"/>
    <col min="2323" max="2323" width="10.75" style="255" customWidth="1"/>
    <col min="2324" max="2324" width="10" style="255" customWidth="1"/>
    <col min="2325" max="2325" width="9.875" style="255" customWidth="1"/>
    <col min="2326" max="2326" width="26.125" style="255" customWidth="1"/>
    <col min="2327" max="2327" width="11.125" style="255" customWidth="1"/>
    <col min="2328" max="2328" width="7.875" style="255" customWidth="1"/>
    <col min="2329" max="2329" width="7.25" style="255" customWidth="1"/>
    <col min="2330" max="2330" width="9.125" style="255" customWidth="1"/>
    <col min="2331" max="2331" width="15.125" style="255" customWidth="1"/>
    <col min="2332" max="2332" width="7.75" style="255" customWidth="1"/>
    <col min="2333" max="2333" width="7.125" style="255" customWidth="1"/>
    <col min="2334" max="2334" width="12.125" style="255" customWidth="1"/>
    <col min="2335" max="2335" width="8.25" style="255" customWidth="1"/>
    <col min="2336" max="2337" width="10.375" style="255" customWidth="1"/>
    <col min="2338" max="2338" width="15.625" style="255" customWidth="1"/>
    <col min="2339" max="2339" width="15.875" style="255" customWidth="1"/>
    <col min="2340" max="2340" width="8.125" style="255" customWidth="1"/>
    <col min="2341" max="2344" width="10.375" style="255" customWidth="1"/>
    <col min="2345" max="2345" width="7.25" style="255" customWidth="1"/>
    <col min="2346" max="2346" width="7.125" style="255" customWidth="1"/>
    <col min="2347" max="2347" width="9.5" style="255" customWidth="1"/>
    <col min="2348" max="2349" width="9" style="255" customWidth="1"/>
    <col min="2350" max="2350" width="16.125" style="255" customWidth="1"/>
    <col min="2351" max="2381" width="9" style="255" customWidth="1"/>
    <col min="2382" max="2541" width="25.25" style="255"/>
    <col min="2542" max="2571" width="9" style="255" customWidth="1"/>
    <col min="2572" max="2572" width="0.5" style="255" customWidth="1"/>
    <col min="2573" max="2573" width="25.25" style="255"/>
    <col min="2574" max="2574" width="0.5" style="255" customWidth="1"/>
    <col min="2575" max="2575" width="25.25" style="255"/>
    <col min="2576" max="2576" width="14.75" style="255" customWidth="1"/>
    <col min="2577" max="2577" width="11.5" style="255" customWidth="1"/>
    <col min="2578" max="2578" width="11.25" style="255" customWidth="1"/>
    <col min="2579" max="2579" width="10.75" style="255" customWidth="1"/>
    <col min="2580" max="2580" width="10" style="255" customWidth="1"/>
    <col min="2581" max="2581" width="9.875" style="255" customWidth="1"/>
    <col min="2582" max="2582" width="26.125" style="255" customWidth="1"/>
    <col min="2583" max="2583" width="11.125" style="255" customWidth="1"/>
    <col min="2584" max="2584" width="7.875" style="255" customWidth="1"/>
    <col min="2585" max="2585" width="7.25" style="255" customWidth="1"/>
    <col min="2586" max="2586" width="9.125" style="255" customWidth="1"/>
    <col min="2587" max="2587" width="15.125" style="255" customWidth="1"/>
    <col min="2588" max="2588" width="7.75" style="255" customWidth="1"/>
    <col min="2589" max="2589" width="7.125" style="255" customWidth="1"/>
    <col min="2590" max="2590" width="12.125" style="255" customWidth="1"/>
    <col min="2591" max="2591" width="8.25" style="255" customWidth="1"/>
    <col min="2592" max="2593" width="10.375" style="255" customWidth="1"/>
    <col min="2594" max="2594" width="15.625" style="255" customWidth="1"/>
    <col min="2595" max="2595" width="15.875" style="255" customWidth="1"/>
    <col min="2596" max="2596" width="8.125" style="255" customWidth="1"/>
    <col min="2597" max="2600" width="10.375" style="255" customWidth="1"/>
    <col min="2601" max="2601" width="7.25" style="255" customWidth="1"/>
    <col min="2602" max="2602" width="7.125" style="255" customWidth="1"/>
    <col min="2603" max="2603" width="9.5" style="255" customWidth="1"/>
    <col min="2604" max="2605" width="9" style="255" customWidth="1"/>
    <col min="2606" max="2606" width="16.125" style="255" customWidth="1"/>
    <col min="2607" max="2637" width="9" style="255" customWidth="1"/>
    <col min="2638" max="2797" width="25.25" style="255"/>
    <col min="2798" max="2827" width="9" style="255" customWidth="1"/>
    <col min="2828" max="2828" width="0.5" style="255" customWidth="1"/>
    <col min="2829" max="2829" width="25.25" style="255"/>
    <col min="2830" max="2830" width="0.5" style="255" customWidth="1"/>
    <col min="2831" max="2831" width="25.25" style="255"/>
    <col min="2832" max="2832" width="14.75" style="255" customWidth="1"/>
    <col min="2833" max="2833" width="11.5" style="255" customWidth="1"/>
    <col min="2834" max="2834" width="11.25" style="255" customWidth="1"/>
    <col min="2835" max="2835" width="10.75" style="255" customWidth="1"/>
    <col min="2836" max="2836" width="10" style="255" customWidth="1"/>
    <col min="2837" max="2837" width="9.875" style="255" customWidth="1"/>
    <col min="2838" max="2838" width="26.125" style="255" customWidth="1"/>
    <col min="2839" max="2839" width="11.125" style="255" customWidth="1"/>
    <col min="2840" max="2840" width="7.875" style="255" customWidth="1"/>
    <col min="2841" max="2841" width="7.25" style="255" customWidth="1"/>
    <col min="2842" max="2842" width="9.125" style="255" customWidth="1"/>
    <col min="2843" max="2843" width="15.125" style="255" customWidth="1"/>
    <col min="2844" max="2844" width="7.75" style="255" customWidth="1"/>
    <col min="2845" max="2845" width="7.125" style="255" customWidth="1"/>
    <col min="2846" max="2846" width="12.125" style="255" customWidth="1"/>
    <col min="2847" max="2847" width="8.25" style="255" customWidth="1"/>
    <col min="2848" max="2849" width="10.375" style="255" customWidth="1"/>
    <col min="2850" max="2850" width="15.625" style="255" customWidth="1"/>
    <col min="2851" max="2851" width="15.875" style="255" customWidth="1"/>
    <col min="2852" max="2852" width="8.125" style="255" customWidth="1"/>
    <col min="2853" max="2856" width="10.375" style="255" customWidth="1"/>
    <col min="2857" max="2857" width="7.25" style="255" customWidth="1"/>
    <col min="2858" max="2858" width="7.125" style="255" customWidth="1"/>
    <col min="2859" max="2859" width="9.5" style="255" customWidth="1"/>
    <col min="2860" max="2861" width="9" style="255" customWidth="1"/>
    <col min="2862" max="2862" width="16.125" style="255" customWidth="1"/>
    <col min="2863" max="2893" width="9" style="255" customWidth="1"/>
    <col min="2894" max="3053" width="25.25" style="255"/>
    <col min="3054" max="3083" width="9" style="255" customWidth="1"/>
    <col min="3084" max="3084" width="0.5" style="255" customWidth="1"/>
    <col min="3085" max="3085" width="25.25" style="255"/>
    <col min="3086" max="3086" width="0.5" style="255" customWidth="1"/>
    <col min="3087" max="3087" width="25.25" style="255"/>
    <col min="3088" max="3088" width="14.75" style="255" customWidth="1"/>
    <col min="3089" max="3089" width="11.5" style="255" customWidth="1"/>
    <col min="3090" max="3090" width="11.25" style="255" customWidth="1"/>
    <col min="3091" max="3091" width="10.75" style="255" customWidth="1"/>
    <col min="3092" max="3092" width="10" style="255" customWidth="1"/>
    <col min="3093" max="3093" width="9.875" style="255" customWidth="1"/>
    <col min="3094" max="3094" width="26.125" style="255" customWidth="1"/>
    <col min="3095" max="3095" width="11.125" style="255" customWidth="1"/>
    <col min="3096" max="3096" width="7.875" style="255" customWidth="1"/>
    <col min="3097" max="3097" width="7.25" style="255" customWidth="1"/>
    <col min="3098" max="3098" width="9.125" style="255" customWidth="1"/>
    <col min="3099" max="3099" width="15.125" style="255" customWidth="1"/>
    <col min="3100" max="3100" width="7.75" style="255" customWidth="1"/>
    <col min="3101" max="3101" width="7.125" style="255" customWidth="1"/>
    <col min="3102" max="3102" width="12.125" style="255" customWidth="1"/>
    <col min="3103" max="3103" width="8.25" style="255" customWidth="1"/>
    <col min="3104" max="3105" width="10.375" style="255" customWidth="1"/>
    <col min="3106" max="3106" width="15.625" style="255" customWidth="1"/>
    <col min="3107" max="3107" width="15.875" style="255" customWidth="1"/>
    <col min="3108" max="3108" width="8.125" style="255" customWidth="1"/>
    <col min="3109" max="3112" width="10.375" style="255" customWidth="1"/>
    <col min="3113" max="3113" width="7.25" style="255" customWidth="1"/>
    <col min="3114" max="3114" width="7.125" style="255" customWidth="1"/>
    <col min="3115" max="3115" width="9.5" style="255" customWidth="1"/>
    <col min="3116" max="3117" width="9" style="255" customWidth="1"/>
    <col min="3118" max="3118" width="16.125" style="255" customWidth="1"/>
    <col min="3119" max="3149" width="9" style="255" customWidth="1"/>
    <col min="3150" max="3309" width="25.25" style="255"/>
    <col min="3310" max="3339" width="9" style="255" customWidth="1"/>
    <col min="3340" max="3340" width="0.5" style="255" customWidth="1"/>
    <col min="3341" max="3341" width="25.25" style="255"/>
    <col min="3342" max="3342" width="0.5" style="255" customWidth="1"/>
    <col min="3343" max="3343" width="25.25" style="255"/>
    <col min="3344" max="3344" width="14.75" style="255" customWidth="1"/>
    <col min="3345" max="3345" width="11.5" style="255" customWidth="1"/>
    <col min="3346" max="3346" width="11.25" style="255" customWidth="1"/>
    <col min="3347" max="3347" width="10.75" style="255" customWidth="1"/>
    <col min="3348" max="3348" width="10" style="255" customWidth="1"/>
    <col min="3349" max="3349" width="9.875" style="255" customWidth="1"/>
    <col min="3350" max="3350" width="26.125" style="255" customWidth="1"/>
    <col min="3351" max="3351" width="11.125" style="255" customWidth="1"/>
    <col min="3352" max="3352" width="7.875" style="255" customWidth="1"/>
    <col min="3353" max="3353" width="7.25" style="255" customWidth="1"/>
    <col min="3354" max="3354" width="9.125" style="255" customWidth="1"/>
    <col min="3355" max="3355" width="15.125" style="255" customWidth="1"/>
    <col min="3356" max="3356" width="7.75" style="255" customWidth="1"/>
    <col min="3357" max="3357" width="7.125" style="255" customWidth="1"/>
    <col min="3358" max="3358" width="12.125" style="255" customWidth="1"/>
    <col min="3359" max="3359" width="8.25" style="255" customWidth="1"/>
    <col min="3360" max="3361" width="10.375" style="255" customWidth="1"/>
    <col min="3362" max="3362" width="15.625" style="255" customWidth="1"/>
    <col min="3363" max="3363" width="15.875" style="255" customWidth="1"/>
    <col min="3364" max="3364" width="8.125" style="255" customWidth="1"/>
    <col min="3365" max="3368" width="10.375" style="255" customWidth="1"/>
    <col min="3369" max="3369" width="7.25" style="255" customWidth="1"/>
    <col min="3370" max="3370" width="7.125" style="255" customWidth="1"/>
    <col min="3371" max="3371" width="9.5" style="255" customWidth="1"/>
    <col min="3372" max="3373" width="9" style="255" customWidth="1"/>
    <col min="3374" max="3374" width="16.125" style="255" customWidth="1"/>
    <col min="3375" max="3405" width="9" style="255" customWidth="1"/>
    <col min="3406" max="3565" width="25.25" style="255"/>
    <col min="3566" max="3595" width="9" style="255" customWidth="1"/>
    <col min="3596" max="3596" width="0.5" style="255" customWidth="1"/>
    <col min="3597" max="3597" width="25.25" style="255"/>
    <col min="3598" max="3598" width="0.5" style="255" customWidth="1"/>
    <col min="3599" max="3599" width="25.25" style="255"/>
    <col min="3600" max="3600" width="14.75" style="255" customWidth="1"/>
    <col min="3601" max="3601" width="11.5" style="255" customWidth="1"/>
    <col min="3602" max="3602" width="11.25" style="255" customWidth="1"/>
    <col min="3603" max="3603" width="10.75" style="255" customWidth="1"/>
    <col min="3604" max="3604" width="10" style="255" customWidth="1"/>
    <col min="3605" max="3605" width="9.875" style="255" customWidth="1"/>
    <col min="3606" max="3606" width="26.125" style="255" customWidth="1"/>
    <col min="3607" max="3607" width="11.125" style="255" customWidth="1"/>
    <col min="3608" max="3608" width="7.875" style="255" customWidth="1"/>
    <col min="3609" max="3609" width="7.25" style="255" customWidth="1"/>
    <col min="3610" max="3610" width="9.125" style="255" customWidth="1"/>
    <col min="3611" max="3611" width="15.125" style="255" customWidth="1"/>
    <col min="3612" max="3612" width="7.75" style="255" customWidth="1"/>
    <col min="3613" max="3613" width="7.125" style="255" customWidth="1"/>
    <col min="3614" max="3614" width="12.125" style="255" customWidth="1"/>
    <col min="3615" max="3615" width="8.25" style="255" customWidth="1"/>
    <col min="3616" max="3617" width="10.375" style="255" customWidth="1"/>
    <col min="3618" max="3618" width="15.625" style="255" customWidth="1"/>
    <col min="3619" max="3619" width="15.875" style="255" customWidth="1"/>
    <col min="3620" max="3620" width="8.125" style="255" customWidth="1"/>
    <col min="3621" max="3624" width="10.375" style="255" customWidth="1"/>
    <col min="3625" max="3625" width="7.25" style="255" customWidth="1"/>
    <col min="3626" max="3626" width="7.125" style="255" customWidth="1"/>
    <col min="3627" max="3627" width="9.5" style="255" customWidth="1"/>
    <col min="3628" max="3629" width="9" style="255" customWidth="1"/>
    <col min="3630" max="3630" width="16.125" style="255" customWidth="1"/>
    <col min="3631" max="3661" width="9" style="255" customWidth="1"/>
    <col min="3662" max="3821" width="25.25" style="255"/>
    <col min="3822" max="3851" width="9" style="255" customWidth="1"/>
    <col min="3852" max="3852" width="0.5" style="255" customWidth="1"/>
    <col min="3853" max="3853" width="25.25" style="255"/>
    <col min="3854" max="3854" width="0.5" style="255" customWidth="1"/>
    <col min="3855" max="3855" width="25.25" style="255"/>
    <col min="3856" max="3856" width="14.75" style="255" customWidth="1"/>
    <col min="3857" max="3857" width="11.5" style="255" customWidth="1"/>
    <col min="3858" max="3858" width="11.25" style="255" customWidth="1"/>
    <col min="3859" max="3859" width="10.75" style="255" customWidth="1"/>
    <col min="3860" max="3860" width="10" style="255" customWidth="1"/>
    <col min="3861" max="3861" width="9.875" style="255" customWidth="1"/>
    <col min="3862" max="3862" width="26.125" style="255" customWidth="1"/>
    <col min="3863" max="3863" width="11.125" style="255" customWidth="1"/>
    <col min="3864" max="3864" width="7.875" style="255" customWidth="1"/>
    <col min="3865" max="3865" width="7.25" style="255" customWidth="1"/>
    <col min="3866" max="3866" width="9.125" style="255" customWidth="1"/>
    <col min="3867" max="3867" width="15.125" style="255" customWidth="1"/>
    <col min="3868" max="3868" width="7.75" style="255" customWidth="1"/>
    <col min="3869" max="3869" width="7.125" style="255" customWidth="1"/>
    <col min="3870" max="3870" width="12.125" style="255" customWidth="1"/>
    <col min="3871" max="3871" width="8.25" style="255" customWidth="1"/>
    <col min="3872" max="3873" width="10.375" style="255" customWidth="1"/>
    <col min="3874" max="3874" width="15.625" style="255" customWidth="1"/>
    <col min="3875" max="3875" width="15.875" style="255" customWidth="1"/>
    <col min="3876" max="3876" width="8.125" style="255" customWidth="1"/>
    <col min="3877" max="3880" width="10.375" style="255" customWidth="1"/>
    <col min="3881" max="3881" width="7.25" style="255" customWidth="1"/>
    <col min="3882" max="3882" width="7.125" style="255" customWidth="1"/>
    <col min="3883" max="3883" width="9.5" style="255" customWidth="1"/>
    <col min="3884" max="3885" width="9" style="255" customWidth="1"/>
    <col min="3886" max="3886" width="16.125" style="255" customWidth="1"/>
    <col min="3887" max="3917" width="9" style="255" customWidth="1"/>
    <col min="3918" max="4077" width="25.25" style="255"/>
    <col min="4078" max="4107" width="9" style="255" customWidth="1"/>
    <col min="4108" max="4108" width="0.5" style="255" customWidth="1"/>
    <col min="4109" max="4109" width="25.25" style="255"/>
    <col min="4110" max="4110" width="0.5" style="255" customWidth="1"/>
    <col min="4111" max="4111" width="25.25" style="255"/>
    <col min="4112" max="4112" width="14.75" style="255" customWidth="1"/>
    <col min="4113" max="4113" width="11.5" style="255" customWidth="1"/>
    <col min="4114" max="4114" width="11.25" style="255" customWidth="1"/>
    <col min="4115" max="4115" width="10.75" style="255" customWidth="1"/>
    <col min="4116" max="4116" width="10" style="255" customWidth="1"/>
    <col min="4117" max="4117" width="9.875" style="255" customWidth="1"/>
    <col min="4118" max="4118" width="26.125" style="255" customWidth="1"/>
    <col min="4119" max="4119" width="11.125" style="255" customWidth="1"/>
    <col min="4120" max="4120" width="7.875" style="255" customWidth="1"/>
    <col min="4121" max="4121" width="7.25" style="255" customWidth="1"/>
    <col min="4122" max="4122" width="9.125" style="255" customWidth="1"/>
    <col min="4123" max="4123" width="15.125" style="255" customWidth="1"/>
    <col min="4124" max="4124" width="7.75" style="255" customWidth="1"/>
    <col min="4125" max="4125" width="7.125" style="255" customWidth="1"/>
    <col min="4126" max="4126" width="12.125" style="255" customWidth="1"/>
    <col min="4127" max="4127" width="8.25" style="255" customWidth="1"/>
    <col min="4128" max="4129" width="10.375" style="255" customWidth="1"/>
    <col min="4130" max="4130" width="15.625" style="255" customWidth="1"/>
    <col min="4131" max="4131" width="15.875" style="255" customWidth="1"/>
    <col min="4132" max="4132" width="8.125" style="255" customWidth="1"/>
    <col min="4133" max="4136" width="10.375" style="255" customWidth="1"/>
    <col min="4137" max="4137" width="7.25" style="255" customWidth="1"/>
    <col min="4138" max="4138" width="7.125" style="255" customWidth="1"/>
    <col min="4139" max="4139" width="9.5" style="255" customWidth="1"/>
    <col min="4140" max="4141" width="9" style="255" customWidth="1"/>
    <col min="4142" max="4142" width="16.125" style="255" customWidth="1"/>
    <col min="4143" max="4173" width="9" style="255" customWidth="1"/>
    <col min="4174" max="4333" width="25.25" style="255"/>
    <col min="4334" max="4363" width="9" style="255" customWidth="1"/>
    <col min="4364" max="4364" width="0.5" style="255" customWidth="1"/>
    <col min="4365" max="4365" width="25.25" style="255"/>
    <col min="4366" max="4366" width="0.5" style="255" customWidth="1"/>
    <col min="4367" max="4367" width="25.25" style="255"/>
    <col min="4368" max="4368" width="14.75" style="255" customWidth="1"/>
    <col min="4369" max="4369" width="11.5" style="255" customWidth="1"/>
    <col min="4370" max="4370" width="11.25" style="255" customWidth="1"/>
    <col min="4371" max="4371" width="10.75" style="255" customWidth="1"/>
    <col min="4372" max="4372" width="10" style="255" customWidth="1"/>
    <col min="4373" max="4373" width="9.875" style="255" customWidth="1"/>
    <col min="4374" max="4374" width="26.125" style="255" customWidth="1"/>
    <col min="4375" max="4375" width="11.125" style="255" customWidth="1"/>
    <col min="4376" max="4376" width="7.875" style="255" customWidth="1"/>
    <col min="4377" max="4377" width="7.25" style="255" customWidth="1"/>
    <col min="4378" max="4378" width="9.125" style="255" customWidth="1"/>
    <col min="4379" max="4379" width="15.125" style="255" customWidth="1"/>
    <col min="4380" max="4380" width="7.75" style="255" customWidth="1"/>
    <col min="4381" max="4381" width="7.125" style="255" customWidth="1"/>
    <col min="4382" max="4382" width="12.125" style="255" customWidth="1"/>
    <col min="4383" max="4383" width="8.25" style="255" customWidth="1"/>
    <col min="4384" max="4385" width="10.375" style="255" customWidth="1"/>
    <col min="4386" max="4386" width="15.625" style="255" customWidth="1"/>
    <col min="4387" max="4387" width="15.875" style="255" customWidth="1"/>
    <col min="4388" max="4388" width="8.125" style="255" customWidth="1"/>
    <col min="4389" max="4392" width="10.375" style="255" customWidth="1"/>
    <col min="4393" max="4393" width="7.25" style="255" customWidth="1"/>
    <col min="4394" max="4394" width="7.125" style="255" customWidth="1"/>
    <col min="4395" max="4395" width="9.5" style="255" customWidth="1"/>
    <col min="4396" max="4397" width="9" style="255" customWidth="1"/>
    <col min="4398" max="4398" width="16.125" style="255" customWidth="1"/>
    <col min="4399" max="4429" width="9" style="255" customWidth="1"/>
    <col min="4430" max="4589" width="25.25" style="255"/>
    <col min="4590" max="4619" width="9" style="255" customWidth="1"/>
    <col min="4620" max="4620" width="0.5" style="255" customWidth="1"/>
    <col min="4621" max="4621" width="25.25" style="255"/>
    <col min="4622" max="4622" width="0.5" style="255" customWidth="1"/>
    <col min="4623" max="4623" width="25.25" style="255"/>
    <col min="4624" max="4624" width="14.75" style="255" customWidth="1"/>
    <col min="4625" max="4625" width="11.5" style="255" customWidth="1"/>
    <col min="4626" max="4626" width="11.25" style="255" customWidth="1"/>
    <col min="4627" max="4627" width="10.75" style="255" customWidth="1"/>
    <col min="4628" max="4628" width="10" style="255" customWidth="1"/>
    <col min="4629" max="4629" width="9.875" style="255" customWidth="1"/>
    <col min="4630" max="4630" width="26.125" style="255" customWidth="1"/>
    <col min="4631" max="4631" width="11.125" style="255" customWidth="1"/>
    <col min="4632" max="4632" width="7.875" style="255" customWidth="1"/>
    <col min="4633" max="4633" width="7.25" style="255" customWidth="1"/>
    <col min="4634" max="4634" width="9.125" style="255" customWidth="1"/>
    <col min="4635" max="4635" width="15.125" style="255" customWidth="1"/>
    <col min="4636" max="4636" width="7.75" style="255" customWidth="1"/>
    <col min="4637" max="4637" width="7.125" style="255" customWidth="1"/>
    <col min="4638" max="4638" width="12.125" style="255" customWidth="1"/>
    <col min="4639" max="4639" width="8.25" style="255" customWidth="1"/>
    <col min="4640" max="4641" width="10.375" style="255" customWidth="1"/>
    <col min="4642" max="4642" width="15.625" style="255" customWidth="1"/>
    <col min="4643" max="4643" width="15.875" style="255" customWidth="1"/>
    <col min="4644" max="4644" width="8.125" style="255" customWidth="1"/>
    <col min="4645" max="4648" width="10.375" style="255" customWidth="1"/>
    <col min="4649" max="4649" width="7.25" style="255" customWidth="1"/>
    <col min="4650" max="4650" width="7.125" style="255" customWidth="1"/>
    <col min="4651" max="4651" width="9.5" style="255" customWidth="1"/>
    <col min="4652" max="4653" width="9" style="255" customWidth="1"/>
    <col min="4654" max="4654" width="16.125" style="255" customWidth="1"/>
    <col min="4655" max="4685" width="9" style="255" customWidth="1"/>
    <col min="4686" max="4845" width="25.25" style="255"/>
    <col min="4846" max="4875" width="9" style="255" customWidth="1"/>
    <col min="4876" max="4876" width="0.5" style="255" customWidth="1"/>
    <col min="4877" max="4877" width="25.25" style="255"/>
    <col min="4878" max="4878" width="0.5" style="255" customWidth="1"/>
    <col min="4879" max="4879" width="25.25" style="255"/>
    <col min="4880" max="4880" width="14.75" style="255" customWidth="1"/>
    <col min="4881" max="4881" width="11.5" style="255" customWidth="1"/>
    <col min="4882" max="4882" width="11.25" style="255" customWidth="1"/>
    <col min="4883" max="4883" width="10.75" style="255" customWidth="1"/>
    <col min="4884" max="4884" width="10" style="255" customWidth="1"/>
    <col min="4885" max="4885" width="9.875" style="255" customWidth="1"/>
    <col min="4886" max="4886" width="26.125" style="255" customWidth="1"/>
    <col min="4887" max="4887" width="11.125" style="255" customWidth="1"/>
    <col min="4888" max="4888" width="7.875" style="255" customWidth="1"/>
    <col min="4889" max="4889" width="7.25" style="255" customWidth="1"/>
    <col min="4890" max="4890" width="9.125" style="255" customWidth="1"/>
    <col min="4891" max="4891" width="15.125" style="255" customWidth="1"/>
    <col min="4892" max="4892" width="7.75" style="255" customWidth="1"/>
    <col min="4893" max="4893" width="7.125" style="255" customWidth="1"/>
    <col min="4894" max="4894" width="12.125" style="255" customWidth="1"/>
    <col min="4895" max="4895" width="8.25" style="255" customWidth="1"/>
    <col min="4896" max="4897" width="10.375" style="255" customWidth="1"/>
    <col min="4898" max="4898" width="15.625" style="255" customWidth="1"/>
    <col min="4899" max="4899" width="15.875" style="255" customWidth="1"/>
    <col min="4900" max="4900" width="8.125" style="255" customWidth="1"/>
    <col min="4901" max="4904" width="10.375" style="255" customWidth="1"/>
    <col min="4905" max="4905" width="7.25" style="255" customWidth="1"/>
    <col min="4906" max="4906" width="7.125" style="255" customWidth="1"/>
    <col min="4907" max="4907" width="9.5" style="255" customWidth="1"/>
    <col min="4908" max="4909" width="9" style="255" customWidth="1"/>
    <col min="4910" max="4910" width="16.125" style="255" customWidth="1"/>
    <col min="4911" max="4941" width="9" style="255" customWidth="1"/>
    <col min="4942" max="5101" width="25.25" style="255"/>
    <col min="5102" max="5131" width="9" style="255" customWidth="1"/>
    <col min="5132" max="5132" width="0.5" style="255" customWidth="1"/>
    <col min="5133" max="5133" width="25.25" style="255"/>
    <col min="5134" max="5134" width="0.5" style="255" customWidth="1"/>
    <col min="5135" max="5135" width="25.25" style="255"/>
    <col min="5136" max="5136" width="14.75" style="255" customWidth="1"/>
    <col min="5137" max="5137" width="11.5" style="255" customWidth="1"/>
    <col min="5138" max="5138" width="11.25" style="255" customWidth="1"/>
    <col min="5139" max="5139" width="10.75" style="255" customWidth="1"/>
    <col min="5140" max="5140" width="10" style="255" customWidth="1"/>
    <col min="5141" max="5141" width="9.875" style="255" customWidth="1"/>
    <col min="5142" max="5142" width="26.125" style="255" customWidth="1"/>
    <col min="5143" max="5143" width="11.125" style="255" customWidth="1"/>
    <col min="5144" max="5144" width="7.875" style="255" customWidth="1"/>
    <col min="5145" max="5145" width="7.25" style="255" customWidth="1"/>
    <col min="5146" max="5146" width="9.125" style="255" customWidth="1"/>
    <col min="5147" max="5147" width="15.125" style="255" customWidth="1"/>
    <col min="5148" max="5148" width="7.75" style="255" customWidth="1"/>
    <col min="5149" max="5149" width="7.125" style="255" customWidth="1"/>
    <col min="5150" max="5150" width="12.125" style="255" customWidth="1"/>
    <col min="5151" max="5151" width="8.25" style="255" customWidth="1"/>
    <col min="5152" max="5153" width="10.375" style="255" customWidth="1"/>
    <col min="5154" max="5154" width="15.625" style="255" customWidth="1"/>
    <col min="5155" max="5155" width="15.875" style="255" customWidth="1"/>
    <col min="5156" max="5156" width="8.125" style="255" customWidth="1"/>
    <col min="5157" max="5160" width="10.375" style="255" customWidth="1"/>
    <col min="5161" max="5161" width="7.25" style="255" customWidth="1"/>
    <col min="5162" max="5162" width="7.125" style="255" customWidth="1"/>
    <col min="5163" max="5163" width="9.5" style="255" customWidth="1"/>
    <col min="5164" max="5165" width="9" style="255" customWidth="1"/>
    <col min="5166" max="5166" width="16.125" style="255" customWidth="1"/>
    <col min="5167" max="5197" width="9" style="255" customWidth="1"/>
    <col min="5198" max="5357" width="25.25" style="255"/>
    <col min="5358" max="5387" width="9" style="255" customWidth="1"/>
    <col min="5388" max="5388" width="0.5" style="255" customWidth="1"/>
    <col min="5389" max="5389" width="25.25" style="255"/>
    <col min="5390" max="5390" width="0.5" style="255" customWidth="1"/>
    <col min="5391" max="5391" width="25.25" style="255"/>
    <col min="5392" max="5392" width="14.75" style="255" customWidth="1"/>
    <col min="5393" max="5393" width="11.5" style="255" customWidth="1"/>
    <col min="5394" max="5394" width="11.25" style="255" customWidth="1"/>
    <col min="5395" max="5395" width="10.75" style="255" customWidth="1"/>
    <col min="5396" max="5396" width="10" style="255" customWidth="1"/>
    <col min="5397" max="5397" width="9.875" style="255" customWidth="1"/>
    <col min="5398" max="5398" width="26.125" style="255" customWidth="1"/>
    <col min="5399" max="5399" width="11.125" style="255" customWidth="1"/>
    <col min="5400" max="5400" width="7.875" style="255" customWidth="1"/>
    <col min="5401" max="5401" width="7.25" style="255" customWidth="1"/>
    <col min="5402" max="5402" width="9.125" style="255" customWidth="1"/>
    <col min="5403" max="5403" width="15.125" style="255" customWidth="1"/>
    <col min="5404" max="5404" width="7.75" style="255" customWidth="1"/>
    <col min="5405" max="5405" width="7.125" style="255" customWidth="1"/>
    <col min="5406" max="5406" width="12.125" style="255" customWidth="1"/>
    <col min="5407" max="5407" width="8.25" style="255" customWidth="1"/>
    <col min="5408" max="5409" width="10.375" style="255" customWidth="1"/>
    <col min="5410" max="5410" width="15.625" style="255" customWidth="1"/>
    <col min="5411" max="5411" width="15.875" style="255" customWidth="1"/>
    <col min="5412" max="5412" width="8.125" style="255" customWidth="1"/>
    <col min="5413" max="5416" width="10.375" style="255" customWidth="1"/>
    <col min="5417" max="5417" width="7.25" style="255" customWidth="1"/>
    <col min="5418" max="5418" width="7.125" style="255" customWidth="1"/>
    <col min="5419" max="5419" width="9.5" style="255" customWidth="1"/>
    <col min="5420" max="5421" width="9" style="255" customWidth="1"/>
    <col min="5422" max="5422" width="16.125" style="255" customWidth="1"/>
    <col min="5423" max="5453" width="9" style="255" customWidth="1"/>
    <col min="5454" max="5613" width="25.25" style="255"/>
    <col min="5614" max="5643" width="9" style="255" customWidth="1"/>
    <col min="5644" max="5644" width="0.5" style="255" customWidth="1"/>
    <col min="5645" max="5645" width="25.25" style="255"/>
    <col min="5646" max="5646" width="0.5" style="255" customWidth="1"/>
    <col min="5647" max="5647" width="25.25" style="255"/>
    <col min="5648" max="5648" width="14.75" style="255" customWidth="1"/>
    <col min="5649" max="5649" width="11.5" style="255" customWidth="1"/>
    <col min="5650" max="5650" width="11.25" style="255" customWidth="1"/>
    <col min="5651" max="5651" width="10.75" style="255" customWidth="1"/>
    <col min="5652" max="5652" width="10" style="255" customWidth="1"/>
    <col min="5653" max="5653" width="9.875" style="255" customWidth="1"/>
    <col min="5654" max="5654" width="26.125" style="255" customWidth="1"/>
    <col min="5655" max="5655" width="11.125" style="255" customWidth="1"/>
    <col min="5656" max="5656" width="7.875" style="255" customWidth="1"/>
    <col min="5657" max="5657" width="7.25" style="255" customWidth="1"/>
    <col min="5658" max="5658" width="9.125" style="255" customWidth="1"/>
    <col min="5659" max="5659" width="15.125" style="255" customWidth="1"/>
    <col min="5660" max="5660" width="7.75" style="255" customWidth="1"/>
    <col min="5661" max="5661" width="7.125" style="255" customWidth="1"/>
    <col min="5662" max="5662" width="12.125" style="255" customWidth="1"/>
    <col min="5663" max="5663" width="8.25" style="255" customWidth="1"/>
    <col min="5664" max="5665" width="10.375" style="255" customWidth="1"/>
    <col min="5666" max="5666" width="15.625" style="255" customWidth="1"/>
    <col min="5667" max="5667" width="15.875" style="255" customWidth="1"/>
    <col min="5668" max="5668" width="8.125" style="255" customWidth="1"/>
    <col min="5669" max="5672" width="10.375" style="255" customWidth="1"/>
    <col min="5673" max="5673" width="7.25" style="255" customWidth="1"/>
    <col min="5674" max="5674" width="7.125" style="255" customWidth="1"/>
    <col min="5675" max="5675" width="9.5" style="255" customWidth="1"/>
    <col min="5676" max="5677" width="9" style="255" customWidth="1"/>
    <col min="5678" max="5678" width="16.125" style="255" customWidth="1"/>
    <col min="5679" max="5709" width="9" style="255" customWidth="1"/>
    <col min="5710" max="5869" width="25.25" style="255"/>
    <col min="5870" max="5899" width="9" style="255" customWidth="1"/>
    <col min="5900" max="5900" width="0.5" style="255" customWidth="1"/>
    <col min="5901" max="5901" width="25.25" style="255"/>
    <col min="5902" max="5902" width="0.5" style="255" customWidth="1"/>
    <col min="5903" max="5903" width="25.25" style="255"/>
    <col min="5904" max="5904" width="14.75" style="255" customWidth="1"/>
    <col min="5905" max="5905" width="11.5" style="255" customWidth="1"/>
    <col min="5906" max="5906" width="11.25" style="255" customWidth="1"/>
    <col min="5907" max="5907" width="10.75" style="255" customWidth="1"/>
    <col min="5908" max="5908" width="10" style="255" customWidth="1"/>
    <col min="5909" max="5909" width="9.875" style="255" customWidth="1"/>
    <col min="5910" max="5910" width="26.125" style="255" customWidth="1"/>
    <col min="5911" max="5911" width="11.125" style="255" customWidth="1"/>
    <col min="5912" max="5912" width="7.875" style="255" customWidth="1"/>
    <col min="5913" max="5913" width="7.25" style="255" customWidth="1"/>
    <col min="5914" max="5914" width="9.125" style="255" customWidth="1"/>
    <col min="5915" max="5915" width="15.125" style="255" customWidth="1"/>
    <col min="5916" max="5916" width="7.75" style="255" customWidth="1"/>
    <col min="5917" max="5917" width="7.125" style="255" customWidth="1"/>
    <col min="5918" max="5918" width="12.125" style="255" customWidth="1"/>
    <col min="5919" max="5919" width="8.25" style="255" customWidth="1"/>
    <col min="5920" max="5921" width="10.375" style="255" customWidth="1"/>
    <col min="5922" max="5922" width="15.625" style="255" customWidth="1"/>
    <col min="5923" max="5923" width="15.875" style="255" customWidth="1"/>
    <col min="5924" max="5924" width="8.125" style="255" customWidth="1"/>
    <col min="5925" max="5928" width="10.375" style="255" customWidth="1"/>
    <col min="5929" max="5929" width="7.25" style="255" customWidth="1"/>
    <col min="5930" max="5930" width="7.125" style="255" customWidth="1"/>
    <col min="5931" max="5931" width="9.5" style="255" customWidth="1"/>
    <col min="5932" max="5933" width="9" style="255" customWidth="1"/>
    <col min="5934" max="5934" width="16.125" style="255" customWidth="1"/>
    <col min="5935" max="5965" width="9" style="255" customWidth="1"/>
    <col min="5966" max="6125" width="25.25" style="255"/>
    <col min="6126" max="6155" width="9" style="255" customWidth="1"/>
    <col min="6156" max="6156" width="0.5" style="255" customWidth="1"/>
    <col min="6157" max="6157" width="25.25" style="255"/>
    <col min="6158" max="6158" width="0.5" style="255" customWidth="1"/>
    <col min="6159" max="6159" width="25.25" style="255"/>
    <col min="6160" max="6160" width="14.75" style="255" customWidth="1"/>
    <col min="6161" max="6161" width="11.5" style="255" customWidth="1"/>
    <col min="6162" max="6162" width="11.25" style="255" customWidth="1"/>
    <col min="6163" max="6163" width="10.75" style="255" customWidth="1"/>
    <col min="6164" max="6164" width="10" style="255" customWidth="1"/>
    <col min="6165" max="6165" width="9.875" style="255" customWidth="1"/>
    <col min="6166" max="6166" width="26.125" style="255" customWidth="1"/>
    <col min="6167" max="6167" width="11.125" style="255" customWidth="1"/>
    <col min="6168" max="6168" width="7.875" style="255" customWidth="1"/>
    <col min="6169" max="6169" width="7.25" style="255" customWidth="1"/>
    <col min="6170" max="6170" width="9.125" style="255" customWidth="1"/>
    <col min="6171" max="6171" width="15.125" style="255" customWidth="1"/>
    <col min="6172" max="6172" width="7.75" style="255" customWidth="1"/>
    <col min="6173" max="6173" width="7.125" style="255" customWidth="1"/>
    <col min="6174" max="6174" width="12.125" style="255" customWidth="1"/>
    <col min="6175" max="6175" width="8.25" style="255" customWidth="1"/>
    <col min="6176" max="6177" width="10.375" style="255" customWidth="1"/>
    <col min="6178" max="6178" width="15.625" style="255" customWidth="1"/>
    <col min="6179" max="6179" width="15.875" style="255" customWidth="1"/>
    <col min="6180" max="6180" width="8.125" style="255" customWidth="1"/>
    <col min="6181" max="6184" width="10.375" style="255" customWidth="1"/>
    <col min="6185" max="6185" width="7.25" style="255" customWidth="1"/>
    <col min="6186" max="6186" width="7.125" style="255" customWidth="1"/>
    <col min="6187" max="6187" width="9.5" style="255" customWidth="1"/>
    <col min="6188" max="6189" width="9" style="255" customWidth="1"/>
    <col min="6190" max="6190" width="16.125" style="255" customWidth="1"/>
    <col min="6191" max="6221" width="9" style="255" customWidth="1"/>
    <col min="6222" max="6381" width="25.25" style="255"/>
    <col min="6382" max="6411" width="9" style="255" customWidth="1"/>
    <col min="6412" max="6412" width="0.5" style="255" customWidth="1"/>
    <col min="6413" max="6413" width="25.25" style="255"/>
    <col min="6414" max="6414" width="0.5" style="255" customWidth="1"/>
    <col min="6415" max="6415" width="25.25" style="255"/>
    <col min="6416" max="6416" width="14.75" style="255" customWidth="1"/>
    <col min="6417" max="6417" width="11.5" style="255" customWidth="1"/>
    <col min="6418" max="6418" width="11.25" style="255" customWidth="1"/>
    <col min="6419" max="6419" width="10.75" style="255" customWidth="1"/>
    <col min="6420" max="6420" width="10" style="255" customWidth="1"/>
    <col min="6421" max="6421" width="9.875" style="255" customWidth="1"/>
    <col min="6422" max="6422" width="26.125" style="255" customWidth="1"/>
    <col min="6423" max="6423" width="11.125" style="255" customWidth="1"/>
    <col min="6424" max="6424" width="7.875" style="255" customWidth="1"/>
    <col min="6425" max="6425" width="7.25" style="255" customWidth="1"/>
    <col min="6426" max="6426" width="9.125" style="255" customWidth="1"/>
    <col min="6427" max="6427" width="15.125" style="255" customWidth="1"/>
    <col min="6428" max="6428" width="7.75" style="255" customWidth="1"/>
    <col min="6429" max="6429" width="7.125" style="255" customWidth="1"/>
    <col min="6430" max="6430" width="12.125" style="255" customWidth="1"/>
    <col min="6431" max="6431" width="8.25" style="255" customWidth="1"/>
    <col min="6432" max="6433" width="10.375" style="255" customWidth="1"/>
    <col min="6434" max="6434" width="15.625" style="255" customWidth="1"/>
    <col min="6435" max="6435" width="15.875" style="255" customWidth="1"/>
    <col min="6436" max="6436" width="8.125" style="255" customWidth="1"/>
    <col min="6437" max="6440" width="10.375" style="255" customWidth="1"/>
    <col min="6441" max="6441" width="7.25" style="255" customWidth="1"/>
    <col min="6442" max="6442" width="7.125" style="255" customWidth="1"/>
    <col min="6443" max="6443" width="9.5" style="255" customWidth="1"/>
    <col min="6444" max="6445" width="9" style="255" customWidth="1"/>
    <col min="6446" max="6446" width="16.125" style="255" customWidth="1"/>
    <col min="6447" max="6477" width="9" style="255" customWidth="1"/>
    <col min="6478" max="6637" width="25.25" style="255"/>
    <col min="6638" max="6667" width="9" style="255" customWidth="1"/>
    <col min="6668" max="6668" width="0.5" style="255" customWidth="1"/>
    <col min="6669" max="6669" width="25.25" style="255"/>
    <col min="6670" max="6670" width="0.5" style="255" customWidth="1"/>
    <col min="6671" max="6671" width="25.25" style="255"/>
    <col min="6672" max="6672" width="14.75" style="255" customWidth="1"/>
    <col min="6673" max="6673" width="11.5" style="255" customWidth="1"/>
    <col min="6674" max="6674" width="11.25" style="255" customWidth="1"/>
    <col min="6675" max="6675" width="10.75" style="255" customWidth="1"/>
    <col min="6676" max="6676" width="10" style="255" customWidth="1"/>
    <col min="6677" max="6677" width="9.875" style="255" customWidth="1"/>
    <col min="6678" max="6678" width="26.125" style="255" customWidth="1"/>
    <col min="6679" max="6679" width="11.125" style="255" customWidth="1"/>
    <col min="6680" max="6680" width="7.875" style="255" customWidth="1"/>
    <col min="6681" max="6681" width="7.25" style="255" customWidth="1"/>
    <col min="6682" max="6682" width="9.125" style="255" customWidth="1"/>
    <col min="6683" max="6683" width="15.125" style="255" customWidth="1"/>
    <col min="6684" max="6684" width="7.75" style="255" customWidth="1"/>
    <col min="6685" max="6685" width="7.125" style="255" customWidth="1"/>
    <col min="6686" max="6686" width="12.125" style="255" customWidth="1"/>
    <col min="6687" max="6687" width="8.25" style="255" customWidth="1"/>
    <col min="6688" max="6689" width="10.375" style="255" customWidth="1"/>
    <col min="6690" max="6690" width="15.625" style="255" customWidth="1"/>
    <col min="6691" max="6691" width="15.875" style="255" customWidth="1"/>
    <col min="6692" max="6692" width="8.125" style="255" customWidth="1"/>
    <col min="6693" max="6696" width="10.375" style="255" customWidth="1"/>
    <col min="6697" max="6697" width="7.25" style="255" customWidth="1"/>
    <col min="6698" max="6698" width="7.125" style="255" customWidth="1"/>
    <col min="6699" max="6699" width="9.5" style="255" customWidth="1"/>
    <col min="6700" max="6701" width="9" style="255" customWidth="1"/>
    <col min="6702" max="6702" width="16.125" style="255" customWidth="1"/>
    <col min="6703" max="6733" width="9" style="255" customWidth="1"/>
    <col min="6734" max="6893" width="25.25" style="255"/>
    <col min="6894" max="6923" width="9" style="255" customWidth="1"/>
    <col min="6924" max="6924" width="0.5" style="255" customWidth="1"/>
    <col min="6925" max="6925" width="25.25" style="255"/>
    <col min="6926" max="6926" width="0.5" style="255" customWidth="1"/>
    <col min="6927" max="6927" width="25.25" style="255"/>
    <col min="6928" max="6928" width="14.75" style="255" customWidth="1"/>
    <col min="6929" max="6929" width="11.5" style="255" customWidth="1"/>
    <col min="6930" max="6930" width="11.25" style="255" customWidth="1"/>
    <col min="6931" max="6931" width="10.75" style="255" customWidth="1"/>
    <col min="6932" max="6932" width="10" style="255" customWidth="1"/>
    <col min="6933" max="6933" width="9.875" style="255" customWidth="1"/>
    <col min="6934" max="6934" width="26.125" style="255" customWidth="1"/>
    <col min="6935" max="6935" width="11.125" style="255" customWidth="1"/>
    <col min="6936" max="6936" width="7.875" style="255" customWidth="1"/>
    <col min="6937" max="6937" width="7.25" style="255" customWidth="1"/>
    <col min="6938" max="6938" width="9.125" style="255" customWidth="1"/>
    <col min="6939" max="6939" width="15.125" style="255" customWidth="1"/>
    <col min="6940" max="6940" width="7.75" style="255" customWidth="1"/>
    <col min="6941" max="6941" width="7.125" style="255" customWidth="1"/>
    <col min="6942" max="6942" width="12.125" style="255" customWidth="1"/>
    <col min="6943" max="6943" width="8.25" style="255" customWidth="1"/>
    <col min="6944" max="6945" width="10.375" style="255" customWidth="1"/>
    <col min="6946" max="6946" width="15.625" style="255" customWidth="1"/>
    <col min="6947" max="6947" width="15.875" style="255" customWidth="1"/>
    <col min="6948" max="6948" width="8.125" style="255" customWidth="1"/>
    <col min="6949" max="6952" width="10.375" style="255" customWidth="1"/>
    <col min="6953" max="6953" width="7.25" style="255" customWidth="1"/>
    <col min="6954" max="6954" width="7.125" style="255" customWidth="1"/>
    <col min="6955" max="6955" width="9.5" style="255" customWidth="1"/>
    <col min="6956" max="6957" width="9" style="255" customWidth="1"/>
    <col min="6958" max="6958" width="16.125" style="255" customWidth="1"/>
    <col min="6959" max="6989" width="9" style="255" customWidth="1"/>
    <col min="6990" max="7149" width="25.25" style="255"/>
    <col min="7150" max="7179" width="9" style="255" customWidth="1"/>
    <col min="7180" max="7180" width="0.5" style="255" customWidth="1"/>
    <col min="7181" max="7181" width="25.25" style="255"/>
    <col min="7182" max="7182" width="0.5" style="255" customWidth="1"/>
    <col min="7183" max="7183" width="25.25" style="255"/>
    <col min="7184" max="7184" width="14.75" style="255" customWidth="1"/>
    <col min="7185" max="7185" width="11.5" style="255" customWidth="1"/>
    <col min="7186" max="7186" width="11.25" style="255" customWidth="1"/>
    <col min="7187" max="7187" width="10.75" style="255" customWidth="1"/>
    <col min="7188" max="7188" width="10" style="255" customWidth="1"/>
    <col min="7189" max="7189" width="9.875" style="255" customWidth="1"/>
    <col min="7190" max="7190" width="26.125" style="255" customWidth="1"/>
    <col min="7191" max="7191" width="11.125" style="255" customWidth="1"/>
    <col min="7192" max="7192" width="7.875" style="255" customWidth="1"/>
    <col min="7193" max="7193" width="7.25" style="255" customWidth="1"/>
    <col min="7194" max="7194" width="9.125" style="255" customWidth="1"/>
    <col min="7195" max="7195" width="15.125" style="255" customWidth="1"/>
    <col min="7196" max="7196" width="7.75" style="255" customWidth="1"/>
    <col min="7197" max="7197" width="7.125" style="255" customWidth="1"/>
    <col min="7198" max="7198" width="12.125" style="255" customWidth="1"/>
    <col min="7199" max="7199" width="8.25" style="255" customWidth="1"/>
    <col min="7200" max="7201" width="10.375" style="255" customWidth="1"/>
    <col min="7202" max="7202" width="15.625" style="255" customWidth="1"/>
    <col min="7203" max="7203" width="15.875" style="255" customWidth="1"/>
    <col min="7204" max="7204" width="8.125" style="255" customWidth="1"/>
    <col min="7205" max="7208" width="10.375" style="255" customWidth="1"/>
    <col min="7209" max="7209" width="7.25" style="255" customWidth="1"/>
    <col min="7210" max="7210" width="7.125" style="255" customWidth="1"/>
    <col min="7211" max="7211" width="9.5" style="255" customWidth="1"/>
    <col min="7212" max="7213" width="9" style="255" customWidth="1"/>
    <col min="7214" max="7214" width="16.125" style="255" customWidth="1"/>
    <col min="7215" max="7245" width="9" style="255" customWidth="1"/>
    <col min="7246" max="7405" width="25.25" style="255"/>
    <col min="7406" max="7435" width="9" style="255" customWidth="1"/>
    <col min="7436" max="7436" width="0.5" style="255" customWidth="1"/>
    <col min="7437" max="7437" width="25.25" style="255"/>
    <col min="7438" max="7438" width="0.5" style="255" customWidth="1"/>
    <col min="7439" max="7439" width="25.25" style="255"/>
    <col min="7440" max="7440" width="14.75" style="255" customWidth="1"/>
    <col min="7441" max="7441" width="11.5" style="255" customWidth="1"/>
    <col min="7442" max="7442" width="11.25" style="255" customWidth="1"/>
    <col min="7443" max="7443" width="10.75" style="255" customWidth="1"/>
    <col min="7444" max="7444" width="10" style="255" customWidth="1"/>
    <col min="7445" max="7445" width="9.875" style="255" customWidth="1"/>
    <col min="7446" max="7446" width="26.125" style="255" customWidth="1"/>
    <col min="7447" max="7447" width="11.125" style="255" customWidth="1"/>
    <col min="7448" max="7448" width="7.875" style="255" customWidth="1"/>
    <col min="7449" max="7449" width="7.25" style="255" customWidth="1"/>
    <col min="7450" max="7450" width="9.125" style="255" customWidth="1"/>
    <col min="7451" max="7451" width="15.125" style="255" customWidth="1"/>
    <col min="7452" max="7452" width="7.75" style="255" customWidth="1"/>
    <col min="7453" max="7453" width="7.125" style="255" customWidth="1"/>
    <col min="7454" max="7454" width="12.125" style="255" customWidth="1"/>
    <col min="7455" max="7455" width="8.25" style="255" customWidth="1"/>
    <col min="7456" max="7457" width="10.375" style="255" customWidth="1"/>
    <col min="7458" max="7458" width="15.625" style="255" customWidth="1"/>
    <col min="7459" max="7459" width="15.875" style="255" customWidth="1"/>
    <col min="7460" max="7460" width="8.125" style="255" customWidth="1"/>
    <col min="7461" max="7464" width="10.375" style="255" customWidth="1"/>
    <col min="7465" max="7465" width="7.25" style="255" customWidth="1"/>
    <col min="7466" max="7466" width="7.125" style="255" customWidth="1"/>
    <col min="7467" max="7467" width="9.5" style="255" customWidth="1"/>
    <col min="7468" max="7469" width="9" style="255" customWidth="1"/>
    <col min="7470" max="7470" width="16.125" style="255" customWidth="1"/>
    <col min="7471" max="7501" width="9" style="255" customWidth="1"/>
    <col min="7502" max="7661" width="25.25" style="255"/>
    <col min="7662" max="7691" width="9" style="255" customWidth="1"/>
    <col min="7692" max="7692" width="0.5" style="255" customWidth="1"/>
    <col min="7693" max="7693" width="25.25" style="255"/>
    <col min="7694" max="7694" width="0.5" style="255" customWidth="1"/>
    <col min="7695" max="7695" width="25.25" style="255"/>
    <col min="7696" max="7696" width="14.75" style="255" customWidth="1"/>
    <col min="7697" max="7697" width="11.5" style="255" customWidth="1"/>
    <col min="7698" max="7698" width="11.25" style="255" customWidth="1"/>
    <col min="7699" max="7699" width="10.75" style="255" customWidth="1"/>
    <col min="7700" max="7700" width="10" style="255" customWidth="1"/>
    <col min="7701" max="7701" width="9.875" style="255" customWidth="1"/>
    <col min="7702" max="7702" width="26.125" style="255" customWidth="1"/>
    <col min="7703" max="7703" width="11.125" style="255" customWidth="1"/>
    <col min="7704" max="7704" width="7.875" style="255" customWidth="1"/>
    <col min="7705" max="7705" width="7.25" style="255" customWidth="1"/>
    <col min="7706" max="7706" width="9.125" style="255" customWidth="1"/>
    <col min="7707" max="7707" width="15.125" style="255" customWidth="1"/>
    <col min="7708" max="7708" width="7.75" style="255" customWidth="1"/>
    <col min="7709" max="7709" width="7.125" style="255" customWidth="1"/>
    <col min="7710" max="7710" width="12.125" style="255" customWidth="1"/>
    <col min="7711" max="7711" width="8.25" style="255" customWidth="1"/>
    <col min="7712" max="7713" width="10.375" style="255" customWidth="1"/>
    <col min="7714" max="7714" width="15.625" style="255" customWidth="1"/>
    <col min="7715" max="7715" width="15.875" style="255" customWidth="1"/>
    <col min="7716" max="7716" width="8.125" style="255" customWidth="1"/>
    <col min="7717" max="7720" width="10.375" style="255" customWidth="1"/>
    <col min="7721" max="7721" width="7.25" style="255" customWidth="1"/>
    <col min="7722" max="7722" width="7.125" style="255" customWidth="1"/>
    <col min="7723" max="7723" width="9.5" style="255" customWidth="1"/>
    <col min="7724" max="7725" width="9" style="255" customWidth="1"/>
    <col min="7726" max="7726" width="16.125" style="255" customWidth="1"/>
    <col min="7727" max="7757" width="9" style="255" customWidth="1"/>
    <col min="7758" max="7917" width="25.25" style="255"/>
    <col min="7918" max="7947" width="9" style="255" customWidth="1"/>
    <col min="7948" max="7948" width="0.5" style="255" customWidth="1"/>
    <col min="7949" max="7949" width="25.25" style="255"/>
    <col min="7950" max="7950" width="0.5" style="255" customWidth="1"/>
    <col min="7951" max="7951" width="25.25" style="255"/>
    <col min="7952" max="7952" width="14.75" style="255" customWidth="1"/>
    <col min="7953" max="7953" width="11.5" style="255" customWidth="1"/>
    <col min="7954" max="7954" width="11.25" style="255" customWidth="1"/>
    <col min="7955" max="7955" width="10.75" style="255" customWidth="1"/>
    <col min="7956" max="7956" width="10" style="255" customWidth="1"/>
    <col min="7957" max="7957" width="9.875" style="255" customWidth="1"/>
    <col min="7958" max="7958" width="26.125" style="255" customWidth="1"/>
    <col min="7959" max="7959" width="11.125" style="255" customWidth="1"/>
    <col min="7960" max="7960" width="7.875" style="255" customWidth="1"/>
    <col min="7961" max="7961" width="7.25" style="255" customWidth="1"/>
    <col min="7962" max="7962" width="9.125" style="255" customWidth="1"/>
    <col min="7963" max="7963" width="15.125" style="255" customWidth="1"/>
    <col min="7964" max="7964" width="7.75" style="255" customWidth="1"/>
    <col min="7965" max="7965" width="7.125" style="255" customWidth="1"/>
    <col min="7966" max="7966" width="12.125" style="255" customWidth="1"/>
    <col min="7967" max="7967" width="8.25" style="255" customWidth="1"/>
    <col min="7968" max="7969" width="10.375" style="255" customWidth="1"/>
    <col min="7970" max="7970" width="15.625" style="255" customWidth="1"/>
    <col min="7971" max="7971" width="15.875" style="255" customWidth="1"/>
    <col min="7972" max="7972" width="8.125" style="255" customWidth="1"/>
    <col min="7973" max="7976" width="10.375" style="255" customWidth="1"/>
    <col min="7977" max="7977" width="7.25" style="255" customWidth="1"/>
    <col min="7978" max="7978" width="7.125" style="255" customWidth="1"/>
    <col min="7979" max="7979" width="9.5" style="255" customWidth="1"/>
    <col min="7980" max="7981" width="9" style="255" customWidth="1"/>
    <col min="7982" max="7982" width="16.125" style="255" customWidth="1"/>
    <col min="7983" max="8013" width="9" style="255" customWidth="1"/>
    <col min="8014" max="8173" width="25.25" style="255"/>
    <col min="8174" max="8203" width="9" style="255" customWidth="1"/>
    <col min="8204" max="8204" width="0.5" style="255" customWidth="1"/>
    <col min="8205" max="8205" width="25.25" style="255"/>
    <col min="8206" max="8206" width="0.5" style="255" customWidth="1"/>
    <col min="8207" max="8207" width="25.25" style="255"/>
    <col min="8208" max="8208" width="14.75" style="255" customWidth="1"/>
    <col min="8209" max="8209" width="11.5" style="255" customWidth="1"/>
    <col min="8210" max="8210" width="11.25" style="255" customWidth="1"/>
    <col min="8211" max="8211" width="10.75" style="255" customWidth="1"/>
    <col min="8212" max="8212" width="10" style="255" customWidth="1"/>
    <col min="8213" max="8213" width="9.875" style="255" customWidth="1"/>
    <col min="8214" max="8214" width="26.125" style="255" customWidth="1"/>
    <col min="8215" max="8215" width="11.125" style="255" customWidth="1"/>
    <col min="8216" max="8216" width="7.875" style="255" customWidth="1"/>
    <col min="8217" max="8217" width="7.25" style="255" customWidth="1"/>
    <col min="8218" max="8218" width="9.125" style="255" customWidth="1"/>
    <col min="8219" max="8219" width="15.125" style="255" customWidth="1"/>
    <col min="8220" max="8220" width="7.75" style="255" customWidth="1"/>
    <col min="8221" max="8221" width="7.125" style="255" customWidth="1"/>
    <col min="8222" max="8222" width="12.125" style="255" customWidth="1"/>
    <col min="8223" max="8223" width="8.25" style="255" customWidth="1"/>
    <col min="8224" max="8225" width="10.375" style="255" customWidth="1"/>
    <col min="8226" max="8226" width="15.625" style="255" customWidth="1"/>
    <col min="8227" max="8227" width="15.875" style="255" customWidth="1"/>
    <col min="8228" max="8228" width="8.125" style="255" customWidth="1"/>
    <col min="8229" max="8232" width="10.375" style="255" customWidth="1"/>
    <col min="8233" max="8233" width="7.25" style="255" customWidth="1"/>
    <col min="8234" max="8234" width="7.125" style="255" customWidth="1"/>
    <col min="8235" max="8235" width="9.5" style="255" customWidth="1"/>
    <col min="8236" max="8237" width="9" style="255" customWidth="1"/>
    <col min="8238" max="8238" width="16.125" style="255" customWidth="1"/>
    <col min="8239" max="8269" width="9" style="255" customWidth="1"/>
    <col min="8270" max="8429" width="25.25" style="255"/>
    <col min="8430" max="8459" width="9" style="255" customWidth="1"/>
    <col min="8460" max="8460" width="0.5" style="255" customWidth="1"/>
    <col min="8461" max="8461" width="25.25" style="255"/>
    <col min="8462" max="8462" width="0.5" style="255" customWidth="1"/>
    <col min="8463" max="8463" width="25.25" style="255"/>
    <col min="8464" max="8464" width="14.75" style="255" customWidth="1"/>
    <col min="8465" max="8465" width="11.5" style="255" customWidth="1"/>
    <col min="8466" max="8466" width="11.25" style="255" customWidth="1"/>
    <col min="8467" max="8467" width="10.75" style="255" customWidth="1"/>
    <col min="8468" max="8468" width="10" style="255" customWidth="1"/>
    <col min="8469" max="8469" width="9.875" style="255" customWidth="1"/>
    <col min="8470" max="8470" width="26.125" style="255" customWidth="1"/>
    <col min="8471" max="8471" width="11.125" style="255" customWidth="1"/>
    <col min="8472" max="8472" width="7.875" style="255" customWidth="1"/>
    <col min="8473" max="8473" width="7.25" style="255" customWidth="1"/>
    <col min="8474" max="8474" width="9.125" style="255" customWidth="1"/>
    <col min="8475" max="8475" width="15.125" style="255" customWidth="1"/>
    <col min="8476" max="8476" width="7.75" style="255" customWidth="1"/>
    <col min="8477" max="8477" width="7.125" style="255" customWidth="1"/>
    <col min="8478" max="8478" width="12.125" style="255" customWidth="1"/>
    <col min="8479" max="8479" width="8.25" style="255" customWidth="1"/>
    <col min="8480" max="8481" width="10.375" style="255" customWidth="1"/>
    <col min="8482" max="8482" width="15.625" style="255" customWidth="1"/>
    <col min="8483" max="8483" width="15.875" style="255" customWidth="1"/>
    <col min="8484" max="8484" width="8.125" style="255" customWidth="1"/>
    <col min="8485" max="8488" width="10.375" style="255" customWidth="1"/>
    <col min="8489" max="8489" width="7.25" style="255" customWidth="1"/>
    <col min="8490" max="8490" width="7.125" style="255" customWidth="1"/>
    <col min="8491" max="8491" width="9.5" style="255" customWidth="1"/>
    <col min="8492" max="8493" width="9" style="255" customWidth="1"/>
    <col min="8494" max="8494" width="16.125" style="255" customWidth="1"/>
    <col min="8495" max="8525" width="9" style="255" customWidth="1"/>
    <col min="8526" max="8685" width="25.25" style="255"/>
    <col min="8686" max="8715" width="9" style="255" customWidth="1"/>
    <col min="8716" max="8716" width="0.5" style="255" customWidth="1"/>
    <col min="8717" max="8717" width="25.25" style="255"/>
    <col min="8718" max="8718" width="0.5" style="255" customWidth="1"/>
    <col min="8719" max="8719" width="25.25" style="255"/>
    <col min="8720" max="8720" width="14.75" style="255" customWidth="1"/>
    <col min="8721" max="8721" width="11.5" style="255" customWidth="1"/>
    <col min="8722" max="8722" width="11.25" style="255" customWidth="1"/>
    <col min="8723" max="8723" width="10.75" style="255" customWidth="1"/>
    <col min="8724" max="8724" width="10" style="255" customWidth="1"/>
    <col min="8725" max="8725" width="9.875" style="255" customWidth="1"/>
    <col min="8726" max="8726" width="26.125" style="255" customWidth="1"/>
    <col min="8727" max="8727" width="11.125" style="255" customWidth="1"/>
    <col min="8728" max="8728" width="7.875" style="255" customWidth="1"/>
    <col min="8729" max="8729" width="7.25" style="255" customWidth="1"/>
    <col min="8730" max="8730" width="9.125" style="255" customWidth="1"/>
    <col min="8731" max="8731" width="15.125" style="255" customWidth="1"/>
    <col min="8732" max="8732" width="7.75" style="255" customWidth="1"/>
    <col min="8733" max="8733" width="7.125" style="255" customWidth="1"/>
    <col min="8734" max="8734" width="12.125" style="255" customWidth="1"/>
    <col min="8735" max="8735" width="8.25" style="255" customWidth="1"/>
    <col min="8736" max="8737" width="10.375" style="255" customWidth="1"/>
    <col min="8738" max="8738" width="15.625" style="255" customWidth="1"/>
    <col min="8739" max="8739" width="15.875" style="255" customWidth="1"/>
    <col min="8740" max="8740" width="8.125" style="255" customWidth="1"/>
    <col min="8741" max="8744" width="10.375" style="255" customWidth="1"/>
    <col min="8745" max="8745" width="7.25" style="255" customWidth="1"/>
    <col min="8746" max="8746" width="7.125" style="255" customWidth="1"/>
    <col min="8747" max="8747" width="9.5" style="255" customWidth="1"/>
    <col min="8748" max="8749" width="9" style="255" customWidth="1"/>
    <col min="8750" max="8750" width="16.125" style="255" customWidth="1"/>
    <col min="8751" max="8781" width="9" style="255" customWidth="1"/>
    <col min="8782" max="8941" width="25.25" style="255"/>
    <col min="8942" max="8971" width="9" style="255" customWidth="1"/>
    <col min="8972" max="8972" width="0.5" style="255" customWidth="1"/>
    <col min="8973" max="8973" width="25.25" style="255"/>
    <col min="8974" max="8974" width="0.5" style="255" customWidth="1"/>
    <col min="8975" max="8975" width="25.25" style="255"/>
    <col min="8976" max="8976" width="14.75" style="255" customWidth="1"/>
    <col min="8977" max="8977" width="11.5" style="255" customWidth="1"/>
    <col min="8978" max="8978" width="11.25" style="255" customWidth="1"/>
    <col min="8979" max="8979" width="10.75" style="255" customWidth="1"/>
    <col min="8980" max="8980" width="10" style="255" customWidth="1"/>
    <col min="8981" max="8981" width="9.875" style="255" customWidth="1"/>
    <col min="8982" max="8982" width="26.125" style="255" customWidth="1"/>
    <col min="8983" max="8983" width="11.125" style="255" customWidth="1"/>
    <col min="8984" max="8984" width="7.875" style="255" customWidth="1"/>
    <col min="8985" max="8985" width="7.25" style="255" customWidth="1"/>
    <col min="8986" max="8986" width="9.125" style="255" customWidth="1"/>
    <col min="8987" max="8987" width="15.125" style="255" customWidth="1"/>
    <col min="8988" max="8988" width="7.75" style="255" customWidth="1"/>
    <col min="8989" max="8989" width="7.125" style="255" customWidth="1"/>
    <col min="8990" max="8990" width="12.125" style="255" customWidth="1"/>
    <col min="8991" max="8991" width="8.25" style="255" customWidth="1"/>
    <col min="8992" max="8993" width="10.375" style="255" customWidth="1"/>
    <col min="8994" max="8994" width="15.625" style="255" customWidth="1"/>
    <col min="8995" max="8995" width="15.875" style="255" customWidth="1"/>
    <col min="8996" max="8996" width="8.125" style="255" customWidth="1"/>
    <col min="8997" max="9000" width="10.375" style="255" customWidth="1"/>
    <col min="9001" max="9001" width="7.25" style="255" customWidth="1"/>
    <col min="9002" max="9002" width="7.125" style="255" customWidth="1"/>
    <col min="9003" max="9003" width="9.5" style="255" customWidth="1"/>
    <col min="9004" max="9005" width="9" style="255" customWidth="1"/>
    <col min="9006" max="9006" width="16.125" style="255" customWidth="1"/>
    <col min="9007" max="9037" width="9" style="255" customWidth="1"/>
    <col min="9038" max="9197" width="25.25" style="255"/>
    <col min="9198" max="9227" width="9" style="255" customWidth="1"/>
    <col min="9228" max="9228" width="0.5" style="255" customWidth="1"/>
    <col min="9229" max="9229" width="25.25" style="255"/>
    <col min="9230" max="9230" width="0.5" style="255" customWidth="1"/>
    <col min="9231" max="9231" width="25.25" style="255"/>
    <col min="9232" max="9232" width="14.75" style="255" customWidth="1"/>
    <col min="9233" max="9233" width="11.5" style="255" customWidth="1"/>
    <col min="9234" max="9234" width="11.25" style="255" customWidth="1"/>
    <col min="9235" max="9235" width="10.75" style="255" customWidth="1"/>
    <col min="9236" max="9236" width="10" style="255" customWidth="1"/>
    <col min="9237" max="9237" width="9.875" style="255" customWidth="1"/>
    <col min="9238" max="9238" width="26.125" style="255" customWidth="1"/>
    <col min="9239" max="9239" width="11.125" style="255" customWidth="1"/>
    <col min="9240" max="9240" width="7.875" style="255" customWidth="1"/>
    <col min="9241" max="9241" width="7.25" style="255" customWidth="1"/>
    <col min="9242" max="9242" width="9.125" style="255" customWidth="1"/>
    <col min="9243" max="9243" width="15.125" style="255" customWidth="1"/>
    <col min="9244" max="9244" width="7.75" style="255" customWidth="1"/>
    <col min="9245" max="9245" width="7.125" style="255" customWidth="1"/>
    <col min="9246" max="9246" width="12.125" style="255" customWidth="1"/>
    <col min="9247" max="9247" width="8.25" style="255" customWidth="1"/>
    <col min="9248" max="9249" width="10.375" style="255" customWidth="1"/>
    <col min="9250" max="9250" width="15.625" style="255" customWidth="1"/>
    <col min="9251" max="9251" width="15.875" style="255" customWidth="1"/>
    <col min="9252" max="9252" width="8.125" style="255" customWidth="1"/>
    <col min="9253" max="9256" width="10.375" style="255" customWidth="1"/>
    <col min="9257" max="9257" width="7.25" style="255" customWidth="1"/>
    <col min="9258" max="9258" width="7.125" style="255" customWidth="1"/>
    <col min="9259" max="9259" width="9.5" style="255" customWidth="1"/>
    <col min="9260" max="9261" width="9" style="255" customWidth="1"/>
    <col min="9262" max="9262" width="16.125" style="255" customWidth="1"/>
    <col min="9263" max="9293" width="9" style="255" customWidth="1"/>
    <col min="9294" max="9453" width="25.25" style="255"/>
    <col min="9454" max="9483" width="9" style="255" customWidth="1"/>
    <col min="9484" max="9484" width="0.5" style="255" customWidth="1"/>
    <col min="9485" max="9485" width="25.25" style="255"/>
    <col min="9486" max="9486" width="0.5" style="255" customWidth="1"/>
    <col min="9487" max="9487" width="25.25" style="255"/>
    <col min="9488" max="9488" width="14.75" style="255" customWidth="1"/>
    <col min="9489" max="9489" width="11.5" style="255" customWidth="1"/>
    <col min="9490" max="9490" width="11.25" style="255" customWidth="1"/>
    <col min="9491" max="9491" width="10.75" style="255" customWidth="1"/>
    <col min="9492" max="9492" width="10" style="255" customWidth="1"/>
    <col min="9493" max="9493" width="9.875" style="255" customWidth="1"/>
    <col min="9494" max="9494" width="26.125" style="255" customWidth="1"/>
    <col min="9495" max="9495" width="11.125" style="255" customWidth="1"/>
    <col min="9496" max="9496" width="7.875" style="255" customWidth="1"/>
    <col min="9497" max="9497" width="7.25" style="255" customWidth="1"/>
    <col min="9498" max="9498" width="9.125" style="255" customWidth="1"/>
    <col min="9499" max="9499" width="15.125" style="255" customWidth="1"/>
    <col min="9500" max="9500" width="7.75" style="255" customWidth="1"/>
    <col min="9501" max="9501" width="7.125" style="255" customWidth="1"/>
    <col min="9502" max="9502" width="12.125" style="255" customWidth="1"/>
    <col min="9503" max="9503" width="8.25" style="255" customWidth="1"/>
    <col min="9504" max="9505" width="10.375" style="255" customWidth="1"/>
    <col min="9506" max="9506" width="15.625" style="255" customWidth="1"/>
    <col min="9507" max="9507" width="15.875" style="255" customWidth="1"/>
    <col min="9508" max="9508" width="8.125" style="255" customWidth="1"/>
    <col min="9509" max="9512" width="10.375" style="255" customWidth="1"/>
    <col min="9513" max="9513" width="7.25" style="255" customWidth="1"/>
    <col min="9514" max="9514" width="7.125" style="255" customWidth="1"/>
    <col min="9515" max="9515" width="9.5" style="255" customWidth="1"/>
    <col min="9516" max="9517" width="9" style="255" customWidth="1"/>
    <col min="9518" max="9518" width="16.125" style="255" customWidth="1"/>
    <col min="9519" max="9549" width="9" style="255" customWidth="1"/>
    <col min="9550" max="9709" width="25.25" style="255"/>
    <col min="9710" max="9739" width="9" style="255" customWidth="1"/>
    <col min="9740" max="9740" width="0.5" style="255" customWidth="1"/>
    <col min="9741" max="9741" width="25.25" style="255"/>
    <col min="9742" max="9742" width="0.5" style="255" customWidth="1"/>
    <col min="9743" max="9743" width="25.25" style="255"/>
    <col min="9744" max="9744" width="14.75" style="255" customWidth="1"/>
    <col min="9745" max="9745" width="11.5" style="255" customWidth="1"/>
    <col min="9746" max="9746" width="11.25" style="255" customWidth="1"/>
    <col min="9747" max="9747" width="10.75" style="255" customWidth="1"/>
    <col min="9748" max="9748" width="10" style="255" customWidth="1"/>
    <col min="9749" max="9749" width="9.875" style="255" customWidth="1"/>
    <col min="9750" max="9750" width="26.125" style="255" customWidth="1"/>
    <col min="9751" max="9751" width="11.125" style="255" customWidth="1"/>
    <col min="9752" max="9752" width="7.875" style="255" customWidth="1"/>
    <col min="9753" max="9753" width="7.25" style="255" customWidth="1"/>
    <col min="9754" max="9754" width="9.125" style="255" customWidth="1"/>
    <col min="9755" max="9755" width="15.125" style="255" customWidth="1"/>
    <col min="9756" max="9756" width="7.75" style="255" customWidth="1"/>
    <col min="9757" max="9757" width="7.125" style="255" customWidth="1"/>
    <col min="9758" max="9758" width="12.125" style="255" customWidth="1"/>
    <col min="9759" max="9759" width="8.25" style="255" customWidth="1"/>
    <col min="9760" max="9761" width="10.375" style="255" customWidth="1"/>
    <col min="9762" max="9762" width="15.625" style="255" customWidth="1"/>
    <col min="9763" max="9763" width="15.875" style="255" customWidth="1"/>
    <col min="9764" max="9764" width="8.125" style="255" customWidth="1"/>
    <col min="9765" max="9768" width="10.375" style="255" customWidth="1"/>
    <col min="9769" max="9769" width="7.25" style="255" customWidth="1"/>
    <col min="9770" max="9770" width="7.125" style="255" customWidth="1"/>
    <col min="9771" max="9771" width="9.5" style="255" customWidth="1"/>
    <col min="9772" max="9773" width="9" style="255" customWidth="1"/>
    <col min="9774" max="9774" width="16.125" style="255" customWidth="1"/>
    <col min="9775" max="9805" width="9" style="255" customWidth="1"/>
    <col min="9806" max="9965" width="25.25" style="255"/>
    <col min="9966" max="9995" width="9" style="255" customWidth="1"/>
    <col min="9996" max="9996" width="0.5" style="255" customWidth="1"/>
    <col min="9997" max="9997" width="25.25" style="255"/>
    <col min="9998" max="9998" width="0.5" style="255" customWidth="1"/>
    <col min="9999" max="9999" width="25.25" style="255"/>
    <col min="10000" max="10000" width="14.75" style="255" customWidth="1"/>
    <col min="10001" max="10001" width="11.5" style="255" customWidth="1"/>
    <col min="10002" max="10002" width="11.25" style="255" customWidth="1"/>
    <col min="10003" max="10003" width="10.75" style="255" customWidth="1"/>
    <col min="10004" max="10004" width="10" style="255" customWidth="1"/>
    <col min="10005" max="10005" width="9.875" style="255" customWidth="1"/>
    <col min="10006" max="10006" width="26.125" style="255" customWidth="1"/>
    <col min="10007" max="10007" width="11.125" style="255" customWidth="1"/>
    <col min="10008" max="10008" width="7.875" style="255" customWidth="1"/>
    <col min="10009" max="10009" width="7.25" style="255" customWidth="1"/>
    <col min="10010" max="10010" width="9.125" style="255" customWidth="1"/>
    <col min="10011" max="10011" width="15.125" style="255" customWidth="1"/>
    <col min="10012" max="10012" width="7.75" style="255" customWidth="1"/>
    <col min="10013" max="10013" width="7.125" style="255" customWidth="1"/>
    <col min="10014" max="10014" width="12.125" style="255" customWidth="1"/>
    <col min="10015" max="10015" width="8.25" style="255" customWidth="1"/>
    <col min="10016" max="10017" width="10.375" style="255" customWidth="1"/>
    <col min="10018" max="10018" width="15.625" style="255" customWidth="1"/>
    <col min="10019" max="10019" width="15.875" style="255" customWidth="1"/>
    <col min="10020" max="10020" width="8.125" style="255" customWidth="1"/>
    <col min="10021" max="10024" width="10.375" style="255" customWidth="1"/>
    <col min="10025" max="10025" width="7.25" style="255" customWidth="1"/>
    <col min="10026" max="10026" width="7.125" style="255" customWidth="1"/>
    <col min="10027" max="10027" width="9.5" style="255" customWidth="1"/>
    <col min="10028" max="10029" width="9" style="255" customWidth="1"/>
    <col min="10030" max="10030" width="16.125" style="255" customWidth="1"/>
    <col min="10031" max="10061" width="9" style="255" customWidth="1"/>
    <col min="10062" max="10221" width="25.25" style="255"/>
    <col min="10222" max="10251" width="9" style="255" customWidth="1"/>
    <col min="10252" max="10252" width="0.5" style="255" customWidth="1"/>
    <col min="10253" max="10253" width="25.25" style="255"/>
    <col min="10254" max="10254" width="0.5" style="255" customWidth="1"/>
    <col min="10255" max="10255" width="25.25" style="255"/>
    <col min="10256" max="10256" width="14.75" style="255" customWidth="1"/>
    <col min="10257" max="10257" width="11.5" style="255" customWidth="1"/>
    <col min="10258" max="10258" width="11.25" style="255" customWidth="1"/>
    <col min="10259" max="10259" width="10.75" style="255" customWidth="1"/>
    <col min="10260" max="10260" width="10" style="255" customWidth="1"/>
    <col min="10261" max="10261" width="9.875" style="255" customWidth="1"/>
    <col min="10262" max="10262" width="26.125" style="255" customWidth="1"/>
    <col min="10263" max="10263" width="11.125" style="255" customWidth="1"/>
    <col min="10264" max="10264" width="7.875" style="255" customWidth="1"/>
    <col min="10265" max="10265" width="7.25" style="255" customWidth="1"/>
    <col min="10266" max="10266" width="9.125" style="255" customWidth="1"/>
    <col min="10267" max="10267" width="15.125" style="255" customWidth="1"/>
    <col min="10268" max="10268" width="7.75" style="255" customWidth="1"/>
    <col min="10269" max="10269" width="7.125" style="255" customWidth="1"/>
    <col min="10270" max="10270" width="12.125" style="255" customWidth="1"/>
    <col min="10271" max="10271" width="8.25" style="255" customWidth="1"/>
    <col min="10272" max="10273" width="10.375" style="255" customWidth="1"/>
    <col min="10274" max="10274" width="15.625" style="255" customWidth="1"/>
    <col min="10275" max="10275" width="15.875" style="255" customWidth="1"/>
    <col min="10276" max="10276" width="8.125" style="255" customWidth="1"/>
    <col min="10277" max="10280" width="10.375" style="255" customWidth="1"/>
    <col min="10281" max="10281" width="7.25" style="255" customWidth="1"/>
    <col min="10282" max="10282" width="7.125" style="255" customWidth="1"/>
    <col min="10283" max="10283" width="9.5" style="255" customWidth="1"/>
    <col min="10284" max="10285" width="9" style="255" customWidth="1"/>
    <col min="10286" max="10286" width="16.125" style="255" customWidth="1"/>
    <col min="10287" max="10317" width="9" style="255" customWidth="1"/>
    <col min="10318" max="10477" width="25.25" style="255"/>
    <col min="10478" max="10507" width="9" style="255" customWidth="1"/>
    <col min="10508" max="10508" width="0.5" style="255" customWidth="1"/>
    <col min="10509" max="10509" width="25.25" style="255"/>
    <col min="10510" max="10510" width="0.5" style="255" customWidth="1"/>
    <col min="10511" max="10511" width="25.25" style="255"/>
    <col min="10512" max="10512" width="14.75" style="255" customWidth="1"/>
    <col min="10513" max="10513" width="11.5" style="255" customWidth="1"/>
    <col min="10514" max="10514" width="11.25" style="255" customWidth="1"/>
    <col min="10515" max="10515" width="10.75" style="255" customWidth="1"/>
    <col min="10516" max="10516" width="10" style="255" customWidth="1"/>
    <col min="10517" max="10517" width="9.875" style="255" customWidth="1"/>
    <col min="10518" max="10518" width="26.125" style="255" customWidth="1"/>
    <col min="10519" max="10519" width="11.125" style="255" customWidth="1"/>
    <col min="10520" max="10520" width="7.875" style="255" customWidth="1"/>
    <col min="10521" max="10521" width="7.25" style="255" customWidth="1"/>
    <col min="10522" max="10522" width="9.125" style="255" customWidth="1"/>
    <col min="10523" max="10523" width="15.125" style="255" customWidth="1"/>
    <col min="10524" max="10524" width="7.75" style="255" customWidth="1"/>
    <col min="10525" max="10525" width="7.125" style="255" customWidth="1"/>
    <col min="10526" max="10526" width="12.125" style="255" customWidth="1"/>
    <col min="10527" max="10527" width="8.25" style="255" customWidth="1"/>
    <col min="10528" max="10529" width="10.375" style="255" customWidth="1"/>
    <col min="10530" max="10530" width="15.625" style="255" customWidth="1"/>
    <col min="10531" max="10531" width="15.875" style="255" customWidth="1"/>
    <col min="10532" max="10532" width="8.125" style="255" customWidth="1"/>
    <col min="10533" max="10536" width="10.375" style="255" customWidth="1"/>
    <col min="10537" max="10537" width="7.25" style="255" customWidth="1"/>
    <col min="10538" max="10538" width="7.125" style="255" customWidth="1"/>
    <col min="10539" max="10539" width="9.5" style="255" customWidth="1"/>
    <col min="10540" max="10541" width="9" style="255" customWidth="1"/>
    <col min="10542" max="10542" width="16.125" style="255" customWidth="1"/>
    <col min="10543" max="10573" width="9" style="255" customWidth="1"/>
    <col min="10574" max="10733" width="25.25" style="255"/>
    <col min="10734" max="10763" width="9" style="255" customWidth="1"/>
    <col min="10764" max="10764" width="0.5" style="255" customWidth="1"/>
    <col min="10765" max="10765" width="25.25" style="255"/>
    <col min="10766" max="10766" width="0.5" style="255" customWidth="1"/>
    <col min="10767" max="10767" width="25.25" style="255"/>
    <col min="10768" max="10768" width="14.75" style="255" customWidth="1"/>
    <col min="10769" max="10769" width="11.5" style="255" customWidth="1"/>
    <col min="10770" max="10770" width="11.25" style="255" customWidth="1"/>
    <col min="10771" max="10771" width="10.75" style="255" customWidth="1"/>
    <col min="10772" max="10772" width="10" style="255" customWidth="1"/>
    <col min="10773" max="10773" width="9.875" style="255" customWidth="1"/>
    <col min="10774" max="10774" width="26.125" style="255" customWidth="1"/>
    <col min="10775" max="10775" width="11.125" style="255" customWidth="1"/>
    <col min="10776" max="10776" width="7.875" style="255" customWidth="1"/>
    <col min="10777" max="10777" width="7.25" style="255" customWidth="1"/>
    <col min="10778" max="10778" width="9.125" style="255" customWidth="1"/>
    <col min="10779" max="10779" width="15.125" style="255" customWidth="1"/>
    <col min="10780" max="10780" width="7.75" style="255" customWidth="1"/>
    <col min="10781" max="10781" width="7.125" style="255" customWidth="1"/>
    <col min="10782" max="10782" width="12.125" style="255" customWidth="1"/>
    <col min="10783" max="10783" width="8.25" style="255" customWidth="1"/>
    <col min="10784" max="10785" width="10.375" style="255" customWidth="1"/>
    <col min="10786" max="10786" width="15.625" style="255" customWidth="1"/>
    <col min="10787" max="10787" width="15.875" style="255" customWidth="1"/>
    <col min="10788" max="10788" width="8.125" style="255" customWidth="1"/>
    <col min="10789" max="10792" width="10.375" style="255" customWidth="1"/>
    <col min="10793" max="10793" width="7.25" style="255" customWidth="1"/>
    <col min="10794" max="10794" width="7.125" style="255" customWidth="1"/>
    <col min="10795" max="10795" width="9.5" style="255" customWidth="1"/>
    <col min="10796" max="10797" width="9" style="255" customWidth="1"/>
    <col min="10798" max="10798" width="16.125" style="255" customWidth="1"/>
    <col min="10799" max="10829" width="9" style="255" customWidth="1"/>
    <col min="10830" max="10989" width="25.25" style="255"/>
    <col min="10990" max="11019" width="9" style="255" customWidth="1"/>
    <col min="11020" max="11020" width="0.5" style="255" customWidth="1"/>
    <col min="11021" max="11021" width="25.25" style="255"/>
    <col min="11022" max="11022" width="0.5" style="255" customWidth="1"/>
    <col min="11023" max="11023" width="25.25" style="255"/>
    <col min="11024" max="11024" width="14.75" style="255" customWidth="1"/>
    <col min="11025" max="11025" width="11.5" style="255" customWidth="1"/>
    <col min="11026" max="11026" width="11.25" style="255" customWidth="1"/>
    <col min="11027" max="11027" width="10.75" style="255" customWidth="1"/>
    <col min="11028" max="11028" width="10" style="255" customWidth="1"/>
    <col min="11029" max="11029" width="9.875" style="255" customWidth="1"/>
    <col min="11030" max="11030" width="26.125" style="255" customWidth="1"/>
    <col min="11031" max="11031" width="11.125" style="255" customWidth="1"/>
    <col min="11032" max="11032" width="7.875" style="255" customWidth="1"/>
    <col min="11033" max="11033" width="7.25" style="255" customWidth="1"/>
    <col min="11034" max="11034" width="9.125" style="255" customWidth="1"/>
    <col min="11035" max="11035" width="15.125" style="255" customWidth="1"/>
    <col min="11036" max="11036" width="7.75" style="255" customWidth="1"/>
    <col min="11037" max="11037" width="7.125" style="255" customWidth="1"/>
    <col min="11038" max="11038" width="12.125" style="255" customWidth="1"/>
    <col min="11039" max="11039" width="8.25" style="255" customWidth="1"/>
    <col min="11040" max="11041" width="10.375" style="255" customWidth="1"/>
    <col min="11042" max="11042" width="15.625" style="255" customWidth="1"/>
    <col min="11043" max="11043" width="15.875" style="255" customWidth="1"/>
    <col min="11044" max="11044" width="8.125" style="255" customWidth="1"/>
    <col min="11045" max="11048" width="10.375" style="255" customWidth="1"/>
    <col min="11049" max="11049" width="7.25" style="255" customWidth="1"/>
    <col min="11050" max="11050" width="7.125" style="255" customWidth="1"/>
    <col min="11051" max="11051" width="9.5" style="255" customWidth="1"/>
    <col min="11052" max="11053" width="9" style="255" customWidth="1"/>
    <col min="11054" max="11054" width="16.125" style="255" customWidth="1"/>
    <col min="11055" max="11085" width="9" style="255" customWidth="1"/>
    <col min="11086" max="11245" width="25.25" style="255"/>
    <col min="11246" max="11275" width="9" style="255" customWidth="1"/>
    <col min="11276" max="11276" width="0.5" style="255" customWidth="1"/>
    <col min="11277" max="11277" width="25.25" style="255"/>
    <col min="11278" max="11278" width="0.5" style="255" customWidth="1"/>
    <col min="11279" max="11279" width="25.25" style="255"/>
    <col min="11280" max="11280" width="14.75" style="255" customWidth="1"/>
    <col min="11281" max="11281" width="11.5" style="255" customWidth="1"/>
    <col min="11282" max="11282" width="11.25" style="255" customWidth="1"/>
    <col min="11283" max="11283" width="10.75" style="255" customWidth="1"/>
    <col min="11284" max="11284" width="10" style="255" customWidth="1"/>
    <col min="11285" max="11285" width="9.875" style="255" customWidth="1"/>
    <col min="11286" max="11286" width="26.125" style="255" customWidth="1"/>
    <col min="11287" max="11287" width="11.125" style="255" customWidth="1"/>
    <col min="11288" max="11288" width="7.875" style="255" customWidth="1"/>
    <col min="11289" max="11289" width="7.25" style="255" customWidth="1"/>
    <col min="11290" max="11290" width="9.125" style="255" customWidth="1"/>
    <col min="11291" max="11291" width="15.125" style="255" customWidth="1"/>
    <col min="11292" max="11292" width="7.75" style="255" customWidth="1"/>
    <col min="11293" max="11293" width="7.125" style="255" customWidth="1"/>
    <col min="11294" max="11294" width="12.125" style="255" customWidth="1"/>
    <col min="11295" max="11295" width="8.25" style="255" customWidth="1"/>
    <col min="11296" max="11297" width="10.375" style="255" customWidth="1"/>
    <col min="11298" max="11298" width="15.625" style="255" customWidth="1"/>
    <col min="11299" max="11299" width="15.875" style="255" customWidth="1"/>
    <col min="11300" max="11300" width="8.125" style="255" customWidth="1"/>
    <col min="11301" max="11304" width="10.375" style="255" customWidth="1"/>
    <col min="11305" max="11305" width="7.25" style="255" customWidth="1"/>
    <col min="11306" max="11306" width="7.125" style="255" customWidth="1"/>
    <col min="11307" max="11307" width="9.5" style="255" customWidth="1"/>
    <col min="11308" max="11309" width="9" style="255" customWidth="1"/>
    <col min="11310" max="11310" width="16.125" style="255" customWidth="1"/>
    <col min="11311" max="11341" width="9" style="255" customWidth="1"/>
    <col min="11342" max="11501" width="25.25" style="255"/>
    <col min="11502" max="11531" width="9" style="255" customWidth="1"/>
    <col min="11532" max="11532" width="0.5" style="255" customWidth="1"/>
    <col min="11533" max="11533" width="25.25" style="255"/>
    <col min="11534" max="11534" width="0.5" style="255" customWidth="1"/>
    <col min="11535" max="11535" width="25.25" style="255"/>
    <col min="11536" max="11536" width="14.75" style="255" customWidth="1"/>
    <col min="11537" max="11537" width="11.5" style="255" customWidth="1"/>
    <col min="11538" max="11538" width="11.25" style="255" customWidth="1"/>
    <col min="11539" max="11539" width="10.75" style="255" customWidth="1"/>
    <col min="11540" max="11540" width="10" style="255" customWidth="1"/>
    <col min="11541" max="11541" width="9.875" style="255" customWidth="1"/>
    <col min="11542" max="11542" width="26.125" style="255" customWidth="1"/>
    <col min="11543" max="11543" width="11.125" style="255" customWidth="1"/>
    <col min="11544" max="11544" width="7.875" style="255" customWidth="1"/>
    <col min="11545" max="11545" width="7.25" style="255" customWidth="1"/>
    <col min="11546" max="11546" width="9.125" style="255" customWidth="1"/>
    <col min="11547" max="11547" width="15.125" style="255" customWidth="1"/>
    <col min="11548" max="11548" width="7.75" style="255" customWidth="1"/>
    <col min="11549" max="11549" width="7.125" style="255" customWidth="1"/>
    <col min="11550" max="11550" width="12.125" style="255" customWidth="1"/>
    <col min="11551" max="11551" width="8.25" style="255" customWidth="1"/>
    <col min="11552" max="11553" width="10.375" style="255" customWidth="1"/>
    <col min="11554" max="11554" width="15.625" style="255" customWidth="1"/>
    <col min="11555" max="11555" width="15.875" style="255" customWidth="1"/>
    <col min="11556" max="11556" width="8.125" style="255" customWidth="1"/>
    <col min="11557" max="11560" width="10.375" style="255" customWidth="1"/>
    <col min="11561" max="11561" width="7.25" style="255" customWidth="1"/>
    <col min="11562" max="11562" width="7.125" style="255" customWidth="1"/>
    <col min="11563" max="11563" width="9.5" style="255" customWidth="1"/>
    <col min="11564" max="11565" width="9" style="255" customWidth="1"/>
    <col min="11566" max="11566" width="16.125" style="255" customWidth="1"/>
    <col min="11567" max="11597" width="9" style="255" customWidth="1"/>
    <col min="11598" max="11757" width="25.25" style="255"/>
    <col min="11758" max="11787" width="9" style="255" customWidth="1"/>
    <col min="11788" max="11788" width="0.5" style="255" customWidth="1"/>
    <col min="11789" max="11789" width="25.25" style="255"/>
    <col min="11790" max="11790" width="0.5" style="255" customWidth="1"/>
    <col min="11791" max="11791" width="25.25" style="255"/>
    <col min="11792" max="11792" width="14.75" style="255" customWidth="1"/>
    <col min="11793" max="11793" width="11.5" style="255" customWidth="1"/>
    <col min="11794" max="11794" width="11.25" style="255" customWidth="1"/>
    <col min="11795" max="11795" width="10.75" style="255" customWidth="1"/>
    <col min="11796" max="11796" width="10" style="255" customWidth="1"/>
    <col min="11797" max="11797" width="9.875" style="255" customWidth="1"/>
    <col min="11798" max="11798" width="26.125" style="255" customWidth="1"/>
    <col min="11799" max="11799" width="11.125" style="255" customWidth="1"/>
    <col min="11800" max="11800" width="7.875" style="255" customWidth="1"/>
    <col min="11801" max="11801" width="7.25" style="255" customWidth="1"/>
    <col min="11802" max="11802" width="9.125" style="255" customWidth="1"/>
    <col min="11803" max="11803" width="15.125" style="255" customWidth="1"/>
    <col min="11804" max="11804" width="7.75" style="255" customWidth="1"/>
    <col min="11805" max="11805" width="7.125" style="255" customWidth="1"/>
    <col min="11806" max="11806" width="12.125" style="255" customWidth="1"/>
    <col min="11807" max="11807" width="8.25" style="255" customWidth="1"/>
    <col min="11808" max="11809" width="10.375" style="255" customWidth="1"/>
    <col min="11810" max="11810" width="15.625" style="255" customWidth="1"/>
    <col min="11811" max="11811" width="15.875" style="255" customWidth="1"/>
    <col min="11812" max="11812" width="8.125" style="255" customWidth="1"/>
    <col min="11813" max="11816" width="10.375" style="255" customWidth="1"/>
    <col min="11817" max="11817" width="7.25" style="255" customWidth="1"/>
    <col min="11818" max="11818" width="7.125" style="255" customWidth="1"/>
    <col min="11819" max="11819" width="9.5" style="255" customWidth="1"/>
    <col min="11820" max="11821" width="9" style="255" customWidth="1"/>
    <col min="11822" max="11822" width="16.125" style="255" customWidth="1"/>
    <col min="11823" max="11853" width="9" style="255" customWidth="1"/>
    <col min="11854" max="12013" width="25.25" style="255"/>
    <col min="12014" max="12043" width="9" style="255" customWidth="1"/>
    <col min="12044" max="12044" width="0.5" style="255" customWidth="1"/>
    <col min="12045" max="12045" width="25.25" style="255"/>
    <col min="12046" max="12046" width="0.5" style="255" customWidth="1"/>
    <col min="12047" max="12047" width="25.25" style="255"/>
    <col min="12048" max="12048" width="14.75" style="255" customWidth="1"/>
    <col min="12049" max="12049" width="11.5" style="255" customWidth="1"/>
    <col min="12050" max="12050" width="11.25" style="255" customWidth="1"/>
    <col min="12051" max="12051" width="10.75" style="255" customWidth="1"/>
    <col min="12052" max="12052" width="10" style="255" customWidth="1"/>
    <col min="12053" max="12053" width="9.875" style="255" customWidth="1"/>
    <col min="12054" max="12054" width="26.125" style="255" customWidth="1"/>
    <col min="12055" max="12055" width="11.125" style="255" customWidth="1"/>
    <col min="12056" max="12056" width="7.875" style="255" customWidth="1"/>
    <col min="12057" max="12057" width="7.25" style="255" customWidth="1"/>
    <col min="12058" max="12058" width="9.125" style="255" customWidth="1"/>
    <col min="12059" max="12059" width="15.125" style="255" customWidth="1"/>
    <col min="12060" max="12060" width="7.75" style="255" customWidth="1"/>
    <col min="12061" max="12061" width="7.125" style="255" customWidth="1"/>
    <col min="12062" max="12062" width="12.125" style="255" customWidth="1"/>
    <col min="12063" max="12063" width="8.25" style="255" customWidth="1"/>
    <col min="12064" max="12065" width="10.375" style="255" customWidth="1"/>
    <col min="12066" max="12066" width="15.625" style="255" customWidth="1"/>
    <col min="12067" max="12067" width="15.875" style="255" customWidth="1"/>
    <col min="12068" max="12068" width="8.125" style="255" customWidth="1"/>
    <col min="12069" max="12072" width="10.375" style="255" customWidth="1"/>
    <col min="12073" max="12073" width="7.25" style="255" customWidth="1"/>
    <col min="12074" max="12074" width="7.125" style="255" customWidth="1"/>
    <col min="12075" max="12075" width="9.5" style="255" customWidth="1"/>
    <col min="12076" max="12077" width="9" style="255" customWidth="1"/>
    <col min="12078" max="12078" width="16.125" style="255" customWidth="1"/>
    <col min="12079" max="12109" width="9" style="255" customWidth="1"/>
    <col min="12110" max="12269" width="25.25" style="255"/>
    <col min="12270" max="12299" width="9" style="255" customWidth="1"/>
    <col min="12300" max="12300" width="0.5" style="255" customWidth="1"/>
    <col min="12301" max="12301" width="25.25" style="255"/>
    <col min="12302" max="12302" width="0.5" style="255" customWidth="1"/>
    <col min="12303" max="12303" width="25.25" style="255"/>
    <col min="12304" max="12304" width="14.75" style="255" customWidth="1"/>
    <col min="12305" max="12305" width="11.5" style="255" customWidth="1"/>
    <col min="12306" max="12306" width="11.25" style="255" customWidth="1"/>
    <col min="12307" max="12307" width="10.75" style="255" customWidth="1"/>
    <col min="12308" max="12308" width="10" style="255" customWidth="1"/>
    <col min="12309" max="12309" width="9.875" style="255" customWidth="1"/>
    <col min="12310" max="12310" width="26.125" style="255" customWidth="1"/>
    <col min="12311" max="12311" width="11.125" style="255" customWidth="1"/>
    <col min="12312" max="12312" width="7.875" style="255" customWidth="1"/>
    <col min="12313" max="12313" width="7.25" style="255" customWidth="1"/>
    <col min="12314" max="12314" width="9.125" style="255" customWidth="1"/>
    <col min="12315" max="12315" width="15.125" style="255" customWidth="1"/>
    <col min="12316" max="12316" width="7.75" style="255" customWidth="1"/>
    <col min="12317" max="12317" width="7.125" style="255" customWidth="1"/>
    <col min="12318" max="12318" width="12.125" style="255" customWidth="1"/>
    <col min="12319" max="12319" width="8.25" style="255" customWidth="1"/>
    <col min="12320" max="12321" width="10.375" style="255" customWidth="1"/>
    <col min="12322" max="12322" width="15.625" style="255" customWidth="1"/>
    <col min="12323" max="12323" width="15.875" style="255" customWidth="1"/>
    <col min="12324" max="12324" width="8.125" style="255" customWidth="1"/>
    <col min="12325" max="12328" width="10.375" style="255" customWidth="1"/>
    <col min="12329" max="12329" width="7.25" style="255" customWidth="1"/>
    <col min="12330" max="12330" width="7.125" style="255" customWidth="1"/>
    <col min="12331" max="12331" width="9.5" style="255" customWidth="1"/>
    <col min="12332" max="12333" width="9" style="255" customWidth="1"/>
    <col min="12334" max="12334" width="16.125" style="255" customWidth="1"/>
    <col min="12335" max="12365" width="9" style="255" customWidth="1"/>
    <col min="12366" max="12525" width="25.25" style="255"/>
    <col min="12526" max="12555" width="9" style="255" customWidth="1"/>
    <col min="12556" max="12556" width="0.5" style="255" customWidth="1"/>
    <col min="12557" max="12557" width="25.25" style="255"/>
    <col min="12558" max="12558" width="0.5" style="255" customWidth="1"/>
    <col min="12559" max="12559" width="25.25" style="255"/>
    <col min="12560" max="12560" width="14.75" style="255" customWidth="1"/>
    <col min="12561" max="12561" width="11.5" style="255" customWidth="1"/>
    <col min="12562" max="12562" width="11.25" style="255" customWidth="1"/>
    <col min="12563" max="12563" width="10.75" style="255" customWidth="1"/>
    <col min="12564" max="12564" width="10" style="255" customWidth="1"/>
    <col min="12565" max="12565" width="9.875" style="255" customWidth="1"/>
    <col min="12566" max="12566" width="26.125" style="255" customWidth="1"/>
    <col min="12567" max="12567" width="11.125" style="255" customWidth="1"/>
    <col min="12568" max="12568" width="7.875" style="255" customWidth="1"/>
    <col min="12569" max="12569" width="7.25" style="255" customWidth="1"/>
    <col min="12570" max="12570" width="9.125" style="255" customWidth="1"/>
    <col min="12571" max="12571" width="15.125" style="255" customWidth="1"/>
    <col min="12572" max="12572" width="7.75" style="255" customWidth="1"/>
    <col min="12573" max="12573" width="7.125" style="255" customWidth="1"/>
    <col min="12574" max="12574" width="12.125" style="255" customWidth="1"/>
    <col min="12575" max="12575" width="8.25" style="255" customWidth="1"/>
    <col min="12576" max="12577" width="10.375" style="255" customWidth="1"/>
    <col min="12578" max="12578" width="15.625" style="255" customWidth="1"/>
    <col min="12579" max="12579" width="15.875" style="255" customWidth="1"/>
    <col min="12580" max="12580" width="8.125" style="255" customWidth="1"/>
    <col min="12581" max="12584" width="10.375" style="255" customWidth="1"/>
    <col min="12585" max="12585" width="7.25" style="255" customWidth="1"/>
    <col min="12586" max="12586" width="7.125" style="255" customWidth="1"/>
    <col min="12587" max="12587" width="9.5" style="255" customWidth="1"/>
    <col min="12588" max="12589" width="9" style="255" customWidth="1"/>
    <col min="12590" max="12590" width="16.125" style="255" customWidth="1"/>
    <col min="12591" max="12621" width="9" style="255" customWidth="1"/>
    <col min="12622" max="12781" width="25.25" style="255"/>
    <col min="12782" max="12811" width="9" style="255" customWidth="1"/>
    <col min="12812" max="12812" width="0.5" style="255" customWidth="1"/>
    <col min="12813" max="12813" width="25.25" style="255"/>
    <col min="12814" max="12814" width="0.5" style="255" customWidth="1"/>
    <col min="12815" max="12815" width="25.25" style="255"/>
    <col min="12816" max="12816" width="14.75" style="255" customWidth="1"/>
    <col min="12817" max="12817" width="11.5" style="255" customWidth="1"/>
    <col min="12818" max="12818" width="11.25" style="255" customWidth="1"/>
    <col min="12819" max="12819" width="10.75" style="255" customWidth="1"/>
    <col min="12820" max="12820" width="10" style="255" customWidth="1"/>
    <col min="12821" max="12821" width="9.875" style="255" customWidth="1"/>
    <col min="12822" max="12822" width="26.125" style="255" customWidth="1"/>
    <col min="12823" max="12823" width="11.125" style="255" customWidth="1"/>
    <col min="12824" max="12824" width="7.875" style="255" customWidth="1"/>
    <col min="12825" max="12825" width="7.25" style="255" customWidth="1"/>
    <col min="12826" max="12826" width="9.125" style="255" customWidth="1"/>
    <col min="12827" max="12827" width="15.125" style="255" customWidth="1"/>
    <col min="12828" max="12828" width="7.75" style="255" customWidth="1"/>
    <col min="12829" max="12829" width="7.125" style="255" customWidth="1"/>
    <col min="12830" max="12830" width="12.125" style="255" customWidth="1"/>
    <col min="12831" max="12831" width="8.25" style="255" customWidth="1"/>
    <col min="12832" max="12833" width="10.375" style="255" customWidth="1"/>
    <col min="12834" max="12834" width="15.625" style="255" customWidth="1"/>
    <col min="12835" max="12835" width="15.875" style="255" customWidth="1"/>
    <col min="12836" max="12836" width="8.125" style="255" customWidth="1"/>
    <col min="12837" max="12840" width="10.375" style="255" customWidth="1"/>
    <col min="12841" max="12841" width="7.25" style="255" customWidth="1"/>
    <col min="12842" max="12842" width="7.125" style="255" customWidth="1"/>
    <col min="12843" max="12843" width="9.5" style="255" customWidth="1"/>
    <col min="12844" max="12845" width="9" style="255" customWidth="1"/>
    <col min="12846" max="12846" width="16.125" style="255" customWidth="1"/>
    <col min="12847" max="12877" width="9" style="255" customWidth="1"/>
    <col min="12878" max="13037" width="25.25" style="255"/>
    <col min="13038" max="13067" width="9" style="255" customWidth="1"/>
    <col min="13068" max="13068" width="0.5" style="255" customWidth="1"/>
    <col min="13069" max="13069" width="25.25" style="255"/>
    <col min="13070" max="13070" width="0.5" style="255" customWidth="1"/>
    <col min="13071" max="13071" width="25.25" style="255"/>
    <col min="13072" max="13072" width="14.75" style="255" customWidth="1"/>
    <col min="13073" max="13073" width="11.5" style="255" customWidth="1"/>
    <col min="13074" max="13074" width="11.25" style="255" customWidth="1"/>
    <col min="13075" max="13075" width="10.75" style="255" customWidth="1"/>
    <col min="13076" max="13076" width="10" style="255" customWidth="1"/>
    <col min="13077" max="13077" width="9.875" style="255" customWidth="1"/>
    <col min="13078" max="13078" width="26.125" style="255" customWidth="1"/>
    <col min="13079" max="13079" width="11.125" style="255" customWidth="1"/>
    <col min="13080" max="13080" width="7.875" style="255" customWidth="1"/>
    <col min="13081" max="13081" width="7.25" style="255" customWidth="1"/>
    <col min="13082" max="13082" width="9.125" style="255" customWidth="1"/>
    <col min="13083" max="13083" width="15.125" style="255" customWidth="1"/>
    <col min="13084" max="13084" width="7.75" style="255" customWidth="1"/>
    <col min="13085" max="13085" width="7.125" style="255" customWidth="1"/>
    <col min="13086" max="13086" width="12.125" style="255" customWidth="1"/>
    <col min="13087" max="13087" width="8.25" style="255" customWidth="1"/>
    <col min="13088" max="13089" width="10.375" style="255" customWidth="1"/>
    <col min="13090" max="13090" width="15.625" style="255" customWidth="1"/>
    <col min="13091" max="13091" width="15.875" style="255" customWidth="1"/>
    <col min="13092" max="13092" width="8.125" style="255" customWidth="1"/>
    <col min="13093" max="13096" width="10.375" style="255" customWidth="1"/>
    <col min="13097" max="13097" width="7.25" style="255" customWidth="1"/>
    <col min="13098" max="13098" width="7.125" style="255" customWidth="1"/>
    <col min="13099" max="13099" width="9.5" style="255" customWidth="1"/>
    <col min="13100" max="13101" width="9" style="255" customWidth="1"/>
    <col min="13102" max="13102" width="16.125" style="255" customWidth="1"/>
    <col min="13103" max="13133" width="9" style="255" customWidth="1"/>
    <col min="13134" max="13293" width="25.25" style="255"/>
    <col min="13294" max="13323" width="9" style="255" customWidth="1"/>
    <col min="13324" max="13324" width="0.5" style="255" customWidth="1"/>
    <col min="13325" max="13325" width="25.25" style="255"/>
    <col min="13326" max="13326" width="0.5" style="255" customWidth="1"/>
    <col min="13327" max="13327" width="25.25" style="255"/>
    <col min="13328" max="13328" width="14.75" style="255" customWidth="1"/>
    <col min="13329" max="13329" width="11.5" style="255" customWidth="1"/>
    <col min="13330" max="13330" width="11.25" style="255" customWidth="1"/>
    <col min="13331" max="13331" width="10.75" style="255" customWidth="1"/>
    <col min="13332" max="13332" width="10" style="255" customWidth="1"/>
    <col min="13333" max="13333" width="9.875" style="255" customWidth="1"/>
    <col min="13334" max="13334" width="26.125" style="255" customWidth="1"/>
    <col min="13335" max="13335" width="11.125" style="255" customWidth="1"/>
    <col min="13336" max="13336" width="7.875" style="255" customWidth="1"/>
    <col min="13337" max="13337" width="7.25" style="255" customWidth="1"/>
    <col min="13338" max="13338" width="9.125" style="255" customWidth="1"/>
    <col min="13339" max="13339" width="15.125" style="255" customWidth="1"/>
    <col min="13340" max="13340" width="7.75" style="255" customWidth="1"/>
    <col min="13341" max="13341" width="7.125" style="255" customWidth="1"/>
    <col min="13342" max="13342" width="12.125" style="255" customWidth="1"/>
    <col min="13343" max="13343" width="8.25" style="255" customWidth="1"/>
    <col min="13344" max="13345" width="10.375" style="255" customWidth="1"/>
    <col min="13346" max="13346" width="15.625" style="255" customWidth="1"/>
    <col min="13347" max="13347" width="15.875" style="255" customWidth="1"/>
    <col min="13348" max="13348" width="8.125" style="255" customWidth="1"/>
    <col min="13349" max="13352" width="10.375" style="255" customWidth="1"/>
    <col min="13353" max="13353" width="7.25" style="255" customWidth="1"/>
    <col min="13354" max="13354" width="7.125" style="255" customWidth="1"/>
    <col min="13355" max="13355" width="9.5" style="255" customWidth="1"/>
    <col min="13356" max="13357" width="9" style="255" customWidth="1"/>
    <col min="13358" max="13358" width="16.125" style="255" customWidth="1"/>
    <col min="13359" max="13389" width="9" style="255" customWidth="1"/>
    <col min="13390" max="13549" width="25.25" style="255"/>
    <col min="13550" max="13579" width="9" style="255" customWidth="1"/>
    <col min="13580" max="13580" width="0.5" style="255" customWidth="1"/>
    <col min="13581" max="13581" width="25.25" style="255"/>
    <col min="13582" max="13582" width="0.5" style="255" customWidth="1"/>
    <col min="13583" max="13583" width="25.25" style="255"/>
    <col min="13584" max="13584" width="14.75" style="255" customWidth="1"/>
    <col min="13585" max="13585" width="11.5" style="255" customWidth="1"/>
    <col min="13586" max="13586" width="11.25" style="255" customWidth="1"/>
    <col min="13587" max="13587" width="10.75" style="255" customWidth="1"/>
    <col min="13588" max="13588" width="10" style="255" customWidth="1"/>
    <col min="13589" max="13589" width="9.875" style="255" customWidth="1"/>
    <col min="13590" max="13590" width="26.125" style="255" customWidth="1"/>
    <col min="13591" max="13591" width="11.125" style="255" customWidth="1"/>
    <col min="13592" max="13592" width="7.875" style="255" customWidth="1"/>
    <col min="13593" max="13593" width="7.25" style="255" customWidth="1"/>
    <col min="13594" max="13594" width="9.125" style="255" customWidth="1"/>
    <col min="13595" max="13595" width="15.125" style="255" customWidth="1"/>
    <col min="13596" max="13596" width="7.75" style="255" customWidth="1"/>
    <col min="13597" max="13597" width="7.125" style="255" customWidth="1"/>
    <col min="13598" max="13598" width="12.125" style="255" customWidth="1"/>
    <col min="13599" max="13599" width="8.25" style="255" customWidth="1"/>
    <col min="13600" max="13601" width="10.375" style="255" customWidth="1"/>
    <col min="13602" max="13602" width="15.625" style="255" customWidth="1"/>
    <col min="13603" max="13603" width="15.875" style="255" customWidth="1"/>
    <col min="13604" max="13604" width="8.125" style="255" customWidth="1"/>
    <col min="13605" max="13608" width="10.375" style="255" customWidth="1"/>
    <col min="13609" max="13609" width="7.25" style="255" customWidth="1"/>
    <col min="13610" max="13610" width="7.125" style="255" customWidth="1"/>
    <col min="13611" max="13611" width="9.5" style="255" customWidth="1"/>
    <col min="13612" max="13613" width="9" style="255" customWidth="1"/>
    <col min="13614" max="13614" width="16.125" style="255" customWidth="1"/>
    <col min="13615" max="13645" width="9" style="255" customWidth="1"/>
    <col min="13646" max="13805" width="25.25" style="255"/>
    <col min="13806" max="13835" width="9" style="255" customWidth="1"/>
    <col min="13836" max="13836" width="0.5" style="255" customWidth="1"/>
    <col min="13837" max="13837" width="25.25" style="255"/>
    <col min="13838" max="13838" width="0.5" style="255" customWidth="1"/>
    <col min="13839" max="13839" width="25.25" style="255"/>
    <col min="13840" max="13840" width="14.75" style="255" customWidth="1"/>
    <col min="13841" max="13841" width="11.5" style="255" customWidth="1"/>
    <col min="13842" max="13842" width="11.25" style="255" customWidth="1"/>
    <col min="13843" max="13843" width="10.75" style="255" customWidth="1"/>
    <col min="13844" max="13844" width="10" style="255" customWidth="1"/>
    <col min="13845" max="13845" width="9.875" style="255" customWidth="1"/>
    <col min="13846" max="13846" width="26.125" style="255" customWidth="1"/>
    <col min="13847" max="13847" width="11.125" style="255" customWidth="1"/>
    <col min="13848" max="13848" width="7.875" style="255" customWidth="1"/>
    <col min="13849" max="13849" width="7.25" style="255" customWidth="1"/>
    <col min="13850" max="13850" width="9.125" style="255" customWidth="1"/>
    <col min="13851" max="13851" width="15.125" style="255" customWidth="1"/>
    <col min="13852" max="13852" width="7.75" style="255" customWidth="1"/>
    <col min="13853" max="13853" width="7.125" style="255" customWidth="1"/>
    <col min="13854" max="13854" width="12.125" style="255" customWidth="1"/>
    <col min="13855" max="13855" width="8.25" style="255" customWidth="1"/>
    <col min="13856" max="13857" width="10.375" style="255" customWidth="1"/>
    <col min="13858" max="13858" width="15.625" style="255" customWidth="1"/>
    <col min="13859" max="13859" width="15.875" style="255" customWidth="1"/>
    <col min="13860" max="13860" width="8.125" style="255" customWidth="1"/>
    <col min="13861" max="13864" width="10.375" style="255" customWidth="1"/>
    <col min="13865" max="13865" width="7.25" style="255" customWidth="1"/>
    <col min="13866" max="13866" width="7.125" style="255" customWidth="1"/>
    <col min="13867" max="13867" width="9.5" style="255" customWidth="1"/>
    <col min="13868" max="13869" width="9" style="255" customWidth="1"/>
    <col min="13870" max="13870" width="16.125" style="255" customWidth="1"/>
    <col min="13871" max="13901" width="9" style="255" customWidth="1"/>
    <col min="13902" max="14061" width="25.25" style="255"/>
    <col min="14062" max="14091" width="9" style="255" customWidth="1"/>
    <col min="14092" max="14092" width="0.5" style="255" customWidth="1"/>
    <col min="14093" max="14093" width="25.25" style="255"/>
    <col min="14094" max="14094" width="0.5" style="255" customWidth="1"/>
    <col min="14095" max="14095" width="25.25" style="255"/>
    <col min="14096" max="14096" width="14.75" style="255" customWidth="1"/>
    <col min="14097" max="14097" width="11.5" style="255" customWidth="1"/>
    <col min="14098" max="14098" width="11.25" style="255" customWidth="1"/>
    <col min="14099" max="14099" width="10.75" style="255" customWidth="1"/>
    <col min="14100" max="14100" width="10" style="255" customWidth="1"/>
    <col min="14101" max="14101" width="9.875" style="255" customWidth="1"/>
    <col min="14102" max="14102" width="26.125" style="255" customWidth="1"/>
    <col min="14103" max="14103" width="11.125" style="255" customWidth="1"/>
    <col min="14104" max="14104" width="7.875" style="255" customWidth="1"/>
    <col min="14105" max="14105" width="7.25" style="255" customWidth="1"/>
    <col min="14106" max="14106" width="9.125" style="255" customWidth="1"/>
    <col min="14107" max="14107" width="15.125" style="255" customWidth="1"/>
    <col min="14108" max="14108" width="7.75" style="255" customWidth="1"/>
    <col min="14109" max="14109" width="7.125" style="255" customWidth="1"/>
    <col min="14110" max="14110" width="12.125" style="255" customWidth="1"/>
    <col min="14111" max="14111" width="8.25" style="255" customWidth="1"/>
    <col min="14112" max="14113" width="10.375" style="255" customWidth="1"/>
    <col min="14114" max="14114" width="15.625" style="255" customWidth="1"/>
    <col min="14115" max="14115" width="15.875" style="255" customWidth="1"/>
    <col min="14116" max="14116" width="8.125" style="255" customWidth="1"/>
    <col min="14117" max="14120" width="10.375" style="255" customWidth="1"/>
    <col min="14121" max="14121" width="7.25" style="255" customWidth="1"/>
    <col min="14122" max="14122" width="7.125" style="255" customWidth="1"/>
    <col min="14123" max="14123" width="9.5" style="255" customWidth="1"/>
    <col min="14124" max="14125" width="9" style="255" customWidth="1"/>
    <col min="14126" max="14126" width="16.125" style="255" customWidth="1"/>
    <col min="14127" max="14157" width="9" style="255" customWidth="1"/>
    <col min="14158" max="14317" width="25.25" style="255"/>
    <col min="14318" max="14347" width="9" style="255" customWidth="1"/>
    <col min="14348" max="14348" width="0.5" style="255" customWidth="1"/>
    <col min="14349" max="14349" width="25.25" style="255"/>
    <col min="14350" max="14350" width="0.5" style="255" customWidth="1"/>
    <col min="14351" max="14351" width="25.25" style="255"/>
    <col min="14352" max="14352" width="14.75" style="255" customWidth="1"/>
    <col min="14353" max="14353" width="11.5" style="255" customWidth="1"/>
    <col min="14354" max="14354" width="11.25" style="255" customWidth="1"/>
    <col min="14355" max="14355" width="10.75" style="255" customWidth="1"/>
    <col min="14356" max="14356" width="10" style="255" customWidth="1"/>
    <col min="14357" max="14357" width="9.875" style="255" customWidth="1"/>
    <col min="14358" max="14358" width="26.125" style="255" customWidth="1"/>
    <col min="14359" max="14359" width="11.125" style="255" customWidth="1"/>
    <col min="14360" max="14360" width="7.875" style="255" customWidth="1"/>
    <col min="14361" max="14361" width="7.25" style="255" customWidth="1"/>
    <col min="14362" max="14362" width="9.125" style="255" customWidth="1"/>
    <col min="14363" max="14363" width="15.125" style="255" customWidth="1"/>
    <col min="14364" max="14364" width="7.75" style="255" customWidth="1"/>
    <col min="14365" max="14365" width="7.125" style="255" customWidth="1"/>
    <col min="14366" max="14366" width="12.125" style="255" customWidth="1"/>
    <col min="14367" max="14367" width="8.25" style="255" customWidth="1"/>
    <col min="14368" max="14369" width="10.375" style="255" customWidth="1"/>
    <col min="14370" max="14370" width="15.625" style="255" customWidth="1"/>
    <col min="14371" max="14371" width="15.875" style="255" customWidth="1"/>
    <col min="14372" max="14372" width="8.125" style="255" customWidth="1"/>
    <col min="14373" max="14376" width="10.375" style="255" customWidth="1"/>
    <col min="14377" max="14377" width="7.25" style="255" customWidth="1"/>
    <col min="14378" max="14378" width="7.125" style="255" customWidth="1"/>
    <col min="14379" max="14379" width="9.5" style="255" customWidth="1"/>
    <col min="14380" max="14381" width="9" style="255" customWidth="1"/>
    <col min="14382" max="14382" width="16.125" style="255" customWidth="1"/>
    <col min="14383" max="14413" width="9" style="255" customWidth="1"/>
    <col min="14414" max="14573" width="25.25" style="255"/>
    <col min="14574" max="14603" width="9" style="255" customWidth="1"/>
    <col min="14604" max="14604" width="0.5" style="255" customWidth="1"/>
    <col min="14605" max="14605" width="25.25" style="255"/>
    <col min="14606" max="14606" width="0.5" style="255" customWidth="1"/>
    <col min="14607" max="14607" width="25.25" style="255"/>
    <col min="14608" max="14608" width="14.75" style="255" customWidth="1"/>
    <col min="14609" max="14609" width="11.5" style="255" customWidth="1"/>
    <col min="14610" max="14610" width="11.25" style="255" customWidth="1"/>
    <col min="14611" max="14611" width="10.75" style="255" customWidth="1"/>
    <col min="14612" max="14612" width="10" style="255" customWidth="1"/>
    <col min="14613" max="14613" width="9.875" style="255" customWidth="1"/>
    <col min="14614" max="14614" width="26.125" style="255" customWidth="1"/>
    <col min="14615" max="14615" width="11.125" style="255" customWidth="1"/>
    <col min="14616" max="14616" width="7.875" style="255" customWidth="1"/>
    <col min="14617" max="14617" width="7.25" style="255" customWidth="1"/>
    <col min="14618" max="14618" width="9.125" style="255" customWidth="1"/>
    <col min="14619" max="14619" width="15.125" style="255" customWidth="1"/>
    <col min="14620" max="14620" width="7.75" style="255" customWidth="1"/>
    <col min="14621" max="14621" width="7.125" style="255" customWidth="1"/>
    <col min="14622" max="14622" width="12.125" style="255" customWidth="1"/>
    <col min="14623" max="14623" width="8.25" style="255" customWidth="1"/>
    <col min="14624" max="14625" width="10.375" style="255" customWidth="1"/>
    <col min="14626" max="14626" width="15.625" style="255" customWidth="1"/>
    <col min="14627" max="14627" width="15.875" style="255" customWidth="1"/>
    <col min="14628" max="14628" width="8.125" style="255" customWidth="1"/>
    <col min="14629" max="14632" width="10.375" style="255" customWidth="1"/>
    <col min="14633" max="14633" width="7.25" style="255" customWidth="1"/>
    <col min="14634" max="14634" width="7.125" style="255" customWidth="1"/>
    <col min="14635" max="14635" width="9.5" style="255" customWidth="1"/>
    <col min="14636" max="14637" width="9" style="255" customWidth="1"/>
    <col min="14638" max="14638" width="16.125" style="255" customWidth="1"/>
    <col min="14639" max="14669" width="9" style="255" customWidth="1"/>
    <col min="14670" max="14829" width="25.25" style="255"/>
    <col min="14830" max="14859" width="9" style="255" customWidth="1"/>
    <col min="14860" max="14860" width="0.5" style="255" customWidth="1"/>
    <col min="14861" max="14861" width="25.25" style="255"/>
    <col min="14862" max="14862" width="0.5" style="255" customWidth="1"/>
    <col min="14863" max="14863" width="25.25" style="255"/>
    <col min="14864" max="14864" width="14.75" style="255" customWidth="1"/>
    <col min="14865" max="14865" width="11.5" style="255" customWidth="1"/>
    <col min="14866" max="14866" width="11.25" style="255" customWidth="1"/>
    <col min="14867" max="14867" width="10.75" style="255" customWidth="1"/>
    <col min="14868" max="14868" width="10" style="255" customWidth="1"/>
    <col min="14869" max="14869" width="9.875" style="255" customWidth="1"/>
    <col min="14870" max="14870" width="26.125" style="255" customWidth="1"/>
    <col min="14871" max="14871" width="11.125" style="255" customWidth="1"/>
    <col min="14872" max="14872" width="7.875" style="255" customWidth="1"/>
    <col min="14873" max="14873" width="7.25" style="255" customWidth="1"/>
    <col min="14874" max="14874" width="9.125" style="255" customWidth="1"/>
    <col min="14875" max="14875" width="15.125" style="255" customWidth="1"/>
    <col min="14876" max="14876" width="7.75" style="255" customWidth="1"/>
    <col min="14877" max="14877" width="7.125" style="255" customWidth="1"/>
    <col min="14878" max="14878" width="12.125" style="255" customWidth="1"/>
    <col min="14879" max="14879" width="8.25" style="255" customWidth="1"/>
    <col min="14880" max="14881" width="10.375" style="255" customWidth="1"/>
    <col min="14882" max="14882" width="15.625" style="255" customWidth="1"/>
    <col min="14883" max="14883" width="15.875" style="255" customWidth="1"/>
    <col min="14884" max="14884" width="8.125" style="255" customWidth="1"/>
    <col min="14885" max="14888" width="10.375" style="255" customWidth="1"/>
    <col min="14889" max="14889" width="7.25" style="255" customWidth="1"/>
    <col min="14890" max="14890" width="7.125" style="255" customWidth="1"/>
    <col min="14891" max="14891" width="9.5" style="255" customWidth="1"/>
    <col min="14892" max="14893" width="9" style="255" customWidth="1"/>
    <col min="14894" max="14894" width="16.125" style="255" customWidth="1"/>
    <col min="14895" max="14925" width="9" style="255" customWidth="1"/>
    <col min="14926" max="15085" width="25.25" style="255"/>
    <col min="15086" max="15115" width="9" style="255" customWidth="1"/>
    <col min="15116" max="15116" width="0.5" style="255" customWidth="1"/>
    <col min="15117" max="15117" width="25.25" style="255"/>
    <col min="15118" max="15118" width="0.5" style="255" customWidth="1"/>
    <col min="15119" max="15119" width="25.25" style="255"/>
    <col min="15120" max="15120" width="14.75" style="255" customWidth="1"/>
    <col min="15121" max="15121" width="11.5" style="255" customWidth="1"/>
    <col min="15122" max="15122" width="11.25" style="255" customWidth="1"/>
    <col min="15123" max="15123" width="10.75" style="255" customWidth="1"/>
    <col min="15124" max="15124" width="10" style="255" customWidth="1"/>
    <col min="15125" max="15125" width="9.875" style="255" customWidth="1"/>
    <col min="15126" max="15126" width="26.125" style="255" customWidth="1"/>
    <col min="15127" max="15127" width="11.125" style="255" customWidth="1"/>
    <col min="15128" max="15128" width="7.875" style="255" customWidth="1"/>
    <col min="15129" max="15129" width="7.25" style="255" customWidth="1"/>
    <col min="15130" max="15130" width="9.125" style="255" customWidth="1"/>
    <col min="15131" max="15131" width="15.125" style="255" customWidth="1"/>
    <col min="15132" max="15132" width="7.75" style="255" customWidth="1"/>
    <col min="15133" max="15133" width="7.125" style="255" customWidth="1"/>
    <col min="15134" max="15134" width="12.125" style="255" customWidth="1"/>
    <col min="15135" max="15135" width="8.25" style="255" customWidth="1"/>
    <col min="15136" max="15137" width="10.375" style="255" customWidth="1"/>
    <col min="15138" max="15138" width="15.625" style="255" customWidth="1"/>
    <col min="15139" max="15139" width="15.875" style="255" customWidth="1"/>
    <col min="15140" max="15140" width="8.125" style="255" customWidth="1"/>
    <col min="15141" max="15144" width="10.375" style="255" customWidth="1"/>
    <col min="15145" max="15145" width="7.25" style="255" customWidth="1"/>
    <col min="15146" max="15146" width="7.125" style="255" customWidth="1"/>
    <col min="15147" max="15147" width="9.5" style="255" customWidth="1"/>
    <col min="15148" max="15149" width="9" style="255" customWidth="1"/>
    <col min="15150" max="15150" width="16.125" style="255" customWidth="1"/>
    <col min="15151" max="15181" width="9" style="255" customWidth="1"/>
    <col min="15182" max="15341" width="25.25" style="255"/>
    <col min="15342" max="15371" width="9" style="255" customWidth="1"/>
    <col min="15372" max="15372" width="0.5" style="255" customWidth="1"/>
    <col min="15373" max="15373" width="25.25" style="255"/>
    <col min="15374" max="15374" width="0.5" style="255" customWidth="1"/>
    <col min="15375" max="15375" width="25.25" style="255"/>
    <col min="15376" max="15376" width="14.75" style="255" customWidth="1"/>
    <col min="15377" max="15377" width="11.5" style="255" customWidth="1"/>
    <col min="15378" max="15378" width="11.25" style="255" customWidth="1"/>
    <col min="15379" max="15379" width="10.75" style="255" customWidth="1"/>
    <col min="15380" max="15380" width="10" style="255" customWidth="1"/>
    <col min="15381" max="15381" width="9.875" style="255" customWidth="1"/>
    <col min="15382" max="15382" width="26.125" style="255" customWidth="1"/>
    <col min="15383" max="15383" width="11.125" style="255" customWidth="1"/>
    <col min="15384" max="15384" width="7.875" style="255" customWidth="1"/>
    <col min="15385" max="15385" width="7.25" style="255" customWidth="1"/>
    <col min="15386" max="15386" width="9.125" style="255" customWidth="1"/>
    <col min="15387" max="15387" width="15.125" style="255" customWidth="1"/>
    <col min="15388" max="15388" width="7.75" style="255" customWidth="1"/>
    <col min="15389" max="15389" width="7.125" style="255" customWidth="1"/>
    <col min="15390" max="15390" width="12.125" style="255" customWidth="1"/>
    <col min="15391" max="15391" width="8.25" style="255" customWidth="1"/>
    <col min="15392" max="15393" width="10.375" style="255" customWidth="1"/>
    <col min="15394" max="15394" width="15.625" style="255" customWidth="1"/>
    <col min="15395" max="15395" width="15.875" style="255" customWidth="1"/>
    <col min="15396" max="15396" width="8.125" style="255" customWidth="1"/>
    <col min="15397" max="15400" width="10.375" style="255" customWidth="1"/>
    <col min="15401" max="15401" width="7.25" style="255" customWidth="1"/>
    <col min="15402" max="15402" width="7.125" style="255" customWidth="1"/>
    <col min="15403" max="15403" width="9.5" style="255" customWidth="1"/>
    <col min="15404" max="15405" width="9" style="255" customWidth="1"/>
    <col min="15406" max="15406" width="16.125" style="255" customWidth="1"/>
    <col min="15407" max="15437" width="9" style="255" customWidth="1"/>
    <col min="15438" max="15597" width="25.25" style="255"/>
    <col min="15598" max="15627" width="9" style="255" customWidth="1"/>
    <col min="15628" max="15628" width="0.5" style="255" customWidth="1"/>
    <col min="15629" max="15629" width="25.25" style="255"/>
    <col min="15630" max="15630" width="0.5" style="255" customWidth="1"/>
    <col min="15631" max="15631" width="25.25" style="255"/>
    <col min="15632" max="15632" width="14.75" style="255" customWidth="1"/>
    <col min="15633" max="15633" width="11.5" style="255" customWidth="1"/>
    <col min="15634" max="15634" width="11.25" style="255" customWidth="1"/>
    <col min="15635" max="15635" width="10.75" style="255" customWidth="1"/>
    <col min="15636" max="15636" width="10" style="255" customWidth="1"/>
    <col min="15637" max="15637" width="9.875" style="255" customWidth="1"/>
    <col min="15638" max="15638" width="26.125" style="255" customWidth="1"/>
    <col min="15639" max="15639" width="11.125" style="255" customWidth="1"/>
    <col min="15640" max="15640" width="7.875" style="255" customWidth="1"/>
    <col min="15641" max="15641" width="7.25" style="255" customWidth="1"/>
    <col min="15642" max="15642" width="9.125" style="255" customWidth="1"/>
    <col min="15643" max="15643" width="15.125" style="255" customWidth="1"/>
    <col min="15644" max="15644" width="7.75" style="255" customWidth="1"/>
    <col min="15645" max="15645" width="7.125" style="255" customWidth="1"/>
    <col min="15646" max="15646" width="12.125" style="255" customWidth="1"/>
    <col min="15647" max="15647" width="8.25" style="255" customWidth="1"/>
    <col min="15648" max="15649" width="10.375" style="255" customWidth="1"/>
    <col min="15650" max="15650" width="15.625" style="255" customWidth="1"/>
    <col min="15651" max="15651" width="15.875" style="255" customWidth="1"/>
    <col min="15652" max="15652" width="8.125" style="255" customWidth="1"/>
    <col min="15653" max="15656" width="10.375" style="255" customWidth="1"/>
    <col min="15657" max="15657" width="7.25" style="255" customWidth="1"/>
    <col min="15658" max="15658" width="7.125" style="255" customWidth="1"/>
    <col min="15659" max="15659" width="9.5" style="255" customWidth="1"/>
    <col min="15660" max="15661" width="9" style="255" customWidth="1"/>
    <col min="15662" max="15662" width="16.125" style="255" customWidth="1"/>
    <col min="15663" max="15693" width="9" style="255" customWidth="1"/>
    <col min="15694" max="15853" width="25.25" style="255"/>
    <col min="15854" max="15883" width="9" style="255" customWidth="1"/>
    <col min="15884" max="15884" width="0.5" style="255" customWidth="1"/>
    <col min="15885" max="15885" width="25.25" style="255"/>
    <col min="15886" max="15886" width="0.5" style="255" customWidth="1"/>
    <col min="15887" max="15887" width="25.25" style="255"/>
    <col min="15888" max="15888" width="14.75" style="255" customWidth="1"/>
    <col min="15889" max="15889" width="11.5" style="255" customWidth="1"/>
    <col min="15890" max="15890" width="11.25" style="255" customWidth="1"/>
    <col min="15891" max="15891" width="10.75" style="255" customWidth="1"/>
    <col min="15892" max="15892" width="10" style="255" customWidth="1"/>
    <col min="15893" max="15893" width="9.875" style="255" customWidth="1"/>
    <col min="15894" max="15894" width="26.125" style="255" customWidth="1"/>
    <col min="15895" max="15895" width="11.125" style="255" customWidth="1"/>
    <col min="15896" max="15896" width="7.875" style="255" customWidth="1"/>
    <col min="15897" max="15897" width="7.25" style="255" customWidth="1"/>
    <col min="15898" max="15898" width="9.125" style="255" customWidth="1"/>
    <col min="15899" max="15899" width="15.125" style="255" customWidth="1"/>
    <col min="15900" max="15900" width="7.75" style="255" customWidth="1"/>
    <col min="15901" max="15901" width="7.125" style="255" customWidth="1"/>
    <col min="15902" max="15902" width="12.125" style="255" customWidth="1"/>
    <col min="15903" max="15903" width="8.25" style="255" customWidth="1"/>
    <col min="15904" max="15905" width="10.375" style="255" customWidth="1"/>
    <col min="15906" max="15906" width="15.625" style="255" customWidth="1"/>
    <col min="15907" max="15907" width="15.875" style="255" customWidth="1"/>
    <col min="15908" max="15908" width="8.125" style="255" customWidth="1"/>
    <col min="15909" max="15912" width="10.375" style="255" customWidth="1"/>
    <col min="15913" max="15913" width="7.25" style="255" customWidth="1"/>
    <col min="15914" max="15914" width="7.125" style="255" customWidth="1"/>
    <col min="15915" max="15915" width="9.5" style="255" customWidth="1"/>
    <col min="15916" max="15917" width="9" style="255" customWidth="1"/>
    <col min="15918" max="15918" width="16.125" style="255" customWidth="1"/>
    <col min="15919" max="15949" width="9" style="255" customWidth="1"/>
    <col min="15950" max="16109" width="25.25" style="255"/>
    <col min="16110" max="16139" width="9" style="255" customWidth="1"/>
    <col min="16140" max="16140" width="0.5" style="255" customWidth="1"/>
    <col min="16141" max="16384" width="25.25" style="255"/>
  </cols>
  <sheetData>
    <row r="1" spans="1:16" ht="14.25" thickBot="1"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1"/>
      <c r="O1" s="1"/>
      <c r="P1" s="1"/>
    </row>
    <row r="2" spans="1:16" ht="18" customHeight="1">
      <c r="A2" s="5"/>
      <c r="B2" s="6" t="s">
        <v>402</v>
      </c>
      <c r="C2" s="254"/>
      <c r="D2" s="254" t="s">
        <v>9</v>
      </c>
      <c r="E2" s="254" t="s">
        <v>10</v>
      </c>
      <c r="F2" s="661" t="s">
        <v>11</v>
      </c>
      <c r="G2" s="661"/>
      <c r="H2" s="661"/>
      <c r="I2" s="662" t="s">
        <v>12</v>
      </c>
      <c r="J2" s="664" t="s">
        <v>13</v>
      </c>
      <c r="K2" s="665"/>
      <c r="L2" s="665"/>
      <c r="M2" s="666"/>
      <c r="N2" s="8"/>
      <c r="O2" s="8"/>
      <c r="P2" s="8"/>
    </row>
    <row r="3" spans="1:16" ht="18" customHeight="1">
      <c r="B3" s="9" t="s">
        <v>14</v>
      </c>
      <c r="C3" s="10" t="s">
        <v>15</v>
      </c>
      <c r="D3" s="10" t="s">
        <v>16</v>
      </c>
      <c r="E3" s="10" t="s">
        <v>17</v>
      </c>
      <c r="F3" s="10" t="s">
        <v>7</v>
      </c>
      <c r="G3" s="10" t="s">
        <v>5</v>
      </c>
      <c r="H3" s="10" t="s">
        <v>18</v>
      </c>
      <c r="I3" s="663"/>
      <c r="J3" s="11" t="s">
        <v>19</v>
      </c>
      <c r="K3" s="12" t="s">
        <v>20</v>
      </c>
      <c r="L3" s="12" t="s">
        <v>21</v>
      </c>
      <c r="M3" s="13" t="s">
        <v>22</v>
      </c>
      <c r="N3" s="14"/>
      <c r="P3" s="15"/>
    </row>
    <row r="4" spans="1:16" ht="18" customHeight="1">
      <c r="B4" s="667" t="str">
        <f ca="1">MID(CELL("filename",Q13),FIND("]",CELL("filename",Q13))+1,30)</f>
        <v>MLC2324</v>
      </c>
      <c r="C4" s="17" t="s">
        <v>23</v>
      </c>
      <c r="D4" s="17">
        <v>2300</v>
      </c>
      <c r="E4" s="17">
        <v>2400</v>
      </c>
      <c r="F4" s="222">
        <f>D4*E4/10^6</f>
        <v>5.52</v>
      </c>
      <c r="G4" s="17">
        <v>1</v>
      </c>
      <c r="H4" s="17">
        <f>F4*G4</f>
        <v>5.52</v>
      </c>
      <c r="I4" s="663"/>
      <c r="J4" s="19">
        <v>40</v>
      </c>
      <c r="K4" s="20">
        <v>20</v>
      </c>
      <c r="L4" s="21">
        <v>1.5</v>
      </c>
      <c r="M4" s="22">
        <f t="shared" ref="M4:M11" si="0">ROUND(((J4*K4)-(J4-2*L4)*(K4-2*L4))*7.8/1000,3)</f>
        <v>1.3340000000000001</v>
      </c>
    </row>
    <row r="5" spans="1:16" ht="18" customHeight="1">
      <c r="B5" s="668"/>
      <c r="C5" s="221" t="s">
        <v>299</v>
      </c>
      <c r="D5" s="221">
        <f>D4-70</f>
        <v>2230</v>
      </c>
      <c r="E5" s="221">
        <f>E4-70</f>
        <v>2330</v>
      </c>
      <c r="F5" s="222">
        <f>D5*E5/10^6</f>
        <v>5.1959</v>
      </c>
      <c r="G5" s="221">
        <v>1</v>
      </c>
      <c r="H5" s="222">
        <f>F5*G5</f>
        <v>5.1959</v>
      </c>
      <c r="I5" s="663"/>
      <c r="J5" s="19">
        <v>40</v>
      </c>
      <c r="K5" s="20">
        <v>20</v>
      </c>
      <c r="L5" s="21">
        <v>2</v>
      </c>
      <c r="M5" s="22">
        <f t="shared" si="0"/>
        <v>1.7470000000000001</v>
      </c>
    </row>
    <row r="6" spans="1:16" ht="18" customHeight="1">
      <c r="B6" s="669"/>
      <c r="C6" s="17" t="s">
        <v>24</v>
      </c>
      <c r="D6" s="17">
        <f>D4-80</f>
        <v>2220</v>
      </c>
      <c r="E6" s="17">
        <f>E4-80</f>
        <v>2320</v>
      </c>
      <c r="F6" s="18">
        <f>D6*E6/10^6</f>
        <v>5.1504000000000003</v>
      </c>
      <c r="G6" s="17">
        <v>1</v>
      </c>
      <c r="H6" s="18">
        <f>F6*G6</f>
        <v>5.1504000000000003</v>
      </c>
      <c r="I6" s="663"/>
      <c r="J6" s="19">
        <v>40</v>
      </c>
      <c r="K6" s="20">
        <v>20</v>
      </c>
      <c r="L6" s="21">
        <v>2</v>
      </c>
      <c r="M6" s="22">
        <f t="shared" si="0"/>
        <v>1.7470000000000001</v>
      </c>
    </row>
    <row r="7" spans="1:16" ht="18" customHeight="1">
      <c r="B7" s="23" t="s">
        <v>25</v>
      </c>
      <c r="C7" s="252" t="s">
        <v>16</v>
      </c>
      <c r="D7" s="252" t="s">
        <v>26</v>
      </c>
      <c r="E7" s="252" t="s">
        <v>17</v>
      </c>
      <c r="F7" s="252" t="s">
        <v>27</v>
      </c>
      <c r="G7" s="252" t="s">
        <v>22</v>
      </c>
      <c r="H7" s="252" t="s">
        <v>28</v>
      </c>
      <c r="I7" s="25" t="s">
        <v>29</v>
      </c>
      <c r="J7" s="19">
        <v>80</v>
      </c>
      <c r="K7" s="20">
        <v>40</v>
      </c>
      <c r="L7" s="21">
        <v>2</v>
      </c>
      <c r="M7" s="22">
        <f t="shared" si="0"/>
        <v>3.6190000000000002</v>
      </c>
    </row>
    <row r="8" spans="1:16" ht="18" customHeight="1">
      <c r="B8" s="251" t="s">
        <v>30</v>
      </c>
      <c r="C8" s="27">
        <f>D4-30</f>
        <v>2270</v>
      </c>
      <c r="D8" s="27">
        <v>2</v>
      </c>
      <c r="E8" s="27">
        <f>E4-30</f>
        <v>2370</v>
      </c>
      <c r="F8" s="27">
        <v>2</v>
      </c>
      <c r="G8" s="28">
        <v>1.7470000000000001</v>
      </c>
      <c r="H8" s="29">
        <f>材料价格!B3</f>
        <v>7.5</v>
      </c>
      <c r="I8" s="30">
        <f>ROUND((C8*D8+E8*F8)*G8*H8/1000*1.1,2)</f>
        <v>133.75</v>
      </c>
      <c r="J8" s="19">
        <v>40</v>
      </c>
      <c r="K8" s="20">
        <v>20</v>
      </c>
      <c r="L8" s="21">
        <v>1.4</v>
      </c>
      <c r="M8" s="22">
        <f>ROUND(((J8*K8)-(J8-2*L8)*(K8-2*L8))*2.71/1000,3)</f>
        <v>0.434</v>
      </c>
    </row>
    <row r="9" spans="1:16" ht="18" customHeight="1">
      <c r="B9" s="251" t="s">
        <v>30</v>
      </c>
      <c r="C9" s="250"/>
      <c r="D9" s="250"/>
      <c r="E9" s="250"/>
      <c r="F9" s="250"/>
      <c r="G9" s="28">
        <v>1.7470000000000001</v>
      </c>
      <c r="H9" s="32">
        <f>H8</f>
        <v>7.5</v>
      </c>
      <c r="I9" s="30">
        <f>ROUND((C9*D9+E9*F9)*G9*H9/1000*1.1,2)</f>
        <v>0</v>
      </c>
      <c r="J9" s="19"/>
      <c r="K9" s="20"/>
      <c r="L9" s="21"/>
      <c r="M9" s="22">
        <f t="shared" si="0"/>
        <v>0</v>
      </c>
    </row>
    <row r="10" spans="1:16" ht="18" customHeight="1">
      <c r="B10" s="251" t="s">
        <v>31</v>
      </c>
      <c r="C10" s="250"/>
      <c r="D10" s="250"/>
      <c r="E10" s="250"/>
      <c r="F10" s="250"/>
      <c r="G10" s="28">
        <v>3.6190000000000002</v>
      </c>
      <c r="H10" s="32">
        <f>H9</f>
        <v>7.5</v>
      </c>
      <c r="I10" s="30">
        <f>ROUND((C10*D10+E10*F10)*G10*H10/1000*1.1,2)</f>
        <v>0</v>
      </c>
      <c r="J10" s="19"/>
      <c r="K10" s="20"/>
      <c r="L10" s="12"/>
      <c r="M10" s="22">
        <f t="shared" si="0"/>
        <v>0</v>
      </c>
    </row>
    <row r="11" spans="1:16" ht="18" customHeight="1" thickBot="1">
      <c r="B11" s="251" t="s">
        <v>32</v>
      </c>
      <c r="C11" s="250"/>
      <c r="D11" s="250"/>
      <c r="E11" s="250"/>
      <c r="F11" s="250"/>
      <c r="G11" s="28">
        <v>2.9950000000000001</v>
      </c>
      <c r="H11" s="32">
        <f>H10</f>
        <v>7.5</v>
      </c>
      <c r="I11" s="30">
        <f>ROUND((C11*D11+E11*F11)*G11*H11/1000*1.1,2)</f>
        <v>0</v>
      </c>
      <c r="J11" s="33"/>
      <c r="K11" s="34"/>
      <c r="L11" s="35"/>
      <c r="M11" s="36">
        <f t="shared" si="0"/>
        <v>0</v>
      </c>
    </row>
    <row r="12" spans="1:16" ht="18" customHeight="1">
      <c r="B12" s="37" t="s">
        <v>33</v>
      </c>
      <c r="C12" s="38">
        <f>((I9+I10+I8+I11)/H8)/F4</f>
        <v>3.2306763285024154</v>
      </c>
      <c r="D12" s="39" t="s">
        <v>34</v>
      </c>
      <c r="E12" s="38">
        <f>(I9+I10+I8+I11)/F4</f>
        <v>24.230072463768117</v>
      </c>
      <c r="F12" s="40" t="s">
        <v>35</v>
      </c>
      <c r="G12" s="39"/>
      <c r="H12" s="39">
        <f>ROUND(SUM(I8:I11)/H8,2)</f>
        <v>17.829999999999998</v>
      </c>
      <c r="I12" s="41">
        <f>SUM(I8:I11)</f>
        <v>133.75</v>
      </c>
      <c r="J12" s="42"/>
    </row>
    <row r="13" spans="1:16" ht="18" customHeight="1">
      <c r="B13" s="23" t="s">
        <v>36</v>
      </c>
      <c r="C13" s="252" t="s">
        <v>14</v>
      </c>
      <c r="D13" s="252" t="s">
        <v>37</v>
      </c>
      <c r="E13" s="252" t="s">
        <v>38</v>
      </c>
      <c r="F13" s="252" t="s">
        <v>39</v>
      </c>
      <c r="G13" s="252" t="s">
        <v>8</v>
      </c>
      <c r="H13" s="252" t="s">
        <v>22</v>
      </c>
      <c r="I13" s="25" t="s">
        <v>40</v>
      </c>
    </row>
    <row r="14" spans="1:16" ht="18" customHeight="1">
      <c r="B14" s="648" t="s">
        <v>41</v>
      </c>
      <c r="C14" s="649" t="s">
        <v>404</v>
      </c>
      <c r="D14" s="250">
        <v>500</v>
      </c>
      <c r="E14" s="250">
        <f>E6</f>
        <v>2320</v>
      </c>
      <c r="F14" s="44">
        <f>ROUND((D14+E14)*2/1000,4)</f>
        <v>5.64</v>
      </c>
      <c r="G14" s="250">
        <v>1</v>
      </c>
      <c r="H14" s="250">
        <v>1.47</v>
      </c>
      <c r="I14" s="284">
        <f>ROUND(F14*G14*H14,3)*1.5</f>
        <v>12.436500000000001</v>
      </c>
      <c r="J14" s="42"/>
      <c r="K14" s="46"/>
      <c r="L14" s="46"/>
      <c r="M14" s="42"/>
    </row>
    <row r="15" spans="1:16" ht="18" customHeight="1">
      <c r="B15" s="648"/>
      <c r="C15" s="650"/>
      <c r="D15" s="250"/>
      <c r="E15" s="250"/>
      <c r="F15" s="44">
        <f t="shared" ref="F15:F21" si="1">ROUND((D15+E15)*2/1000,4)</f>
        <v>0</v>
      </c>
      <c r="G15" s="250"/>
      <c r="H15" s="250">
        <f t="shared" ref="H15:H21" si="2">H14</f>
        <v>1.47</v>
      </c>
      <c r="I15" s="247">
        <f t="shared" ref="I15:I21" si="3">ROUND(F15*G15*H15,3)</f>
        <v>0</v>
      </c>
      <c r="K15" s="47"/>
      <c r="M15" s="255"/>
    </row>
    <row r="16" spans="1:16" ht="18" customHeight="1">
      <c r="B16" s="648"/>
      <c r="C16" s="650"/>
      <c r="D16" s="250"/>
      <c r="E16" s="250"/>
      <c r="F16" s="44">
        <f t="shared" si="1"/>
        <v>0</v>
      </c>
      <c r="G16" s="250"/>
      <c r="H16" s="250">
        <f t="shared" si="2"/>
        <v>1.47</v>
      </c>
      <c r="I16" s="247">
        <f t="shared" si="3"/>
        <v>0</v>
      </c>
      <c r="K16" s="47"/>
      <c r="L16" s="46"/>
      <c r="M16" s="42"/>
    </row>
    <row r="17" spans="2:15" ht="18" customHeight="1">
      <c r="B17" s="648"/>
      <c r="C17" s="650"/>
      <c r="D17" s="250"/>
      <c r="E17" s="250"/>
      <c r="F17" s="44">
        <f t="shared" si="1"/>
        <v>0</v>
      </c>
      <c r="G17" s="250"/>
      <c r="H17" s="250">
        <f t="shared" si="2"/>
        <v>1.47</v>
      </c>
      <c r="I17" s="247">
        <f t="shared" si="3"/>
        <v>0</v>
      </c>
      <c r="K17" s="47"/>
      <c r="M17" s="42"/>
    </row>
    <row r="18" spans="2:15" ht="18" customHeight="1">
      <c r="B18" s="648"/>
      <c r="C18" s="650"/>
      <c r="D18" s="250"/>
      <c r="E18" s="250"/>
      <c r="F18" s="44">
        <f t="shared" si="1"/>
        <v>0</v>
      </c>
      <c r="G18" s="250"/>
      <c r="H18" s="250">
        <f t="shared" si="2"/>
        <v>1.47</v>
      </c>
      <c r="I18" s="247">
        <f t="shared" si="3"/>
        <v>0</v>
      </c>
      <c r="M18" s="42"/>
    </row>
    <row r="19" spans="2:15" ht="18" customHeight="1">
      <c r="B19" s="648"/>
      <c r="C19" s="650"/>
      <c r="D19" s="250"/>
      <c r="E19" s="250"/>
      <c r="F19" s="44">
        <f t="shared" si="1"/>
        <v>0</v>
      </c>
      <c r="G19" s="250"/>
      <c r="H19" s="250">
        <f t="shared" si="2"/>
        <v>1.47</v>
      </c>
      <c r="I19" s="247">
        <f t="shared" si="3"/>
        <v>0</v>
      </c>
      <c r="M19" s="42"/>
    </row>
    <row r="20" spans="2:15" ht="18" customHeight="1">
      <c r="B20" s="648"/>
      <c r="C20" s="650"/>
      <c r="D20" s="250"/>
      <c r="E20" s="250"/>
      <c r="F20" s="44">
        <f t="shared" si="1"/>
        <v>0</v>
      </c>
      <c r="G20" s="250"/>
      <c r="H20" s="250">
        <f t="shared" si="2"/>
        <v>1.47</v>
      </c>
      <c r="I20" s="247">
        <f t="shared" si="3"/>
        <v>0</v>
      </c>
      <c r="K20" s="47"/>
      <c r="M20" s="42"/>
    </row>
    <row r="21" spans="2:15" ht="18" customHeight="1">
      <c r="B21" s="648"/>
      <c r="C21" s="651"/>
      <c r="D21" s="250"/>
      <c r="E21" s="250"/>
      <c r="F21" s="44">
        <f t="shared" si="1"/>
        <v>0</v>
      </c>
      <c r="G21" s="250"/>
      <c r="H21" s="250">
        <f t="shared" si="2"/>
        <v>1.47</v>
      </c>
      <c r="I21" s="247">
        <f t="shared" si="3"/>
        <v>0</v>
      </c>
    </row>
    <row r="22" spans="2:15" ht="18" customHeight="1">
      <c r="B22" s="48" t="s">
        <v>42</v>
      </c>
      <c r="C22" s="49">
        <f>SUMPRODUCT(F14:F21*G14:G21)</f>
        <v>5.64</v>
      </c>
      <c r="D22" s="50" t="s">
        <v>43</v>
      </c>
      <c r="E22" s="49">
        <f>SUM(I14:I21)*1.1</f>
        <v>13.680150000000001</v>
      </c>
      <c r="F22" s="50" t="s">
        <v>44</v>
      </c>
      <c r="G22" s="51">
        <f>(C$218+C$219)/1000</f>
        <v>46.081499999999998</v>
      </c>
      <c r="H22" s="52" t="s">
        <v>45</v>
      </c>
      <c r="I22" s="53">
        <f>ROUND(E22*G22,2)</f>
        <v>630.4</v>
      </c>
      <c r="J22" s="243">
        <f>SUM(G14:G21)</f>
        <v>1</v>
      </c>
    </row>
    <row r="23" spans="2:15" ht="18" customHeight="1">
      <c r="B23" s="48" t="s">
        <v>46</v>
      </c>
      <c r="C23" s="50">
        <v>207.36</v>
      </c>
      <c r="D23" s="50" t="s">
        <v>47</v>
      </c>
      <c r="E23" s="49">
        <f>ROUND(C22*(C23/1000),2)</f>
        <v>1.17</v>
      </c>
      <c r="F23" s="50" t="s">
        <v>48</v>
      </c>
      <c r="G23" s="50">
        <v>10</v>
      </c>
      <c r="H23" s="52" t="s">
        <v>49</v>
      </c>
      <c r="I23" s="53">
        <f>E23*G23</f>
        <v>11.7</v>
      </c>
    </row>
    <row r="24" spans="2:15" ht="18" customHeight="1" thickBot="1">
      <c r="B24" s="48" t="s">
        <v>50</v>
      </c>
      <c r="C24" s="50">
        <v>169.96</v>
      </c>
      <c r="D24" s="50" t="s">
        <v>51</v>
      </c>
      <c r="E24" s="49">
        <f>ROUND(C22*(C24/1000),2)</f>
        <v>0.96</v>
      </c>
      <c r="F24" s="50" t="s">
        <v>48</v>
      </c>
      <c r="G24" s="50">
        <v>10</v>
      </c>
      <c r="H24" s="52" t="s">
        <v>49</v>
      </c>
      <c r="I24" s="53">
        <f>E24*G24</f>
        <v>9.6</v>
      </c>
    </row>
    <row r="25" spans="2:15" ht="18" customHeight="1">
      <c r="B25" s="23" t="s">
        <v>36</v>
      </c>
      <c r="C25" s="252" t="s">
        <v>14</v>
      </c>
      <c r="D25" s="252" t="s">
        <v>37</v>
      </c>
      <c r="E25" s="252" t="s">
        <v>38</v>
      </c>
      <c r="F25" s="252" t="s">
        <v>39</v>
      </c>
      <c r="G25" s="252" t="s">
        <v>8</v>
      </c>
      <c r="H25" s="252" t="s">
        <v>22</v>
      </c>
      <c r="I25" s="25" t="s">
        <v>40</v>
      </c>
      <c r="J25" s="54" t="s">
        <v>2</v>
      </c>
      <c r="K25" s="55" t="s">
        <v>3</v>
      </c>
      <c r="L25" s="55" t="s">
        <v>52</v>
      </c>
      <c r="M25" s="55" t="s">
        <v>53</v>
      </c>
      <c r="N25" s="56" t="s">
        <v>14</v>
      </c>
    </row>
    <row r="26" spans="2:15" ht="18" customHeight="1">
      <c r="B26" s="648" t="s">
        <v>54</v>
      </c>
      <c r="C26" s="649" t="s">
        <v>55</v>
      </c>
      <c r="D26" s="253">
        <f>J26-IF(L26=1,44,IF(L26=2,30,IF(L26=3,16,0)))</f>
        <v>0</v>
      </c>
      <c r="E26" s="253">
        <f>K26-IF(M26=1,44,IF(M26=2,30,IF(M26=3,16,0)))</f>
        <v>0</v>
      </c>
      <c r="F26" s="44">
        <f>ROUND((D26+E26)*2/1000,4)</f>
        <v>0</v>
      </c>
      <c r="G26" s="250"/>
      <c r="H26" s="58">
        <v>1.62</v>
      </c>
      <c r="I26" s="59">
        <f>IF(AND(D26&gt;0,E26&gt;0,F26&gt;0),F26*G26*H26,0)</f>
        <v>0</v>
      </c>
      <c r="J26" s="60"/>
      <c r="K26" s="61"/>
      <c r="L26" s="61"/>
      <c r="M26" s="61"/>
      <c r="N26" s="62" t="s">
        <v>56</v>
      </c>
      <c r="O26" s="63" t="s">
        <v>57</v>
      </c>
    </row>
    <row r="27" spans="2:15" ht="18" customHeight="1">
      <c r="B27" s="648"/>
      <c r="C27" s="650"/>
      <c r="D27" s="253">
        <f t="shared" ref="D27:E30" si="4">J27-IF(L27=1,44,IF(L27=2,30,IF(L27=3,16,0)))</f>
        <v>0</v>
      </c>
      <c r="E27" s="253">
        <f t="shared" si="4"/>
        <v>0</v>
      </c>
      <c r="F27" s="44">
        <f>ROUND((D27+E27)*2/1000,4)</f>
        <v>0</v>
      </c>
      <c r="G27" s="250"/>
      <c r="H27" s="58">
        <f>H26</f>
        <v>1.62</v>
      </c>
      <c r="I27" s="59">
        <f>IF(AND(D27&gt;0,E27&gt;0,F27&gt;0),F27*G27*H27,0)</f>
        <v>0</v>
      </c>
      <c r="J27" s="60"/>
      <c r="K27" s="61"/>
      <c r="L27" s="61"/>
      <c r="M27" s="61"/>
      <c r="N27" s="62" t="s">
        <v>58</v>
      </c>
      <c r="O27" s="63" t="s">
        <v>59</v>
      </c>
    </row>
    <row r="28" spans="2:15" ht="18" customHeight="1">
      <c r="B28" s="648"/>
      <c r="C28" s="650"/>
      <c r="D28" s="253">
        <f t="shared" si="4"/>
        <v>0</v>
      </c>
      <c r="E28" s="253">
        <f t="shared" si="4"/>
        <v>0</v>
      </c>
      <c r="F28" s="44">
        <f>ROUND((D28+E28)*2/1000,4)</f>
        <v>0</v>
      </c>
      <c r="G28" s="250"/>
      <c r="H28" s="58">
        <f>H27</f>
        <v>1.62</v>
      </c>
      <c r="I28" s="59">
        <f>IF(AND(D28&gt;0,E28&gt;0,F28&gt;0),F28*G28*H28,0)</f>
        <v>0</v>
      </c>
      <c r="J28" s="60"/>
      <c r="K28" s="61"/>
      <c r="L28" s="61"/>
      <c r="M28" s="61"/>
      <c r="N28" s="62" t="s">
        <v>60</v>
      </c>
      <c r="O28" s="63" t="s">
        <v>59</v>
      </c>
    </row>
    <row r="29" spans="2:15" ht="18" customHeight="1">
      <c r="B29" s="648"/>
      <c r="C29" s="650"/>
      <c r="D29" s="253">
        <f t="shared" si="4"/>
        <v>0</v>
      </c>
      <c r="E29" s="253">
        <f t="shared" si="4"/>
        <v>0</v>
      </c>
      <c r="F29" s="44">
        <f>ROUND((D29+E29)*2/1000,4)</f>
        <v>0</v>
      </c>
      <c r="G29" s="250"/>
      <c r="H29" s="58">
        <f>H28</f>
        <v>1.62</v>
      </c>
      <c r="I29" s="59">
        <f>IF(AND(D29&gt;0,E29&gt;0,F29&gt;0),F29*G29*H29,0)</f>
        <v>0</v>
      </c>
      <c r="J29" s="60"/>
      <c r="K29" s="61"/>
      <c r="L29" s="61"/>
      <c r="M29" s="61"/>
      <c r="N29" s="62"/>
    </row>
    <row r="30" spans="2:15" ht="18" customHeight="1" thickBot="1">
      <c r="B30" s="648"/>
      <c r="C30" s="651"/>
      <c r="D30" s="253">
        <f t="shared" si="4"/>
        <v>0</v>
      </c>
      <c r="E30" s="253">
        <f t="shared" si="4"/>
        <v>0</v>
      </c>
      <c r="F30" s="44">
        <f>ROUND((D30+E30)*2/1000,4)</f>
        <v>0</v>
      </c>
      <c r="G30" s="250"/>
      <c r="H30" s="58">
        <f>H29</f>
        <v>1.62</v>
      </c>
      <c r="I30" s="59">
        <f>IF(AND(D30&gt;0,E30&gt;0,F30&gt;0),F30*G30*H30,0)</f>
        <v>0</v>
      </c>
      <c r="J30" s="64"/>
      <c r="K30" s="65"/>
      <c r="L30" s="65"/>
      <c r="M30" s="65"/>
      <c r="N30" s="66"/>
    </row>
    <row r="31" spans="2:15" ht="18" customHeight="1">
      <c r="B31" s="48" t="s">
        <v>42</v>
      </c>
      <c r="C31" s="49">
        <f>SUMPRODUCT(F26:F30*G26:G30)</f>
        <v>0</v>
      </c>
      <c r="D31" s="50" t="s">
        <v>43</v>
      </c>
      <c r="E31" s="49">
        <f>SUM(I26:I30)*1.1</f>
        <v>0</v>
      </c>
      <c r="F31" s="50" t="s">
        <v>44</v>
      </c>
      <c r="G31" s="51">
        <f>(C$218+C$221)/1000</f>
        <v>46.081499999999998</v>
      </c>
      <c r="H31" s="52" t="s">
        <v>45</v>
      </c>
      <c r="I31" s="53">
        <f>ROUND(E31*G31,2)</f>
        <v>0</v>
      </c>
      <c r="J31" s="243">
        <f>SUM(G26:G30)</f>
        <v>0</v>
      </c>
    </row>
    <row r="32" spans="2:15" ht="18" customHeight="1">
      <c r="B32" s="48" t="s">
        <v>46</v>
      </c>
      <c r="C32" s="50">
        <v>183.32</v>
      </c>
      <c r="D32" s="50" t="s">
        <v>47</v>
      </c>
      <c r="E32" s="49">
        <f>ROUND(C31*(C32/1000),2)</f>
        <v>0</v>
      </c>
      <c r="F32" s="50" t="s">
        <v>48</v>
      </c>
      <c r="G32" s="50">
        <f>G$23</f>
        <v>10</v>
      </c>
      <c r="H32" s="52" t="s">
        <v>49</v>
      </c>
      <c r="I32" s="53">
        <f>E32*G32</f>
        <v>0</v>
      </c>
    </row>
    <row r="33" spans="2:14" ht="18" customHeight="1" thickBot="1">
      <c r="B33" s="48" t="s">
        <v>50</v>
      </c>
      <c r="C33" s="50">
        <v>257.82</v>
      </c>
      <c r="D33" s="50" t="s">
        <v>51</v>
      </c>
      <c r="E33" s="49">
        <f>ROUND(C31*(C33/1000),2)</f>
        <v>0</v>
      </c>
      <c r="F33" s="50" t="s">
        <v>48</v>
      </c>
      <c r="G33" s="50">
        <f>G$24</f>
        <v>10</v>
      </c>
      <c r="H33" s="52" t="s">
        <v>49</v>
      </c>
      <c r="I33" s="53">
        <f>E33*G33</f>
        <v>0</v>
      </c>
    </row>
    <row r="34" spans="2:14" ht="18" customHeight="1" thickBot="1">
      <c r="B34" s="67" t="s">
        <v>36</v>
      </c>
      <c r="C34" s="68" t="s">
        <v>14</v>
      </c>
      <c r="D34" s="68" t="s">
        <v>37</v>
      </c>
      <c r="E34" s="68" t="s">
        <v>38</v>
      </c>
      <c r="F34" s="68" t="s">
        <v>39</v>
      </c>
      <c r="G34" s="68" t="s">
        <v>8</v>
      </c>
      <c r="H34" s="68" t="s">
        <v>22</v>
      </c>
      <c r="I34" s="69" t="s">
        <v>40</v>
      </c>
      <c r="J34" s="54" t="s">
        <v>2</v>
      </c>
      <c r="K34" s="55" t="s">
        <v>3</v>
      </c>
      <c r="L34" s="55" t="s">
        <v>61</v>
      </c>
      <c r="M34" s="55" t="s">
        <v>62</v>
      </c>
      <c r="N34" s="70" t="s">
        <v>14</v>
      </c>
    </row>
    <row r="35" spans="2:14" ht="18" customHeight="1">
      <c r="B35" s="648" t="s">
        <v>63</v>
      </c>
      <c r="C35" s="649" t="s">
        <v>64</v>
      </c>
      <c r="D35" s="253">
        <f t="shared" ref="D35:E37" si="5">J35-IF(L35=1,44,IF(L35=2,30,IF(L35=3,16,IF(L35=11,118,IF(L35=12,100,IF(L35=13,76.8,0))))))</f>
        <v>0</v>
      </c>
      <c r="E35" s="253">
        <f t="shared" si="5"/>
        <v>0</v>
      </c>
      <c r="F35" s="250">
        <f>ROUND((D35+E35)*2/1000,4)</f>
        <v>0</v>
      </c>
      <c r="G35" s="250"/>
      <c r="H35" s="58">
        <v>1.8140000000000001</v>
      </c>
      <c r="I35" s="59">
        <f>ROUND(F35*G35*H35,3)</f>
        <v>0</v>
      </c>
      <c r="J35" s="60"/>
      <c r="K35" s="61"/>
      <c r="L35" s="61"/>
      <c r="M35" s="61"/>
      <c r="N35" s="71" t="s">
        <v>56</v>
      </c>
    </row>
    <row r="36" spans="2:14" ht="18" customHeight="1">
      <c r="B36" s="660"/>
      <c r="C36" s="650"/>
      <c r="D36" s="253">
        <f t="shared" si="5"/>
        <v>0</v>
      </c>
      <c r="E36" s="253">
        <f t="shared" si="5"/>
        <v>0</v>
      </c>
      <c r="F36" s="250">
        <f>ROUND((D36+E36)*2/1000,4)</f>
        <v>0</v>
      </c>
      <c r="G36" s="250"/>
      <c r="H36" s="58">
        <f>H35</f>
        <v>1.8140000000000001</v>
      </c>
      <c r="I36" s="59">
        <f>ROUND(F36*G36*H36,3)</f>
        <v>0</v>
      </c>
      <c r="J36" s="60"/>
      <c r="K36" s="61"/>
      <c r="L36" s="61"/>
      <c r="M36" s="61"/>
      <c r="N36" s="72" t="s">
        <v>58</v>
      </c>
    </row>
    <row r="37" spans="2:14" ht="18" customHeight="1">
      <c r="B37" s="660"/>
      <c r="C37" s="651"/>
      <c r="D37" s="253">
        <f t="shared" si="5"/>
        <v>0</v>
      </c>
      <c r="E37" s="253">
        <f t="shared" si="5"/>
        <v>0</v>
      </c>
      <c r="F37" s="250">
        <f>ROUND((D37+E37)*2/1000,4)</f>
        <v>0</v>
      </c>
      <c r="G37" s="250"/>
      <c r="H37" s="58">
        <f>H36</f>
        <v>1.8140000000000001</v>
      </c>
      <c r="I37" s="59">
        <f>ROUND(F37*G37*H37,3)</f>
        <v>0</v>
      </c>
      <c r="J37" s="60"/>
      <c r="K37" s="61"/>
      <c r="L37" s="61"/>
      <c r="M37" s="61"/>
      <c r="N37" s="72" t="s">
        <v>60</v>
      </c>
    </row>
    <row r="38" spans="2:14" ht="18" customHeight="1">
      <c r="B38" s="48" t="s">
        <v>42</v>
      </c>
      <c r="C38" s="49">
        <f>SUMPRODUCT(F35:F37*G35:G37)</f>
        <v>0</v>
      </c>
      <c r="D38" s="50" t="s">
        <v>43</v>
      </c>
      <c r="E38" s="49">
        <f>SUM(I35:I37)*1.1</f>
        <v>0</v>
      </c>
      <c r="F38" s="50" t="s">
        <v>44</v>
      </c>
      <c r="G38" s="51">
        <f>(C$218+C$219)/1000</f>
        <v>46.081499999999998</v>
      </c>
      <c r="H38" s="52" t="s">
        <v>45</v>
      </c>
      <c r="I38" s="53">
        <f>ROUND(E38*G38,2)</f>
        <v>0</v>
      </c>
      <c r="J38" s="243">
        <f>SUM(G35:G37)</f>
        <v>0</v>
      </c>
      <c r="K38" s="255"/>
      <c r="L38" s="255"/>
      <c r="M38" s="255"/>
      <c r="N38" s="73" t="s">
        <v>65</v>
      </c>
    </row>
    <row r="39" spans="2:14" ht="18" customHeight="1">
      <c r="B39" s="48" t="s">
        <v>46</v>
      </c>
      <c r="C39" s="50">
        <v>320.14</v>
      </c>
      <c r="D39" s="50" t="s">
        <v>47</v>
      </c>
      <c r="E39" s="49">
        <f>ROUND(C38*(C39/1000),2)</f>
        <v>0</v>
      </c>
      <c r="F39" s="50" t="s">
        <v>48</v>
      </c>
      <c r="G39" s="50">
        <f>G$23</f>
        <v>10</v>
      </c>
      <c r="H39" s="52" t="s">
        <v>49</v>
      </c>
      <c r="I39" s="53">
        <f>E39*G39</f>
        <v>0</v>
      </c>
      <c r="J39" s="255"/>
      <c r="K39" s="255"/>
      <c r="L39" s="255"/>
      <c r="M39" s="255"/>
      <c r="N39" s="73" t="s">
        <v>66</v>
      </c>
    </row>
    <row r="40" spans="2:14" ht="18" customHeight="1" thickBot="1">
      <c r="B40" s="48" t="s">
        <v>50</v>
      </c>
      <c r="C40" s="50">
        <v>156.99</v>
      </c>
      <c r="D40" s="50" t="s">
        <v>51</v>
      </c>
      <c r="E40" s="49">
        <f>ROUND(C38*(C40/1000),2)</f>
        <v>0</v>
      </c>
      <c r="F40" s="50" t="s">
        <v>48</v>
      </c>
      <c r="G40" s="50">
        <f>G$24</f>
        <v>10</v>
      </c>
      <c r="H40" s="52" t="s">
        <v>49</v>
      </c>
      <c r="I40" s="53">
        <f>E40*G40</f>
        <v>0</v>
      </c>
      <c r="J40" s="255"/>
      <c r="K40" s="255"/>
      <c r="L40" s="255"/>
      <c r="M40" s="255"/>
      <c r="N40" s="74" t="s">
        <v>67</v>
      </c>
    </row>
    <row r="41" spans="2:14" ht="18" customHeight="1" thickBot="1">
      <c r="B41" s="23" t="s">
        <v>36</v>
      </c>
      <c r="C41" s="252" t="s">
        <v>14</v>
      </c>
      <c r="D41" s="252" t="s">
        <v>37</v>
      </c>
      <c r="E41" s="252" t="s">
        <v>38</v>
      </c>
      <c r="F41" s="252" t="s">
        <v>39</v>
      </c>
      <c r="G41" s="252" t="s">
        <v>8</v>
      </c>
      <c r="H41" s="252" t="s">
        <v>22</v>
      </c>
      <c r="I41" s="25" t="s">
        <v>40</v>
      </c>
      <c r="J41" s="54" t="s">
        <v>2</v>
      </c>
      <c r="K41" s="55" t="s">
        <v>3</v>
      </c>
      <c r="L41" s="55" t="s">
        <v>61</v>
      </c>
      <c r="M41" s="55" t="s">
        <v>62</v>
      </c>
      <c r="N41" s="70" t="s">
        <v>14</v>
      </c>
    </row>
    <row r="42" spans="2:14" ht="18" customHeight="1">
      <c r="B42" s="648" t="s">
        <v>68</v>
      </c>
      <c r="C42" s="649" t="s">
        <v>69</v>
      </c>
      <c r="D42" s="253">
        <f>J42-IF(L42=1,46,IF(L42=2,34.5,IF(L42=3,23)))</f>
        <v>0</v>
      </c>
      <c r="E42" s="253">
        <f>K42-IF(M42=1,46,IF(M42=2,34.5,IF(M42=3,23)))</f>
        <v>0</v>
      </c>
      <c r="F42" s="250">
        <f t="shared" ref="F42:F47" si="6">ROUND((D42+E42)*2/1000,4)</f>
        <v>0</v>
      </c>
      <c r="G42" s="250"/>
      <c r="H42" s="250">
        <v>1.26</v>
      </c>
      <c r="I42" s="59">
        <f t="shared" ref="I42:I47" si="7">ROUND(F42*G42*H42,3)</f>
        <v>0</v>
      </c>
      <c r="J42" s="60"/>
      <c r="K42" s="61"/>
      <c r="L42" s="61"/>
      <c r="M42" s="61"/>
      <c r="N42" s="71" t="s">
        <v>56</v>
      </c>
    </row>
    <row r="43" spans="2:14" ht="18" customHeight="1">
      <c r="B43" s="648"/>
      <c r="C43" s="650"/>
      <c r="D43" s="253">
        <f t="shared" ref="D43:E47" si="8">J43-IF(L43=1,46,IF(L43=2,34.5,IF(L43=3,23)))</f>
        <v>0</v>
      </c>
      <c r="E43" s="253">
        <f t="shared" si="8"/>
        <v>0</v>
      </c>
      <c r="F43" s="250">
        <f t="shared" si="6"/>
        <v>0</v>
      </c>
      <c r="G43" s="250"/>
      <c r="H43" s="250">
        <f>H42</f>
        <v>1.26</v>
      </c>
      <c r="I43" s="59">
        <f t="shared" si="7"/>
        <v>0</v>
      </c>
      <c r="J43" s="60"/>
      <c r="K43" s="61"/>
      <c r="L43" s="61"/>
      <c r="M43" s="61"/>
      <c r="N43" s="72" t="s">
        <v>58</v>
      </c>
    </row>
    <row r="44" spans="2:14" ht="18" customHeight="1">
      <c r="B44" s="648"/>
      <c r="C44" s="651"/>
      <c r="D44" s="253">
        <f t="shared" si="8"/>
        <v>0</v>
      </c>
      <c r="E44" s="253">
        <f t="shared" si="8"/>
        <v>0</v>
      </c>
      <c r="F44" s="250">
        <f t="shared" si="6"/>
        <v>0</v>
      </c>
      <c r="G44" s="250"/>
      <c r="H44" s="250">
        <f>H43</f>
        <v>1.26</v>
      </c>
      <c r="I44" s="59">
        <f t="shared" si="7"/>
        <v>0</v>
      </c>
      <c r="J44" s="60"/>
      <c r="K44" s="61"/>
      <c r="L44" s="61"/>
      <c r="M44" s="61"/>
      <c r="N44" s="72" t="s">
        <v>60</v>
      </c>
    </row>
    <row r="45" spans="2:14" ht="18" customHeight="1">
      <c r="B45" s="648"/>
      <c r="C45" s="649" t="s">
        <v>70</v>
      </c>
      <c r="D45" s="253">
        <f t="shared" si="8"/>
        <v>0</v>
      </c>
      <c r="E45" s="253">
        <f t="shared" si="8"/>
        <v>0</v>
      </c>
      <c r="F45" s="250">
        <f t="shared" si="6"/>
        <v>0</v>
      </c>
      <c r="G45" s="250"/>
      <c r="H45" s="250">
        <f>H44</f>
        <v>1.26</v>
      </c>
      <c r="I45" s="59">
        <f t="shared" si="7"/>
        <v>0</v>
      </c>
      <c r="J45" s="60"/>
      <c r="K45" s="61"/>
      <c r="L45" s="61"/>
      <c r="M45" s="61"/>
      <c r="N45" s="71" t="s">
        <v>56</v>
      </c>
    </row>
    <row r="46" spans="2:14" ht="18" customHeight="1">
      <c r="B46" s="648"/>
      <c r="C46" s="650"/>
      <c r="D46" s="253">
        <f t="shared" si="8"/>
        <v>0</v>
      </c>
      <c r="E46" s="253">
        <f t="shared" si="8"/>
        <v>0</v>
      </c>
      <c r="F46" s="250">
        <f t="shared" si="6"/>
        <v>0</v>
      </c>
      <c r="G46" s="250"/>
      <c r="H46" s="250">
        <f>H45</f>
        <v>1.26</v>
      </c>
      <c r="I46" s="59">
        <f t="shared" si="7"/>
        <v>0</v>
      </c>
      <c r="J46" s="60"/>
      <c r="K46" s="61"/>
      <c r="L46" s="61"/>
      <c r="M46" s="61"/>
      <c r="N46" s="72" t="s">
        <v>58</v>
      </c>
    </row>
    <row r="47" spans="2:14" ht="18" customHeight="1" thickBot="1">
      <c r="B47" s="648"/>
      <c r="C47" s="651"/>
      <c r="D47" s="253">
        <f t="shared" si="8"/>
        <v>0</v>
      </c>
      <c r="E47" s="253">
        <f t="shared" si="8"/>
        <v>0</v>
      </c>
      <c r="F47" s="250">
        <f t="shared" si="6"/>
        <v>0</v>
      </c>
      <c r="G47" s="250"/>
      <c r="H47" s="250">
        <f>H46</f>
        <v>1.26</v>
      </c>
      <c r="I47" s="59">
        <f t="shared" si="7"/>
        <v>0</v>
      </c>
      <c r="J47" s="64"/>
      <c r="K47" s="65"/>
      <c r="L47" s="65"/>
      <c r="M47" s="65"/>
      <c r="N47" s="75" t="s">
        <v>60</v>
      </c>
    </row>
    <row r="48" spans="2:14" ht="18" customHeight="1">
      <c r="B48" s="48" t="s">
        <v>42</v>
      </c>
      <c r="C48" s="49">
        <f>SUMPRODUCT(F42:F47*G42:G47)</f>
        <v>0</v>
      </c>
      <c r="D48" s="50" t="s">
        <v>43</v>
      </c>
      <c r="E48" s="49">
        <f>SUM(I42:I47)*1.1</f>
        <v>0</v>
      </c>
      <c r="F48" s="50" t="s">
        <v>44</v>
      </c>
      <c r="G48" s="51">
        <f>(C$218+C$219)/1000</f>
        <v>46.081499999999998</v>
      </c>
      <c r="H48" s="52" t="s">
        <v>45</v>
      </c>
      <c r="I48" s="53">
        <f>ROUND(E48*G48,2)</f>
        <v>0</v>
      </c>
      <c r="J48" s="243">
        <f>SUM(G42:G47)</f>
        <v>0</v>
      </c>
      <c r="K48" s="255"/>
      <c r="L48" s="255"/>
      <c r="M48" s="255"/>
    </row>
    <row r="49" spans="2:14" ht="18" customHeight="1">
      <c r="B49" s="48" t="s">
        <v>46</v>
      </c>
      <c r="C49" s="50">
        <v>132.47999999999999</v>
      </c>
      <c r="D49" s="50" t="s">
        <v>47</v>
      </c>
      <c r="E49" s="49">
        <f>ROUND(C48*(C49/1000),2)</f>
        <v>0</v>
      </c>
      <c r="F49" s="50" t="s">
        <v>48</v>
      </c>
      <c r="G49" s="50">
        <f>G$23</f>
        <v>10</v>
      </c>
      <c r="H49" s="52" t="s">
        <v>49</v>
      </c>
      <c r="I49" s="53">
        <f>E49*G49</f>
        <v>0</v>
      </c>
      <c r="J49" s="255"/>
      <c r="K49" s="255"/>
      <c r="L49" s="255"/>
      <c r="M49" s="255"/>
    </row>
    <row r="50" spans="2:14" ht="18" customHeight="1" thickBot="1">
      <c r="B50" s="48" t="s">
        <v>50</v>
      </c>
      <c r="C50" s="50">
        <v>202.06</v>
      </c>
      <c r="D50" s="50" t="s">
        <v>51</v>
      </c>
      <c r="E50" s="49">
        <f>ROUND(C48*(C50/1000),2)</f>
        <v>0</v>
      </c>
      <c r="F50" s="50" t="s">
        <v>48</v>
      </c>
      <c r="G50" s="50">
        <f>G$24</f>
        <v>10</v>
      </c>
      <c r="H50" s="52" t="s">
        <v>49</v>
      </c>
      <c r="I50" s="53">
        <f>E50*G50</f>
        <v>0</v>
      </c>
      <c r="J50" s="255"/>
    </row>
    <row r="51" spans="2:14" ht="18" customHeight="1" thickBot="1">
      <c r="B51" s="23" t="s">
        <v>36</v>
      </c>
      <c r="C51" s="252" t="s">
        <v>14</v>
      </c>
      <c r="D51" s="252" t="s">
        <v>37</v>
      </c>
      <c r="E51" s="252" t="s">
        <v>71</v>
      </c>
      <c r="F51" s="252" t="s">
        <v>38</v>
      </c>
      <c r="G51" s="252" t="s">
        <v>72</v>
      </c>
      <c r="H51" s="252" t="s">
        <v>22</v>
      </c>
      <c r="I51" s="25" t="s">
        <v>40</v>
      </c>
      <c r="J51" s="54" t="s">
        <v>2</v>
      </c>
      <c r="K51" s="55" t="s">
        <v>3</v>
      </c>
      <c r="L51" s="55" t="s">
        <v>61</v>
      </c>
      <c r="M51" s="55" t="s">
        <v>62</v>
      </c>
      <c r="N51" s="70" t="s">
        <v>14</v>
      </c>
    </row>
    <row r="52" spans="2:14" ht="18" customHeight="1">
      <c r="B52" s="648" t="s">
        <v>73</v>
      </c>
      <c r="C52" s="649" t="s">
        <v>405</v>
      </c>
      <c r="D52" s="253">
        <f>J52-IF(L52=1,46,IF(L52=2,32,IF(L52=3,18,0)))</f>
        <v>0</v>
      </c>
      <c r="E52" s="253"/>
      <c r="F52" s="253">
        <f>K52-IF(M52=1,46,IF(M52=2,32,IF(M52=3,118,0)))</f>
        <v>0</v>
      </c>
      <c r="G52" s="250"/>
      <c r="H52" s="250">
        <v>1.6379999999999999</v>
      </c>
      <c r="I52" s="59">
        <f>ROUND((D52*E52+F52*G52)/1000*H52,3)</f>
        <v>0</v>
      </c>
      <c r="J52" s="60"/>
      <c r="K52" s="61"/>
      <c r="L52" s="61"/>
      <c r="M52" s="61"/>
      <c r="N52" s="76" t="s">
        <v>56</v>
      </c>
    </row>
    <row r="53" spans="2:14" ht="18" customHeight="1">
      <c r="B53" s="648"/>
      <c r="C53" s="650"/>
      <c r="D53" s="253">
        <f t="shared" ref="D53:D55" si="9">J53-IF(L53=1,46,IF(L53=2,32,IF(L53=3,18,0)))</f>
        <v>0</v>
      </c>
      <c r="E53" s="253"/>
      <c r="F53" s="253">
        <f t="shared" ref="F53:F55" si="10">K53-IF(M53=1,46,IF(M53=2,32,IF(M53=3,118,0)))</f>
        <v>0</v>
      </c>
      <c r="G53" s="250"/>
      <c r="H53" s="250">
        <f>H52</f>
        <v>1.6379999999999999</v>
      </c>
      <c r="I53" s="59">
        <f>ROUND((D53*E53+F53*G53)/1000*H53,3)</f>
        <v>0</v>
      </c>
      <c r="J53" s="60"/>
      <c r="K53" s="61"/>
      <c r="L53" s="61"/>
      <c r="M53" s="61"/>
      <c r="N53" s="76" t="s">
        <v>58</v>
      </c>
    </row>
    <row r="54" spans="2:14" ht="18" customHeight="1">
      <c r="B54" s="648"/>
      <c r="C54" s="650"/>
      <c r="D54" s="253">
        <f t="shared" si="9"/>
        <v>0</v>
      </c>
      <c r="E54" s="253"/>
      <c r="F54" s="253">
        <f t="shared" si="10"/>
        <v>0</v>
      </c>
      <c r="G54" s="250"/>
      <c r="H54" s="250">
        <f>H53</f>
        <v>1.6379999999999999</v>
      </c>
      <c r="I54" s="59">
        <f>ROUND((D54*E54+F54*G54)/1000*H54,3)</f>
        <v>0</v>
      </c>
      <c r="J54" s="60"/>
      <c r="K54" s="61"/>
      <c r="L54" s="61"/>
      <c r="M54" s="61"/>
      <c r="N54" s="76" t="s">
        <v>60</v>
      </c>
    </row>
    <row r="55" spans="2:14" ht="18" customHeight="1" thickBot="1">
      <c r="B55" s="648"/>
      <c r="C55" s="651"/>
      <c r="D55" s="253">
        <f t="shared" si="9"/>
        <v>0</v>
      </c>
      <c r="E55" s="253"/>
      <c r="F55" s="253">
        <f t="shared" si="10"/>
        <v>0</v>
      </c>
      <c r="G55" s="250"/>
      <c r="H55" s="77">
        <f>H54</f>
        <v>1.6379999999999999</v>
      </c>
      <c r="I55" s="59">
        <f>ROUND((D55*E55+F55*G55)/1000*H55,3)</f>
        <v>0</v>
      </c>
      <c r="J55" s="78"/>
      <c r="K55" s="79"/>
      <c r="L55" s="79"/>
      <c r="M55" s="79"/>
      <c r="N55" s="80"/>
    </row>
    <row r="56" spans="2:14" ht="18" customHeight="1">
      <c r="B56" s="48" t="s">
        <v>42</v>
      </c>
      <c r="C56" s="49">
        <f>SUMPRODUCT(D52:D55*E52:E55+F52:F55*G52:G55)/1000</f>
        <v>0</v>
      </c>
      <c r="D56" s="50" t="s">
        <v>43</v>
      </c>
      <c r="E56" s="49">
        <f>SUM(I52:I55)*1.1</f>
        <v>0</v>
      </c>
      <c r="F56" s="50" t="s">
        <v>44</v>
      </c>
      <c r="G56" s="51">
        <f>(C$218+C$219)/1000</f>
        <v>46.081499999999998</v>
      </c>
      <c r="H56" s="52" t="s">
        <v>45</v>
      </c>
      <c r="I56" s="53">
        <f>ROUND(E56*G56,2)</f>
        <v>0</v>
      </c>
      <c r="J56" s="243">
        <f>SUM(E52:E55)+SUM(G52:G55)</f>
        <v>0</v>
      </c>
    </row>
    <row r="57" spans="2:14" ht="18" customHeight="1">
      <c r="B57" s="48" t="s">
        <v>46</v>
      </c>
      <c r="C57" s="50">
        <v>265.52999999999997</v>
      </c>
      <c r="D57" s="50" t="s">
        <v>47</v>
      </c>
      <c r="E57" s="49">
        <f>ROUND(C56*(C57/1000),2)</f>
        <v>0</v>
      </c>
      <c r="F57" s="50" t="s">
        <v>48</v>
      </c>
      <c r="G57" s="50">
        <f>G$23</f>
        <v>10</v>
      </c>
      <c r="H57" s="52" t="s">
        <v>49</v>
      </c>
      <c r="I57" s="53">
        <f>E57*G57</f>
        <v>0</v>
      </c>
      <c r="L57" s="47"/>
    </row>
    <row r="58" spans="2:14" ht="18" customHeight="1">
      <c r="B58" s="48" t="s">
        <v>50</v>
      </c>
      <c r="C58" s="50">
        <v>173.62</v>
      </c>
      <c r="D58" s="50" t="s">
        <v>51</v>
      </c>
      <c r="E58" s="49">
        <f>ROUND(C56*(C58/1000),2)</f>
        <v>0</v>
      </c>
      <c r="F58" s="50" t="s">
        <v>48</v>
      </c>
      <c r="G58" s="50">
        <f>G$24</f>
        <v>10</v>
      </c>
      <c r="H58" s="52" t="s">
        <v>49</v>
      </c>
      <c r="I58" s="53">
        <f>E58*G58</f>
        <v>0</v>
      </c>
      <c r="L58" s="47"/>
    </row>
    <row r="59" spans="2:14" ht="18" customHeight="1">
      <c r="B59" s="23" t="s">
        <v>36</v>
      </c>
      <c r="C59" s="252" t="s">
        <v>14</v>
      </c>
      <c r="D59" s="652" t="s">
        <v>74</v>
      </c>
      <c r="E59" s="652"/>
      <c r="F59" s="652"/>
      <c r="G59" s="252" t="s">
        <v>75</v>
      </c>
      <c r="H59" s="252" t="s">
        <v>22</v>
      </c>
      <c r="I59" s="25" t="s">
        <v>40</v>
      </c>
      <c r="L59" s="47"/>
    </row>
    <row r="60" spans="2:14" ht="18" customHeight="1">
      <c r="B60" s="648" t="s">
        <v>76</v>
      </c>
      <c r="C60" s="649" t="s">
        <v>77</v>
      </c>
      <c r="D60" s="646"/>
      <c r="E60" s="646"/>
      <c r="F60" s="646"/>
      <c r="G60" s="250"/>
      <c r="H60" s="250">
        <v>1.9339999999999999</v>
      </c>
      <c r="I60" s="59">
        <f>ROUND(D60*G60*H60/1000,3)</f>
        <v>0</v>
      </c>
      <c r="L60" s="47"/>
    </row>
    <row r="61" spans="2:14" ht="18" customHeight="1">
      <c r="B61" s="648"/>
      <c r="C61" s="651"/>
      <c r="D61" s="646"/>
      <c r="E61" s="646"/>
      <c r="F61" s="646"/>
      <c r="G61" s="250"/>
      <c r="H61" s="250">
        <v>1.9339999999999999</v>
      </c>
      <c r="I61" s="59">
        <f>ROUND(D61*G61*H61/1000,3)</f>
        <v>0</v>
      </c>
    </row>
    <row r="62" spans="2:14" ht="18" customHeight="1">
      <c r="B62" s="648"/>
      <c r="C62" s="649" t="s">
        <v>78</v>
      </c>
      <c r="D62" s="646"/>
      <c r="E62" s="646"/>
      <c r="F62" s="646"/>
      <c r="G62" s="250"/>
      <c r="H62" s="250">
        <v>2.3130000000000002</v>
      </c>
      <c r="I62" s="59">
        <f>ROUND(D62*G62*H62/1000,3)</f>
        <v>0</v>
      </c>
    </row>
    <row r="63" spans="2:14" ht="18" customHeight="1">
      <c r="B63" s="648"/>
      <c r="C63" s="651"/>
      <c r="D63" s="646"/>
      <c r="E63" s="646"/>
      <c r="F63" s="646"/>
      <c r="G63" s="250"/>
      <c r="H63" s="250">
        <v>2.3130000000000002</v>
      </c>
      <c r="I63" s="59">
        <f>ROUND(D63*G63*H63/1000,3)</f>
        <v>0</v>
      </c>
    </row>
    <row r="64" spans="2:14" ht="18" customHeight="1">
      <c r="B64" s="48" t="s">
        <v>42</v>
      </c>
      <c r="C64" s="49">
        <f>SUMPRODUCT(D60:F63*G60:G63)/1000</f>
        <v>0</v>
      </c>
      <c r="D64" s="50" t="s">
        <v>43</v>
      </c>
      <c r="E64" s="49">
        <f>SUM(I60:I63)*1.1</f>
        <v>0</v>
      </c>
      <c r="F64" s="50" t="s">
        <v>44</v>
      </c>
      <c r="G64" s="51">
        <f>(C$218+C$219)/1000</f>
        <v>46.081499999999998</v>
      </c>
      <c r="H64" s="52" t="s">
        <v>45</v>
      </c>
      <c r="I64" s="53">
        <f>ROUND(E64*G64,2)</f>
        <v>0</v>
      </c>
      <c r="J64" s="43">
        <f>SUM(G60:G63)</f>
        <v>0</v>
      </c>
    </row>
    <row r="65" spans="2:14" ht="18" customHeight="1">
      <c r="B65" s="48" t="s">
        <v>46</v>
      </c>
      <c r="C65" s="50">
        <v>337.92</v>
      </c>
      <c r="D65" s="50" t="s">
        <v>47</v>
      </c>
      <c r="E65" s="49">
        <f>ROUND(C64*(C65/1000),2)</f>
        <v>0</v>
      </c>
      <c r="F65" s="50" t="s">
        <v>48</v>
      </c>
      <c r="G65" s="50">
        <f>G$23</f>
        <v>10</v>
      </c>
      <c r="H65" s="52" t="s">
        <v>49</v>
      </c>
      <c r="I65" s="53">
        <f>E65*G65</f>
        <v>0</v>
      </c>
    </row>
    <row r="66" spans="2:14" ht="18" customHeight="1" thickBot="1">
      <c r="B66" s="48" t="s">
        <v>50</v>
      </c>
      <c r="C66" s="50">
        <v>175.93</v>
      </c>
      <c r="D66" s="50" t="s">
        <v>51</v>
      </c>
      <c r="E66" s="49">
        <f>ROUND(C64*(C66/1000),2)</f>
        <v>0</v>
      </c>
      <c r="F66" s="50" t="s">
        <v>48</v>
      </c>
      <c r="G66" s="50">
        <f>G$24</f>
        <v>10</v>
      </c>
      <c r="H66" s="52" t="s">
        <v>49</v>
      </c>
      <c r="I66" s="53">
        <f>E66*G66</f>
        <v>0</v>
      </c>
    </row>
    <row r="67" spans="2:14" ht="18" customHeight="1" thickBot="1">
      <c r="B67" s="23" t="s">
        <v>36</v>
      </c>
      <c r="C67" s="252" t="s">
        <v>14</v>
      </c>
      <c r="D67" s="252" t="s">
        <v>37</v>
      </c>
      <c r="E67" s="252" t="s">
        <v>38</v>
      </c>
      <c r="F67" s="252" t="s">
        <v>39</v>
      </c>
      <c r="G67" s="252" t="s">
        <v>8</v>
      </c>
      <c r="H67" s="252" t="s">
        <v>22</v>
      </c>
      <c r="I67" s="25" t="s">
        <v>40</v>
      </c>
      <c r="J67" s="54" t="s">
        <v>2</v>
      </c>
      <c r="K67" s="55" t="s">
        <v>3</v>
      </c>
      <c r="L67" s="55" t="s">
        <v>52</v>
      </c>
      <c r="M67" s="55" t="s">
        <v>53</v>
      </c>
      <c r="N67" s="70" t="s">
        <v>14</v>
      </c>
    </row>
    <row r="68" spans="2:14" ht="18" customHeight="1">
      <c r="B68" s="648" t="s">
        <v>79</v>
      </c>
      <c r="C68" s="649" t="s">
        <v>323</v>
      </c>
      <c r="D68" s="81">
        <f>J68-IF(L68=1,72,IF(L68=2,54,IF(L68=3,26,IF(L68=11,102.8,IF(L68=12,88.8,IF(L68=13,74.8,0))))))</f>
        <v>428</v>
      </c>
      <c r="E68" s="81">
        <f>K68-IF(M68=1,72,IF(M68=2,24,IF(M68=3,26,IF(M68=11,102.8,IF(M68=12,88.8,IF(M68=13,74.8,0))))))</f>
        <v>2248</v>
      </c>
      <c r="F68" s="81">
        <f>2*(D68+E68)/1000</f>
        <v>5.3520000000000003</v>
      </c>
      <c r="G68" s="82">
        <v>1</v>
      </c>
      <c r="H68" s="250">
        <v>0.224</v>
      </c>
      <c r="I68" s="283">
        <f>ROUND(F68*G68*H68,3)*1.5</f>
        <v>1.7985000000000002</v>
      </c>
      <c r="J68" s="83">
        <f>D14</f>
        <v>500</v>
      </c>
      <c r="K68" s="83">
        <f>E14</f>
        <v>2320</v>
      </c>
      <c r="L68" s="84">
        <v>1</v>
      </c>
      <c r="M68" s="84">
        <v>1</v>
      </c>
      <c r="N68" s="71" t="s">
        <v>56</v>
      </c>
    </row>
    <row r="69" spans="2:14" ht="18" customHeight="1">
      <c r="B69" s="648"/>
      <c r="C69" s="650"/>
      <c r="D69" s="81">
        <f t="shared" ref="D69:D87" si="11">J69-IF(L69=1,72,IF(L69=2,54,IF(L69=3,26,IF(L69=11,102.8,IF(L69=12,88.8,IF(L69=13,74.8,0))))))</f>
        <v>0</v>
      </c>
      <c r="E69" s="81">
        <f t="shared" ref="E69:E87" si="12">K69-IF(M69=1,72,IF(M69=2,24,IF(M69=3,26,IF(M69=11,102.8,IF(M69=12,88.8,IF(M69=13,74.8,0))))))</f>
        <v>0</v>
      </c>
      <c r="F69" s="81">
        <f t="shared" ref="F69:F87" si="13">2*(D69+E69)/1000</f>
        <v>0</v>
      </c>
      <c r="G69" s="82"/>
      <c r="H69" s="250">
        <f>H68</f>
        <v>0.224</v>
      </c>
      <c r="I69" s="59">
        <f t="shared" ref="I69:I87" si="14">ROUND(F69*G69*H69,3)</f>
        <v>0</v>
      </c>
      <c r="J69" s="83"/>
      <c r="K69" s="84"/>
      <c r="L69" s="84"/>
      <c r="M69" s="84"/>
      <c r="N69" s="72" t="s">
        <v>58</v>
      </c>
    </row>
    <row r="70" spans="2:14" ht="18" customHeight="1">
      <c r="B70" s="648"/>
      <c r="C70" s="650"/>
      <c r="D70" s="81">
        <f t="shared" si="11"/>
        <v>0</v>
      </c>
      <c r="E70" s="81">
        <f t="shared" si="12"/>
        <v>0</v>
      </c>
      <c r="F70" s="81">
        <f t="shared" si="13"/>
        <v>0</v>
      </c>
      <c r="G70" s="82"/>
      <c r="H70" s="250">
        <f>H69</f>
        <v>0.224</v>
      </c>
      <c r="I70" s="59">
        <f t="shared" si="14"/>
        <v>0</v>
      </c>
      <c r="J70" s="83"/>
      <c r="K70" s="84"/>
      <c r="L70" s="84"/>
      <c r="M70" s="84"/>
      <c r="N70" s="72" t="s">
        <v>60</v>
      </c>
    </row>
    <row r="71" spans="2:14" ht="18" customHeight="1">
      <c r="B71" s="648"/>
      <c r="C71" s="650"/>
      <c r="D71" s="81">
        <f t="shared" si="11"/>
        <v>0</v>
      </c>
      <c r="E71" s="81">
        <f t="shared" si="12"/>
        <v>0</v>
      </c>
      <c r="F71" s="81">
        <f t="shared" si="13"/>
        <v>0</v>
      </c>
      <c r="G71" s="82"/>
      <c r="H71" s="77">
        <f>H70</f>
        <v>0.224</v>
      </c>
      <c r="I71" s="59">
        <f t="shared" si="14"/>
        <v>0</v>
      </c>
      <c r="J71" s="85"/>
      <c r="K71" s="86"/>
      <c r="L71" s="86"/>
      <c r="M71" s="86"/>
      <c r="N71" s="72" t="s">
        <v>65</v>
      </c>
    </row>
    <row r="72" spans="2:14" ht="18" customHeight="1">
      <c r="B72" s="648"/>
      <c r="C72" s="650"/>
      <c r="D72" s="81">
        <f t="shared" si="11"/>
        <v>0</v>
      </c>
      <c r="E72" s="81">
        <f t="shared" si="12"/>
        <v>0</v>
      </c>
      <c r="F72" s="81">
        <f t="shared" si="13"/>
        <v>0</v>
      </c>
      <c r="G72" s="82"/>
      <c r="H72" s="77">
        <f>H71</f>
        <v>0.224</v>
      </c>
      <c r="I72" s="87">
        <f t="shared" si="14"/>
        <v>0</v>
      </c>
      <c r="J72" s="85"/>
      <c r="K72" s="86"/>
      <c r="L72" s="86"/>
      <c r="M72" s="86"/>
      <c r="N72" s="72" t="s">
        <v>66</v>
      </c>
    </row>
    <row r="73" spans="2:14" ht="18" customHeight="1">
      <c r="B73" s="648"/>
      <c r="C73" s="650"/>
      <c r="D73" s="81">
        <f t="shared" si="11"/>
        <v>0</v>
      </c>
      <c r="E73" s="81">
        <f t="shared" si="12"/>
        <v>0</v>
      </c>
      <c r="F73" s="81">
        <f t="shared" si="13"/>
        <v>0</v>
      </c>
      <c r="G73" s="82"/>
      <c r="H73" s="250">
        <f>H70</f>
        <v>0.224</v>
      </c>
      <c r="I73" s="87">
        <f t="shared" si="14"/>
        <v>0</v>
      </c>
      <c r="J73" s="83"/>
      <c r="K73" s="84"/>
      <c r="L73" s="84"/>
      <c r="M73" s="84"/>
      <c r="N73" s="72" t="s">
        <v>67</v>
      </c>
    </row>
    <row r="74" spans="2:14" ht="18" customHeight="1">
      <c r="B74" s="648"/>
      <c r="C74" s="651"/>
      <c r="D74" s="81">
        <f t="shared" si="11"/>
        <v>0</v>
      </c>
      <c r="E74" s="81">
        <f t="shared" si="12"/>
        <v>0</v>
      </c>
      <c r="F74" s="81">
        <f t="shared" si="13"/>
        <v>0</v>
      </c>
      <c r="G74" s="82"/>
      <c r="H74" s="250">
        <f>H73</f>
        <v>0.224</v>
      </c>
      <c r="I74" s="87">
        <f t="shared" si="14"/>
        <v>0</v>
      </c>
      <c r="J74" s="83"/>
      <c r="K74" s="84"/>
      <c r="L74" s="84"/>
      <c r="M74" s="84"/>
      <c r="N74" s="88"/>
    </row>
    <row r="75" spans="2:14" ht="18" customHeight="1">
      <c r="B75" s="648"/>
      <c r="C75" s="649" t="s">
        <v>324</v>
      </c>
      <c r="D75" s="89">
        <f t="shared" si="11"/>
        <v>0</v>
      </c>
      <c r="E75" s="89">
        <f t="shared" si="12"/>
        <v>0</v>
      </c>
      <c r="F75" s="89">
        <f t="shared" si="13"/>
        <v>0</v>
      </c>
      <c r="G75" s="90"/>
      <c r="H75" s="91">
        <f>H74</f>
        <v>0.224</v>
      </c>
      <c r="I75" s="92">
        <f t="shared" si="14"/>
        <v>0</v>
      </c>
      <c r="J75" s="83"/>
      <c r="K75" s="84"/>
      <c r="L75" s="84"/>
      <c r="M75" s="84"/>
      <c r="N75" s="93" t="s">
        <v>80</v>
      </c>
    </row>
    <row r="76" spans="2:14" ht="18" customHeight="1">
      <c r="B76" s="648"/>
      <c r="C76" s="650"/>
      <c r="D76" s="89">
        <f t="shared" si="11"/>
        <v>0</v>
      </c>
      <c r="E76" s="89">
        <f t="shared" si="12"/>
        <v>0</v>
      </c>
      <c r="F76" s="89">
        <f t="shared" si="13"/>
        <v>0</v>
      </c>
      <c r="G76" s="90"/>
      <c r="H76" s="91">
        <f>H72</f>
        <v>0.224</v>
      </c>
      <c r="I76" s="92">
        <f t="shared" si="14"/>
        <v>0</v>
      </c>
      <c r="J76" s="83"/>
      <c r="K76" s="84"/>
      <c r="L76" s="84"/>
      <c r="M76" s="84"/>
      <c r="N76" s="93" t="s">
        <v>80</v>
      </c>
    </row>
    <row r="77" spans="2:14" ht="18" customHeight="1">
      <c r="B77" s="648"/>
      <c r="C77" s="650"/>
      <c r="D77" s="89">
        <f t="shared" si="11"/>
        <v>0</v>
      </c>
      <c r="E77" s="89">
        <f t="shared" si="12"/>
        <v>0</v>
      </c>
      <c r="F77" s="89">
        <f t="shared" si="13"/>
        <v>0</v>
      </c>
      <c r="G77" s="90"/>
      <c r="H77" s="91">
        <f t="shared" ref="H77:H87" si="15">H76</f>
        <v>0.224</v>
      </c>
      <c r="I77" s="92">
        <f t="shared" si="14"/>
        <v>0</v>
      </c>
      <c r="J77" s="83"/>
      <c r="K77" s="84"/>
      <c r="L77" s="84"/>
      <c r="M77" s="84"/>
      <c r="N77" s="93" t="s">
        <v>80</v>
      </c>
    </row>
    <row r="78" spans="2:14" ht="18" customHeight="1">
      <c r="B78" s="648"/>
      <c r="C78" s="650"/>
      <c r="D78" s="89">
        <f t="shared" si="11"/>
        <v>0</v>
      </c>
      <c r="E78" s="89">
        <f t="shared" si="12"/>
        <v>0</v>
      </c>
      <c r="F78" s="89">
        <f t="shared" si="13"/>
        <v>0</v>
      </c>
      <c r="G78" s="90"/>
      <c r="H78" s="91">
        <f t="shared" si="15"/>
        <v>0.224</v>
      </c>
      <c r="I78" s="92">
        <f t="shared" si="14"/>
        <v>0</v>
      </c>
      <c r="J78" s="83"/>
      <c r="K78" s="84"/>
      <c r="L78" s="84"/>
      <c r="M78" s="84"/>
      <c r="N78" s="93" t="s">
        <v>80</v>
      </c>
    </row>
    <row r="79" spans="2:14" ht="18" customHeight="1">
      <c r="B79" s="648"/>
      <c r="C79" s="650"/>
      <c r="D79" s="89">
        <f t="shared" si="11"/>
        <v>0</v>
      </c>
      <c r="E79" s="89">
        <f t="shared" si="12"/>
        <v>0</v>
      </c>
      <c r="F79" s="89">
        <f t="shared" si="13"/>
        <v>0</v>
      </c>
      <c r="G79" s="90"/>
      <c r="H79" s="91">
        <f t="shared" si="15"/>
        <v>0.224</v>
      </c>
      <c r="I79" s="94">
        <f t="shared" si="14"/>
        <v>0</v>
      </c>
      <c r="J79" s="83"/>
      <c r="K79" s="84"/>
      <c r="L79" s="84"/>
      <c r="M79" s="84"/>
      <c r="N79" s="93" t="s">
        <v>80</v>
      </c>
    </row>
    <row r="80" spans="2:14" ht="18" customHeight="1">
      <c r="B80" s="648"/>
      <c r="C80" s="650"/>
      <c r="D80" s="89">
        <f t="shared" si="11"/>
        <v>0</v>
      </c>
      <c r="E80" s="89">
        <f t="shared" si="12"/>
        <v>0</v>
      </c>
      <c r="F80" s="89">
        <f t="shared" si="13"/>
        <v>0</v>
      </c>
      <c r="G80" s="90"/>
      <c r="H80" s="91">
        <f t="shared" si="15"/>
        <v>0.224</v>
      </c>
      <c r="I80" s="94">
        <f t="shared" si="14"/>
        <v>0</v>
      </c>
      <c r="J80" s="83"/>
      <c r="K80" s="84"/>
      <c r="L80" s="84"/>
      <c r="M80" s="84"/>
      <c r="N80" s="93" t="s">
        <v>80</v>
      </c>
    </row>
    <row r="81" spans="2:14" ht="18" customHeight="1">
      <c r="B81" s="648"/>
      <c r="C81" s="651"/>
      <c r="D81" s="89">
        <f t="shared" si="11"/>
        <v>0</v>
      </c>
      <c r="E81" s="89">
        <f t="shared" si="12"/>
        <v>0</v>
      </c>
      <c r="F81" s="89">
        <f t="shared" si="13"/>
        <v>0</v>
      </c>
      <c r="G81" s="90"/>
      <c r="H81" s="91">
        <f t="shared" si="15"/>
        <v>0.224</v>
      </c>
      <c r="I81" s="94">
        <f t="shared" si="14"/>
        <v>0</v>
      </c>
      <c r="J81" s="95"/>
      <c r="K81" s="96"/>
      <c r="L81" s="96"/>
      <c r="M81" s="96"/>
      <c r="N81" s="93" t="s">
        <v>81</v>
      </c>
    </row>
    <row r="82" spans="2:14" ht="18" customHeight="1">
      <c r="B82" s="648"/>
      <c r="C82" s="639" t="s">
        <v>325</v>
      </c>
      <c r="D82" s="81">
        <f t="shared" si="11"/>
        <v>0</v>
      </c>
      <c r="E82" s="81">
        <f t="shared" si="12"/>
        <v>0</v>
      </c>
      <c r="F82" s="81">
        <f t="shared" si="13"/>
        <v>0</v>
      </c>
      <c r="G82" s="82"/>
      <c r="H82" s="250">
        <f t="shared" si="15"/>
        <v>0.224</v>
      </c>
      <c r="I82" s="59">
        <f t="shared" si="14"/>
        <v>0</v>
      </c>
      <c r="J82" s="83"/>
      <c r="K82" s="84"/>
      <c r="L82" s="84"/>
      <c r="M82" s="84"/>
      <c r="N82" s="88"/>
    </row>
    <row r="83" spans="2:14" ht="18" customHeight="1">
      <c r="B83" s="648"/>
      <c r="C83" s="645"/>
      <c r="D83" s="81">
        <f t="shared" si="11"/>
        <v>0</v>
      </c>
      <c r="E83" s="81">
        <f t="shared" si="12"/>
        <v>0</v>
      </c>
      <c r="F83" s="81">
        <f t="shared" si="13"/>
        <v>0</v>
      </c>
      <c r="G83" s="82"/>
      <c r="H83" s="250">
        <f t="shared" si="15"/>
        <v>0.224</v>
      </c>
      <c r="I83" s="59">
        <f t="shared" si="14"/>
        <v>0</v>
      </c>
      <c r="J83" s="83"/>
      <c r="K83" s="84"/>
      <c r="L83" s="84"/>
      <c r="M83" s="84"/>
      <c r="N83" s="88"/>
    </row>
    <row r="84" spans="2:14" ht="18" customHeight="1">
      <c r="B84" s="648"/>
      <c r="C84" s="645"/>
      <c r="D84" s="81">
        <f t="shared" si="11"/>
        <v>0</v>
      </c>
      <c r="E84" s="81">
        <f t="shared" si="12"/>
        <v>0</v>
      </c>
      <c r="F84" s="81">
        <f t="shared" si="13"/>
        <v>0</v>
      </c>
      <c r="G84" s="82"/>
      <c r="H84" s="250">
        <f t="shared" si="15"/>
        <v>0.224</v>
      </c>
      <c r="I84" s="59">
        <f t="shared" si="14"/>
        <v>0</v>
      </c>
      <c r="J84" s="83"/>
      <c r="K84" s="84"/>
      <c r="L84" s="84"/>
      <c r="M84" s="84"/>
      <c r="N84" s="76"/>
    </row>
    <row r="85" spans="2:14" ht="18" customHeight="1">
      <c r="B85" s="648"/>
      <c r="C85" s="645"/>
      <c r="D85" s="81">
        <f t="shared" si="11"/>
        <v>0</v>
      </c>
      <c r="E85" s="81">
        <f t="shared" si="12"/>
        <v>0</v>
      </c>
      <c r="F85" s="81">
        <f t="shared" si="13"/>
        <v>0</v>
      </c>
      <c r="G85" s="82"/>
      <c r="H85" s="250">
        <f t="shared" si="15"/>
        <v>0.224</v>
      </c>
      <c r="I85" s="59">
        <f t="shared" si="14"/>
        <v>0</v>
      </c>
      <c r="J85" s="83"/>
      <c r="K85" s="84"/>
      <c r="L85" s="84"/>
      <c r="M85" s="84"/>
      <c r="N85" s="76"/>
    </row>
    <row r="86" spans="2:14" ht="18" customHeight="1">
      <c r="B86" s="648"/>
      <c r="C86" s="645"/>
      <c r="D86" s="81">
        <f t="shared" si="11"/>
        <v>0</v>
      </c>
      <c r="E86" s="81">
        <f t="shared" si="12"/>
        <v>0</v>
      </c>
      <c r="F86" s="81">
        <f t="shared" si="13"/>
        <v>0</v>
      </c>
      <c r="G86" s="82"/>
      <c r="H86" s="250">
        <f t="shared" si="15"/>
        <v>0.224</v>
      </c>
      <c r="I86" s="59">
        <f t="shared" si="14"/>
        <v>0</v>
      </c>
      <c r="J86" s="85"/>
      <c r="K86" s="86"/>
      <c r="L86" s="86"/>
      <c r="M86" s="86"/>
      <c r="N86" s="76"/>
    </row>
    <row r="87" spans="2:14" ht="18" customHeight="1" thickBot="1">
      <c r="B87" s="648"/>
      <c r="C87" s="640"/>
      <c r="D87" s="81">
        <f t="shared" si="11"/>
        <v>0</v>
      </c>
      <c r="E87" s="81">
        <f t="shared" si="12"/>
        <v>0</v>
      </c>
      <c r="F87" s="81">
        <f t="shared" si="13"/>
        <v>0</v>
      </c>
      <c r="G87" s="82"/>
      <c r="H87" s="250">
        <f t="shared" si="15"/>
        <v>0.224</v>
      </c>
      <c r="I87" s="59">
        <f t="shared" si="14"/>
        <v>0</v>
      </c>
      <c r="J87" s="97"/>
      <c r="K87" s="98"/>
      <c r="L87" s="98"/>
      <c r="M87" s="98"/>
      <c r="N87" s="80"/>
    </row>
    <row r="88" spans="2:14" ht="18" customHeight="1">
      <c r="B88" s="48" t="s">
        <v>42</v>
      </c>
      <c r="C88" s="49">
        <f>SUMPRODUCT(F68:F87*G68:G87)</f>
        <v>5.3520000000000003</v>
      </c>
      <c r="D88" s="50" t="s">
        <v>43</v>
      </c>
      <c r="E88" s="49">
        <f>SUM(I68:I87)*1.1</f>
        <v>1.9783500000000005</v>
      </c>
      <c r="F88" s="50" t="s">
        <v>44</v>
      </c>
      <c r="G88" s="51">
        <f>(C$218+C$222)/1000</f>
        <v>39.781500000000001</v>
      </c>
      <c r="H88" s="52" t="s">
        <v>45</v>
      </c>
      <c r="I88" s="53">
        <f>ROUND(E88*G88,2)</f>
        <v>78.7</v>
      </c>
      <c r="J88" s="255"/>
      <c r="K88" s="255"/>
      <c r="L88" s="255"/>
      <c r="M88" s="255"/>
    </row>
    <row r="89" spans="2:14" ht="18" customHeight="1">
      <c r="B89" s="48" t="s">
        <v>46</v>
      </c>
      <c r="C89" s="50">
        <v>181.72</v>
      </c>
      <c r="D89" s="50" t="s">
        <v>47</v>
      </c>
      <c r="E89" s="49">
        <f>ROUND(C88*(C89/1000),2)</f>
        <v>0.97</v>
      </c>
      <c r="F89" s="50" t="s">
        <v>48</v>
      </c>
      <c r="G89" s="50">
        <f>G$23</f>
        <v>10</v>
      </c>
      <c r="H89" s="52" t="s">
        <v>49</v>
      </c>
      <c r="I89" s="53">
        <f>E89*G89</f>
        <v>9.6999999999999993</v>
      </c>
      <c r="J89" s="255"/>
      <c r="K89" s="255"/>
      <c r="L89" s="255"/>
      <c r="M89" s="255"/>
    </row>
    <row r="90" spans="2:14" ht="18" customHeight="1">
      <c r="B90" s="48" t="s">
        <v>50</v>
      </c>
      <c r="C90" s="50"/>
      <c r="D90" s="50" t="s">
        <v>51</v>
      </c>
      <c r="E90" s="49">
        <f>ROUND(C88*(C90/1000),2)</f>
        <v>0</v>
      </c>
      <c r="F90" s="50" t="s">
        <v>48</v>
      </c>
      <c r="G90" s="50">
        <f>G$24</f>
        <v>10</v>
      </c>
      <c r="H90" s="52" t="s">
        <v>49</v>
      </c>
      <c r="I90" s="53">
        <f>E90*G90</f>
        <v>0</v>
      </c>
      <c r="J90" s="255"/>
      <c r="K90" s="255"/>
      <c r="L90" s="255"/>
      <c r="M90" s="255"/>
    </row>
    <row r="91" spans="2:14" ht="18" customHeight="1">
      <c r="B91" s="23" t="s">
        <v>36</v>
      </c>
      <c r="C91" s="252" t="s">
        <v>14</v>
      </c>
      <c r="D91" s="252" t="s">
        <v>37</v>
      </c>
      <c r="E91" s="252" t="s">
        <v>38</v>
      </c>
      <c r="F91" s="252" t="s">
        <v>39</v>
      </c>
      <c r="G91" s="252" t="s">
        <v>8</v>
      </c>
      <c r="H91" s="252" t="s">
        <v>22</v>
      </c>
      <c r="I91" s="25" t="s">
        <v>40</v>
      </c>
      <c r="J91" s="255"/>
      <c r="K91" s="255"/>
      <c r="L91" s="255"/>
      <c r="M91" s="255"/>
    </row>
    <row r="92" spans="2:14" ht="18" customHeight="1">
      <c r="B92" s="648" t="s">
        <v>82</v>
      </c>
      <c r="C92" s="653" t="s">
        <v>326</v>
      </c>
      <c r="D92" s="253">
        <f>D26-90</f>
        <v>-90</v>
      </c>
      <c r="E92" s="253">
        <f>E26-90</f>
        <v>-90</v>
      </c>
      <c r="F92" s="253">
        <f>2*(D92+E92)/1000</f>
        <v>-0.36</v>
      </c>
      <c r="G92" s="250">
        <f>G26</f>
        <v>0</v>
      </c>
      <c r="H92" s="250">
        <v>0.27100000000000002</v>
      </c>
      <c r="I92" s="59">
        <f>ROUND(F92*G92*H92,3)</f>
        <v>0</v>
      </c>
    </row>
    <row r="93" spans="2:14" ht="18" customHeight="1">
      <c r="B93" s="648"/>
      <c r="C93" s="658"/>
      <c r="D93" s="253">
        <f t="shared" ref="D93:E96" si="16">D27-90</f>
        <v>-90</v>
      </c>
      <c r="E93" s="253">
        <f t="shared" si="16"/>
        <v>-90</v>
      </c>
      <c r="F93" s="253">
        <f>2*(D93+E93)/1000</f>
        <v>-0.36</v>
      </c>
      <c r="G93" s="250">
        <f>G27</f>
        <v>0</v>
      </c>
      <c r="H93" s="250">
        <f>H92</f>
        <v>0.27100000000000002</v>
      </c>
      <c r="I93" s="59">
        <f>ROUND(F93*G93*H93,3)</f>
        <v>0</v>
      </c>
      <c r="M93" s="42"/>
    </row>
    <row r="94" spans="2:14" ht="18" customHeight="1">
      <c r="B94" s="648"/>
      <c r="C94" s="658"/>
      <c r="D94" s="253">
        <f t="shared" si="16"/>
        <v>-90</v>
      </c>
      <c r="E94" s="253">
        <f t="shared" si="16"/>
        <v>-90</v>
      </c>
      <c r="F94" s="253">
        <f>2*(D94+E94)/1000</f>
        <v>-0.36</v>
      </c>
      <c r="G94" s="250">
        <f>G28</f>
        <v>0</v>
      </c>
      <c r="H94" s="250">
        <f>H93</f>
        <v>0.27100000000000002</v>
      </c>
      <c r="I94" s="59">
        <f>ROUND(F94*G94*H94,3)</f>
        <v>0</v>
      </c>
    </row>
    <row r="95" spans="2:14" ht="18" customHeight="1">
      <c r="B95" s="648"/>
      <c r="C95" s="658"/>
      <c r="D95" s="253">
        <f t="shared" si="16"/>
        <v>-90</v>
      </c>
      <c r="E95" s="253">
        <f t="shared" si="16"/>
        <v>-90</v>
      </c>
      <c r="F95" s="253">
        <f>2*(D95+E95)/1000</f>
        <v>-0.36</v>
      </c>
      <c r="G95" s="250">
        <f>G29</f>
        <v>0</v>
      </c>
      <c r="H95" s="250">
        <f>H94</f>
        <v>0.27100000000000002</v>
      </c>
      <c r="I95" s="59">
        <f>ROUND(F95*G95*H95,3)</f>
        <v>0</v>
      </c>
    </row>
    <row r="96" spans="2:14" ht="18" customHeight="1">
      <c r="B96" s="648"/>
      <c r="C96" s="659"/>
      <c r="D96" s="253">
        <f t="shared" si="16"/>
        <v>-90</v>
      </c>
      <c r="E96" s="253">
        <f t="shared" si="16"/>
        <v>-90</v>
      </c>
      <c r="F96" s="253">
        <f>2*(D96+E96)/1000</f>
        <v>-0.36</v>
      </c>
      <c r="G96" s="250">
        <f>G30</f>
        <v>0</v>
      </c>
      <c r="H96" s="250">
        <f>H95</f>
        <v>0.27100000000000002</v>
      </c>
      <c r="I96" s="59">
        <f>ROUND(F96*G96*H96,3)</f>
        <v>0</v>
      </c>
    </row>
    <row r="97" spans="2:13" ht="18" customHeight="1">
      <c r="B97" s="48" t="s">
        <v>42</v>
      </c>
      <c r="C97" s="49">
        <f>SUMPRODUCT(F92:F96*G92:G96)</f>
        <v>0</v>
      </c>
      <c r="D97" s="50" t="s">
        <v>43</v>
      </c>
      <c r="E97" s="49">
        <f>SUM(I92:I96)*1.1</f>
        <v>0</v>
      </c>
      <c r="F97" s="50" t="s">
        <v>44</v>
      </c>
      <c r="G97" s="51">
        <f>(C$218+C$222)/1000</f>
        <v>39.781500000000001</v>
      </c>
      <c r="H97" s="52" t="s">
        <v>45</v>
      </c>
      <c r="I97" s="53">
        <f>ROUND(E97*G97,2)</f>
        <v>0</v>
      </c>
    </row>
    <row r="98" spans="2:13" ht="18" customHeight="1">
      <c r="B98" s="48" t="s">
        <v>46</v>
      </c>
      <c r="C98" s="50">
        <v>186.72</v>
      </c>
      <c r="D98" s="50" t="s">
        <v>47</v>
      </c>
      <c r="E98" s="49">
        <f>ROUND(C97*(C98/1000),2)</f>
        <v>0</v>
      </c>
      <c r="F98" s="50" t="s">
        <v>48</v>
      </c>
      <c r="G98" s="50">
        <f>G$23</f>
        <v>10</v>
      </c>
      <c r="H98" s="52" t="s">
        <v>49</v>
      </c>
      <c r="I98" s="53">
        <f>E98*G98</f>
        <v>0</v>
      </c>
    </row>
    <row r="99" spans="2:13" ht="18" customHeight="1">
      <c r="B99" s="48" t="s">
        <v>50</v>
      </c>
      <c r="C99" s="50">
        <v>0</v>
      </c>
      <c r="D99" s="50" t="s">
        <v>51</v>
      </c>
      <c r="E99" s="49">
        <f>ROUND(C97*(C99/1000),2)</f>
        <v>0</v>
      </c>
      <c r="F99" s="50" t="s">
        <v>48</v>
      </c>
      <c r="G99" s="50">
        <f>G$24</f>
        <v>10</v>
      </c>
      <c r="H99" s="52" t="s">
        <v>49</v>
      </c>
      <c r="I99" s="53">
        <f>E99*G99</f>
        <v>0</v>
      </c>
    </row>
    <row r="100" spans="2:13" ht="18" customHeight="1">
      <c r="B100" s="23" t="s">
        <v>36</v>
      </c>
      <c r="C100" s="252" t="s">
        <v>14</v>
      </c>
      <c r="D100" s="252" t="s">
        <v>37</v>
      </c>
      <c r="E100" s="252" t="s">
        <v>38</v>
      </c>
      <c r="F100" s="252" t="s">
        <v>39</v>
      </c>
      <c r="G100" s="252" t="s">
        <v>8</v>
      </c>
      <c r="H100" s="252" t="s">
        <v>22</v>
      </c>
      <c r="I100" s="25" t="s">
        <v>40</v>
      </c>
    </row>
    <row r="101" spans="2:13" ht="18" customHeight="1">
      <c r="B101" s="648" t="s">
        <v>84</v>
      </c>
      <c r="C101" s="653" t="str">
        <f>C92</f>
        <v>SDL2281</v>
      </c>
      <c r="D101" s="253">
        <f>D35-122</f>
        <v>-122</v>
      </c>
      <c r="E101" s="253">
        <f t="shared" ref="D101:E103" si="17">E35-122</f>
        <v>-122</v>
      </c>
      <c r="F101" s="253">
        <f>2*(D101+E101)/1000</f>
        <v>-0.48799999999999999</v>
      </c>
      <c r="G101" s="250">
        <f>G35</f>
        <v>0</v>
      </c>
      <c r="H101" s="250">
        <f>H96</f>
        <v>0.27100000000000002</v>
      </c>
      <c r="I101" s="59">
        <f>ROUND(F101*G101*H101,3)</f>
        <v>0</v>
      </c>
    </row>
    <row r="102" spans="2:13" ht="18" customHeight="1">
      <c r="B102" s="648"/>
      <c r="C102" s="650"/>
      <c r="D102" s="253">
        <f t="shared" si="17"/>
        <v>-122</v>
      </c>
      <c r="E102" s="253">
        <f t="shared" si="17"/>
        <v>-122</v>
      </c>
      <c r="F102" s="253">
        <f>2*(D102+E102)/1000</f>
        <v>-0.48799999999999999</v>
      </c>
      <c r="G102" s="250">
        <f>G36</f>
        <v>0</v>
      </c>
      <c r="H102" s="250">
        <f>H101</f>
        <v>0.27100000000000002</v>
      </c>
      <c r="I102" s="59">
        <f>ROUND(F102*G102*H102,3)</f>
        <v>0</v>
      </c>
      <c r="K102" s="99"/>
      <c r="M102" s="99"/>
    </row>
    <row r="103" spans="2:13" ht="18" customHeight="1">
      <c r="B103" s="648"/>
      <c r="C103" s="651"/>
      <c r="D103" s="253">
        <f t="shared" si="17"/>
        <v>-122</v>
      </c>
      <c r="E103" s="253">
        <f t="shared" si="17"/>
        <v>-122</v>
      </c>
      <c r="F103" s="253">
        <f>2*(D103+E103)/1000</f>
        <v>-0.48799999999999999</v>
      </c>
      <c r="G103" s="250">
        <f>G37</f>
        <v>0</v>
      </c>
      <c r="H103" s="250">
        <f>H102</f>
        <v>0.27100000000000002</v>
      </c>
      <c r="I103" s="59">
        <f>ROUND(F103*G103*H103,3)</f>
        <v>0</v>
      </c>
      <c r="M103" s="99"/>
    </row>
    <row r="104" spans="2:13" ht="18" customHeight="1">
      <c r="B104" s="48" t="s">
        <v>42</v>
      </c>
      <c r="C104" s="49">
        <f>SUMPRODUCT(F101:F103*G101:G103)</f>
        <v>0</v>
      </c>
      <c r="D104" s="50" t="s">
        <v>43</v>
      </c>
      <c r="E104" s="49">
        <f>SUM(I101:I103)*1.1</f>
        <v>0</v>
      </c>
      <c r="F104" s="50" t="s">
        <v>44</v>
      </c>
      <c r="G104" s="51">
        <f>(C$218+C$222)/1000</f>
        <v>39.781500000000001</v>
      </c>
      <c r="H104" s="52" t="s">
        <v>45</v>
      </c>
      <c r="I104" s="53">
        <f>ROUND(E104*G104,2)</f>
        <v>0</v>
      </c>
    </row>
    <row r="105" spans="2:13" ht="18" customHeight="1">
      <c r="B105" s="48" t="s">
        <v>46</v>
      </c>
      <c r="C105" s="50">
        <v>186.72</v>
      </c>
      <c r="D105" s="50" t="s">
        <v>47</v>
      </c>
      <c r="E105" s="49">
        <f>ROUND(C104*(C105/1000),2)</f>
        <v>0</v>
      </c>
      <c r="F105" s="50" t="s">
        <v>48</v>
      </c>
      <c r="G105" s="50">
        <f>G$23</f>
        <v>10</v>
      </c>
      <c r="H105" s="52" t="s">
        <v>49</v>
      </c>
      <c r="I105" s="53">
        <f>ROUND(E105*G105,2)</f>
        <v>0</v>
      </c>
    </row>
    <row r="106" spans="2:13" ht="18" customHeight="1">
      <c r="B106" s="48" t="s">
        <v>50</v>
      </c>
      <c r="C106" s="50">
        <v>0</v>
      </c>
      <c r="D106" s="50" t="s">
        <v>51</v>
      </c>
      <c r="E106" s="49">
        <f>ROUND(C104*(C106/1000),2)</f>
        <v>0</v>
      </c>
      <c r="F106" s="50" t="s">
        <v>48</v>
      </c>
      <c r="G106" s="50">
        <f>G$24</f>
        <v>10</v>
      </c>
      <c r="H106" s="52" t="s">
        <v>49</v>
      </c>
      <c r="I106" s="53">
        <f>ROUND(E106*G106,2)</f>
        <v>0</v>
      </c>
    </row>
    <row r="107" spans="2:13" ht="18" customHeight="1">
      <c r="B107" s="23" t="s">
        <v>36</v>
      </c>
      <c r="C107" s="252" t="s">
        <v>14</v>
      </c>
      <c r="D107" s="252" t="s">
        <v>37</v>
      </c>
      <c r="E107" s="252" t="s">
        <v>38</v>
      </c>
      <c r="F107" s="252" t="s">
        <v>39</v>
      </c>
      <c r="G107" s="252" t="s">
        <v>8</v>
      </c>
      <c r="H107" s="252" t="s">
        <v>22</v>
      </c>
      <c r="I107" s="25" t="s">
        <v>40</v>
      </c>
    </row>
    <row r="108" spans="2:13" ht="18" customHeight="1">
      <c r="B108" s="648" t="s">
        <v>85</v>
      </c>
      <c r="C108" s="655" t="s">
        <v>86</v>
      </c>
      <c r="D108" s="250">
        <f>D6-D14</f>
        <v>1720</v>
      </c>
      <c r="E108" s="250">
        <f>E14</f>
        <v>2320</v>
      </c>
      <c r="F108" s="250">
        <f>ROUND((D108+E108)*2/1000,4)</f>
        <v>8.08</v>
      </c>
      <c r="G108" s="250">
        <v>1</v>
      </c>
      <c r="H108" s="250">
        <v>1.857</v>
      </c>
      <c r="I108" s="59">
        <f>ROUND(F108*G108*H108,3)</f>
        <v>15.005000000000001</v>
      </c>
    </row>
    <row r="109" spans="2:13" ht="18" customHeight="1">
      <c r="B109" s="648"/>
      <c r="C109" s="656"/>
      <c r="D109" s="250"/>
      <c r="E109" s="250"/>
      <c r="F109" s="250">
        <f>ROUND((D109+E109)*2/1000,4)</f>
        <v>0</v>
      </c>
      <c r="G109" s="250"/>
      <c r="H109" s="250">
        <f>H108</f>
        <v>1.857</v>
      </c>
      <c r="I109" s="59">
        <f>ROUND(F109*G109*H109,3)</f>
        <v>0</v>
      </c>
      <c r="K109" s="42"/>
      <c r="L109" s="42"/>
      <c r="M109" s="42"/>
    </row>
    <row r="110" spans="2:13" ht="18" customHeight="1">
      <c r="B110" s="648"/>
      <c r="C110" s="656"/>
      <c r="D110" s="250"/>
      <c r="E110" s="250"/>
      <c r="F110" s="250">
        <f>ROUND((D110+E110)*2/1000,4)</f>
        <v>0</v>
      </c>
      <c r="G110" s="250"/>
      <c r="H110" s="250">
        <f>H109</f>
        <v>1.857</v>
      </c>
      <c r="I110" s="59">
        <f>ROUND(F110*G110*H110,3)</f>
        <v>0</v>
      </c>
      <c r="K110" s="42"/>
      <c r="L110" s="42"/>
      <c r="M110" s="42"/>
    </row>
    <row r="111" spans="2:13" ht="18" customHeight="1">
      <c r="B111" s="648"/>
      <c r="C111" s="657"/>
      <c r="D111" s="250"/>
      <c r="E111" s="250"/>
      <c r="F111" s="250">
        <f>ROUND((D111+E111)*2/1000,4)</f>
        <v>0</v>
      </c>
      <c r="G111" s="250"/>
      <c r="H111" s="250">
        <f>H110</f>
        <v>1.857</v>
      </c>
      <c r="I111" s="59">
        <f>ROUND(F111*G111*H111,3)</f>
        <v>0</v>
      </c>
      <c r="K111" s="42"/>
      <c r="L111" s="42"/>
      <c r="M111" s="42"/>
    </row>
    <row r="112" spans="2:13" ht="18" customHeight="1">
      <c r="B112" s="48" t="s">
        <v>42</v>
      </c>
      <c r="C112" s="49">
        <f>SUMPRODUCT(F108:F111*G108:G111)</f>
        <v>8.08</v>
      </c>
      <c r="D112" s="50" t="s">
        <v>43</v>
      </c>
      <c r="E112" s="49">
        <f>SUM(I108:I111)*1.1</f>
        <v>16.505500000000001</v>
      </c>
      <c r="F112" s="50" t="s">
        <v>44</v>
      </c>
      <c r="G112" s="51">
        <f>(C$218+C$219)/1000</f>
        <v>46.081499999999998</v>
      </c>
      <c r="H112" s="52" t="s">
        <v>45</v>
      </c>
      <c r="I112" s="53">
        <f>ROUND(E112*G112,2)</f>
        <v>760.6</v>
      </c>
      <c r="J112" s="243">
        <f>SUM(G108:G111)</f>
        <v>1</v>
      </c>
      <c r="K112" s="42"/>
      <c r="L112" s="42"/>
      <c r="M112" s="42"/>
    </row>
    <row r="113" spans="2:14" ht="18" customHeight="1">
      <c r="B113" s="48" t="s">
        <v>46</v>
      </c>
      <c r="C113" s="50">
        <v>241.03</v>
      </c>
      <c r="D113" s="50" t="s">
        <v>47</v>
      </c>
      <c r="E113" s="49">
        <f>ROUND(C112*(C113/1000),2)</f>
        <v>1.95</v>
      </c>
      <c r="F113" s="50" t="s">
        <v>48</v>
      </c>
      <c r="G113" s="50">
        <f>G$23</f>
        <v>10</v>
      </c>
      <c r="H113" s="52" t="s">
        <v>49</v>
      </c>
      <c r="I113" s="53">
        <f>E113*G113</f>
        <v>19.5</v>
      </c>
      <c r="K113" s="42"/>
      <c r="L113" s="42"/>
      <c r="M113" s="42"/>
    </row>
    <row r="114" spans="2:14" ht="18" customHeight="1" thickBot="1">
      <c r="B114" s="48" t="s">
        <v>50</v>
      </c>
      <c r="C114" s="50">
        <v>204.38</v>
      </c>
      <c r="D114" s="50" t="s">
        <v>51</v>
      </c>
      <c r="E114" s="49">
        <f>ROUND(C112*(C114/1000),2)</f>
        <v>1.65</v>
      </c>
      <c r="F114" s="50" t="s">
        <v>48</v>
      </c>
      <c r="G114" s="50">
        <f>G$24</f>
        <v>10</v>
      </c>
      <c r="H114" s="52" t="s">
        <v>49</v>
      </c>
      <c r="I114" s="53">
        <f>E114*G114</f>
        <v>16.5</v>
      </c>
    </row>
    <row r="115" spans="2:14" ht="18" customHeight="1" thickBot="1">
      <c r="B115" s="23" t="s">
        <v>36</v>
      </c>
      <c r="C115" s="252" t="s">
        <v>14</v>
      </c>
      <c r="D115" s="252" t="s">
        <v>37</v>
      </c>
      <c r="E115" s="252" t="s">
        <v>38</v>
      </c>
      <c r="F115" s="252" t="s">
        <v>39</v>
      </c>
      <c r="G115" s="252" t="s">
        <v>8</v>
      </c>
      <c r="H115" s="252" t="s">
        <v>22</v>
      </c>
      <c r="I115" s="25" t="s">
        <v>40</v>
      </c>
      <c r="J115" s="54" t="s">
        <v>2</v>
      </c>
      <c r="K115" s="55" t="s">
        <v>3</v>
      </c>
      <c r="L115" s="55" t="s">
        <v>61</v>
      </c>
      <c r="M115" s="55" t="s">
        <v>62</v>
      </c>
      <c r="N115" s="70" t="s">
        <v>14</v>
      </c>
    </row>
    <row r="116" spans="2:14" ht="18" customHeight="1">
      <c r="B116" s="648" t="s">
        <v>87</v>
      </c>
      <c r="C116" s="649" t="s">
        <v>88</v>
      </c>
      <c r="D116" s="253">
        <f t="shared" ref="D116:E118" si="18">J116-IF(L116=1,78,IF(L116=2,55.5,IF(L116=3,41,0)))</f>
        <v>819</v>
      </c>
      <c r="E116" s="253">
        <f t="shared" si="18"/>
        <v>2242</v>
      </c>
      <c r="F116" s="250">
        <f>ROUND((D116+E116)*2/1000,4)</f>
        <v>6.1219999999999999</v>
      </c>
      <c r="G116" s="250">
        <v>2</v>
      </c>
      <c r="H116" s="58">
        <v>2.456</v>
      </c>
      <c r="I116" s="59">
        <f>ROUND(F116*G116*H116,3)</f>
        <v>30.071000000000002</v>
      </c>
      <c r="J116" s="60">
        <f>D108/2</f>
        <v>860</v>
      </c>
      <c r="K116" s="61">
        <f>E108</f>
        <v>2320</v>
      </c>
      <c r="L116" s="61">
        <v>3</v>
      </c>
      <c r="M116" s="61">
        <v>1</v>
      </c>
      <c r="N116" s="76" t="s">
        <v>56</v>
      </c>
    </row>
    <row r="117" spans="2:14" ht="18" customHeight="1">
      <c r="B117" s="648"/>
      <c r="C117" s="650"/>
      <c r="D117" s="253">
        <f t="shared" si="18"/>
        <v>0</v>
      </c>
      <c r="E117" s="253">
        <f t="shared" si="18"/>
        <v>0</v>
      </c>
      <c r="F117" s="250">
        <f>ROUND((D117+E117)*2/1000,4)</f>
        <v>0</v>
      </c>
      <c r="G117" s="250">
        <v>0</v>
      </c>
      <c r="H117" s="58">
        <f>H116</f>
        <v>2.456</v>
      </c>
      <c r="I117" s="59">
        <f>ROUND(F117*G117*H117,3)</f>
        <v>0</v>
      </c>
      <c r="J117" s="60"/>
      <c r="K117" s="61"/>
      <c r="L117" s="61"/>
      <c r="M117" s="61"/>
      <c r="N117" s="76" t="s">
        <v>58</v>
      </c>
    </row>
    <row r="118" spans="2:14" ht="18" customHeight="1" thickBot="1">
      <c r="B118" s="648"/>
      <c r="C118" s="651"/>
      <c r="D118" s="253">
        <f t="shared" si="18"/>
        <v>0</v>
      </c>
      <c r="E118" s="253">
        <f t="shared" si="18"/>
        <v>0</v>
      </c>
      <c r="F118" s="250">
        <f>ROUND((D118+E118)*2/1000,4)</f>
        <v>0</v>
      </c>
      <c r="G118" s="250">
        <v>0</v>
      </c>
      <c r="H118" s="58">
        <f>H117</f>
        <v>2.456</v>
      </c>
      <c r="I118" s="59">
        <f>ROUND(F118*G118*H118,3)</f>
        <v>0</v>
      </c>
      <c r="J118" s="64"/>
      <c r="K118" s="65"/>
      <c r="L118" s="65"/>
      <c r="M118" s="65"/>
      <c r="N118" s="80" t="s">
        <v>89</v>
      </c>
    </row>
    <row r="119" spans="2:14" ht="18" customHeight="1">
      <c r="B119" s="48" t="s">
        <v>42</v>
      </c>
      <c r="C119" s="49">
        <f>SUMPRODUCT(F116:F118*G116:G118)</f>
        <v>12.244</v>
      </c>
      <c r="D119" s="100" t="s">
        <v>43</v>
      </c>
      <c r="E119" s="100">
        <f>SUM(I116:I118)*1.1</f>
        <v>33.078100000000006</v>
      </c>
      <c r="F119" s="50" t="s">
        <v>44</v>
      </c>
      <c r="G119" s="51">
        <f>(C$218+C$219)/1000</f>
        <v>46.081499999999998</v>
      </c>
      <c r="H119" s="52" t="s">
        <v>45</v>
      </c>
      <c r="I119" s="53">
        <f>ROUND(E119*G119,2)</f>
        <v>1524.29</v>
      </c>
      <c r="J119" s="243">
        <f>SUM(G116:G118)</f>
        <v>2</v>
      </c>
      <c r="K119" s="255"/>
      <c r="L119" s="255"/>
      <c r="M119" s="255"/>
    </row>
    <row r="120" spans="2:14" ht="18" customHeight="1">
      <c r="B120" s="48" t="s">
        <v>46</v>
      </c>
      <c r="C120" s="50">
        <v>350.56</v>
      </c>
      <c r="D120" s="100" t="s">
        <v>47</v>
      </c>
      <c r="E120" s="100">
        <f>ROUND(C119*(C120/1000),2)</f>
        <v>4.29</v>
      </c>
      <c r="F120" s="50" t="s">
        <v>48</v>
      </c>
      <c r="G120" s="50">
        <f>G$23</f>
        <v>10</v>
      </c>
      <c r="H120" s="52" t="s">
        <v>49</v>
      </c>
      <c r="I120" s="53">
        <f>E120*G120</f>
        <v>42.9</v>
      </c>
      <c r="J120" s="255"/>
      <c r="K120" s="255"/>
      <c r="L120" s="255"/>
      <c r="M120" s="255"/>
    </row>
    <row r="121" spans="2:14" ht="18" customHeight="1" thickBot="1">
      <c r="B121" s="48" t="s">
        <v>50</v>
      </c>
      <c r="C121" s="50">
        <v>189.03</v>
      </c>
      <c r="D121" s="100" t="s">
        <v>51</v>
      </c>
      <c r="E121" s="100">
        <f>ROUND(C119*(C121/1000),2)</f>
        <v>2.31</v>
      </c>
      <c r="F121" s="50" t="s">
        <v>48</v>
      </c>
      <c r="G121" s="50">
        <f>G$24</f>
        <v>10</v>
      </c>
      <c r="H121" s="52" t="s">
        <v>49</v>
      </c>
      <c r="I121" s="53">
        <f>E121*G121</f>
        <v>23.1</v>
      </c>
      <c r="J121" s="255"/>
    </row>
    <row r="122" spans="2:14" ht="18" customHeight="1" thickBot="1">
      <c r="B122" s="23" t="s">
        <v>36</v>
      </c>
      <c r="C122" s="252" t="s">
        <v>14</v>
      </c>
      <c r="D122" s="101" t="s">
        <v>37</v>
      </c>
      <c r="E122" s="101" t="s">
        <v>38</v>
      </c>
      <c r="F122" s="252" t="s">
        <v>39</v>
      </c>
      <c r="G122" s="252" t="s">
        <v>8</v>
      </c>
      <c r="H122" s="252" t="s">
        <v>22</v>
      </c>
      <c r="I122" s="25" t="s">
        <v>40</v>
      </c>
      <c r="J122" s="54" t="s">
        <v>2</v>
      </c>
      <c r="K122" s="55" t="s">
        <v>3</v>
      </c>
      <c r="L122" s="55" t="s">
        <v>61</v>
      </c>
      <c r="M122" s="55" t="s">
        <v>62</v>
      </c>
      <c r="N122" s="70" t="s">
        <v>14</v>
      </c>
    </row>
    <row r="123" spans="2:14" ht="18" customHeight="1">
      <c r="B123" s="648" t="s">
        <v>90</v>
      </c>
      <c r="C123" s="649" t="s">
        <v>91</v>
      </c>
      <c r="D123" s="253">
        <f t="shared" ref="D123:E125" si="19">J123-IF(L123=1,78,IF(L123=2,55.5,IF(L123=3,41,0)))</f>
        <v>0</v>
      </c>
      <c r="E123" s="253">
        <f t="shared" si="19"/>
        <v>0</v>
      </c>
      <c r="F123" s="250">
        <f>ROUND((D123+E123)*2/1000,4)</f>
        <v>0</v>
      </c>
      <c r="G123" s="250"/>
      <c r="H123" s="58">
        <v>2.4710000000000001</v>
      </c>
      <c r="I123" s="59">
        <f>ROUND(F123*G123*H123,3)</f>
        <v>0</v>
      </c>
      <c r="J123" s="60"/>
      <c r="K123" s="61"/>
      <c r="L123" s="61"/>
      <c r="M123" s="61"/>
      <c r="N123" s="76" t="s">
        <v>56</v>
      </c>
    </row>
    <row r="124" spans="2:14" ht="18" customHeight="1">
      <c r="B124" s="648"/>
      <c r="C124" s="650"/>
      <c r="D124" s="253">
        <f t="shared" si="19"/>
        <v>0</v>
      </c>
      <c r="E124" s="253">
        <f t="shared" si="19"/>
        <v>0</v>
      </c>
      <c r="F124" s="250">
        <f>ROUND((D124+E124)*2/1000,4)</f>
        <v>0</v>
      </c>
      <c r="G124" s="250"/>
      <c r="H124" s="58">
        <f>H123</f>
        <v>2.4710000000000001</v>
      </c>
      <c r="I124" s="59">
        <f>ROUND(F124*G124*H124,3)</f>
        <v>0</v>
      </c>
      <c r="J124" s="60"/>
      <c r="K124" s="61"/>
      <c r="L124" s="61"/>
      <c r="M124" s="61"/>
      <c r="N124" s="76" t="s">
        <v>58</v>
      </c>
    </row>
    <row r="125" spans="2:14" ht="18" customHeight="1" thickBot="1">
      <c r="B125" s="648"/>
      <c r="C125" s="651"/>
      <c r="D125" s="253">
        <f t="shared" si="19"/>
        <v>0</v>
      </c>
      <c r="E125" s="253">
        <f t="shared" si="19"/>
        <v>0</v>
      </c>
      <c r="F125" s="250">
        <f>ROUND((D125+E125)*2/1000,4)</f>
        <v>0</v>
      </c>
      <c r="G125" s="250"/>
      <c r="H125" s="58">
        <f>H124</f>
        <v>2.4710000000000001</v>
      </c>
      <c r="I125" s="59">
        <f>ROUND(F125*G125*H125,3)</f>
        <v>0</v>
      </c>
      <c r="J125" s="64"/>
      <c r="K125" s="65"/>
      <c r="L125" s="65"/>
      <c r="M125" s="65"/>
      <c r="N125" s="80" t="s">
        <v>89</v>
      </c>
    </row>
    <row r="126" spans="2:14" ht="18" customHeight="1">
      <c r="B126" s="48" t="s">
        <v>42</v>
      </c>
      <c r="C126" s="49">
        <f>SUMPRODUCT(F123:F125*G123:G125)</f>
        <v>0</v>
      </c>
      <c r="D126" s="50" t="s">
        <v>43</v>
      </c>
      <c r="E126" s="49">
        <f>SUM(I123:I125)*1.1</f>
        <v>0</v>
      </c>
      <c r="F126" s="50" t="s">
        <v>44</v>
      </c>
      <c r="G126" s="51">
        <f>(C$218+C$221)/1000</f>
        <v>46.081499999999998</v>
      </c>
      <c r="H126" s="52" t="s">
        <v>45</v>
      </c>
      <c r="I126" s="53">
        <f>ROUND(E126*G126,2)</f>
        <v>0</v>
      </c>
      <c r="J126" s="243">
        <f>SUM(G123:G125)</f>
        <v>0</v>
      </c>
      <c r="K126" s="255"/>
      <c r="L126" s="255"/>
      <c r="M126" s="255"/>
    </row>
    <row r="127" spans="2:14" ht="18" customHeight="1">
      <c r="B127" s="48" t="s">
        <v>46</v>
      </c>
      <c r="C127" s="50">
        <v>236.53</v>
      </c>
      <c r="D127" s="50" t="s">
        <v>47</v>
      </c>
      <c r="E127" s="49">
        <f>ROUND(C126*(C127/1000),2)</f>
        <v>0</v>
      </c>
      <c r="F127" s="50" t="s">
        <v>48</v>
      </c>
      <c r="G127" s="50">
        <f>G$23</f>
        <v>10</v>
      </c>
      <c r="H127" s="52" t="s">
        <v>49</v>
      </c>
      <c r="I127" s="53">
        <f>E127*G127</f>
        <v>0</v>
      </c>
      <c r="J127" s="255"/>
      <c r="K127" s="255"/>
      <c r="L127" s="255"/>
      <c r="M127" s="255"/>
    </row>
    <row r="128" spans="2:14" ht="18" customHeight="1" thickBot="1">
      <c r="B128" s="48" t="s">
        <v>50</v>
      </c>
      <c r="C128" s="50">
        <v>311.02999999999997</v>
      </c>
      <c r="D128" s="50" t="s">
        <v>51</v>
      </c>
      <c r="E128" s="49">
        <f>ROUND(C126*(C128/1000),2)</f>
        <v>0</v>
      </c>
      <c r="F128" s="50" t="s">
        <v>48</v>
      </c>
      <c r="G128" s="50">
        <f>G$24</f>
        <v>10</v>
      </c>
      <c r="H128" s="52" t="s">
        <v>49</v>
      </c>
      <c r="I128" s="53">
        <f>E128*G128</f>
        <v>0</v>
      </c>
      <c r="J128" s="255"/>
    </row>
    <row r="129" spans="2:14" ht="18" customHeight="1" thickBot="1">
      <c r="B129" s="23" t="s">
        <v>36</v>
      </c>
      <c r="C129" s="252" t="s">
        <v>14</v>
      </c>
      <c r="D129" s="252" t="s">
        <v>37</v>
      </c>
      <c r="E129" s="252" t="s">
        <v>71</v>
      </c>
      <c r="F129" s="252" t="s">
        <v>38</v>
      </c>
      <c r="G129" s="252" t="s">
        <v>72</v>
      </c>
      <c r="H129" s="252" t="s">
        <v>22</v>
      </c>
      <c r="I129" s="25" t="s">
        <v>40</v>
      </c>
      <c r="J129" s="54" t="s">
        <v>2</v>
      </c>
      <c r="K129" s="55" t="s">
        <v>3</v>
      </c>
      <c r="L129" s="55" t="s">
        <v>61</v>
      </c>
      <c r="M129" s="55" t="s">
        <v>62</v>
      </c>
      <c r="N129" s="70" t="s">
        <v>14</v>
      </c>
    </row>
    <row r="130" spans="2:14" ht="18" customHeight="1">
      <c r="B130" s="648" t="s">
        <v>92</v>
      </c>
      <c r="C130" s="649" t="s">
        <v>93</v>
      </c>
      <c r="D130" s="253">
        <f>J130-IF(L130=1,81,IF(L130=2,58.5,IF(L130=3,36,0)))</f>
        <v>0</v>
      </c>
      <c r="E130" s="253">
        <v>0</v>
      </c>
      <c r="F130" s="253">
        <f>K130-IF(M130=1,81,IF(M130=2,58.5,IF(M130=3,36,0)))</f>
        <v>0</v>
      </c>
      <c r="G130" s="250">
        <v>0</v>
      </c>
      <c r="H130" s="250">
        <v>2.0489999999999999</v>
      </c>
      <c r="I130" s="59">
        <f>ROUND((D130*E130+F130*G130)/1000*H130,3)</f>
        <v>0</v>
      </c>
      <c r="J130" s="60"/>
      <c r="K130" s="61"/>
      <c r="L130" s="61"/>
      <c r="M130" s="61"/>
      <c r="N130" s="76" t="s">
        <v>56</v>
      </c>
    </row>
    <row r="131" spans="2:14" ht="18" customHeight="1">
      <c r="B131" s="648"/>
      <c r="C131" s="650"/>
      <c r="D131" s="253">
        <f>J131-IF(L131=1,81,IF(L131=2,58.5,IF(L131=3,36,0)))</f>
        <v>0</v>
      </c>
      <c r="E131" s="253">
        <v>0</v>
      </c>
      <c r="F131" s="253">
        <f>K131-IF(M131=1,81,IF(M131=2,58.5,IF(M131=3,36,0)))</f>
        <v>0</v>
      </c>
      <c r="G131" s="250"/>
      <c r="H131" s="250">
        <f>H130</f>
        <v>2.0489999999999999</v>
      </c>
      <c r="I131" s="59">
        <f>ROUND((D131*E131+F131*G131)/1000*H131,3)</f>
        <v>0</v>
      </c>
      <c r="J131" s="60"/>
      <c r="K131" s="61"/>
      <c r="L131" s="61"/>
      <c r="M131" s="61"/>
      <c r="N131" s="76" t="s">
        <v>58</v>
      </c>
    </row>
    <row r="132" spans="2:14" ht="18" customHeight="1" thickBot="1">
      <c r="B132" s="648"/>
      <c r="C132" s="651"/>
      <c r="D132" s="253">
        <f>J132-IF(L132=1,81,IF(L132=2,58.5,IF(L132=3,36,0)))</f>
        <v>0</v>
      </c>
      <c r="E132" s="253"/>
      <c r="F132" s="253">
        <f>K132-IF(M132=1,81,IF(M132=2,58.5,IF(M132=3,36,0)))</f>
        <v>0</v>
      </c>
      <c r="G132" s="250"/>
      <c r="H132" s="250">
        <f>H131</f>
        <v>2.0489999999999999</v>
      </c>
      <c r="I132" s="59">
        <f>ROUND((D132*E132+F132*G132)/1000*H132,3)</f>
        <v>0</v>
      </c>
      <c r="J132" s="64"/>
      <c r="K132" s="65"/>
      <c r="L132" s="65"/>
      <c r="M132" s="65"/>
      <c r="N132" s="80" t="s">
        <v>89</v>
      </c>
    </row>
    <row r="133" spans="2:14" ht="18" customHeight="1">
      <c r="B133" s="48" t="s">
        <v>42</v>
      </c>
      <c r="C133" s="49">
        <f>SUMPRODUCT(D130:D132*E130:E132+F130:F132*G130:G132)/1000</f>
        <v>0</v>
      </c>
      <c r="D133" s="50" t="s">
        <v>43</v>
      </c>
      <c r="E133" s="49">
        <f>SUM(I130:I132)*1.1</f>
        <v>0</v>
      </c>
      <c r="F133" s="50" t="s">
        <v>44</v>
      </c>
      <c r="G133" s="51">
        <f>(C$218+C$219)/1000</f>
        <v>46.081499999999998</v>
      </c>
      <c r="H133" s="52" t="s">
        <v>45</v>
      </c>
      <c r="I133" s="53">
        <f>ROUND(E133*G133,2)</f>
        <v>0</v>
      </c>
      <c r="J133" s="243">
        <f>SUM(G130:G132)+SUM(E130:E132)</f>
        <v>0</v>
      </c>
    </row>
    <row r="134" spans="2:14" ht="18" customHeight="1">
      <c r="B134" s="48" t="s">
        <v>46</v>
      </c>
      <c r="C134" s="50">
        <v>298.42</v>
      </c>
      <c r="D134" s="50" t="s">
        <v>47</v>
      </c>
      <c r="E134" s="49">
        <f>ROUND(C133*(C134/1000),2)</f>
        <v>0</v>
      </c>
      <c r="F134" s="50" t="s">
        <v>48</v>
      </c>
      <c r="G134" s="50">
        <f>G$23</f>
        <v>10</v>
      </c>
      <c r="H134" s="52" t="s">
        <v>49</v>
      </c>
      <c r="I134" s="53">
        <f>ROUND(E134*G134,2)</f>
        <v>0</v>
      </c>
    </row>
    <row r="135" spans="2:14" ht="18" customHeight="1">
      <c r="B135" s="48" t="s">
        <v>50</v>
      </c>
      <c r="C135" s="50">
        <v>208.08</v>
      </c>
      <c r="D135" s="50" t="s">
        <v>51</v>
      </c>
      <c r="E135" s="49">
        <f>ROUND(C133*(C135/1000),2)</f>
        <v>0</v>
      </c>
      <c r="F135" s="50" t="s">
        <v>48</v>
      </c>
      <c r="G135" s="50">
        <f>G$24</f>
        <v>10</v>
      </c>
      <c r="H135" s="52" t="s">
        <v>49</v>
      </c>
      <c r="I135" s="53">
        <f>ROUND(E135*G135,2)</f>
        <v>0</v>
      </c>
    </row>
    <row r="136" spans="2:14" ht="18" customHeight="1">
      <c r="B136" s="23" t="s">
        <v>36</v>
      </c>
      <c r="C136" s="252" t="s">
        <v>14</v>
      </c>
      <c r="D136" s="652" t="s">
        <v>38</v>
      </c>
      <c r="E136" s="652"/>
      <c r="F136" s="652"/>
      <c r="G136" s="252" t="s">
        <v>72</v>
      </c>
      <c r="H136" s="252" t="s">
        <v>22</v>
      </c>
      <c r="I136" s="25" t="s">
        <v>40</v>
      </c>
    </row>
    <row r="137" spans="2:14" ht="18" customHeight="1">
      <c r="B137" s="648" t="s">
        <v>94</v>
      </c>
      <c r="C137" s="649" t="s">
        <v>95</v>
      </c>
      <c r="D137" s="654">
        <f>E116</f>
        <v>2242</v>
      </c>
      <c r="E137" s="646"/>
      <c r="F137" s="646"/>
      <c r="G137" s="250">
        <v>1</v>
      </c>
      <c r="H137" s="250">
        <v>1.3360000000000001</v>
      </c>
      <c r="I137" s="59">
        <f>ROUND(D137*H137*G137/1000,3)</f>
        <v>2.9950000000000001</v>
      </c>
    </row>
    <row r="138" spans="2:14" ht="18" customHeight="1">
      <c r="B138" s="648"/>
      <c r="C138" s="651"/>
      <c r="D138" s="654"/>
      <c r="E138" s="646"/>
      <c r="F138" s="646"/>
      <c r="G138" s="250"/>
      <c r="H138" s="250">
        <f>H137</f>
        <v>1.3360000000000001</v>
      </c>
      <c r="I138" s="59">
        <f>ROUND(D138*H138*G138/1000,3)</f>
        <v>0</v>
      </c>
    </row>
    <row r="139" spans="2:14" ht="18" customHeight="1">
      <c r="B139" s="48" t="s">
        <v>42</v>
      </c>
      <c r="C139" s="49">
        <f>SUMPRODUCT(D137:F138*G137:G138)/1000</f>
        <v>2.242</v>
      </c>
      <c r="D139" s="50" t="s">
        <v>43</v>
      </c>
      <c r="E139" s="49">
        <f>SUM(I137:I138)*1.1</f>
        <v>3.2945000000000002</v>
      </c>
      <c r="F139" s="50" t="s">
        <v>44</v>
      </c>
      <c r="G139" s="51">
        <f>(C$218+C$219)/1000</f>
        <v>46.081499999999998</v>
      </c>
      <c r="H139" s="52" t="s">
        <v>45</v>
      </c>
      <c r="I139" s="53">
        <f>ROUND(E139*G139,2)</f>
        <v>151.82</v>
      </c>
    </row>
    <row r="140" spans="2:14" ht="18" customHeight="1">
      <c r="B140" s="48" t="s">
        <v>46</v>
      </c>
      <c r="C140" s="50">
        <v>143.24</v>
      </c>
      <c r="D140" s="50" t="s">
        <v>47</v>
      </c>
      <c r="E140" s="49">
        <f>ROUND(C139*(C140/1000),2)</f>
        <v>0.32</v>
      </c>
      <c r="F140" s="50" t="s">
        <v>48</v>
      </c>
      <c r="G140" s="50">
        <f>G$23</f>
        <v>10</v>
      </c>
      <c r="H140" s="52" t="s">
        <v>49</v>
      </c>
      <c r="I140" s="53">
        <f>E140*G140</f>
        <v>3.2</v>
      </c>
    </row>
    <row r="141" spans="2:14" ht="18" customHeight="1">
      <c r="B141" s="48" t="s">
        <v>50</v>
      </c>
      <c r="C141" s="50">
        <v>85.04</v>
      </c>
      <c r="D141" s="50" t="s">
        <v>51</v>
      </c>
      <c r="E141" s="49">
        <f>ROUND(C139*(C141/1000),2)</f>
        <v>0.19</v>
      </c>
      <c r="F141" s="50" t="s">
        <v>48</v>
      </c>
      <c r="G141" s="50">
        <f>G$24</f>
        <v>10</v>
      </c>
      <c r="H141" s="52" t="s">
        <v>49</v>
      </c>
      <c r="I141" s="53">
        <f>E141*G141</f>
        <v>1.9</v>
      </c>
    </row>
    <row r="142" spans="2:14" ht="18" customHeight="1">
      <c r="B142" s="23" t="s">
        <v>36</v>
      </c>
      <c r="C142" s="252" t="s">
        <v>14</v>
      </c>
      <c r="D142" s="252" t="s">
        <v>37</v>
      </c>
      <c r="E142" s="252" t="s">
        <v>38</v>
      </c>
      <c r="F142" s="252" t="s">
        <v>39</v>
      </c>
      <c r="G142" s="252" t="s">
        <v>8</v>
      </c>
      <c r="H142" s="252" t="s">
        <v>22</v>
      </c>
      <c r="I142" s="25" t="s">
        <v>40</v>
      </c>
    </row>
    <row r="143" spans="2:14" ht="18" customHeight="1">
      <c r="B143" s="648" t="s">
        <v>96</v>
      </c>
      <c r="C143" s="653" t="s">
        <v>83</v>
      </c>
      <c r="D143" s="253">
        <f t="shared" ref="D143:E145" si="20">D116-154</f>
        <v>665</v>
      </c>
      <c r="E143" s="253">
        <f t="shared" si="20"/>
        <v>2088</v>
      </c>
      <c r="F143" s="253">
        <f>(D143+E143)*2/1000</f>
        <v>5.5060000000000002</v>
      </c>
      <c r="G143" s="250">
        <f>G116</f>
        <v>2</v>
      </c>
      <c r="H143" s="250">
        <v>0.27100000000000002</v>
      </c>
      <c r="I143" s="59">
        <f>ROUND((F143*G143)*H143,3)</f>
        <v>2.984</v>
      </c>
    </row>
    <row r="144" spans="2:14" ht="18" customHeight="1">
      <c r="B144" s="648"/>
      <c r="C144" s="650"/>
      <c r="D144" s="253">
        <f t="shared" si="20"/>
        <v>-154</v>
      </c>
      <c r="E144" s="253">
        <f t="shared" si="20"/>
        <v>-154</v>
      </c>
      <c r="F144" s="253">
        <f>(D144+E144)*2/1000</f>
        <v>-0.61599999999999999</v>
      </c>
      <c r="G144" s="250">
        <f>G117</f>
        <v>0</v>
      </c>
      <c r="H144" s="250">
        <f>H143</f>
        <v>0.27100000000000002</v>
      </c>
      <c r="I144" s="59">
        <f>ROUND((F144*G144)*H144,3)</f>
        <v>0</v>
      </c>
    </row>
    <row r="145" spans="2:14" ht="18" customHeight="1">
      <c r="B145" s="648"/>
      <c r="C145" s="651"/>
      <c r="D145" s="253">
        <f t="shared" si="20"/>
        <v>-154</v>
      </c>
      <c r="E145" s="253">
        <f t="shared" si="20"/>
        <v>-154</v>
      </c>
      <c r="F145" s="253">
        <f>(D145+E145)*2/1000</f>
        <v>-0.61599999999999999</v>
      </c>
      <c r="G145" s="250">
        <f>G118</f>
        <v>0</v>
      </c>
      <c r="H145" s="250">
        <f>H144</f>
        <v>0.27100000000000002</v>
      </c>
      <c r="I145" s="59">
        <f>ROUND((F145*G145)*H145,3)</f>
        <v>0</v>
      </c>
    </row>
    <row r="146" spans="2:14" ht="18" customHeight="1">
      <c r="B146" s="48" t="s">
        <v>42</v>
      </c>
      <c r="C146" s="49">
        <f>SUMPRODUCT(F143:F145*G143:G145)</f>
        <v>11.012</v>
      </c>
      <c r="D146" s="50" t="s">
        <v>43</v>
      </c>
      <c r="E146" s="49">
        <f>SUM(I143:I145)*1.1</f>
        <v>3.2824000000000004</v>
      </c>
      <c r="F146" s="50" t="s">
        <v>44</v>
      </c>
      <c r="G146" s="51">
        <f>(C$218+C$222)/1000</f>
        <v>39.781500000000001</v>
      </c>
      <c r="H146" s="52" t="s">
        <v>45</v>
      </c>
      <c r="I146" s="53">
        <f>ROUND(E146*G146,2)</f>
        <v>130.58000000000001</v>
      </c>
    </row>
    <row r="147" spans="2:14" ht="18" customHeight="1">
      <c r="B147" s="48" t="s">
        <v>46</v>
      </c>
      <c r="C147" s="50">
        <v>186.72</v>
      </c>
      <c r="D147" s="50" t="s">
        <v>47</v>
      </c>
      <c r="E147" s="49">
        <f>ROUND(C146*(C147/1000),2)</f>
        <v>2.06</v>
      </c>
      <c r="F147" s="50" t="s">
        <v>48</v>
      </c>
      <c r="G147" s="50">
        <f>G$23</f>
        <v>10</v>
      </c>
      <c r="H147" s="52" t="s">
        <v>49</v>
      </c>
      <c r="I147" s="53">
        <f>E147*G147</f>
        <v>20.6</v>
      </c>
      <c r="K147" s="42"/>
      <c r="L147" s="42"/>
      <c r="M147" s="42"/>
    </row>
    <row r="148" spans="2:14" ht="18" customHeight="1">
      <c r="B148" s="48" t="s">
        <v>50</v>
      </c>
      <c r="C148" s="50">
        <v>0</v>
      </c>
      <c r="D148" s="50" t="s">
        <v>51</v>
      </c>
      <c r="E148" s="49">
        <f>ROUND(C146*(C148/1000),2)</f>
        <v>0</v>
      </c>
      <c r="F148" s="50" t="s">
        <v>48</v>
      </c>
      <c r="G148" s="50">
        <f>G$24</f>
        <v>10</v>
      </c>
      <c r="H148" s="52" t="s">
        <v>49</v>
      </c>
      <c r="I148" s="53">
        <f>E148*G148</f>
        <v>0</v>
      </c>
      <c r="K148" s="42"/>
      <c r="L148" s="42"/>
      <c r="M148" s="42"/>
    </row>
    <row r="149" spans="2:14" ht="18" customHeight="1">
      <c r="B149" s="23" t="s">
        <v>36</v>
      </c>
      <c r="C149" s="252" t="s">
        <v>14</v>
      </c>
      <c r="D149" s="252" t="s">
        <v>37</v>
      </c>
      <c r="E149" s="252" t="s">
        <v>38</v>
      </c>
      <c r="F149" s="252" t="s">
        <v>39</v>
      </c>
      <c r="G149" s="252" t="s">
        <v>8</v>
      </c>
      <c r="H149" s="252" t="s">
        <v>22</v>
      </c>
      <c r="I149" s="25" t="s">
        <v>40</v>
      </c>
      <c r="K149" s="42"/>
      <c r="L149" s="42"/>
      <c r="M149" s="42"/>
    </row>
    <row r="150" spans="2:14" ht="18" customHeight="1">
      <c r="B150" s="648" t="s">
        <v>97</v>
      </c>
      <c r="C150" s="653" t="s">
        <v>83</v>
      </c>
      <c r="D150" s="253">
        <f t="shared" ref="D150:E152" si="21">D123-160</f>
        <v>-160</v>
      </c>
      <c r="E150" s="253">
        <f t="shared" si="21"/>
        <v>-160</v>
      </c>
      <c r="F150" s="253">
        <f>(D150+E150)*2/1000</f>
        <v>-0.64</v>
      </c>
      <c r="G150" s="250">
        <f>G123</f>
        <v>0</v>
      </c>
      <c r="H150" s="250">
        <f>H145</f>
        <v>0.27100000000000002</v>
      </c>
      <c r="I150" s="59">
        <f>ROUND((F150*G150)*H150,3)</f>
        <v>0</v>
      </c>
      <c r="K150" s="42"/>
      <c r="L150" s="42"/>
      <c r="M150" s="42"/>
    </row>
    <row r="151" spans="2:14" ht="18" customHeight="1">
      <c r="B151" s="648"/>
      <c r="C151" s="650"/>
      <c r="D151" s="253">
        <f t="shared" si="21"/>
        <v>-160</v>
      </c>
      <c r="E151" s="253">
        <f t="shared" si="21"/>
        <v>-160</v>
      </c>
      <c r="F151" s="253">
        <f>(D151+E151)*2/1000</f>
        <v>-0.64</v>
      </c>
      <c r="G151" s="250">
        <f>G124</f>
        <v>0</v>
      </c>
      <c r="H151" s="250">
        <f>H150</f>
        <v>0.27100000000000002</v>
      </c>
      <c r="I151" s="59">
        <f>ROUND((F151*G151)*H151,3)</f>
        <v>0</v>
      </c>
      <c r="K151" s="42"/>
      <c r="L151" s="42"/>
      <c r="M151" s="42"/>
    </row>
    <row r="152" spans="2:14" ht="18" customHeight="1">
      <c r="B152" s="648"/>
      <c r="C152" s="651"/>
      <c r="D152" s="253">
        <f t="shared" si="21"/>
        <v>-160</v>
      </c>
      <c r="E152" s="253">
        <f t="shared" si="21"/>
        <v>-160</v>
      </c>
      <c r="F152" s="253">
        <f>(D152+E152)*2/1000</f>
        <v>-0.64</v>
      </c>
      <c r="G152" s="250">
        <f>G125</f>
        <v>0</v>
      </c>
      <c r="H152" s="250">
        <f>H151</f>
        <v>0.27100000000000002</v>
      </c>
      <c r="I152" s="59">
        <f>ROUND((F152*G152)*H152,3)</f>
        <v>0</v>
      </c>
      <c r="K152" s="42"/>
      <c r="L152" s="42"/>
      <c r="M152" s="42"/>
    </row>
    <row r="153" spans="2:14" ht="18" customHeight="1">
      <c r="B153" s="48" t="s">
        <v>42</v>
      </c>
      <c r="C153" s="49">
        <f>SUMPRODUCT(F150:F152*G150:G152)</f>
        <v>0</v>
      </c>
      <c r="D153" s="50" t="s">
        <v>43</v>
      </c>
      <c r="E153" s="49">
        <f>SUM(I150:I152)*1.1</f>
        <v>0</v>
      </c>
      <c r="F153" s="50" t="s">
        <v>44</v>
      </c>
      <c r="G153" s="51">
        <f>(C$218+C$222)/1000</f>
        <v>39.781500000000001</v>
      </c>
      <c r="H153" s="52" t="s">
        <v>45</v>
      </c>
      <c r="I153" s="53">
        <f>ROUND(E153*G153,2)</f>
        <v>0</v>
      </c>
      <c r="K153" s="42"/>
      <c r="L153" s="42"/>
      <c r="M153" s="42"/>
    </row>
    <row r="154" spans="2:14" ht="18" customHeight="1">
      <c r="B154" s="48" t="s">
        <v>46</v>
      </c>
      <c r="C154" s="50">
        <v>186.72</v>
      </c>
      <c r="D154" s="50" t="s">
        <v>47</v>
      </c>
      <c r="E154" s="49">
        <f>ROUND(C153*(C154/1000),2)</f>
        <v>0</v>
      </c>
      <c r="F154" s="50" t="s">
        <v>48</v>
      </c>
      <c r="G154" s="50">
        <f>G$23</f>
        <v>10</v>
      </c>
      <c r="H154" s="52" t="s">
        <v>49</v>
      </c>
      <c r="I154" s="53">
        <f>E154*G154</f>
        <v>0</v>
      </c>
    </row>
    <row r="155" spans="2:14" ht="18" customHeight="1" thickBot="1">
      <c r="B155" s="48" t="s">
        <v>50</v>
      </c>
      <c r="C155" s="50">
        <v>0</v>
      </c>
      <c r="D155" s="50" t="s">
        <v>51</v>
      </c>
      <c r="E155" s="49">
        <f>ROUND(C153*(C155/1000),2)</f>
        <v>0</v>
      </c>
      <c r="F155" s="50" t="s">
        <v>48</v>
      </c>
      <c r="G155" s="50">
        <f>G$24</f>
        <v>10</v>
      </c>
      <c r="H155" s="52" t="s">
        <v>49</v>
      </c>
      <c r="I155" s="53">
        <f>E155*G155</f>
        <v>0</v>
      </c>
    </row>
    <row r="156" spans="2:14" ht="18" customHeight="1" thickBot="1">
      <c r="B156" s="23" t="s">
        <v>36</v>
      </c>
      <c r="C156" s="252" t="s">
        <v>14</v>
      </c>
      <c r="D156" s="252" t="s">
        <v>37</v>
      </c>
      <c r="E156" s="252" t="s">
        <v>38</v>
      </c>
      <c r="F156" s="252" t="s">
        <v>39</v>
      </c>
      <c r="G156" s="252" t="s">
        <v>8</v>
      </c>
      <c r="H156" s="252" t="s">
        <v>22</v>
      </c>
      <c r="I156" s="25" t="s">
        <v>40</v>
      </c>
      <c r="J156" s="54" t="s">
        <v>2</v>
      </c>
      <c r="K156" s="55" t="s">
        <v>3</v>
      </c>
      <c r="L156" s="55" t="s">
        <v>61</v>
      </c>
      <c r="M156" s="55" t="s">
        <v>62</v>
      </c>
      <c r="N156" s="70" t="s">
        <v>14</v>
      </c>
    </row>
    <row r="157" spans="2:14" ht="18" customHeight="1">
      <c r="B157" s="648" t="s">
        <v>98</v>
      </c>
      <c r="C157" s="649" t="s">
        <v>99</v>
      </c>
      <c r="D157" s="253">
        <f t="shared" ref="D157:E162" si="22">J157-IF(L157=1,90,IF(L157=2,67.5,IF(L157=3,45,0)))</f>
        <v>0</v>
      </c>
      <c r="E157" s="253">
        <f t="shared" si="22"/>
        <v>0</v>
      </c>
      <c r="F157" s="253">
        <f t="shared" ref="F157:F162" si="23">2*(D157+E157)/1000</f>
        <v>0</v>
      </c>
      <c r="G157" s="250">
        <v>0</v>
      </c>
      <c r="H157" s="250">
        <f>H68</f>
        <v>0.224</v>
      </c>
      <c r="I157" s="59">
        <f t="shared" ref="I157:I162" si="24">ROUND((F157*G157)*H157,3)</f>
        <v>0</v>
      </c>
      <c r="J157" s="60"/>
      <c r="K157" s="61"/>
      <c r="L157" s="61"/>
      <c r="M157" s="61"/>
      <c r="N157" s="76" t="s">
        <v>56</v>
      </c>
    </row>
    <row r="158" spans="2:14" ht="18" customHeight="1">
      <c r="B158" s="648"/>
      <c r="C158" s="650"/>
      <c r="D158" s="253">
        <f t="shared" si="22"/>
        <v>0</v>
      </c>
      <c r="E158" s="253">
        <f t="shared" si="22"/>
        <v>0</v>
      </c>
      <c r="F158" s="253">
        <f t="shared" si="23"/>
        <v>0</v>
      </c>
      <c r="G158" s="250"/>
      <c r="H158" s="250">
        <f>H157</f>
        <v>0.224</v>
      </c>
      <c r="I158" s="59">
        <f t="shared" si="24"/>
        <v>0</v>
      </c>
      <c r="J158" s="60"/>
      <c r="K158" s="61"/>
      <c r="L158" s="61"/>
      <c r="M158" s="61"/>
      <c r="N158" s="76" t="s">
        <v>58</v>
      </c>
    </row>
    <row r="159" spans="2:14" ht="18" customHeight="1">
      <c r="B159" s="648"/>
      <c r="C159" s="650"/>
      <c r="D159" s="253">
        <f t="shared" si="22"/>
        <v>0</v>
      </c>
      <c r="E159" s="253">
        <f t="shared" si="22"/>
        <v>0</v>
      </c>
      <c r="F159" s="253">
        <f t="shared" si="23"/>
        <v>0</v>
      </c>
      <c r="G159" s="250"/>
      <c r="H159" s="250">
        <f>H158</f>
        <v>0.224</v>
      </c>
      <c r="I159" s="59">
        <f t="shared" si="24"/>
        <v>0</v>
      </c>
      <c r="J159" s="60"/>
      <c r="K159" s="61"/>
      <c r="L159" s="61"/>
      <c r="M159" s="61"/>
      <c r="N159" s="76" t="s">
        <v>60</v>
      </c>
    </row>
    <row r="160" spans="2:14" ht="18" customHeight="1">
      <c r="B160" s="648"/>
      <c r="C160" s="650"/>
      <c r="D160" s="253">
        <f t="shared" si="22"/>
        <v>0</v>
      </c>
      <c r="E160" s="253">
        <f t="shared" si="22"/>
        <v>0</v>
      </c>
      <c r="F160" s="253">
        <f t="shared" si="23"/>
        <v>0</v>
      </c>
      <c r="G160" s="250">
        <v>0</v>
      </c>
      <c r="H160" s="77">
        <f>H159</f>
        <v>0.224</v>
      </c>
      <c r="I160" s="59">
        <f t="shared" si="24"/>
        <v>0</v>
      </c>
      <c r="J160" s="60"/>
      <c r="K160" s="61"/>
      <c r="L160" s="61"/>
      <c r="M160" s="61"/>
      <c r="N160" s="76"/>
    </row>
    <row r="161" spans="2:16" ht="18" customHeight="1">
      <c r="B161" s="648"/>
      <c r="C161" s="650"/>
      <c r="D161" s="253">
        <f t="shared" si="22"/>
        <v>0</v>
      </c>
      <c r="E161" s="253">
        <f t="shared" si="22"/>
        <v>0</v>
      </c>
      <c r="F161" s="253">
        <f t="shared" si="23"/>
        <v>0</v>
      </c>
      <c r="G161" s="250"/>
      <c r="H161" s="250">
        <f>H160</f>
        <v>0.224</v>
      </c>
      <c r="I161" s="59">
        <f t="shared" si="24"/>
        <v>0</v>
      </c>
      <c r="J161" s="60"/>
      <c r="K161" s="61"/>
      <c r="L161" s="61"/>
      <c r="M161" s="61"/>
      <c r="N161" s="76"/>
    </row>
    <row r="162" spans="2:16" ht="18" customHeight="1" thickBot="1">
      <c r="B162" s="648"/>
      <c r="C162" s="651"/>
      <c r="D162" s="253">
        <f t="shared" si="22"/>
        <v>0</v>
      </c>
      <c r="E162" s="253">
        <f t="shared" si="22"/>
        <v>0</v>
      </c>
      <c r="F162" s="253">
        <f t="shared" si="23"/>
        <v>0</v>
      </c>
      <c r="G162" s="250"/>
      <c r="H162" s="250">
        <f>H160</f>
        <v>0.224</v>
      </c>
      <c r="I162" s="59">
        <f t="shared" si="24"/>
        <v>0</v>
      </c>
      <c r="J162" s="64"/>
      <c r="K162" s="65"/>
      <c r="L162" s="65"/>
      <c r="M162" s="65"/>
      <c r="N162" s="80"/>
    </row>
    <row r="163" spans="2:16" ht="18" customHeight="1">
      <c r="B163" s="48" t="s">
        <v>42</v>
      </c>
      <c r="C163" s="49">
        <f>SUMPRODUCT(F157:F162*G157:G162)</f>
        <v>0</v>
      </c>
      <c r="D163" s="50" t="s">
        <v>43</v>
      </c>
      <c r="E163" s="49">
        <f>SUM(I157:I162)*1.1</f>
        <v>0</v>
      </c>
      <c r="F163" s="50" t="s">
        <v>44</v>
      </c>
      <c r="G163" s="51">
        <f>(C$218+C$222)/1000</f>
        <v>39.781500000000001</v>
      </c>
      <c r="H163" s="52" t="s">
        <v>45</v>
      </c>
      <c r="I163" s="53">
        <f>ROUND(E163*G163,2)</f>
        <v>0</v>
      </c>
      <c r="J163" s="102"/>
      <c r="K163" s="102"/>
      <c r="L163" s="102"/>
      <c r="M163" s="102"/>
      <c r="O163" s="102"/>
      <c r="P163" s="102"/>
    </row>
    <row r="164" spans="2:16" ht="18" customHeight="1">
      <c r="B164" s="48" t="s">
        <v>46</v>
      </c>
      <c r="C164" s="50">
        <v>181.72</v>
      </c>
      <c r="D164" s="50" t="s">
        <v>47</v>
      </c>
      <c r="E164" s="49">
        <f>ROUND(C163*(C164/1000),2)</f>
        <v>0</v>
      </c>
      <c r="F164" s="50" t="s">
        <v>48</v>
      </c>
      <c r="G164" s="50">
        <f>G$23</f>
        <v>10</v>
      </c>
      <c r="H164" s="52" t="s">
        <v>49</v>
      </c>
      <c r="I164" s="53">
        <f>E164*G164</f>
        <v>0</v>
      </c>
      <c r="J164" s="102"/>
      <c r="K164" s="102"/>
      <c r="L164" s="102"/>
      <c r="M164" s="102"/>
      <c r="O164" s="102"/>
      <c r="P164" s="102"/>
    </row>
    <row r="165" spans="2:16" ht="18" customHeight="1">
      <c r="B165" s="48" t="s">
        <v>50</v>
      </c>
      <c r="C165" s="50"/>
      <c r="D165" s="50" t="s">
        <v>51</v>
      </c>
      <c r="E165" s="49">
        <f>ROUND(C163*(C165/1000),2)</f>
        <v>0</v>
      </c>
      <c r="F165" s="50" t="s">
        <v>48</v>
      </c>
      <c r="G165" s="50">
        <f>G$24</f>
        <v>10</v>
      </c>
      <c r="H165" s="52" t="s">
        <v>49</v>
      </c>
      <c r="I165" s="53">
        <f>E165*G165</f>
        <v>0</v>
      </c>
      <c r="K165" s="43">
        <f>J165*E165</f>
        <v>0</v>
      </c>
    </row>
    <row r="166" spans="2:16" ht="18" customHeight="1">
      <c r="B166" s="23" t="s">
        <v>36</v>
      </c>
      <c r="C166" s="252" t="s">
        <v>14</v>
      </c>
      <c r="D166" s="252" t="s">
        <v>37</v>
      </c>
      <c r="E166" s="252" t="s">
        <v>71</v>
      </c>
      <c r="F166" s="252" t="s">
        <v>38</v>
      </c>
      <c r="G166" s="252" t="s">
        <v>72</v>
      </c>
      <c r="H166" s="252" t="s">
        <v>22</v>
      </c>
      <c r="I166" s="25" t="s">
        <v>40</v>
      </c>
    </row>
    <row r="167" spans="2:16" ht="18" customHeight="1">
      <c r="B167" s="648" t="s">
        <v>100</v>
      </c>
      <c r="C167" s="649" t="s">
        <v>101</v>
      </c>
      <c r="D167" s="250"/>
      <c r="E167" s="250"/>
      <c r="F167" s="250"/>
      <c r="G167" s="250"/>
      <c r="H167" s="28">
        <v>6.3E-2</v>
      </c>
      <c r="I167" s="59">
        <f>ROUND((D167*E167+F167*G167)/1000*H167,3)</f>
        <v>0</v>
      </c>
    </row>
    <row r="168" spans="2:16" ht="18" customHeight="1">
      <c r="B168" s="648"/>
      <c r="C168" s="650"/>
      <c r="D168" s="250"/>
      <c r="E168" s="250"/>
      <c r="F168" s="250"/>
      <c r="G168" s="250"/>
      <c r="H168" s="28">
        <f>H167</f>
        <v>6.3E-2</v>
      </c>
      <c r="I168" s="59">
        <f>ROUND((D168*E168+F168*G168)/1000*H168,3)</f>
        <v>0</v>
      </c>
    </row>
    <row r="169" spans="2:16" ht="18" customHeight="1">
      <c r="B169" s="648"/>
      <c r="C169" s="651"/>
      <c r="D169" s="250"/>
      <c r="E169" s="250"/>
      <c r="F169" s="250"/>
      <c r="G169" s="250"/>
      <c r="H169" s="28">
        <f>H168</f>
        <v>6.3E-2</v>
      </c>
      <c r="I169" s="59">
        <f>ROUND((D169*E169+F169*G169)/1000*H169,3)</f>
        <v>0</v>
      </c>
    </row>
    <row r="170" spans="2:16" ht="18" customHeight="1">
      <c r="B170" s="48" t="s">
        <v>42</v>
      </c>
      <c r="C170" s="49">
        <f>SUMPRODUCT(D167:D169*E167:E169+F167:F169*G167:G169)/1000</f>
        <v>0</v>
      </c>
      <c r="D170" s="50" t="s">
        <v>43</v>
      </c>
      <c r="E170" s="49">
        <f>SUM(I167:I169)*1.1</f>
        <v>0</v>
      </c>
      <c r="F170" s="50" t="s">
        <v>44</v>
      </c>
      <c r="G170" s="51">
        <f>(C$218+$C$222)/1000</f>
        <v>39.781500000000001</v>
      </c>
      <c r="H170" s="52" t="s">
        <v>45</v>
      </c>
      <c r="I170" s="53">
        <f>ROUND(E170*G170,2)</f>
        <v>0</v>
      </c>
    </row>
    <row r="171" spans="2:16" ht="18" customHeight="1">
      <c r="B171" s="48" t="s">
        <v>46</v>
      </c>
      <c r="C171" s="50">
        <v>105.66</v>
      </c>
      <c r="D171" s="50" t="s">
        <v>47</v>
      </c>
      <c r="E171" s="49">
        <f>ROUND(C170*(C171/1000),2)</f>
        <v>0</v>
      </c>
      <c r="F171" s="50" t="s">
        <v>48</v>
      </c>
      <c r="G171" s="50">
        <f>G$23</f>
        <v>10</v>
      </c>
      <c r="H171" s="52" t="s">
        <v>49</v>
      </c>
      <c r="I171" s="53">
        <f>E171*G171</f>
        <v>0</v>
      </c>
    </row>
    <row r="172" spans="2:16" ht="18" customHeight="1">
      <c r="B172" s="48" t="s">
        <v>50</v>
      </c>
      <c r="C172" s="50">
        <v>125.66</v>
      </c>
      <c r="D172" s="50" t="s">
        <v>51</v>
      </c>
      <c r="E172" s="49">
        <f>ROUND(C170*(C172/1000),2)</f>
        <v>0</v>
      </c>
      <c r="F172" s="50" t="s">
        <v>48</v>
      </c>
      <c r="G172" s="50">
        <f>G$24</f>
        <v>10</v>
      </c>
      <c r="H172" s="52" t="s">
        <v>49</v>
      </c>
      <c r="I172" s="53">
        <f>E172*G172</f>
        <v>0</v>
      </c>
    </row>
    <row r="173" spans="2:16" ht="18" customHeight="1">
      <c r="B173" s="23" t="s">
        <v>36</v>
      </c>
      <c r="C173" s="252" t="s">
        <v>14</v>
      </c>
      <c r="D173" s="252" t="s">
        <v>37</v>
      </c>
      <c r="E173" s="252" t="s">
        <v>71</v>
      </c>
      <c r="F173" s="252" t="s">
        <v>38</v>
      </c>
      <c r="G173" s="252" t="s">
        <v>72</v>
      </c>
      <c r="H173" s="252" t="s">
        <v>22</v>
      </c>
      <c r="I173" s="25" t="s">
        <v>40</v>
      </c>
    </row>
    <row r="174" spans="2:16" ht="18" customHeight="1">
      <c r="B174" s="648" t="s">
        <v>102</v>
      </c>
      <c r="C174" s="649" t="s">
        <v>103</v>
      </c>
      <c r="D174" s="250"/>
      <c r="E174" s="250"/>
      <c r="F174" s="250"/>
      <c r="G174" s="250"/>
      <c r="H174" s="28">
        <v>1.0980000000000001</v>
      </c>
      <c r="I174" s="59">
        <f>ROUND((D174*E174+F174*G174)/1000*H174,3)</f>
        <v>0</v>
      </c>
    </row>
    <row r="175" spans="2:16" ht="18" customHeight="1">
      <c r="B175" s="648"/>
      <c r="C175" s="650"/>
      <c r="D175" s="250"/>
      <c r="E175" s="250"/>
      <c r="F175" s="250"/>
      <c r="G175" s="250"/>
      <c r="H175" s="28">
        <f>H174</f>
        <v>1.0980000000000001</v>
      </c>
      <c r="I175" s="59">
        <f>ROUND((D175*E175+F175*G175)/1000*H175,3)</f>
        <v>0</v>
      </c>
    </row>
    <row r="176" spans="2:16" ht="18" customHeight="1">
      <c r="B176" s="648"/>
      <c r="C176" s="651"/>
      <c r="D176" s="250"/>
      <c r="E176" s="250"/>
      <c r="F176" s="250"/>
      <c r="G176" s="250"/>
      <c r="H176" s="28">
        <f>H175</f>
        <v>1.0980000000000001</v>
      </c>
      <c r="I176" s="59">
        <f>ROUND((D176*E176+F176*G176)/1000*H176,3)</f>
        <v>0</v>
      </c>
    </row>
    <row r="177" spans="2:9" ht="18" customHeight="1">
      <c r="B177" s="48" t="s">
        <v>42</v>
      </c>
      <c r="C177" s="49">
        <f>SUMPRODUCT(D174:D176*E174:E176+F174:F176*G174:G176)/1000</f>
        <v>0</v>
      </c>
      <c r="D177" s="50" t="s">
        <v>43</v>
      </c>
      <c r="E177" s="49">
        <f>SUM(I174:I176)*1.1</f>
        <v>0</v>
      </c>
      <c r="F177" s="50" t="s">
        <v>44</v>
      </c>
      <c r="G177" s="51">
        <f>(C$218+C$219)/1000</f>
        <v>46.081499999999998</v>
      </c>
      <c r="H177" s="52" t="s">
        <v>45</v>
      </c>
      <c r="I177" s="53">
        <f>ROUND(E177*G177,2)</f>
        <v>0</v>
      </c>
    </row>
    <row r="178" spans="2:9" ht="18" customHeight="1">
      <c r="B178" s="48" t="s">
        <v>46</v>
      </c>
      <c r="C178" s="50">
        <v>105.66</v>
      </c>
      <c r="D178" s="50" t="s">
        <v>47</v>
      </c>
      <c r="E178" s="49">
        <f>ROUND(C177*(C178/1000),2)</f>
        <v>0</v>
      </c>
      <c r="F178" s="50" t="s">
        <v>48</v>
      </c>
      <c r="G178" s="50">
        <f>G$23</f>
        <v>10</v>
      </c>
      <c r="H178" s="52" t="s">
        <v>49</v>
      </c>
      <c r="I178" s="53">
        <f>E178*G178</f>
        <v>0</v>
      </c>
    </row>
    <row r="179" spans="2:9" ht="18" customHeight="1">
      <c r="B179" s="48" t="s">
        <v>50</v>
      </c>
      <c r="C179" s="50">
        <v>125.66</v>
      </c>
      <c r="D179" s="50" t="s">
        <v>51</v>
      </c>
      <c r="E179" s="49">
        <f>ROUND(C177*(C179/1000),2)</f>
        <v>0</v>
      </c>
      <c r="F179" s="50" t="s">
        <v>48</v>
      </c>
      <c r="G179" s="50">
        <f>G$24</f>
        <v>10</v>
      </c>
      <c r="H179" s="52" t="s">
        <v>49</v>
      </c>
      <c r="I179" s="53">
        <f>E179*G179</f>
        <v>0</v>
      </c>
    </row>
    <row r="180" spans="2:9" ht="18" customHeight="1">
      <c r="B180" s="23" t="s">
        <v>36</v>
      </c>
      <c r="C180" s="252" t="s">
        <v>14</v>
      </c>
      <c r="D180" s="252" t="s">
        <v>37</v>
      </c>
      <c r="E180" s="252" t="s">
        <v>71</v>
      </c>
      <c r="F180" s="252" t="s">
        <v>38</v>
      </c>
      <c r="G180" s="252" t="s">
        <v>72</v>
      </c>
      <c r="H180" s="252" t="s">
        <v>22</v>
      </c>
      <c r="I180" s="25" t="s">
        <v>40</v>
      </c>
    </row>
    <row r="181" spans="2:9" ht="18" customHeight="1">
      <c r="B181" s="648" t="s">
        <v>104</v>
      </c>
      <c r="C181" s="649" t="s">
        <v>105</v>
      </c>
      <c r="D181" s="250"/>
      <c r="E181" s="250"/>
      <c r="F181" s="250">
        <f>E14</f>
        <v>2320</v>
      </c>
      <c r="G181" s="250">
        <v>1</v>
      </c>
      <c r="H181" s="28">
        <v>1.5629999999999999</v>
      </c>
      <c r="I181" s="59">
        <f>ROUND((D181*E181+F181*G181)/1000*H181,3)</f>
        <v>3.6259999999999999</v>
      </c>
    </row>
    <row r="182" spans="2:9" ht="18" customHeight="1">
      <c r="B182" s="648"/>
      <c r="C182" s="650"/>
      <c r="D182" s="250"/>
      <c r="E182" s="250"/>
      <c r="F182" s="250"/>
      <c r="G182" s="250"/>
      <c r="H182" s="28">
        <f>H181</f>
        <v>1.5629999999999999</v>
      </c>
      <c r="I182" s="59">
        <f>ROUND((D182*E182+F182*G182)/1000*H182,3)</f>
        <v>0</v>
      </c>
    </row>
    <row r="183" spans="2:9" ht="18" customHeight="1">
      <c r="B183" s="648"/>
      <c r="C183" s="651"/>
      <c r="D183" s="250"/>
      <c r="E183" s="250"/>
      <c r="F183" s="250"/>
      <c r="G183" s="250"/>
      <c r="H183" s="28">
        <f>H182</f>
        <v>1.5629999999999999</v>
      </c>
      <c r="I183" s="59">
        <f>ROUND((D183*E183+F183*G183)/1000*H183,3)</f>
        <v>0</v>
      </c>
    </row>
    <row r="184" spans="2:9" ht="18" customHeight="1">
      <c r="B184" s="48" t="s">
        <v>42</v>
      </c>
      <c r="C184" s="49">
        <f>SUMPRODUCT(D181:D183*E181:E183+F181:F183*G181:G183)/1000</f>
        <v>2.3199999999999998</v>
      </c>
      <c r="D184" s="50" t="s">
        <v>43</v>
      </c>
      <c r="E184" s="49">
        <f>SUM(I181:I183)*1.1</f>
        <v>3.9886000000000004</v>
      </c>
      <c r="F184" s="50" t="s">
        <v>44</v>
      </c>
      <c r="G184" s="51">
        <f>(C$218+C$219)/1000</f>
        <v>46.081499999999998</v>
      </c>
      <c r="H184" s="52" t="s">
        <v>45</v>
      </c>
      <c r="I184" s="53">
        <f>ROUND(E184*G184,2)</f>
        <v>183.8</v>
      </c>
    </row>
    <row r="185" spans="2:9" ht="18" customHeight="1">
      <c r="B185" s="48" t="s">
        <v>46</v>
      </c>
      <c r="C185" s="50">
        <v>105.66</v>
      </c>
      <c r="D185" s="50" t="s">
        <v>47</v>
      </c>
      <c r="E185" s="49">
        <f>ROUND(C184*(C185/1000),2)</f>
        <v>0.25</v>
      </c>
      <c r="F185" s="50" t="s">
        <v>48</v>
      </c>
      <c r="G185" s="50">
        <f>G$23</f>
        <v>10</v>
      </c>
      <c r="H185" s="52" t="s">
        <v>49</v>
      </c>
      <c r="I185" s="53">
        <f>E185*G185</f>
        <v>2.5</v>
      </c>
    </row>
    <row r="186" spans="2:9" ht="18" customHeight="1">
      <c r="B186" s="48" t="s">
        <v>50</v>
      </c>
      <c r="C186" s="50">
        <v>125.66</v>
      </c>
      <c r="D186" s="50" t="s">
        <v>51</v>
      </c>
      <c r="E186" s="49">
        <f>ROUND(C184*(C186/1000),2)</f>
        <v>0.28999999999999998</v>
      </c>
      <c r="F186" s="50" t="s">
        <v>48</v>
      </c>
      <c r="G186" s="50">
        <f>G$24</f>
        <v>10</v>
      </c>
      <c r="H186" s="52" t="s">
        <v>49</v>
      </c>
      <c r="I186" s="53">
        <f>E186*G186</f>
        <v>2.9</v>
      </c>
    </row>
    <row r="187" spans="2:9" ht="18" customHeight="1">
      <c r="B187" s="23" t="s">
        <v>36</v>
      </c>
      <c r="C187" s="252" t="s">
        <v>14</v>
      </c>
      <c r="D187" s="252" t="s">
        <v>37</v>
      </c>
      <c r="E187" s="252" t="s">
        <v>71</v>
      </c>
      <c r="F187" s="252" t="s">
        <v>38</v>
      </c>
      <c r="G187" s="252" t="s">
        <v>72</v>
      </c>
      <c r="H187" s="252" t="s">
        <v>22</v>
      </c>
      <c r="I187" s="25" t="s">
        <v>40</v>
      </c>
    </row>
    <row r="188" spans="2:9" ht="18" customHeight="1">
      <c r="B188" s="648" t="s">
        <v>106</v>
      </c>
      <c r="C188" s="649" t="s">
        <v>107</v>
      </c>
      <c r="D188" s="250"/>
      <c r="E188" s="250"/>
      <c r="F188" s="250"/>
      <c r="G188" s="250"/>
      <c r="H188" s="28">
        <v>1.732</v>
      </c>
      <c r="I188" s="59">
        <f>ROUND((D188*E188+F188*G188)/1000*H188,3)</f>
        <v>0</v>
      </c>
    </row>
    <row r="189" spans="2:9" ht="18" customHeight="1">
      <c r="B189" s="648"/>
      <c r="C189" s="650"/>
      <c r="D189" s="250"/>
      <c r="E189" s="250"/>
      <c r="F189" s="250"/>
      <c r="G189" s="250"/>
      <c r="H189" s="28">
        <f>H188</f>
        <v>1.732</v>
      </c>
      <c r="I189" s="59">
        <f>ROUND((D189*E189+F189*G189)/1000*H189,3)</f>
        <v>0</v>
      </c>
    </row>
    <row r="190" spans="2:9" ht="18" customHeight="1">
      <c r="B190" s="648"/>
      <c r="C190" s="651"/>
      <c r="D190" s="250"/>
      <c r="E190" s="250"/>
      <c r="F190" s="250">
        <f>E6</f>
        <v>2320</v>
      </c>
      <c r="G190" s="250"/>
      <c r="H190" s="28">
        <f>H189</f>
        <v>1.732</v>
      </c>
      <c r="I190" s="59">
        <f>ROUND((D190*E190+F190*G190)/1000*H190,3)</f>
        <v>0</v>
      </c>
    </row>
    <row r="191" spans="2:9" ht="18" customHeight="1">
      <c r="B191" s="48" t="s">
        <v>42</v>
      </c>
      <c r="C191" s="49">
        <f>SUMPRODUCT(D188:D190*E188:E190+F188:F190*G188:G190)/1000</f>
        <v>0</v>
      </c>
      <c r="D191" s="50" t="s">
        <v>43</v>
      </c>
      <c r="E191" s="49">
        <f>SUM(I188:I190)*1.1</f>
        <v>0</v>
      </c>
      <c r="F191" s="50" t="s">
        <v>44</v>
      </c>
      <c r="G191" s="51">
        <f>(C$218+C$219)/1000</f>
        <v>46.081499999999998</v>
      </c>
      <c r="H191" s="52" t="s">
        <v>45</v>
      </c>
      <c r="I191" s="53">
        <f>ROUND(E191*G191,2)</f>
        <v>0</v>
      </c>
    </row>
    <row r="192" spans="2:9" ht="18" customHeight="1">
      <c r="B192" s="48" t="s">
        <v>46</v>
      </c>
      <c r="C192" s="50">
        <v>105.66</v>
      </c>
      <c r="D192" s="50" t="s">
        <v>47</v>
      </c>
      <c r="E192" s="49">
        <f>ROUND(C191*(C192/1000),2)</f>
        <v>0</v>
      </c>
      <c r="F192" s="50" t="s">
        <v>48</v>
      </c>
      <c r="G192" s="50">
        <f>G$23</f>
        <v>10</v>
      </c>
      <c r="H192" s="52" t="s">
        <v>49</v>
      </c>
      <c r="I192" s="53">
        <f>E192*G192</f>
        <v>0</v>
      </c>
    </row>
    <row r="193" spans="2:15" ht="18" customHeight="1">
      <c r="B193" s="48" t="s">
        <v>50</v>
      </c>
      <c r="C193" s="50">
        <v>125.66</v>
      </c>
      <c r="D193" s="50" t="s">
        <v>51</v>
      </c>
      <c r="E193" s="49">
        <f>ROUND(C191*(C193/1000),2)</f>
        <v>0</v>
      </c>
      <c r="F193" s="50" t="s">
        <v>48</v>
      </c>
      <c r="G193" s="50">
        <f>G$24</f>
        <v>10</v>
      </c>
      <c r="H193" s="52" t="s">
        <v>49</v>
      </c>
      <c r="I193" s="53">
        <f>E193*G193</f>
        <v>0</v>
      </c>
    </row>
    <row r="194" spans="2:15" ht="18" customHeight="1">
      <c r="B194" s="23" t="s">
        <v>36</v>
      </c>
      <c r="C194" s="252" t="s">
        <v>14</v>
      </c>
      <c r="D194" s="652" t="s">
        <v>38</v>
      </c>
      <c r="E194" s="652"/>
      <c r="F194" s="652"/>
      <c r="G194" s="252" t="s">
        <v>72</v>
      </c>
      <c r="H194" s="252" t="s">
        <v>22</v>
      </c>
      <c r="I194" s="25" t="s">
        <v>40</v>
      </c>
    </row>
    <row r="195" spans="2:15" ht="18" customHeight="1">
      <c r="B195" s="643" t="s">
        <v>108</v>
      </c>
      <c r="C195" s="645" t="s">
        <v>109</v>
      </c>
      <c r="D195" s="646"/>
      <c r="E195" s="646"/>
      <c r="F195" s="646"/>
      <c r="G195" s="250"/>
      <c r="H195" s="250">
        <v>1.796</v>
      </c>
      <c r="I195" s="59">
        <f>ROUND((D195*G195*H195)/1000,3)</f>
        <v>0</v>
      </c>
    </row>
    <row r="196" spans="2:15" ht="18" customHeight="1">
      <c r="B196" s="644"/>
      <c r="C196" s="640"/>
      <c r="D196" s="646"/>
      <c r="E196" s="646"/>
      <c r="F196" s="646"/>
      <c r="G196" s="250"/>
      <c r="H196" s="250">
        <f>H195</f>
        <v>1.796</v>
      </c>
      <c r="I196" s="59">
        <f>ROUND((D196*G196*H196)/1000,3)</f>
        <v>0</v>
      </c>
    </row>
    <row r="197" spans="2:15" ht="18" customHeight="1">
      <c r="B197" s="643" t="s">
        <v>110</v>
      </c>
      <c r="C197" s="645" t="s">
        <v>111</v>
      </c>
      <c r="D197" s="646"/>
      <c r="E197" s="646"/>
      <c r="F197" s="646"/>
      <c r="G197" s="250"/>
      <c r="H197" s="250">
        <v>1.355</v>
      </c>
      <c r="I197" s="59"/>
    </row>
    <row r="198" spans="2:15" ht="18" customHeight="1">
      <c r="B198" s="644"/>
      <c r="C198" s="640"/>
      <c r="D198" s="646"/>
      <c r="E198" s="646"/>
      <c r="F198" s="646"/>
      <c r="G198" s="250"/>
      <c r="H198" s="250">
        <f>H197</f>
        <v>1.355</v>
      </c>
      <c r="I198" s="59"/>
    </row>
    <row r="199" spans="2:15" ht="18" customHeight="1">
      <c r="B199" s="48" t="s">
        <v>42</v>
      </c>
      <c r="C199" s="49">
        <f>SUMPRODUCT(D195:F198*G195:G198)/1000</f>
        <v>0</v>
      </c>
      <c r="D199" s="50" t="s">
        <v>43</v>
      </c>
      <c r="E199" s="49">
        <f>SUM(I195:I198)*1.1</f>
        <v>0</v>
      </c>
      <c r="F199" s="50" t="s">
        <v>44</v>
      </c>
      <c r="G199" s="51">
        <f>(C$218+C$219)/1000</f>
        <v>46.081499999999998</v>
      </c>
      <c r="H199" s="52" t="s">
        <v>45</v>
      </c>
      <c r="I199" s="53">
        <f>ROUND(E199*G199,2)</f>
        <v>0</v>
      </c>
    </row>
    <row r="200" spans="2:15" ht="18" customHeight="1">
      <c r="B200" s="48" t="s">
        <v>46</v>
      </c>
      <c r="C200" s="50">
        <v>267.77999999999997</v>
      </c>
      <c r="D200" s="50" t="s">
        <v>47</v>
      </c>
      <c r="E200" s="49">
        <f>ROUND(C199*(C200/1000),2)</f>
        <v>0</v>
      </c>
      <c r="F200" s="50" t="s">
        <v>48</v>
      </c>
      <c r="G200" s="50">
        <f>G$23</f>
        <v>10</v>
      </c>
      <c r="H200" s="52" t="s">
        <v>49</v>
      </c>
      <c r="I200" s="53">
        <f>E200*G200</f>
        <v>0</v>
      </c>
    </row>
    <row r="201" spans="2:15" ht="18" customHeight="1">
      <c r="B201" s="48" t="s">
        <v>50</v>
      </c>
      <c r="C201" s="50">
        <v>104.29</v>
      </c>
      <c r="D201" s="50" t="s">
        <v>51</v>
      </c>
      <c r="E201" s="49">
        <f>ROUND(C199*(C201/1000),2)</f>
        <v>0</v>
      </c>
      <c r="F201" s="50" t="s">
        <v>48</v>
      </c>
      <c r="G201" s="50">
        <f>G$24</f>
        <v>10</v>
      </c>
      <c r="H201" s="52" t="s">
        <v>49</v>
      </c>
      <c r="I201" s="53">
        <f>E201*G201</f>
        <v>0</v>
      </c>
    </row>
    <row r="202" spans="2:15" ht="18" customHeight="1">
      <c r="B202" s="103" t="s">
        <v>112</v>
      </c>
      <c r="C202" s="104" t="s">
        <v>113</v>
      </c>
      <c r="D202" s="104" t="s">
        <v>28</v>
      </c>
      <c r="E202" s="104" t="s">
        <v>8</v>
      </c>
      <c r="F202" s="104" t="s">
        <v>112</v>
      </c>
      <c r="G202" s="104" t="s">
        <v>113</v>
      </c>
      <c r="H202" s="104" t="s">
        <v>28</v>
      </c>
      <c r="I202" s="105" t="s">
        <v>8</v>
      </c>
      <c r="N202" s="106"/>
      <c r="O202" s="102"/>
    </row>
    <row r="203" spans="2:15" ht="18" customHeight="1">
      <c r="B203" s="251" t="s">
        <v>327</v>
      </c>
      <c r="C203" s="107" t="s">
        <v>114</v>
      </c>
      <c r="D203" s="108">
        <v>2.15</v>
      </c>
      <c r="E203" s="253">
        <f>SUM(G14:G21)*4</f>
        <v>4</v>
      </c>
      <c r="F203" s="647" t="s">
        <v>115</v>
      </c>
      <c r="G203" s="107" t="s">
        <v>116</v>
      </c>
      <c r="H203" s="108">
        <v>2.46</v>
      </c>
      <c r="I203" s="247">
        <f>SUM(G108:G111)*4</f>
        <v>4</v>
      </c>
      <c r="J203" s="42"/>
      <c r="N203" s="106"/>
      <c r="O203" s="102"/>
    </row>
    <row r="204" spans="2:15" ht="18" customHeight="1">
      <c r="B204" s="251" t="s">
        <v>328</v>
      </c>
      <c r="C204" s="107" t="s">
        <v>117</v>
      </c>
      <c r="D204" s="108">
        <v>1.72</v>
      </c>
      <c r="E204" s="253">
        <f>E203</f>
        <v>4</v>
      </c>
      <c r="F204" s="646"/>
      <c r="G204" s="107" t="s">
        <v>118</v>
      </c>
      <c r="H204" s="108">
        <v>3.11</v>
      </c>
      <c r="I204" s="247">
        <f>I203</f>
        <v>4</v>
      </c>
      <c r="J204" s="42"/>
      <c r="N204" s="106"/>
      <c r="O204" s="102"/>
    </row>
    <row r="205" spans="2:15" ht="18" customHeight="1">
      <c r="B205" s="109" t="s">
        <v>330</v>
      </c>
      <c r="C205" s="107" t="s">
        <v>119</v>
      </c>
      <c r="D205" s="108">
        <v>2.68</v>
      </c>
      <c r="E205" s="253">
        <f>SUM(G26:G30)*4</f>
        <v>0</v>
      </c>
      <c r="F205" s="110" t="s">
        <v>120</v>
      </c>
      <c r="G205" s="107" t="s">
        <v>121</v>
      </c>
      <c r="H205" s="111">
        <v>4.76</v>
      </c>
      <c r="I205" s="247">
        <f>SUM(G123:G125)*4</f>
        <v>0</v>
      </c>
      <c r="J205" s="42"/>
      <c r="N205" s="106"/>
      <c r="O205" s="102"/>
    </row>
    <row r="206" spans="2:15" ht="18" customHeight="1">
      <c r="B206" s="109" t="s">
        <v>329</v>
      </c>
      <c r="C206" s="107" t="s">
        <v>122</v>
      </c>
      <c r="D206" s="108">
        <v>1.27</v>
      </c>
      <c r="E206" s="253">
        <f>E205</f>
        <v>0</v>
      </c>
      <c r="F206" s="110" t="s">
        <v>123</v>
      </c>
      <c r="G206" s="107" t="s">
        <v>124</v>
      </c>
      <c r="H206" s="111">
        <v>3.85</v>
      </c>
      <c r="I206" s="247">
        <f>I205</f>
        <v>0</v>
      </c>
      <c r="J206" s="42"/>
      <c r="N206" s="106"/>
      <c r="O206" s="102"/>
    </row>
    <row r="207" spans="2:15" ht="18" customHeight="1">
      <c r="B207" s="109" t="s">
        <v>331</v>
      </c>
      <c r="C207" s="107" t="s">
        <v>125</v>
      </c>
      <c r="D207" s="111" t="s">
        <v>126</v>
      </c>
      <c r="E207" s="253">
        <f>SUM(G35:G37)*4</f>
        <v>0</v>
      </c>
      <c r="F207" s="110" t="s">
        <v>127</v>
      </c>
      <c r="G207" s="107" t="s">
        <v>128</v>
      </c>
      <c r="H207" s="111">
        <v>4.29</v>
      </c>
      <c r="I207" s="247">
        <f>SUM(G116:G118)*4</f>
        <v>8</v>
      </c>
      <c r="J207" s="42"/>
      <c r="N207" s="106"/>
      <c r="O207" s="102"/>
    </row>
    <row r="208" spans="2:15" ht="18" customHeight="1">
      <c r="B208" s="109" t="s">
        <v>332</v>
      </c>
      <c r="C208" s="107" t="s">
        <v>129</v>
      </c>
      <c r="D208" s="111" t="s">
        <v>130</v>
      </c>
      <c r="E208" s="253">
        <f>E207</f>
        <v>0</v>
      </c>
      <c r="F208" s="110" t="s">
        <v>131</v>
      </c>
      <c r="G208" s="107" t="s">
        <v>132</v>
      </c>
      <c r="H208" s="111">
        <v>4.5</v>
      </c>
      <c r="I208" s="247">
        <f>I207</f>
        <v>8</v>
      </c>
      <c r="J208" s="42"/>
      <c r="N208" s="106"/>
      <c r="O208" s="102"/>
    </row>
    <row r="209" spans="2:15" ht="18" customHeight="1">
      <c r="B209" s="249" t="s">
        <v>333</v>
      </c>
      <c r="C209" s="250">
        <v>12.6</v>
      </c>
      <c r="D209" s="111">
        <v>1.32</v>
      </c>
      <c r="E209" s="253">
        <f>SUM(G42:G47)*4</f>
        <v>0</v>
      </c>
      <c r="F209" s="639"/>
      <c r="G209" s="107"/>
      <c r="H209" s="28"/>
      <c r="I209" s="247"/>
      <c r="N209" s="106"/>
      <c r="O209" s="102"/>
    </row>
    <row r="210" spans="2:15" ht="18" customHeight="1">
      <c r="B210" s="249" t="s">
        <v>334</v>
      </c>
      <c r="C210" s="250">
        <v>15.8</v>
      </c>
      <c r="D210" s="111">
        <v>1.18</v>
      </c>
      <c r="E210" s="253">
        <f>E209</f>
        <v>0</v>
      </c>
      <c r="F210" s="640"/>
      <c r="G210" s="107"/>
      <c r="H210" s="28"/>
      <c r="I210" s="231"/>
      <c r="N210" s="106"/>
      <c r="O210" s="102"/>
    </row>
    <row r="211" spans="2:15" ht="18" customHeight="1">
      <c r="B211" s="251" t="s">
        <v>335</v>
      </c>
      <c r="C211" s="107" t="s">
        <v>337</v>
      </c>
      <c r="D211" s="111">
        <v>2.81</v>
      </c>
      <c r="E211" s="250">
        <f>SUM(E52+E53+E54+E55+G52+G53+G54+G55+G60+G61+G62+G63)*2</f>
        <v>0</v>
      </c>
      <c r="F211" s="641" t="s">
        <v>133</v>
      </c>
      <c r="G211" s="111">
        <f>SUMPRODUCT(D35:D37,G35:G37)/1000</f>
        <v>0</v>
      </c>
      <c r="H211" s="28">
        <v>0.16</v>
      </c>
      <c r="I211" s="232">
        <f>G211*H211</f>
        <v>0</v>
      </c>
      <c r="N211" s="106"/>
      <c r="O211" s="102"/>
    </row>
    <row r="212" spans="2:15" ht="18" customHeight="1">
      <c r="B212" s="251" t="s">
        <v>336</v>
      </c>
      <c r="C212" s="107" t="s">
        <v>338</v>
      </c>
      <c r="D212" s="111">
        <v>3.51</v>
      </c>
      <c r="E212" s="250">
        <f>E211</f>
        <v>0</v>
      </c>
      <c r="F212" s="641"/>
      <c r="G212" s="111">
        <f>SUMPRODUCT(D26:D30,G26:G30)/1000</f>
        <v>0</v>
      </c>
      <c r="H212" s="28">
        <v>0.16</v>
      </c>
      <c r="I212" s="232">
        <f>G212*H212</f>
        <v>0</v>
      </c>
      <c r="N212" s="106"/>
      <c r="O212" s="102"/>
    </row>
    <row r="213" spans="2:15" ht="18" customHeight="1">
      <c r="B213" s="251" t="s">
        <v>134</v>
      </c>
      <c r="C213" s="250">
        <v>30.6</v>
      </c>
      <c r="D213" s="111">
        <v>2.81</v>
      </c>
      <c r="E213" s="253">
        <f>SUM(+E130+E131+E132+G130+G131+G132)*2</f>
        <v>0</v>
      </c>
      <c r="F213" s="641" t="s">
        <v>135</v>
      </c>
      <c r="G213" s="111">
        <f>SUMPRODUCT(E26:E30,G26:G30)/1000</f>
        <v>0</v>
      </c>
      <c r="H213" s="28">
        <v>0.16</v>
      </c>
      <c r="I213" s="232">
        <f>G213*H213</f>
        <v>0</v>
      </c>
      <c r="N213" s="106"/>
      <c r="O213" s="102"/>
    </row>
    <row r="214" spans="2:15" ht="18" customHeight="1">
      <c r="B214" s="251" t="s">
        <v>136</v>
      </c>
      <c r="C214" s="250">
        <v>30.6</v>
      </c>
      <c r="D214" s="111">
        <v>3.51</v>
      </c>
      <c r="E214" s="253">
        <f>E213</f>
        <v>0</v>
      </c>
      <c r="F214" s="641"/>
      <c r="G214" s="111">
        <f>SUMPRODUCT(E35:E37,G35:G37)/1000</f>
        <v>0</v>
      </c>
      <c r="H214" s="28">
        <v>0.16</v>
      </c>
      <c r="I214" s="232">
        <f>G214*H214</f>
        <v>0</v>
      </c>
      <c r="N214" s="106"/>
      <c r="O214" s="102"/>
    </row>
    <row r="215" spans="2:15" ht="18" customHeight="1">
      <c r="B215" s="52" t="s">
        <v>137</v>
      </c>
      <c r="C215" s="112" cm="1">
        <f t="array" ref="C215">SUMPRODUCT(D203:D214*E203:E214)+SUMPRODUCT(H203:H210*I203:I210)</f>
        <v>108.08</v>
      </c>
      <c r="D215" s="52"/>
      <c r="E215" s="52"/>
      <c r="F215" s="52"/>
      <c r="G215" s="52" t="s">
        <v>138</v>
      </c>
      <c r="H215" s="52" cm="1">
        <f t="array" ref="H215">SUMPRODUCT(G211:G214*H211:H214)</f>
        <v>0</v>
      </c>
      <c r="I215" s="233">
        <f>H215*1.08</f>
        <v>0</v>
      </c>
      <c r="N215" s="106"/>
      <c r="O215" s="102"/>
    </row>
    <row r="216" spans="2:15" ht="18" customHeight="1">
      <c r="B216" s="23" t="s">
        <v>139</v>
      </c>
      <c r="C216" s="252" t="s">
        <v>14</v>
      </c>
      <c r="D216" s="252" t="s">
        <v>22</v>
      </c>
      <c r="E216" s="252" t="s">
        <v>8</v>
      </c>
      <c r="F216" s="252" t="s">
        <v>113</v>
      </c>
      <c r="G216" s="252" t="s">
        <v>40</v>
      </c>
      <c r="H216" s="252" t="s">
        <v>28</v>
      </c>
      <c r="I216" s="25" t="s">
        <v>29</v>
      </c>
      <c r="N216" s="106"/>
      <c r="O216" s="102"/>
    </row>
    <row r="217" spans="2:15" ht="18" customHeight="1">
      <c r="B217" s="48" t="s">
        <v>140</v>
      </c>
      <c r="C217" s="52" t="s">
        <v>141</v>
      </c>
      <c r="D217" s="50">
        <v>0.14199999999999999</v>
      </c>
      <c r="E217" s="50">
        <v>1</v>
      </c>
      <c r="F217" s="50">
        <f>D6</f>
        <v>2220</v>
      </c>
      <c r="G217" s="128">
        <f>D217*F217*E217/1000*1.1</f>
        <v>0.34676400000000002</v>
      </c>
      <c r="H217" s="52">
        <f>(C218+C222)/1000</f>
        <v>39.781500000000001</v>
      </c>
      <c r="I217" s="193">
        <f>G217*H217</f>
        <v>13.794792066000001</v>
      </c>
      <c r="N217" s="106"/>
      <c r="O217" s="102"/>
    </row>
    <row r="218" spans="2:15" ht="18" customHeight="1">
      <c r="B218" s="37" t="s">
        <v>142</v>
      </c>
      <c r="C218" s="113">
        <f>材料价格!B4</f>
        <v>22081.5</v>
      </c>
      <c r="D218" s="39" t="s">
        <v>143</v>
      </c>
      <c r="E218" s="114">
        <f>E139+E133+E126+E119+E112+E199+E177+E64+E56+E48+E38+E31+E22+E184+E191</f>
        <v>70.546850000000006</v>
      </c>
      <c r="F218" s="39" t="s">
        <v>144</v>
      </c>
      <c r="G218" s="115">
        <f>I218/E218-C218/1000</f>
        <v>24.000075577081049</v>
      </c>
      <c r="H218" s="39" t="s">
        <v>145</v>
      </c>
      <c r="I218" s="116">
        <f>I22+I31+I38+I48+I56+I64+I199+I112+I119+I126+I133+I139+I177+I184+I191</f>
        <v>3250.9100000000003</v>
      </c>
      <c r="N218" s="106"/>
      <c r="O218" s="102"/>
    </row>
    <row r="219" spans="2:15" ht="18" customHeight="1">
      <c r="B219" s="117" t="s">
        <v>146</v>
      </c>
      <c r="C219" s="118">
        <f>材料价格!B5</f>
        <v>24000</v>
      </c>
      <c r="D219" s="39" t="s">
        <v>147</v>
      </c>
      <c r="E219" s="114">
        <f>E163+E153+E146+E104+E97+E88+G217+E170</f>
        <v>5.607514000000001</v>
      </c>
      <c r="F219" s="39" t="s">
        <v>148</v>
      </c>
      <c r="G219" s="119">
        <f>I219/E219-C218/1000</f>
        <v>17.699906175000187</v>
      </c>
      <c r="H219" s="39" t="s">
        <v>149</v>
      </c>
      <c r="I219" s="116">
        <f>I88+I97+I104+I146+I153+I163+I217+I170</f>
        <v>223.07479206600004</v>
      </c>
      <c r="N219" s="106"/>
      <c r="O219" s="102"/>
    </row>
    <row r="220" spans="2:15" ht="18" customHeight="1">
      <c r="B220" s="117" t="s">
        <v>150</v>
      </c>
      <c r="C220" s="118">
        <f>C219</f>
        <v>24000</v>
      </c>
      <c r="D220" s="39" t="s">
        <v>151</v>
      </c>
      <c r="E220" s="120">
        <f>I215</f>
        <v>0</v>
      </c>
      <c r="F220" s="39" t="s">
        <v>152</v>
      </c>
      <c r="G220" s="119" t="e">
        <f>I220/E220-C218/1000</f>
        <v>#DIV/0!</v>
      </c>
      <c r="H220" s="39" t="s">
        <v>153</v>
      </c>
      <c r="I220" s="116">
        <f>ROUND(E220*(C218+C223)/1000,2)</f>
        <v>0</v>
      </c>
      <c r="N220" s="106"/>
      <c r="O220" s="102"/>
    </row>
    <row r="221" spans="2:15" ht="18" customHeight="1">
      <c r="B221" s="117" t="s">
        <v>154</v>
      </c>
      <c r="C221" s="121">
        <f>C220</f>
        <v>24000</v>
      </c>
      <c r="D221" s="39" t="s">
        <v>155</v>
      </c>
      <c r="E221" s="39"/>
      <c r="F221" s="39" t="s">
        <v>156</v>
      </c>
      <c r="G221" s="39"/>
      <c r="H221" s="39" t="s">
        <v>49</v>
      </c>
      <c r="I221" s="116">
        <f>E221*G221</f>
        <v>0</v>
      </c>
      <c r="J221" s="42"/>
      <c r="K221" s="255"/>
    </row>
    <row r="222" spans="2:15" ht="18" customHeight="1">
      <c r="B222" s="117" t="s">
        <v>148</v>
      </c>
      <c r="C222" s="122">
        <f>材料价格!B6</f>
        <v>17700</v>
      </c>
      <c r="D222" s="39" t="s">
        <v>157</v>
      </c>
      <c r="E222" s="39"/>
      <c r="F222" s="39" t="s">
        <v>156</v>
      </c>
      <c r="G222" s="39"/>
      <c r="H222" s="39" t="s">
        <v>49</v>
      </c>
      <c r="I222" s="116">
        <f>E222*G222</f>
        <v>0</v>
      </c>
      <c r="J222" s="123"/>
      <c r="K222" s="123"/>
      <c r="L222" s="123"/>
    </row>
    <row r="223" spans="2:15" ht="18" customHeight="1">
      <c r="B223" s="117" t="s">
        <v>152</v>
      </c>
      <c r="C223" s="122">
        <f>材料价格!B9</f>
        <v>2900</v>
      </c>
      <c r="D223" s="39" t="s">
        <v>158</v>
      </c>
      <c r="E223" s="114">
        <f>SUM(E218:E220)</f>
        <v>76.154364000000001</v>
      </c>
      <c r="F223" s="39"/>
      <c r="G223" s="39" t="s">
        <v>339</v>
      </c>
      <c r="H223" s="39"/>
      <c r="I223" s="234">
        <f>SUM(I218:I222)+C215</f>
        <v>3582.0647920660003</v>
      </c>
      <c r="J223" s="123"/>
      <c r="K223" s="123"/>
      <c r="L223" s="123"/>
    </row>
    <row r="224" spans="2:15" ht="18" customHeight="1">
      <c r="B224" s="23" t="s">
        <v>159</v>
      </c>
      <c r="C224" s="252" t="s">
        <v>113</v>
      </c>
      <c r="D224" s="252" t="s">
        <v>16</v>
      </c>
      <c r="E224" s="252" t="s">
        <v>7</v>
      </c>
      <c r="F224" s="252" t="s">
        <v>8</v>
      </c>
      <c r="G224" s="252" t="s">
        <v>28</v>
      </c>
      <c r="H224" s="252" t="s">
        <v>160</v>
      </c>
      <c r="I224" s="25" t="s">
        <v>1</v>
      </c>
      <c r="J224" s="255"/>
      <c r="K224" s="255"/>
      <c r="L224" s="255"/>
      <c r="M224" s="255"/>
    </row>
    <row r="225" spans="2:13" ht="18" customHeight="1">
      <c r="B225" s="124" t="str">
        <f>材料价格!A10</f>
        <v>6单银Low-E+12A+6</v>
      </c>
      <c r="C225" s="253">
        <f t="shared" ref="C225:D229" si="25">D92</f>
        <v>-90</v>
      </c>
      <c r="D225" s="253">
        <f t="shared" si="25"/>
        <v>-90</v>
      </c>
      <c r="E225" s="32">
        <f>C225*D225/10^6</f>
        <v>8.0999999999999996E-3</v>
      </c>
      <c r="F225" s="250">
        <f>G26</f>
        <v>0</v>
      </c>
      <c r="G225" s="125">
        <f>材料价格!B10</f>
        <v>148</v>
      </c>
      <c r="H225" s="250">
        <f>ROUND(E225*G225*F225,2)</f>
        <v>0</v>
      </c>
      <c r="I225" s="247" t="s">
        <v>161</v>
      </c>
      <c r="J225" s="255"/>
      <c r="K225" s="255"/>
      <c r="L225" s="255"/>
      <c r="M225" s="255"/>
    </row>
    <row r="226" spans="2:13" ht="18" customHeight="1">
      <c r="B226" s="124" t="str">
        <f t="shared" ref="B226:B232" si="26">B225</f>
        <v>6单银Low-E+12A+6</v>
      </c>
      <c r="C226" s="253">
        <f t="shared" si="25"/>
        <v>-90</v>
      </c>
      <c r="D226" s="253">
        <f t="shared" si="25"/>
        <v>-90</v>
      </c>
      <c r="E226" s="32">
        <f t="shared" ref="E226:E284" si="27">C226*D226/10^6</f>
        <v>8.0999999999999996E-3</v>
      </c>
      <c r="F226" s="250">
        <f>G27</f>
        <v>0</v>
      </c>
      <c r="G226" s="126">
        <f t="shared" ref="G226:G232" si="28">G225</f>
        <v>148</v>
      </c>
      <c r="H226" s="250">
        <f t="shared" ref="H226:H241" si="29">ROUND(E226*G226*F226,2)</f>
        <v>0</v>
      </c>
      <c r="I226" s="247" t="s">
        <v>162</v>
      </c>
      <c r="J226" s="255"/>
      <c r="K226" s="255"/>
      <c r="L226" s="255"/>
      <c r="M226" s="255"/>
    </row>
    <row r="227" spans="2:13" ht="18" customHeight="1">
      <c r="B227" s="124" t="str">
        <f t="shared" si="26"/>
        <v>6单银Low-E+12A+6</v>
      </c>
      <c r="C227" s="253">
        <f t="shared" si="25"/>
        <v>-90</v>
      </c>
      <c r="D227" s="253">
        <f t="shared" si="25"/>
        <v>-90</v>
      </c>
      <c r="E227" s="32">
        <f t="shared" si="27"/>
        <v>8.0999999999999996E-3</v>
      </c>
      <c r="F227" s="250">
        <f>G28</f>
        <v>0</v>
      </c>
      <c r="G227" s="126">
        <f t="shared" si="28"/>
        <v>148</v>
      </c>
      <c r="H227" s="250">
        <f t="shared" si="29"/>
        <v>0</v>
      </c>
      <c r="I227" s="247" t="s">
        <v>162</v>
      </c>
      <c r="J227" s="255"/>
      <c r="K227" s="255"/>
      <c r="L227" s="255"/>
      <c r="M227" s="255"/>
    </row>
    <row r="228" spans="2:13" ht="18" customHeight="1">
      <c r="B228" s="124" t="str">
        <f t="shared" si="26"/>
        <v>6单银Low-E+12A+6</v>
      </c>
      <c r="C228" s="253">
        <f t="shared" si="25"/>
        <v>-90</v>
      </c>
      <c r="D228" s="253">
        <f t="shared" si="25"/>
        <v>-90</v>
      </c>
      <c r="E228" s="32">
        <f t="shared" si="27"/>
        <v>8.0999999999999996E-3</v>
      </c>
      <c r="F228" s="250">
        <f>G29</f>
        <v>0</v>
      </c>
      <c r="G228" s="126">
        <f t="shared" si="28"/>
        <v>148</v>
      </c>
      <c r="H228" s="250">
        <f t="shared" si="29"/>
        <v>0</v>
      </c>
      <c r="I228" s="247" t="s">
        <v>162</v>
      </c>
      <c r="J228" s="255"/>
      <c r="K228" s="255"/>
      <c r="L228" s="255"/>
      <c r="M228" s="255"/>
    </row>
    <row r="229" spans="2:13" ht="18" customHeight="1">
      <c r="B229" s="124" t="str">
        <f t="shared" si="26"/>
        <v>6单银Low-E+12A+6</v>
      </c>
      <c r="C229" s="253">
        <f t="shared" si="25"/>
        <v>-90</v>
      </c>
      <c r="D229" s="253">
        <f t="shared" si="25"/>
        <v>-90</v>
      </c>
      <c r="E229" s="32">
        <f t="shared" si="27"/>
        <v>8.0999999999999996E-3</v>
      </c>
      <c r="F229" s="250">
        <f>G30</f>
        <v>0</v>
      </c>
      <c r="G229" s="126">
        <f t="shared" si="28"/>
        <v>148</v>
      </c>
      <c r="H229" s="250">
        <f t="shared" si="29"/>
        <v>0</v>
      </c>
      <c r="I229" s="247" t="s">
        <v>162</v>
      </c>
      <c r="J229" s="123"/>
      <c r="K229" s="123"/>
      <c r="L229" s="123"/>
    </row>
    <row r="230" spans="2:13" ht="18" customHeight="1">
      <c r="B230" s="124" t="str">
        <f t="shared" si="26"/>
        <v>6单银Low-E+12A+6</v>
      </c>
      <c r="C230" s="253">
        <f t="shared" ref="C230:D232" si="30">D101</f>
        <v>-122</v>
      </c>
      <c r="D230" s="253">
        <f t="shared" si="30"/>
        <v>-122</v>
      </c>
      <c r="E230" s="32">
        <f t="shared" si="27"/>
        <v>1.4884E-2</v>
      </c>
      <c r="F230" s="250">
        <f>G101</f>
        <v>0</v>
      </c>
      <c r="G230" s="126">
        <f t="shared" si="28"/>
        <v>148</v>
      </c>
      <c r="H230" s="250">
        <f t="shared" si="29"/>
        <v>0</v>
      </c>
      <c r="I230" s="127" t="s">
        <v>163</v>
      </c>
      <c r="J230" s="123"/>
      <c r="K230" s="123"/>
      <c r="L230" s="123"/>
    </row>
    <row r="231" spans="2:13" ht="18" customHeight="1">
      <c r="B231" s="124" t="str">
        <f t="shared" si="26"/>
        <v>6单银Low-E+12A+6</v>
      </c>
      <c r="C231" s="253">
        <f t="shared" si="30"/>
        <v>-122</v>
      </c>
      <c r="D231" s="253">
        <f t="shared" si="30"/>
        <v>-122</v>
      </c>
      <c r="E231" s="32">
        <f t="shared" si="27"/>
        <v>1.4884E-2</v>
      </c>
      <c r="F231" s="250">
        <f>G102</f>
        <v>0</v>
      </c>
      <c r="G231" s="126">
        <f t="shared" si="28"/>
        <v>148</v>
      </c>
      <c r="H231" s="250">
        <f t="shared" si="29"/>
        <v>0</v>
      </c>
      <c r="I231" s="127" t="s">
        <v>163</v>
      </c>
    </row>
    <row r="232" spans="2:13" ht="18" customHeight="1">
      <c r="B232" s="124" t="str">
        <f t="shared" si="26"/>
        <v>6单银Low-E+12A+6</v>
      </c>
      <c r="C232" s="253">
        <f t="shared" si="30"/>
        <v>-122</v>
      </c>
      <c r="D232" s="253">
        <f t="shared" si="30"/>
        <v>-122</v>
      </c>
      <c r="E232" s="32">
        <f t="shared" si="27"/>
        <v>1.4884E-2</v>
      </c>
      <c r="F232" s="250">
        <f>G103</f>
        <v>0</v>
      </c>
      <c r="G232" s="126">
        <f t="shared" si="28"/>
        <v>148</v>
      </c>
      <c r="H232" s="250">
        <f t="shared" si="29"/>
        <v>0</v>
      </c>
      <c r="I232" s="127" t="s">
        <v>163</v>
      </c>
    </row>
    <row r="233" spans="2:13" ht="18" customHeight="1">
      <c r="B233" s="48" t="s">
        <v>164</v>
      </c>
      <c r="C233" s="52"/>
      <c r="D233" s="50"/>
      <c r="E233" s="128"/>
      <c r="F233" s="50">
        <f>SUM(F225:F232)</f>
        <v>0</v>
      </c>
      <c r="G233" s="50"/>
      <c r="H233" s="52">
        <f>SUM(H225:H232)</f>
        <v>0</v>
      </c>
      <c r="I233" s="53">
        <f>ROUND((E225*F225+E226*F226+E227*F227+E228*F228+E229*F229+E230*F230+E231*F231+E232*F232),2)</f>
        <v>0</v>
      </c>
    </row>
    <row r="234" spans="2:13" ht="18" customHeight="1">
      <c r="B234" s="124" t="str">
        <f>B232</f>
        <v>6单银Low-E+12A+6</v>
      </c>
      <c r="C234" s="253">
        <f>C225</f>
        <v>-90</v>
      </c>
      <c r="D234" s="253">
        <f>D225</f>
        <v>-90</v>
      </c>
      <c r="E234" s="32">
        <f t="shared" si="27"/>
        <v>8.0999999999999996E-3</v>
      </c>
      <c r="F234" s="250">
        <f>IF(F225=0,G26,0)</f>
        <v>0</v>
      </c>
      <c r="G234" s="126">
        <f>G232</f>
        <v>148</v>
      </c>
      <c r="H234" s="250">
        <f t="shared" si="29"/>
        <v>0</v>
      </c>
      <c r="I234" s="247" t="s">
        <v>165</v>
      </c>
      <c r="J234" s="129"/>
    </row>
    <row r="235" spans="2:13" ht="18" customHeight="1">
      <c r="B235" s="124" t="str">
        <f t="shared" ref="B235:B241" si="31">B234</f>
        <v>6单银Low-E+12A+6</v>
      </c>
      <c r="C235" s="253">
        <f t="shared" ref="C235:D241" si="32">C226</f>
        <v>-90</v>
      </c>
      <c r="D235" s="253">
        <f t="shared" si="32"/>
        <v>-90</v>
      </c>
      <c r="E235" s="32">
        <f t="shared" si="27"/>
        <v>8.0999999999999996E-3</v>
      </c>
      <c r="F235" s="250">
        <f>IF(F226=0,G27,0)</f>
        <v>0</v>
      </c>
      <c r="G235" s="126">
        <f>G234</f>
        <v>148</v>
      </c>
      <c r="H235" s="250">
        <f t="shared" si="29"/>
        <v>0</v>
      </c>
      <c r="I235" s="247" t="s">
        <v>165</v>
      </c>
      <c r="J235" s="129"/>
    </row>
    <row r="236" spans="2:13" ht="18" customHeight="1">
      <c r="B236" s="124" t="str">
        <f t="shared" si="31"/>
        <v>6单银Low-E+12A+6</v>
      </c>
      <c r="C236" s="253">
        <f t="shared" si="32"/>
        <v>-90</v>
      </c>
      <c r="D236" s="253">
        <f t="shared" si="32"/>
        <v>-90</v>
      </c>
      <c r="E236" s="32">
        <f t="shared" si="27"/>
        <v>8.0999999999999996E-3</v>
      </c>
      <c r="F236" s="250">
        <f>IF(F227=0,G28,0)</f>
        <v>0</v>
      </c>
      <c r="G236" s="126">
        <f t="shared" ref="G236:G241" si="33">G234</f>
        <v>148</v>
      </c>
      <c r="H236" s="250">
        <f t="shared" si="29"/>
        <v>0</v>
      </c>
      <c r="I236" s="247" t="s">
        <v>165</v>
      </c>
      <c r="J236" s="129"/>
    </row>
    <row r="237" spans="2:13" ht="18" customHeight="1">
      <c r="B237" s="124" t="str">
        <f t="shared" si="31"/>
        <v>6单银Low-E+12A+6</v>
      </c>
      <c r="C237" s="253">
        <f t="shared" si="32"/>
        <v>-90</v>
      </c>
      <c r="D237" s="253">
        <f t="shared" si="32"/>
        <v>-90</v>
      </c>
      <c r="E237" s="32">
        <f t="shared" si="27"/>
        <v>8.0999999999999996E-3</v>
      </c>
      <c r="F237" s="250">
        <f>IF(F228=0,G29,0)</f>
        <v>0</v>
      </c>
      <c r="G237" s="126">
        <f t="shared" si="33"/>
        <v>148</v>
      </c>
      <c r="H237" s="250">
        <f t="shared" si="29"/>
        <v>0</v>
      </c>
      <c r="I237" s="247" t="s">
        <v>165</v>
      </c>
      <c r="J237" s="129"/>
    </row>
    <row r="238" spans="2:13" ht="18" customHeight="1">
      <c r="B238" s="124" t="str">
        <f t="shared" si="31"/>
        <v>6单银Low-E+12A+6</v>
      </c>
      <c r="C238" s="253">
        <f t="shared" si="32"/>
        <v>-90</v>
      </c>
      <c r="D238" s="253">
        <f t="shared" si="32"/>
        <v>-90</v>
      </c>
      <c r="E238" s="32">
        <f t="shared" si="27"/>
        <v>8.0999999999999996E-3</v>
      </c>
      <c r="F238" s="250">
        <f>IF(F229=0,G30,0)</f>
        <v>0</v>
      </c>
      <c r="G238" s="126">
        <f t="shared" si="33"/>
        <v>148</v>
      </c>
      <c r="H238" s="250">
        <f t="shared" si="29"/>
        <v>0</v>
      </c>
      <c r="I238" s="247" t="s">
        <v>165</v>
      </c>
      <c r="J238" s="129"/>
    </row>
    <row r="239" spans="2:13" ht="18" customHeight="1">
      <c r="B239" s="124" t="str">
        <f t="shared" si="31"/>
        <v>6单银Low-E+12A+6</v>
      </c>
      <c r="C239" s="253">
        <f t="shared" si="32"/>
        <v>-122</v>
      </c>
      <c r="D239" s="253">
        <f t="shared" si="32"/>
        <v>-122</v>
      </c>
      <c r="E239" s="32">
        <f t="shared" si="27"/>
        <v>1.4884E-2</v>
      </c>
      <c r="F239" s="250">
        <f>IF(F230=0,G35,0)</f>
        <v>0</v>
      </c>
      <c r="G239" s="126">
        <f t="shared" si="33"/>
        <v>148</v>
      </c>
      <c r="H239" s="250">
        <f t="shared" si="29"/>
        <v>0</v>
      </c>
      <c r="I239" s="127" t="s">
        <v>166</v>
      </c>
      <c r="J239" s="129"/>
    </row>
    <row r="240" spans="2:13" ht="18" customHeight="1">
      <c r="B240" s="124" t="str">
        <f t="shared" si="31"/>
        <v>6单银Low-E+12A+6</v>
      </c>
      <c r="C240" s="253">
        <f t="shared" si="32"/>
        <v>-122</v>
      </c>
      <c r="D240" s="253">
        <f t="shared" si="32"/>
        <v>-122</v>
      </c>
      <c r="E240" s="32">
        <f t="shared" si="27"/>
        <v>1.4884E-2</v>
      </c>
      <c r="F240" s="250">
        <f>IF(F231=0,G36,0)</f>
        <v>0</v>
      </c>
      <c r="G240" s="126">
        <f t="shared" si="33"/>
        <v>148</v>
      </c>
      <c r="H240" s="250">
        <f t="shared" si="29"/>
        <v>0</v>
      </c>
      <c r="I240" s="127" t="s">
        <v>166</v>
      </c>
      <c r="J240" s="129"/>
    </row>
    <row r="241" spans="1:16" ht="18" customHeight="1">
      <c r="B241" s="124" t="str">
        <f t="shared" si="31"/>
        <v>6单银Low-E+12A+6</v>
      </c>
      <c r="C241" s="253">
        <f t="shared" si="32"/>
        <v>-122</v>
      </c>
      <c r="D241" s="253">
        <f t="shared" si="32"/>
        <v>-122</v>
      </c>
      <c r="E241" s="32">
        <f t="shared" si="27"/>
        <v>1.4884E-2</v>
      </c>
      <c r="F241" s="250">
        <f>IF(F232=0,G37,0)</f>
        <v>0</v>
      </c>
      <c r="G241" s="126">
        <f t="shared" si="33"/>
        <v>148</v>
      </c>
      <c r="H241" s="250">
        <f t="shared" si="29"/>
        <v>0</v>
      </c>
      <c r="I241" s="127" t="s">
        <v>166</v>
      </c>
      <c r="J241" s="129"/>
    </row>
    <row r="242" spans="1:16" s="43" customFormat="1" ht="18" customHeight="1">
      <c r="A242" s="1"/>
      <c r="B242" s="48" t="s">
        <v>167</v>
      </c>
      <c r="C242" s="52"/>
      <c r="D242" s="50"/>
      <c r="E242" s="128"/>
      <c r="F242" s="50">
        <f>SUM(F234:F241)</f>
        <v>0</v>
      </c>
      <c r="G242" s="50"/>
      <c r="H242" s="52">
        <f>SUM(H234:H241)</f>
        <v>0</v>
      </c>
      <c r="I242" s="53">
        <f>ROUND(SUMPRODUCT(E234:E241*F234:F241),2)</f>
        <v>0</v>
      </c>
      <c r="J242" s="129"/>
      <c r="N242" s="255"/>
      <c r="O242" s="255"/>
      <c r="P242" s="255"/>
    </row>
    <row r="243" spans="1:16" s="43" customFormat="1" ht="18" customHeight="1">
      <c r="A243" s="1"/>
      <c r="B243" s="124" t="str">
        <f>B240</f>
        <v>6单银Low-E+12A+6</v>
      </c>
      <c r="C243" s="253">
        <f t="shared" ref="C243:D249" si="34">D68-12</f>
        <v>416</v>
      </c>
      <c r="D243" s="253">
        <f t="shared" si="34"/>
        <v>2236</v>
      </c>
      <c r="E243" s="32">
        <f t="shared" si="27"/>
        <v>0.930176</v>
      </c>
      <c r="F243" s="82">
        <f t="shared" ref="F243:F249" si="35">G68</f>
        <v>1</v>
      </c>
      <c r="G243" s="130">
        <f>G241</f>
        <v>148</v>
      </c>
      <c r="H243" s="250">
        <f t="shared" ref="H243:H249" si="36">ROUND(E243*G243*F243,2)</f>
        <v>137.66999999999999</v>
      </c>
      <c r="I243" s="247" t="s">
        <v>168</v>
      </c>
      <c r="J243" s="129"/>
      <c r="N243" s="255"/>
      <c r="O243" s="255"/>
      <c r="P243" s="255"/>
    </row>
    <row r="244" spans="1:16" s="43" customFormat="1" ht="18" customHeight="1">
      <c r="A244" s="1"/>
      <c r="B244" s="124" t="str">
        <f t="shared" ref="B244:B249" si="37">B243</f>
        <v>6单银Low-E+12A+6</v>
      </c>
      <c r="C244" s="253">
        <f t="shared" si="34"/>
        <v>-12</v>
      </c>
      <c r="D244" s="253">
        <f t="shared" si="34"/>
        <v>-12</v>
      </c>
      <c r="E244" s="32">
        <f t="shared" si="27"/>
        <v>1.44E-4</v>
      </c>
      <c r="F244" s="82">
        <f t="shared" si="35"/>
        <v>0</v>
      </c>
      <c r="G244" s="130">
        <f t="shared" ref="G244:G249" si="38">G243</f>
        <v>148</v>
      </c>
      <c r="H244" s="250">
        <f t="shared" si="36"/>
        <v>0</v>
      </c>
      <c r="I244" s="247" t="s">
        <v>168</v>
      </c>
      <c r="J244" s="129"/>
      <c r="N244" s="255"/>
      <c r="O244" s="255"/>
      <c r="P244" s="255"/>
    </row>
    <row r="245" spans="1:16" s="43" customFormat="1" ht="18" customHeight="1">
      <c r="A245" s="1"/>
      <c r="B245" s="124" t="str">
        <f t="shared" si="37"/>
        <v>6单银Low-E+12A+6</v>
      </c>
      <c r="C245" s="253">
        <f t="shared" si="34"/>
        <v>-12</v>
      </c>
      <c r="D245" s="253">
        <f t="shared" si="34"/>
        <v>-12</v>
      </c>
      <c r="E245" s="32">
        <f t="shared" si="27"/>
        <v>1.44E-4</v>
      </c>
      <c r="F245" s="82">
        <f t="shared" si="35"/>
        <v>0</v>
      </c>
      <c r="G245" s="130">
        <f t="shared" si="38"/>
        <v>148</v>
      </c>
      <c r="H245" s="250">
        <f t="shared" si="36"/>
        <v>0</v>
      </c>
      <c r="I245" s="247" t="s">
        <v>168</v>
      </c>
      <c r="J245" s="129"/>
      <c r="N245" s="255"/>
      <c r="O245" s="255"/>
      <c r="P245" s="255"/>
    </row>
    <row r="246" spans="1:16" s="43" customFormat="1" ht="18" customHeight="1">
      <c r="A246" s="1"/>
      <c r="B246" s="124" t="str">
        <f t="shared" si="37"/>
        <v>6单银Low-E+12A+6</v>
      </c>
      <c r="C246" s="253">
        <f t="shared" si="34"/>
        <v>-12</v>
      </c>
      <c r="D246" s="253">
        <f t="shared" si="34"/>
        <v>-12</v>
      </c>
      <c r="E246" s="32">
        <f t="shared" si="27"/>
        <v>1.44E-4</v>
      </c>
      <c r="F246" s="82">
        <f t="shared" si="35"/>
        <v>0</v>
      </c>
      <c r="G246" s="130">
        <f t="shared" si="38"/>
        <v>148</v>
      </c>
      <c r="H246" s="250">
        <f t="shared" si="36"/>
        <v>0</v>
      </c>
      <c r="I246" s="247" t="s">
        <v>168</v>
      </c>
      <c r="J246" s="129"/>
      <c r="N246" s="255"/>
      <c r="O246" s="255"/>
      <c r="P246" s="255"/>
    </row>
    <row r="247" spans="1:16" s="43" customFormat="1" ht="18" customHeight="1">
      <c r="A247" s="1"/>
      <c r="B247" s="124" t="str">
        <f t="shared" si="37"/>
        <v>6单银Low-E+12A+6</v>
      </c>
      <c r="C247" s="253">
        <f t="shared" si="34"/>
        <v>-12</v>
      </c>
      <c r="D247" s="253">
        <f t="shared" si="34"/>
        <v>-12</v>
      </c>
      <c r="E247" s="32">
        <f t="shared" si="27"/>
        <v>1.44E-4</v>
      </c>
      <c r="F247" s="82">
        <f t="shared" si="35"/>
        <v>0</v>
      </c>
      <c r="G247" s="130">
        <f t="shared" si="38"/>
        <v>148</v>
      </c>
      <c r="H247" s="250">
        <f t="shared" si="36"/>
        <v>0</v>
      </c>
      <c r="I247" s="247" t="s">
        <v>168</v>
      </c>
      <c r="J247" s="129"/>
      <c r="N247" s="255"/>
      <c r="O247" s="255"/>
      <c r="P247" s="255"/>
    </row>
    <row r="248" spans="1:16" s="43" customFormat="1" ht="18" customHeight="1">
      <c r="A248" s="1"/>
      <c r="B248" s="124" t="str">
        <f t="shared" si="37"/>
        <v>6单银Low-E+12A+6</v>
      </c>
      <c r="C248" s="253">
        <f t="shared" si="34"/>
        <v>-12</v>
      </c>
      <c r="D248" s="253">
        <f t="shared" si="34"/>
        <v>-12</v>
      </c>
      <c r="E248" s="32">
        <f t="shared" si="27"/>
        <v>1.44E-4</v>
      </c>
      <c r="F248" s="82">
        <f t="shared" si="35"/>
        <v>0</v>
      </c>
      <c r="G248" s="130">
        <f t="shared" si="38"/>
        <v>148</v>
      </c>
      <c r="H248" s="250">
        <f t="shared" si="36"/>
        <v>0</v>
      </c>
      <c r="I248" s="247" t="s">
        <v>168</v>
      </c>
      <c r="J248" s="129"/>
      <c r="N248" s="255"/>
      <c r="O248" s="255"/>
      <c r="P248" s="255"/>
    </row>
    <row r="249" spans="1:16" s="43" customFormat="1" ht="18" customHeight="1">
      <c r="A249" s="1"/>
      <c r="B249" s="124" t="str">
        <f t="shared" si="37"/>
        <v>6单银Low-E+12A+6</v>
      </c>
      <c r="C249" s="253">
        <f t="shared" si="34"/>
        <v>-12</v>
      </c>
      <c r="D249" s="253">
        <f t="shared" si="34"/>
        <v>-12</v>
      </c>
      <c r="E249" s="32">
        <f t="shared" si="27"/>
        <v>1.44E-4</v>
      </c>
      <c r="F249" s="82">
        <f t="shared" si="35"/>
        <v>0</v>
      </c>
      <c r="G249" s="130">
        <f t="shared" si="38"/>
        <v>148</v>
      </c>
      <c r="H249" s="250">
        <f t="shared" si="36"/>
        <v>0</v>
      </c>
      <c r="I249" s="247" t="s">
        <v>168</v>
      </c>
      <c r="J249" s="129"/>
      <c r="N249" s="255"/>
      <c r="O249" s="255"/>
      <c r="P249" s="255"/>
    </row>
    <row r="250" spans="1:16" s="43" customFormat="1" ht="18" customHeight="1">
      <c r="A250" s="1"/>
      <c r="B250" s="131" t="str">
        <f>B246</f>
        <v>6单银Low-E+12A+6</v>
      </c>
      <c r="C250" s="52"/>
      <c r="D250" s="50"/>
      <c r="E250" s="128"/>
      <c r="F250" s="50">
        <f>SUM(F243:F249)</f>
        <v>1</v>
      </c>
      <c r="G250" s="50"/>
      <c r="H250" s="52">
        <f>SUM(H243:H249)</f>
        <v>137.66999999999999</v>
      </c>
      <c r="I250" s="53">
        <f>ROUND((E243*F243+E244*F244+E245*F245+E246*F246+E247*F247+E248*F248+E249*F249),2)</f>
        <v>0.93</v>
      </c>
      <c r="J250" s="43">
        <f>(I242+I258+I273+I280)</f>
        <v>0</v>
      </c>
      <c r="N250" s="255"/>
      <c r="O250" s="255"/>
      <c r="P250" s="255"/>
    </row>
    <row r="251" spans="1:16" s="43" customFormat="1" ht="18" customHeight="1">
      <c r="A251" s="1"/>
      <c r="B251" s="124" t="str">
        <f>B249</f>
        <v>6单银Low-E+12A+6</v>
      </c>
      <c r="C251" s="253">
        <f t="shared" ref="C251:D257" si="39">D75-12</f>
        <v>-12</v>
      </c>
      <c r="D251" s="253">
        <f t="shared" si="39"/>
        <v>-12</v>
      </c>
      <c r="E251" s="32">
        <f t="shared" si="27"/>
        <v>1.44E-4</v>
      </c>
      <c r="F251" s="82">
        <f t="shared" ref="F251:F257" si="40">G75</f>
        <v>0</v>
      </c>
      <c r="G251" s="130">
        <f>G249</f>
        <v>148</v>
      </c>
      <c r="H251" s="250">
        <f>ROUND(E251*G251*F251,2)</f>
        <v>0</v>
      </c>
      <c r="I251" s="132" t="s">
        <v>169</v>
      </c>
      <c r="N251" s="255"/>
      <c r="O251" s="255"/>
      <c r="P251" s="255"/>
    </row>
    <row r="252" spans="1:16" s="43" customFormat="1" ht="18" customHeight="1">
      <c r="A252" s="1"/>
      <c r="B252" s="124" t="str">
        <f t="shared" ref="B252:B257" si="41">B251</f>
        <v>6单银Low-E+12A+6</v>
      </c>
      <c r="C252" s="253">
        <f t="shared" si="39"/>
        <v>-12</v>
      </c>
      <c r="D252" s="253">
        <f t="shared" si="39"/>
        <v>-12</v>
      </c>
      <c r="E252" s="32">
        <f t="shared" si="27"/>
        <v>1.44E-4</v>
      </c>
      <c r="F252" s="82">
        <f t="shared" si="40"/>
        <v>0</v>
      </c>
      <c r="G252" s="130">
        <f t="shared" ref="G252:G257" si="42">G251</f>
        <v>148</v>
      </c>
      <c r="H252" s="250">
        <f t="shared" ref="H252:H264" si="43">ROUND(E252*G252*F252,2)</f>
        <v>0</v>
      </c>
      <c r="I252" s="132" t="str">
        <f t="shared" ref="I252:I257" si="44">I251</f>
        <v>固定钢化中空</v>
      </c>
      <c r="N252" s="255"/>
      <c r="O252" s="255"/>
      <c r="P252" s="255"/>
    </row>
    <row r="253" spans="1:16" s="43" customFormat="1" ht="18" customHeight="1">
      <c r="A253" s="1"/>
      <c r="B253" s="124" t="str">
        <f t="shared" si="41"/>
        <v>6单银Low-E+12A+6</v>
      </c>
      <c r="C253" s="253">
        <f t="shared" si="39"/>
        <v>-12</v>
      </c>
      <c r="D253" s="253">
        <f t="shared" si="39"/>
        <v>-12</v>
      </c>
      <c r="E253" s="32">
        <f t="shared" si="27"/>
        <v>1.44E-4</v>
      </c>
      <c r="F253" s="82">
        <f t="shared" si="40"/>
        <v>0</v>
      </c>
      <c r="G253" s="130">
        <f t="shared" si="42"/>
        <v>148</v>
      </c>
      <c r="H253" s="250">
        <f t="shared" si="43"/>
        <v>0</v>
      </c>
      <c r="I253" s="132" t="str">
        <f t="shared" si="44"/>
        <v>固定钢化中空</v>
      </c>
      <c r="N253" s="255"/>
      <c r="O253" s="255"/>
      <c r="P253" s="255"/>
    </row>
    <row r="254" spans="1:16" s="43" customFormat="1" ht="18" customHeight="1">
      <c r="A254" s="1"/>
      <c r="B254" s="124" t="str">
        <f t="shared" si="41"/>
        <v>6单银Low-E+12A+6</v>
      </c>
      <c r="C254" s="253">
        <f t="shared" si="39"/>
        <v>-12</v>
      </c>
      <c r="D254" s="253">
        <f t="shared" si="39"/>
        <v>-12</v>
      </c>
      <c r="E254" s="32">
        <f t="shared" si="27"/>
        <v>1.44E-4</v>
      </c>
      <c r="F254" s="82">
        <f t="shared" si="40"/>
        <v>0</v>
      </c>
      <c r="G254" s="130">
        <f t="shared" si="42"/>
        <v>148</v>
      </c>
      <c r="H254" s="250">
        <f t="shared" si="43"/>
        <v>0</v>
      </c>
      <c r="I254" s="132" t="str">
        <f t="shared" si="44"/>
        <v>固定钢化中空</v>
      </c>
      <c r="J254" s="42"/>
      <c r="N254" s="255"/>
      <c r="O254" s="255"/>
      <c r="P254" s="255"/>
    </row>
    <row r="255" spans="1:16" s="43" customFormat="1" ht="18" customHeight="1">
      <c r="A255" s="1"/>
      <c r="B255" s="124" t="str">
        <f t="shared" si="41"/>
        <v>6单银Low-E+12A+6</v>
      </c>
      <c r="C255" s="253">
        <f t="shared" si="39"/>
        <v>-12</v>
      </c>
      <c r="D255" s="253">
        <f t="shared" si="39"/>
        <v>-12</v>
      </c>
      <c r="E255" s="32">
        <f t="shared" si="27"/>
        <v>1.44E-4</v>
      </c>
      <c r="F255" s="82">
        <f t="shared" si="40"/>
        <v>0</v>
      </c>
      <c r="G255" s="130">
        <f t="shared" si="42"/>
        <v>148</v>
      </c>
      <c r="H255" s="250">
        <f t="shared" si="43"/>
        <v>0</v>
      </c>
      <c r="I255" s="132" t="str">
        <f t="shared" si="44"/>
        <v>固定钢化中空</v>
      </c>
      <c r="N255" s="255"/>
      <c r="O255" s="255"/>
      <c r="P255" s="255"/>
    </row>
    <row r="256" spans="1:16" s="43" customFormat="1" ht="18" customHeight="1">
      <c r="A256" s="1"/>
      <c r="B256" s="124" t="str">
        <f t="shared" si="41"/>
        <v>6单银Low-E+12A+6</v>
      </c>
      <c r="C256" s="253">
        <f t="shared" si="39"/>
        <v>-12</v>
      </c>
      <c r="D256" s="253">
        <f t="shared" si="39"/>
        <v>-12</v>
      </c>
      <c r="E256" s="32">
        <f t="shared" si="27"/>
        <v>1.44E-4</v>
      </c>
      <c r="F256" s="82">
        <f t="shared" si="40"/>
        <v>0</v>
      </c>
      <c r="G256" s="130">
        <f t="shared" si="42"/>
        <v>148</v>
      </c>
      <c r="H256" s="250">
        <f t="shared" si="43"/>
        <v>0</v>
      </c>
      <c r="I256" s="132" t="str">
        <f t="shared" si="44"/>
        <v>固定钢化中空</v>
      </c>
      <c r="N256" s="255"/>
      <c r="O256" s="255"/>
      <c r="P256" s="255"/>
    </row>
    <row r="257" spans="1:16" s="43" customFormat="1" ht="18" customHeight="1">
      <c r="A257" s="1"/>
      <c r="B257" s="124" t="str">
        <f t="shared" si="41"/>
        <v>6单银Low-E+12A+6</v>
      </c>
      <c r="C257" s="253">
        <f t="shared" si="39"/>
        <v>-12</v>
      </c>
      <c r="D257" s="253">
        <f t="shared" si="39"/>
        <v>-12</v>
      </c>
      <c r="E257" s="32">
        <f t="shared" si="27"/>
        <v>1.44E-4</v>
      </c>
      <c r="F257" s="82">
        <f t="shared" si="40"/>
        <v>0</v>
      </c>
      <c r="G257" s="130">
        <f t="shared" si="42"/>
        <v>148</v>
      </c>
      <c r="H257" s="250">
        <f t="shared" si="43"/>
        <v>0</v>
      </c>
      <c r="I257" s="132" t="str">
        <f t="shared" si="44"/>
        <v>固定钢化中空</v>
      </c>
      <c r="N257" s="255"/>
      <c r="O257" s="255"/>
      <c r="P257" s="255"/>
    </row>
    <row r="258" spans="1:16" s="43" customFormat="1" ht="18" customHeight="1">
      <c r="A258" s="1"/>
      <c r="B258" s="48" t="s">
        <v>170</v>
      </c>
      <c r="C258" s="52"/>
      <c r="D258" s="50"/>
      <c r="E258" s="128"/>
      <c r="F258" s="50">
        <f>SUM(F251:F257)</f>
        <v>0</v>
      </c>
      <c r="G258" s="50"/>
      <c r="H258" s="52">
        <f>SUM(H251:H257)</f>
        <v>0</v>
      </c>
      <c r="I258" s="53">
        <f>ROUND((E251*F251+E252*F252+E253*F253+E254*F254+E255*F255+E256*F256+E257*F257),2)</f>
        <v>0</v>
      </c>
      <c r="N258" s="255"/>
      <c r="O258" s="255"/>
      <c r="P258" s="255"/>
    </row>
    <row r="259" spans="1:16" s="43" customFormat="1" ht="18" customHeight="1">
      <c r="A259" s="1"/>
      <c r="B259" s="124" t="str">
        <f>B257</f>
        <v>6单银Low-E+12A+6</v>
      </c>
      <c r="C259" s="253">
        <f t="shared" ref="C259:D264" si="45">D82-12</f>
        <v>-12</v>
      </c>
      <c r="D259" s="253">
        <f t="shared" si="45"/>
        <v>-12</v>
      </c>
      <c r="E259" s="32">
        <f t="shared" si="27"/>
        <v>1.44E-4</v>
      </c>
      <c r="F259" s="82">
        <f t="shared" ref="F259:F264" si="46">G82</f>
        <v>0</v>
      </c>
      <c r="G259" s="130">
        <f>G257</f>
        <v>148</v>
      </c>
      <c r="H259" s="250">
        <f t="shared" si="43"/>
        <v>0</v>
      </c>
      <c r="I259" s="247" t="s">
        <v>171</v>
      </c>
      <c r="N259" s="255"/>
      <c r="O259" s="255"/>
      <c r="P259" s="255"/>
    </row>
    <row r="260" spans="1:16" s="43" customFormat="1" ht="18" customHeight="1">
      <c r="A260" s="1"/>
      <c r="B260" s="124" t="str">
        <f>B259</f>
        <v>6单银Low-E+12A+6</v>
      </c>
      <c r="C260" s="253">
        <f t="shared" si="45"/>
        <v>-12</v>
      </c>
      <c r="D260" s="253">
        <f t="shared" si="45"/>
        <v>-12</v>
      </c>
      <c r="E260" s="32">
        <f t="shared" si="27"/>
        <v>1.44E-4</v>
      </c>
      <c r="F260" s="82">
        <f t="shared" si="46"/>
        <v>0</v>
      </c>
      <c r="G260" s="130">
        <f>G259</f>
        <v>148</v>
      </c>
      <c r="H260" s="250">
        <f t="shared" si="43"/>
        <v>0</v>
      </c>
      <c r="I260" s="247" t="s">
        <v>171</v>
      </c>
      <c r="N260" s="255"/>
      <c r="O260" s="255"/>
      <c r="P260" s="255"/>
    </row>
    <row r="261" spans="1:16" s="43" customFormat="1" ht="18" customHeight="1">
      <c r="A261" s="1"/>
      <c r="B261" s="124" t="str">
        <f>B260</f>
        <v>6单银Low-E+12A+6</v>
      </c>
      <c r="C261" s="253">
        <f t="shared" si="45"/>
        <v>-12</v>
      </c>
      <c r="D261" s="253">
        <f t="shared" si="45"/>
        <v>-12</v>
      </c>
      <c r="E261" s="32">
        <f t="shared" si="27"/>
        <v>1.44E-4</v>
      </c>
      <c r="F261" s="82">
        <f t="shared" si="46"/>
        <v>0</v>
      </c>
      <c r="G261" s="130">
        <f>G260</f>
        <v>148</v>
      </c>
      <c r="H261" s="250">
        <f t="shared" si="43"/>
        <v>0</v>
      </c>
      <c r="I261" s="247" t="s">
        <v>171</v>
      </c>
      <c r="N261" s="255"/>
      <c r="O261" s="255"/>
      <c r="P261" s="255"/>
    </row>
    <row r="262" spans="1:16" s="43" customFormat="1" ht="18" customHeight="1">
      <c r="A262" s="1"/>
      <c r="B262" s="124" t="str">
        <f>B261</f>
        <v>6单银Low-E+12A+6</v>
      </c>
      <c r="C262" s="253">
        <f t="shared" si="45"/>
        <v>-12</v>
      </c>
      <c r="D262" s="253">
        <f t="shared" si="45"/>
        <v>-12</v>
      </c>
      <c r="E262" s="32">
        <f t="shared" si="27"/>
        <v>1.44E-4</v>
      </c>
      <c r="F262" s="82">
        <f t="shared" si="46"/>
        <v>0</v>
      </c>
      <c r="G262" s="130">
        <f>G261</f>
        <v>148</v>
      </c>
      <c r="H262" s="250">
        <f t="shared" si="43"/>
        <v>0</v>
      </c>
      <c r="I262" s="247" t="s">
        <v>171</v>
      </c>
      <c r="N262" s="255"/>
      <c r="O262" s="255"/>
      <c r="P262" s="255"/>
    </row>
    <row r="263" spans="1:16" s="43" customFormat="1" ht="18" customHeight="1">
      <c r="A263" s="1"/>
      <c r="B263" s="124" t="str">
        <f>B262</f>
        <v>6单银Low-E+12A+6</v>
      </c>
      <c r="C263" s="253">
        <f t="shared" si="45"/>
        <v>-12</v>
      </c>
      <c r="D263" s="253">
        <f t="shared" si="45"/>
        <v>-12</v>
      </c>
      <c r="E263" s="32">
        <f t="shared" si="27"/>
        <v>1.44E-4</v>
      </c>
      <c r="F263" s="82">
        <f t="shared" si="46"/>
        <v>0</v>
      </c>
      <c r="G263" s="130">
        <f>G262</f>
        <v>148</v>
      </c>
      <c r="H263" s="250">
        <f t="shared" si="43"/>
        <v>0</v>
      </c>
      <c r="I263" s="247" t="s">
        <v>171</v>
      </c>
      <c r="N263" s="255"/>
      <c r="O263" s="255"/>
      <c r="P263" s="255"/>
    </row>
    <row r="264" spans="1:16" s="43" customFormat="1" ht="18" customHeight="1">
      <c r="A264" s="1"/>
      <c r="B264" s="124" t="str">
        <f>B263</f>
        <v>6单银Low-E+12A+6</v>
      </c>
      <c r="C264" s="253">
        <f t="shared" si="45"/>
        <v>-12</v>
      </c>
      <c r="D264" s="253">
        <f t="shared" si="45"/>
        <v>-12</v>
      </c>
      <c r="E264" s="32">
        <f t="shared" si="27"/>
        <v>1.44E-4</v>
      </c>
      <c r="F264" s="82">
        <f t="shared" si="46"/>
        <v>0</v>
      </c>
      <c r="G264" s="130">
        <f>G263</f>
        <v>148</v>
      </c>
      <c r="H264" s="250">
        <f t="shared" si="43"/>
        <v>0</v>
      </c>
      <c r="I264" s="247" t="s">
        <v>171</v>
      </c>
      <c r="N264" s="255"/>
      <c r="O264" s="255"/>
      <c r="P264" s="255"/>
    </row>
    <row r="265" spans="1:16" s="43" customFormat="1" ht="18" customHeight="1">
      <c r="A265" s="1"/>
      <c r="B265" s="48" t="s">
        <v>172</v>
      </c>
      <c r="C265" s="52"/>
      <c r="D265" s="50"/>
      <c r="E265" s="128"/>
      <c r="F265" s="50">
        <f>SUM(F259:F264)</f>
        <v>0</v>
      </c>
      <c r="G265" s="50"/>
      <c r="H265" s="52">
        <f>SUM(H259:H264)</f>
        <v>0</v>
      </c>
      <c r="I265" s="53">
        <f>ROUND(SUMPRODUCT(E259:E264*F259:F264),2)</f>
        <v>0</v>
      </c>
      <c r="N265" s="255"/>
      <c r="O265" s="255"/>
      <c r="P265" s="255"/>
    </row>
    <row r="266" spans="1:16" s="43" customFormat="1" ht="18" customHeight="1">
      <c r="A266" s="1"/>
      <c r="B266" s="124" t="str">
        <f>B264</f>
        <v>6单银Low-E+12A+6</v>
      </c>
      <c r="C266" s="133">
        <f t="shared" ref="C266:D268" si="47">D143</f>
        <v>665</v>
      </c>
      <c r="D266" s="133">
        <f t="shared" si="47"/>
        <v>2088</v>
      </c>
      <c r="E266" s="32">
        <f t="shared" si="27"/>
        <v>1.38852</v>
      </c>
      <c r="F266" s="134">
        <f>G143</f>
        <v>2</v>
      </c>
      <c r="G266" s="135">
        <f>G264</f>
        <v>148</v>
      </c>
      <c r="H266" s="134">
        <f>ROUND(E266*G266*F266,2)</f>
        <v>411</v>
      </c>
      <c r="I266" s="136" t="s">
        <v>173</v>
      </c>
      <c r="N266" s="255"/>
      <c r="O266" s="255"/>
      <c r="P266" s="255"/>
    </row>
    <row r="267" spans="1:16" s="43" customFormat="1" ht="18" customHeight="1">
      <c r="A267" s="1"/>
      <c r="B267" s="124" t="str">
        <f>B264</f>
        <v>6单银Low-E+12A+6</v>
      </c>
      <c r="C267" s="133">
        <f t="shared" si="47"/>
        <v>-154</v>
      </c>
      <c r="D267" s="133">
        <f t="shared" si="47"/>
        <v>-154</v>
      </c>
      <c r="E267" s="32">
        <f t="shared" si="27"/>
        <v>2.3716000000000001E-2</v>
      </c>
      <c r="F267" s="134">
        <f>G144</f>
        <v>0</v>
      </c>
      <c r="G267" s="135">
        <f>G266</f>
        <v>148</v>
      </c>
      <c r="H267" s="134">
        <f>ROUND(E267*G267*F267,2)</f>
        <v>0</v>
      </c>
      <c r="I267" s="136" t="s">
        <v>173</v>
      </c>
      <c r="N267" s="255"/>
      <c r="O267" s="255"/>
      <c r="P267" s="255"/>
    </row>
    <row r="268" spans="1:16" s="43" customFormat="1" ht="18" customHeight="1">
      <c r="A268" s="1"/>
      <c r="B268" s="124" t="str">
        <f>B267</f>
        <v>6单银Low-E+12A+6</v>
      </c>
      <c r="C268" s="133">
        <f t="shared" si="47"/>
        <v>-154</v>
      </c>
      <c r="D268" s="133">
        <f t="shared" si="47"/>
        <v>-154</v>
      </c>
      <c r="E268" s="32">
        <f t="shared" si="27"/>
        <v>2.3716000000000001E-2</v>
      </c>
      <c r="F268" s="134">
        <f>G145</f>
        <v>0</v>
      </c>
      <c r="G268" s="135">
        <f>G267</f>
        <v>148</v>
      </c>
      <c r="H268" s="134">
        <f>ROUND(E268*G268*F268,2)</f>
        <v>0</v>
      </c>
      <c r="I268" s="136" t="s">
        <v>173</v>
      </c>
      <c r="N268" s="255"/>
      <c r="O268" s="255"/>
      <c r="P268" s="255"/>
    </row>
    <row r="269" spans="1:16" s="43" customFormat="1" ht="18" customHeight="1">
      <c r="A269" s="1"/>
      <c r="B269" s="48" t="s">
        <v>174</v>
      </c>
      <c r="C269" s="52"/>
      <c r="D269" s="50"/>
      <c r="E269" s="128"/>
      <c r="F269" s="50">
        <f>SUM(F266:F268)</f>
        <v>2</v>
      </c>
      <c r="G269" s="50"/>
      <c r="H269" s="52">
        <f>SUM(H266:H268)</f>
        <v>411</v>
      </c>
      <c r="I269" s="53">
        <f>ROUND((E266*F266+E267*F267+E268*F268),2)</f>
        <v>2.78</v>
      </c>
      <c r="N269" s="255"/>
      <c r="O269" s="255"/>
      <c r="P269" s="255"/>
    </row>
    <row r="270" spans="1:16" s="43" customFormat="1" ht="18" customHeight="1">
      <c r="A270" s="1"/>
      <c r="B270" s="124" t="str">
        <f>B268</f>
        <v>6单银Low-E+12A+6</v>
      </c>
      <c r="C270" s="133">
        <f t="shared" ref="C270:D272" si="48">D150</f>
        <v>-160</v>
      </c>
      <c r="D270" s="133">
        <f t="shared" si="48"/>
        <v>-160</v>
      </c>
      <c r="E270" s="32">
        <f t="shared" si="27"/>
        <v>2.5600000000000001E-2</v>
      </c>
      <c r="F270" s="134">
        <f>G150</f>
        <v>0</v>
      </c>
      <c r="G270" s="135">
        <f>G268</f>
        <v>148</v>
      </c>
      <c r="H270" s="134">
        <f>ROUND(E270*G270*F270,2)</f>
        <v>0</v>
      </c>
      <c r="I270" s="136" t="s">
        <v>173</v>
      </c>
      <c r="N270" s="255"/>
      <c r="O270" s="255"/>
      <c r="P270" s="255"/>
    </row>
    <row r="271" spans="1:16" s="43" customFormat="1" ht="18" customHeight="1">
      <c r="A271" s="1"/>
      <c r="B271" s="124" t="str">
        <f>B270</f>
        <v>6单银Low-E+12A+6</v>
      </c>
      <c r="C271" s="133">
        <f t="shared" si="48"/>
        <v>-160</v>
      </c>
      <c r="D271" s="133">
        <f t="shared" si="48"/>
        <v>-160</v>
      </c>
      <c r="E271" s="32">
        <f t="shared" si="27"/>
        <v>2.5600000000000001E-2</v>
      </c>
      <c r="F271" s="134">
        <f>G151</f>
        <v>0</v>
      </c>
      <c r="G271" s="135">
        <f>G270</f>
        <v>148</v>
      </c>
      <c r="H271" s="134">
        <f>ROUND(E271*G271*F271,2)</f>
        <v>0</v>
      </c>
      <c r="I271" s="136" t="s">
        <v>173</v>
      </c>
      <c r="N271" s="255"/>
      <c r="O271" s="255"/>
      <c r="P271" s="255"/>
    </row>
    <row r="272" spans="1:16" s="43" customFormat="1" ht="18" customHeight="1">
      <c r="A272" s="1"/>
      <c r="B272" s="124" t="str">
        <f>B271</f>
        <v>6单银Low-E+12A+6</v>
      </c>
      <c r="C272" s="133">
        <f t="shared" si="48"/>
        <v>-160</v>
      </c>
      <c r="D272" s="133">
        <f t="shared" si="48"/>
        <v>-160</v>
      </c>
      <c r="E272" s="32">
        <f t="shared" si="27"/>
        <v>2.5600000000000001E-2</v>
      </c>
      <c r="F272" s="134">
        <f>G152</f>
        <v>0</v>
      </c>
      <c r="G272" s="135">
        <f>G271</f>
        <v>148</v>
      </c>
      <c r="H272" s="134">
        <f>ROUND(E272*G272*F272,2)</f>
        <v>0</v>
      </c>
      <c r="I272" s="136" t="s">
        <v>173</v>
      </c>
      <c r="N272" s="255"/>
      <c r="O272" s="255"/>
      <c r="P272" s="255"/>
    </row>
    <row r="273" spans="1:16" s="43" customFormat="1" ht="18" customHeight="1">
      <c r="A273" s="1"/>
      <c r="B273" s="48" t="s">
        <v>175</v>
      </c>
      <c r="C273" s="52"/>
      <c r="D273" s="50"/>
      <c r="E273" s="128"/>
      <c r="F273" s="50">
        <f>SUM(F270:F272)</f>
        <v>0</v>
      </c>
      <c r="G273" s="50"/>
      <c r="H273" s="52">
        <f>SUM(H270:H272)</f>
        <v>0</v>
      </c>
      <c r="I273" s="53">
        <f>ROUND((E270*F270+E271*F271+E272*F272),2)</f>
        <v>0</v>
      </c>
      <c r="N273" s="255"/>
      <c r="O273" s="255"/>
      <c r="P273" s="255"/>
    </row>
    <row r="274" spans="1:16" ht="18" customHeight="1">
      <c r="B274" s="124" t="str">
        <f>B272</f>
        <v>6单银Low-E+12A+6</v>
      </c>
      <c r="C274" s="133">
        <f t="shared" ref="C274:D279" si="49">D157-12</f>
        <v>-12</v>
      </c>
      <c r="D274" s="133">
        <f t="shared" si="49"/>
        <v>-12</v>
      </c>
      <c r="E274" s="32">
        <f t="shared" si="27"/>
        <v>1.44E-4</v>
      </c>
      <c r="F274" s="134">
        <f t="shared" ref="F274:F279" si="50">G157</f>
        <v>0</v>
      </c>
      <c r="G274" s="135">
        <f>G272</f>
        <v>148</v>
      </c>
      <c r="H274" s="134">
        <f t="shared" ref="H274:H279" si="51">ROUND(E274*G274*F274,2)</f>
        <v>0</v>
      </c>
      <c r="I274" s="136" t="s">
        <v>176</v>
      </c>
    </row>
    <row r="275" spans="1:16" ht="18" customHeight="1">
      <c r="B275" s="124" t="str">
        <f>B274</f>
        <v>6单银Low-E+12A+6</v>
      </c>
      <c r="C275" s="133">
        <f t="shared" si="49"/>
        <v>-12</v>
      </c>
      <c r="D275" s="133">
        <f t="shared" si="49"/>
        <v>-12</v>
      </c>
      <c r="E275" s="32">
        <f t="shared" si="27"/>
        <v>1.44E-4</v>
      </c>
      <c r="F275" s="134">
        <f t="shared" si="50"/>
        <v>0</v>
      </c>
      <c r="G275" s="135">
        <f>G274</f>
        <v>148</v>
      </c>
      <c r="H275" s="134">
        <f t="shared" si="51"/>
        <v>0</v>
      </c>
      <c r="I275" s="136" t="str">
        <f>I274</f>
        <v>门钢化中空玻璃</v>
      </c>
      <c r="K275" s="43" t="s">
        <v>177</v>
      </c>
    </row>
    <row r="276" spans="1:16" ht="18" customHeight="1">
      <c r="B276" s="124" t="str">
        <f>B275</f>
        <v>6单银Low-E+12A+6</v>
      </c>
      <c r="C276" s="133">
        <f t="shared" si="49"/>
        <v>-12</v>
      </c>
      <c r="D276" s="133">
        <f t="shared" si="49"/>
        <v>-12</v>
      </c>
      <c r="E276" s="32">
        <f t="shared" si="27"/>
        <v>1.44E-4</v>
      </c>
      <c r="F276" s="134">
        <f t="shared" si="50"/>
        <v>0</v>
      </c>
      <c r="G276" s="135">
        <f>G275</f>
        <v>148</v>
      </c>
      <c r="H276" s="134">
        <f t="shared" si="51"/>
        <v>0</v>
      </c>
      <c r="I276" s="136" t="str">
        <f>I275</f>
        <v>门钢化中空玻璃</v>
      </c>
    </row>
    <row r="277" spans="1:16" ht="18" customHeight="1">
      <c r="B277" s="124" t="str">
        <f>B276</f>
        <v>6单银Low-E+12A+6</v>
      </c>
      <c r="C277" s="133">
        <f t="shared" si="49"/>
        <v>-12</v>
      </c>
      <c r="D277" s="133">
        <f t="shared" si="49"/>
        <v>-12</v>
      </c>
      <c r="E277" s="32">
        <f t="shared" si="27"/>
        <v>1.44E-4</v>
      </c>
      <c r="F277" s="134">
        <f t="shared" si="50"/>
        <v>0</v>
      </c>
      <c r="G277" s="135">
        <f>G276</f>
        <v>148</v>
      </c>
      <c r="H277" s="134">
        <f t="shared" si="51"/>
        <v>0</v>
      </c>
      <c r="I277" s="136" t="str">
        <f>I276</f>
        <v>门钢化中空玻璃</v>
      </c>
    </row>
    <row r="278" spans="1:16" ht="18" customHeight="1">
      <c r="B278" s="124" t="str">
        <f>B277</f>
        <v>6单银Low-E+12A+6</v>
      </c>
      <c r="C278" s="133">
        <f t="shared" si="49"/>
        <v>-12</v>
      </c>
      <c r="D278" s="133">
        <f t="shared" si="49"/>
        <v>-12</v>
      </c>
      <c r="E278" s="32">
        <f t="shared" si="27"/>
        <v>1.44E-4</v>
      </c>
      <c r="F278" s="134">
        <f t="shared" si="50"/>
        <v>0</v>
      </c>
      <c r="G278" s="135">
        <f>G277</f>
        <v>148</v>
      </c>
      <c r="H278" s="134">
        <f t="shared" si="51"/>
        <v>0</v>
      </c>
      <c r="I278" s="136" t="str">
        <f>I277</f>
        <v>门钢化中空玻璃</v>
      </c>
    </row>
    <row r="279" spans="1:16" ht="18" customHeight="1">
      <c r="B279" s="124" t="str">
        <f>B278</f>
        <v>6单银Low-E+12A+6</v>
      </c>
      <c r="C279" s="133">
        <f t="shared" si="49"/>
        <v>-12</v>
      </c>
      <c r="D279" s="133">
        <f t="shared" si="49"/>
        <v>-12</v>
      </c>
      <c r="E279" s="32">
        <f t="shared" si="27"/>
        <v>1.44E-4</v>
      </c>
      <c r="F279" s="134">
        <f t="shared" si="50"/>
        <v>0</v>
      </c>
      <c r="G279" s="135">
        <f>G278</f>
        <v>148</v>
      </c>
      <c r="H279" s="134">
        <f t="shared" si="51"/>
        <v>0</v>
      </c>
      <c r="I279" s="136" t="str">
        <f>I278</f>
        <v>门钢化中空玻璃</v>
      </c>
    </row>
    <row r="280" spans="1:16" ht="18" customHeight="1">
      <c r="B280" s="48" t="s">
        <v>178</v>
      </c>
      <c r="C280" s="52"/>
      <c r="D280" s="50"/>
      <c r="E280" s="128"/>
      <c r="F280" s="50">
        <f>SUM(F274:F279)</f>
        <v>0</v>
      </c>
      <c r="G280" s="50"/>
      <c r="H280" s="52">
        <f>SUM(H274:H279)</f>
        <v>0</v>
      </c>
      <c r="I280" s="53">
        <f>ROUND(SUMPRODUCT(E274:E279*F274:F279),2)</f>
        <v>0</v>
      </c>
    </row>
    <row r="281" spans="1:16" ht="18" customHeight="1">
      <c r="B281" s="124" t="str">
        <f>材料价格!A10</f>
        <v>6单银Low-E+12A+6</v>
      </c>
      <c r="C281" s="133">
        <f>C252</f>
        <v>-12</v>
      </c>
      <c r="D281" s="133">
        <f>D252</f>
        <v>-12</v>
      </c>
      <c r="E281" s="32">
        <f t="shared" si="27"/>
        <v>1.44E-4</v>
      </c>
      <c r="F281" s="134"/>
      <c r="G281" s="137">
        <f>材料价格!B10</f>
        <v>148</v>
      </c>
      <c r="H281" s="134">
        <f>ROUND(E281*G281*F281,2)</f>
        <v>0</v>
      </c>
      <c r="I281" s="247" t="s">
        <v>179</v>
      </c>
    </row>
    <row r="282" spans="1:16" ht="18" customHeight="1">
      <c r="B282" s="124" t="str">
        <f>B281</f>
        <v>6单银Low-E+12A+6</v>
      </c>
      <c r="C282" s="133">
        <f>C253</f>
        <v>-12</v>
      </c>
      <c r="D282" s="133">
        <f>D253</f>
        <v>-12</v>
      </c>
      <c r="E282" s="32">
        <f t="shared" si="27"/>
        <v>1.44E-4</v>
      </c>
      <c r="F282" s="134"/>
      <c r="G282" s="135">
        <f>G281</f>
        <v>148</v>
      </c>
      <c r="H282" s="134">
        <f>ROUND(E282*G282*F282,2)</f>
        <v>0</v>
      </c>
      <c r="I282" s="247" t="s">
        <v>179</v>
      </c>
      <c r="J282" s="255"/>
      <c r="K282" s="255"/>
      <c r="L282" s="255"/>
      <c r="M282" s="255"/>
    </row>
    <row r="283" spans="1:16" ht="18" customHeight="1">
      <c r="B283" s="124" t="str">
        <f>B282</f>
        <v>6单银Low-E+12A+6</v>
      </c>
      <c r="C283" s="133">
        <f>D84-12</f>
        <v>-12</v>
      </c>
      <c r="D283" s="133">
        <f>E84-12</f>
        <v>-12</v>
      </c>
      <c r="E283" s="32">
        <f t="shared" si="27"/>
        <v>1.44E-4</v>
      </c>
      <c r="F283" s="134">
        <f>G84</f>
        <v>0</v>
      </c>
      <c r="G283" s="135">
        <f>G282</f>
        <v>148</v>
      </c>
      <c r="H283" s="134">
        <f>ROUND(E283*G283*F283,2)</f>
        <v>0</v>
      </c>
      <c r="I283" s="247" t="s">
        <v>179</v>
      </c>
      <c r="J283" s="255"/>
      <c r="K283" s="255"/>
      <c r="L283" s="255"/>
      <c r="M283" s="255"/>
    </row>
    <row r="284" spans="1:16" ht="18" customHeight="1">
      <c r="B284" s="124" t="str">
        <f>B283</f>
        <v>6单银Low-E+12A+6</v>
      </c>
      <c r="C284" s="133">
        <f>D85-12</f>
        <v>-12</v>
      </c>
      <c r="D284" s="133">
        <f>E85-12</f>
        <v>-12</v>
      </c>
      <c r="E284" s="32">
        <f t="shared" si="27"/>
        <v>1.44E-4</v>
      </c>
      <c r="F284" s="134">
        <f>G85</f>
        <v>0</v>
      </c>
      <c r="G284" s="135">
        <f>G283</f>
        <v>148</v>
      </c>
      <c r="H284" s="134">
        <f>ROUND(E284*G284*F284,2)</f>
        <v>0</v>
      </c>
      <c r="I284" s="247" t="s">
        <v>179</v>
      </c>
      <c r="J284" s="255"/>
      <c r="K284" s="255"/>
      <c r="L284" s="255"/>
      <c r="M284" s="255"/>
    </row>
    <row r="285" spans="1:16" ht="18" customHeight="1">
      <c r="B285" s="48" t="s">
        <v>180</v>
      </c>
      <c r="C285" s="52"/>
      <c r="D285" s="50"/>
      <c r="E285" s="50"/>
      <c r="F285" s="50">
        <f>SUM(F281:F284)</f>
        <v>0</v>
      </c>
      <c r="G285" s="50"/>
      <c r="H285" s="52">
        <f>SUM(H281:H284)</f>
        <v>0</v>
      </c>
      <c r="I285" s="53">
        <f>ROUND((E281*F281+E282*F282+E283*F283+E284*F284),2)</f>
        <v>0</v>
      </c>
      <c r="J285" s="255"/>
      <c r="K285" s="255"/>
      <c r="L285" s="255"/>
      <c r="M285" s="255"/>
    </row>
    <row r="286" spans="1:16" ht="18" customHeight="1">
      <c r="B286" s="124" t="str">
        <f>材料价格!A11</f>
        <v>8单银Low-E+12Ar+8+12A+8mm</v>
      </c>
      <c r="C286" s="133"/>
      <c r="D286" s="133"/>
      <c r="E286" s="32">
        <f>C286*D286/10^6</f>
        <v>0</v>
      </c>
      <c r="F286" s="134"/>
      <c r="G286" s="137">
        <f>材料价格!B11</f>
        <v>312</v>
      </c>
      <c r="H286" s="134">
        <f>ROUND(E286*G286*F286,2)</f>
        <v>0</v>
      </c>
      <c r="I286" s="247" t="s">
        <v>181</v>
      </c>
      <c r="J286" s="255"/>
      <c r="K286" s="255"/>
      <c r="L286" s="255"/>
      <c r="M286" s="255"/>
    </row>
    <row r="287" spans="1:16" ht="18" customHeight="1">
      <c r="B287" s="124" t="str">
        <f>B286</f>
        <v>8单银Low-E+12Ar+8+12A+8mm</v>
      </c>
      <c r="C287" s="133"/>
      <c r="D287" s="133"/>
      <c r="E287" s="32">
        <f>C287*D287/10^6</f>
        <v>0</v>
      </c>
      <c r="F287" s="134"/>
      <c r="G287" s="135">
        <f>G286</f>
        <v>312</v>
      </c>
      <c r="H287" s="134">
        <f>ROUND(E287*G287*F287,2)</f>
        <v>0</v>
      </c>
      <c r="I287" s="247" t="s">
        <v>181</v>
      </c>
      <c r="J287" s="255"/>
      <c r="K287" s="255"/>
      <c r="L287" s="255"/>
      <c r="M287" s="255"/>
    </row>
    <row r="288" spans="1:16" ht="18" customHeight="1">
      <c r="B288" s="138" t="str">
        <f>材料价格!A12</f>
        <v>10单银Low-E+12Ar+10+12A+10mm</v>
      </c>
      <c r="C288" s="139"/>
      <c r="D288" s="139"/>
      <c r="E288" s="140">
        <f>C288*D288/10^6</f>
        <v>0</v>
      </c>
      <c r="F288" s="141"/>
      <c r="G288" s="142">
        <f>材料价格!B12</f>
        <v>395</v>
      </c>
      <c r="H288" s="141">
        <f>ROUND(E288*G288*F288,2)</f>
        <v>0</v>
      </c>
      <c r="I288" s="143" t="s">
        <v>181</v>
      </c>
      <c r="J288" s="255"/>
      <c r="K288" s="255"/>
      <c r="L288" s="255"/>
      <c r="M288" s="255"/>
    </row>
    <row r="289" spans="2:13" ht="18" customHeight="1">
      <c r="B289" s="138" t="str">
        <f>B288</f>
        <v>10单银Low-E+12Ar+10+12A+10mm</v>
      </c>
      <c r="C289" s="139"/>
      <c r="D289" s="139"/>
      <c r="E289" s="140">
        <f>C289*D289/10^6</f>
        <v>0</v>
      </c>
      <c r="F289" s="141"/>
      <c r="G289" s="142">
        <f>G288</f>
        <v>395</v>
      </c>
      <c r="H289" s="141">
        <f>ROUND(E289*G289*F289,2)</f>
        <v>0</v>
      </c>
      <c r="I289" s="143" t="s">
        <v>181</v>
      </c>
      <c r="J289" s="255"/>
      <c r="K289" s="255"/>
      <c r="L289" s="255"/>
      <c r="M289" s="255"/>
    </row>
    <row r="290" spans="2:13" ht="18" customHeight="1">
      <c r="B290" s="48" t="s">
        <v>180</v>
      </c>
      <c r="C290" s="52"/>
      <c r="D290" s="50"/>
      <c r="E290" s="50"/>
      <c r="F290" s="50">
        <f>SUM(F286:F289)</f>
        <v>0</v>
      </c>
      <c r="G290" s="50"/>
      <c r="H290" s="52">
        <f>SUM(H286:H289)</f>
        <v>0</v>
      </c>
      <c r="I290" s="53">
        <f>ROUND((E286*F286+E287*F287+E288*F288+E289*F289),2)</f>
        <v>0</v>
      </c>
      <c r="J290" s="255"/>
      <c r="K290" s="255"/>
      <c r="L290" s="255"/>
      <c r="M290" s="255"/>
    </row>
    <row r="291" spans="2:13" ht="18" customHeight="1">
      <c r="B291" s="642" t="s">
        <v>182</v>
      </c>
      <c r="C291" s="144" t="s">
        <v>183</v>
      </c>
      <c r="D291" s="144" cm="1">
        <f t="array" ref="D291">SUMPRODUCT(E225:E232*F225:F232)+SUMPRODUCT(E243:E249*F243:F249)</f>
        <v>0.930176</v>
      </c>
      <c r="E291" s="144" t="s">
        <v>184</v>
      </c>
      <c r="F291" s="145">
        <f>F233+F250</f>
        <v>1</v>
      </c>
      <c r="G291" s="145" t="s">
        <v>185</v>
      </c>
      <c r="H291" s="144">
        <f>H233+H250</f>
        <v>137.66999999999999</v>
      </c>
      <c r="I291" s="146">
        <f>H291/F366</f>
        <v>26.495890990973649</v>
      </c>
      <c r="J291" s="255"/>
      <c r="K291" s="255"/>
      <c r="L291" s="255"/>
      <c r="M291" s="255"/>
    </row>
    <row r="292" spans="2:13" ht="18" customHeight="1">
      <c r="B292" s="642"/>
      <c r="C292" s="144" t="s">
        <v>186</v>
      </c>
      <c r="D292" s="144">
        <f>SUMPRODUCT(E234:E241*F234:F241)+SUMPRODUCT(E251:E257*F251:F257)+SUMPRODUCT(E259:E264*F259:F264)+SUMPRODUCT(E266:E268*F266:F268)+SUMPRODUCT(E270:E272*F270:F272)+SUMPRODUCT(E281:E284*F281:F284)+SUMPRODUCT(E286:E289*F286:F289)+SUMPRODUCT(E274:E279*F274:F279)</f>
        <v>2.77704</v>
      </c>
      <c r="E292" s="144" t="s">
        <v>186</v>
      </c>
      <c r="F292" s="145">
        <f>F242+F258+F265+F269+F273+F285+F290+F280</f>
        <v>2</v>
      </c>
      <c r="G292" s="145" t="s">
        <v>185</v>
      </c>
      <c r="H292" s="144">
        <f>H242+H258+H265+H269+H273+H280+H285+H290</f>
        <v>411</v>
      </c>
      <c r="I292" s="146">
        <f>H292/F366</f>
        <v>79.10082950018284</v>
      </c>
      <c r="J292" s="255"/>
      <c r="K292" s="255"/>
      <c r="L292" s="255"/>
      <c r="M292" s="255"/>
    </row>
    <row r="293" spans="2:13" ht="18" customHeight="1">
      <c r="B293" s="23" t="s">
        <v>187</v>
      </c>
      <c r="C293" s="252" t="s">
        <v>188</v>
      </c>
      <c r="D293" s="68" t="s">
        <v>189</v>
      </c>
      <c r="E293" s="252" t="s">
        <v>8</v>
      </c>
      <c r="F293" s="252" t="s">
        <v>190</v>
      </c>
      <c r="G293" s="252" t="s">
        <v>191</v>
      </c>
      <c r="H293" s="252" t="s">
        <v>160</v>
      </c>
      <c r="I293" s="25" t="s">
        <v>1</v>
      </c>
      <c r="J293" s="255"/>
      <c r="K293" s="255"/>
      <c r="L293" s="255"/>
      <c r="M293" s="255"/>
    </row>
    <row r="294" spans="2:13" ht="18" customHeight="1">
      <c r="B294" s="629" t="s">
        <v>192</v>
      </c>
      <c r="C294" s="253">
        <f>D26</f>
        <v>0</v>
      </c>
      <c r="D294" s="250"/>
      <c r="E294" s="250"/>
      <c r="F294" s="250" t="s">
        <v>193</v>
      </c>
      <c r="G294" s="108">
        <f>材料价格!B14</f>
        <v>153</v>
      </c>
      <c r="H294" s="147">
        <f>E294*G294</f>
        <v>0</v>
      </c>
      <c r="I294" s="632" t="s">
        <v>194</v>
      </c>
      <c r="J294" s="255"/>
      <c r="K294" s="255"/>
      <c r="L294" s="255"/>
      <c r="M294" s="255"/>
    </row>
    <row r="295" spans="2:13" ht="18" customHeight="1">
      <c r="B295" s="629"/>
      <c r="C295" s="253"/>
      <c r="D295" s="250"/>
      <c r="E295" s="250"/>
      <c r="F295" s="250"/>
      <c r="G295" s="108"/>
      <c r="H295" s="147">
        <f t="shared" ref="H295:H303" si="52">E295*G295</f>
        <v>0</v>
      </c>
      <c r="I295" s="633"/>
      <c r="J295" s="255"/>
      <c r="K295" s="255"/>
      <c r="L295" s="255"/>
      <c r="M295" s="255"/>
    </row>
    <row r="296" spans="2:13" ht="18" customHeight="1">
      <c r="B296" s="629" t="s">
        <v>195</v>
      </c>
      <c r="C296" s="253"/>
      <c r="D296" s="148"/>
      <c r="E296" s="250"/>
      <c r="F296" s="250" t="str">
        <f>F294</f>
        <v>坚朗</v>
      </c>
      <c r="G296" s="108">
        <f>材料价格!B15</f>
        <v>80</v>
      </c>
      <c r="H296" s="147">
        <f t="shared" si="52"/>
        <v>0</v>
      </c>
      <c r="I296" s="632" t="s">
        <v>196</v>
      </c>
      <c r="J296" s="255"/>
      <c r="K296" s="255"/>
      <c r="L296" s="255"/>
      <c r="M296" s="255"/>
    </row>
    <row r="297" spans="2:13" ht="18" customHeight="1">
      <c r="B297" s="629"/>
      <c r="C297" s="253"/>
      <c r="D297" s="148"/>
      <c r="E297" s="250"/>
      <c r="F297" s="250"/>
      <c r="G297" s="108"/>
      <c r="H297" s="147">
        <f t="shared" si="52"/>
        <v>0</v>
      </c>
      <c r="I297" s="633"/>
      <c r="J297" s="255"/>
      <c r="K297" s="255"/>
      <c r="L297" s="255"/>
      <c r="M297" s="255"/>
    </row>
    <row r="298" spans="2:13" ht="18" customHeight="1">
      <c r="B298" s="629" t="s">
        <v>197</v>
      </c>
      <c r="C298" s="253"/>
      <c r="D298" s="148"/>
      <c r="E298" s="250"/>
      <c r="F298" s="250" t="str">
        <f>F296</f>
        <v>坚朗</v>
      </c>
      <c r="G298" s="108">
        <f>材料价格!B16</f>
        <v>88</v>
      </c>
      <c r="H298" s="147">
        <f t="shared" si="52"/>
        <v>0</v>
      </c>
      <c r="I298" s="633"/>
      <c r="J298" s="255"/>
      <c r="K298" s="255"/>
      <c r="L298" s="255"/>
      <c r="M298" s="255"/>
    </row>
    <row r="299" spans="2:13" ht="18" customHeight="1">
      <c r="B299" s="629"/>
      <c r="C299" s="253"/>
      <c r="D299" s="148"/>
      <c r="E299" s="250"/>
      <c r="F299" s="250"/>
      <c r="G299" s="108"/>
      <c r="H299" s="147">
        <f t="shared" si="52"/>
        <v>0</v>
      </c>
      <c r="I299" s="633"/>
      <c r="J299" s="255"/>
      <c r="K299" s="255"/>
      <c r="L299" s="255"/>
      <c r="M299" s="255"/>
    </row>
    <row r="300" spans="2:13" ht="18" customHeight="1">
      <c r="B300" s="629" t="s">
        <v>198</v>
      </c>
      <c r="C300" s="253">
        <f>D35</f>
        <v>0</v>
      </c>
      <c r="D300" s="148"/>
      <c r="E300" s="250"/>
      <c r="F300" s="250" t="str">
        <f>F298</f>
        <v>坚朗</v>
      </c>
      <c r="G300" s="108">
        <f>材料价格!B17</f>
        <v>115</v>
      </c>
      <c r="H300" s="147">
        <f t="shared" si="52"/>
        <v>0</v>
      </c>
      <c r="I300" s="149"/>
      <c r="J300" s="255"/>
      <c r="K300" s="255"/>
      <c r="L300" s="255"/>
      <c r="M300" s="255"/>
    </row>
    <row r="301" spans="2:13" ht="18" customHeight="1">
      <c r="B301" s="629"/>
      <c r="C301" s="253"/>
      <c r="D301" s="148"/>
      <c r="E301" s="250"/>
      <c r="F301" s="250"/>
      <c r="G301" s="108"/>
      <c r="H301" s="147">
        <f t="shared" si="52"/>
        <v>0</v>
      </c>
      <c r="I301" s="149"/>
      <c r="J301" s="255"/>
      <c r="K301" s="255"/>
      <c r="L301" s="255"/>
      <c r="M301" s="255"/>
    </row>
    <row r="302" spans="2:13" ht="18" customHeight="1">
      <c r="B302" s="629" t="s">
        <v>199</v>
      </c>
      <c r="C302" s="250" t="s">
        <v>200</v>
      </c>
      <c r="D302" s="148"/>
      <c r="E302" s="250"/>
      <c r="F302" s="250" t="str">
        <f>F300</f>
        <v>坚朗</v>
      </c>
      <c r="G302" s="108">
        <f>材料价格!B19</f>
        <v>230</v>
      </c>
      <c r="H302" s="147">
        <f t="shared" si="52"/>
        <v>0</v>
      </c>
      <c r="I302" s="247"/>
      <c r="J302" s="255"/>
      <c r="K302" s="255"/>
      <c r="L302" s="255"/>
      <c r="M302" s="255"/>
    </row>
    <row r="303" spans="2:13" ht="18" customHeight="1">
      <c r="B303" s="629"/>
      <c r="C303" s="250" t="s">
        <v>201</v>
      </c>
      <c r="D303" s="148"/>
      <c r="E303" s="250">
        <v>1</v>
      </c>
      <c r="F303" s="250" t="str">
        <f>F302</f>
        <v>坚朗</v>
      </c>
      <c r="G303" s="108">
        <f>材料价格!B20</f>
        <v>335</v>
      </c>
      <c r="H303" s="147">
        <f t="shared" si="52"/>
        <v>335</v>
      </c>
      <c r="I303" s="247"/>
      <c r="J303" s="255"/>
      <c r="K303" s="255"/>
      <c r="L303" s="255"/>
      <c r="M303" s="255"/>
    </row>
    <row r="304" spans="2:13" ht="18" customHeight="1">
      <c r="B304" s="150" t="s">
        <v>202</v>
      </c>
      <c r="C304" s="50"/>
      <c r="D304" s="50"/>
      <c r="E304" s="50">
        <f>SUM(E294:E303)</f>
        <v>1</v>
      </c>
      <c r="F304" s="50"/>
      <c r="G304" s="166"/>
      <c r="H304" s="151">
        <f>SUM(H294:H303)</f>
        <v>335</v>
      </c>
      <c r="I304" s="152"/>
      <c r="J304" s="42"/>
    </row>
    <row r="305" spans="1:16" ht="18" customHeight="1">
      <c r="B305" s="246" t="s">
        <v>300</v>
      </c>
      <c r="C305" s="250"/>
      <c r="D305" s="148"/>
      <c r="E305" s="253">
        <f>E294+E296</f>
        <v>0</v>
      </c>
      <c r="F305" s="148"/>
      <c r="G305" s="148">
        <f>材料价格!B27</f>
        <v>0</v>
      </c>
      <c r="H305" s="154">
        <f>E305*G305</f>
        <v>0</v>
      </c>
      <c r="I305" s="247" t="s">
        <v>203</v>
      </c>
    </row>
    <row r="306" spans="1:16" s="16" customFormat="1" ht="18" customHeight="1">
      <c r="A306" s="1"/>
      <c r="B306" s="246" t="s">
        <v>204</v>
      </c>
      <c r="C306" s="250"/>
      <c r="D306" s="148"/>
      <c r="E306" s="253">
        <f>E298+E299+E300+E301</f>
        <v>0</v>
      </c>
      <c r="F306" s="148"/>
      <c r="G306" s="148">
        <f>材料价格!B28</f>
        <v>118</v>
      </c>
      <c r="H306" s="154">
        <f>E306*G306</f>
        <v>0</v>
      </c>
      <c r="I306" s="247" t="s">
        <v>205</v>
      </c>
      <c r="J306" s="43"/>
      <c r="K306" s="43"/>
      <c r="L306" s="43"/>
      <c r="M306" s="43"/>
      <c r="N306" s="255"/>
      <c r="O306" s="255"/>
      <c r="P306" s="255"/>
    </row>
    <row r="307" spans="1:16" s="16" customFormat="1" ht="18" customHeight="1">
      <c r="A307" s="1"/>
      <c r="B307" s="246" t="s">
        <v>206</v>
      </c>
      <c r="C307" s="250"/>
      <c r="D307" s="148"/>
      <c r="E307" s="253"/>
      <c r="F307" s="148"/>
      <c r="G307" s="148"/>
      <c r="H307" s="154">
        <f>E307*G307</f>
        <v>0</v>
      </c>
      <c r="I307" s="247" t="s">
        <v>207</v>
      </c>
      <c r="J307" s="43"/>
      <c r="K307" s="43"/>
      <c r="L307" s="43"/>
      <c r="M307" s="43"/>
      <c r="N307" s="255"/>
      <c r="O307" s="255"/>
      <c r="P307" s="255"/>
    </row>
    <row r="308" spans="1:16" s="16" customFormat="1" ht="18" customHeight="1">
      <c r="A308" s="1"/>
      <c r="B308" s="150" t="s">
        <v>208</v>
      </c>
      <c r="C308" s="50"/>
      <c r="D308" s="50"/>
      <c r="E308" s="100">
        <f>SUM(E305:E307)</f>
        <v>0</v>
      </c>
      <c r="F308" s="50"/>
      <c r="G308" s="166"/>
      <c r="H308" s="155">
        <f>SUM(H305:H307)</f>
        <v>0</v>
      </c>
      <c r="I308" s="152"/>
      <c r="J308" s="43"/>
      <c r="K308" s="43"/>
      <c r="L308" s="43"/>
      <c r="M308" s="43"/>
      <c r="N308" s="255"/>
      <c r="O308" s="255"/>
      <c r="P308" s="255"/>
    </row>
    <row r="309" spans="1:16" s="16" customFormat="1" ht="18" customHeight="1">
      <c r="A309" s="1"/>
      <c r="B309" s="156" t="s">
        <v>209</v>
      </c>
      <c r="C309" s="157">
        <f>ROUND(IF(D4&lt;=200,4,0)+IF(D4&gt;200,(D4/200+1))+IF(E4&lt;=200,4,0)+IF(E4&gt;200,(E4/200+1)),0)</f>
        <v>26</v>
      </c>
      <c r="D309" s="148"/>
      <c r="E309" s="148"/>
      <c r="F309" s="148"/>
      <c r="G309" s="158">
        <v>0.5</v>
      </c>
      <c r="H309" s="159">
        <f>ROUND(C309*G309,2)</f>
        <v>13</v>
      </c>
      <c r="I309" s="247" t="s">
        <v>210</v>
      </c>
      <c r="J309" s="43"/>
      <c r="K309" s="43"/>
      <c r="L309" s="43"/>
      <c r="M309" s="43"/>
      <c r="N309" s="255"/>
      <c r="O309" s="255"/>
      <c r="P309" s="255"/>
    </row>
    <row r="310" spans="1:16" s="16" customFormat="1" ht="18" customHeight="1">
      <c r="A310" s="1"/>
      <c r="B310" s="156" t="s">
        <v>211</v>
      </c>
      <c r="C310" s="157">
        <f>C309*2</f>
        <v>52</v>
      </c>
      <c r="D310" s="148">
        <f>D309*2</f>
        <v>0</v>
      </c>
      <c r="E310" s="148"/>
      <c r="F310" s="148"/>
      <c r="G310" s="158">
        <v>0.3</v>
      </c>
      <c r="H310" s="159">
        <f>ROUND(C310*G310,2)</f>
        <v>15.6</v>
      </c>
      <c r="I310" s="247" t="s">
        <v>212</v>
      </c>
      <c r="J310" s="43"/>
      <c r="K310" s="43"/>
      <c r="L310" s="255"/>
      <c r="M310" s="255"/>
      <c r="N310" s="255"/>
      <c r="O310" s="255"/>
      <c r="P310" s="255"/>
    </row>
    <row r="311" spans="1:16" s="16" customFormat="1" ht="18" customHeight="1">
      <c r="A311" s="1"/>
      <c r="B311" s="160" t="s">
        <v>213</v>
      </c>
      <c r="C311" s="161">
        <f>F6</f>
        <v>5.1504000000000003</v>
      </c>
      <c r="D311" s="162"/>
      <c r="E311" s="162"/>
      <c r="F311" s="162"/>
      <c r="G311" s="163">
        <v>5</v>
      </c>
      <c r="H311" s="159">
        <f>ROUND(C311*G311,2)</f>
        <v>25.75</v>
      </c>
      <c r="I311" s="247"/>
      <c r="J311" s="43"/>
      <c r="K311" s="43"/>
      <c r="L311" s="255"/>
      <c r="M311" s="255"/>
      <c r="N311" s="255"/>
      <c r="O311" s="255"/>
      <c r="P311" s="255"/>
    </row>
    <row r="312" spans="1:16" s="16" customFormat="1" ht="18" customHeight="1">
      <c r="A312" s="1"/>
      <c r="B312" s="160" t="s">
        <v>214</v>
      </c>
      <c r="C312" s="161"/>
      <c r="D312" s="162"/>
      <c r="E312" s="162"/>
      <c r="F312" s="162"/>
      <c r="G312" s="163"/>
      <c r="H312" s="159">
        <f>ROUND(C312*G312,2)</f>
        <v>0</v>
      </c>
      <c r="I312" s="247"/>
      <c r="J312" s="43"/>
      <c r="K312" s="43"/>
      <c r="L312" s="255"/>
      <c r="M312" s="255"/>
      <c r="N312" s="255"/>
      <c r="O312" s="255"/>
      <c r="P312" s="255"/>
    </row>
    <row r="313" spans="1:16" s="16" customFormat="1" ht="18" customHeight="1">
      <c r="A313" s="1"/>
      <c r="B313" s="164" t="s">
        <v>397</v>
      </c>
      <c r="C313" s="161">
        <f>D291+D292</f>
        <v>3.7072159999999998</v>
      </c>
      <c r="D313" s="162"/>
      <c r="E313" s="162"/>
      <c r="F313" s="162"/>
      <c r="G313" s="163">
        <f>10+5</f>
        <v>15</v>
      </c>
      <c r="H313" s="159">
        <f>ROUND(C313*G313,2)</f>
        <v>55.61</v>
      </c>
      <c r="I313" s="247"/>
      <c r="J313" s="43"/>
      <c r="K313" s="43"/>
      <c r="L313" s="255"/>
      <c r="M313" s="255"/>
      <c r="N313" s="255"/>
      <c r="O313" s="255"/>
      <c r="P313" s="255"/>
    </row>
    <row r="314" spans="1:16" s="16" customFormat="1" ht="18" customHeight="1">
      <c r="A314" s="1"/>
      <c r="B314" s="150" t="s">
        <v>215</v>
      </c>
      <c r="C314" s="165"/>
      <c r="D314" s="50"/>
      <c r="E314" s="50"/>
      <c r="F314" s="50"/>
      <c r="G314" s="166"/>
      <c r="H314" s="155">
        <f>SUM(H309:H313)</f>
        <v>109.96000000000001</v>
      </c>
      <c r="I314" s="152"/>
      <c r="J314" s="43"/>
      <c r="K314" s="43"/>
      <c r="L314" s="255"/>
      <c r="M314" s="255"/>
      <c r="N314" s="255"/>
      <c r="O314" s="255"/>
      <c r="P314" s="255"/>
    </row>
    <row r="315" spans="1:16" s="16" customFormat="1" ht="18" customHeight="1">
      <c r="A315" s="1"/>
      <c r="B315" s="156" t="s">
        <v>216</v>
      </c>
      <c r="C315" s="167">
        <f>E203+E205+E207+I203+I205+E209+I207</f>
        <v>16</v>
      </c>
      <c r="D315" s="148"/>
      <c r="E315" s="148"/>
      <c r="F315" s="148"/>
      <c r="G315" s="168">
        <v>1.9</v>
      </c>
      <c r="H315" s="154">
        <f t="shared" ref="H315:H318" si="53">ROUND(C315*G315,2)</f>
        <v>30.4</v>
      </c>
      <c r="I315" s="224" t="s">
        <v>340</v>
      </c>
      <c r="J315" s="255"/>
      <c r="K315" s="43"/>
      <c r="L315" s="255"/>
      <c r="M315" s="255"/>
      <c r="N315" s="255"/>
      <c r="O315" s="255"/>
      <c r="P315" s="255"/>
    </row>
    <row r="316" spans="1:16" s="16" customFormat="1" ht="18" customHeight="1">
      <c r="A316" s="1"/>
      <c r="B316" s="156" t="s">
        <v>217</v>
      </c>
      <c r="C316" s="167">
        <f>ROUND((D4+E4)*2/1000,2)</f>
        <v>9.4</v>
      </c>
      <c r="D316" s="148"/>
      <c r="E316" s="238">
        <v>4</v>
      </c>
      <c r="F316" s="235">
        <f>材料价格!B25</f>
        <v>8.52</v>
      </c>
      <c r="G316" s="168">
        <f t="shared" ref="G316:G321" si="54">F316/E316</f>
        <v>2.13</v>
      </c>
      <c r="H316" s="154">
        <f t="shared" si="53"/>
        <v>20.02</v>
      </c>
      <c r="I316" s="169" t="s">
        <v>218</v>
      </c>
      <c r="J316" s="255"/>
      <c r="K316" s="43"/>
      <c r="L316" s="255"/>
      <c r="M316" s="255"/>
      <c r="N316" s="255"/>
      <c r="O316" s="255"/>
      <c r="P316" s="255"/>
    </row>
    <row r="317" spans="1:16" s="16" customFormat="1" ht="18" customHeight="1">
      <c r="A317" s="1"/>
      <c r="B317" s="156" t="s">
        <v>219</v>
      </c>
      <c r="C317" s="167">
        <f>C316</f>
        <v>9.4</v>
      </c>
      <c r="D317" s="148"/>
      <c r="E317" s="238">
        <v>3</v>
      </c>
      <c r="F317" s="235">
        <f>F316</f>
        <v>8.52</v>
      </c>
      <c r="G317" s="168">
        <f t="shared" si="54"/>
        <v>2.84</v>
      </c>
      <c r="H317" s="154">
        <f t="shared" si="53"/>
        <v>26.7</v>
      </c>
      <c r="I317" s="169" t="s">
        <v>220</v>
      </c>
      <c r="J317" s="255"/>
      <c r="K317" s="43"/>
      <c r="L317" s="255"/>
      <c r="M317" s="255"/>
      <c r="N317" s="255"/>
      <c r="O317" s="255"/>
      <c r="P317" s="255"/>
    </row>
    <row r="318" spans="1:16" s="16" customFormat="1" ht="18" customHeight="1">
      <c r="A318" s="1"/>
      <c r="B318" s="156" t="s">
        <v>221</v>
      </c>
      <c r="C318" s="167">
        <f>C316</f>
        <v>9.4</v>
      </c>
      <c r="D318" s="148"/>
      <c r="E318" s="238">
        <v>6.5</v>
      </c>
      <c r="F318" s="235">
        <f>材料价格!B26</f>
        <v>23</v>
      </c>
      <c r="G318" s="168">
        <f t="shared" si="54"/>
        <v>3.5384615384615383</v>
      </c>
      <c r="H318" s="154">
        <f t="shared" si="53"/>
        <v>33.26</v>
      </c>
      <c r="I318" s="224" t="s">
        <v>222</v>
      </c>
      <c r="J318" s="255"/>
      <c r="K318" s="43"/>
      <c r="L318" s="255"/>
      <c r="M318" s="255"/>
      <c r="N318" s="255"/>
      <c r="O318" s="255"/>
      <c r="P318" s="255"/>
    </row>
    <row r="319" spans="1:16" s="16" customFormat="1" ht="18" customHeight="1">
      <c r="A319" s="1"/>
      <c r="B319" s="156" t="s">
        <v>341</v>
      </c>
      <c r="C319" s="167">
        <f>ROUND((C97+C104+C88+C146+C153+C163)*1,2)</f>
        <v>16.36</v>
      </c>
      <c r="D319" s="77">
        <v>1</v>
      </c>
      <c r="E319" s="238">
        <f>10</f>
        <v>10</v>
      </c>
      <c r="F319" s="235">
        <f>F317</f>
        <v>8.52</v>
      </c>
      <c r="G319" s="168">
        <f>F319/E319</f>
        <v>0.85199999999999998</v>
      </c>
      <c r="H319" s="154">
        <f>ROUND(C319*G319,2)</f>
        <v>13.94</v>
      </c>
      <c r="I319" s="247" t="s">
        <v>223</v>
      </c>
      <c r="J319" s="255"/>
      <c r="K319" s="43"/>
      <c r="L319" s="255"/>
      <c r="M319" s="255"/>
      <c r="N319" s="255"/>
      <c r="O319" s="255"/>
      <c r="P319" s="255"/>
    </row>
    <row r="320" spans="1:16" s="16" customFormat="1" ht="18" customHeight="1">
      <c r="A320" s="1"/>
      <c r="B320" s="156" t="s">
        <v>342</v>
      </c>
      <c r="C320" s="167">
        <f>C319</f>
        <v>16.36</v>
      </c>
      <c r="D320" s="77">
        <v>1</v>
      </c>
      <c r="E320" s="238">
        <v>6</v>
      </c>
      <c r="F320" s="235">
        <f>F319</f>
        <v>8.52</v>
      </c>
      <c r="G320" s="168">
        <f t="shared" si="54"/>
        <v>1.42</v>
      </c>
      <c r="H320" s="154">
        <f>ROUND(C320*G320,2)</f>
        <v>23.23</v>
      </c>
      <c r="I320" s="247" t="s">
        <v>224</v>
      </c>
      <c r="J320" s="255"/>
      <c r="K320" s="170"/>
      <c r="L320" s="170"/>
      <c r="M320" s="170"/>
      <c r="N320" s="170"/>
      <c r="O320" s="170"/>
      <c r="P320" s="170"/>
    </row>
    <row r="321" spans="1:16" s="16" customFormat="1" ht="18" customHeight="1">
      <c r="A321" s="1"/>
      <c r="B321" s="156" t="s">
        <v>225</v>
      </c>
      <c r="C321" s="167">
        <f>C334*D334+C324*D324+C327*D327</f>
        <v>0.72799999999999998</v>
      </c>
      <c r="D321" s="77">
        <v>1</v>
      </c>
      <c r="E321" s="238">
        <f>10</f>
        <v>10</v>
      </c>
      <c r="F321" s="235">
        <f>F317</f>
        <v>8.52</v>
      </c>
      <c r="G321" s="168">
        <f t="shared" si="54"/>
        <v>0.85199999999999998</v>
      </c>
      <c r="H321" s="154">
        <f>ROUND(C321*G321,2)</f>
        <v>0.62</v>
      </c>
      <c r="I321" s="247" t="s">
        <v>226</v>
      </c>
      <c r="J321" s="255"/>
      <c r="K321" s="170"/>
      <c r="L321" s="170"/>
      <c r="M321" s="170"/>
      <c r="N321" s="170"/>
      <c r="O321" s="170"/>
      <c r="P321" s="170"/>
    </row>
    <row r="322" spans="1:16" s="16" customFormat="1" ht="18" customHeight="1">
      <c r="A322" s="1"/>
      <c r="B322" s="150" t="s">
        <v>227</v>
      </c>
      <c r="C322" s="165"/>
      <c r="D322" s="50"/>
      <c r="E322" s="50"/>
      <c r="F322" s="50"/>
      <c r="G322" s="166" t="s">
        <v>396</v>
      </c>
      <c r="H322" s="155">
        <f>SUM(H315:H321)</f>
        <v>148.16999999999999</v>
      </c>
      <c r="I322" s="152"/>
      <c r="J322" s="244" t="s">
        <v>399</v>
      </c>
      <c r="K322" s="245" t="s">
        <v>379</v>
      </c>
      <c r="L322" s="170"/>
      <c r="M322" s="170"/>
      <c r="N322" s="170"/>
      <c r="O322" s="170"/>
      <c r="P322" s="170"/>
    </row>
    <row r="323" spans="1:16" s="16" customFormat="1" ht="18" customHeight="1">
      <c r="A323" s="1"/>
      <c r="B323" s="156" t="s">
        <v>356</v>
      </c>
      <c r="C323" s="167">
        <f>C31</f>
        <v>0</v>
      </c>
      <c r="D323" s="239">
        <v>1</v>
      </c>
      <c r="E323" s="148"/>
      <c r="F323" s="148"/>
      <c r="G323" s="236">
        <f>0.45+0.85</f>
        <v>1.3</v>
      </c>
      <c r="H323" s="154">
        <f>ROUND(C323*D323*G323,2)</f>
        <v>0</v>
      </c>
      <c r="I323" s="247" t="s">
        <v>345</v>
      </c>
      <c r="J323" s="244">
        <v>1.76</v>
      </c>
      <c r="K323" s="245" t="s">
        <v>400</v>
      </c>
      <c r="L323" s="170"/>
      <c r="M323" s="171"/>
      <c r="N323" s="170"/>
      <c r="O323" s="170"/>
      <c r="P323" s="170"/>
    </row>
    <row r="324" spans="1:16" s="16" customFormat="1" ht="18" customHeight="1">
      <c r="A324" s="1"/>
      <c r="B324" s="156" t="s">
        <v>347</v>
      </c>
      <c r="C324" s="167">
        <f>C323</f>
        <v>0</v>
      </c>
      <c r="D324" s="239">
        <v>1</v>
      </c>
      <c r="E324" s="148"/>
      <c r="F324" s="148"/>
      <c r="G324" s="236">
        <v>6.89</v>
      </c>
      <c r="H324" s="154">
        <f t="shared" ref="H324:H329" si="55">ROUND(C324*D324*G324,2)</f>
        <v>0</v>
      </c>
      <c r="I324" s="247" t="s">
        <v>346</v>
      </c>
      <c r="J324" s="244">
        <v>12.25</v>
      </c>
      <c r="K324" s="245" t="s">
        <v>376</v>
      </c>
      <c r="L324" s="170"/>
      <c r="M324" s="171"/>
      <c r="N324" s="170"/>
      <c r="O324" s="170"/>
      <c r="P324" s="170"/>
    </row>
    <row r="325" spans="1:16" s="16" customFormat="1" ht="18" customHeight="1">
      <c r="A325" s="1"/>
      <c r="B325" s="156" t="s">
        <v>357</v>
      </c>
      <c r="C325" s="167">
        <f>C38</f>
        <v>0</v>
      </c>
      <c r="D325" s="239">
        <v>1</v>
      </c>
      <c r="E325" s="148"/>
      <c r="F325" s="148"/>
      <c r="G325" s="236">
        <f>0.85+0.61</f>
        <v>1.46</v>
      </c>
      <c r="H325" s="154">
        <f t="shared" si="55"/>
        <v>0</v>
      </c>
      <c r="I325" s="247" t="s">
        <v>354</v>
      </c>
      <c r="J325" s="244">
        <v>1.76</v>
      </c>
      <c r="K325" s="245" t="s">
        <v>378</v>
      </c>
      <c r="L325" s="170"/>
      <c r="M325" s="171"/>
      <c r="N325" s="170"/>
      <c r="O325" s="170"/>
      <c r="P325" s="170"/>
    </row>
    <row r="326" spans="1:16" s="16" customFormat="1" ht="18" customHeight="1">
      <c r="A326" s="1"/>
      <c r="B326" s="156" t="s">
        <v>355</v>
      </c>
      <c r="C326" s="167">
        <f>C325</f>
        <v>0</v>
      </c>
      <c r="D326" s="239">
        <v>1</v>
      </c>
      <c r="E326" s="148"/>
      <c r="F326" s="148"/>
      <c r="G326" s="236">
        <v>3.27</v>
      </c>
      <c r="H326" s="154">
        <f>ROUND(C326*D326*G326,2)</f>
        <v>0</v>
      </c>
      <c r="I326" s="247" t="s">
        <v>358</v>
      </c>
      <c r="J326" s="244">
        <v>3.27</v>
      </c>
      <c r="K326" s="245" t="s">
        <v>358</v>
      </c>
      <c r="L326" s="170"/>
      <c r="M326" s="171"/>
      <c r="N326" s="170"/>
      <c r="O326" s="170"/>
      <c r="P326" s="170"/>
    </row>
    <row r="327" spans="1:16" s="16" customFormat="1" ht="18" customHeight="1">
      <c r="A327" s="1"/>
      <c r="B327" s="156" t="s">
        <v>228</v>
      </c>
      <c r="C327" s="167">
        <f>C126</f>
        <v>0</v>
      </c>
      <c r="D327" s="239">
        <v>1</v>
      </c>
      <c r="E327" s="110"/>
      <c r="F327" s="148"/>
      <c r="G327" s="236">
        <v>6.89</v>
      </c>
      <c r="H327" s="154">
        <f t="shared" si="55"/>
        <v>0</v>
      </c>
      <c r="I327" s="247" t="s">
        <v>346</v>
      </c>
      <c r="J327" s="244">
        <v>12.25</v>
      </c>
      <c r="K327" s="245" t="s">
        <v>346</v>
      </c>
      <c r="L327" s="170"/>
      <c r="M327" s="171"/>
      <c r="N327" s="170"/>
      <c r="O327" s="170"/>
      <c r="P327" s="170"/>
    </row>
    <row r="328" spans="1:16" s="16" customFormat="1" ht="18" customHeight="1">
      <c r="A328" s="1"/>
      <c r="B328" s="156" t="s">
        <v>229</v>
      </c>
      <c r="C328" s="167">
        <f>C327</f>
        <v>0</v>
      </c>
      <c r="D328" s="239">
        <v>1</v>
      </c>
      <c r="E328" s="110"/>
      <c r="F328" s="148"/>
      <c r="G328" s="236">
        <f>G3233</f>
        <v>0</v>
      </c>
      <c r="H328" s="154">
        <f t="shared" si="55"/>
        <v>0</v>
      </c>
      <c r="I328" s="247" t="s">
        <v>345</v>
      </c>
      <c r="J328" s="244">
        <v>0</v>
      </c>
      <c r="K328" s="245" t="s">
        <v>400</v>
      </c>
      <c r="L328" s="170"/>
      <c r="M328" s="171"/>
      <c r="N328" s="170"/>
      <c r="O328" s="170"/>
      <c r="P328" s="170"/>
    </row>
    <row r="329" spans="1:16" s="16" customFormat="1" ht="18" customHeight="1">
      <c r="A329" s="1"/>
      <c r="B329" s="156" t="s">
        <v>230</v>
      </c>
      <c r="C329" s="167">
        <f>C119</f>
        <v>12.244</v>
      </c>
      <c r="D329" s="239">
        <v>1</v>
      </c>
      <c r="E329" s="148"/>
      <c r="F329" s="148"/>
      <c r="G329" s="236">
        <f>G3253</f>
        <v>0</v>
      </c>
      <c r="H329" s="154">
        <f t="shared" si="55"/>
        <v>0</v>
      </c>
      <c r="I329" s="247" t="s">
        <v>354</v>
      </c>
      <c r="J329" s="244">
        <v>0</v>
      </c>
      <c r="K329" s="245" t="s">
        <v>378</v>
      </c>
      <c r="L329" s="170"/>
      <c r="M329" s="171"/>
      <c r="N329" s="170"/>
      <c r="O329" s="170"/>
      <c r="P329" s="170"/>
    </row>
    <row r="330" spans="1:16" s="16" customFormat="1" ht="18" customHeight="1">
      <c r="A330" s="1"/>
      <c r="B330" s="156" t="s">
        <v>362</v>
      </c>
      <c r="C330" s="167">
        <f>C329</f>
        <v>12.244</v>
      </c>
      <c r="D330" s="239">
        <v>1</v>
      </c>
      <c r="E330" s="148"/>
      <c r="F330" s="148"/>
      <c r="G330" s="236">
        <v>3.27</v>
      </c>
      <c r="H330" s="154">
        <f>ROUND(C330*D330*G330,2)</f>
        <v>40.04</v>
      </c>
      <c r="I330" s="247" t="s">
        <v>358</v>
      </c>
      <c r="J330" s="244">
        <v>3.27</v>
      </c>
      <c r="K330" s="245" t="s">
        <v>358</v>
      </c>
      <c r="L330" s="170"/>
      <c r="M330" s="171"/>
      <c r="N330" s="170"/>
      <c r="O330" s="170"/>
      <c r="P330" s="170"/>
    </row>
    <row r="331" spans="1:16" s="16" customFormat="1" ht="18" customHeight="1">
      <c r="A331" s="1"/>
      <c r="B331" s="156" t="s">
        <v>343</v>
      </c>
      <c r="C331" s="167">
        <f>C319</f>
        <v>16.36</v>
      </c>
      <c r="D331" s="239">
        <v>1</v>
      </c>
      <c r="E331" s="148"/>
      <c r="F331" s="148"/>
      <c r="G331" s="236">
        <v>1.25</v>
      </c>
      <c r="H331" s="154">
        <f>C331*D331*G331</f>
        <v>20.45</v>
      </c>
      <c r="I331" s="247" t="s">
        <v>344</v>
      </c>
      <c r="J331" s="244">
        <v>1.25</v>
      </c>
      <c r="K331" s="245" t="s">
        <v>344</v>
      </c>
      <c r="L331" s="170"/>
      <c r="M331" s="171"/>
      <c r="N331" s="170"/>
      <c r="O331" s="170"/>
      <c r="P331" s="170"/>
    </row>
    <row r="332" spans="1:16" s="16" customFormat="1" ht="18" customHeight="1">
      <c r="A332" s="1"/>
      <c r="B332" s="156" t="s">
        <v>350</v>
      </c>
      <c r="C332" s="167" cm="1">
        <f t="array" ref="C332">SUMPRODUCT(D26:D30*G26:G30)/1000</f>
        <v>0</v>
      </c>
      <c r="D332" s="239">
        <v>1</v>
      </c>
      <c r="E332" s="148"/>
      <c r="F332" s="148"/>
      <c r="G332" s="236">
        <v>0.41</v>
      </c>
      <c r="H332" s="154">
        <f>C332*D332*G332</f>
        <v>0</v>
      </c>
      <c r="I332" s="247" t="s">
        <v>348</v>
      </c>
      <c r="J332" s="244">
        <v>0.41</v>
      </c>
      <c r="K332" s="245" t="s">
        <v>348</v>
      </c>
      <c r="L332" s="170"/>
      <c r="M332" s="171"/>
      <c r="N332" s="170"/>
      <c r="O332" s="170"/>
      <c r="P332" s="170"/>
    </row>
    <row r="333" spans="1:16" s="16" customFormat="1" ht="18" customHeight="1">
      <c r="A333" s="1"/>
      <c r="B333" s="156" t="s">
        <v>349</v>
      </c>
      <c r="C333" s="167">
        <f>C88+C97+C104+C153+C163+C146</f>
        <v>16.364000000000001</v>
      </c>
      <c r="D333" s="239">
        <v>1</v>
      </c>
      <c r="E333" s="148"/>
      <c r="F333" s="148"/>
      <c r="G333" s="236">
        <v>0.49</v>
      </c>
      <c r="H333" s="154">
        <f>C333*D333*G333</f>
        <v>8.0183599999999995</v>
      </c>
      <c r="I333" s="247" t="s">
        <v>351</v>
      </c>
      <c r="J333" s="244">
        <v>0.49</v>
      </c>
      <c r="K333" s="245" t="s">
        <v>351</v>
      </c>
      <c r="L333" s="170"/>
      <c r="M333" s="171"/>
      <c r="N333" s="170"/>
      <c r="O333" s="170"/>
      <c r="P333" s="170"/>
    </row>
    <row r="334" spans="1:16" s="16" customFormat="1" ht="18" customHeight="1">
      <c r="A334" s="1"/>
      <c r="B334" s="156" t="s">
        <v>353</v>
      </c>
      <c r="C334" s="167">
        <f t="array" ref="C334">SUMPRODUCT(D157:D162*G157:G162)/1000+SUM(G157:G162)*0.3+SUMPRODUCT(D68:D87*G68:G87)/1000+SUM(G68:G87)*0.3</f>
        <v>0.72799999999999998</v>
      </c>
      <c r="D334" s="239">
        <v>1</v>
      </c>
      <c r="E334" s="148"/>
      <c r="F334" s="148"/>
      <c r="G334" s="237">
        <v>5.36</v>
      </c>
      <c r="H334" s="154">
        <f>C334*G334</f>
        <v>3.9020800000000002</v>
      </c>
      <c r="I334" s="247" t="s">
        <v>352</v>
      </c>
      <c r="J334" s="244">
        <v>9.5500000000000007</v>
      </c>
      <c r="K334" s="245" t="s">
        <v>377</v>
      </c>
      <c r="L334" s="170"/>
      <c r="M334" s="171"/>
      <c r="N334" s="170"/>
      <c r="O334" s="170"/>
      <c r="P334" s="170"/>
    </row>
    <row r="335" spans="1:16" s="16" customFormat="1" ht="18" customHeight="1">
      <c r="A335" s="1"/>
      <c r="B335" s="156" t="s">
        <v>364</v>
      </c>
      <c r="C335" s="167">
        <f>C319</f>
        <v>16.36</v>
      </c>
      <c r="D335" s="239">
        <v>1</v>
      </c>
      <c r="E335" s="148"/>
      <c r="F335" s="148"/>
      <c r="G335" s="237">
        <v>1.25</v>
      </c>
      <c r="H335" s="154"/>
      <c r="I335" s="149" t="s">
        <v>363</v>
      </c>
      <c r="J335" s="244">
        <v>1.25</v>
      </c>
      <c r="K335" s="245" t="s">
        <v>363</v>
      </c>
      <c r="L335" s="170"/>
      <c r="M335" s="171"/>
      <c r="N335" s="170"/>
      <c r="O335" s="170"/>
      <c r="P335" s="170"/>
    </row>
    <row r="336" spans="1:16" s="16" customFormat="1" ht="18" customHeight="1">
      <c r="A336" s="1"/>
      <c r="B336" s="156" t="s">
        <v>365</v>
      </c>
      <c r="C336" s="167">
        <f>C320</f>
        <v>16.36</v>
      </c>
      <c r="D336" s="239">
        <v>1</v>
      </c>
      <c r="E336" s="148"/>
      <c r="F336" s="148"/>
      <c r="G336" s="237">
        <v>1.63</v>
      </c>
      <c r="H336" s="154"/>
      <c r="I336" s="149" t="s">
        <v>363</v>
      </c>
      <c r="J336" s="244">
        <v>1.63</v>
      </c>
      <c r="K336" s="245" t="s">
        <v>363</v>
      </c>
      <c r="L336" s="170"/>
      <c r="M336" s="171"/>
      <c r="N336" s="170"/>
      <c r="O336" s="170"/>
      <c r="P336" s="170"/>
    </row>
    <row r="337" spans="1:16" s="16" customFormat="1" ht="18" customHeight="1">
      <c r="A337" s="1"/>
      <c r="B337" s="150" t="s">
        <v>231</v>
      </c>
      <c r="C337" s="165"/>
      <c r="D337" s="50"/>
      <c r="E337" s="50"/>
      <c r="F337" s="50"/>
      <c r="G337" s="166"/>
      <c r="H337" s="155">
        <f>SUM(H323:H336)*1.05</f>
        <v>76.030962000000002</v>
      </c>
      <c r="I337" s="152"/>
      <c r="J337" s="172"/>
      <c r="K337" s="170"/>
      <c r="L337" s="170"/>
      <c r="M337" s="170"/>
      <c r="N337" s="170"/>
      <c r="O337" s="170"/>
      <c r="P337" s="170"/>
    </row>
    <row r="338" spans="1:16" s="16" customFormat="1" ht="18" customHeight="1">
      <c r="A338" s="1"/>
      <c r="B338" s="173" t="s">
        <v>366</v>
      </c>
      <c r="C338" s="174">
        <f>F250+F258+F265+F280+F285+F290</f>
        <v>1</v>
      </c>
      <c r="D338" s="175">
        <v>2</v>
      </c>
      <c r="E338" s="176"/>
      <c r="F338" s="176"/>
      <c r="G338" s="240">
        <v>0.5</v>
      </c>
      <c r="H338" s="177">
        <f t="shared" ref="H338:H343" si="56">D338*G338*C338</f>
        <v>1</v>
      </c>
      <c r="I338" s="178" t="s">
        <v>233</v>
      </c>
      <c r="J338" s="172"/>
      <c r="K338" s="170"/>
      <c r="L338" s="170"/>
      <c r="M338" s="170"/>
      <c r="N338" s="170"/>
      <c r="O338" s="170"/>
      <c r="P338" s="170"/>
    </row>
    <row r="339" spans="1:16" s="16" customFormat="1" ht="18" customHeight="1">
      <c r="A339" s="1"/>
      <c r="B339" s="173" t="s">
        <v>367</v>
      </c>
      <c r="C339" s="174">
        <f>F233+F242+F269+F273</f>
        <v>2</v>
      </c>
      <c r="D339" s="175">
        <v>4</v>
      </c>
      <c r="E339" s="176"/>
      <c r="F339" s="176"/>
      <c r="G339" s="240">
        <v>0.63</v>
      </c>
      <c r="H339" s="177">
        <f t="shared" si="56"/>
        <v>5.04</v>
      </c>
      <c r="I339" s="178" t="s">
        <v>234</v>
      </c>
      <c r="J339" s="172"/>
      <c r="K339" s="170"/>
      <c r="L339" s="170"/>
      <c r="M339" s="170"/>
      <c r="N339" s="170"/>
      <c r="O339" s="170"/>
      <c r="P339" s="170"/>
    </row>
    <row r="340" spans="1:16" s="16" customFormat="1" ht="18" customHeight="1">
      <c r="A340" s="1"/>
      <c r="B340" s="173" t="s">
        <v>366</v>
      </c>
      <c r="C340" s="174">
        <f>SUM(G157:G162)</f>
        <v>0</v>
      </c>
      <c r="D340" s="175">
        <f>IF(E113&gt;2200,2,0)</f>
        <v>0</v>
      </c>
      <c r="E340" s="176"/>
      <c r="F340" s="176"/>
      <c r="G340" s="240">
        <v>0.5</v>
      </c>
      <c r="H340" s="177">
        <f t="shared" si="56"/>
        <v>0</v>
      </c>
      <c r="I340" s="178" t="s">
        <v>235</v>
      </c>
      <c r="J340" s="172"/>
      <c r="K340" s="170"/>
      <c r="L340" s="170"/>
      <c r="M340" s="170"/>
      <c r="N340" s="170"/>
      <c r="O340" s="170"/>
      <c r="P340" s="170"/>
    </row>
    <row r="341" spans="1:16" s="16" customFormat="1" ht="18" customHeight="1">
      <c r="A341" s="1"/>
      <c r="B341" s="173" t="s">
        <v>367</v>
      </c>
      <c r="C341" s="174">
        <f>SUM(G116:G118)</f>
        <v>2</v>
      </c>
      <c r="D341" s="175">
        <v>4</v>
      </c>
      <c r="E341" s="176"/>
      <c r="F341" s="176"/>
      <c r="G341" s="240">
        <v>0.63</v>
      </c>
      <c r="H341" s="177">
        <f t="shared" si="56"/>
        <v>5.04</v>
      </c>
      <c r="I341" s="178" t="s">
        <v>236</v>
      </c>
      <c r="J341" s="172"/>
      <c r="K341" s="170"/>
      <c r="L341" s="170"/>
      <c r="M341" s="170"/>
      <c r="N341" s="170"/>
      <c r="O341" s="170"/>
      <c r="P341" s="170"/>
    </row>
    <row r="342" spans="1:16" ht="18" customHeight="1">
      <c r="B342" s="173" t="s">
        <v>237</v>
      </c>
      <c r="C342" s="174">
        <v>1</v>
      </c>
      <c r="D342" s="175">
        <f>(F291+F292)*10</f>
        <v>30</v>
      </c>
      <c r="E342" s="176"/>
      <c r="F342" s="176"/>
      <c r="G342" s="240">
        <v>0.37</v>
      </c>
      <c r="H342" s="177">
        <f t="shared" si="56"/>
        <v>11.1</v>
      </c>
      <c r="I342" s="178"/>
      <c r="J342" s="172"/>
      <c r="K342" s="172"/>
      <c r="L342" s="172"/>
      <c r="N342" s="43"/>
    </row>
    <row r="343" spans="1:16" ht="18" customHeight="1">
      <c r="B343" s="173" t="s">
        <v>232</v>
      </c>
      <c r="C343" s="174">
        <f>C338</f>
        <v>1</v>
      </c>
      <c r="D343" s="175">
        <v>0</v>
      </c>
      <c r="E343" s="176"/>
      <c r="F343" s="176"/>
      <c r="G343" s="240">
        <v>0.49</v>
      </c>
      <c r="H343" s="177">
        <f t="shared" si="56"/>
        <v>0</v>
      </c>
      <c r="I343" s="178" t="s">
        <v>238</v>
      </c>
      <c r="J343" s="172"/>
      <c r="K343" s="172"/>
      <c r="L343" s="172"/>
      <c r="N343" s="43"/>
    </row>
    <row r="344" spans="1:16" ht="18" customHeight="1">
      <c r="B344" s="156" t="s">
        <v>239</v>
      </c>
      <c r="C344" s="157"/>
      <c r="D344" s="250">
        <f>E203+E205*2+E207*2+I203+I205*2+I207*2</f>
        <v>24</v>
      </c>
      <c r="E344" s="148"/>
      <c r="F344" s="148"/>
      <c r="G344" s="148">
        <v>0.2</v>
      </c>
      <c r="H344" s="179">
        <f>D344*G344</f>
        <v>4.8000000000000007</v>
      </c>
      <c r="I344" s="247" t="s">
        <v>368</v>
      </c>
      <c r="J344" s="172"/>
      <c r="K344" s="172"/>
      <c r="L344" s="172"/>
    </row>
    <row r="345" spans="1:16" ht="18" customHeight="1">
      <c r="B345" s="156" t="s">
        <v>240</v>
      </c>
      <c r="C345" s="157"/>
      <c r="D345" s="250">
        <f>4*(E52+E53+E54+E55+G52+G53+G54+G55+G60+G61+G62+G63+E130+E131+E132+G130+G131+G132+G137+G138)</f>
        <v>4</v>
      </c>
      <c r="E345" s="148"/>
      <c r="F345" s="148"/>
      <c r="G345" s="148">
        <v>0.22</v>
      </c>
      <c r="H345" s="179">
        <f>D345*G345</f>
        <v>0.88</v>
      </c>
      <c r="I345" s="247" t="s">
        <v>241</v>
      </c>
      <c r="J345" s="172"/>
      <c r="K345" s="172"/>
      <c r="L345" s="172"/>
    </row>
    <row r="346" spans="1:16" ht="18" customHeight="1">
      <c r="B346" s="156" t="s">
        <v>242</v>
      </c>
      <c r="C346" s="157"/>
      <c r="D346" s="250">
        <f>D345/2</f>
        <v>2</v>
      </c>
      <c r="E346" s="148"/>
      <c r="F346" s="148"/>
      <c r="G346" s="148">
        <v>0.22</v>
      </c>
      <c r="H346" s="179">
        <f>ROUND(D346*G346,2)</f>
        <v>0.44</v>
      </c>
      <c r="I346" s="247" t="s">
        <v>243</v>
      </c>
      <c r="J346" s="172"/>
      <c r="K346" s="172"/>
      <c r="L346" s="172"/>
    </row>
    <row r="347" spans="1:16" ht="18" customHeight="1">
      <c r="B347" s="156" t="s">
        <v>369</v>
      </c>
      <c r="C347" s="157"/>
      <c r="D347" s="250">
        <f>D346</f>
        <v>2</v>
      </c>
      <c r="E347" s="148"/>
      <c r="F347" s="148"/>
      <c r="G347" s="148">
        <v>1.37</v>
      </c>
      <c r="H347" s="179">
        <f>ROUND(D347*G347,2)</f>
        <v>2.74</v>
      </c>
      <c r="I347" s="247" t="s">
        <v>370</v>
      </c>
      <c r="J347" s="172"/>
      <c r="K347" s="172"/>
      <c r="L347" s="172"/>
    </row>
    <row r="348" spans="1:16" ht="18" customHeight="1">
      <c r="B348" s="156" t="s">
        <v>244</v>
      </c>
      <c r="C348" s="157"/>
      <c r="D348" s="250">
        <f>(F291+F292)*2</f>
        <v>6</v>
      </c>
      <c r="E348" s="148"/>
      <c r="F348" s="148"/>
      <c r="G348" s="148">
        <v>0.48</v>
      </c>
      <c r="H348" s="179">
        <f>ROUND(D348*G348,2)</f>
        <v>2.88</v>
      </c>
      <c r="I348" s="247" t="s">
        <v>245</v>
      </c>
      <c r="J348" s="255"/>
    </row>
    <row r="349" spans="1:16" ht="18" customHeight="1">
      <c r="B349" s="156" t="s">
        <v>246</v>
      </c>
      <c r="C349" s="157"/>
      <c r="D349" s="250">
        <f>ROUND((D4+E4-240)*2/200+E217*F217/200,0)</f>
        <v>56</v>
      </c>
      <c r="E349" s="148"/>
      <c r="F349" s="148"/>
      <c r="G349" s="148">
        <v>0.05</v>
      </c>
      <c r="H349" s="179">
        <f>ROUND(D349*G349,2)</f>
        <v>2.8</v>
      </c>
      <c r="I349" s="247" t="s">
        <v>247</v>
      </c>
      <c r="J349" s="255"/>
    </row>
    <row r="350" spans="1:16" ht="18" customHeight="1">
      <c r="B350" s="150" t="s">
        <v>248</v>
      </c>
      <c r="C350" s="165"/>
      <c r="D350" s="50"/>
      <c r="E350" s="50"/>
      <c r="F350" s="50"/>
      <c r="G350" s="166"/>
      <c r="H350" s="155">
        <f>SUM(H338:H349)</f>
        <v>36.72</v>
      </c>
      <c r="I350" s="152"/>
    </row>
    <row r="351" spans="1:16" ht="18" customHeight="1">
      <c r="B351" s="156" t="s">
        <v>359</v>
      </c>
      <c r="C351" s="157"/>
      <c r="D351" s="250">
        <f>SUMPRODUCT(G26:G30)*8+SUMPRODUCT(G35:G37)*8+SUMPRODUCT(G116:G118)*8+SUMPRODUCT(G123:G125)*8</f>
        <v>16</v>
      </c>
      <c r="E351" s="148"/>
      <c r="F351" s="148"/>
      <c r="G351" s="148">
        <v>1.26</v>
      </c>
      <c r="H351" s="154">
        <f>ROUND(D351*G351,2)</f>
        <v>20.16</v>
      </c>
      <c r="I351" s="247" t="s">
        <v>386</v>
      </c>
    </row>
    <row r="352" spans="1:16" ht="18" customHeight="1">
      <c r="B352" s="156" t="s">
        <v>360</v>
      </c>
      <c r="C352" s="157"/>
      <c r="D352" s="250">
        <f>G26*4+G27*4+G28*4+G29*4+G30*4</f>
        <v>0</v>
      </c>
      <c r="E352" s="148"/>
      <c r="F352" s="148"/>
      <c r="G352" s="148">
        <v>2</v>
      </c>
      <c r="H352" s="154">
        <f>ROUND(D352*G352,2)</f>
        <v>0</v>
      </c>
      <c r="I352" s="247" t="s">
        <v>361</v>
      </c>
    </row>
    <row r="353" spans="1:22" ht="18" customHeight="1">
      <c r="B353" s="156" t="s">
        <v>249</v>
      </c>
      <c r="C353" s="157"/>
      <c r="D353" s="250"/>
      <c r="E353" s="148"/>
      <c r="F353" s="148"/>
      <c r="G353" s="148">
        <v>1.6</v>
      </c>
      <c r="H353" s="154"/>
      <c r="I353" s="247"/>
    </row>
    <row r="354" spans="1:22" ht="18" customHeight="1">
      <c r="B354" s="156" t="s">
        <v>250</v>
      </c>
      <c r="C354" s="157"/>
      <c r="D354" s="44">
        <f>C22+C31+C38+C48+C56+C64+C112+C119+C126+C133+C139+C199</f>
        <v>28.206</v>
      </c>
      <c r="E354" s="148"/>
      <c r="F354" s="148"/>
      <c r="G354" s="179">
        <v>4</v>
      </c>
      <c r="H354" s="154">
        <f t="shared" ref="H354:H356" si="57">ROUND(D354*G354,2)</f>
        <v>112.82</v>
      </c>
      <c r="I354" s="247"/>
    </row>
    <row r="355" spans="1:22" ht="18" customHeight="1">
      <c r="B355" s="156" t="s">
        <v>251</v>
      </c>
      <c r="C355" s="157" t="s">
        <v>252</v>
      </c>
      <c r="D355" s="44">
        <f>C88+C163</f>
        <v>5.3520000000000003</v>
      </c>
      <c r="E355" s="148"/>
      <c r="F355" s="148"/>
      <c r="G355" s="179">
        <v>3.15</v>
      </c>
      <c r="H355" s="154">
        <f t="shared" si="57"/>
        <v>16.86</v>
      </c>
      <c r="I355" s="247"/>
    </row>
    <row r="356" spans="1:22" ht="18" customHeight="1">
      <c r="B356" s="156" t="s">
        <v>253</v>
      </c>
      <c r="C356" s="157" t="s">
        <v>254</v>
      </c>
      <c r="D356" s="44">
        <f>C97+C104+C146+C153</f>
        <v>11.012</v>
      </c>
      <c r="E356" s="148"/>
      <c r="F356" s="148"/>
      <c r="G356" s="179">
        <v>3.65</v>
      </c>
      <c r="H356" s="154">
        <f t="shared" si="57"/>
        <v>40.19</v>
      </c>
      <c r="I356" s="247"/>
    </row>
    <row r="357" spans="1:22" ht="18" customHeight="1">
      <c r="B357" s="156" t="s">
        <v>387</v>
      </c>
      <c r="C357" s="157"/>
      <c r="D357" s="44">
        <f>F291+F292</f>
        <v>3</v>
      </c>
      <c r="E357" s="148"/>
      <c r="F357" s="148"/>
      <c r="G357" s="179">
        <v>6</v>
      </c>
      <c r="H357" s="154"/>
      <c r="I357" s="247"/>
    </row>
    <row r="358" spans="1:22" ht="18" customHeight="1">
      <c r="B358" s="156" t="s">
        <v>255</v>
      </c>
      <c r="C358" s="157"/>
      <c r="D358" s="180"/>
      <c r="E358" s="148"/>
      <c r="F358" s="148"/>
      <c r="G358" s="148">
        <v>70</v>
      </c>
      <c r="H358" s="154">
        <f>D358*G358</f>
        <v>0</v>
      </c>
      <c r="I358" s="247"/>
    </row>
    <row r="359" spans="1:22" ht="18" customHeight="1">
      <c r="B359" s="156" t="s">
        <v>858</v>
      </c>
      <c r="C359" s="157"/>
      <c r="D359" s="180">
        <f>(D4*2+E4*2)/1000</f>
        <v>9.4</v>
      </c>
      <c r="E359" s="148"/>
      <c r="F359" s="148"/>
      <c r="G359" s="148">
        <v>180</v>
      </c>
      <c r="H359" s="154">
        <f>D359*G359</f>
        <v>1692</v>
      </c>
      <c r="I359" s="247"/>
    </row>
    <row r="360" spans="1:22" ht="18" customHeight="1">
      <c r="B360" s="156" t="s">
        <v>388</v>
      </c>
      <c r="C360" s="157"/>
      <c r="D360" s="250">
        <v>1</v>
      </c>
      <c r="E360" s="148"/>
      <c r="F360" s="148"/>
      <c r="G360" s="148">
        <v>9.6</v>
      </c>
      <c r="H360" s="154">
        <f>ROUND(D360*G360,2)</f>
        <v>9.6</v>
      </c>
      <c r="I360" s="247"/>
    </row>
    <row r="361" spans="1:22" ht="18" customHeight="1">
      <c r="B361" s="156" t="s">
        <v>901</v>
      </c>
      <c r="C361" s="157"/>
      <c r="D361" s="463">
        <f>(D4+E4)*2/1000</f>
        <v>9.4</v>
      </c>
      <c r="E361" s="148"/>
      <c r="F361" s="148"/>
      <c r="G361" s="148">
        <v>45</v>
      </c>
      <c r="H361" s="154">
        <f>ROUND(D361*G361,2)</f>
        <v>423</v>
      </c>
      <c r="I361" s="468"/>
    </row>
    <row r="362" spans="1:22" ht="18" customHeight="1">
      <c r="B362" s="181" t="s">
        <v>398</v>
      </c>
      <c r="C362" s="157"/>
      <c r="D362" s="182">
        <f>F366</f>
        <v>5.1959</v>
      </c>
      <c r="E362" s="148"/>
      <c r="F362" s="148"/>
      <c r="G362" s="148">
        <v>3</v>
      </c>
      <c r="H362" s="154">
        <f>D362*G362</f>
        <v>15.5877</v>
      </c>
      <c r="I362" s="247"/>
    </row>
    <row r="363" spans="1:22" ht="18" customHeight="1">
      <c r="B363" s="150" t="s">
        <v>256</v>
      </c>
      <c r="C363" s="50"/>
      <c r="D363" s="50"/>
      <c r="E363" s="50"/>
      <c r="F363" s="50"/>
      <c r="G363" s="166"/>
      <c r="H363" s="155">
        <f>SUM(H351:H362)</f>
        <v>2330.2177000000001</v>
      </c>
      <c r="I363" s="183"/>
    </row>
    <row r="364" spans="1:22" ht="18" customHeight="1">
      <c r="B364" s="248" t="s">
        <v>257</v>
      </c>
      <c r="C364" s="185"/>
      <c r="D364" s="186"/>
      <c r="E364" s="185"/>
      <c r="F364" s="186"/>
      <c r="G364" s="186"/>
      <c r="H364" s="187">
        <f>SUM(H363,H350,H337,H322,H314,H308,H304)</f>
        <v>3036.0986619999999</v>
      </c>
      <c r="I364" s="188"/>
    </row>
    <row r="365" spans="1:22" ht="18" customHeight="1">
      <c r="A365" s="189"/>
      <c r="B365" s="190" t="s">
        <v>258</v>
      </c>
      <c r="C365" s="10" t="s">
        <v>14</v>
      </c>
      <c r="D365" s="10" t="s">
        <v>16</v>
      </c>
      <c r="E365" s="10" t="s">
        <v>17</v>
      </c>
      <c r="F365" s="10" t="s">
        <v>7</v>
      </c>
      <c r="G365" s="10" t="s">
        <v>5</v>
      </c>
      <c r="H365" s="10" t="s">
        <v>18</v>
      </c>
      <c r="I365" s="191" t="s">
        <v>259</v>
      </c>
      <c r="L365" s="192"/>
      <c r="M365" s="192"/>
    </row>
    <row r="366" spans="1:22" ht="18" customHeight="1">
      <c r="B366" s="48">
        <f>ROUND(I366/F366,2)</f>
        <v>1405.07</v>
      </c>
      <c r="C366" s="50" t="s">
        <v>299</v>
      </c>
      <c r="D366" s="50">
        <f>D5</f>
        <v>2230</v>
      </c>
      <c r="E366" s="50">
        <f>E5</f>
        <v>2330</v>
      </c>
      <c r="F366" s="49">
        <f>E366*D366/1000000</f>
        <v>5.1959</v>
      </c>
      <c r="G366" s="50">
        <f>G4</f>
        <v>1</v>
      </c>
      <c r="H366" s="49">
        <f>F366</f>
        <v>5.1959</v>
      </c>
      <c r="I366" s="193">
        <f>H364+H291+H292+I223+I12</f>
        <v>7300.5834540659998</v>
      </c>
      <c r="K366" s="192"/>
    </row>
    <row r="367" spans="1:22" ht="18" customHeight="1">
      <c r="B367" s="194" t="s">
        <v>258</v>
      </c>
      <c r="C367" s="195" t="s">
        <v>260</v>
      </c>
      <c r="D367" s="195" t="s">
        <v>261</v>
      </c>
      <c r="E367" s="195" t="s">
        <v>262</v>
      </c>
      <c r="F367" s="195" t="s">
        <v>263</v>
      </c>
      <c r="G367" s="195" t="s">
        <v>264</v>
      </c>
      <c r="H367" s="195" t="s">
        <v>265</v>
      </c>
      <c r="I367" s="196" t="s">
        <v>266</v>
      </c>
    </row>
    <row r="368" spans="1:22" ht="30" customHeight="1" thickBot="1">
      <c r="B368" s="197">
        <f>ROUND(I366/H366,2)</f>
        <v>1405.07</v>
      </c>
      <c r="C368" s="198">
        <f>E294+E296+E298+E300+E302+E303+E297+E299</f>
        <v>1</v>
      </c>
      <c r="D368" s="199"/>
      <c r="E368" s="199"/>
      <c r="F368" s="200"/>
      <c r="G368" s="200"/>
      <c r="H368" s="200"/>
      <c r="I368" s="201"/>
      <c r="O368" s="631" t="s">
        <v>603</v>
      </c>
      <c r="P368" s="631"/>
      <c r="Q368" s="631"/>
      <c r="R368" s="631"/>
      <c r="S368" s="631"/>
      <c r="T368" s="631"/>
      <c r="U368" s="631"/>
      <c r="V368" s="631"/>
    </row>
    <row r="369" spans="2:22" ht="20.100000000000001" customHeight="1">
      <c r="B369" s="42"/>
      <c r="L369" s="202"/>
      <c r="M369" s="202"/>
      <c r="N369" s="202"/>
      <c r="O369" s="634" t="s">
        <v>604</v>
      </c>
      <c r="P369" s="634"/>
      <c r="Q369" s="634"/>
      <c r="R369" s="634"/>
      <c r="S369" s="634"/>
      <c r="T369" s="634"/>
      <c r="U369" s="634"/>
      <c r="V369" s="634"/>
    </row>
    <row r="370" spans="2:22" ht="20.100000000000001" customHeight="1">
      <c r="B370" s="102" t="s">
        <v>862</v>
      </c>
      <c r="C370" s="203"/>
      <c r="D370" s="203" t="s">
        <v>267</v>
      </c>
      <c r="E370" s="203"/>
      <c r="J370" s="102"/>
      <c r="O370" s="285" t="s">
        <v>279</v>
      </c>
      <c r="P370" s="624" t="s">
        <v>629</v>
      </c>
      <c r="Q370" s="625"/>
      <c r="R370" s="312" t="str">
        <f ca="1">B4</f>
        <v>MLC2324</v>
      </c>
      <c r="S370" s="312"/>
      <c r="T370" s="313"/>
      <c r="U370" s="287" t="s">
        <v>605</v>
      </c>
      <c r="V370" s="288"/>
    </row>
    <row r="371" spans="2:22" ht="24.95" customHeight="1">
      <c r="B371" s="102">
        <f>ROUND(I366/F6,2)</f>
        <v>1417.48</v>
      </c>
      <c r="C371" s="203">
        <f>U392</f>
        <v>1774.0068308839134</v>
      </c>
      <c r="D371" s="203">
        <f>E304</f>
        <v>1</v>
      </c>
      <c r="E371" s="203"/>
      <c r="J371" s="102"/>
      <c r="O371" s="635" t="s">
        <v>606</v>
      </c>
      <c r="P371" s="623" t="s">
        <v>626</v>
      </c>
      <c r="Q371" s="623"/>
      <c r="R371" s="623"/>
      <c r="S371" s="623"/>
      <c r="T371" s="637"/>
      <c r="U371" s="291" t="s">
        <v>607</v>
      </c>
      <c r="V371" s="292" t="s">
        <v>313</v>
      </c>
    </row>
    <row r="372" spans="2:22" ht="24.95" customHeight="1">
      <c r="L372" s="102"/>
      <c r="M372" s="102"/>
      <c r="N372" s="102"/>
      <c r="O372" s="636"/>
      <c r="P372" s="638"/>
      <c r="Q372" s="638"/>
      <c r="R372" s="638"/>
      <c r="S372" s="638"/>
      <c r="T372" s="638"/>
      <c r="U372" s="291" t="s">
        <v>268</v>
      </c>
      <c r="V372" s="293">
        <f>F4</f>
        <v>5.52</v>
      </c>
    </row>
    <row r="373" spans="2:22" ht="24.95" customHeight="1">
      <c r="J373" s="102"/>
      <c r="K373" s="102"/>
      <c r="L373" s="102"/>
      <c r="M373" s="102"/>
      <c r="N373" s="102"/>
      <c r="O373" s="311" t="s">
        <v>0</v>
      </c>
      <c r="P373" s="289" t="s">
        <v>608</v>
      </c>
      <c r="Q373" s="289" t="s">
        <v>627</v>
      </c>
      <c r="R373" s="289" t="s">
        <v>269</v>
      </c>
      <c r="S373" s="294" t="s">
        <v>8</v>
      </c>
      <c r="T373" s="295" t="s">
        <v>609</v>
      </c>
      <c r="U373" s="296" t="s">
        <v>270</v>
      </c>
      <c r="V373" s="295" t="s">
        <v>610</v>
      </c>
    </row>
    <row r="374" spans="2:22" ht="20.100000000000001" customHeight="1">
      <c r="J374" s="102"/>
      <c r="K374" s="102"/>
      <c r="L374" s="102"/>
      <c r="M374" s="102"/>
      <c r="N374" s="102"/>
      <c r="O374" s="297" t="s">
        <v>305</v>
      </c>
      <c r="P374" s="298" t="s">
        <v>611</v>
      </c>
      <c r="Q374" s="298"/>
      <c r="R374" s="286"/>
      <c r="S374" s="299"/>
      <c r="T374" s="300"/>
      <c r="U374" s="301">
        <f>SUM(U375:U383)</f>
        <v>7166.8314220660004</v>
      </c>
      <c r="V374" s="286"/>
    </row>
    <row r="375" spans="2:22" ht="20.100000000000001" customHeight="1">
      <c r="J375" s="102"/>
      <c r="K375" s="102"/>
      <c r="L375" s="102"/>
      <c r="M375" s="102"/>
      <c r="N375" s="102"/>
      <c r="O375" s="286">
        <v>1</v>
      </c>
      <c r="P375" s="302" t="s">
        <v>612</v>
      </c>
      <c r="Q375" s="307"/>
      <c r="R375" s="286" t="s">
        <v>271</v>
      </c>
      <c r="S375" s="303">
        <f>E223</f>
        <v>76.154364000000001</v>
      </c>
      <c r="T375" s="304">
        <f>I223/E223</f>
        <v>47.036894590387497</v>
      </c>
      <c r="U375" s="305">
        <f t="shared" ref="U375:U383" si="58">T375*S375</f>
        <v>3582.0647920660003</v>
      </c>
      <c r="V375" s="306"/>
    </row>
    <row r="376" spans="2:22" ht="20.100000000000001" customHeight="1">
      <c r="J376" s="102"/>
      <c r="K376" s="102"/>
      <c r="L376" s="102"/>
      <c r="M376" s="102"/>
      <c r="N376" s="102"/>
      <c r="O376" s="286">
        <v>2</v>
      </c>
      <c r="P376" s="290" t="s">
        <v>613</v>
      </c>
      <c r="Q376" s="307"/>
      <c r="R376" s="286" t="s">
        <v>276</v>
      </c>
      <c r="S376" s="303">
        <f>D358</f>
        <v>0</v>
      </c>
      <c r="T376" s="304">
        <f>G358</f>
        <v>70</v>
      </c>
      <c r="U376" s="305">
        <f t="shared" si="58"/>
        <v>0</v>
      </c>
      <c r="V376" s="306"/>
    </row>
    <row r="377" spans="2:22" ht="20.100000000000001" customHeight="1">
      <c r="J377" s="102"/>
      <c r="K377" s="102"/>
      <c r="L377" s="102"/>
      <c r="M377" s="102"/>
      <c r="N377" s="102"/>
      <c r="O377" s="286">
        <v>3</v>
      </c>
      <c r="P377" s="302" t="s">
        <v>614</v>
      </c>
      <c r="Q377" s="302"/>
      <c r="R377" s="286" t="s">
        <v>312</v>
      </c>
      <c r="S377" s="303">
        <f>D291+D292</f>
        <v>3.7072159999999998</v>
      </c>
      <c r="T377" s="304">
        <f>材料价格!B10</f>
        <v>148</v>
      </c>
      <c r="U377" s="305">
        <f t="shared" si="58"/>
        <v>548.66796799999997</v>
      </c>
      <c r="V377" s="306"/>
    </row>
    <row r="378" spans="2:22" ht="20.100000000000001" customHeight="1">
      <c r="B378" s="630" t="s">
        <v>277</v>
      </c>
      <c r="C378" s="630"/>
      <c r="D378" s="630"/>
      <c r="E378" s="630"/>
      <c r="F378" s="630"/>
      <c r="G378" s="630"/>
      <c r="H378" s="630"/>
      <c r="I378" s="630"/>
      <c r="J378" s="102"/>
      <c r="K378" s="102"/>
      <c r="L378" s="102"/>
      <c r="M378" s="102"/>
      <c r="N378" s="102"/>
      <c r="O378" s="286">
        <v>4</v>
      </c>
      <c r="P378" s="302" t="s">
        <v>615</v>
      </c>
      <c r="Q378" s="306"/>
      <c r="R378" s="286" t="s">
        <v>278</v>
      </c>
      <c r="S378" s="303">
        <f>(H316+H317+H319+H320+H321)/F316</f>
        <v>9.9190140845070438</v>
      </c>
      <c r="T378" s="304">
        <f>材料价格!B25</f>
        <v>8.52</v>
      </c>
      <c r="U378" s="305">
        <f t="shared" si="58"/>
        <v>84.51</v>
      </c>
      <c r="V378" s="306"/>
    </row>
    <row r="379" spans="2:22" ht="20.100000000000001" customHeight="1">
      <c r="B379" s="204" t="s">
        <v>279</v>
      </c>
      <c r="C379" s="205" t="s">
        <v>280</v>
      </c>
      <c r="D379" s="205" t="s">
        <v>281</v>
      </c>
      <c r="E379" s="205" t="s">
        <v>282</v>
      </c>
      <c r="F379" s="205" t="s">
        <v>379</v>
      </c>
      <c r="G379" s="205"/>
      <c r="H379" s="205" t="s">
        <v>28</v>
      </c>
      <c r="I379" s="205" t="s">
        <v>259</v>
      </c>
      <c r="J379" s="102"/>
      <c r="K379" s="102"/>
      <c r="L379" s="102"/>
      <c r="M379" s="102"/>
      <c r="N379" s="102"/>
      <c r="O379" s="286">
        <v>5</v>
      </c>
      <c r="P379" s="306" t="s">
        <v>616</v>
      </c>
      <c r="Q379" s="302"/>
      <c r="R379" s="286" t="s">
        <v>628</v>
      </c>
      <c r="S379" s="303">
        <f>H337/21</f>
        <v>3.6205220000000002</v>
      </c>
      <c r="T379" s="304">
        <v>21</v>
      </c>
      <c r="U379" s="305">
        <f t="shared" si="58"/>
        <v>76.030962000000002</v>
      </c>
      <c r="V379" s="306"/>
    </row>
    <row r="380" spans="2:22" ht="20.100000000000001" customHeight="1">
      <c r="B380" s="206" t="s">
        <v>284</v>
      </c>
      <c r="C380" s="208" t="s">
        <v>384</v>
      </c>
      <c r="D380" s="207">
        <f>C22+C31+C38+C48+C56+C112+C119+C126+C133+C139+C177+C184+C191+C199</f>
        <v>30.526</v>
      </c>
      <c r="E380" s="207" t="s">
        <v>383</v>
      </c>
      <c r="F380" s="206"/>
      <c r="G380" s="206"/>
      <c r="H380" s="241">
        <v>2.4</v>
      </c>
      <c r="I380" s="207"/>
      <c r="J380" s="102"/>
      <c r="K380" s="102"/>
      <c r="L380" s="102"/>
      <c r="M380" s="102"/>
      <c r="N380" s="102"/>
      <c r="O380" s="286">
        <v>6</v>
      </c>
      <c r="P380" s="302" t="s">
        <v>319</v>
      </c>
      <c r="Q380" s="302"/>
      <c r="R380" s="286" t="s">
        <v>273</v>
      </c>
      <c r="S380" s="303"/>
      <c r="T380" s="304"/>
      <c r="U380" s="305">
        <f t="shared" si="58"/>
        <v>0</v>
      </c>
      <c r="V380" s="306"/>
    </row>
    <row r="381" spans="2:22" ht="20.100000000000001" customHeight="1">
      <c r="B381" s="206" t="s">
        <v>286</v>
      </c>
      <c r="C381" s="206" t="s">
        <v>287</v>
      </c>
      <c r="D381" s="209">
        <f>(J22+J31+J38+J48+J112+J119+J126)*4+(J56+J133)*2</f>
        <v>16</v>
      </c>
      <c r="E381" s="207" t="s">
        <v>285</v>
      </c>
      <c r="F381" s="206"/>
      <c r="G381" s="206"/>
      <c r="H381" s="241">
        <v>0.5</v>
      </c>
      <c r="I381" s="207">
        <f>H381*D381</f>
        <v>8</v>
      </c>
      <c r="J381" s="102"/>
      <c r="K381" s="102"/>
      <c r="L381" s="102"/>
      <c r="M381" s="102"/>
      <c r="N381" s="102"/>
      <c r="O381" s="286">
        <v>7</v>
      </c>
      <c r="P381" s="302" t="s">
        <v>295</v>
      </c>
      <c r="Q381" s="302"/>
      <c r="R381" s="286" t="s">
        <v>273</v>
      </c>
      <c r="S381" s="303"/>
      <c r="T381" s="304">
        <f>材料价格!B19</f>
        <v>230</v>
      </c>
      <c r="U381" s="305">
        <f t="shared" si="58"/>
        <v>0</v>
      </c>
      <c r="V381" s="306"/>
    </row>
    <row r="382" spans="2:22" ht="20.100000000000001" customHeight="1">
      <c r="B382" s="206" t="s">
        <v>289</v>
      </c>
      <c r="C382" s="206"/>
      <c r="D382" s="210">
        <f>ROUND((C22+C56*2+C64*2+C112+C133*2+C139*2)/0.3,0)+2</f>
        <v>63</v>
      </c>
      <c r="E382" s="207" t="s">
        <v>285</v>
      </c>
      <c r="F382" s="206"/>
      <c r="G382" s="206"/>
      <c r="H382" s="241">
        <v>0.3</v>
      </c>
      <c r="I382" s="207">
        <f t="shared" ref="I382:I387" si="59">H382*D382</f>
        <v>18.899999999999999</v>
      </c>
      <c r="J382" s="102"/>
      <c r="K382" s="102"/>
      <c r="L382" s="102"/>
      <c r="M382" s="102"/>
      <c r="N382" s="102"/>
      <c r="O382" s="286">
        <v>8</v>
      </c>
      <c r="P382" s="302" t="s">
        <v>296</v>
      </c>
      <c r="Q382" s="302"/>
      <c r="R382" s="286" t="s">
        <v>273</v>
      </c>
      <c r="S382" s="303">
        <f>E303</f>
        <v>1</v>
      </c>
      <c r="T382" s="304">
        <f>材料价格!B20</f>
        <v>335</v>
      </c>
      <c r="U382" s="305">
        <f t="shared" si="58"/>
        <v>335</v>
      </c>
      <c r="V382" s="306"/>
    </row>
    <row r="383" spans="2:22" ht="20.100000000000001" customHeight="1">
      <c r="B383" s="206" t="s">
        <v>381</v>
      </c>
      <c r="C383" s="206" t="s">
        <v>389</v>
      </c>
      <c r="D383" s="211">
        <f>C22+C31+C38+C56*2+C64*2+C112+C119+C126+C133*2</f>
        <v>25.963999999999999</v>
      </c>
      <c r="E383" s="207" t="s">
        <v>285</v>
      </c>
      <c r="F383" s="206" t="s">
        <v>380</v>
      </c>
      <c r="G383" s="206"/>
      <c r="H383" s="241">
        <v>2.81</v>
      </c>
      <c r="I383" s="207">
        <f>H383*D383</f>
        <v>72.958839999999995</v>
      </c>
      <c r="J383" s="102"/>
      <c r="K383" s="102"/>
      <c r="L383" s="102"/>
      <c r="M383" s="102"/>
      <c r="N383" s="102"/>
      <c r="O383" s="286">
        <v>9</v>
      </c>
      <c r="P383" s="302" t="s">
        <v>617</v>
      </c>
      <c r="Q383" s="302"/>
      <c r="R383" s="286" t="s">
        <v>618</v>
      </c>
      <c r="S383" s="296">
        <v>1</v>
      </c>
      <c r="T383" s="304">
        <f>H363-H358+H350+H318+H315+H314</f>
        <v>2540.5577000000003</v>
      </c>
      <c r="U383" s="305">
        <f t="shared" si="58"/>
        <v>2540.5577000000003</v>
      </c>
      <c r="V383" s="306"/>
    </row>
    <row r="384" spans="2:22" ht="20.100000000000001" customHeight="1">
      <c r="B384" s="206" t="s">
        <v>390</v>
      </c>
      <c r="C384" s="206" t="s">
        <v>392</v>
      </c>
      <c r="D384" s="211">
        <f>C22+C88+C112+C163</f>
        <v>19.072000000000003</v>
      </c>
      <c r="E384" s="207" t="s">
        <v>285</v>
      </c>
      <c r="F384" s="206" t="s">
        <v>394</v>
      </c>
      <c r="G384" s="206"/>
      <c r="H384" s="241">
        <v>3.27</v>
      </c>
      <c r="I384" s="207">
        <f t="shared" ref="I384" si="60">H384*D384</f>
        <v>62.365440000000007</v>
      </c>
      <c r="J384" s="102"/>
      <c r="K384" s="102"/>
      <c r="L384" s="102"/>
      <c r="M384" s="102"/>
      <c r="N384" s="102"/>
      <c r="O384" s="297" t="s">
        <v>306</v>
      </c>
      <c r="P384" s="308" t="s">
        <v>314</v>
      </c>
      <c r="Q384" s="298"/>
      <c r="R384" s="286"/>
      <c r="S384" s="296"/>
      <c r="T384" s="309"/>
      <c r="U384" s="301">
        <f>SUM(U385:U386)</f>
        <v>883.2</v>
      </c>
      <c r="V384" s="286"/>
    </row>
    <row r="385" spans="2:22" ht="20.100000000000001" customHeight="1">
      <c r="B385" s="206" t="s">
        <v>391</v>
      </c>
      <c r="C385" s="206" t="s">
        <v>393</v>
      </c>
      <c r="D385" s="211">
        <f>(C97+C104+C119+C126)*2</f>
        <v>24.488</v>
      </c>
      <c r="E385" s="207" t="s">
        <v>285</v>
      </c>
      <c r="F385" s="206" t="s">
        <v>395</v>
      </c>
      <c r="G385" s="206"/>
      <c r="H385" s="241">
        <v>1.74</v>
      </c>
      <c r="I385" s="207">
        <f t="shared" si="59"/>
        <v>42.609119999999997</v>
      </c>
      <c r="J385" s="102"/>
      <c r="K385" s="102"/>
      <c r="L385" s="102"/>
      <c r="M385" s="102"/>
      <c r="N385" s="102"/>
      <c r="O385" s="286">
        <v>1</v>
      </c>
      <c r="P385" s="307" t="s">
        <v>619</v>
      </c>
      <c r="Q385" s="307"/>
      <c r="R385" s="300" t="s">
        <v>312</v>
      </c>
      <c r="S385" s="296">
        <f>V372</f>
        <v>5.52</v>
      </c>
      <c r="T385" s="310">
        <v>60</v>
      </c>
      <c r="U385" s="305">
        <f>T385*S385</f>
        <v>331.2</v>
      </c>
      <c r="V385" s="286"/>
    </row>
    <row r="386" spans="2:22" ht="20.100000000000001" customHeight="1">
      <c r="B386" s="208" t="s">
        <v>382</v>
      </c>
      <c r="C386" s="206" t="s">
        <v>291</v>
      </c>
      <c r="D386" s="211">
        <f>D338+D339+D341</f>
        <v>10</v>
      </c>
      <c r="E386" s="207" t="s">
        <v>285</v>
      </c>
      <c r="F386" s="206"/>
      <c r="G386" s="206"/>
      <c r="H386" s="241">
        <v>0.56999999999999995</v>
      </c>
      <c r="I386" s="207">
        <f>H386*D386</f>
        <v>5.6999999999999993</v>
      </c>
      <c r="J386" s="102"/>
      <c r="K386" s="102"/>
      <c r="L386" s="102"/>
      <c r="M386" s="102"/>
      <c r="N386" s="102"/>
      <c r="O386" s="286">
        <v>2</v>
      </c>
      <c r="P386" s="307" t="s">
        <v>288</v>
      </c>
      <c r="Q386" s="307"/>
      <c r="R386" s="300" t="s">
        <v>312</v>
      </c>
      <c r="S386" s="296">
        <f>V372</f>
        <v>5.52</v>
      </c>
      <c r="T386" s="310">
        <v>100</v>
      </c>
      <c r="U386" s="305">
        <f>T386*S386</f>
        <v>552</v>
      </c>
      <c r="V386" s="286"/>
    </row>
    <row r="387" spans="2:22" ht="20.100000000000001" customHeight="1">
      <c r="B387" s="206" t="s">
        <v>292</v>
      </c>
      <c r="C387" s="206"/>
      <c r="D387" s="211">
        <f>H366</f>
        <v>5.1959</v>
      </c>
      <c r="E387" s="207" t="s">
        <v>285</v>
      </c>
      <c r="F387" s="206"/>
      <c r="G387" s="206"/>
      <c r="H387" s="241">
        <v>20</v>
      </c>
      <c r="I387" s="207">
        <f t="shared" si="59"/>
        <v>103.91800000000001</v>
      </c>
      <c r="J387" s="102"/>
      <c r="K387" s="102"/>
      <c r="L387" s="102"/>
      <c r="M387" s="102"/>
      <c r="N387" s="102"/>
      <c r="O387" s="297" t="s">
        <v>307</v>
      </c>
      <c r="P387" s="308" t="s">
        <v>290</v>
      </c>
      <c r="Q387" s="298"/>
      <c r="R387" s="286"/>
      <c r="S387" s="296"/>
      <c r="T387" s="309"/>
      <c r="U387" s="301">
        <f>SUM(U388)</f>
        <v>110.39999999999999</v>
      </c>
      <c r="V387" s="286"/>
    </row>
    <row r="388" spans="2:22" ht="20.100000000000001" customHeight="1">
      <c r="B388" s="212" t="s">
        <v>4</v>
      </c>
      <c r="C388" s="213"/>
      <c r="D388" s="212"/>
      <c r="E388" s="212"/>
      <c r="F388" s="212"/>
      <c r="G388" s="212"/>
      <c r="H388" s="212"/>
      <c r="I388" s="213">
        <f>SUM(I380:I387)</f>
        <v>314.45139999999998</v>
      </c>
      <c r="J388" s="242"/>
      <c r="K388" s="102"/>
      <c r="L388" s="102"/>
      <c r="M388" s="102"/>
      <c r="N388" s="102"/>
      <c r="O388" s="286">
        <v>1</v>
      </c>
      <c r="P388" s="307" t="s">
        <v>290</v>
      </c>
      <c r="Q388" s="307"/>
      <c r="R388" s="300" t="s">
        <v>312</v>
      </c>
      <c r="S388" s="296">
        <f>V372</f>
        <v>5.52</v>
      </c>
      <c r="T388" s="310">
        <v>20</v>
      </c>
      <c r="U388" s="305">
        <f>T388*S388</f>
        <v>110.39999999999999</v>
      </c>
      <c r="V388" s="286"/>
    </row>
    <row r="389" spans="2:22" ht="20.100000000000001" customHeight="1">
      <c r="J389" s="102"/>
      <c r="K389" s="102"/>
      <c r="L389" s="102"/>
      <c r="M389" s="102"/>
      <c r="N389" s="102"/>
      <c r="O389" s="286" t="s">
        <v>308</v>
      </c>
      <c r="P389" s="618" t="s">
        <v>620</v>
      </c>
      <c r="Q389" s="619"/>
      <c r="R389" s="620"/>
      <c r="S389" s="621"/>
      <c r="T389" s="622"/>
      <c r="U389" s="301">
        <f>U374+U384+U387</f>
        <v>8160.4314220659999</v>
      </c>
      <c r="V389" s="286"/>
    </row>
    <row r="390" spans="2:22" ht="20.100000000000001" customHeight="1">
      <c r="J390" s="102"/>
      <c r="K390" s="102"/>
      <c r="L390" s="102"/>
      <c r="M390" s="102"/>
      <c r="N390" s="102"/>
      <c r="O390" s="286" t="s">
        <v>309</v>
      </c>
      <c r="P390" s="618" t="s">
        <v>621</v>
      </c>
      <c r="Q390" s="619"/>
      <c r="R390" s="626">
        <v>0.2</v>
      </c>
      <c r="S390" s="627"/>
      <c r="T390" s="628"/>
      <c r="U390" s="301">
        <f>U389*R390</f>
        <v>1632.0862844132</v>
      </c>
      <c r="V390" s="286"/>
    </row>
    <row r="391" spans="2:22" ht="20.100000000000001" customHeight="1">
      <c r="J391" s="102"/>
      <c r="K391" s="102"/>
      <c r="L391" s="102"/>
      <c r="M391" s="102"/>
      <c r="N391" s="102"/>
      <c r="O391" s="286" t="s">
        <v>310</v>
      </c>
      <c r="P391" s="618" t="s">
        <v>622</v>
      </c>
      <c r="Q391" s="619"/>
      <c r="R391" s="620"/>
      <c r="S391" s="621"/>
      <c r="T391" s="622"/>
      <c r="U391" s="301">
        <f>U389+U390</f>
        <v>9792.5177064792006</v>
      </c>
      <c r="V391" s="286"/>
    </row>
    <row r="392" spans="2:22" ht="30" customHeight="1">
      <c r="L392" s="102"/>
      <c r="M392" s="102"/>
      <c r="N392" s="102"/>
      <c r="O392" s="297" t="s">
        <v>311</v>
      </c>
      <c r="P392" s="618" t="s">
        <v>623</v>
      </c>
      <c r="Q392" s="619"/>
      <c r="R392" s="620"/>
      <c r="S392" s="621"/>
      <c r="T392" s="622"/>
      <c r="U392" s="301">
        <f>U391/V372</f>
        <v>1774.0068308839134</v>
      </c>
      <c r="V392" s="286" t="s">
        <v>624</v>
      </c>
    </row>
    <row r="393" spans="2:22" ht="45" customHeight="1">
      <c r="L393" s="102"/>
      <c r="M393" s="102"/>
      <c r="N393" s="102"/>
      <c r="O393" s="623" t="s">
        <v>625</v>
      </c>
      <c r="P393" s="623"/>
      <c r="Q393" s="623"/>
      <c r="R393" s="623"/>
      <c r="S393" s="623"/>
      <c r="T393" s="623"/>
      <c r="U393" s="623"/>
      <c r="V393" s="623"/>
    </row>
    <row r="394" spans="2:22" ht="18" customHeight="1">
      <c r="L394" s="102"/>
      <c r="M394" s="102"/>
      <c r="N394" s="102"/>
      <c r="O394" s="102"/>
      <c r="P394" s="102"/>
    </row>
    <row r="395" spans="2:22">
      <c r="L395" s="102"/>
      <c r="M395" s="102"/>
      <c r="N395" s="102"/>
      <c r="O395" s="102"/>
      <c r="P395" s="102"/>
    </row>
    <row r="396" spans="2:22">
      <c r="L396" s="102"/>
      <c r="M396" s="102"/>
      <c r="N396" s="102"/>
      <c r="O396" s="102"/>
      <c r="P396" s="102"/>
    </row>
    <row r="397" spans="2:22">
      <c r="L397" s="102"/>
      <c r="M397" s="102"/>
      <c r="N397" s="102"/>
      <c r="O397" s="102"/>
      <c r="P397" s="102"/>
    </row>
    <row r="398" spans="2:22">
      <c r="L398" s="102"/>
      <c r="M398" s="102"/>
      <c r="N398" s="102"/>
      <c r="O398" s="102"/>
      <c r="P398" s="102"/>
    </row>
    <row r="399" spans="2:22">
      <c r="L399" s="102"/>
      <c r="M399" s="102"/>
      <c r="N399" s="102"/>
      <c r="O399" s="102"/>
      <c r="P399" s="102"/>
    </row>
    <row r="400" spans="2:22">
      <c r="L400" s="102"/>
      <c r="M400" s="102"/>
      <c r="N400" s="102"/>
      <c r="O400" s="102"/>
      <c r="P400" s="102"/>
    </row>
    <row r="401" spans="12:16">
      <c r="L401" s="102"/>
      <c r="M401" s="102"/>
      <c r="N401" s="102"/>
      <c r="O401" s="102"/>
      <c r="P401" s="102"/>
    </row>
    <row r="402" spans="12:16">
      <c r="L402" s="102"/>
      <c r="M402" s="102"/>
      <c r="N402" s="102"/>
      <c r="O402" s="102"/>
      <c r="P402" s="102"/>
    </row>
    <row r="403" spans="12:16">
      <c r="L403" s="102"/>
      <c r="M403" s="102"/>
      <c r="N403" s="102"/>
      <c r="O403" s="102"/>
      <c r="P403" s="102"/>
    </row>
    <row r="404" spans="12:16">
      <c r="L404" s="102"/>
      <c r="M404" s="102"/>
      <c r="N404" s="102"/>
      <c r="O404" s="102"/>
      <c r="P404" s="102"/>
    </row>
    <row r="405" spans="12:16">
      <c r="L405" s="102"/>
      <c r="M405" s="102"/>
      <c r="N405" s="102"/>
      <c r="O405" s="102"/>
      <c r="P405" s="102"/>
    </row>
    <row r="406" spans="12:16">
      <c r="L406" s="102"/>
      <c r="M406" s="102"/>
      <c r="N406" s="102"/>
      <c r="O406" s="102"/>
      <c r="P406" s="102"/>
    </row>
    <row r="407" spans="12:16">
      <c r="L407" s="102"/>
      <c r="M407" s="102"/>
      <c r="N407" s="102"/>
      <c r="O407" s="102"/>
      <c r="P407" s="102"/>
    </row>
    <row r="408" spans="12:16">
      <c r="L408" s="102"/>
      <c r="M408" s="102"/>
      <c r="N408" s="102"/>
      <c r="O408" s="102"/>
      <c r="P408" s="102"/>
    </row>
    <row r="409" spans="12:16">
      <c r="L409" s="102"/>
      <c r="M409" s="102"/>
      <c r="N409" s="102"/>
      <c r="O409" s="102"/>
      <c r="P409" s="102"/>
    </row>
    <row r="410" spans="12:16">
      <c r="L410" s="102"/>
      <c r="M410" s="102"/>
      <c r="N410" s="102"/>
      <c r="O410" s="102"/>
      <c r="P410" s="102"/>
    </row>
    <row r="411" spans="12:16">
      <c r="L411" s="102"/>
      <c r="M411" s="102"/>
      <c r="N411" s="102"/>
      <c r="O411" s="102"/>
      <c r="P411" s="102"/>
    </row>
    <row r="412" spans="12:16">
      <c r="L412" s="102"/>
      <c r="M412" s="102"/>
      <c r="N412" s="102"/>
      <c r="O412" s="102"/>
      <c r="P412" s="102"/>
    </row>
    <row r="413" spans="12:16">
      <c r="L413" s="102"/>
      <c r="M413" s="102"/>
      <c r="N413" s="102"/>
      <c r="O413" s="102"/>
      <c r="P413" s="102"/>
    </row>
    <row r="414" spans="12:16">
      <c r="L414" s="102"/>
      <c r="M414" s="102"/>
      <c r="N414" s="102"/>
      <c r="O414" s="102"/>
      <c r="P414" s="102"/>
    </row>
    <row r="415" spans="12:16">
      <c r="L415" s="102"/>
      <c r="M415" s="102"/>
      <c r="N415" s="102"/>
      <c r="O415" s="102"/>
      <c r="P415" s="102"/>
    </row>
    <row r="416" spans="12:16">
      <c r="L416" s="102"/>
      <c r="M416" s="102"/>
      <c r="N416" s="102"/>
      <c r="O416" s="102"/>
      <c r="P416" s="102"/>
    </row>
    <row r="417" spans="10:16">
      <c r="L417" s="102"/>
      <c r="M417" s="102"/>
      <c r="N417" s="102"/>
      <c r="O417" s="102"/>
      <c r="P417" s="102"/>
    </row>
    <row r="418" spans="10:16">
      <c r="L418" s="102"/>
      <c r="M418" s="102"/>
      <c r="N418" s="102"/>
      <c r="O418" s="102"/>
      <c r="P418" s="102"/>
    </row>
    <row r="419" spans="10:16">
      <c r="L419" s="102"/>
      <c r="M419" s="102"/>
      <c r="N419" s="102"/>
      <c r="O419" s="102"/>
      <c r="P419" s="102"/>
    </row>
    <row r="420" spans="10:16">
      <c r="L420" s="102"/>
      <c r="M420" s="102"/>
      <c r="N420" s="102"/>
      <c r="O420" s="102"/>
      <c r="P420" s="102"/>
    </row>
    <row r="421" spans="10:16">
      <c r="L421" s="102"/>
      <c r="M421" s="102"/>
      <c r="N421" s="102"/>
      <c r="O421" s="102"/>
      <c r="P421" s="102"/>
    </row>
    <row r="422" spans="10:16">
      <c r="L422" s="102"/>
      <c r="M422" s="102"/>
      <c r="N422" s="102"/>
      <c r="O422" s="102"/>
      <c r="P422" s="102"/>
    </row>
    <row r="423" spans="10:16">
      <c r="L423" s="102"/>
      <c r="M423" s="102"/>
      <c r="N423" s="102"/>
      <c r="O423" s="102"/>
      <c r="P423" s="102"/>
    </row>
    <row r="424" spans="10:16">
      <c r="L424" s="102"/>
      <c r="M424" s="102"/>
      <c r="N424" s="102"/>
      <c r="O424" s="102"/>
      <c r="P424" s="102"/>
    </row>
    <row r="425" spans="10:16">
      <c r="L425" s="102"/>
      <c r="M425" s="102"/>
      <c r="N425" s="102"/>
      <c r="O425" s="102"/>
      <c r="P425" s="102"/>
    </row>
    <row r="426" spans="10:16">
      <c r="L426" s="102"/>
      <c r="M426" s="102"/>
      <c r="N426" s="102"/>
      <c r="O426" s="102"/>
      <c r="P426" s="102"/>
    </row>
    <row r="427" spans="10:16">
      <c r="J427" s="102"/>
      <c r="K427" s="102"/>
      <c r="L427" s="102"/>
      <c r="M427" s="102"/>
      <c r="N427" s="102"/>
      <c r="O427" s="102"/>
      <c r="P427" s="102"/>
    </row>
    <row r="428" spans="10:16">
      <c r="J428" s="102"/>
      <c r="K428" s="102"/>
      <c r="L428" s="102"/>
      <c r="M428" s="102"/>
      <c r="N428" s="102"/>
      <c r="O428" s="102"/>
      <c r="P428" s="102"/>
    </row>
    <row r="429" spans="10:16">
      <c r="J429" s="102"/>
      <c r="K429" s="102"/>
      <c r="L429" s="102"/>
      <c r="M429" s="102"/>
      <c r="N429" s="102"/>
      <c r="O429" s="102"/>
      <c r="P429" s="102"/>
    </row>
    <row r="430" spans="10:16">
      <c r="J430" s="102"/>
      <c r="K430" s="102"/>
      <c r="L430" s="102"/>
      <c r="M430" s="102"/>
      <c r="N430" s="102"/>
      <c r="O430" s="102"/>
      <c r="P430" s="102"/>
    </row>
    <row r="431" spans="10:16">
      <c r="J431" s="102"/>
      <c r="K431" s="102"/>
      <c r="L431" s="102"/>
      <c r="M431" s="102"/>
      <c r="N431" s="102"/>
      <c r="O431" s="102"/>
      <c r="P431" s="102"/>
    </row>
    <row r="432" spans="10:16">
      <c r="J432" s="102"/>
      <c r="K432" s="102"/>
      <c r="L432" s="102"/>
      <c r="M432" s="102"/>
      <c r="N432" s="102"/>
      <c r="O432" s="102"/>
      <c r="P432" s="102"/>
    </row>
    <row r="433" spans="10:16">
      <c r="J433" s="102"/>
      <c r="K433" s="102"/>
      <c r="L433" s="102"/>
      <c r="M433" s="102"/>
      <c r="N433" s="102"/>
      <c r="O433" s="102"/>
      <c r="P433" s="102"/>
    </row>
    <row r="434" spans="10:16">
      <c r="J434" s="102"/>
      <c r="K434" s="102"/>
      <c r="L434" s="102"/>
      <c r="M434" s="102"/>
      <c r="N434" s="102"/>
      <c r="O434" s="102"/>
      <c r="P434" s="102"/>
    </row>
    <row r="435" spans="10:16">
      <c r="J435" s="102"/>
      <c r="K435" s="102"/>
      <c r="L435" s="102"/>
      <c r="M435" s="102"/>
      <c r="N435" s="102"/>
      <c r="O435" s="102"/>
      <c r="P435" s="102"/>
    </row>
    <row r="436" spans="10:16">
      <c r="J436" s="102"/>
      <c r="K436" s="102"/>
      <c r="L436" s="102"/>
      <c r="M436" s="102"/>
      <c r="N436" s="102"/>
      <c r="O436" s="102"/>
      <c r="P436" s="102"/>
    </row>
    <row r="437" spans="10:16">
      <c r="J437" s="102"/>
      <c r="K437" s="102"/>
      <c r="L437" s="102"/>
      <c r="M437" s="102"/>
      <c r="N437" s="102"/>
      <c r="O437" s="102"/>
      <c r="P437" s="102"/>
    </row>
    <row r="438" spans="10:16">
      <c r="J438" s="102"/>
      <c r="K438" s="102"/>
      <c r="L438" s="102"/>
      <c r="M438" s="102"/>
      <c r="N438" s="102"/>
      <c r="O438" s="102"/>
      <c r="P438" s="102"/>
    </row>
    <row r="439" spans="10:16">
      <c r="J439" s="102"/>
      <c r="K439" s="102"/>
      <c r="L439" s="102"/>
      <c r="M439" s="102"/>
      <c r="N439" s="102"/>
      <c r="O439" s="102"/>
      <c r="P439" s="102"/>
    </row>
    <row r="440" spans="10:16">
      <c r="J440" s="102"/>
      <c r="K440" s="102"/>
      <c r="L440" s="102"/>
      <c r="M440" s="102"/>
      <c r="N440" s="102"/>
      <c r="O440" s="102"/>
      <c r="P440" s="102"/>
    </row>
    <row r="441" spans="10:16">
      <c r="J441" s="102"/>
      <c r="K441" s="102"/>
      <c r="L441" s="102"/>
      <c r="M441" s="102"/>
      <c r="N441" s="102"/>
      <c r="O441" s="102"/>
      <c r="P441" s="102"/>
    </row>
    <row r="442" spans="10:16">
      <c r="J442" s="102"/>
      <c r="K442" s="102"/>
      <c r="L442" s="102"/>
      <c r="M442" s="102"/>
      <c r="N442" s="102"/>
      <c r="O442" s="102"/>
      <c r="P442" s="102"/>
    </row>
    <row r="443" spans="10:16">
      <c r="J443" s="102"/>
      <c r="K443" s="102"/>
      <c r="L443" s="102"/>
      <c r="M443" s="102"/>
      <c r="N443" s="102"/>
      <c r="O443" s="102"/>
      <c r="P443" s="102"/>
    </row>
    <row r="444" spans="10:16">
      <c r="J444" s="102"/>
      <c r="K444" s="102"/>
      <c r="L444" s="102"/>
      <c r="M444" s="102"/>
      <c r="N444" s="102"/>
      <c r="O444" s="102"/>
      <c r="P444" s="102"/>
    </row>
    <row r="445" spans="10:16">
      <c r="J445" s="102"/>
      <c r="K445" s="102"/>
      <c r="L445" s="102"/>
      <c r="M445" s="102"/>
      <c r="N445" s="102"/>
      <c r="O445" s="102"/>
      <c r="P445" s="102"/>
    </row>
    <row r="446" spans="10:16">
      <c r="J446" s="102"/>
      <c r="K446" s="102"/>
      <c r="L446" s="102"/>
      <c r="M446" s="102"/>
      <c r="N446" s="102"/>
      <c r="O446" s="102"/>
      <c r="P446" s="102"/>
    </row>
    <row r="447" spans="10:16">
      <c r="J447" s="102"/>
      <c r="K447" s="102"/>
      <c r="L447" s="102"/>
      <c r="M447" s="102"/>
      <c r="N447" s="102"/>
      <c r="O447" s="102"/>
      <c r="P447" s="102"/>
    </row>
    <row r="448" spans="10:16">
      <c r="J448" s="102"/>
      <c r="K448" s="102"/>
      <c r="L448" s="102"/>
      <c r="M448" s="102"/>
      <c r="N448" s="102"/>
      <c r="O448" s="102"/>
      <c r="P448" s="102"/>
    </row>
    <row r="449" spans="10:16">
      <c r="J449" s="102"/>
      <c r="K449" s="102"/>
      <c r="L449" s="102"/>
      <c r="M449" s="102"/>
      <c r="N449" s="102"/>
      <c r="O449" s="102"/>
      <c r="P449" s="102"/>
    </row>
    <row r="450" spans="10:16">
      <c r="J450" s="102"/>
      <c r="K450" s="102"/>
      <c r="L450" s="102"/>
      <c r="M450" s="102"/>
      <c r="N450" s="102"/>
      <c r="O450" s="102"/>
      <c r="P450" s="102"/>
    </row>
    <row r="451" spans="10:16">
      <c r="J451" s="102"/>
      <c r="K451" s="102"/>
      <c r="L451" s="102"/>
      <c r="M451" s="102"/>
      <c r="N451" s="102"/>
      <c r="O451" s="102"/>
      <c r="P451" s="102"/>
    </row>
    <row r="452" spans="10:16">
      <c r="J452" s="102"/>
      <c r="K452" s="102"/>
      <c r="L452" s="102"/>
      <c r="M452" s="102"/>
      <c r="N452" s="102"/>
      <c r="O452" s="102"/>
      <c r="P452" s="102"/>
    </row>
    <row r="453" spans="10:16">
      <c r="J453" s="102"/>
      <c r="K453" s="102"/>
      <c r="L453" s="102"/>
      <c r="M453" s="102"/>
      <c r="N453" s="102"/>
      <c r="O453" s="102"/>
      <c r="P453" s="102"/>
    </row>
    <row r="454" spans="10:16">
      <c r="J454" s="102"/>
      <c r="K454" s="102"/>
      <c r="L454" s="102"/>
      <c r="M454" s="102"/>
      <c r="N454" s="102"/>
      <c r="O454" s="102"/>
      <c r="P454" s="102"/>
    </row>
    <row r="455" spans="10:16">
      <c r="J455" s="102"/>
      <c r="K455" s="102"/>
      <c r="L455" s="102"/>
      <c r="M455" s="102"/>
      <c r="N455" s="102"/>
      <c r="O455" s="102"/>
      <c r="P455" s="102"/>
    </row>
    <row r="456" spans="10:16">
      <c r="J456" s="102"/>
      <c r="K456" s="102"/>
      <c r="L456" s="102"/>
      <c r="M456" s="102"/>
      <c r="N456" s="102"/>
      <c r="O456" s="102"/>
      <c r="P456" s="102"/>
    </row>
    <row r="457" spans="10:16">
      <c r="J457" s="102"/>
      <c r="K457" s="102"/>
      <c r="L457" s="102"/>
      <c r="M457" s="102"/>
      <c r="N457" s="102"/>
      <c r="O457" s="102"/>
      <c r="P457" s="102"/>
    </row>
    <row r="458" spans="10:16">
      <c r="J458" s="102"/>
      <c r="K458" s="102"/>
      <c r="L458" s="102"/>
      <c r="M458" s="102"/>
      <c r="N458" s="102"/>
      <c r="O458" s="102"/>
      <c r="P458" s="102"/>
    </row>
    <row r="459" spans="10:16">
      <c r="J459" s="102"/>
      <c r="K459" s="102"/>
      <c r="L459" s="102"/>
      <c r="M459" s="102"/>
      <c r="N459" s="102"/>
      <c r="O459" s="102"/>
      <c r="P459" s="102"/>
    </row>
    <row r="460" spans="10:16">
      <c r="J460" s="102"/>
      <c r="K460" s="102"/>
      <c r="L460" s="102"/>
      <c r="M460" s="102"/>
      <c r="N460" s="102"/>
      <c r="O460" s="102"/>
      <c r="P460" s="102"/>
    </row>
    <row r="461" spans="10:16">
      <c r="J461" s="102"/>
      <c r="K461" s="102"/>
      <c r="L461" s="102"/>
      <c r="M461" s="102"/>
      <c r="N461" s="102"/>
      <c r="O461" s="102"/>
      <c r="P461" s="102"/>
    </row>
    <row r="462" spans="10:16">
      <c r="J462" s="102"/>
      <c r="K462" s="102"/>
      <c r="L462" s="102"/>
      <c r="M462" s="102"/>
      <c r="N462" s="102"/>
      <c r="O462" s="102"/>
      <c r="P462" s="102"/>
    </row>
    <row r="463" spans="10:16">
      <c r="J463" s="102"/>
      <c r="K463" s="102"/>
      <c r="L463" s="102"/>
      <c r="M463" s="102"/>
      <c r="N463" s="102"/>
      <c r="O463" s="102"/>
      <c r="P463" s="102"/>
    </row>
    <row r="464" spans="10:16">
      <c r="J464" s="102"/>
      <c r="K464" s="102"/>
      <c r="L464" s="102"/>
      <c r="M464" s="102"/>
      <c r="N464" s="102"/>
      <c r="O464" s="102"/>
      <c r="P464" s="102"/>
    </row>
  </sheetData>
  <mergeCells count="95">
    <mergeCell ref="F2:H2"/>
    <mergeCell ref="I2:I6"/>
    <mergeCell ref="J2:M2"/>
    <mergeCell ref="B4:B6"/>
    <mergeCell ref="B14:B21"/>
    <mergeCell ref="C14:C21"/>
    <mergeCell ref="B26:B30"/>
    <mergeCell ref="C26:C30"/>
    <mergeCell ref="B35:B37"/>
    <mergeCell ref="C35:C37"/>
    <mergeCell ref="B42:B47"/>
    <mergeCell ref="C42:C44"/>
    <mergeCell ref="C45:C47"/>
    <mergeCell ref="B52:B55"/>
    <mergeCell ref="C52:C55"/>
    <mergeCell ref="D59:F59"/>
    <mergeCell ref="B60:B63"/>
    <mergeCell ref="C60:C61"/>
    <mergeCell ref="D60:F60"/>
    <mergeCell ref="D61:F61"/>
    <mergeCell ref="C62:C63"/>
    <mergeCell ref="D62:F62"/>
    <mergeCell ref="D63:F63"/>
    <mergeCell ref="B68:B87"/>
    <mergeCell ref="C68:C74"/>
    <mergeCell ref="C75:C81"/>
    <mergeCell ref="C82:C87"/>
    <mergeCell ref="B92:B96"/>
    <mergeCell ref="C92:C96"/>
    <mergeCell ref="B137:B138"/>
    <mergeCell ref="C137:C138"/>
    <mergeCell ref="D137:F137"/>
    <mergeCell ref="D138:F138"/>
    <mergeCell ref="B101:B103"/>
    <mergeCell ref="C101:C103"/>
    <mergeCell ref="B108:B111"/>
    <mergeCell ref="C108:C111"/>
    <mergeCell ref="B116:B118"/>
    <mergeCell ref="C116:C118"/>
    <mergeCell ref="B123:B125"/>
    <mergeCell ref="C123:C125"/>
    <mergeCell ref="B130:B132"/>
    <mergeCell ref="C130:C132"/>
    <mergeCell ref="D136:F136"/>
    <mergeCell ref="B143:B145"/>
    <mergeCell ref="C143:C145"/>
    <mergeCell ref="B150:B152"/>
    <mergeCell ref="C150:C152"/>
    <mergeCell ref="B157:B162"/>
    <mergeCell ref="C157:C162"/>
    <mergeCell ref="B167:B169"/>
    <mergeCell ref="C167:C169"/>
    <mergeCell ref="B174:B176"/>
    <mergeCell ref="C174:C176"/>
    <mergeCell ref="B181:B183"/>
    <mergeCell ref="C181:C183"/>
    <mergeCell ref="F209:F210"/>
    <mergeCell ref="B188:B190"/>
    <mergeCell ref="C188:C190"/>
    <mergeCell ref="D194:F194"/>
    <mergeCell ref="B195:B196"/>
    <mergeCell ref="C195:C196"/>
    <mergeCell ref="D195:F195"/>
    <mergeCell ref="D196:F196"/>
    <mergeCell ref="B197:B198"/>
    <mergeCell ref="C197:C198"/>
    <mergeCell ref="D197:F197"/>
    <mergeCell ref="D198:F198"/>
    <mergeCell ref="F203:F204"/>
    <mergeCell ref="O369:V369"/>
    <mergeCell ref="F211:F212"/>
    <mergeCell ref="F213:F214"/>
    <mergeCell ref="B291:B292"/>
    <mergeCell ref="B294:B295"/>
    <mergeCell ref="I294:I295"/>
    <mergeCell ref="B296:B297"/>
    <mergeCell ref="I296:I297"/>
    <mergeCell ref="B298:B299"/>
    <mergeCell ref="I298:I299"/>
    <mergeCell ref="B300:B301"/>
    <mergeCell ref="B302:B303"/>
    <mergeCell ref="O368:V368"/>
    <mergeCell ref="P370:Q370"/>
    <mergeCell ref="O371:O372"/>
    <mergeCell ref="P371:T372"/>
    <mergeCell ref="B378:I378"/>
    <mergeCell ref="P389:Q389"/>
    <mergeCell ref="R389:T389"/>
    <mergeCell ref="O393:V393"/>
    <mergeCell ref="P390:Q390"/>
    <mergeCell ref="R390:T390"/>
    <mergeCell ref="P391:Q391"/>
    <mergeCell ref="R391:T391"/>
    <mergeCell ref="P392:Q392"/>
    <mergeCell ref="R392:T392"/>
  </mergeCells>
  <phoneticPr fontId="5" type="noConversion"/>
  <pageMargins left="0.19685039370078741" right="0.19685039370078741" top="0.74803149606299213" bottom="0.74803149606299213" header="0.31496062992125984" footer="0.31496062992125984"/>
  <pageSetup paperSize="9" scale="78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2038-7B7A-4F89-A450-6CDB134D4FBB}">
  <sheetPr>
    <tabColor rgb="FF7030A0"/>
    <pageSetUpPr fitToPage="1"/>
  </sheetPr>
  <dimension ref="A1:V464"/>
  <sheetViews>
    <sheetView showZeros="0" topLeftCell="A340" zoomScaleNormal="100" workbookViewId="0">
      <selection activeCell="C372" sqref="C372"/>
    </sheetView>
  </sheetViews>
  <sheetFormatPr defaultColWidth="25.25" defaultRowHeight="13.5"/>
  <cols>
    <col min="1" max="1" width="0.5" style="1" customWidth="1"/>
    <col min="2" max="2" width="25.25" style="102" customWidth="1"/>
    <col min="3" max="3" width="14.75" style="102" customWidth="1"/>
    <col min="4" max="4" width="11.5" style="102" customWidth="1"/>
    <col min="5" max="5" width="11.25" style="102" customWidth="1"/>
    <col min="6" max="6" width="12.25" style="102" customWidth="1"/>
    <col min="7" max="7" width="10" style="102" customWidth="1"/>
    <col min="8" max="8" width="9.875" style="102" customWidth="1"/>
    <col min="9" max="9" width="26.875" style="102" customWidth="1"/>
    <col min="10" max="10" width="11.125" style="43" customWidth="1"/>
    <col min="11" max="11" width="7.875" style="43" customWidth="1"/>
    <col min="12" max="12" width="7.25" style="43" customWidth="1"/>
    <col min="13" max="13" width="9.125" style="43" customWidth="1"/>
    <col min="14" max="14" width="15.125" style="255" customWidth="1"/>
    <col min="15" max="15" width="13.125" style="255" customWidth="1"/>
    <col min="16" max="16" width="24.375" style="255" customWidth="1"/>
    <col min="17" max="17" width="13.75" style="255" customWidth="1"/>
    <col min="18" max="18" width="11.25" style="255" customWidth="1"/>
    <col min="19" max="19" width="10.75" style="255" customWidth="1"/>
    <col min="20" max="20" width="10" style="255" customWidth="1"/>
    <col min="21" max="21" width="9.875" style="255" customWidth="1"/>
    <col min="22" max="22" width="26.125" style="255" customWidth="1"/>
    <col min="23" max="23" width="11.125" style="255" customWidth="1"/>
    <col min="24" max="24" width="7.875" style="255" customWidth="1"/>
    <col min="25" max="25" width="7.25" style="255" customWidth="1"/>
    <col min="26" max="26" width="9.125" style="255" customWidth="1"/>
    <col min="27" max="27" width="15.125" style="255" customWidth="1"/>
    <col min="28" max="28" width="7.75" style="255" customWidth="1"/>
    <col min="29" max="29" width="7.125" style="255" customWidth="1"/>
    <col min="30" max="30" width="12.125" style="255" customWidth="1"/>
    <col min="31" max="31" width="8.25" style="255" customWidth="1"/>
    <col min="32" max="33" width="10.375" style="255" customWidth="1"/>
    <col min="34" max="34" width="15.625" style="255" customWidth="1"/>
    <col min="35" max="35" width="15.875" style="255" customWidth="1"/>
    <col min="36" max="36" width="8.125" style="255" customWidth="1"/>
    <col min="37" max="40" width="10.375" style="255" customWidth="1"/>
    <col min="41" max="41" width="7.25" style="255" customWidth="1"/>
    <col min="42" max="42" width="7.125" style="255" customWidth="1"/>
    <col min="43" max="43" width="9.5" style="255" customWidth="1"/>
    <col min="44" max="45" width="9" style="255" customWidth="1"/>
    <col min="46" max="46" width="16.125" style="255" customWidth="1"/>
    <col min="47" max="77" width="9" style="255" customWidth="1"/>
    <col min="78" max="237" width="25.25" style="255"/>
    <col min="238" max="267" width="9" style="255" customWidth="1"/>
    <col min="268" max="268" width="0.5" style="255" customWidth="1"/>
    <col min="269" max="269" width="25.25" style="255"/>
    <col min="270" max="270" width="0.5" style="255" customWidth="1"/>
    <col min="271" max="271" width="25.25" style="255"/>
    <col min="272" max="272" width="14.75" style="255" customWidth="1"/>
    <col min="273" max="273" width="11.5" style="255" customWidth="1"/>
    <col min="274" max="274" width="11.25" style="255" customWidth="1"/>
    <col min="275" max="275" width="10.75" style="255" customWidth="1"/>
    <col min="276" max="276" width="10" style="255" customWidth="1"/>
    <col min="277" max="277" width="9.875" style="255" customWidth="1"/>
    <col min="278" max="278" width="26.125" style="255" customWidth="1"/>
    <col min="279" max="279" width="11.125" style="255" customWidth="1"/>
    <col min="280" max="280" width="7.875" style="255" customWidth="1"/>
    <col min="281" max="281" width="7.25" style="255" customWidth="1"/>
    <col min="282" max="282" width="9.125" style="255" customWidth="1"/>
    <col min="283" max="283" width="15.125" style="255" customWidth="1"/>
    <col min="284" max="284" width="7.75" style="255" customWidth="1"/>
    <col min="285" max="285" width="7.125" style="255" customWidth="1"/>
    <col min="286" max="286" width="12.125" style="255" customWidth="1"/>
    <col min="287" max="287" width="8.25" style="255" customWidth="1"/>
    <col min="288" max="289" width="10.375" style="255" customWidth="1"/>
    <col min="290" max="290" width="15.625" style="255" customWidth="1"/>
    <col min="291" max="291" width="15.875" style="255" customWidth="1"/>
    <col min="292" max="292" width="8.125" style="255" customWidth="1"/>
    <col min="293" max="296" width="10.375" style="255" customWidth="1"/>
    <col min="297" max="297" width="7.25" style="255" customWidth="1"/>
    <col min="298" max="298" width="7.125" style="255" customWidth="1"/>
    <col min="299" max="299" width="9.5" style="255" customWidth="1"/>
    <col min="300" max="301" width="9" style="255" customWidth="1"/>
    <col min="302" max="302" width="16.125" style="255" customWidth="1"/>
    <col min="303" max="333" width="9" style="255" customWidth="1"/>
    <col min="334" max="493" width="25.25" style="255"/>
    <col min="494" max="523" width="9" style="255" customWidth="1"/>
    <col min="524" max="524" width="0.5" style="255" customWidth="1"/>
    <col min="525" max="525" width="25.25" style="255"/>
    <col min="526" max="526" width="0.5" style="255" customWidth="1"/>
    <col min="527" max="527" width="25.25" style="255"/>
    <col min="528" max="528" width="14.75" style="255" customWidth="1"/>
    <col min="529" max="529" width="11.5" style="255" customWidth="1"/>
    <col min="530" max="530" width="11.25" style="255" customWidth="1"/>
    <col min="531" max="531" width="10.75" style="255" customWidth="1"/>
    <col min="532" max="532" width="10" style="255" customWidth="1"/>
    <col min="533" max="533" width="9.875" style="255" customWidth="1"/>
    <col min="534" max="534" width="26.125" style="255" customWidth="1"/>
    <col min="535" max="535" width="11.125" style="255" customWidth="1"/>
    <col min="536" max="536" width="7.875" style="255" customWidth="1"/>
    <col min="537" max="537" width="7.25" style="255" customWidth="1"/>
    <col min="538" max="538" width="9.125" style="255" customWidth="1"/>
    <col min="539" max="539" width="15.125" style="255" customWidth="1"/>
    <col min="540" max="540" width="7.75" style="255" customWidth="1"/>
    <col min="541" max="541" width="7.125" style="255" customWidth="1"/>
    <col min="542" max="542" width="12.125" style="255" customWidth="1"/>
    <col min="543" max="543" width="8.25" style="255" customWidth="1"/>
    <col min="544" max="545" width="10.375" style="255" customWidth="1"/>
    <col min="546" max="546" width="15.625" style="255" customWidth="1"/>
    <col min="547" max="547" width="15.875" style="255" customWidth="1"/>
    <col min="548" max="548" width="8.125" style="255" customWidth="1"/>
    <col min="549" max="552" width="10.375" style="255" customWidth="1"/>
    <col min="553" max="553" width="7.25" style="255" customWidth="1"/>
    <col min="554" max="554" width="7.125" style="255" customWidth="1"/>
    <col min="555" max="555" width="9.5" style="255" customWidth="1"/>
    <col min="556" max="557" width="9" style="255" customWidth="1"/>
    <col min="558" max="558" width="16.125" style="255" customWidth="1"/>
    <col min="559" max="589" width="9" style="255" customWidth="1"/>
    <col min="590" max="749" width="25.25" style="255"/>
    <col min="750" max="779" width="9" style="255" customWidth="1"/>
    <col min="780" max="780" width="0.5" style="255" customWidth="1"/>
    <col min="781" max="781" width="25.25" style="255"/>
    <col min="782" max="782" width="0.5" style="255" customWidth="1"/>
    <col min="783" max="783" width="25.25" style="255"/>
    <col min="784" max="784" width="14.75" style="255" customWidth="1"/>
    <col min="785" max="785" width="11.5" style="255" customWidth="1"/>
    <col min="786" max="786" width="11.25" style="255" customWidth="1"/>
    <col min="787" max="787" width="10.75" style="255" customWidth="1"/>
    <col min="788" max="788" width="10" style="255" customWidth="1"/>
    <col min="789" max="789" width="9.875" style="255" customWidth="1"/>
    <col min="790" max="790" width="26.125" style="255" customWidth="1"/>
    <col min="791" max="791" width="11.125" style="255" customWidth="1"/>
    <col min="792" max="792" width="7.875" style="255" customWidth="1"/>
    <col min="793" max="793" width="7.25" style="255" customWidth="1"/>
    <col min="794" max="794" width="9.125" style="255" customWidth="1"/>
    <col min="795" max="795" width="15.125" style="255" customWidth="1"/>
    <col min="796" max="796" width="7.75" style="255" customWidth="1"/>
    <col min="797" max="797" width="7.125" style="255" customWidth="1"/>
    <col min="798" max="798" width="12.125" style="255" customWidth="1"/>
    <col min="799" max="799" width="8.25" style="255" customWidth="1"/>
    <col min="800" max="801" width="10.375" style="255" customWidth="1"/>
    <col min="802" max="802" width="15.625" style="255" customWidth="1"/>
    <col min="803" max="803" width="15.875" style="255" customWidth="1"/>
    <col min="804" max="804" width="8.125" style="255" customWidth="1"/>
    <col min="805" max="808" width="10.375" style="255" customWidth="1"/>
    <col min="809" max="809" width="7.25" style="255" customWidth="1"/>
    <col min="810" max="810" width="7.125" style="255" customWidth="1"/>
    <col min="811" max="811" width="9.5" style="255" customWidth="1"/>
    <col min="812" max="813" width="9" style="255" customWidth="1"/>
    <col min="814" max="814" width="16.125" style="255" customWidth="1"/>
    <col min="815" max="845" width="9" style="255" customWidth="1"/>
    <col min="846" max="1005" width="25.25" style="255"/>
    <col min="1006" max="1035" width="9" style="255" customWidth="1"/>
    <col min="1036" max="1036" width="0.5" style="255" customWidth="1"/>
    <col min="1037" max="1037" width="25.25" style="255"/>
    <col min="1038" max="1038" width="0.5" style="255" customWidth="1"/>
    <col min="1039" max="1039" width="25.25" style="255"/>
    <col min="1040" max="1040" width="14.75" style="255" customWidth="1"/>
    <col min="1041" max="1041" width="11.5" style="255" customWidth="1"/>
    <col min="1042" max="1042" width="11.25" style="255" customWidth="1"/>
    <col min="1043" max="1043" width="10.75" style="255" customWidth="1"/>
    <col min="1044" max="1044" width="10" style="255" customWidth="1"/>
    <col min="1045" max="1045" width="9.875" style="255" customWidth="1"/>
    <col min="1046" max="1046" width="26.125" style="255" customWidth="1"/>
    <col min="1047" max="1047" width="11.125" style="255" customWidth="1"/>
    <col min="1048" max="1048" width="7.875" style="255" customWidth="1"/>
    <col min="1049" max="1049" width="7.25" style="255" customWidth="1"/>
    <col min="1050" max="1050" width="9.125" style="255" customWidth="1"/>
    <col min="1051" max="1051" width="15.125" style="255" customWidth="1"/>
    <col min="1052" max="1052" width="7.75" style="255" customWidth="1"/>
    <col min="1053" max="1053" width="7.125" style="255" customWidth="1"/>
    <col min="1054" max="1054" width="12.125" style="255" customWidth="1"/>
    <col min="1055" max="1055" width="8.25" style="255" customWidth="1"/>
    <col min="1056" max="1057" width="10.375" style="255" customWidth="1"/>
    <col min="1058" max="1058" width="15.625" style="255" customWidth="1"/>
    <col min="1059" max="1059" width="15.875" style="255" customWidth="1"/>
    <col min="1060" max="1060" width="8.125" style="255" customWidth="1"/>
    <col min="1061" max="1064" width="10.375" style="255" customWidth="1"/>
    <col min="1065" max="1065" width="7.25" style="255" customWidth="1"/>
    <col min="1066" max="1066" width="7.125" style="255" customWidth="1"/>
    <col min="1067" max="1067" width="9.5" style="255" customWidth="1"/>
    <col min="1068" max="1069" width="9" style="255" customWidth="1"/>
    <col min="1070" max="1070" width="16.125" style="255" customWidth="1"/>
    <col min="1071" max="1101" width="9" style="255" customWidth="1"/>
    <col min="1102" max="1261" width="25.25" style="255"/>
    <col min="1262" max="1291" width="9" style="255" customWidth="1"/>
    <col min="1292" max="1292" width="0.5" style="255" customWidth="1"/>
    <col min="1293" max="1293" width="25.25" style="255"/>
    <col min="1294" max="1294" width="0.5" style="255" customWidth="1"/>
    <col min="1295" max="1295" width="25.25" style="255"/>
    <col min="1296" max="1296" width="14.75" style="255" customWidth="1"/>
    <col min="1297" max="1297" width="11.5" style="255" customWidth="1"/>
    <col min="1298" max="1298" width="11.25" style="255" customWidth="1"/>
    <col min="1299" max="1299" width="10.75" style="255" customWidth="1"/>
    <col min="1300" max="1300" width="10" style="255" customWidth="1"/>
    <col min="1301" max="1301" width="9.875" style="255" customWidth="1"/>
    <col min="1302" max="1302" width="26.125" style="255" customWidth="1"/>
    <col min="1303" max="1303" width="11.125" style="255" customWidth="1"/>
    <col min="1304" max="1304" width="7.875" style="255" customWidth="1"/>
    <col min="1305" max="1305" width="7.25" style="255" customWidth="1"/>
    <col min="1306" max="1306" width="9.125" style="255" customWidth="1"/>
    <col min="1307" max="1307" width="15.125" style="255" customWidth="1"/>
    <col min="1308" max="1308" width="7.75" style="255" customWidth="1"/>
    <col min="1309" max="1309" width="7.125" style="255" customWidth="1"/>
    <col min="1310" max="1310" width="12.125" style="255" customWidth="1"/>
    <col min="1311" max="1311" width="8.25" style="255" customWidth="1"/>
    <col min="1312" max="1313" width="10.375" style="255" customWidth="1"/>
    <col min="1314" max="1314" width="15.625" style="255" customWidth="1"/>
    <col min="1315" max="1315" width="15.875" style="255" customWidth="1"/>
    <col min="1316" max="1316" width="8.125" style="255" customWidth="1"/>
    <col min="1317" max="1320" width="10.375" style="255" customWidth="1"/>
    <col min="1321" max="1321" width="7.25" style="255" customWidth="1"/>
    <col min="1322" max="1322" width="7.125" style="255" customWidth="1"/>
    <col min="1323" max="1323" width="9.5" style="255" customWidth="1"/>
    <col min="1324" max="1325" width="9" style="255" customWidth="1"/>
    <col min="1326" max="1326" width="16.125" style="255" customWidth="1"/>
    <col min="1327" max="1357" width="9" style="255" customWidth="1"/>
    <col min="1358" max="1517" width="25.25" style="255"/>
    <col min="1518" max="1547" width="9" style="255" customWidth="1"/>
    <col min="1548" max="1548" width="0.5" style="255" customWidth="1"/>
    <col min="1549" max="1549" width="25.25" style="255"/>
    <col min="1550" max="1550" width="0.5" style="255" customWidth="1"/>
    <col min="1551" max="1551" width="25.25" style="255"/>
    <col min="1552" max="1552" width="14.75" style="255" customWidth="1"/>
    <col min="1553" max="1553" width="11.5" style="255" customWidth="1"/>
    <col min="1554" max="1554" width="11.25" style="255" customWidth="1"/>
    <col min="1555" max="1555" width="10.75" style="255" customWidth="1"/>
    <col min="1556" max="1556" width="10" style="255" customWidth="1"/>
    <col min="1557" max="1557" width="9.875" style="255" customWidth="1"/>
    <col min="1558" max="1558" width="26.125" style="255" customWidth="1"/>
    <col min="1559" max="1559" width="11.125" style="255" customWidth="1"/>
    <col min="1560" max="1560" width="7.875" style="255" customWidth="1"/>
    <col min="1561" max="1561" width="7.25" style="255" customWidth="1"/>
    <col min="1562" max="1562" width="9.125" style="255" customWidth="1"/>
    <col min="1563" max="1563" width="15.125" style="255" customWidth="1"/>
    <col min="1564" max="1564" width="7.75" style="255" customWidth="1"/>
    <col min="1565" max="1565" width="7.125" style="255" customWidth="1"/>
    <col min="1566" max="1566" width="12.125" style="255" customWidth="1"/>
    <col min="1567" max="1567" width="8.25" style="255" customWidth="1"/>
    <col min="1568" max="1569" width="10.375" style="255" customWidth="1"/>
    <col min="1570" max="1570" width="15.625" style="255" customWidth="1"/>
    <col min="1571" max="1571" width="15.875" style="255" customWidth="1"/>
    <col min="1572" max="1572" width="8.125" style="255" customWidth="1"/>
    <col min="1573" max="1576" width="10.375" style="255" customWidth="1"/>
    <col min="1577" max="1577" width="7.25" style="255" customWidth="1"/>
    <col min="1578" max="1578" width="7.125" style="255" customWidth="1"/>
    <col min="1579" max="1579" width="9.5" style="255" customWidth="1"/>
    <col min="1580" max="1581" width="9" style="255" customWidth="1"/>
    <col min="1582" max="1582" width="16.125" style="255" customWidth="1"/>
    <col min="1583" max="1613" width="9" style="255" customWidth="1"/>
    <col min="1614" max="1773" width="25.25" style="255"/>
    <col min="1774" max="1803" width="9" style="255" customWidth="1"/>
    <col min="1804" max="1804" width="0.5" style="255" customWidth="1"/>
    <col min="1805" max="1805" width="25.25" style="255"/>
    <col min="1806" max="1806" width="0.5" style="255" customWidth="1"/>
    <col min="1807" max="1807" width="25.25" style="255"/>
    <col min="1808" max="1808" width="14.75" style="255" customWidth="1"/>
    <col min="1809" max="1809" width="11.5" style="255" customWidth="1"/>
    <col min="1810" max="1810" width="11.25" style="255" customWidth="1"/>
    <col min="1811" max="1811" width="10.75" style="255" customWidth="1"/>
    <col min="1812" max="1812" width="10" style="255" customWidth="1"/>
    <col min="1813" max="1813" width="9.875" style="255" customWidth="1"/>
    <col min="1814" max="1814" width="26.125" style="255" customWidth="1"/>
    <col min="1815" max="1815" width="11.125" style="255" customWidth="1"/>
    <col min="1816" max="1816" width="7.875" style="255" customWidth="1"/>
    <col min="1817" max="1817" width="7.25" style="255" customWidth="1"/>
    <col min="1818" max="1818" width="9.125" style="255" customWidth="1"/>
    <col min="1819" max="1819" width="15.125" style="255" customWidth="1"/>
    <col min="1820" max="1820" width="7.75" style="255" customWidth="1"/>
    <col min="1821" max="1821" width="7.125" style="255" customWidth="1"/>
    <col min="1822" max="1822" width="12.125" style="255" customWidth="1"/>
    <col min="1823" max="1823" width="8.25" style="255" customWidth="1"/>
    <col min="1824" max="1825" width="10.375" style="255" customWidth="1"/>
    <col min="1826" max="1826" width="15.625" style="255" customWidth="1"/>
    <col min="1827" max="1827" width="15.875" style="255" customWidth="1"/>
    <col min="1828" max="1828" width="8.125" style="255" customWidth="1"/>
    <col min="1829" max="1832" width="10.375" style="255" customWidth="1"/>
    <col min="1833" max="1833" width="7.25" style="255" customWidth="1"/>
    <col min="1834" max="1834" width="7.125" style="255" customWidth="1"/>
    <col min="1835" max="1835" width="9.5" style="255" customWidth="1"/>
    <col min="1836" max="1837" width="9" style="255" customWidth="1"/>
    <col min="1838" max="1838" width="16.125" style="255" customWidth="1"/>
    <col min="1839" max="1869" width="9" style="255" customWidth="1"/>
    <col min="1870" max="2029" width="25.25" style="255"/>
    <col min="2030" max="2059" width="9" style="255" customWidth="1"/>
    <col min="2060" max="2060" width="0.5" style="255" customWidth="1"/>
    <col min="2061" max="2061" width="25.25" style="255"/>
    <col min="2062" max="2062" width="0.5" style="255" customWidth="1"/>
    <col min="2063" max="2063" width="25.25" style="255"/>
    <col min="2064" max="2064" width="14.75" style="255" customWidth="1"/>
    <col min="2065" max="2065" width="11.5" style="255" customWidth="1"/>
    <col min="2066" max="2066" width="11.25" style="255" customWidth="1"/>
    <col min="2067" max="2067" width="10.75" style="255" customWidth="1"/>
    <col min="2068" max="2068" width="10" style="255" customWidth="1"/>
    <col min="2069" max="2069" width="9.875" style="255" customWidth="1"/>
    <col min="2070" max="2070" width="26.125" style="255" customWidth="1"/>
    <col min="2071" max="2071" width="11.125" style="255" customWidth="1"/>
    <col min="2072" max="2072" width="7.875" style="255" customWidth="1"/>
    <col min="2073" max="2073" width="7.25" style="255" customWidth="1"/>
    <col min="2074" max="2074" width="9.125" style="255" customWidth="1"/>
    <col min="2075" max="2075" width="15.125" style="255" customWidth="1"/>
    <col min="2076" max="2076" width="7.75" style="255" customWidth="1"/>
    <col min="2077" max="2077" width="7.125" style="255" customWidth="1"/>
    <col min="2078" max="2078" width="12.125" style="255" customWidth="1"/>
    <col min="2079" max="2079" width="8.25" style="255" customWidth="1"/>
    <col min="2080" max="2081" width="10.375" style="255" customWidth="1"/>
    <col min="2082" max="2082" width="15.625" style="255" customWidth="1"/>
    <col min="2083" max="2083" width="15.875" style="255" customWidth="1"/>
    <col min="2084" max="2084" width="8.125" style="255" customWidth="1"/>
    <col min="2085" max="2088" width="10.375" style="255" customWidth="1"/>
    <col min="2089" max="2089" width="7.25" style="255" customWidth="1"/>
    <col min="2090" max="2090" width="7.125" style="255" customWidth="1"/>
    <col min="2091" max="2091" width="9.5" style="255" customWidth="1"/>
    <col min="2092" max="2093" width="9" style="255" customWidth="1"/>
    <col min="2094" max="2094" width="16.125" style="255" customWidth="1"/>
    <col min="2095" max="2125" width="9" style="255" customWidth="1"/>
    <col min="2126" max="2285" width="25.25" style="255"/>
    <col min="2286" max="2315" width="9" style="255" customWidth="1"/>
    <col min="2316" max="2316" width="0.5" style="255" customWidth="1"/>
    <col min="2317" max="2317" width="25.25" style="255"/>
    <col min="2318" max="2318" width="0.5" style="255" customWidth="1"/>
    <col min="2319" max="2319" width="25.25" style="255"/>
    <col min="2320" max="2320" width="14.75" style="255" customWidth="1"/>
    <col min="2321" max="2321" width="11.5" style="255" customWidth="1"/>
    <col min="2322" max="2322" width="11.25" style="255" customWidth="1"/>
    <col min="2323" max="2323" width="10.75" style="255" customWidth="1"/>
    <col min="2324" max="2324" width="10" style="255" customWidth="1"/>
    <col min="2325" max="2325" width="9.875" style="255" customWidth="1"/>
    <col min="2326" max="2326" width="26.125" style="255" customWidth="1"/>
    <col min="2327" max="2327" width="11.125" style="255" customWidth="1"/>
    <col min="2328" max="2328" width="7.875" style="255" customWidth="1"/>
    <col min="2329" max="2329" width="7.25" style="255" customWidth="1"/>
    <col min="2330" max="2330" width="9.125" style="255" customWidth="1"/>
    <col min="2331" max="2331" width="15.125" style="255" customWidth="1"/>
    <col min="2332" max="2332" width="7.75" style="255" customWidth="1"/>
    <col min="2333" max="2333" width="7.125" style="255" customWidth="1"/>
    <col min="2334" max="2334" width="12.125" style="255" customWidth="1"/>
    <col min="2335" max="2335" width="8.25" style="255" customWidth="1"/>
    <col min="2336" max="2337" width="10.375" style="255" customWidth="1"/>
    <col min="2338" max="2338" width="15.625" style="255" customWidth="1"/>
    <col min="2339" max="2339" width="15.875" style="255" customWidth="1"/>
    <col min="2340" max="2340" width="8.125" style="255" customWidth="1"/>
    <col min="2341" max="2344" width="10.375" style="255" customWidth="1"/>
    <col min="2345" max="2345" width="7.25" style="255" customWidth="1"/>
    <col min="2346" max="2346" width="7.125" style="255" customWidth="1"/>
    <col min="2347" max="2347" width="9.5" style="255" customWidth="1"/>
    <col min="2348" max="2349" width="9" style="255" customWidth="1"/>
    <col min="2350" max="2350" width="16.125" style="255" customWidth="1"/>
    <col min="2351" max="2381" width="9" style="255" customWidth="1"/>
    <col min="2382" max="2541" width="25.25" style="255"/>
    <col min="2542" max="2571" width="9" style="255" customWidth="1"/>
    <col min="2572" max="2572" width="0.5" style="255" customWidth="1"/>
    <col min="2573" max="2573" width="25.25" style="255"/>
    <col min="2574" max="2574" width="0.5" style="255" customWidth="1"/>
    <col min="2575" max="2575" width="25.25" style="255"/>
    <col min="2576" max="2576" width="14.75" style="255" customWidth="1"/>
    <col min="2577" max="2577" width="11.5" style="255" customWidth="1"/>
    <col min="2578" max="2578" width="11.25" style="255" customWidth="1"/>
    <col min="2579" max="2579" width="10.75" style="255" customWidth="1"/>
    <col min="2580" max="2580" width="10" style="255" customWidth="1"/>
    <col min="2581" max="2581" width="9.875" style="255" customWidth="1"/>
    <col min="2582" max="2582" width="26.125" style="255" customWidth="1"/>
    <col min="2583" max="2583" width="11.125" style="255" customWidth="1"/>
    <col min="2584" max="2584" width="7.875" style="255" customWidth="1"/>
    <col min="2585" max="2585" width="7.25" style="255" customWidth="1"/>
    <col min="2586" max="2586" width="9.125" style="255" customWidth="1"/>
    <col min="2587" max="2587" width="15.125" style="255" customWidth="1"/>
    <col min="2588" max="2588" width="7.75" style="255" customWidth="1"/>
    <col min="2589" max="2589" width="7.125" style="255" customWidth="1"/>
    <col min="2590" max="2590" width="12.125" style="255" customWidth="1"/>
    <col min="2591" max="2591" width="8.25" style="255" customWidth="1"/>
    <col min="2592" max="2593" width="10.375" style="255" customWidth="1"/>
    <col min="2594" max="2594" width="15.625" style="255" customWidth="1"/>
    <col min="2595" max="2595" width="15.875" style="255" customWidth="1"/>
    <col min="2596" max="2596" width="8.125" style="255" customWidth="1"/>
    <col min="2597" max="2600" width="10.375" style="255" customWidth="1"/>
    <col min="2601" max="2601" width="7.25" style="255" customWidth="1"/>
    <col min="2602" max="2602" width="7.125" style="255" customWidth="1"/>
    <col min="2603" max="2603" width="9.5" style="255" customWidth="1"/>
    <col min="2604" max="2605" width="9" style="255" customWidth="1"/>
    <col min="2606" max="2606" width="16.125" style="255" customWidth="1"/>
    <col min="2607" max="2637" width="9" style="255" customWidth="1"/>
    <col min="2638" max="2797" width="25.25" style="255"/>
    <col min="2798" max="2827" width="9" style="255" customWidth="1"/>
    <col min="2828" max="2828" width="0.5" style="255" customWidth="1"/>
    <col min="2829" max="2829" width="25.25" style="255"/>
    <col min="2830" max="2830" width="0.5" style="255" customWidth="1"/>
    <col min="2831" max="2831" width="25.25" style="255"/>
    <col min="2832" max="2832" width="14.75" style="255" customWidth="1"/>
    <col min="2833" max="2833" width="11.5" style="255" customWidth="1"/>
    <col min="2834" max="2834" width="11.25" style="255" customWidth="1"/>
    <col min="2835" max="2835" width="10.75" style="255" customWidth="1"/>
    <col min="2836" max="2836" width="10" style="255" customWidth="1"/>
    <col min="2837" max="2837" width="9.875" style="255" customWidth="1"/>
    <col min="2838" max="2838" width="26.125" style="255" customWidth="1"/>
    <col min="2839" max="2839" width="11.125" style="255" customWidth="1"/>
    <col min="2840" max="2840" width="7.875" style="255" customWidth="1"/>
    <col min="2841" max="2841" width="7.25" style="255" customWidth="1"/>
    <col min="2842" max="2842" width="9.125" style="255" customWidth="1"/>
    <col min="2843" max="2843" width="15.125" style="255" customWidth="1"/>
    <col min="2844" max="2844" width="7.75" style="255" customWidth="1"/>
    <col min="2845" max="2845" width="7.125" style="255" customWidth="1"/>
    <col min="2846" max="2846" width="12.125" style="255" customWidth="1"/>
    <col min="2847" max="2847" width="8.25" style="255" customWidth="1"/>
    <col min="2848" max="2849" width="10.375" style="255" customWidth="1"/>
    <col min="2850" max="2850" width="15.625" style="255" customWidth="1"/>
    <col min="2851" max="2851" width="15.875" style="255" customWidth="1"/>
    <col min="2852" max="2852" width="8.125" style="255" customWidth="1"/>
    <col min="2853" max="2856" width="10.375" style="255" customWidth="1"/>
    <col min="2857" max="2857" width="7.25" style="255" customWidth="1"/>
    <col min="2858" max="2858" width="7.125" style="255" customWidth="1"/>
    <col min="2859" max="2859" width="9.5" style="255" customWidth="1"/>
    <col min="2860" max="2861" width="9" style="255" customWidth="1"/>
    <col min="2862" max="2862" width="16.125" style="255" customWidth="1"/>
    <col min="2863" max="2893" width="9" style="255" customWidth="1"/>
    <col min="2894" max="3053" width="25.25" style="255"/>
    <col min="3054" max="3083" width="9" style="255" customWidth="1"/>
    <col min="3084" max="3084" width="0.5" style="255" customWidth="1"/>
    <col min="3085" max="3085" width="25.25" style="255"/>
    <col min="3086" max="3086" width="0.5" style="255" customWidth="1"/>
    <col min="3087" max="3087" width="25.25" style="255"/>
    <col min="3088" max="3088" width="14.75" style="255" customWidth="1"/>
    <col min="3089" max="3089" width="11.5" style="255" customWidth="1"/>
    <col min="3090" max="3090" width="11.25" style="255" customWidth="1"/>
    <col min="3091" max="3091" width="10.75" style="255" customWidth="1"/>
    <col min="3092" max="3092" width="10" style="255" customWidth="1"/>
    <col min="3093" max="3093" width="9.875" style="255" customWidth="1"/>
    <col min="3094" max="3094" width="26.125" style="255" customWidth="1"/>
    <col min="3095" max="3095" width="11.125" style="255" customWidth="1"/>
    <col min="3096" max="3096" width="7.875" style="255" customWidth="1"/>
    <col min="3097" max="3097" width="7.25" style="255" customWidth="1"/>
    <col min="3098" max="3098" width="9.125" style="255" customWidth="1"/>
    <col min="3099" max="3099" width="15.125" style="255" customWidth="1"/>
    <col min="3100" max="3100" width="7.75" style="255" customWidth="1"/>
    <col min="3101" max="3101" width="7.125" style="255" customWidth="1"/>
    <col min="3102" max="3102" width="12.125" style="255" customWidth="1"/>
    <col min="3103" max="3103" width="8.25" style="255" customWidth="1"/>
    <col min="3104" max="3105" width="10.375" style="255" customWidth="1"/>
    <col min="3106" max="3106" width="15.625" style="255" customWidth="1"/>
    <col min="3107" max="3107" width="15.875" style="255" customWidth="1"/>
    <col min="3108" max="3108" width="8.125" style="255" customWidth="1"/>
    <col min="3109" max="3112" width="10.375" style="255" customWidth="1"/>
    <col min="3113" max="3113" width="7.25" style="255" customWidth="1"/>
    <col min="3114" max="3114" width="7.125" style="255" customWidth="1"/>
    <col min="3115" max="3115" width="9.5" style="255" customWidth="1"/>
    <col min="3116" max="3117" width="9" style="255" customWidth="1"/>
    <col min="3118" max="3118" width="16.125" style="255" customWidth="1"/>
    <col min="3119" max="3149" width="9" style="255" customWidth="1"/>
    <col min="3150" max="3309" width="25.25" style="255"/>
    <col min="3310" max="3339" width="9" style="255" customWidth="1"/>
    <col min="3340" max="3340" width="0.5" style="255" customWidth="1"/>
    <col min="3341" max="3341" width="25.25" style="255"/>
    <col min="3342" max="3342" width="0.5" style="255" customWidth="1"/>
    <col min="3343" max="3343" width="25.25" style="255"/>
    <col min="3344" max="3344" width="14.75" style="255" customWidth="1"/>
    <col min="3345" max="3345" width="11.5" style="255" customWidth="1"/>
    <col min="3346" max="3346" width="11.25" style="255" customWidth="1"/>
    <col min="3347" max="3347" width="10.75" style="255" customWidth="1"/>
    <col min="3348" max="3348" width="10" style="255" customWidth="1"/>
    <col min="3349" max="3349" width="9.875" style="255" customWidth="1"/>
    <col min="3350" max="3350" width="26.125" style="255" customWidth="1"/>
    <col min="3351" max="3351" width="11.125" style="255" customWidth="1"/>
    <col min="3352" max="3352" width="7.875" style="255" customWidth="1"/>
    <col min="3353" max="3353" width="7.25" style="255" customWidth="1"/>
    <col min="3354" max="3354" width="9.125" style="255" customWidth="1"/>
    <col min="3355" max="3355" width="15.125" style="255" customWidth="1"/>
    <col min="3356" max="3356" width="7.75" style="255" customWidth="1"/>
    <col min="3357" max="3357" width="7.125" style="255" customWidth="1"/>
    <col min="3358" max="3358" width="12.125" style="255" customWidth="1"/>
    <col min="3359" max="3359" width="8.25" style="255" customWidth="1"/>
    <col min="3360" max="3361" width="10.375" style="255" customWidth="1"/>
    <col min="3362" max="3362" width="15.625" style="255" customWidth="1"/>
    <col min="3363" max="3363" width="15.875" style="255" customWidth="1"/>
    <col min="3364" max="3364" width="8.125" style="255" customWidth="1"/>
    <col min="3365" max="3368" width="10.375" style="255" customWidth="1"/>
    <col min="3369" max="3369" width="7.25" style="255" customWidth="1"/>
    <col min="3370" max="3370" width="7.125" style="255" customWidth="1"/>
    <col min="3371" max="3371" width="9.5" style="255" customWidth="1"/>
    <col min="3372" max="3373" width="9" style="255" customWidth="1"/>
    <col min="3374" max="3374" width="16.125" style="255" customWidth="1"/>
    <col min="3375" max="3405" width="9" style="255" customWidth="1"/>
    <col min="3406" max="3565" width="25.25" style="255"/>
    <col min="3566" max="3595" width="9" style="255" customWidth="1"/>
    <col min="3596" max="3596" width="0.5" style="255" customWidth="1"/>
    <col min="3597" max="3597" width="25.25" style="255"/>
    <col min="3598" max="3598" width="0.5" style="255" customWidth="1"/>
    <col min="3599" max="3599" width="25.25" style="255"/>
    <col min="3600" max="3600" width="14.75" style="255" customWidth="1"/>
    <col min="3601" max="3601" width="11.5" style="255" customWidth="1"/>
    <col min="3602" max="3602" width="11.25" style="255" customWidth="1"/>
    <col min="3603" max="3603" width="10.75" style="255" customWidth="1"/>
    <col min="3604" max="3604" width="10" style="255" customWidth="1"/>
    <col min="3605" max="3605" width="9.875" style="255" customWidth="1"/>
    <col min="3606" max="3606" width="26.125" style="255" customWidth="1"/>
    <col min="3607" max="3607" width="11.125" style="255" customWidth="1"/>
    <col min="3608" max="3608" width="7.875" style="255" customWidth="1"/>
    <col min="3609" max="3609" width="7.25" style="255" customWidth="1"/>
    <col min="3610" max="3610" width="9.125" style="255" customWidth="1"/>
    <col min="3611" max="3611" width="15.125" style="255" customWidth="1"/>
    <col min="3612" max="3612" width="7.75" style="255" customWidth="1"/>
    <col min="3613" max="3613" width="7.125" style="255" customWidth="1"/>
    <col min="3614" max="3614" width="12.125" style="255" customWidth="1"/>
    <col min="3615" max="3615" width="8.25" style="255" customWidth="1"/>
    <col min="3616" max="3617" width="10.375" style="255" customWidth="1"/>
    <col min="3618" max="3618" width="15.625" style="255" customWidth="1"/>
    <col min="3619" max="3619" width="15.875" style="255" customWidth="1"/>
    <col min="3620" max="3620" width="8.125" style="255" customWidth="1"/>
    <col min="3621" max="3624" width="10.375" style="255" customWidth="1"/>
    <col min="3625" max="3625" width="7.25" style="255" customWidth="1"/>
    <col min="3626" max="3626" width="7.125" style="255" customWidth="1"/>
    <col min="3627" max="3627" width="9.5" style="255" customWidth="1"/>
    <col min="3628" max="3629" width="9" style="255" customWidth="1"/>
    <col min="3630" max="3630" width="16.125" style="255" customWidth="1"/>
    <col min="3631" max="3661" width="9" style="255" customWidth="1"/>
    <col min="3662" max="3821" width="25.25" style="255"/>
    <col min="3822" max="3851" width="9" style="255" customWidth="1"/>
    <col min="3852" max="3852" width="0.5" style="255" customWidth="1"/>
    <col min="3853" max="3853" width="25.25" style="255"/>
    <col min="3854" max="3854" width="0.5" style="255" customWidth="1"/>
    <col min="3855" max="3855" width="25.25" style="255"/>
    <col min="3856" max="3856" width="14.75" style="255" customWidth="1"/>
    <col min="3857" max="3857" width="11.5" style="255" customWidth="1"/>
    <col min="3858" max="3858" width="11.25" style="255" customWidth="1"/>
    <col min="3859" max="3859" width="10.75" style="255" customWidth="1"/>
    <col min="3860" max="3860" width="10" style="255" customWidth="1"/>
    <col min="3861" max="3861" width="9.875" style="255" customWidth="1"/>
    <col min="3862" max="3862" width="26.125" style="255" customWidth="1"/>
    <col min="3863" max="3863" width="11.125" style="255" customWidth="1"/>
    <col min="3864" max="3864" width="7.875" style="255" customWidth="1"/>
    <col min="3865" max="3865" width="7.25" style="255" customWidth="1"/>
    <col min="3866" max="3866" width="9.125" style="255" customWidth="1"/>
    <col min="3867" max="3867" width="15.125" style="255" customWidth="1"/>
    <col min="3868" max="3868" width="7.75" style="255" customWidth="1"/>
    <col min="3869" max="3869" width="7.125" style="255" customWidth="1"/>
    <col min="3870" max="3870" width="12.125" style="255" customWidth="1"/>
    <col min="3871" max="3871" width="8.25" style="255" customWidth="1"/>
    <col min="3872" max="3873" width="10.375" style="255" customWidth="1"/>
    <col min="3874" max="3874" width="15.625" style="255" customWidth="1"/>
    <col min="3875" max="3875" width="15.875" style="255" customWidth="1"/>
    <col min="3876" max="3876" width="8.125" style="255" customWidth="1"/>
    <col min="3877" max="3880" width="10.375" style="255" customWidth="1"/>
    <col min="3881" max="3881" width="7.25" style="255" customWidth="1"/>
    <col min="3882" max="3882" width="7.125" style="255" customWidth="1"/>
    <col min="3883" max="3883" width="9.5" style="255" customWidth="1"/>
    <col min="3884" max="3885" width="9" style="255" customWidth="1"/>
    <col min="3886" max="3886" width="16.125" style="255" customWidth="1"/>
    <col min="3887" max="3917" width="9" style="255" customWidth="1"/>
    <col min="3918" max="4077" width="25.25" style="255"/>
    <col min="4078" max="4107" width="9" style="255" customWidth="1"/>
    <col min="4108" max="4108" width="0.5" style="255" customWidth="1"/>
    <col min="4109" max="4109" width="25.25" style="255"/>
    <col min="4110" max="4110" width="0.5" style="255" customWidth="1"/>
    <col min="4111" max="4111" width="25.25" style="255"/>
    <col min="4112" max="4112" width="14.75" style="255" customWidth="1"/>
    <col min="4113" max="4113" width="11.5" style="255" customWidth="1"/>
    <col min="4114" max="4114" width="11.25" style="255" customWidth="1"/>
    <col min="4115" max="4115" width="10.75" style="255" customWidth="1"/>
    <col min="4116" max="4116" width="10" style="255" customWidth="1"/>
    <col min="4117" max="4117" width="9.875" style="255" customWidth="1"/>
    <col min="4118" max="4118" width="26.125" style="255" customWidth="1"/>
    <col min="4119" max="4119" width="11.125" style="255" customWidth="1"/>
    <col min="4120" max="4120" width="7.875" style="255" customWidth="1"/>
    <col min="4121" max="4121" width="7.25" style="255" customWidth="1"/>
    <col min="4122" max="4122" width="9.125" style="255" customWidth="1"/>
    <col min="4123" max="4123" width="15.125" style="255" customWidth="1"/>
    <col min="4124" max="4124" width="7.75" style="255" customWidth="1"/>
    <col min="4125" max="4125" width="7.125" style="255" customWidth="1"/>
    <col min="4126" max="4126" width="12.125" style="255" customWidth="1"/>
    <col min="4127" max="4127" width="8.25" style="255" customWidth="1"/>
    <col min="4128" max="4129" width="10.375" style="255" customWidth="1"/>
    <col min="4130" max="4130" width="15.625" style="255" customWidth="1"/>
    <col min="4131" max="4131" width="15.875" style="255" customWidth="1"/>
    <col min="4132" max="4132" width="8.125" style="255" customWidth="1"/>
    <col min="4133" max="4136" width="10.375" style="255" customWidth="1"/>
    <col min="4137" max="4137" width="7.25" style="255" customWidth="1"/>
    <col min="4138" max="4138" width="7.125" style="255" customWidth="1"/>
    <col min="4139" max="4139" width="9.5" style="255" customWidth="1"/>
    <col min="4140" max="4141" width="9" style="255" customWidth="1"/>
    <col min="4142" max="4142" width="16.125" style="255" customWidth="1"/>
    <col min="4143" max="4173" width="9" style="255" customWidth="1"/>
    <col min="4174" max="4333" width="25.25" style="255"/>
    <col min="4334" max="4363" width="9" style="255" customWidth="1"/>
    <col min="4364" max="4364" width="0.5" style="255" customWidth="1"/>
    <col min="4365" max="4365" width="25.25" style="255"/>
    <col min="4366" max="4366" width="0.5" style="255" customWidth="1"/>
    <col min="4367" max="4367" width="25.25" style="255"/>
    <col min="4368" max="4368" width="14.75" style="255" customWidth="1"/>
    <col min="4369" max="4369" width="11.5" style="255" customWidth="1"/>
    <col min="4370" max="4370" width="11.25" style="255" customWidth="1"/>
    <col min="4371" max="4371" width="10.75" style="255" customWidth="1"/>
    <col min="4372" max="4372" width="10" style="255" customWidth="1"/>
    <col min="4373" max="4373" width="9.875" style="255" customWidth="1"/>
    <col min="4374" max="4374" width="26.125" style="255" customWidth="1"/>
    <col min="4375" max="4375" width="11.125" style="255" customWidth="1"/>
    <col min="4376" max="4376" width="7.875" style="255" customWidth="1"/>
    <col min="4377" max="4377" width="7.25" style="255" customWidth="1"/>
    <col min="4378" max="4378" width="9.125" style="255" customWidth="1"/>
    <col min="4379" max="4379" width="15.125" style="255" customWidth="1"/>
    <col min="4380" max="4380" width="7.75" style="255" customWidth="1"/>
    <col min="4381" max="4381" width="7.125" style="255" customWidth="1"/>
    <col min="4382" max="4382" width="12.125" style="255" customWidth="1"/>
    <col min="4383" max="4383" width="8.25" style="255" customWidth="1"/>
    <col min="4384" max="4385" width="10.375" style="255" customWidth="1"/>
    <col min="4386" max="4386" width="15.625" style="255" customWidth="1"/>
    <col min="4387" max="4387" width="15.875" style="255" customWidth="1"/>
    <col min="4388" max="4388" width="8.125" style="255" customWidth="1"/>
    <col min="4389" max="4392" width="10.375" style="255" customWidth="1"/>
    <col min="4393" max="4393" width="7.25" style="255" customWidth="1"/>
    <col min="4394" max="4394" width="7.125" style="255" customWidth="1"/>
    <col min="4395" max="4395" width="9.5" style="255" customWidth="1"/>
    <col min="4396" max="4397" width="9" style="255" customWidth="1"/>
    <col min="4398" max="4398" width="16.125" style="255" customWidth="1"/>
    <col min="4399" max="4429" width="9" style="255" customWidth="1"/>
    <col min="4430" max="4589" width="25.25" style="255"/>
    <col min="4590" max="4619" width="9" style="255" customWidth="1"/>
    <col min="4620" max="4620" width="0.5" style="255" customWidth="1"/>
    <col min="4621" max="4621" width="25.25" style="255"/>
    <col min="4622" max="4622" width="0.5" style="255" customWidth="1"/>
    <col min="4623" max="4623" width="25.25" style="255"/>
    <col min="4624" max="4624" width="14.75" style="255" customWidth="1"/>
    <col min="4625" max="4625" width="11.5" style="255" customWidth="1"/>
    <col min="4626" max="4626" width="11.25" style="255" customWidth="1"/>
    <col min="4627" max="4627" width="10.75" style="255" customWidth="1"/>
    <col min="4628" max="4628" width="10" style="255" customWidth="1"/>
    <col min="4629" max="4629" width="9.875" style="255" customWidth="1"/>
    <col min="4630" max="4630" width="26.125" style="255" customWidth="1"/>
    <col min="4631" max="4631" width="11.125" style="255" customWidth="1"/>
    <col min="4632" max="4632" width="7.875" style="255" customWidth="1"/>
    <col min="4633" max="4633" width="7.25" style="255" customWidth="1"/>
    <col min="4634" max="4634" width="9.125" style="255" customWidth="1"/>
    <col min="4635" max="4635" width="15.125" style="255" customWidth="1"/>
    <col min="4636" max="4636" width="7.75" style="255" customWidth="1"/>
    <col min="4637" max="4637" width="7.125" style="255" customWidth="1"/>
    <col min="4638" max="4638" width="12.125" style="255" customWidth="1"/>
    <col min="4639" max="4639" width="8.25" style="255" customWidth="1"/>
    <col min="4640" max="4641" width="10.375" style="255" customWidth="1"/>
    <col min="4642" max="4642" width="15.625" style="255" customWidth="1"/>
    <col min="4643" max="4643" width="15.875" style="255" customWidth="1"/>
    <col min="4644" max="4644" width="8.125" style="255" customWidth="1"/>
    <col min="4645" max="4648" width="10.375" style="255" customWidth="1"/>
    <col min="4649" max="4649" width="7.25" style="255" customWidth="1"/>
    <col min="4650" max="4650" width="7.125" style="255" customWidth="1"/>
    <col min="4651" max="4651" width="9.5" style="255" customWidth="1"/>
    <col min="4652" max="4653" width="9" style="255" customWidth="1"/>
    <col min="4654" max="4654" width="16.125" style="255" customWidth="1"/>
    <col min="4655" max="4685" width="9" style="255" customWidth="1"/>
    <col min="4686" max="4845" width="25.25" style="255"/>
    <col min="4846" max="4875" width="9" style="255" customWidth="1"/>
    <col min="4876" max="4876" width="0.5" style="255" customWidth="1"/>
    <col min="4877" max="4877" width="25.25" style="255"/>
    <col min="4878" max="4878" width="0.5" style="255" customWidth="1"/>
    <col min="4879" max="4879" width="25.25" style="255"/>
    <col min="4880" max="4880" width="14.75" style="255" customWidth="1"/>
    <col min="4881" max="4881" width="11.5" style="255" customWidth="1"/>
    <col min="4882" max="4882" width="11.25" style="255" customWidth="1"/>
    <col min="4883" max="4883" width="10.75" style="255" customWidth="1"/>
    <col min="4884" max="4884" width="10" style="255" customWidth="1"/>
    <col min="4885" max="4885" width="9.875" style="255" customWidth="1"/>
    <col min="4886" max="4886" width="26.125" style="255" customWidth="1"/>
    <col min="4887" max="4887" width="11.125" style="255" customWidth="1"/>
    <col min="4888" max="4888" width="7.875" style="255" customWidth="1"/>
    <col min="4889" max="4889" width="7.25" style="255" customWidth="1"/>
    <col min="4890" max="4890" width="9.125" style="255" customWidth="1"/>
    <col min="4891" max="4891" width="15.125" style="255" customWidth="1"/>
    <col min="4892" max="4892" width="7.75" style="255" customWidth="1"/>
    <col min="4893" max="4893" width="7.125" style="255" customWidth="1"/>
    <col min="4894" max="4894" width="12.125" style="255" customWidth="1"/>
    <col min="4895" max="4895" width="8.25" style="255" customWidth="1"/>
    <col min="4896" max="4897" width="10.375" style="255" customWidth="1"/>
    <col min="4898" max="4898" width="15.625" style="255" customWidth="1"/>
    <col min="4899" max="4899" width="15.875" style="255" customWidth="1"/>
    <col min="4900" max="4900" width="8.125" style="255" customWidth="1"/>
    <col min="4901" max="4904" width="10.375" style="255" customWidth="1"/>
    <col min="4905" max="4905" width="7.25" style="255" customWidth="1"/>
    <col min="4906" max="4906" width="7.125" style="255" customWidth="1"/>
    <col min="4907" max="4907" width="9.5" style="255" customWidth="1"/>
    <col min="4908" max="4909" width="9" style="255" customWidth="1"/>
    <col min="4910" max="4910" width="16.125" style="255" customWidth="1"/>
    <col min="4911" max="4941" width="9" style="255" customWidth="1"/>
    <col min="4942" max="5101" width="25.25" style="255"/>
    <col min="5102" max="5131" width="9" style="255" customWidth="1"/>
    <col min="5132" max="5132" width="0.5" style="255" customWidth="1"/>
    <col min="5133" max="5133" width="25.25" style="255"/>
    <col min="5134" max="5134" width="0.5" style="255" customWidth="1"/>
    <col min="5135" max="5135" width="25.25" style="255"/>
    <col min="5136" max="5136" width="14.75" style="255" customWidth="1"/>
    <col min="5137" max="5137" width="11.5" style="255" customWidth="1"/>
    <col min="5138" max="5138" width="11.25" style="255" customWidth="1"/>
    <col min="5139" max="5139" width="10.75" style="255" customWidth="1"/>
    <col min="5140" max="5140" width="10" style="255" customWidth="1"/>
    <col min="5141" max="5141" width="9.875" style="255" customWidth="1"/>
    <col min="5142" max="5142" width="26.125" style="255" customWidth="1"/>
    <col min="5143" max="5143" width="11.125" style="255" customWidth="1"/>
    <col min="5144" max="5144" width="7.875" style="255" customWidth="1"/>
    <col min="5145" max="5145" width="7.25" style="255" customWidth="1"/>
    <col min="5146" max="5146" width="9.125" style="255" customWidth="1"/>
    <col min="5147" max="5147" width="15.125" style="255" customWidth="1"/>
    <col min="5148" max="5148" width="7.75" style="255" customWidth="1"/>
    <col min="5149" max="5149" width="7.125" style="255" customWidth="1"/>
    <col min="5150" max="5150" width="12.125" style="255" customWidth="1"/>
    <col min="5151" max="5151" width="8.25" style="255" customWidth="1"/>
    <col min="5152" max="5153" width="10.375" style="255" customWidth="1"/>
    <col min="5154" max="5154" width="15.625" style="255" customWidth="1"/>
    <col min="5155" max="5155" width="15.875" style="255" customWidth="1"/>
    <col min="5156" max="5156" width="8.125" style="255" customWidth="1"/>
    <col min="5157" max="5160" width="10.375" style="255" customWidth="1"/>
    <col min="5161" max="5161" width="7.25" style="255" customWidth="1"/>
    <col min="5162" max="5162" width="7.125" style="255" customWidth="1"/>
    <col min="5163" max="5163" width="9.5" style="255" customWidth="1"/>
    <col min="5164" max="5165" width="9" style="255" customWidth="1"/>
    <col min="5166" max="5166" width="16.125" style="255" customWidth="1"/>
    <col min="5167" max="5197" width="9" style="255" customWidth="1"/>
    <col min="5198" max="5357" width="25.25" style="255"/>
    <col min="5358" max="5387" width="9" style="255" customWidth="1"/>
    <col min="5388" max="5388" width="0.5" style="255" customWidth="1"/>
    <col min="5389" max="5389" width="25.25" style="255"/>
    <col min="5390" max="5390" width="0.5" style="255" customWidth="1"/>
    <col min="5391" max="5391" width="25.25" style="255"/>
    <col min="5392" max="5392" width="14.75" style="255" customWidth="1"/>
    <col min="5393" max="5393" width="11.5" style="255" customWidth="1"/>
    <col min="5394" max="5394" width="11.25" style="255" customWidth="1"/>
    <col min="5395" max="5395" width="10.75" style="255" customWidth="1"/>
    <col min="5396" max="5396" width="10" style="255" customWidth="1"/>
    <col min="5397" max="5397" width="9.875" style="255" customWidth="1"/>
    <col min="5398" max="5398" width="26.125" style="255" customWidth="1"/>
    <col min="5399" max="5399" width="11.125" style="255" customWidth="1"/>
    <col min="5400" max="5400" width="7.875" style="255" customWidth="1"/>
    <col min="5401" max="5401" width="7.25" style="255" customWidth="1"/>
    <col min="5402" max="5402" width="9.125" style="255" customWidth="1"/>
    <col min="5403" max="5403" width="15.125" style="255" customWidth="1"/>
    <col min="5404" max="5404" width="7.75" style="255" customWidth="1"/>
    <col min="5405" max="5405" width="7.125" style="255" customWidth="1"/>
    <col min="5406" max="5406" width="12.125" style="255" customWidth="1"/>
    <col min="5407" max="5407" width="8.25" style="255" customWidth="1"/>
    <col min="5408" max="5409" width="10.375" style="255" customWidth="1"/>
    <col min="5410" max="5410" width="15.625" style="255" customWidth="1"/>
    <col min="5411" max="5411" width="15.875" style="255" customWidth="1"/>
    <col min="5412" max="5412" width="8.125" style="255" customWidth="1"/>
    <col min="5413" max="5416" width="10.375" style="255" customWidth="1"/>
    <col min="5417" max="5417" width="7.25" style="255" customWidth="1"/>
    <col min="5418" max="5418" width="7.125" style="255" customWidth="1"/>
    <col min="5419" max="5419" width="9.5" style="255" customWidth="1"/>
    <col min="5420" max="5421" width="9" style="255" customWidth="1"/>
    <col min="5422" max="5422" width="16.125" style="255" customWidth="1"/>
    <col min="5423" max="5453" width="9" style="255" customWidth="1"/>
    <col min="5454" max="5613" width="25.25" style="255"/>
    <col min="5614" max="5643" width="9" style="255" customWidth="1"/>
    <col min="5644" max="5644" width="0.5" style="255" customWidth="1"/>
    <col min="5645" max="5645" width="25.25" style="255"/>
    <col min="5646" max="5646" width="0.5" style="255" customWidth="1"/>
    <col min="5647" max="5647" width="25.25" style="255"/>
    <col min="5648" max="5648" width="14.75" style="255" customWidth="1"/>
    <col min="5649" max="5649" width="11.5" style="255" customWidth="1"/>
    <col min="5650" max="5650" width="11.25" style="255" customWidth="1"/>
    <col min="5651" max="5651" width="10.75" style="255" customWidth="1"/>
    <col min="5652" max="5652" width="10" style="255" customWidth="1"/>
    <col min="5653" max="5653" width="9.875" style="255" customWidth="1"/>
    <col min="5654" max="5654" width="26.125" style="255" customWidth="1"/>
    <col min="5655" max="5655" width="11.125" style="255" customWidth="1"/>
    <col min="5656" max="5656" width="7.875" style="255" customWidth="1"/>
    <col min="5657" max="5657" width="7.25" style="255" customWidth="1"/>
    <col min="5658" max="5658" width="9.125" style="255" customWidth="1"/>
    <col min="5659" max="5659" width="15.125" style="255" customWidth="1"/>
    <col min="5660" max="5660" width="7.75" style="255" customWidth="1"/>
    <col min="5661" max="5661" width="7.125" style="255" customWidth="1"/>
    <col min="5662" max="5662" width="12.125" style="255" customWidth="1"/>
    <col min="5663" max="5663" width="8.25" style="255" customWidth="1"/>
    <col min="5664" max="5665" width="10.375" style="255" customWidth="1"/>
    <col min="5666" max="5666" width="15.625" style="255" customWidth="1"/>
    <col min="5667" max="5667" width="15.875" style="255" customWidth="1"/>
    <col min="5668" max="5668" width="8.125" style="255" customWidth="1"/>
    <col min="5669" max="5672" width="10.375" style="255" customWidth="1"/>
    <col min="5673" max="5673" width="7.25" style="255" customWidth="1"/>
    <col min="5674" max="5674" width="7.125" style="255" customWidth="1"/>
    <col min="5675" max="5675" width="9.5" style="255" customWidth="1"/>
    <col min="5676" max="5677" width="9" style="255" customWidth="1"/>
    <col min="5678" max="5678" width="16.125" style="255" customWidth="1"/>
    <col min="5679" max="5709" width="9" style="255" customWidth="1"/>
    <col min="5710" max="5869" width="25.25" style="255"/>
    <col min="5870" max="5899" width="9" style="255" customWidth="1"/>
    <col min="5900" max="5900" width="0.5" style="255" customWidth="1"/>
    <col min="5901" max="5901" width="25.25" style="255"/>
    <col min="5902" max="5902" width="0.5" style="255" customWidth="1"/>
    <col min="5903" max="5903" width="25.25" style="255"/>
    <col min="5904" max="5904" width="14.75" style="255" customWidth="1"/>
    <col min="5905" max="5905" width="11.5" style="255" customWidth="1"/>
    <col min="5906" max="5906" width="11.25" style="255" customWidth="1"/>
    <col min="5907" max="5907" width="10.75" style="255" customWidth="1"/>
    <col min="5908" max="5908" width="10" style="255" customWidth="1"/>
    <col min="5909" max="5909" width="9.875" style="255" customWidth="1"/>
    <col min="5910" max="5910" width="26.125" style="255" customWidth="1"/>
    <col min="5911" max="5911" width="11.125" style="255" customWidth="1"/>
    <col min="5912" max="5912" width="7.875" style="255" customWidth="1"/>
    <col min="5913" max="5913" width="7.25" style="255" customWidth="1"/>
    <col min="5914" max="5914" width="9.125" style="255" customWidth="1"/>
    <col min="5915" max="5915" width="15.125" style="255" customWidth="1"/>
    <col min="5916" max="5916" width="7.75" style="255" customWidth="1"/>
    <col min="5917" max="5917" width="7.125" style="255" customWidth="1"/>
    <col min="5918" max="5918" width="12.125" style="255" customWidth="1"/>
    <col min="5919" max="5919" width="8.25" style="255" customWidth="1"/>
    <col min="5920" max="5921" width="10.375" style="255" customWidth="1"/>
    <col min="5922" max="5922" width="15.625" style="255" customWidth="1"/>
    <col min="5923" max="5923" width="15.875" style="255" customWidth="1"/>
    <col min="5924" max="5924" width="8.125" style="255" customWidth="1"/>
    <col min="5925" max="5928" width="10.375" style="255" customWidth="1"/>
    <col min="5929" max="5929" width="7.25" style="255" customWidth="1"/>
    <col min="5930" max="5930" width="7.125" style="255" customWidth="1"/>
    <col min="5931" max="5931" width="9.5" style="255" customWidth="1"/>
    <col min="5932" max="5933" width="9" style="255" customWidth="1"/>
    <col min="5934" max="5934" width="16.125" style="255" customWidth="1"/>
    <col min="5935" max="5965" width="9" style="255" customWidth="1"/>
    <col min="5966" max="6125" width="25.25" style="255"/>
    <col min="6126" max="6155" width="9" style="255" customWidth="1"/>
    <col min="6156" max="6156" width="0.5" style="255" customWidth="1"/>
    <col min="6157" max="6157" width="25.25" style="255"/>
    <col min="6158" max="6158" width="0.5" style="255" customWidth="1"/>
    <col min="6159" max="6159" width="25.25" style="255"/>
    <col min="6160" max="6160" width="14.75" style="255" customWidth="1"/>
    <col min="6161" max="6161" width="11.5" style="255" customWidth="1"/>
    <col min="6162" max="6162" width="11.25" style="255" customWidth="1"/>
    <col min="6163" max="6163" width="10.75" style="255" customWidth="1"/>
    <col min="6164" max="6164" width="10" style="255" customWidth="1"/>
    <col min="6165" max="6165" width="9.875" style="255" customWidth="1"/>
    <col min="6166" max="6166" width="26.125" style="255" customWidth="1"/>
    <col min="6167" max="6167" width="11.125" style="255" customWidth="1"/>
    <col min="6168" max="6168" width="7.875" style="255" customWidth="1"/>
    <col min="6169" max="6169" width="7.25" style="255" customWidth="1"/>
    <col min="6170" max="6170" width="9.125" style="255" customWidth="1"/>
    <col min="6171" max="6171" width="15.125" style="255" customWidth="1"/>
    <col min="6172" max="6172" width="7.75" style="255" customWidth="1"/>
    <col min="6173" max="6173" width="7.125" style="255" customWidth="1"/>
    <col min="6174" max="6174" width="12.125" style="255" customWidth="1"/>
    <col min="6175" max="6175" width="8.25" style="255" customWidth="1"/>
    <col min="6176" max="6177" width="10.375" style="255" customWidth="1"/>
    <col min="6178" max="6178" width="15.625" style="255" customWidth="1"/>
    <col min="6179" max="6179" width="15.875" style="255" customWidth="1"/>
    <col min="6180" max="6180" width="8.125" style="255" customWidth="1"/>
    <col min="6181" max="6184" width="10.375" style="255" customWidth="1"/>
    <col min="6185" max="6185" width="7.25" style="255" customWidth="1"/>
    <col min="6186" max="6186" width="7.125" style="255" customWidth="1"/>
    <col min="6187" max="6187" width="9.5" style="255" customWidth="1"/>
    <col min="6188" max="6189" width="9" style="255" customWidth="1"/>
    <col min="6190" max="6190" width="16.125" style="255" customWidth="1"/>
    <col min="6191" max="6221" width="9" style="255" customWidth="1"/>
    <col min="6222" max="6381" width="25.25" style="255"/>
    <col min="6382" max="6411" width="9" style="255" customWidth="1"/>
    <col min="6412" max="6412" width="0.5" style="255" customWidth="1"/>
    <col min="6413" max="6413" width="25.25" style="255"/>
    <col min="6414" max="6414" width="0.5" style="255" customWidth="1"/>
    <col min="6415" max="6415" width="25.25" style="255"/>
    <col min="6416" max="6416" width="14.75" style="255" customWidth="1"/>
    <col min="6417" max="6417" width="11.5" style="255" customWidth="1"/>
    <col min="6418" max="6418" width="11.25" style="255" customWidth="1"/>
    <col min="6419" max="6419" width="10.75" style="255" customWidth="1"/>
    <col min="6420" max="6420" width="10" style="255" customWidth="1"/>
    <col min="6421" max="6421" width="9.875" style="255" customWidth="1"/>
    <col min="6422" max="6422" width="26.125" style="255" customWidth="1"/>
    <col min="6423" max="6423" width="11.125" style="255" customWidth="1"/>
    <col min="6424" max="6424" width="7.875" style="255" customWidth="1"/>
    <col min="6425" max="6425" width="7.25" style="255" customWidth="1"/>
    <col min="6426" max="6426" width="9.125" style="255" customWidth="1"/>
    <col min="6427" max="6427" width="15.125" style="255" customWidth="1"/>
    <col min="6428" max="6428" width="7.75" style="255" customWidth="1"/>
    <col min="6429" max="6429" width="7.125" style="255" customWidth="1"/>
    <col min="6430" max="6430" width="12.125" style="255" customWidth="1"/>
    <col min="6431" max="6431" width="8.25" style="255" customWidth="1"/>
    <col min="6432" max="6433" width="10.375" style="255" customWidth="1"/>
    <col min="6434" max="6434" width="15.625" style="255" customWidth="1"/>
    <col min="6435" max="6435" width="15.875" style="255" customWidth="1"/>
    <col min="6436" max="6436" width="8.125" style="255" customWidth="1"/>
    <col min="6437" max="6440" width="10.375" style="255" customWidth="1"/>
    <col min="6441" max="6441" width="7.25" style="255" customWidth="1"/>
    <col min="6442" max="6442" width="7.125" style="255" customWidth="1"/>
    <col min="6443" max="6443" width="9.5" style="255" customWidth="1"/>
    <col min="6444" max="6445" width="9" style="255" customWidth="1"/>
    <col min="6446" max="6446" width="16.125" style="255" customWidth="1"/>
    <col min="6447" max="6477" width="9" style="255" customWidth="1"/>
    <col min="6478" max="6637" width="25.25" style="255"/>
    <col min="6638" max="6667" width="9" style="255" customWidth="1"/>
    <col min="6668" max="6668" width="0.5" style="255" customWidth="1"/>
    <col min="6669" max="6669" width="25.25" style="255"/>
    <col min="6670" max="6670" width="0.5" style="255" customWidth="1"/>
    <col min="6671" max="6671" width="25.25" style="255"/>
    <col min="6672" max="6672" width="14.75" style="255" customWidth="1"/>
    <col min="6673" max="6673" width="11.5" style="255" customWidth="1"/>
    <col min="6674" max="6674" width="11.25" style="255" customWidth="1"/>
    <col min="6675" max="6675" width="10.75" style="255" customWidth="1"/>
    <col min="6676" max="6676" width="10" style="255" customWidth="1"/>
    <col min="6677" max="6677" width="9.875" style="255" customWidth="1"/>
    <col min="6678" max="6678" width="26.125" style="255" customWidth="1"/>
    <col min="6679" max="6679" width="11.125" style="255" customWidth="1"/>
    <col min="6680" max="6680" width="7.875" style="255" customWidth="1"/>
    <col min="6681" max="6681" width="7.25" style="255" customWidth="1"/>
    <col min="6682" max="6682" width="9.125" style="255" customWidth="1"/>
    <col min="6683" max="6683" width="15.125" style="255" customWidth="1"/>
    <col min="6684" max="6684" width="7.75" style="255" customWidth="1"/>
    <col min="6685" max="6685" width="7.125" style="255" customWidth="1"/>
    <col min="6686" max="6686" width="12.125" style="255" customWidth="1"/>
    <col min="6687" max="6687" width="8.25" style="255" customWidth="1"/>
    <col min="6688" max="6689" width="10.375" style="255" customWidth="1"/>
    <col min="6690" max="6690" width="15.625" style="255" customWidth="1"/>
    <col min="6691" max="6691" width="15.875" style="255" customWidth="1"/>
    <col min="6692" max="6692" width="8.125" style="255" customWidth="1"/>
    <col min="6693" max="6696" width="10.375" style="255" customWidth="1"/>
    <col min="6697" max="6697" width="7.25" style="255" customWidth="1"/>
    <col min="6698" max="6698" width="7.125" style="255" customWidth="1"/>
    <col min="6699" max="6699" width="9.5" style="255" customWidth="1"/>
    <col min="6700" max="6701" width="9" style="255" customWidth="1"/>
    <col min="6702" max="6702" width="16.125" style="255" customWidth="1"/>
    <col min="6703" max="6733" width="9" style="255" customWidth="1"/>
    <col min="6734" max="6893" width="25.25" style="255"/>
    <col min="6894" max="6923" width="9" style="255" customWidth="1"/>
    <col min="6924" max="6924" width="0.5" style="255" customWidth="1"/>
    <col min="6925" max="6925" width="25.25" style="255"/>
    <col min="6926" max="6926" width="0.5" style="255" customWidth="1"/>
    <col min="6927" max="6927" width="25.25" style="255"/>
    <col min="6928" max="6928" width="14.75" style="255" customWidth="1"/>
    <col min="6929" max="6929" width="11.5" style="255" customWidth="1"/>
    <col min="6930" max="6930" width="11.25" style="255" customWidth="1"/>
    <col min="6931" max="6931" width="10.75" style="255" customWidth="1"/>
    <col min="6932" max="6932" width="10" style="255" customWidth="1"/>
    <col min="6933" max="6933" width="9.875" style="255" customWidth="1"/>
    <col min="6934" max="6934" width="26.125" style="255" customWidth="1"/>
    <col min="6935" max="6935" width="11.125" style="255" customWidth="1"/>
    <col min="6936" max="6936" width="7.875" style="255" customWidth="1"/>
    <col min="6937" max="6937" width="7.25" style="255" customWidth="1"/>
    <col min="6938" max="6938" width="9.125" style="255" customWidth="1"/>
    <col min="6939" max="6939" width="15.125" style="255" customWidth="1"/>
    <col min="6940" max="6940" width="7.75" style="255" customWidth="1"/>
    <col min="6941" max="6941" width="7.125" style="255" customWidth="1"/>
    <col min="6942" max="6942" width="12.125" style="255" customWidth="1"/>
    <col min="6943" max="6943" width="8.25" style="255" customWidth="1"/>
    <col min="6944" max="6945" width="10.375" style="255" customWidth="1"/>
    <col min="6946" max="6946" width="15.625" style="255" customWidth="1"/>
    <col min="6947" max="6947" width="15.875" style="255" customWidth="1"/>
    <col min="6948" max="6948" width="8.125" style="255" customWidth="1"/>
    <col min="6949" max="6952" width="10.375" style="255" customWidth="1"/>
    <col min="6953" max="6953" width="7.25" style="255" customWidth="1"/>
    <col min="6954" max="6954" width="7.125" style="255" customWidth="1"/>
    <col min="6955" max="6955" width="9.5" style="255" customWidth="1"/>
    <col min="6956" max="6957" width="9" style="255" customWidth="1"/>
    <col min="6958" max="6958" width="16.125" style="255" customWidth="1"/>
    <col min="6959" max="6989" width="9" style="255" customWidth="1"/>
    <col min="6990" max="7149" width="25.25" style="255"/>
    <col min="7150" max="7179" width="9" style="255" customWidth="1"/>
    <col min="7180" max="7180" width="0.5" style="255" customWidth="1"/>
    <col min="7181" max="7181" width="25.25" style="255"/>
    <col min="7182" max="7182" width="0.5" style="255" customWidth="1"/>
    <col min="7183" max="7183" width="25.25" style="255"/>
    <col min="7184" max="7184" width="14.75" style="255" customWidth="1"/>
    <col min="7185" max="7185" width="11.5" style="255" customWidth="1"/>
    <col min="7186" max="7186" width="11.25" style="255" customWidth="1"/>
    <col min="7187" max="7187" width="10.75" style="255" customWidth="1"/>
    <col min="7188" max="7188" width="10" style="255" customWidth="1"/>
    <col min="7189" max="7189" width="9.875" style="255" customWidth="1"/>
    <col min="7190" max="7190" width="26.125" style="255" customWidth="1"/>
    <col min="7191" max="7191" width="11.125" style="255" customWidth="1"/>
    <col min="7192" max="7192" width="7.875" style="255" customWidth="1"/>
    <col min="7193" max="7193" width="7.25" style="255" customWidth="1"/>
    <col min="7194" max="7194" width="9.125" style="255" customWidth="1"/>
    <col min="7195" max="7195" width="15.125" style="255" customWidth="1"/>
    <col min="7196" max="7196" width="7.75" style="255" customWidth="1"/>
    <col min="7197" max="7197" width="7.125" style="255" customWidth="1"/>
    <col min="7198" max="7198" width="12.125" style="255" customWidth="1"/>
    <col min="7199" max="7199" width="8.25" style="255" customWidth="1"/>
    <col min="7200" max="7201" width="10.375" style="255" customWidth="1"/>
    <col min="7202" max="7202" width="15.625" style="255" customWidth="1"/>
    <col min="7203" max="7203" width="15.875" style="255" customWidth="1"/>
    <col min="7204" max="7204" width="8.125" style="255" customWidth="1"/>
    <col min="7205" max="7208" width="10.375" style="255" customWidth="1"/>
    <col min="7209" max="7209" width="7.25" style="255" customWidth="1"/>
    <col min="7210" max="7210" width="7.125" style="255" customWidth="1"/>
    <col min="7211" max="7211" width="9.5" style="255" customWidth="1"/>
    <col min="7212" max="7213" width="9" style="255" customWidth="1"/>
    <col min="7214" max="7214" width="16.125" style="255" customWidth="1"/>
    <col min="7215" max="7245" width="9" style="255" customWidth="1"/>
    <col min="7246" max="7405" width="25.25" style="255"/>
    <col min="7406" max="7435" width="9" style="255" customWidth="1"/>
    <col min="7436" max="7436" width="0.5" style="255" customWidth="1"/>
    <col min="7437" max="7437" width="25.25" style="255"/>
    <col min="7438" max="7438" width="0.5" style="255" customWidth="1"/>
    <col min="7439" max="7439" width="25.25" style="255"/>
    <col min="7440" max="7440" width="14.75" style="255" customWidth="1"/>
    <col min="7441" max="7441" width="11.5" style="255" customWidth="1"/>
    <col min="7442" max="7442" width="11.25" style="255" customWidth="1"/>
    <col min="7443" max="7443" width="10.75" style="255" customWidth="1"/>
    <col min="7444" max="7444" width="10" style="255" customWidth="1"/>
    <col min="7445" max="7445" width="9.875" style="255" customWidth="1"/>
    <col min="7446" max="7446" width="26.125" style="255" customWidth="1"/>
    <col min="7447" max="7447" width="11.125" style="255" customWidth="1"/>
    <col min="7448" max="7448" width="7.875" style="255" customWidth="1"/>
    <col min="7449" max="7449" width="7.25" style="255" customWidth="1"/>
    <col min="7450" max="7450" width="9.125" style="255" customWidth="1"/>
    <col min="7451" max="7451" width="15.125" style="255" customWidth="1"/>
    <col min="7452" max="7452" width="7.75" style="255" customWidth="1"/>
    <col min="7453" max="7453" width="7.125" style="255" customWidth="1"/>
    <col min="7454" max="7454" width="12.125" style="255" customWidth="1"/>
    <col min="7455" max="7455" width="8.25" style="255" customWidth="1"/>
    <col min="7456" max="7457" width="10.375" style="255" customWidth="1"/>
    <col min="7458" max="7458" width="15.625" style="255" customWidth="1"/>
    <col min="7459" max="7459" width="15.875" style="255" customWidth="1"/>
    <col min="7460" max="7460" width="8.125" style="255" customWidth="1"/>
    <col min="7461" max="7464" width="10.375" style="255" customWidth="1"/>
    <col min="7465" max="7465" width="7.25" style="255" customWidth="1"/>
    <col min="7466" max="7466" width="7.125" style="255" customWidth="1"/>
    <col min="7467" max="7467" width="9.5" style="255" customWidth="1"/>
    <col min="7468" max="7469" width="9" style="255" customWidth="1"/>
    <col min="7470" max="7470" width="16.125" style="255" customWidth="1"/>
    <col min="7471" max="7501" width="9" style="255" customWidth="1"/>
    <col min="7502" max="7661" width="25.25" style="255"/>
    <col min="7662" max="7691" width="9" style="255" customWidth="1"/>
    <col min="7692" max="7692" width="0.5" style="255" customWidth="1"/>
    <col min="7693" max="7693" width="25.25" style="255"/>
    <col min="7694" max="7694" width="0.5" style="255" customWidth="1"/>
    <col min="7695" max="7695" width="25.25" style="255"/>
    <col min="7696" max="7696" width="14.75" style="255" customWidth="1"/>
    <col min="7697" max="7697" width="11.5" style="255" customWidth="1"/>
    <col min="7698" max="7698" width="11.25" style="255" customWidth="1"/>
    <col min="7699" max="7699" width="10.75" style="255" customWidth="1"/>
    <col min="7700" max="7700" width="10" style="255" customWidth="1"/>
    <col min="7701" max="7701" width="9.875" style="255" customWidth="1"/>
    <col min="7702" max="7702" width="26.125" style="255" customWidth="1"/>
    <col min="7703" max="7703" width="11.125" style="255" customWidth="1"/>
    <col min="7704" max="7704" width="7.875" style="255" customWidth="1"/>
    <col min="7705" max="7705" width="7.25" style="255" customWidth="1"/>
    <col min="7706" max="7706" width="9.125" style="255" customWidth="1"/>
    <col min="7707" max="7707" width="15.125" style="255" customWidth="1"/>
    <col min="7708" max="7708" width="7.75" style="255" customWidth="1"/>
    <col min="7709" max="7709" width="7.125" style="255" customWidth="1"/>
    <col min="7710" max="7710" width="12.125" style="255" customWidth="1"/>
    <col min="7711" max="7711" width="8.25" style="255" customWidth="1"/>
    <col min="7712" max="7713" width="10.375" style="255" customWidth="1"/>
    <col min="7714" max="7714" width="15.625" style="255" customWidth="1"/>
    <col min="7715" max="7715" width="15.875" style="255" customWidth="1"/>
    <col min="7716" max="7716" width="8.125" style="255" customWidth="1"/>
    <col min="7717" max="7720" width="10.375" style="255" customWidth="1"/>
    <col min="7721" max="7721" width="7.25" style="255" customWidth="1"/>
    <col min="7722" max="7722" width="7.125" style="255" customWidth="1"/>
    <col min="7723" max="7723" width="9.5" style="255" customWidth="1"/>
    <col min="7724" max="7725" width="9" style="255" customWidth="1"/>
    <col min="7726" max="7726" width="16.125" style="255" customWidth="1"/>
    <col min="7727" max="7757" width="9" style="255" customWidth="1"/>
    <col min="7758" max="7917" width="25.25" style="255"/>
    <col min="7918" max="7947" width="9" style="255" customWidth="1"/>
    <col min="7948" max="7948" width="0.5" style="255" customWidth="1"/>
    <col min="7949" max="7949" width="25.25" style="255"/>
    <col min="7950" max="7950" width="0.5" style="255" customWidth="1"/>
    <col min="7951" max="7951" width="25.25" style="255"/>
    <col min="7952" max="7952" width="14.75" style="255" customWidth="1"/>
    <col min="7953" max="7953" width="11.5" style="255" customWidth="1"/>
    <col min="7954" max="7954" width="11.25" style="255" customWidth="1"/>
    <col min="7955" max="7955" width="10.75" style="255" customWidth="1"/>
    <col min="7956" max="7956" width="10" style="255" customWidth="1"/>
    <col min="7957" max="7957" width="9.875" style="255" customWidth="1"/>
    <col min="7958" max="7958" width="26.125" style="255" customWidth="1"/>
    <col min="7959" max="7959" width="11.125" style="255" customWidth="1"/>
    <col min="7960" max="7960" width="7.875" style="255" customWidth="1"/>
    <col min="7961" max="7961" width="7.25" style="255" customWidth="1"/>
    <col min="7962" max="7962" width="9.125" style="255" customWidth="1"/>
    <col min="7963" max="7963" width="15.125" style="255" customWidth="1"/>
    <col min="7964" max="7964" width="7.75" style="255" customWidth="1"/>
    <col min="7965" max="7965" width="7.125" style="255" customWidth="1"/>
    <col min="7966" max="7966" width="12.125" style="255" customWidth="1"/>
    <col min="7967" max="7967" width="8.25" style="255" customWidth="1"/>
    <col min="7968" max="7969" width="10.375" style="255" customWidth="1"/>
    <col min="7970" max="7970" width="15.625" style="255" customWidth="1"/>
    <col min="7971" max="7971" width="15.875" style="255" customWidth="1"/>
    <col min="7972" max="7972" width="8.125" style="255" customWidth="1"/>
    <col min="7973" max="7976" width="10.375" style="255" customWidth="1"/>
    <col min="7977" max="7977" width="7.25" style="255" customWidth="1"/>
    <col min="7978" max="7978" width="7.125" style="255" customWidth="1"/>
    <col min="7979" max="7979" width="9.5" style="255" customWidth="1"/>
    <col min="7980" max="7981" width="9" style="255" customWidth="1"/>
    <col min="7982" max="7982" width="16.125" style="255" customWidth="1"/>
    <col min="7983" max="8013" width="9" style="255" customWidth="1"/>
    <col min="8014" max="8173" width="25.25" style="255"/>
    <col min="8174" max="8203" width="9" style="255" customWidth="1"/>
    <col min="8204" max="8204" width="0.5" style="255" customWidth="1"/>
    <col min="8205" max="8205" width="25.25" style="255"/>
    <col min="8206" max="8206" width="0.5" style="255" customWidth="1"/>
    <col min="8207" max="8207" width="25.25" style="255"/>
    <col min="8208" max="8208" width="14.75" style="255" customWidth="1"/>
    <col min="8209" max="8209" width="11.5" style="255" customWidth="1"/>
    <col min="8210" max="8210" width="11.25" style="255" customWidth="1"/>
    <col min="8211" max="8211" width="10.75" style="255" customWidth="1"/>
    <col min="8212" max="8212" width="10" style="255" customWidth="1"/>
    <col min="8213" max="8213" width="9.875" style="255" customWidth="1"/>
    <col min="8214" max="8214" width="26.125" style="255" customWidth="1"/>
    <col min="8215" max="8215" width="11.125" style="255" customWidth="1"/>
    <col min="8216" max="8216" width="7.875" style="255" customWidth="1"/>
    <col min="8217" max="8217" width="7.25" style="255" customWidth="1"/>
    <col min="8218" max="8218" width="9.125" style="255" customWidth="1"/>
    <col min="8219" max="8219" width="15.125" style="255" customWidth="1"/>
    <col min="8220" max="8220" width="7.75" style="255" customWidth="1"/>
    <col min="8221" max="8221" width="7.125" style="255" customWidth="1"/>
    <col min="8222" max="8222" width="12.125" style="255" customWidth="1"/>
    <col min="8223" max="8223" width="8.25" style="255" customWidth="1"/>
    <col min="8224" max="8225" width="10.375" style="255" customWidth="1"/>
    <col min="8226" max="8226" width="15.625" style="255" customWidth="1"/>
    <col min="8227" max="8227" width="15.875" style="255" customWidth="1"/>
    <col min="8228" max="8228" width="8.125" style="255" customWidth="1"/>
    <col min="8229" max="8232" width="10.375" style="255" customWidth="1"/>
    <col min="8233" max="8233" width="7.25" style="255" customWidth="1"/>
    <col min="8234" max="8234" width="7.125" style="255" customWidth="1"/>
    <col min="8235" max="8235" width="9.5" style="255" customWidth="1"/>
    <col min="8236" max="8237" width="9" style="255" customWidth="1"/>
    <col min="8238" max="8238" width="16.125" style="255" customWidth="1"/>
    <col min="8239" max="8269" width="9" style="255" customWidth="1"/>
    <col min="8270" max="8429" width="25.25" style="255"/>
    <col min="8430" max="8459" width="9" style="255" customWidth="1"/>
    <col min="8460" max="8460" width="0.5" style="255" customWidth="1"/>
    <col min="8461" max="8461" width="25.25" style="255"/>
    <col min="8462" max="8462" width="0.5" style="255" customWidth="1"/>
    <col min="8463" max="8463" width="25.25" style="255"/>
    <col min="8464" max="8464" width="14.75" style="255" customWidth="1"/>
    <col min="8465" max="8465" width="11.5" style="255" customWidth="1"/>
    <col min="8466" max="8466" width="11.25" style="255" customWidth="1"/>
    <col min="8467" max="8467" width="10.75" style="255" customWidth="1"/>
    <col min="8468" max="8468" width="10" style="255" customWidth="1"/>
    <col min="8469" max="8469" width="9.875" style="255" customWidth="1"/>
    <col min="8470" max="8470" width="26.125" style="255" customWidth="1"/>
    <col min="8471" max="8471" width="11.125" style="255" customWidth="1"/>
    <col min="8472" max="8472" width="7.875" style="255" customWidth="1"/>
    <col min="8473" max="8473" width="7.25" style="255" customWidth="1"/>
    <col min="8474" max="8474" width="9.125" style="255" customWidth="1"/>
    <col min="8475" max="8475" width="15.125" style="255" customWidth="1"/>
    <col min="8476" max="8476" width="7.75" style="255" customWidth="1"/>
    <col min="8477" max="8477" width="7.125" style="255" customWidth="1"/>
    <col min="8478" max="8478" width="12.125" style="255" customWidth="1"/>
    <col min="8479" max="8479" width="8.25" style="255" customWidth="1"/>
    <col min="8480" max="8481" width="10.375" style="255" customWidth="1"/>
    <col min="8482" max="8482" width="15.625" style="255" customWidth="1"/>
    <col min="8483" max="8483" width="15.875" style="255" customWidth="1"/>
    <col min="8484" max="8484" width="8.125" style="255" customWidth="1"/>
    <col min="8485" max="8488" width="10.375" style="255" customWidth="1"/>
    <col min="8489" max="8489" width="7.25" style="255" customWidth="1"/>
    <col min="8490" max="8490" width="7.125" style="255" customWidth="1"/>
    <col min="8491" max="8491" width="9.5" style="255" customWidth="1"/>
    <col min="8492" max="8493" width="9" style="255" customWidth="1"/>
    <col min="8494" max="8494" width="16.125" style="255" customWidth="1"/>
    <col min="8495" max="8525" width="9" style="255" customWidth="1"/>
    <col min="8526" max="8685" width="25.25" style="255"/>
    <col min="8686" max="8715" width="9" style="255" customWidth="1"/>
    <col min="8716" max="8716" width="0.5" style="255" customWidth="1"/>
    <col min="8717" max="8717" width="25.25" style="255"/>
    <col min="8718" max="8718" width="0.5" style="255" customWidth="1"/>
    <col min="8719" max="8719" width="25.25" style="255"/>
    <col min="8720" max="8720" width="14.75" style="255" customWidth="1"/>
    <col min="8721" max="8721" width="11.5" style="255" customWidth="1"/>
    <col min="8722" max="8722" width="11.25" style="255" customWidth="1"/>
    <col min="8723" max="8723" width="10.75" style="255" customWidth="1"/>
    <col min="8724" max="8724" width="10" style="255" customWidth="1"/>
    <col min="8725" max="8725" width="9.875" style="255" customWidth="1"/>
    <col min="8726" max="8726" width="26.125" style="255" customWidth="1"/>
    <col min="8727" max="8727" width="11.125" style="255" customWidth="1"/>
    <col min="8728" max="8728" width="7.875" style="255" customWidth="1"/>
    <col min="8729" max="8729" width="7.25" style="255" customWidth="1"/>
    <col min="8730" max="8730" width="9.125" style="255" customWidth="1"/>
    <col min="8731" max="8731" width="15.125" style="255" customWidth="1"/>
    <col min="8732" max="8732" width="7.75" style="255" customWidth="1"/>
    <col min="8733" max="8733" width="7.125" style="255" customWidth="1"/>
    <col min="8734" max="8734" width="12.125" style="255" customWidth="1"/>
    <col min="8735" max="8735" width="8.25" style="255" customWidth="1"/>
    <col min="8736" max="8737" width="10.375" style="255" customWidth="1"/>
    <col min="8738" max="8738" width="15.625" style="255" customWidth="1"/>
    <col min="8739" max="8739" width="15.875" style="255" customWidth="1"/>
    <col min="8740" max="8740" width="8.125" style="255" customWidth="1"/>
    <col min="8741" max="8744" width="10.375" style="255" customWidth="1"/>
    <col min="8745" max="8745" width="7.25" style="255" customWidth="1"/>
    <col min="8746" max="8746" width="7.125" style="255" customWidth="1"/>
    <col min="8747" max="8747" width="9.5" style="255" customWidth="1"/>
    <col min="8748" max="8749" width="9" style="255" customWidth="1"/>
    <col min="8750" max="8750" width="16.125" style="255" customWidth="1"/>
    <col min="8751" max="8781" width="9" style="255" customWidth="1"/>
    <col min="8782" max="8941" width="25.25" style="255"/>
    <col min="8942" max="8971" width="9" style="255" customWidth="1"/>
    <col min="8972" max="8972" width="0.5" style="255" customWidth="1"/>
    <col min="8973" max="8973" width="25.25" style="255"/>
    <col min="8974" max="8974" width="0.5" style="255" customWidth="1"/>
    <col min="8975" max="8975" width="25.25" style="255"/>
    <col min="8976" max="8976" width="14.75" style="255" customWidth="1"/>
    <col min="8977" max="8977" width="11.5" style="255" customWidth="1"/>
    <col min="8978" max="8978" width="11.25" style="255" customWidth="1"/>
    <col min="8979" max="8979" width="10.75" style="255" customWidth="1"/>
    <col min="8980" max="8980" width="10" style="255" customWidth="1"/>
    <col min="8981" max="8981" width="9.875" style="255" customWidth="1"/>
    <col min="8982" max="8982" width="26.125" style="255" customWidth="1"/>
    <col min="8983" max="8983" width="11.125" style="255" customWidth="1"/>
    <col min="8984" max="8984" width="7.875" style="255" customWidth="1"/>
    <col min="8985" max="8985" width="7.25" style="255" customWidth="1"/>
    <col min="8986" max="8986" width="9.125" style="255" customWidth="1"/>
    <col min="8987" max="8987" width="15.125" style="255" customWidth="1"/>
    <col min="8988" max="8988" width="7.75" style="255" customWidth="1"/>
    <col min="8989" max="8989" width="7.125" style="255" customWidth="1"/>
    <col min="8990" max="8990" width="12.125" style="255" customWidth="1"/>
    <col min="8991" max="8991" width="8.25" style="255" customWidth="1"/>
    <col min="8992" max="8993" width="10.375" style="255" customWidth="1"/>
    <col min="8994" max="8994" width="15.625" style="255" customWidth="1"/>
    <col min="8995" max="8995" width="15.875" style="255" customWidth="1"/>
    <col min="8996" max="8996" width="8.125" style="255" customWidth="1"/>
    <col min="8997" max="9000" width="10.375" style="255" customWidth="1"/>
    <col min="9001" max="9001" width="7.25" style="255" customWidth="1"/>
    <col min="9002" max="9002" width="7.125" style="255" customWidth="1"/>
    <col min="9003" max="9003" width="9.5" style="255" customWidth="1"/>
    <col min="9004" max="9005" width="9" style="255" customWidth="1"/>
    <col min="9006" max="9006" width="16.125" style="255" customWidth="1"/>
    <col min="9007" max="9037" width="9" style="255" customWidth="1"/>
    <col min="9038" max="9197" width="25.25" style="255"/>
    <col min="9198" max="9227" width="9" style="255" customWidth="1"/>
    <col min="9228" max="9228" width="0.5" style="255" customWidth="1"/>
    <col min="9229" max="9229" width="25.25" style="255"/>
    <col min="9230" max="9230" width="0.5" style="255" customWidth="1"/>
    <col min="9231" max="9231" width="25.25" style="255"/>
    <col min="9232" max="9232" width="14.75" style="255" customWidth="1"/>
    <col min="9233" max="9233" width="11.5" style="255" customWidth="1"/>
    <col min="9234" max="9234" width="11.25" style="255" customWidth="1"/>
    <col min="9235" max="9235" width="10.75" style="255" customWidth="1"/>
    <col min="9236" max="9236" width="10" style="255" customWidth="1"/>
    <col min="9237" max="9237" width="9.875" style="255" customWidth="1"/>
    <col min="9238" max="9238" width="26.125" style="255" customWidth="1"/>
    <col min="9239" max="9239" width="11.125" style="255" customWidth="1"/>
    <col min="9240" max="9240" width="7.875" style="255" customWidth="1"/>
    <col min="9241" max="9241" width="7.25" style="255" customWidth="1"/>
    <col min="9242" max="9242" width="9.125" style="255" customWidth="1"/>
    <col min="9243" max="9243" width="15.125" style="255" customWidth="1"/>
    <col min="9244" max="9244" width="7.75" style="255" customWidth="1"/>
    <col min="9245" max="9245" width="7.125" style="255" customWidth="1"/>
    <col min="9246" max="9246" width="12.125" style="255" customWidth="1"/>
    <col min="9247" max="9247" width="8.25" style="255" customWidth="1"/>
    <col min="9248" max="9249" width="10.375" style="255" customWidth="1"/>
    <col min="9250" max="9250" width="15.625" style="255" customWidth="1"/>
    <col min="9251" max="9251" width="15.875" style="255" customWidth="1"/>
    <col min="9252" max="9252" width="8.125" style="255" customWidth="1"/>
    <col min="9253" max="9256" width="10.375" style="255" customWidth="1"/>
    <col min="9257" max="9257" width="7.25" style="255" customWidth="1"/>
    <col min="9258" max="9258" width="7.125" style="255" customWidth="1"/>
    <col min="9259" max="9259" width="9.5" style="255" customWidth="1"/>
    <col min="9260" max="9261" width="9" style="255" customWidth="1"/>
    <col min="9262" max="9262" width="16.125" style="255" customWidth="1"/>
    <col min="9263" max="9293" width="9" style="255" customWidth="1"/>
    <col min="9294" max="9453" width="25.25" style="255"/>
    <col min="9454" max="9483" width="9" style="255" customWidth="1"/>
    <col min="9484" max="9484" width="0.5" style="255" customWidth="1"/>
    <col min="9485" max="9485" width="25.25" style="255"/>
    <col min="9486" max="9486" width="0.5" style="255" customWidth="1"/>
    <col min="9487" max="9487" width="25.25" style="255"/>
    <col min="9488" max="9488" width="14.75" style="255" customWidth="1"/>
    <col min="9489" max="9489" width="11.5" style="255" customWidth="1"/>
    <col min="9490" max="9490" width="11.25" style="255" customWidth="1"/>
    <col min="9491" max="9491" width="10.75" style="255" customWidth="1"/>
    <col min="9492" max="9492" width="10" style="255" customWidth="1"/>
    <col min="9493" max="9493" width="9.875" style="255" customWidth="1"/>
    <col min="9494" max="9494" width="26.125" style="255" customWidth="1"/>
    <col min="9495" max="9495" width="11.125" style="255" customWidth="1"/>
    <col min="9496" max="9496" width="7.875" style="255" customWidth="1"/>
    <col min="9497" max="9497" width="7.25" style="255" customWidth="1"/>
    <col min="9498" max="9498" width="9.125" style="255" customWidth="1"/>
    <col min="9499" max="9499" width="15.125" style="255" customWidth="1"/>
    <col min="9500" max="9500" width="7.75" style="255" customWidth="1"/>
    <col min="9501" max="9501" width="7.125" style="255" customWidth="1"/>
    <col min="9502" max="9502" width="12.125" style="255" customWidth="1"/>
    <col min="9503" max="9503" width="8.25" style="255" customWidth="1"/>
    <col min="9504" max="9505" width="10.375" style="255" customWidth="1"/>
    <col min="9506" max="9506" width="15.625" style="255" customWidth="1"/>
    <col min="9507" max="9507" width="15.875" style="255" customWidth="1"/>
    <col min="9508" max="9508" width="8.125" style="255" customWidth="1"/>
    <col min="9509" max="9512" width="10.375" style="255" customWidth="1"/>
    <col min="9513" max="9513" width="7.25" style="255" customWidth="1"/>
    <col min="9514" max="9514" width="7.125" style="255" customWidth="1"/>
    <col min="9515" max="9515" width="9.5" style="255" customWidth="1"/>
    <col min="9516" max="9517" width="9" style="255" customWidth="1"/>
    <col min="9518" max="9518" width="16.125" style="255" customWidth="1"/>
    <col min="9519" max="9549" width="9" style="255" customWidth="1"/>
    <col min="9550" max="9709" width="25.25" style="255"/>
    <col min="9710" max="9739" width="9" style="255" customWidth="1"/>
    <col min="9740" max="9740" width="0.5" style="255" customWidth="1"/>
    <col min="9741" max="9741" width="25.25" style="255"/>
    <col min="9742" max="9742" width="0.5" style="255" customWidth="1"/>
    <col min="9743" max="9743" width="25.25" style="255"/>
    <col min="9744" max="9744" width="14.75" style="255" customWidth="1"/>
    <col min="9745" max="9745" width="11.5" style="255" customWidth="1"/>
    <col min="9746" max="9746" width="11.25" style="255" customWidth="1"/>
    <col min="9747" max="9747" width="10.75" style="255" customWidth="1"/>
    <col min="9748" max="9748" width="10" style="255" customWidth="1"/>
    <col min="9749" max="9749" width="9.875" style="255" customWidth="1"/>
    <col min="9750" max="9750" width="26.125" style="255" customWidth="1"/>
    <col min="9751" max="9751" width="11.125" style="255" customWidth="1"/>
    <col min="9752" max="9752" width="7.875" style="255" customWidth="1"/>
    <col min="9753" max="9753" width="7.25" style="255" customWidth="1"/>
    <col min="9754" max="9754" width="9.125" style="255" customWidth="1"/>
    <col min="9755" max="9755" width="15.125" style="255" customWidth="1"/>
    <col min="9756" max="9756" width="7.75" style="255" customWidth="1"/>
    <col min="9757" max="9757" width="7.125" style="255" customWidth="1"/>
    <col min="9758" max="9758" width="12.125" style="255" customWidth="1"/>
    <col min="9759" max="9759" width="8.25" style="255" customWidth="1"/>
    <col min="9760" max="9761" width="10.375" style="255" customWidth="1"/>
    <col min="9762" max="9762" width="15.625" style="255" customWidth="1"/>
    <col min="9763" max="9763" width="15.875" style="255" customWidth="1"/>
    <col min="9764" max="9764" width="8.125" style="255" customWidth="1"/>
    <col min="9765" max="9768" width="10.375" style="255" customWidth="1"/>
    <col min="9769" max="9769" width="7.25" style="255" customWidth="1"/>
    <col min="9770" max="9770" width="7.125" style="255" customWidth="1"/>
    <col min="9771" max="9771" width="9.5" style="255" customWidth="1"/>
    <col min="9772" max="9773" width="9" style="255" customWidth="1"/>
    <col min="9774" max="9774" width="16.125" style="255" customWidth="1"/>
    <col min="9775" max="9805" width="9" style="255" customWidth="1"/>
    <col min="9806" max="9965" width="25.25" style="255"/>
    <col min="9966" max="9995" width="9" style="255" customWidth="1"/>
    <col min="9996" max="9996" width="0.5" style="255" customWidth="1"/>
    <col min="9997" max="9997" width="25.25" style="255"/>
    <col min="9998" max="9998" width="0.5" style="255" customWidth="1"/>
    <col min="9999" max="9999" width="25.25" style="255"/>
    <col min="10000" max="10000" width="14.75" style="255" customWidth="1"/>
    <col min="10001" max="10001" width="11.5" style="255" customWidth="1"/>
    <col min="10002" max="10002" width="11.25" style="255" customWidth="1"/>
    <col min="10003" max="10003" width="10.75" style="255" customWidth="1"/>
    <col min="10004" max="10004" width="10" style="255" customWidth="1"/>
    <col min="10005" max="10005" width="9.875" style="255" customWidth="1"/>
    <col min="10006" max="10006" width="26.125" style="255" customWidth="1"/>
    <col min="10007" max="10007" width="11.125" style="255" customWidth="1"/>
    <col min="10008" max="10008" width="7.875" style="255" customWidth="1"/>
    <col min="10009" max="10009" width="7.25" style="255" customWidth="1"/>
    <col min="10010" max="10010" width="9.125" style="255" customWidth="1"/>
    <col min="10011" max="10011" width="15.125" style="255" customWidth="1"/>
    <col min="10012" max="10012" width="7.75" style="255" customWidth="1"/>
    <col min="10013" max="10013" width="7.125" style="255" customWidth="1"/>
    <col min="10014" max="10014" width="12.125" style="255" customWidth="1"/>
    <col min="10015" max="10015" width="8.25" style="255" customWidth="1"/>
    <col min="10016" max="10017" width="10.375" style="255" customWidth="1"/>
    <col min="10018" max="10018" width="15.625" style="255" customWidth="1"/>
    <col min="10019" max="10019" width="15.875" style="255" customWidth="1"/>
    <col min="10020" max="10020" width="8.125" style="255" customWidth="1"/>
    <col min="10021" max="10024" width="10.375" style="255" customWidth="1"/>
    <col min="10025" max="10025" width="7.25" style="255" customWidth="1"/>
    <col min="10026" max="10026" width="7.125" style="255" customWidth="1"/>
    <col min="10027" max="10027" width="9.5" style="255" customWidth="1"/>
    <col min="10028" max="10029" width="9" style="255" customWidth="1"/>
    <col min="10030" max="10030" width="16.125" style="255" customWidth="1"/>
    <col min="10031" max="10061" width="9" style="255" customWidth="1"/>
    <col min="10062" max="10221" width="25.25" style="255"/>
    <col min="10222" max="10251" width="9" style="255" customWidth="1"/>
    <col min="10252" max="10252" width="0.5" style="255" customWidth="1"/>
    <col min="10253" max="10253" width="25.25" style="255"/>
    <col min="10254" max="10254" width="0.5" style="255" customWidth="1"/>
    <col min="10255" max="10255" width="25.25" style="255"/>
    <col min="10256" max="10256" width="14.75" style="255" customWidth="1"/>
    <col min="10257" max="10257" width="11.5" style="255" customWidth="1"/>
    <col min="10258" max="10258" width="11.25" style="255" customWidth="1"/>
    <col min="10259" max="10259" width="10.75" style="255" customWidth="1"/>
    <col min="10260" max="10260" width="10" style="255" customWidth="1"/>
    <col min="10261" max="10261" width="9.875" style="255" customWidth="1"/>
    <col min="10262" max="10262" width="26.125" style="255" customWidth="1"/>
    <col min="10263" max="10263" width="11.125" style="255" customWidth="1"/>
    <col min="10264" max="10264" width="7.875" style="255" customWidth="1"/>
    <col min="10265" max="10265" width="7.25" style="255" customWidth="1"/>
    <col min="10266" max="10266" width="9.125" style="255" customWidth="1"/>
    <col min="10267" max="10267" width="15.125" style="255" customWidth="1"/>
    <col min="10268" max="10268" width="7.75" style="255" customWidth="1"/>
    <col min="10269" max="10269" width="7.125" style="255" customWidth="1"/>
    <col min="10270" max="10270" width="12.125" style="255" customWidth="1"/>
    <col min="10271" max="10271" width="8.25" style="255" customWidth="1"/>
    <col min="10272" max="10273" width="10.375" style="255" customWidth="1"/>
    <col min="10274" max="10274" width="15.625" style="255" customWidth="1"/>
    <col min="10275" max="10275" width="15.875" style="255" customWidth="1"/>
    <col min="10276" max="10276" width="8.125" style="255" customWidth="1"/>
    <col min="10277" max="10280" width="10.375" style="255" customWidth="1"/>
    <col min="10281" max="10281" width="7.25" style="255" customWidth="1"/>
    <col min="10282" max="10282" width="7.125" style="255" customWidth="1"/>
    <col min="10283" max="10283" width="9.5" style="255" customWidth="1"/>
    <col min="10284" max="10285" width="9" style="255" customWidth="1"/>
    <col min="10286" max="10286" width="16.125" style="255" customWidth="1"/>
    <col min="10287" max="10317" width="9" style="255" customWidth="1"/>
    <col min="10318" max="10477" width="25.25" style="255"/>
    <col min="10478" max="10507" width="9" style="255" customWidth="1"/>
    <col min="10508" max="10508" width="0.5" style="255" customWidth="1"/>
    <col min="10509" max="10509" width="25.25" style="255"/>
    <col min="10510" max="10510" width="0.5" style="255" customWidth="1"/>
    <col min="10511" max="10511" width="25.25" style="255"/>
    <col min="10512" max="10512" width="14.75" style="255" customWidth="1"/>
    <col min="10513" max="10513" width="11.5" style="255" customWidth="1"/>
    <col min="10514" max="10514" width="11.25" style="255" customWidth="1"/>
    <col min="10515" max="10515" width="10.75" style="255" customWidth="1"/>
    <col min="10516" max="10516" width="10" style="255" customWidth="1"/>
    <col min="10517" max="10517" width="9.875" style="255" customWidth="1"/>
    <col min="10518" max="10518" width="26.125" style="255" customWidth="1"/>
    <col min="10519" max="10519" width="11.125" style="255" customWidth="1"/>
    <col min="10520" max="10520" width="7.875" style="255" customWidth="1"/>
    <col min="10521" max="10521" width="7.25" style="255" customWidth="1"/>
    <col min="10522" max="10522" width="9.125" style="255" customWidth="1"/>
    <col min="10523" max="10523" width="15.125" style="255" customWidth="1"/>
    <col min="10524" max="10524" width="7.75" style="255" customWidth="1"/>
    <col min="10525" max="10525" width="7.125" style="255" customWidth="1"/>
    <col min="10526" max="10526" width="12.125" style="255" customWidth="1"/>
    <col min="10527" max="10527" width="8.25" style="255" customWidth="1"/>
    <col min="10528" max="10529" width="10.375" style="255" customWidth="1"/>
    <col min="10530" max="10530" width="15.625" style="255" customWidth="1"/>
    <col min="10531" max="10531" width="15.875" style="255" customWidth="1"/>
    <col min="10532" max="10532" width="8.125" style="255" customWidth="1"/>
    <col min="10533" max="10536" width="10.375" style="255" customWidth="1"/>
    <col min="10537" max="10537" width="7.25" style="255" customWidth="1"/>
    <col min="10538" max="10538" width="7.125" style="255" customWidth="1"/>
    <col min="10539" max="10539" width="9.5" style="255" customWidth="1"/>
    <col min="10540" max="10541" width="9" style="255" customWidth="1"/>
    <col min="10542" max="10542" width="16.125" style="255" customWidth="1"/>
    <col min="10543" max="10573" width="9" style="255" customWidth="1"/>
    <col min="10574" max="10733" width="25.25" style="255"/>
    <col min="10734" max="10763" width="9" style="255" customWidth="1"/>
    <col min="10764" max="10764" width="0.5" style="255" customWidth="1"/>
    <col min="10765" max="10765" width="25.25" style="255"/>
    <col min="10766" max="10766" width="0.5" style="255" customWidth="1"/>
    <col min="10767" max="10767" width="25.25" style="255"/>
    <col min="10768" max="10768" width="14.75" style="255" customWidth="1"/>
    <col min="10769" max="10769" width="11.5" style="255" customWidth="1"/>
    <col min="10770" max="10770" width="11.25" style="255" customWidth="1"/>
    <col min="10771" max="10771" width="10.75" style="255" customWidth="1"/>
    <col min="10772" max="10772" width="10" style="255" customWidth="1"/>
    <col min="10773" max="10773" width="9.875" style="255" customWidth="1"/>
    <col min="10774" max="10774" width="26.125" style="255" customWidth="1"/>
    <col min="10775" max="10775" width="11.125" style="255" customWidth="1"/>
    <col min="10776" max="10776" width="7.875" style="255" customWidth="1"/>
    <col min="10777" max="10777" width="7.25" style="255" customWidth="1"/>
    <col min="10778" max="10778" width="9.125" style="255" customWidth="1"/>
    <col min="10779" max="10779" width="15.125" style="255" customWidth="1"/>
    <col min="10780" max="10780" width="7.75" style="255" customWidth="1"/>
    <col min="10781" max="10781" width="7.125" style="255" customWidth="1"/>
    <col min="10782" max="10782" width="12.125" style="255" customWidth="1"/>
    <col min="10783" max="10783" width="8.25" style="255" customWidth="1"/>
    <col min="10784" max="10785" width="10.375" style="255" customWidth="1"/>
    <col min="10786" max="10786" width="15.625" style="255" customWidth="1"/>
    <col min="10787" max="10787" width="15.875" style="255" customWidth="1"/>
    <col min="10788" max="10788" width="8.125" style="255" customWidth="1"/>
    <col min="10789" max="10792" width="10.375" style="255" customWidth="1"/>
    <col min="10793" max="10793" width="7.25" style="255" customWidth="1"/>
    <col min="10794" max="10794" width="7.125" style="255" customWidth="1"/>
    <col min="10795" max="10795" width="9.5" style="255" customWidth="1"/>
    <col min="10796" max="10797" width="9" style="255" customWidth="1"/>
    <col min="10798" max="10798" width="16.125" style="255" customWidth="1"/>
    <col min="10799" max="10829" width="9" style="255" customWidth="1"/>
    <col min="10830" max="10989" width="25.25" style="255"/>
    <col min="10990" max="11019" width="9" style="255" customWidth="1"/>
    <col min="11020" max="11020" width="0.5" style="255" customWidth="1"/>
    <col min="11021" max="11021" width="25.25" style="255"/>
    <col min="11022" max="11022" width="0.5" style="255" customWidth="1"/>
    <col min="11023" max="11023" width="25.25" style="255"/>
    <col min="11024" max="11024" width="14.75" style="255" customWidth="1"/>
    <col min="11025" max="11025" width="11.5" style="255" customWidth="1"/>
    <col min="11026" max="11026" width="11.25" style="255" customWidth="1"/>
    <col min="11027" max="11027" width="10.75" style="255" customWidth="1"/>
    <col min="11028" max="11028" width="10" style="255" customWidth="1"/>
    <col min="11029" max="11029" width="9.875" style="255" customWidth="1"/>
    <col min="11030" max="11030" width="26.125" style="255" customWidth="1"/>
    <col min="11031" max="11031" width="11.125" style="255" customWidth="1"/>
    <col min="11032" max="11032" width="7.875" style="255" customWidth="1"/>
    <col min="11033" max="11033" width="7.25" style="255" customWidth="1"/>
    <col min="11034" max="11034" width="9.125" style="255" customWidth="1"/>
    <col min="11035" max="11035" width="15.125" style="255" customWidth="1"/>
    <col min="11036" max="11036" width="7.75" style="255" customWidth="1"/>
    <col min="11037" max="11037" width="7.125" style="255" customWidth="1"/>
    <col min="11038" max="11038" width="12.125" style="255" customWidth="1"/>
    <col min="11039" max="11039" width="8.25" style="255" customWidth="1"/>
    <col min="11040" max="11041" width="10.375" style="255" customWidth="1"/>
    <col min="11042" max="11042" width="15.625" style="255" customWidth="1"/>
    <col min="11043" max="11043" width="15.875" style="255" customWidth="1"/>
    <col min="11044" max="11044" width="8.125" style="255" customWidth="1"/>
    <col min="11045" max="11048" width="10.375" style="255" customWidth="1"/>
    <col min="11049" max="11049" width="7.25" style="255" customWidth="1"/>
    <col min="11050" max="11050" width="7.125" style="255" customWidth="1"/>
    <col min="11051" max="11051" width="9.5" style="255" customWidth="1"/>
    <col min="11052" max="11053" width="9" style="255" customWidth="1"/>
    <col min="11054" max="11054" width="16.125" style="255" customWidth="1"/>
    <col min="11055" max="11085" width="9" style="255" customWidth="1"/>
    <col min="11086" max="11245" width="25.25" style="255"/>
    <col min="11246" max="11275" width="9" style="255" customWidth="1"/>
    <col min="11276" max="11276" width="0.5" style="255" customWidth="1"/>
    <col min="11277" max="11277" width="25.25" style="255"/>
    <col min="11278" max="11278" width="0.5" style="255" customWidth="1"/>
    <col min="11279" max="11279" width="25.25" style="255"/>
    <col min="11280" max="11280" width="14.75" style="255" customWidth="1"/>
    <col min="11281" max="11281" width="11.5" style="255" customWidth="1"/>
    <col min="11282" max="11282" width="11.25" style="255" customWidth="1"/>
    <col min="11283" max="11283" width="10.75" style="255" customWidth="1"/>
    <col min="11284" max="11284" width="10" style="255" customWidth="1"/>
    <col min="11285" max="11285" width="9.875" style="255" customWidth="1"/>
    <col min="11286" max="11286" width="26.125" style="255" customWidth="1"/>
    <col min="11287" max="11287" width="11.125" style="255" customWidth="1"/>
    <col min="11288" max="11288" width="7.875" style="255" customWidth="1"/>
    <col min="11289" max="11289" width="7.25" style="255" customWidth="1"/>
    <col min="11290" max="11290" width="9.125" style="255" customWidth="1"/>
    <col min="11291" max="11291" width="15.125" style="255" customWidth="1"/>
    <col min="11292" max="11292" width="7.75" style="255" customWidth="1"/>
    <col min="11293" max="11293" width="7.125" style="255" customWidth="1"/>
    <col min="11294" max="11294" width="12.125" style="255" customWidth="1"/>
    <col min="11295" max="11295" width="8.25" style="255" customWidth="1"/>
    <col min="11296" max="11297" width="10.375" style="255" customWidth="1"/>
    <col min="11298" max="11298" width="15.625" style="255" customWidth="1"/>
    <col min="11299" max="11299" width="15.875" style="255" customWidth="1"/>
    <col min="11300" max="11300" width="8.125" style="255" customWidth="1"/>
    <col min="11301" max="11304" width="10.375" style="255" customWidth="1"/>
    <col min="11305" max="11305" width="7.25" style="255" customWidth="1"/>
    <col min="11306" max="11306" width="7.125" style="255" customWidth="1"/>
    <col min="11307" max="11307" width="9.5" style="255" customWidth="1"/>
    <col min="11308" max="11309" width="9" style="255" customWidth="1"/>
    <col min="11310" max="11310" width="16.125" style="255" customWidth="1"/>
    <col min="11311" max="11341" width="9" style="255" customWidth="1"/>
    <col min="11342" max="11501" width="25.25" style="255"/>
    <col min="11502" max="11531" width="9" style="255" customWidth="1"/>
    <col min="11532" max="11532" width="0.5" style="255" customWidth="1"/>
    <col min="11533" max="11533" width="25.25" style="255"/>
    <col min="11534" max="11534" width="0.5" style="255" customWidth="1"/>
    <col min="11535" max="11535" width="25.25" style="255"/>
    <col min="11536" max="11536" width="14.75" style="255" customWidth="1"/>
    <col min="11537" max="11537" width="11.5" style="255" customWidth="1"/>
    <col min="11538" max="11538" width="11.25" style="255" customWidth="1"/>
    <col min="11539" max="11539" width="10.75" style="255" customWidth="1"/>
    <col min="11540" max="11540" width="10" style="255" customWidth="1"/>
    <col min="11541" max="11541" width="9.875" style="255" customWidth="1"/>
    <col min="11542" max="11542" width="26.125" style="255" customWidth="1"/>
    <col min="11543" max="11543" width="11.125" style="255" customWidth="1"/>
    <col min="11544" max="11544" width="7.875" style="255" customWidth="1"/>
    <col min="11545" max="11545" width="7.25" style="255" customWidth="1"/>
    <col min="11546" max="11546" width="9.125" style="255" customWidth="1"/>
    <col min="11547" max="11547" width="15.125" style="255" customWidth="1"/>
    <col min="11548" max="11548" width="7.75" style="255" customWidth="1"/>
    <col min="11549" max="11549" width="7.125" style="255" customWidth="1"/>
    <col min="11550" max="11550" width="12.125" style="255" customWidth="1"/>
    <col min="11551" max="11551" width="8.25" style="255" customWidth="1"/>
    <col min="11552" max="11553" width="10.375" style="255" customWidth="1"/>
    <col min="11554" max="11554" width="15.625" style="255" customWidth="1"/>
    <col min="11555" max="11555" width="15.875" style="255" customWidth="1"/>
    <col min="11556" max="11556" width="8.125" style="255" customWidth="1"/>
    <col min="11557" max="11560" width="10.375" style="255" customWidth="1"/>
    <col min="11561" max="11561" width="7.25" style="255" customWidth="1"/>
    <col min="11562" max="11562" width="7.125" style="255" customWidth="1"/>
    <col min="11563" max="11563" width="9.5" style="255" customWidth="1"/>
    <col min="11564" max="11565" width="9" style="255" customWidth="1"/>
    <col min="11566" max="11566" width="16.125" style="255" customWidth="1"/>
    <col min="11567" max="11597" width="9" style="255" customWidth="1"/>
    <col min="11598" max="11757" width="25.25" style="255"/>
    <col min="11758" max="11787" width="9" style="255" customWidth="1"/>
    <col min="11788" max="11788" width="0.5" style="255" customWidth="1"/>
    <col min="11789" max="11789" width="25.25" style="255"/>
    <col min="11790" max="11790" width="0.5" style="255" customWidth="1"/>
    <col min="11791" max="11791" width="25.25" style="255"/>
    <col min="11792" max="11792" width="14.75" style="255" customWidth="1"/>
    <col min="11793" max="11793" width="11.5" style="255" customWidth="1"/>
    <col min="11794" max="11794" width="11.25" style="255" customWidth="1"/>
    <col min="11795" max="11795" width="10.75" style="255" customWidth="1"/>
    <col min="11796" max="11796" width="10" style="255" customWidth="1"/>
    <col min="11797" max="11797" width="9.875" style="255" customWidth="1"/>
    <col min="11798" max="11798" width="26.125" style="255" customWidth="1"/>
    <col min="11799" max="11799" width="11.125" style="255" customWidth="1"/>
    <col min="11800" max="11800" width="7.875" style="255" customWidth="1"/>
    <col min="11801" max="11801" width="7.25" style="255" customWidth="1"/>
    <col min="11802" max="11802" width="9.125" style="255" customWidth="1"/>
    <col min="11803" max="11803" width="15.125" style="255" customWidth="1"/>
    <col min="11804" max="11804" width="7.75" style="255" customWidth="1"/>
    <col min="11805" max="11805" width="7.125" style="255" customWidth="1"/>
    <col min="11806" max="11806" width="12.125" style="255" customWidth="1"/>
    <col min="11807" max="11807" width="8.25" style="255" customWidth="1"/>
    <col min="11808" max="11809" width="10.375" style="255" customWidth="1"/>
    <col min="11810" max="11810" width="15.625" style="255" customWidth="1"/>
    <col min="11811" max="11811" width="15.875" style="255" customWidth="1"/>
    <col min="11812" max="11812" width="8.125" style="255" customWidth="1"/>
    <col min="11813" max="11816" width="10.375" style="255" customWidth="1"/>
    <col min="11817" max="11817" width="7.25" style="255" customWidth="1"/>
    <col min="11818" max="11818" width="7.125" style="255" customWidth="1"/>
    <col min="11819" max="11819" width="9.5" style="255" customWidth="1"/>
    <col min="11820" max="11821" width="9" style="255" customWidth="1"/>
    <col min="11822" max="11822" width="16.125" style="255" customWidth="1"/>
    <col min="11823" max="11853" width="9" style="255" customWidth="1"/>
    <col min="11854" max="12013" width="25.25" style="255"/>
    <col min="12014" max="12043" width="9" style="255" customWidth="1"/>
    <col min="12044" max="12044" width="0.5" style="255" customWidth="1"/>
    <col min="12045" max="12045" width="25.25" style="255"/>
    <col min="12046" max="12046" width="0.5" style="255" customWidth="1"/>
    <col min="12047" max="12047" width="25.25" style="255"/>
    <col min="12048" max="12048" width="14.75" style="255" customWidth="1"/>
    <col min="12049" max="12049" width="11.5" style="255" customWidth="1"/>
    <col min="12050" max="12050" width="11.25" style="255" customWidth="1"/>
    <col min="12051" max="12051" width="10.75" style="255" customWidth="1"/>
    <col min="12052" max="12052" width="10" style="255" customWidth="1"/>
    <col min="12053" max="12053" width="9.875" style="255" customWidth="1"/>
    <col min="12054" max="12054" width="26.125" style="255" customWidth="1"/>
    <col min="12055" max="12055" width="11.125" style="255" customWidth="1"/>
    <col min="12056" max="12056" width="7.875" style="255" customWidth="1"/>
    <col min="12057" max="12057" width="7.25" style="255" customWidth="1"/>
    <col min="12058" max="12058" width="9.125" style="255" customWidth="1"/>
    <col min="12059" max="12059" width="15.125" style="255" customWidth="1"/>
    <col min="12060" max="12060" width="7.75" style="255" customWidth="1"/>
    <col min="12061" max="12061" width="7.125" style="255" customWidth="1"/>
    <col min="12062" max="12062" width="12.125" style="255" customWidth="1"/>
    <col min="12063" max="12063" width="8.25" style="255" customWidth="1"/>
    <col min="12064" max="12065" width="10.375" style="255" customWidth="1"/>
    <col min="12066" max="12066" width="15.625" style="255" customWidth="1"/>
    <col min="12067" max="12067" width="15.875" style="255" customWidth="1"/>
    <col min="12068" max="12068" width="8.125" style="255" customWidth="1"/>
    <col min="12069" max="12072" width="10.375" style="255" customWidth="1"/>
    <col min="12073" max="12073" width="7.25" style="255" customWidth="1"/>
    <col min="12074" max="12074" width="7.125" style="255" customWidth="1"/>
    <col min="12075" max="12075" width="9.5" style="255" customWidth="1"/>
    <col min="12076" max="12077" width="9" style="255" customWidth="1"/>
    <col min="12078" max="12078" width="16.125" style="255" customWidth="1"/>
    <col min="12079" max="12109" width="9" style="255" customWidth="1"/>
    <col min="12110" max="12269" width="25.25" style="255"/>
    <col min="12270" max="12299" width="9" style="255" customWidth="1"/>
    <col min="12300" max="12300" width="0.5" style="255" customWidth="1"/>
    <col min="12301" max="12301" width="25.25" style="255"/>
    <col min="12302" max="12302" width="0.5" style="255" customWidth="1"/>
    <col min="12303" max="12303" width="25.25" style="255"/>
    <col min="12304" max="12304" width="14.75" style="255" customWidth="1"/>
    <col min="12305" max="12305" width="11.5" style="255" customWidth="1"/>
    <col min="12306" max="12306" width="11.25" style="255" customWidth="1"/>
    <col min="12307" max="12307" width="10.75" style="255" customWidth="1"/>
    <col min="12308" max="12308" width="10" style="255" customWidth="1"/>
    <col min="12309" max="12309" width="9.875" style="255" customWidth="1"/>
    <col min="12310" max="12310" width="26.125" style="255" customWidth="1"/>
    <col min="12311" max="12311" width="11.125" style="255" customWidth="1"/>
    <col min="12312" max="12312" width="7.875" style="255" customWidth="1"/>
    <col min="12313" max="12313" width="7.25" style="255" customWidth="1"/>
    <col min="12314" max="12314" width="9.125" style="255" customWidth="1"/>
    <col min="12315" max="12315" width="15.125" style="255" customWidth="1"/>
    <col min="12316" max="12316" width="7.75" style="255" customWidth="1"/>
    <col min="12317" max="12317" width="7.125" style="255" customWidth="1"/>
    <col min="12318" max="12318" width="12.125" style="255" customWidth="1"/>
    <col min="12319" max="12319" width="8.25" style="255" customWidth="1"/>
    <col min="12320" max="12321" width="10.375" style="255" customWidth="1"/>
    <col min="12322" max="12322" width="15.625" style="255" customWidth="1"/>
    <col min="12323" max="12323" width="15.875" style="255" customWidth="1"/>
    <col min="12324" max="12324" width="8.125" style="255" customWidth="1"/>
    <col min="12325" max="12328" width="10.375" style="255" customWidth="1"/>
    <col min="12329" max="12329" width="7.25" style="255" customWidth="1"/>
    <col min="12330" max="12330" width="7.125" style="255" customWidth="1"/>
    <col min="12331" max="12331" width="9.5" style="255" customWidth="1"/>
    <col min="12332" max="12333" width="9" style="255" customWidth="1"/>
    <col min="12334" max="12334" width="16.125" style="255" customWidth="1"/>
    <col min="12335" max="12365" width="9" style="255" customWidth="1"/>
    <col min="12366" max="12525" width="25.25" style="255"/>
    <col min="12526" max="12555" width="9" style="255" customWidth="1"/>
    <col min="12556" max="12556" width="0.5" style="255" customWidth="1"/>
    <col min="12557" max="12557" width="25.25" style="255"/>
    <col min="12558" max="12558" width="0.5" style="255" customWidth="1"/>
    <col min="12559" max="12559" width="25.25" style="255"/>
    <col min="12560" max="12560" width="14.75" style="255" customWidth="1"/>
    <col min="12561" max="12561" width="11.5" style="255" customWidth="1"/>
    <col min="12562" max="12562" width="11.25" style="255" customWidth="1"/>
    <col min="12563" max="12563" width="10.75" style="255" customWidth="1"/>
    <col min="12564" max="12564" width="10" style="255" customWidth="1"/>
    <col min="12565" max="12565" width="9.875" style="255" customWidth="1"/>
    <col min="12566" max="12566" width="26.125" style="255" customWidth="1"/>
    <col min="12567" max="12567" width="11.125" style="255" customWidth="1"/>
    <col min="12568" max="12568" width="7.875" style="255" customWidth="1"/>
    <col min="12569" max="12569" width="7.25" style="255" customWidth="1"/>
    <col min="12570" max="12570" width="9.125" style="255" customWidth="1"/>
    <col min="12571" max="12571" width="15.125" style="255" customWidth="1"/>
    <col min="12572" max="12572" width="7.75" style="255" customWidth="1"/>
    <col min="12573" max="12573" width="7.125" style="255" customWidth="1"/>
    <col min="12574" max="12574" width="12.125" style="255" customWidth="1"/>
    <col min="12575" max="12575" width="8.25" style="255" customWidth="1"/>
    <col min="12576" max="12577" width="10.375" style="255" customWidth="1"/>
    <col min="12578" max="12578" width="15.625" style="255" customWidth="1"/>
    <col min="12579" max="12579" width="15.875" style="255" customWidth="1"/>
    <col min="12580" max="12580" width="8.125" style="255" customWidth="1"/>
    <col min="12581" max="12584" width="10.375" style="255" customWidth="1"/>
    <col min="12585" max="12585" width="7.25" style="255" customWidth="1"/>
    <col min="12586" max="12586" width="7.125" style="255" customWidth="1"/>
    <col min="12587" max="12587" width="9.5" style="255" customWidth="1"/>
    <col min="12588" max="12589" width="9" style="255" customWidth="1"/>
    <col min="12590" max="12590" width="16.125" style="255" customWidth="1"/>
    <col min="12591" max="12621" width="9" style="255" customWidth="1"/>
    <col min="12622" max="12781" width="25.25" style="255"/>
    <col min="12782" max="12811" width="9" style="255" customWidth="1"/>
    <col min="12812" max="12812" width="0.5" style="255" customWidth="1"/>
    <col min="12813" max="12813" width="25.25" style="255"/>
    <col min="12814" max="12814" width="0.5" style="255" customWidth="1"/>
    <col min="12815" max="12815" width="25.25" style="255"/>
    <col min="12816" max="12816" width="14.75" style="255" customWidth="1"/>
    <col min="12817" max="12817" width="11.5" style="255" customWidth="1"/>
    <col min="12818" max="12818" width="11.25" style="255" customWidth="1"/>
    <col min="12819" max="12819" width="10.75" style="255" customWidth="1"/>
    <col min="12820" max="12820" width="10" style="255" customWidth="1"/>
    <col min="12821" max="12821" width="9.875" style="255" customWidth="1"/>
    <col min="12822" max="12822" width="26.125" style="255" customWidth="1"/>
    <col min="12823" max="12823" width="11.125" style="255" customWidth="1"/>
    <col min="12824" max="12824" width="7.875" style="255" customWidth="1"/>
    <col min="12825" max="12825" width="7.25" style="255" customWidth="1"/>
    <col min="12826" max="12826" width="9.125" style="255" customWidth="1"/>
    <col min="12827" max="12827" width="15.125" style="255" customWidth="1"/>
    <col min="12828" max="12828" width="7.75" style="255" customWidth="1"/>
    <col min="12829" max="12829" width="7.125" style="255" customWidth="1"/>
    <col min="12830" max="12830" width="12.125" style="255" customWidth="1"/>
    <col min="12831" max="12831" width="8.25" style="255" customWidth="1"/>
    <col min="12832" max="12833" width="10.375" style="255" customWidth="1"/>
    <col min="12834" max="12834" width="15.625" style="255" customWidth="1"/>
    <col min="12835" max="12835" width="15.875" style="255" customWidth="1"/>
    <col min="12836" max="12836" width="8.125" style="255" customWidth="1"/>
    <col min="12837" max="12840" width="10.375" style="255" customWidth="1"/>
    <col min="12841" max="12841" width="7.25" style="255" customWidth="1"/>
    <col min="12842" max="12842" width="7.125" style="255" customWidth="1"/>
    <col min="12843" max="12843" width="9.5" style="255" customWidth="1"/>
    <col min="12844" max="12845" width="9" style="255" customWidth="1"/>
    <col min="12846" max="12846" width="16.125" style="255" customWidth="1"/>
    <col min="12847" max="12877" width="9" style="255" customWidth="1"/>
    <col min="12878" max="13037" width="25.25" style="255"/>
    <col min="13038" max="13067" width="9" style="255" customWidth="1"/>
    <col min="13068" max="13068" width="0.5" style="255" customWidth="1"/>
    <col min="13069" max="13069" width="25.25" style="255"/>
    <col min="13070" max="13070" width="0.5" style="255" customWidth="1"/>
    <col min="13071" max="13071" width="25.25" style="255"/>
    <col min="13072" max="13072" width="14.75" style="255" customWidth="1"/>
    <col min="13073" max="13073" width="11.5" style="255" customWidth="1"/>
    <col min="13074" max="13074" width="11.25" style="255" customWidth="1"/>
    <col min="13075" max="13075" width="10.75" style="255" customWidth="1"/>
    <col min="13076" max="13076" width="10" style="255" customWidth="1"/>
    <col min="13077" max="13077" width="9.875" style="255" customWidth="1"/>
    <col min="13078" max="13078" width="26.125" style="255" customWidth="1"/>
    <col min="13079" max="13079" width="11.125" style="255" customWidth="1"/>
    <col min="13080" max="13080" width="7.875" style="255" customWidth="1"/>
    <col min="13081" max="13081" width="7.25" style="255" customWidth="1"/>
    <col min="13082" max="13082" width="9.125" style="255" customWidth="1"/>
    <col min="13083" max="13083" width="15.125" style="255" customWidth="1"/>
    <col min="13084" max="13084" width="7.75" style="255" customWidth="1"/>
    <col min="13085" max="13085" width="7.125" style="255" customWidth="1"/>
    <col min="13086" max="13086" width="12.125" style="255" customWidth="1"/>
    <col min="13087" max="13087" width="8.25" style="255" customWidth="1"/>
    <col min="13088" max="13089" width="10.375" style="255" customWidth="1"/>
    <col min="13090" max="13090" width="15.625" style="255" customWidth="1"/>
    <col min="13091" max="13091" width="15.875" style="255" customWidth="1"/>
    <col min="13092" max="13092" width="8.125" style="255" customWidth="1"/>
    <col min="13093" max="13096" width="10.375" style="255" customWidth="1"/>
    <col min="13097" max="13097" width="7.25" style="255" customWidth="1"/>
    <col min="13098" max="13098" width="7.125" style="255" customWidth="1"/>
    <col min="13099" max="13099" width="9.5" style="255" customWidth="1"/>
    <col min="13100" max="13101" width="9" style="255" customWidth="1"/>
    <col min="13102" max="13102" width="16.125" style="255" customWidth="1"/>
    <col min="13103" max="13133" width="9" style="255" customWidth="1"/>
    <col min="13134" max="13293" width="25.25" style="255"/>
    <col min="13294" max="13323" width="9" style="255" customWidth="1"/>
    <col min="13324" max="13324" width="0.5" style="255" customWidth="1"/>
    <col min="13325" max="13325" width="25.25" style="255"/>
    <col min="13326" max="13326" width="0.5" style="255" customWidth="1"/>
    <col min="13327" max="13327" width="25.25" style="255"/>
    <col min="13328" max="13328" width="14.75" style="255" customWidth="1"/>
    <col min="13329" max="13329" width="11.5" style="255" customWidth="1"/>
    <col min="13330" max="13330" width="11.25" style="255" customWidth="1"/>
    <col min="13331" max="13331" width="10.75" style="255" customWidth="1"/>
    <col min="13332" max="13332" width="10" style="255" customWidth="1"/>
    <col min="13333" max="13333" width="9.875" style="255" customWidth="1"/>
    <col min="13334" max="13334" width="26.125" style="255" customWidth="1"/>
    <col min="13335" max="13335" width="11.125" style="255" customWidth="1"/>
    <col min="13336" max="13336" width="7.875" style="255" customWidth="1"/>
    <col min="13337" max="13337" width="7.25" style="255" customWidth="1"/>
    <col min="13338" max="13338" width="9.125" style="255" customWidth="1"/>
    <col min="13339" max="13339" width="15.125" style="255" customWidth="1"/>
    <col min="13340" max="13340" width="7.75" style="255" customWidth="1"/>
    <col min="13341" max="13341" width="7.125" style="255" customWidth="1"/>
    <col min="13342" max="13342" width="12.125" style="255" customWidth="1"/>
    <col min="13343" max="13343" width="8.25" style="255" customWidth="1"/>
    <col min="13344" max="13345" width="10.375" style="255" customWidth="1"/>
    <col min="13346" max="13346" width="15.625" style="255" customWidth="1"/>
    <col min="13347" max="13347" width="15.875" style="255" customWidth="1"/>
    <col min="13348" max="13348" width="8.125" style="255" customWidth="1"/>
    <col min="13349" max="13352" width="10.375" style="255" customWidth="1"/>
    <col min="13353" max="13353" width="7.25" style="255" customWidth="1"/>
    <col min="13354" max="13354" width="7.125" style="255" customWidth="1"/>
    <col min="13355" max="13355" width="9.5" style="255" customWidth="1"/>
    <col min="13356" max="13357" width="9" style="255" customWidth="1"/>
    <col min="13358" max="13358" width="16.125" style="255" customWidth="1"/>
    <col min="13359" max="13389" width="9" style="255" customWidth="1"/>
    <col min="13390" max="13549" width="25.25" style="255"/>
    <col min="13550" max="13579" width="9" style="255" customWidth="1"/>
    <col min="13580" max="13580" width="0.5" style="255" customWidth="1"/>
    <col min="13581" max="13581" width="25.25" style="255"/>
    <col min="13582" max="13582" width="0.5" style="255" customWidth="1"/>
    <col min="13583" max="13583" width="25.25" style="255"/>
    <col min="13584" max="13584" width="14.75" style="255" customWidth="1"/>
    <col min="13585" max="13585" width="11.5" style="255" customWidth="1"/>
    <col min="13586" max="13586" width="11.25" style="255" customWidth="1"/>
    <col min="13587" max="13587" width="10.75" style="255" customWidth="1"/>
    <col min="13588" max="13588" width="10" style="255" customWidth="1"/>
    <col min="13589" max="13589" width="9.875" style="255" customWidth="1"/>
    <col min="13590" max="13590" width="26.125" style="255" customWidth="1"/>
    <col min="13591" max="13591" width="11.125" style="255" customWidth="1"/>
    <col min="13592" max="13592" width="7.875" style="255" customWidth="1"/>
    <col min="13593" max="13593" width="7.25" style="255" customWidth="1"/>
    <col min="13594" max="13594" width="9.125" style="255" customWidth="1"/>
    <col min="13595" max="13595" width="15.125" style="255" customWidth="1"/>
    <col min="13596" max="13596" width="7.75" style="255" customWidth="1"/>
    <col min="13597" max="13597" width="7.125" style="255" customWidth="1"/>
    <col min="13598" max="13598" width="12.125" style="255" customWidth="1"/>
    <col min="13599" max="13599" width="8.25" style="255" customWidth="1"/>
    <col min="13600" max="13601" width="10.375" style="255" customWidth="1"/>
    <col min="13602" max="13602" width="15.625" style="255" customWidth="1"/>
    <col min="13603" max="13603" width="15.875" style="255" customWidth="1"/>
    <col min="13604" max="13604" width="8.125" style="255" customWidth="1"/>
    <col min="13605" max="13608" width="10.375" style="255" customWidth="1"/>
    <col min="13609" max="13609" width="7.25" style="255" customWidth="1"/>
    <col min="13610" max="13610" width="7.125" style="255" customWidth="1"/>
    <col min="13611" max="13611" width="9.5" style="255" customWidth="1"/>
    <col min="13612" max="13613" width="9" style="255" customWidth="1"/>
    <col min="13614" max="13614" width="16.125" style="255" customWidth="1"/>
    <col min="13615" max="13645" width="9" style="255" customWidth="1"/>
    <col min="13646" max="13805" width="25.25" style="255"/>
    <col min="13806" max="13835" width="9" style="255" customWidth="1"/>
    <col min="13836" max="13836" width="0.5" style="255" customWidth="1"/>
    <col min="13837" max="13837" width="25.25" style="255"/>
    <col min="13838" max="13838" width="0.5" style="255" customWidth="1"/>
    <col min="13839" max="13839" width="25.25" style="255"/>
    <col min="13840" max="13840" width="14.75" style="255" customWidth="1"/>
    <col min="13841" max="13841" width="11.5" style="255" customWidth="1"/>
    <col min="13842" max="13842" width="11.25" style="255" customWidth="1"/>
    <col min="13843" max="13843" width="10.75" style="255" customWidth="1"/>
    <col min="13844" max="13844" width="10" style="255" customWidth="1"/>
    <col min="13845" max="13845" width="9.875" style="255" customWidth="1"/>
    <col min="13846" max="13846" width="26.125" style="255" customWidth="1"/>
    <col min="13847" max="13847" width="11.125" style="255" customWidth="1"/>
    <col min="13848" max="13848" width="7.875" style="255" customWidth="1"/>
    <col min="13849" max="13849" width="7.25" style="255" customWidth="1"/>
    <col min="13850" max="13850" width="9.125" style="255" customWidth="1"/>
    <col min="13851" max="13851" width="15.125" style="255" customWidth="1"/>
    <col min="13852" max="13852" width="7.75" style="255" customWidth="1"/>
    <col min="13853" max="13853" width="7.125" style="255" customWidth="1"/>
    <col min="13854" max="13854" width="12.125" style="255" customWidth="1"/>
    <col min="13855" max="13855" width="8.25" style="255" customWidth="1"/>
    <col min="13856" max="13857" width="10.375" style="255" customWidth="1"/>
    <col min="13858" max="13858" width="15.625" style="255" customWidth="1"/>
    <col min="13859" max="13859" width="15.875" style="255" customWidth="1"/>
    <col min="13860" max="13860" width="8.125" style="255" customWidth="1"/>
    <col min="13861" max="13864" width="10.375" style="255" customWidth="1"/>
    <col min="13865" max="13865" width="7.25" style="255" customWidth="1"/>
    <col min="13866" max="13866" width="7.125" style="255" customWidth="1"/>
    <col min="13867" max="13867" width="9.5" style="255" customWidth="1"/>
    <col min="13868" max="13869" width="9" style="255" customWidth="1"/>
    <col min="13870" max="13870" width="16.125" style="255" customWidth="1"/>
    <col min="13871" max="13901" width="9" style="255" customWidth="1"/>
    <col min="13902" max="14061" width="25.25" style="255"/>
    <col min="14062" max="14091" width="9" style="255" customWidth="1"/>
    <col min="14092" max="14092" width="0.5" style="255" customWidth="1"/>
    <col min="14093" max="14093" width="25.25" style="255"/>
    <col min="14094" max="14094" width="0.5" style="255" customWidth="1"/>
    <col min="14095" max="14095" width="25.25" style="255"/>
    <col min="14096" max="14096" width="14.75" style="255" customWidth="1"/>
    <col min="14097" max="14097" width="11.5" style="255" customWidth="1"/>
    <col min="14098" max="14098" width="11.25" style="255" customWidth="1"/>
    <col min="14099" max="14099" width="10.75" style="255" customWidth="1"/>
    <col min="14100" max="14100" width="10" style="255" customWidth="1"/>
    <col min="14101" max="14101" width="9.875" style="255" customWidth="1"/>
    <col min="14102" max="14102" width="26.125" style="255" customWidth="1"/>
    <col min="14103" max="14103" width="11.125" style="255" customWidth="1"/>
    <col min="14104" max="14104" width="7.875" style="255" customWidth="1"/>
    <col min="14105" max="14105" width="7.25" style="255" customWidth="1"/>
    <col min="14106" max="14106" width="9.125" style="255" customWidth="1"/>
    <col min="14107" max="14107" width="15.125" style="255" customWidth="1"/>
    <col min="14108" max="14108" width="7.75" style="255" customWidth="1"/>
    <col min="14109" max="14109" width="7.125" style="255" customWidth="1"/>
    <col min="14110" max="14110" width="12.125" style="255" customWidth="1"/>
    <col min="14111" max="14111" width="8.25" style="255" customWidth="1"/>
    <col min="14112" max="14113" width="10.375" style="255" customWidth="1"/>
    <col min="14114" max="14114" width="15.625" style="255" customWidth="1"/>
    <col min="14115" max="14115" width="15.875" style="255" customWidth="1"/>
    <col min="14116" max="14116" width="8.125" style="255" customWidth="1"/>
    <col min="14117" max="14120" width="10.375" style="255" customWidth="1"/>
    <col min="14121" max="14121" width="7.25" style="255" customWidth="1"/>
    <col min="14122" max="14122" width="7.125" style="255" customWidth="1"/>
    <col min="14123" max="14123" width="9.5" style="255" customWidth="1"/>
    <col min="14124" max="14125" width="9" style="255" customWidth="1"/>
    <col min="14126" max="14126" width="16.125" style="255" customWidth="1"/>
    <col min="14127" max="14157" width="9" style="255" customWidth="1"/>
    <col min="14158" max="14317" width="25.25" style="255"/>
    <col min="14318" max="14347" width="9" style="255" customWidth="1"/>
    <col min="14348" max="14348" width="0.5" style="255" customWidth="1"/>
    <col min="14349" max="14349" width="25.25" style="255"/>
    <col min="14350" max="14350" width="0.5" style="255" customWidth="1"/>
    <col min="14351" max="14351" width="25.25" style="255"/>
    <col min="14352" max="14352" width="14.75" style="255" customWidth="1"/>
    <col min="14353" max="14353" width="11.5" style="255" customWidth="1"/>
    <col min="14354" max="14354" width="11.25" style="255" customWidth="1"/>
    <col min="14355" max="14355" width="10.75" style="255" customWidth="1"/>
    <col min="14356" max="14356" width="10" style="255" customWidth="1"/>
    <col min="14357" max="14357" width="9.875" style="255" customWidth="1"/>
    <col min="14358" max="14358" width="26.125" style="255" customWidth="1"/>
    <col min="14359" max="14359" width="11.125" style="255" customWidth="1"/>
    <col min="14360" max="14360" width="7.875" style="255" customWidth="1"/>
    <col min="14361" max="14361" width="7.25" style="255" customWidth="1"/>
    <col min="14362" max="14362" width="9.125" style="255" customWidth="1"/>
    <col min="14363" max="14363" width="15.125" style="255" customWidth="1"/>
    <col min="14364" max="14364" width="7.75" style="255" customWidth="1"/>
    <col min="14365" max="14365" width="7.125" style="255" customWidth="1"/>
    <col min="14366" max="14366" width="12.125" style="255" customWidth="1"/>
    <col min="14367" max="14367" width="8.25" style="255" customWidth="1"/>
    <col min="14368" max="14369" width="10.375" style="255" customWidth="1"/>
    <col min="14370" max="14370" width="15.625" style="255" customWidth="1"/>
    <col min="14371" max="14371" width="15.875" style="255" customWidth="1"/>
    <col min="14372" max="14372" width="8.125" style="255" customWidth="1"/>
    <col min="14373" max="14376" width="10.375" style="255" customWidth="1"/>
    <col min="14377" max="14377" width="7.25" style="255" customWidth="1"/>
    <col min="14378" max="14378" width="7.125" style="255" customWidth="1"/>
    <col min="14379" max="14379" width="9.5" style="255" customWidth="1"/>
    <col min="14380" max="14381" width="9" style="255" customWidth="1"/>
    <col min="14382" max="14382" width="16.125" style="255" customWidth="1"/>
    <col min="14383" max="14413" width="9" style="255" customWidth="1"/>
    <col min="14414" max="14573" width="25.25" style="255"/>
    <col min="14574" max="14603" width="9" style="255" customWidth="1"/>
    <col min="14604" max="14604" width="0.5" style="255" customWidth="1"/>
    <col min="14605" max="14605" width="25.25" style="255"/>
    <col min="14606" max="14606" width="0.5" style="255" customWidth="1"/>
    <col min="14607" max="14607" width="25.25" style="255"/>
    <col min="14608" max="14608" width="14.75" style="255" customWidth="1"/>
    <col min="14609" max="14609" width="11.5" style="255" customWidth="1"/>
    <col min="14610" max="14610" width="11.25" style="255" customWidth="1"/>
    <col min="14611" max="14611" width="10.75" style="255" customWidth="1"/>
    <col min="14612" max="14612" width="10" style="255" customWidth="1"/>
    <col min="14613" max="14613" width="9.875" style="255" customWidth="1"/>
    <col min="14614" max="14614" width="26.125" style="255" customWidth="1"/>
    <col min="14615" max="14615" width="11.125" style="255" customWidth="1"/>
    <col min="14616" max="14616" width="7.875" style="255" customWidth="1"/>
    <col min="14617" max="14617" width="7.25" style="255" customWidth="1"/>
    <col min="14618" max="14618" width="9.125" style="255" customWidth="1"/>
    <col min="14619" max="14619" width="15.125" style="255" customWidth="1"/>
    <col min="14620" max="14620" width="7.75" style="255" customWidth="1"/>
    <col min="14621" max="14621" width="7.125" style="255" customWidth="1"/>
    <col min="14622" max="14622" width="12.125" style="255" customWidth="1"/>
    <col min="14623" max="14623" width="8.25" style="255" customWidth="1"/>
    <col min="14624" max="14625" width="10.375" style="255" customWidth="1"/>
    <col min="14626" max="14626" width="15.625" style="255" customWidth="1"/>
    <col min="14627" max="14627" width="15.875" style="255" customWidth="1"/>
    <col min="14628" max="14628" width="8.125" style="255" customWidth="1"/>
    <col min="14629" max="14632" width="10.375" style="255" customWidth="1"/>
    <col min="14633" max="14633" width="7.25" style="255" customWidth="1"/>
    <col min="14634" max="14634" width="7.125" style="255" customWidth="1"/>
    <col min="14635" max="14635" width="9.5" style="255" customWidth="1"/>
    <col min="14636" max="14637" width="9" style="255" customWidth="1"/>
    <col min="14638" max="14638" width="16.125" style="255" customWidth="1"/>
    <col min="14639" max="14669" width="9" style="255" customWidth="1"/>
    <col min="14670" max="14829" width="25.25" style="255"/>
    <col min="14830" max="14859" width="9" style="255" customWidth="1"/>
    <col min="14860" max="14860" width="0.5" style="255" customWidth="1"/>
    <col min="14861" max="14861" width="25.25" style="255"/>
    <col min="14862" max="14862" width="0.5" style="255" customWidth="1"/>
    <col min="14863" max="14863" width="25.25" style="255"/>
    <col min="14864" max="14864" width="14.75" style="255" customWidth="1"/>
    <col min="14865" max="14865" width="11.5" style="255" customWidth="1"/>
    <col min="14866" max="14866" width="11.25" style="255" customWidth="1"/>
    <col min="14867" max="14867" width="10.75" style="255" customWidth="1"/>
    <col min="14868" max="14868" width="10" style="255" customWidth="1"/>
    <col min="14869" max="14869" width="9.875" style="255" customWidth="1"/>
    <col min="14870" max="14870" width="26.125" style="255" customWidth="1"/>
    <col min="14871" max="14871" width="11.125" style="255" customWidth="1"/>
    <col min="14872" max="14872" width="7.875" style="255" customWidth="1"/>
    <col min="14873" max="14873" width="7.25" style="255" customWidth="1"/>
    <col min="14874" max="14874" width="9.125" style="255" customWidth="1"/>
    <col min="14875" max="14875" width="15.125" style="255" customWidth="1"/>
    <col min="14876" max="14876" width="7.75" style="255" customWidth="1"/>
    <col min="14877" max="14877" width="7.125" style="255" customWidth="1"/>
    <col min="14878" max="14878" width="12.125" style="255" customWidth="1"/>
    <col min="14879" max="14879" width="8.25" style="255" customWidth="1"/>
    <col min="14880" max="14881" width="10.375" style="255" customWidth="1"/>
    <col min="14882" max="14882" width="15.625" style="255" customWidth="1"/>
    <col min="14883" max="14883" width="15.875" style="255" customWidth="1"/>
    <col min="14884" max="14884" width="8.125" style="255" customWidth="1"/>
    <col min="14885" max="14888" width="10.375" style="255" customWidth="1"/>
    <col min="14889" max="14889" width="7.25" style="255" customWidth="1"/>
    <col min="14890" max="14890" width="7.125" style="255" customWidth="1"/>
    <col min="14891" max="14891" width="9.5" style="255" customWidth="1"/>
    <col min="14892" max="14893" width="9" style="255" customWidth="1"/>
    <col min="14894" max="14894" width="16.125" style="255" customWidth="1"/>
    <col min="14895" max="14925" width="9" style="255" customWidth="1"/>
    <col min="14926" max="15085" width="25.25" style="255"/>
    <col min="15086" max="15115" width="9" style="255" customWidth="1"/>
    <col min="15116" max="15116" width="0.5" style="255" customWidth="1"/>
    <col min="15117" max="15117" width="25.25" style="255"/>
    <col min="15118" max="15118" width="0.5" style="255" customWidth="1"/>
    <col min="15119" max="15119" width="25.25" style="255"/>
    <col min="15120" max="15120" width="14.75" style="255" customWidth="1"/>
    <col min="15121" max="15121" width="11.5" style="255" customWidth="1"/>
    <col min="15122" max="15122" width="11.25" style="255" customWidth="1"/>
    <col min="15123" max="15123" width="10.75" style="255" customWidth="1"/>
    <col min="15124" max="15124" width="10" style="255" customWidth="1"/>
    <col min="15125" max="15125" width="9.875" style="255" customWidth="1"/>
    <col min="15126" max="15126" width="26.125" style="255" customWidth="1"/>
    <col min="15127" max="15127" width="11.125" style="255" customWidth="1"/>
    <col min="15128" max="15128" width="7.875" style="255" customWidth="1"/>
    <col min="15129" max="15129" width="7.25" style="255" customWidth="1"/>
    <col min="15130" max="15130" width="9.125" style="255" customWidth="1"/>
    <col min="15131" max="15131" width="15.125" style="255" customWidth="1"/>
    <col min="15132" max="15132" width="7.75" style="255" customWidth="1"/>
    <col min="15133" max="15133" width="7.125" style="255" customWidth="1"/>
    <col min="15134" max="15134" width="12.125" style="255" customWidth="1"/>
    <col min="15135" max="15135" width="8.25" style="255" customWidth="1"/>
    <col min="15136" max="15137" width="10.375" style="255" customWidth="1"/>
    <col min="15138" max="15138" width="15.625" style="255" customWidth="1"/>
    <col min="15139" max="15139" width="15.875" style="255" customWidth="1"/>
    <col min="15140" max="15140" width="8.125" style="255" customWidth="1"/>
    <col min="15141" max="15144" width="10.375" style="255" customWidth="1"/>
    <col min="15145" max="15145" width="7.25" style="255" customWidth="1"/>
    <col min="15146" max="15146" width="7.125" style="255" customWidth="1"/>
    <col min="15147" max="15147" width="9.5" style="255" customWidth="1"/>
    <col min="15148" max="15149" width="9" style="255" customWidth="1"/>
    <col min="15150" max="15150" width="16.125" style="255" customWidth="1"/>
    <col min="15151" max="15181" width="9" style="255" customWidth="1"/>
    <col min="15182" max="15341" width="25.25" style="255"/>
    <col min="15342" max="15371" width="9" style="255" customWidth="1"/>
    <col min="15372" max="15372" width="0.5" style="255" customWidth="1"/>
    <col min="15373" max="15373" width="25.25" style="255"/>
    <col min="15374" max="15374" width="0.5" style="255" customWidth="1"/>
    <col min="15375" max="15375" width="25.25" style="255"/>
    <col min="15376" max="15376" width="14.75" style="255" customWidth="1"/>
    <col min="15377" max="15377" width="11.5" style="255" customWidth="1"/>
    <col min="15378" max="15378" width="11.25" style="255" customWidth="1"/>
    <col min="15379" max="15379" width="10.75" style="255" customWidth="1"/>
    <col min="15380" max="15380" width="10" style="255" customWidth="1"/>
    <col min="15381" max="15381" width="9.875" style="255" customWidth="1"/>
    <col min="15382" max="15382" width="26.125" style="255" customWidth="1"/>
    <col min="15383" max="15383" width="11.125" style="255" customWidth="1"/>
    <col min="15384" max="15384" width="7.875" style="255" customWidth="1"/>
    <col min="15385" max="15385" width="7.25" style="255" customWidth="1"/>
    <col min="15386" max="15386" width="9.125" style="255" customWidth="1"/>
    <col min="15387" max="15387" width="15.125" style="255" customWidth="1"/>
    <col min="15388" max="15388" width="7.75" style="255" customWidth="1"/>
    <col min="15389" max="15389" width="7.125" style="255" customWidth="1"/>
    <col min="15390" max="15390" width="12.125" style="255" customWidth="1"/>
    <col min="15391" max="15391" width="8.25" style="255" customWidth="1"/>
    <col min="15392" max="15393" width="10.375" style="255" customWidth="1"/>
    <col min="15394" max="15394" width="15.625" style="255" customWidth="1"/>
    <col min="15395" max="15395" width="15.875" style="255" customWidth="1"/>
    <col min="15396" max="15396" width="8.125" style="255" customWidth="1"/>
    <col min="15397" max="15400" width="10.375" style="255" customWidth="1"/>
    <col min="15401" max="15401" width="7.25" style="255" customWidth="1"/>
    <col min="15402" max="15402" width="7.125" style="255" customWidth="1"/>
    <col min="15403" max="15403" width="9.5" style="255" customWidth="1"/>
    <col min="15404" max="15405" width="9" style="255" customWidth="1"/>
    <col min="15406" max="15406" width="16.125" style="255" customWidth="1"/>
    <col min="15407" max="15437" width="9" style="255" customWidth="1"/>
    <col min="15438" max="15597" width="25.25" style="255"/>
    <col min="15598" max="15627" width="9" style="255" customWidth="1"/>
    <col min="15628" max="15628" width="0.5" style="255" customWidth="1"/>
    <col min="15629" max="15629" width="25.25" style="255"/>
    <col min="15630" max="15630" width="0.5" style="255" customWidth="1"/>
    <col min="15631" max="15631" width="25.25" style="255"/>
    <col min="15632" max="15632" width="14.75" style="255" customWidth="1"/>
    <col min="15633" max="15633" width="11.5" style="255" customWidth="1"/>
    <col min="15634" max="15634" width="11.25" style="255" customWidth="1"/>
    <col min="15635" max="15635" width="10.75" style="255" customWidth="1"/>
    <col min="15636" max="15636" width="10" style="255" customWidth="1"/>
    <col min="15637" max="15637" width="9.875" style="255" customWidth="1"/>
    <col min="15638" max="15638" width="26.125" style="255" customWidth="1"/>
    <col min="15639" max="15639" width="11.125" style="255" customWidth="1"/>
    <col min="15640" max="15640" width="7.875" style="255" customWidth="1"/>
    <col min="15641" max="15641" width="7.25" style="255" customWidth="1"/>
    <col min="15642" max="15642" width="9.125" style="255" customWidth="1"/>
    <col min="15643" max="15643" width="15.125" style="255" customWidth="1"/>
    <col min="15644" max="15644" width="7.75" style="255" customWidth="1"/>
    <col min="15645" max="15645" width="7.125" style="255" customWidth="1"/>
    <col min="15646" max="15646" width="12.125" style="255" customWidth="1"/>
    <col min="15647" max="15647" width="8.25" style="255" customWidth="1"/>
    <col min="15648" max="15649" width="10.375" style="255" customWidth="1"/>
    <col min="15650" max="15650" width="15.625" style="255" customWidth="1"/>
    <col min="15651" max="15651" width="15.875" style="255" customWidth="1"/>
    <col min="15652" max="15652" width="8.125" style="255" customWidth="1"/>
    <col min="15653" max="15656" width="10.375" style="255" customWidth="1"/>
    <col min="15657" max="15657" width="7.25" style="255" customWidth="1"/>
    <col min="15658" max="15658" width="7.125" style="255" customWidth="1"/>
    <col min="15659" max="15659" width="9.5" style="255" customWidth="1"/>
    <col min="15660" max="15661" width="9" style="255" customWidth="1"/>
    <col min="15662" max="15662" width="16.125" style="255" customWidth="1"/>
    <col min="15663" max="15693" width="9" style="255" customWidth="1"/>
    <col min="15694" max="15853" width="25.25" style="255"/>
    <col min="15854" max="15883" width="9" style="255" customWidth="1"/>
    <col min="15884" max="15884" width="0.5" style="255" customWidth="1"/>
    <col min="15885" max="15885" width="25.25" style="255"/>
    <col min="15886" max="15886" width="0.5" style="255" customWidth="1"/>
    <col min="15887" max="15887" width="25.25" style="255"/>
    <col min="15888" max="15888" width="14.75" style="255" customWidth="1"/>
    <col min="15889" max="15889" width="11.5" style="255" customWidth="1"/>
    <col min="15890" max="15890" width="11.25" style="255" customWidth="1"/>
    <col min="15891" max="15891" width="10.75" style="255" customWidth="1"/>
    <col min="15892" max="15892" width="10" style="255" customWidth="1"/>
    <col min="15893" max="15893" width="9.875" style="255" customWidth="1"/>
    <col min="15894" max="15894" width="26.125" style="255" customWidth="1"/>
    <col min="15895" max="15895" width="11.125" style="255" customWidth="1"/>
    <col min="15896" max="15896" width="7.875" style="255" customWidth="1"/>
    <col min="15897" max="15897" width="7.25" style="255" customWidth="1"/>
    <col min="15898" max="15898" width="9.125" style="255" customWidth="1"/>
    <col min="15899" max="15899" width="15.125" style="255" customWidth="1"/>
    <col min="15900" max="15900" width="7.75" style="255" customWidth="1"/>
    <col min="15901" max="15901" width="7.125" style="255" customWidth="1"/>
    <col min="15902" max="15902" width="12.125" style="255" customWidth="1"/>
    <col min="15903" max="15903" width="8.25" style="255" customWidth="1"/>
    <col min="15904" max="15905" width="10.375" style="255" customWidth="1"/>
    <col min="15906" max="15906" width="15.625" style="255" customWidth="1"/>
    <col min="15907" max="15907" width="15.875" style="255" customWidth="1"/>
    <col min="15908" max="15908" width="8.125" style="255" customWidth="1"/>
    <col min="15909" max="15912" width="10.375" style="255" customWidth="1"/>
    <col min="15913" max="15913" width="7.25" style="255" customWidth="1"/>
    <col min="15914" max="15914" width="7.125" style="255" customWidth="1"/>
    <col min="15915" max="15915" width="9.5" style="255" customWidth="1"/>
    <col min="15916" max="15917" width="9" style="255" customWidth="1"/>
    <col min="15918" max="15918" width="16.125" style="255" customWidth="1"/>
    <col min="15919" max="15949" width="9" style="255" customWidth="1"/>
    <col min="15950" max="16109" width="25.25" style="255"/>
    <col min="16110" max="16139" width="9" style="255" customWidth="1"/>
    <col min="16140" max="16140" width="0.5" style="255" customWidth="1"/>
    <col min="16141" max="16384" width="25.25" style="255"/>
  </cols>
  <sheetData>
    <row r="1" spans="1:16" ht="14.25" thickBot="1"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1"/>
      <c r="O1" s="1"/>
      <c r="P1" s="1"/>
    </row>
    <row r="2" spans="1:16" ht="18" customHeight="1">
      <c r="A2" s="5"/>
      <c r="B2" s="6" t="s">
        <v>402</v>
      </c>
      <c r="C2" s="254"/>
      <c r="D2" s="254" t="s">
        <v>9</v>
      </c>
      <c r="E2" s="254" t="s">
        <v>10</v>
      </c>
      <c r="F2" s="661" t="s">
        <v>11</v>
      </c>
      <c r="G2" s="661"/>
      <c r="H2" s="661"/>
      <c r="I2" s="662" t="s">
        <v>12</v>
      </c>
      <c r="J2" s="664" t="s">
        <v>13</v>
      </c>
      <c r="K2" s="665"/>
      <c r="L2" s="665"/>
      <c r="M2" s="666"/>
      <c r="N2" s="8"/>
      <c r="O2" s="8"/>
      <c r="P2" s="8"/>
    </row>
    <row r="3" spans="1:16" ht="18" customHeight="1">
      <c r="B3" s="9" t="s">
        <v>14</v>
      </c>
      <c r="C3" s="10" t="s">
        <v>15</v>
      </c>
      <c r="D3" s="10" t="s">
        <v>16</v>
      </c>
      <c r="E3" s="10" t="s">
        <v>17</v>
      </c>
      <c r="F3" s="10" t="s">
        <v>7</v>
      </c>
      <c r="G3" s="10" t="s">
        <v>5</v>
      </c>
      <c r="H3" s="10" t="s">
        <v>18</v>
      </c>
      <c r="I3" s="663"/>
      <c r="J3" s="11" t="s">
        <v>19</v>
      </c>
      <c r="K3" s="12" t="s">
        <v>20</v>
      </c>
      <c r="L3" s="12" t="s">
        <v>21</v>
      </c>
      <c r="M3" s="13" t="s">
        <v>22</v>
      </c>
      <c r="N3" s="14"/>
      <c r="P3" s="15"/>
    </row>
    <row r="4" spans="1:16" ht="18" customHeight="1">
      <c r="B4" s="667" t="str">
        <f ca="1">MID(CELL("filename",Q13),FIND("]",CELL("filename",Q13))+1,30)</f>
        <v>WM1325</v>
      </c>
      <c r="C4" s="17" t="s">
        <v>23</v>
      </c>
      <c r="D4" s="17">
        <v>1300</v>
      </c>
      <c r="E4" s="17">
        <v>2450</v>
      </c>
      <c r="F4" s="222">
        <f>D4*E4/10^6</f>
        <v>3.1850000000000001</v>
      </c>
      <c r="G4" s="17">
        <v>1</v>
      </c>
      <c r="H4" s="17">
        <f>F4*G4</f>
        <v>3.1850000000000001</v>
      </c>
      <c r="I4" s="663"/>
      <c r="J4" s="19">
        <v>40</v>
      </c>
      <c r="K4" s="20">
        <v>20</v>
      </c>
      <c r="L4" s="21">
        <v>1.5</v>
      </c>
      <c r="M4" s="22">
        <f t="shared" ref="M4:M11" si="0">ROUND(((J4*K4)-(J4-2*L4)*(K4-2*L4))*7.8/1000,3)</f>
        <v>1.3340000000000001</v>
      </c>
    </row>
    <row r="5" spans="1:16" ht="18" customHeight="1">
      <c r="B5" s="668"/>
      <c r="C5" s="221" t="s">
        <v>299</v>
      </c>
      <c r="D5" s="221">
        <f>D4-70</f>
        <v>1230</v>
      </c>
      <c r="E5" s="221">
        <f>E4-70</f>
        <v>2380</v>
      </c>
      <c r="F5" s="222">
        <f>D5*E5/10^6</f>
        <v>2.9274</v>
      </c>
      <c r="G5" s="221">
        <v>1</v>
      </c>
      <c r="H5" s="222">
        <f>F5*G5</f>
        <v>2.9274</v>
      </c>
      <c r="I5" s="663"/>
      <c r="J5" s="19">
        <v>40</v>
      </c>
      <c r="K5" s="20">
        <v>20</v>
      </c>
      <c r="L5" s="21">
        <v>2</v>
      </c>
      <c r="M5" s="22">
        <f t="shared" si="0"/>
        <v>1.7470000000000001</v>
      </c>
    </row>
    <row r="6" spans="1:16" ht="18" customHeight="1">
      <c r="B6" s="669"/>
      <c r="C6" s="17" t="s">
        <v>24</v>
      </c>
      <c r="D6" s="17">
        <f>D4-80</f>
        <v>1220</v>
      </c>
      <c r="E6" s="17">
        <f>E4-80</f>
        <v>2370</v>
      </c>
      <c r="F6" s="18">
        <f>D6*E6/10^6</f>
        <v>2.8914</v>
      </c>
      <c r="G6" s="17">
        <v>1</v>
      </c>
      <c r="H6" s="18">
        <f>F6*G6</f>
        <v>2.8914</v>
      </c>
      <c r="I6" s="663"/>
      <c r="J6" s="19">
        <v>40</v>
      </c>
      <c r="K6" s="20">
        <v>20</v>
      </c>
      <c r="L6" s="21">
        <v>2</v>
      </c>
      <c r="M6" s="22">
        <f t="shared" si="0"/>
        <v>1.7470000000000001</v>
      </c>
    </row>
    <row r="7" spans="1:16" ht="18" customHeight="1">
      <c r="B7" s="23" t="s">
        <v>25</v>
      </c>
      <c r="C7" s="252" t="s">
        <v>16</v>
      </c>
      <c r="D7" s="252" t="s">
        <v>26</v>
      </c>
      <c r="E7" s="252" t="s">
        <v>17</v>
      </c>
      <c r="F7" s="252" t="s">
        <v>27</v>
      </c>
      <c r="G7" s="252" t="s">
        <v>22</v>
      </c>
      <c r="H7" s="252" t="s">
        <v>28</v>
      </c>
      <c r="I7" s="25" t="s">
        <v>29</v>
      </c>
      <c r="J7" s="19">
        <v>80</v>
      </c>
      <c r="K7" s="20">
        <v>40</v>
      </c>
      <c r="L7" s="21">
        <v>2</v>
      </c>
      <c r="M7" s="22">
        <f t="shared" si="0"/>
        <v>3.6190000000000002</v>
      </c>
    </row>
    <row r="8" spans="1:16" ht="18" customHeight="1">
      <c r="B8" s="251" t="s">
        <v>30</v>
      </c>
      <c r="C8" s="27">
        <f>D4-30</f>
        <v>1270</v>
      </c>
      <c r="D8" s="27">
        <v>2</v>
      </c>
      <c r="E8" s="27">
        <f>E4-30</f>
        <v>2420</v>
      </c>
      <c r="F8" s="27">
        <v>2</v>
      </c>
      <c r="G8" s="28">
        <v>1.7470000000000001</v>
      </c>
      <c r="H8" s="29">
        <f>材料价格!B3</f>
        <v>7.5</v>
      </c>
      <c r="I8" s="30">
        <f>ROUND((C8*D8+E8*F8)*G8*H8/1000*1.1,2)</f>
        <v>106.37</v>
      </c>
      <c r="J8" s="19">
        <v>40</v>
      </c>
      <c r="K8" s="20">
        <v>20</v>
      </c>
      <c r="L8" s="21">
        <v>1.4</v>
      </c>
      <c r="M8" s="22">
        <f>ROUND(((J8*K8)-(J8-2*L8)*(K8-2*L8))*2.71/1000,3)</f>
        <v>0.434</v>
      </c>
    </row>
    <row r="9" spans="1:16" ht="18" customHeight="1">
      <c r="B9" s="251" t="s">
        <v>30</v>
      </c>
      <c r="C9" s="250"/>
      <c r="D9" s="250"/>
      <c r="E9" s="250"/>
      <c r="F9" s="250"/>
      <c r="G9" s="28">
        <v>1.7470000000000001</v>
      </c>
      <c r="H9" s="32">
        <f>H8</f>
        <v>7.5</v>
      </c>
      <c r="I9" s="30">
        <f>ROUND((C9*D9+E9*F9)*G9*H9/1000*1.1,2)</f>
        <v>0</v>
      </c>
      <c r="J9" s="19"/>
      <c r="K9" s="20"/>
      <c r="L9" s="21"/>
      <c r="M9" s="22">
        <f t="shared" si="0"/>
        <v>0</v>
      </c>
    </row>
    <row r="10" spans="1:16" ht="18" customHeight="1">
      <c r="B10" s="251" t="s">
        <v>31</v>
      </c>
      <c r="C10" s="250"/>
      <c r="D10" s="250"/>
      <c r="E10" s="250"/>
      <c r="F10" s="250"/>
      <c r="G10" s="28">
        <v>3.6190000000000002</v>
      </c>
      <c r="H10" s="32">
        <f>H9</f>
        <v>7.5</v>
      </c>
      <c r="I10" s="30">
        <f>ROUND((C10*D10+E10*F10)*G10*H10/1000*1.1,2)</f>
        <v>0</v>
      </c>
      <c r="J10" s="19"/>
      <c r="K10" s="20"/>
      <c r="L10" s="12"/>
      <c r="M10" s="22">
        <f t="shared" si="0"/>
        <v>0</v>
      </c>
    </row>
    <row r="11" spans="1:16" ht="18" customHeight="1" thickBot="1">
      <c r="B11" s="251" t="s">
        <v>32</v>
      </c>
      <c r="C11" s="250"/>
      <c r="D11" s="250"/>
      <c r="E11" s="250"/>
      <c r="F11" s="250"/>
      <c r="G11" s="28">
        <v>2.9950000000000001</v>
      </c>
      <c r="H11" s="32">
        <f>H10</f>
        <v>7.5</v>
      </c>
      <c r="I11" s="30">
        <f>ROUND((C11*D11+E11*F11)*G11*H11/1000*1.1,2)</f>
        <v>0</v>
      </c>
      <c r="J11" s="33"/>
      <c r="K11" s="34"/>
      <c r="L11" s="35"/>
      <c r="M11" s="36">
        <f t="shared" si="0"/>
        <v>0</v>
      </c>
    </row>
    <row r="12" spans="1:16" ht="18" customHeight="1">
      <c r="B12" s="37" t="s">
        <v>33</v>
      </c>
      <c r="C12" s="38">
        <f>((I9+I10+I8+I11)/H8)/F4</f>
        <v>4.4529565672422819</v>
      </c>
      <c r="D12" s="39" t="s">
        <v>34</v>
      </c>
      <c r="E12" s="38">
        <f>(I9+I10+I8+I11)/F4</f>
        <v>33.397174254317115</v>
      </c>
      <c r="F12" s="40" t="s">
        <v>35</v>
      </c>
      <c r="G12" s="39"/>
      <c r="H12" s="39">
        <f>ROUND(SUM(I8:I11)/H8,2)</f>
        <v>14.18</v>
      </c>
      <c r="I12" s="41">
        <f>SUM(I8:I11)</f>
        <v>106.37</v>
      </c>
      <c r="J12" s="42"/>
    </row>
    <row r="13" spans="1:16" ht="18" customHeight="1">
      <c r="B13" s="23" t="s">
        <v>36</v>
      </c>
      <c r="C13" s="252" t="s">
        <v>14</v>
      </c>
      <c r="D13" s="252" t="s">
        <v>37</v>
      </c>
      <c r="E13" s="252" t="s">
        <v>38</v>
      </c>
      <c r="F13" s="252" t="s">
        <v>39</v>
      </c>
      <c r="G13" s="252" t="s">
        <v>8</v>
      </c>
      <c r="H13" s="252" t="s">
        <v>22</v>
      </c>
      <c r="I13" s="25" t="s">
        <v>40</v>
      </c>
    </row>
    <row r="14" spans="1:16" ht="18" customHeight="1">
      <c r="B14" s="648" t="s">
        <v>41</v>
      </c>
      <c r="C14" s="649" t="s">
        <v>404</v>
      </c>
      <c r="D14" s="250"/>
      <c r="E14" s="250"/>
      <c r="F14" s="44">
        <f>ROUND((D14+E14)*2/1000,4)</f>
        <v>0</v>
      </c>
      <c r="G14" s="250"/>
      <c r="H14" s="250">
        <v>1.47</v>
      </c>
      <c r="I14" s="284">
        <f>ROUND(F14*G14*H14,3)*1.5</f>
        <v>0</v>
      </c>
      <c r="J14" s="42"/>
      <c r="K14" s="46"/>
      <c r="L14" s="46"/>
      <c r="M14" s="42"/>
    </row>
    <row r="15" spans="1:16" ht="18" customHeight="1">
      <c r="B15" s="648"/>
      <c r="C15" s="650"/>
      <c r="D15" s="250"/>
      <c r="E15" s="250"/>
      <c r="F15" s="44">
        <f t="shared" ref="F15:F21" si="1">ROUND((D15+E15)*2/1000,4)</f>
        <v>0</v>
      </c>
      <c r="G15" s="250"/>
      <c r="H15" s="250">
        <f t="shared" ref="H15:H21" si="2">H14</f>
        <v>1.47</v>
      </c>
      <c r="I15" s="247">
        <f t="shared" ref="I15:I21" si="3">ROUND(F15*G15*H15,3)</f>
        <v>0</v>
      </c>
      <c r="K15" s="47"/>
      <c r="M15" s="255"/>
    </row>
    <row r="16" spans="1:16" ht="18" customHeight="1">
      <c r="B16" s="648"/>
      <c r="C16" s="650"/>
      <c r="D16" s="250"/>
      <c r="E16" s="250"/>
      <c r="F16" s="44">
        <f t="shared" si="1"/>
        <v>0</v>
      </c>
      <c r="G16" s="250"/>
      <c r="H16" s="250">
        <f t="shared" si="2"/>
        <v>1.47</v>
      </c>
      <c r="I16" s="247">
        <f t="shared" si="3"/>
        <v>0</v>
      </c>
      <c r="K16" s="47"/>
      <c r="L16" s="46"/>
      <c r="M16" s="42"/>
    </row>
    <row r="17" spans="2:15" ht="18" customHeight="1">
      <c r="B17" s="648"/>
      <c r="C17" s="650"/>
      <c r="D17" s="250"/>
      <c r="E17" s="250"/>
      <c r="F17" s="44">
        <f t="shared" si="1"/>
        <v>0</v>
      </c>
      <c r="G17" s="250"/>
      <c r="H17" s="250">
        <f t="shared" si="2"/>
        <v>1.47</v>
      </c>
      <c r="I17" s="247">
        <f t="shared" si="3"/>
        <v>0</v>
      </c>
      <c r="K17" s="47"/>
      <c r="M17" s="42"/>
    </row>
    <row r="18" spans="2:15" ht="18" customHeight="1">
      <c r="B18" s="648"/>
      <c r="C18" s="650"/>
      <c r="D18" s="250"/>
      <c r="E18" s="250"/>
      <c r="F18" s="44">
        <f t="shared" si="1"/>
        <v>0</v>
      </c>
      <c r="G18" s="250"/>
      <c r="H18" s="250">
        <f t="shared" si="2"/>
        <v>1.47</v>
      </c>
      <c r="I18" s="247">
        <f t="shared" si="3"/>
        <v>0</v>
      </c>
      <c r="M18" s="42"/>
    </row>
    <row r="19" spans="2:15" ht="18" customHeight="1">
      <c r="B19" s="648"/>
      <c r="C19" s="650"/>
      <c r="D19" s="250"/>
      <c r="E19" s="250"/>
      <c r="F19" s="44">
        <f t="shared" si="1"/>
        <v>0</v>
      </c>
      <c r="G19" s="250"/>
      <c r="H19" s="250">
        <f t="shared" si="2"/>
        <v>1.47</v>
      </c>
      <c r="I19" s="247">
        <f t="shared" si="3"/>
        <v>0</v>
      </c>
      <c r="M19" s="42"/>
    </row>
    <row r="20" spans="2:15" ht="18" customHeight="1">
      <c r="B20" s="648"/>
      <c r="C20" s="650"/>
      <c r="D20" s="250"/>
      <c r="E20" s="250"/>
      <c r="F20" s="44">
        <f t="shared" si="1"/>
        <v>0</v>
      </c>
      <c r="G20" s="250"/>
      <c r="H20" s="250">
        <f t="shared" si="2"/>
        <v>1.47</v>
      </c>
      <c r="I20" s="247">
        <f t="shared" si="3"/>
        <v>0</v>
      </c>
      <c r="K20" s="47"/>
      <c r="M20" s="42"/>
    </row>
    <row r="21" spans="2:15" ht="18" customHeight="1">
      <c r="B21" s="648"/>
      <c r="C21" s="651"/>
      <c r="D21" s="250"/>
      <c r="E21" s="250"/>
      <c r="F21" s="44">
        <f t="shared" si="1"/>
        <v>0</v>
      </c>
      <c r="G21" s="250"/>
      <c r="H21" s="250">
        <f t="shared" si="2"/>
        <v>1.47</v>
      </c>
      <c r="I21" s="247">
        <f t="shared" si="3"/>
        <v>0</v>
      </c>
    </row>
    <row r="22" spans="2:15" ht="18" customHeight="1">
      <c r="B22" s="48" t="s">
        <v>42</v>
      </c>
      <c r="C22" s="49">
        <f>SUMPRODUCT(F14:F21*G14:G21)</f>
        <v>0</v>
      </c>
      <c r="D22" s="50" t="s">
        <v>43</v>
      </c>
      <c r="E22" s="49">
        <f>SUM(I14:I21)*1.1</f>
        <v>0</v>
      </c>
      <c r="F22" s="50" t="s">
        <v>44</v>
      </c>
      <c r="G22" s="51">
        <f>(C$218+C$219)/1000</f>
        <v>46.081499999999998</v>
      </c>
      <c r="H22" s="52" t="s">
        <v>45</v>
      </c>
      <c r="I22" s="53">
        <f>ROUND(E22*G22,2)</f>
        <v>0</v>
      </c>
      <c r="J22" s="243">
        <f>SUM(G14:G21)</f>
        <v>0</v>
      </c>
    </row>
    <row r="23" spans="2:15" ht="18" customHeight="1">
      <c r="B23" s="48" t="s">
        <v>46</v>
      </c>
      <c r="C23" s="50">
        <v>207.36</v>
      </c>
      <c r="D23" s="50" t="s">
        <v>47</v>
      </c>
      <c r="E23" s="49">
        <f>ROUND(C22*(C23/1000),2)</f>
        <v>0</v>
      </c>
      <c r="F23" s="50" t="s">
        <v>48</v>
      </c>
      <c r="G23" s="50">
        <v>10</v>
      </c>
      <c r="H23" s="52" t="s">
        <v>49</v>
      </c>
      <c r="I23" s="53">
        <f>E23*G23</f>
        <v>0</v>
      </c>
    </row>
    <row r="24" spans="2:15" ht="18" customHeight="1" thickBot="1">
      <c r="B24" s="48" t="s">
        <v>50</v>
      </c>
      <c r="C24" s="50">
        <v>169.96</v>
      </c>
      <c r="D24" s="50" t="s">
        <v>51</v>
      </c>
      <c r="E24" s="49">
        <f>ROUND(C22*(C24/1000),2)</f>
        <v>0</v>
      </c>
      <c r="F24" s="50" t="s">
        <v>48</v>
      </c>
      <c r="G24" s="50">
        <v>10</v>
      </c>
      <c r="H24" s="52" t="s">
        <v>49</v>
      </c>
      <c r="I24" s="53">
        <f>E24*G24</f>
        <v>0</v>
      </c>
    </row>
    <row r="25" spans="2:15" ht="18" customHeight="1">
      <c r="B25" s="23" t="s">
        <v>36</v>
      </c>
      <c r="C25" s="252" t="s">
        <v>14</v>
      </c>
      <c r="D25" s="252" t="s">
        <v>37</v>
      </c>
      <c r="E25" s="252" t="s">
        <v>38</v>
      </c>
      <c r="F25" s="252" t="s">
        <v>39</v>
      </c>
      <c r="G25" s="252" t="s">
        <v>8</v>
      </c>
      <c r="H25" s="252" t="s">
        <v>22</v>
      </c>
      <c r="I25" s="25" t="s">
        <v>40</v>
      </c>
      <c r="J25" s="54" t="s">
        <v>2</v>
      </c>
      <c r="K25" s="55" t="s">
        <v>3</v>
      </c>
      <c r="L25" s="55" t="s">
        <v>52</v>
      </c>
      <c r="M25" s="55" t="s">
        <v>53</v>
      </c>
      <c r="N25" s="56" t="s">
        <v>14</v>
      </c>
    </row>
    <row r="26" spans="2:15" ht="18" customHeight="1">
      <c r="B26" s="648" t="s">
        <v>54</v>
      </c>
      <c r="C26" s="649" t="s">
        <v>55</v>
      </c>
      <c r="D26" s="253">
        <f>J26-IF(L26=1,44,IF(L26=2,30,IF(L26=3,16,0)))</f>
        <v>0</v>
      </c>
      <c r="E26" s="253">
        <f>K26-IF(M26=1,44,IF(M26=2,30,IF(M26=3,16,0)))</f>
        <v>0</v>
      </c>
      <c r="F26" s="44">
        <f>ROUND((D26+E26)*2/1000,4)</f>
        <v>0</v>
      </c>
      <c r="G26" s="250"/>
      <c r="H26" s="58">
        <v>1.62</v>
      </c>
      <c r="I26" s="59">
        <f>IF(AND(D26&gt;0,E26&gt;0,F26&gt;0),F26*G26*H26,0)</f>
        <v>0</v>
      </c>
      <c r="J26" s="60"/>
      <c r="K26" s="61"/>
      <c r="L26" s="61"/>
      <c r="M26" s="61"/>
      <c r="N26" s="62" t="s">
        <v>56</v>
      </c>
      <c r="O26" s="63" t="s">
        <v>57</v>
      </c>
    </row>
    <row r="27" spans="2:15" ht="18" customHeight="1">
      <c r="B27" s="648"/>
      <c r="C27" s="650"/>
      <c r="D27" s="253">
        <f t="shared" ref="D27:E30" si="4">J27-IF(L27=1,44,IF(L27=2,30,IF(L27=3,16,0)))</f>
        <v>0</v>
      </c>
      <c r="E27" s="253">
        <f t="shared" si="4"/>
        <v>0</v>
      </c>
      <c r="F27" s="44">
        <f>ROUND((D27+E27)*2/1000,4)</f>
        <v>0</v>
      </c>
      <c r="G27" s="250"/>
      <c r="H27" s="58">
        <f>H26</f>
        <v>1.62</v>
      </c>
      <c r="I27" s="59">
        <f>IF(AND(D27&gt;0,E27&gt;0,F27&gt;0),F27*G27*H27,0)</f>
        <v>0</v>
      </c>
      <c r="J27" s="60"/>
      <c r="K27" s="61"/>
      <c r="L27" s="61"/>
      <c r="M27" s="61"/>
      <c r="N27" s="62" t="s">
        <v>58</v>
      </c>
      <c r="O27" s="63" t="s">
        <v>59</v>
      </c>
    </row>
    <row r="28" spans="2:15" ht="18" customHeight="1">
      <c r="B28" s="648"/>
      <c r="C28" s="650"/>
      <c r="D28" s="253">
        <f t="shared" si="4"/>
        <v>0</v>
      </c>
      <c r="E28" s="253">
        <f t="shared" si="4"/>
        <v>0</v>
      </c>
      <c r="F28" s="44">
        <f>ROUND((D28+E28)*2/1000,4)</f>
        <v>0</v>
      </c>
      <c r="G28" s="250"/>
      <c r="H28" s="58">
        <f>H27</f>
        <v>1.62</v>
      </c>
      <c r="I28" s="59">
        <f>IF(AND(D28&gt;0,E28&gt;0,F28&gt;0),F28*G28*H28,0)</f>
        <v>0</v>
      </c>
      <c r="J28" s="60"/>
      <c r="K28" s="61"/>
      <c r="L28" s="61"/>
      <c r="M28" s="61"/>
      <c r="N28" s="62" t="s">
        <v>60</v>
      </c>
      <c r="O28" s="63" t="s">
        <v>59</v>
      </c>
    </row>
    <row r="29" spans="2:15" ht="18" customHeight="1">
      <c r="B29" s="648"/>
      <c r="C29" s="650"/>
      <c r="D29" s="253">
        <f t="shared" si="4"/>
        <v>0</v>
      </c>
      <c r="E29" s="253">
        <f t="shared" si="4"/>
        <v>0</v>
      </c>
      <c r="F29" s="44">
        <f>ROUND((D29+E29)*2/1000,4)</f>
        <v>0</v>
      </c>
      <c r="G29" s="250"/>
      <c r="H29" s="58">
        <f>H28</f>
        <v>1.62</v>
      </c>
      <c r="I29" s="59">
        <f>IF(AND(D29&gt;0,E29&gt;0,F29&gt;0),F29*G29*H29,0)</f>
        <v>0</v>
      </c>
      <c r="J29" s="60"/>
      <c r="K29" s="61"/>
      <c r="L29" s="61"/>
      <c r="M29" s="61"/>
      <c r="N29" s="62"/>
    </row>
    <row r="30" spans="2:15" ht="18" customHeight="1" thickBot="1">
      <c r="B30" s="648"/>
      <c r="C30" s="651"/>
      <c r="D30" s="253">
        <f t="shared" si="4"/>
        <v>0</v>
      </c>
      <c r="E30" s="253">
        <f t="shared" si="4"/>
        <v>0</v>
      </c>
      <c r="F30" s="44">
        <f>ROUND((D30+E30)*2/1000,4)</f>
        <v>0</v>
      </c>
      <c r="G30" s="250"/>
      <c r="H30" s="58">
        <f>H29</f>
        <v>1.62</v>
      </c>
      <c r="I30" s="59">
        <f>IF(AND(D30&gt;0,E30&gt;0,F30&gt;0),F30*G30*H30,0)</f>
        <v>0</v>
      </c>
      <c r="J30" s="64"/>
      <c r="K30" s="65"/>
      <c r="L30" s="65"/>
      <c r="M30" s="65"/>
      <c r="N30" s="66"/>
    </row>
    <row r="31" spans="2:15" ht="18" customHeight="1">
      <c r="B31" s="48" t="s">
        <v>42</v>
      </c>
      <c r="C31" s="49">
        <f>SUMPRODUCT(F26:F30*G26:G30)</f>
        <v>0</v>
      </c>
      <c r="D31" s="50" t="s">
        <v>43</v>
      </c>
      <c r="E31" s="49">
        <f>SUM(I26:I30)*1.1</f>
        <v>0</v>
      </c>
      <c r="F31" s="50" t="s">
        <v>44</v>
      </c>
      <c r="G31" s="51">
        <f>(C$218+C$221)/1000</f>
        <v>46.081499999999998</v>
      </c>
      <c r="H31" s="52" t="s">
        <v>45</v>
      </c>
      <c r="I31" s="53">
        <f>ROUND(E31*G31,2)</f>
        <v>0</v>
      </c>
      <c r="J31" s="243">
        <f>SUM(G26:G30)</f>
        <v>0</v>
      </c>
    </row>
    <row r="32" spans="2:15" ht="18" customHeight="1">
      <c r="B32" s="48" t="s">
        <v>46</v>
      </c>
      <c r="C32" s="50">
        <v>183.32</v>
      </c>
      <c r="D32" s="50" t="s">
        <v>47</v>
      </c>
      <c r="E32" s="49">
        <f>ROUND(C31*(C32/1000),2)</f>
        <v>0</v>
      </c>
      <c r="F32" s="50" t="s">
        <v>48</v>
      </c>
      <c r="G32" s="50">
        <f>G$23</f>
        <v>10</v>
      </c>
      <c r="H32" s="52" t="s">
        <v>49</v>
      </c>
      <c r="I32" s="53">
        <f>E32*G32</f>
        <v>0</v>
      </c>
    </row>
    <row r="33" spans="2:14" ht="18" customHeight="1" thickBot="1">
      <c r="B33" s="48" t="s">
        <v>50</v>
      </c>
      <c r="C33" s="50">
        <v>257.82</v>
      </c>
      <c r="D33" s="50" t="s">
        <v>51</v>
      </c>
      <c r="E33" s="49">
        <f>ROUND(C31*(C33/1000),2)</f>
        <v>0</v>
      </c>
      <c r="F33" s="50" t="s">
        <v>48</v>
      </c>
      <c r="G33" s="50">
        <f>G$24</f>
        <v>10</v>
      </c>
      <c r="H33" s="52" t="s">
        <v>49</v>
      </c>
      <c r="I33" s="53">
        <f>E33*G33</f>
        <v>0</v>
      </c>
    </row>
    <row r="34" spans="2:14" ht="18" customHeight="1" thickBot="1">
      <c r="B34" s="67" t="s">
        <v>36</v>
      </c>
      <c r="C34" s="68" t="s">
        <v>14</v>
      </c>
      <c r="D34" s="68" t="s">
        <v>37</v>
      </c>
      <c r="E34" s="68" t="s">
        <v>38</v>
      </c>
      <c r="F34" s="68" t="s">
        <v>39</v>
      </c>
      <c r="G34" s="68" t="s">
        <v>8</v>
      </c>
      <c r="H34" s="68" t="s">
        <v>22</v>
      </c>
      <c r="I34" s="69" t="s">
        <v>40</v>
      </c>
      <c r="J34" s="54" t="s">
        <v>2</v>
      </c>
      <c r="K34" s="55" t="s">
        <v>3</v>
      </c>
      <c r="L34" s="55" t="s">
        <v>61</v>
      </c>
      <c r="M34" s="55" t="s">
        <v>62</v>
      </c>
      <c r="N34" s="70" t="s">
        <v>14</v>
      </c>
    </row>
    <row r="35" spans="2:14" ht="18" customHeight="1">
      <c r="B35" s="648" t="s">
        <v>63</v>
      </c>
      <c r="C35" s="649" t="s">
        <v>64</v>
      </c>
      <c r="D35" s="253">
        <f t="shared" ref="D35:E37" si="5">J35-IF(L35=1,44,IF(L35=2,30,IF(L35=3,16,IF(L35=11,118,IF(L35=12,100,IF(L35=13,76.8,0))))))</f>
        <v>0</v>
      </c>
      <c r="E35" s="253">
        <f t="shared" si="5"/>
        <v>0</v>
      </c>
      <c r="F35" s="250">
        <f>ROUND((D35+E35)*2/1000,4)</f>
        <v>0</v>
      </c>
      <c r="G35" s="250"/>
      <c r="H35" s="58">
        <v>1.8140000000000001</v>
      </c>
      <c r="I35" s="59">
        <f>ROUND(F35*G35*H35,3)</f>
        <v>0</v>
      </c>
      <c r="J35" s="60"/>
      <c r="K35" s="61"/>
      <c r="L35" s="61"/>
      <c r="M35" s="61"/>
      <c r="N35" s="71" t="s">
        <v>56</v>
      </c>
    </row>
    <row r="36" spans="2:14" ht="18" customHeight="1">
      <c r="B36" s="660"/>
      <c r="C36" s="650"/>
      <c r="D36" s="253">
        <f t="shared" si="5"/>
        <v>0</v>
      </c>
      <c r="E36" s="253">
        <f t="shared" si="5"/>
        <v>0</v>
      </c>
      <c r="F36" s="250">
        <f>ROUND((D36+E36)*2/1000,4)</f>
        <v>0</v>
      </c>
      <c r="G36" s="250"/>
      <c r="H36" s="58">
        <f>H35</f>
        <v>1.8140000000000001</v>
      </c>
      <c r="I36" s="59">
        <f>ROUND(F36*G36*H36,3)</f>
        <v>0</v>
      </c>
      <c r="J36" s="60"/>
      <c r="K36" s="61"/>
      <c r="L36" s="61"/>
      <c r="M36" s="61"/>
      <c r="N36" s="72" t="s">
        <v>58</v>
      </c>
    </row>
    <row r="37" spans="2:14" ht="18" customHeight="1">
      <c r="B37" s="660"/>
      <c r="C37" s="651"/>
      <c r="D37" s="253">
        <f t="shared" si="5"/>
        <v>0</v>
      </c>
      <c r="E37" s="253">
        <f t="shared" si="5"/>
        <v>0</v>
      </c>
      <c r="F37" s="250">
        <f>ROUND((D37+E37)*2/1000,4)</f>
        <v>0</v>
      </c>
      <c r="G37" s="250"/>
      <c r="H37" s="58">
        <f>H36</f>
        <v>1.8140000000000001</v>
      </c>
      <c r="I37" s="59">
        <f>ROUND(F37*G37*H37,3)</f>
        <v>0</v>
      </c>
      <c r="J37" s="60"/>
      <c r="K37" s="61"/>
      <c r="L37" s="61"/>
      <c r="M37" s="61"/>
      <c r="N37" s="72" t="s">
        <v>60</v>
      </c>
    </row>
    <row r="38" spans="2:14" ht="18" customHeight="1">
      <c r="B38" s="48" t="s">
        <v>42</v>
      </c>
      <c r="C38" s="49">
        <f>SUMPRODUCT(F35:F37*G35:G37)</f>
        <v>0</v>
      </c>
      <c r="D38" s="50" t="s">
        <v>43</v>
      </c>
      <c r="E38" s="49">
        <f>SUM(I35:I37)*1.1</f>
        <v>0</v>
      </c>
      <c r="F38" s="50" t="s">
        <v>44</v>
      </c>
      <c r="G38" s="51">
        <f>(C$218+C$219)/1000</f>
        <v>46.081499999999998</v>
      </c>
      <c r="H38" s="52" t="s">
        <v>45</v>
      </c>
      <c r="I38" s="53">
        <f>ROUND(E38*G38,2)</f>
        <v>0</v>
      </c>
      <c r="J38" s="243">
        <f>SUM(G35:G37)</f>
        <v>0</v>
      </c>
      <c r="K38" s="255"/>
      <c r="L38" s="255"/>
      <c r="M38" s="255"/>
      <c r="N38" s="73" t="s">
        <v>65</v>
      </c>
    </row>
    <row r="39" spans="2:14" ht="18" customHeight="1">
      <c r="B39" s="48" t="s">
        <v>46</v>
      </c>
      <c r="C39" s="50">
        <v>320.14</v>
      </c>
      <c r="D39" s="50" t="s">
        <v>47</v>
      </c>
      <c r="E39" s="49">
        <f>ROUND(C38*(C39/1000),2)</f>
        <v>0</v>
      </c>
      <c r="F39" s="50" t="s">
        <v>48</v>
      </c>
      <c r="G39" s="50">
        <f>G$23</f>
        <v>10</v>
      </c>
      <c r="H39" s="52" t="s">
        <v>49</v>
      </c>
      <c r="I39" s="53">
        <f>E39*G39</f>
        <v>0</v>
      </c>
      <c r="J39" s="255"/>
      <c r="K39" s="255"/>
      <c r="L39" s="255"/>
      <c r="M39" s="255"/>
      <c r="N39" s="73" t="s">
        <v>66</v>
      </c>
    </row>
    <row r="40" spans="2:14" ht="18" customHeight="1" thickBot="1">
      <c r="B40" s="48" t="s">
        <v>50</v>
      </c>
      <c r="C40" s="50">
        <v>156.99</v>
      </c>
      <c r="D40" s="50" t="s">
        <v>51</v>
      </c>
      <c r="E40" s="49">
        <f>ROUND(C38*(C40/1000),2)</f>
        <v>0</v>
      </c>
      <c r="F40" s="50" t="s">
        <v>48</v>
      </c>
      <c r="G40" s="50">
        <f>G$24</f>
        <v>10</v>
      </c>
      <c r="H40" s="52" t="s">
        <v>49</v>
      </c>
      <c r="I40" s="53">
        <f>E40*G40</f>
        <v>0</v>
      </c>
      <c r="J40" s="255"/>
      <c r="K40" s="255"/>
      <c r="L40" s="255"/>
      <c r="M40" s="255"/>
      <c r="N40" s="74" t="s">
        <v>67</v>
      </c>
    </row>
    <row r="41" spans="2:14" ht="18" customHeight="1" thickBot="1">
      <c r="B41" s="23" t="s">
        <v>36</v>
      </c>
      <c r="C41" s="252" t="s">
        <v>14</v>
      </c>
      <c r="D41" s="252" t="s">
        <v>37</v>
      </c>
      <c r="E41" s="252" t="s">
        <v>38</v>
      </c>
      <c r="F41" s="252" t="s">
        <v>39</v>
      </c>
      <c r="G41" s="252" t="s">
        <v>8</v>
      </c>
      <c r="H41" s="252" t="s">
        <v>22</v>
      </c>
      <c r="I41" s="25" t="s">
        <v>40</v>
      </c>
      <c r="J41" s="54" t="s">
        <v>2</v>
      </c>
      <c r="K41" s="55" t="s">
        <v>3</v>
      </c>
      <c r="L41" s="55" t="s">
        <v>61</v>
      </c>
      <c r="M41" s="55" t="s">
        <v>62</v>
      </c>
      <c r="N41" s="70" t="s">
        <v>14</v>
      </c>
    </row>
    <row r="42" spans="2:14" ht="18" customHeight="1">
      <c r="B42" s="648" t="s">
        <v>68</v>
      </c>
      <c r="C42" s="649" t="s">
        <v>69</v>
      </c>
      <c r="D42" s="253">
        <f>J42-IF(L42=1,46,IF(L42=2,34.5,IF(L42=3,23)))</f>
        <v>0</v>
      </c>
      <c r="E42" s="253">
        <f>K42-IF(M42=1,46,IF(M42=2,34.5,IF(M42=3,23)))</f>
        <v>0</v>
      </c>
      <c r="F42" s="250">
        <f t="shared" ref="F42:F47" si="6">ROUND((D42+E42)*2/1000,4)</f>
        <v>0</v>
      </c>
      <c r="G42" s="250"/>
      <c r="H42" s="250">
        <v>1.26</v>
      </c>
      <c r="I42" s="59">
        <f t="shared" ref="I42:I47" si="7">ROUND(F42*G42*H42,3)</f>
        <v>0</v>
      </c>
      <c r="J42" s="60"/>
      <c r="K42" s="61"/>
      <c r="L42" s="61"/>
      <c r="M42" s="61"/>
      <c r="N42" s="71" t="s">
        <v>56</v>
      </c>
    </row>
    <row r="43" spans="2:14" ht="18" customHeight="1">
      <c r="B43" s="648"/>
      <c r="C43" s="650"/>
      <c r="D43" s="253">
        <f t="shared" ref="D43:E47" si="8">J43-IF(L43=1,46,IF(L43=2,34.5,IF(L43=3,23)))</f>
        <v>0</v>
      </c>
      <c r="E43" s="253">
        <f t="shared" si="8"/>
        <v>0</v>
      </c>
      <c r="F43" s="250">
        <f t="shared" si="6"/>
        <v>0</v>
      </c>
      <c r="G43" s="250"/>
      <c r="H43" s="250">
        <f>H42</f>
        <v>1.26</v>
      </c>
      <c r="I43" s="59">
        <f t="shared" si="7"/>
        <v>0</v>
      </c>
      <c r="J43" s="60"/>
      <c r="K43" s="61"/>
      <c r="L43" s="61"/>
      <c r="M43" s="61"/>
      <c r="N43" s="72" t="s">
        <v>58</v>
      </c>
    </row>
    <row r="44" spans="2:14" ht="18" customHeight="1">
      <c r="B44" s="648"/>
      <c r="C44" s="651"/>
      <c r="D44" s="253">
        <f t="shared" si="8"/>
        <v>0</v>
      </c>
      <c r="E44" s="253">
        <f t="shared" si="8"/>
        <v>0</v>
      </c>
      <c r="F44" s="250">
        <f t="shared" si="6"/>
        <v>0</v>
      </c>
      <c r="G44" s="250"/>
      <c r="H44" s="250">
        <f>H43</f>
        <v>1.26</v>
      </c>
      <c r="I44" s="59">
        <f t="shared" si="7"/>
        <v>0</v>
      </c>
      <c r="J44" s="60"/>
      <c r="K44" s="61"/>
      <c r="L44" s="61"/>
      <c r="M44" s="61"/>
      <c r="N44" s="72" t="s">
        <v>60</v>
      </c>
    </row>
    <row r="45" spans="2:14" ht="18" customHeight="1">
      <c r="B45" s="648"/>
      <c r="C45" s="649" t="s">
        <v>70</v>
      </c>
      <c r="D45" s="253">
        <f t="shared" si="8"/>
        <v>0</v>
      </c>
      <c r="E45" s="253">
        <f t="shared" si="8"/>
        <v>0</v>
      </c>
      <c r="F45" s="250">
        <f t="shared" si="6"/>
        <v>0</v>
      </c>
      <c r="G45" s="250"/>
      <c r="H45" s="250">
        <f>H44</f>
        <v>1.26</v>
      </c>
      <c r="I45" s="59">
        <f t="shared" si="7"/>
        <v>0</v>
      </c>
      <c r="J45" s="60"/>
      <c r="K45" s="61"/>
      <c r="L45" s="61"/>
      <c r="M45" s="61"/>
      <c r="N45" s="71" t="s">
        <v>56</v>
      </c>
    </row>
    <row r="46" spans="2:14" ht="18" customHeight="1">
      <c r="B46" s="648"/>
      <c r="C46" s="650"/>
      <c r="D46" s="253">
        <f t="shared" si="8"/>
        <v>0</v>
      </c>
      <c r="E46" s="253">
        <f t="shared" si="8"/>
        <v>0</v>
      </c>
      <c r="F46" s="250">
        <f t="shared" si="6"/>
        <v>0</v>
      </c>
      <c r="G46" s="250"/>
      <c r="H46" s="250">
        <f>H45</f>
        <v>1.26</v>
      </c>
      <c r="I46" s="59">
        <f t="shared" si="7"/>
        <v>0</v>
      </c>
      <c r="J46" s="60"/>
      <c r="K46" s="61"/>
      <c r="L46" s="61"/>
      <c r="M46" s="61"/>
      <c r="N46" s="72" t="s">
        <v>58</v>
      </c>
    </row>
    <row r="47" spans="2:14" ht="18" customHeight="1" thickBot="1">
      <c r="B47" s="648"/>
      <c r="C47" s="651"/>
      <c r="D47" s="253">
        <f t="shared" si="8"/>
        <v>0</v>
      </c>
      <c r="E47" s="253">
        <f t="shared" si="8"/>
        <v>0</v>
      </c>
      <c r="F47" s="250">
        <f t="shared" si="6"/>
        <v>0</v>
      </c>
      <c r="G47" s="250"/>
      <c r="H47" s="250">
        <f>H46</f>
        <v>1.26</v>
      </c>
      <c r="I47" s="59">
        <f t="shared" si="7"/>
        <v>0</v>
      </c>
      <c r="J47" s="64"/>
      <c r="K47" s="65"/>
      <c r="L47" s="65"/>
      <c r="M47" s="65"/>
      <c r="N47" s="75" t="s">
        <v>60</v>
      </c>
    </row>
    <row r="48" spans="2:14" ht="18" customHeight="1">
      <c r="B48" s="48" t="s">
        <v>42</v>
      </c>
      <c r="C48" s="49">
        <f>SUMPRODUCT(F42:F47*G42:G47)</f>
        <v>0</v>
      </c>
      <c r="D48" s="50" t="s">
        <v>43</v>
      </c>
      <c r="E48" s="49">
        <f>SUM(I42:I47)*1.1</f>
        <v>0</v>
      </c>
      <c r="F48" s="50" t="s">
        <v>44</v>
      </c>
      <c r="G48" s="51">
        <f>(C$218+C$219)/1000</f>
        <v>46.081499999999998</v>
      </c>
      <c r="H48" s="52" t="s">
        <v>45</v>
      </c>
      <c r="I48" s="53">
        <f>ROUND(E48*G48,2)</f>
        <v>0</v>
      </c>
      <c r="J48" s="243">
        <f>SUM(G42:G47)</f>
        <v>0</v>
      </c>
      <c r="K48" s="255"/>
      <c r="L48" s="255"/>
      <c r="M48" s="255"/>
    </row>
    <row r="49" spans="2:14" ht="18" customHeight="1">
      <c r="B49" s="48" t="s">
        <v>46</v>
      </c>
      <c r="C49" s="50">
        <v>132.47999999999999</v>
      </c>
      <c r="D49" s="50" t="s">
        <v>47</v>
      </c>
      <c r="E49" s="49">
        <f>ROUND(C48*(C49/1000),2)</f>
        <v>0</v>
      </c>
      <c r="F49" s="50" t="s">
        <v>48</v>
      </c>
      <c r="G49" s="50">
        <f>G$23</f>
        <v>10</v>
      </c>
      <c r="H49" s="52" t="s">
        <v>49</v>
      </c>
      <c r="I49" s="53">
        <f>E49*G49</f>
        <v>0</v>
      </c>
      <c r="J49" s="255"/>
      <c r="K49" s="255"/>
      <c r="L49" s="255"/>
      <c r="M49" s="255"/>
    </row>
    <row r="50" spans="2:14" ht="18" customHeight="1" thickBot="1">
      <c r="B50" s="48" t="s">
        <v>50</v>
      </c>
      <c r="C50" s="50">
        <v>202.06</v>
      </c>
      <c r="D50" s="50" t="s">
        <v>51</v>
      </c>
      <c r="E50" s="49">
        <f>ROUND(C48*(C50/1000),2)</f>
        <v>0</v>
      </c>
      <c r="F50" s="50" t="s">
        <v>48</v>
      </c>
      <c r="G50" s="50">
        <f>G$24</f>
        <v>10</v>
      </c>
      <c r="H50" s="52" t="s">
        <v>49</v>
      </c>
      <c r="I50" s="53">
        <f>E50*G50</f>
        <v>0</v>
      </c>
      <c r="J50" s="255"/>
    </row>
    <row r="51" spans="2:14" ht="18" customHeight="1" thickBot="1">
      <c r="B51" s="23" t="s">
        <v>36</v>
      </c>
      <c r="C51" s="252" t="s">
        <v>14</v>
      </c>
      <c r="D51" s="252" t="s">
        <v>37</v>
      </c>
      <c r="E51" s="252" t="s">
        <v>71</v>
      </c>
      <c r="F51" s="252" t="s">
        <v>38</v>
      </c>
      <c r="G51" s="252" t="s">
        <v>72</v>
      </c>
      <c r="H51" s="252" t="s">
        <v>22</v>
      </c>
      <c r="I51" s="25" t="s">
        <v>40</v>
      </c>
      <c r="J51" s="54" t="s">
        <v>2</v>
      </c>
      <c r="K51" s="55" t="s">
        <v>3</v>
      </c>
      <c r="L51" s="55" t="s">
        <v>61</v>
      </c>
      <c r="M51" s="55" t="s">
        <v>62</v>
      </c>
      <c r="N51" s="70" t="s">
        <v>14</v>
      </c>
    </row>
    <row r="52" spans="2:14" ht="18" customHeight="1">
      <c r="B52" s="648" t="s">
        <v>73</v>
      </c>
      <c r="C52" s="649" t="s">
        <v>405</v>
      </c>
      <c r="D52" s="253">
        <f>J52-IF(L52=1,46,IF(L52=2,32,IF(L52=3,18,0)))</f>
        <v>0</v>
      </c>
      <c r="E52" s="253"/>
      <c r="F52" s="253">
        <f>K52-IF(M52=1,46,IF(M52=2,32,IF(M52=3,118,0)))</f>
        <v>0</v>
      </c>
      <c r="G52" s="250"/>
      <c r="H52" s="250">
        <v>1.6379999999999999</v>
      </c>
      <c r="I52" s="59">
        <f>ROUND((D52*E52+F52*G52)/1000*H52,3)</f>
        <v>0</v>
      </c>
      <c r="J52" s="60"/>
      <c r="K52" s="61"/>
      <c r="L52" s="61"/>
      <c r="M52" s="61"/>
      <c r="N52" s="76" t="s">
        <v>56</v>
      </c>
    </row>
    <row r="53" spans="2:14" ht="18" customHeight="1">
      <c r="B53" s="648"/>
      <c r="C53" s="650"/>
      <c r="D53" s="253">
        <f t="shared" ref="D53:D55" si="9">J53-IF(L53=1,46,IF(L53=2,32,IF(L53=3,18,0)))</f>
        <v>0</v>
      </c>
      <c r="E53" s="253"/>
      <c r="F53" s="253">
        <f t="shared" ref="F53:F55" si="10">K53-IF(M53=1,46,IF(M53=2,32,IF(M53=3,118,0)))</f>
        <v>0</v>
      </c>
      <c r="G53" s="250"/>
      <c r="H53" s="250">
        <f>H52</f>
        <v>1.6379999999999999</v>
      </c>
      <c r="I53" s="59">
        <f>ROUND((D53*E53+F53*G53)/1000*H53,3)</f>
        <v>0</v>
      </c>
      <c r="J53" s="60"/>
      <c r="K53" s="61"/>
      <c r="L53" s="61"/>
      <c r="M53" s="61"/>
      <c r="N53" s="76" t="s">
        <v>58</v>
      </c>
    </row>
    <row r="54" spans="2:14" ht="18" customHeight="1">
      <c r="B54" s="648"/>
      <c r="C54" s="650"/>
      <c r="D54" s="253">
        <f t="shared" si="9"/>
        <v>0</v>
      </c>
      <c r="E54" s="253"/>
      <c r="F54" s="253">
        <f t="shared" si="10"/>
        <v>0</v>
      </c>
      <c r="G54" s="250"/>
      <c r="H54" s="250">
        <f>H53</f>
        <v>1.6379999999999999</v>
      </c>
      <c r="I54" s="59">
        <f>ROUND((D54*E54+F54*G54)/1000*H54,3)</f>
        <v>0</v>
      </c>
      <c r="J54" s="60"/>
      <c r="K54" s="61"/>
      <c r="L54" s="61"/>
      <c r="M54" s="61"/>
      <c r="N54" s="76" t="s">
        <v>60</v>
      </c>
    </row>
    <row r="55" spans="2:14" ht="18" customHeight="1" thickBot="1">
      <c r="B55" s="648"/>
      <c r="C55" s="651"/>
      <c r="D55" s="253">
        <f t="shared" si="9"/>
        <v>0</v>
      </c>
      <c r="E55" s="253"/>
      <c r="F55" s="253">
        <f t="shared" si="10"/>
        <v>0</v>
      </c>
      <c r="G55" s="250"/>
      <c r="H55" s="77">
        <f>H54</f>
        <v>1.6379999999999999</v>
      </c>
      <c r="I55" s="59">
        <f>ROUND((D55*E55+F55*G55)/1000*H55,3)</f>
        <v>0</v>
      </c>
      <c r="J55" s="78"/>
      <c r="K55" s="79"/>
      <c r="L55" s="79"/>
      <c r="M55" s="79"/>
      <c r="N55" s="80"/>
    </row>
    <row r="56" spans="2:14" ht="18" customHeight="1">
      <c r="B56" s="48" t="s">
        <v>42</v>
      </c>
      <c r="C56" s="49">
        <f>SUMPRODUCT(D52:D55*E52:E55+F52:F55*G52:G55)/1000</f>
        <v>0</v>
      </c>
      <c r="D56" s="50" t="s">
        <v>43</v>
      </c>
      <c r="E56" s="49">
        <f>SUM(I52:I55)*1.1</f>
        <v>0</v>
      </c>
      <c r="F56" s="50" t="s">
        <v>44</v>
      </c>
      <c r="G56" s="51">
        <f>(C$218+C$219)/1000</f>
        <v>46.081499999999998</v>
      </c>
      <c r="H56" s="52" t="s">
        <v>45</v>
      </c>
      <c r="I56" s="53">
        <f>ROUND(E56*G56,2)</f>
        <v>0</v>
      </c>
      <c r="J56" s="243">
        <f>SUM(E52:E55)+SUM(G52:G55)</f>
        <v>0</v>
      </c>
    </row>
    <row r="57" spans="2:14" ht="18" customHeight="1">
      <c r="B57" s="48" t="s">
        <v>46</v>
      </c>
      <c r="C57" s="50">
        <v>265.52999999999997</v>
      </c>
      <c r="D57" s="50" t="s">
        <v>47</v>
      </c>
      <c r="E57" s="49">
        <f>ROUND(C56*(C57/1000),2)</f>
        <v>0</v>
      </c>
      <c r="F57" s="50" t="s">
        <v>48</v>
      </c>
      <c r="G57" s="50">
        <f>G$23</f>
        <v>10</v>
      </c>
      <c r="H57" s="52" t="s">
        <v>49</v>
      </c>
      <c r="I57" s="53">
        <f>E57*G57</f>
        <v>0</v>
      </c>
      <c r="L57" s="47"/>
    </row>
    <row r="58" spans="2:14" ht="18" customHeight="1">
      <c r="B58" s="48" t="s">
        <v>50</v>
      </c>
      <c r="C58" s="50">
        <v>173.62</v>
      </c>
      <c r="D58" s="50" t="s">
        <v>51</v>
      </c>
      <c r="E58" s="49">
        <f>ROUND(C56*(C58/1000),2)</f>
        <v>0</v>
      </c>
      <c r="F58" s="50" t="s">
        <v>48</v>
      </c>
      <c r="G58" s="50">
        <f>G$24</f>
        <v>10</v>
      </c>
      <c r="H58" s="52" t="s">
        <v>49</v>
      </c>
      <c r="I58" s="53">
        <f>E58*G58</f>
        <v>0</v>
      </c>
      <c r="L58" s="47"/>
    </row>
    <row r="59" spans="2:14" ht="18" customHeight="1">
      <c r="B59" s="23" t="s">
        <v>36</v>
      </c>
      <c r="C59" s="252" t="s">
        <v>14</v>
      </c>
      <c r="D59" s="652" t="s">
        <v>74</v>
      </c>
      <c r="E59" s="652"/>
      <c r="F59" s="652"/>
      <c r="G59" s="252" t="s">
        <v>75</v>
      </c>
      <c r="H59" s="252" t="s">
        <v>22</v>
      </c>
      <c r="I59" s="25" t="s">
        <v>40</v>
      </c>
      <c r="L59" s="47"/>
    </row>
    <row r="60" spans="2:14" ht="18" customHeight="1">
      <c r="B60" s="648" t="s">
        <v>76</v>
      </c>
      <c r="C60" s="649" t="s">
        <v>77</v>
      </c>
      <c r="D60" s="646"/>
      <c r="E60" s="646"/>
      <c r="F60" s="646"/>
      <c r="G60" s="250"/>
      <c r="H60" s="250">
        <v>1.9339999999999999</v>
      </c>
      <c r="I60" s="59">
        <f>ROUND(D60*G60*H60/1000,3)</f>
        <v>0</v>
      </c>
      <c r="L60" s="47"/>
    </row>
    <row r="61" spans="2:14" ht="18" customHeight="1">
      <c r="B61" s="648"/>
      <c r="C61" s="651"/>
      <c r="D61" s="646"/>
      <c r="E61" s="646"/>
      <c r="F61" s="646"/>
      <c r="G61" s="250"/>
      <c r="H61" s="250">
        <v>1.9339999999999999</v>
      </c>
      <c r="I61" s="59">
        <f>ROUND(D61*G61*H61/1000,3)</f>
        <v>0</v>
      </c>
    </row>
    <row r="62" spans="2:14" ht="18" customHeight="1">
      <c r="B62" s="648"/>
      <c r="C62" s="649" t="s">
        <v>78</v>
      </c>
      <c r="D62" s="646"/>
      <c r="E62" s="646"/>
      <c r="F62" s="646"/>
      <c r="G62" s="250"/>
      <c r="H62" s="250">
        <v>2.3130000000000002</v>
      </c>
      <c r="I62" s="59">
        <f>ROUND(D62*G62*H62/1000,3)</f>
        <v>0</v>
      </c>
    </row>
    <row r="63" spans="2:14" ht="18" customHeight="1">
      <c r="B63" s="648"/>
      <c r="C63" s="651"/>
      <c r="D63" s="646"/>
      <c r="E63" s="646"/>
      <c r="F63" s="646"/>
      <c r="G63" s="250"/>
      <c r="H63" s="250">
        <v>2.3130000000000002</v>
      </c>
      <c r="I63" s="59">
        <f>ROUND(D63*G63*H63/1000,3)</f>
        <v>0</v>
      </c>
    </row>
    <row r="64" spans="2:14" ht="18" customHeight="1">
      <c r="B64" s="48" t="s">
        <v>42</v>
      </c>
      <c r="C64" s="49">
        <f>SUMPRODUCT(D60:F63*G60:G63)/1000</f>
        <v>0</v>
      </c>
      <c r="D64" s="50" t="s">
        <v>43</v>
      </c>
      <c r="E64" s="49">
        <f>SUM(I60:I63)*1.1</f>
        <v>0</v>
      </c>
      <c r="F64" s="50" t="s">
        <v>44</v>
      </c>
      <c r="G64" s="51">
        <f>(C$218+C$219)/1000</f>
        <v>46.081499999999998</v>
      </c>
      <c r="H64" s="52" t="s">
        <v>45</v>
      </c>
      <c r="I64" s="53">
        <f>ROUND(E64*G64,2)</f>
        <v>0</v>
      </c>
      <c r="J64" s="43">
        <f>SUM(G60:G63)</f>
        <v>0</v>
      </c>
    </row>
    <row r="65" spans="2:14" ht="18" customHeight="1">
      <c r="B65" s="48" t="s">
        <v>46</v>
      </c>
      <c r="C65" s="50">
        <v>337.92</v>
      </c>
      <c r="D65" s="50" t="s">
        <v>47</v>
      </c>
      <c r="E65" s="49">
        <f>ROUND(C64*(C65/1000),2)</f>
        <v>0</v>
      </c>
      <c r="F65" s="50" t="s">
        <v>48</v>
      </c>
      <c r="G65" s="50">
        <f>G$23</f>
        <v>10</v>
      </c>
      <c r="H65" s="52" t="s">
        <v>49</v>
      </c>
      <c r="I65" s="53">
        <f>E65*G65</f>
        <v>0</v>
      </c>
    </row>
    <row r="66" spans="2:14" ht="18" customHeight="1" thickBot="1">
      <c r="B66" s="48" t="s">
        <v>50</v>
      </c>
      <c r="C66" s="50">
        <v>175.93</v>
      </c>
      <c r="D66" s="50" t="s">
        <v>51</v>
      </c>
      <c r="E66" s="49">
        <f>ROUND(C64*(C66/1000),2)</f>
        <v>0</v>
      </c>
      <c r="F66" s="50" t="s">
        <v>48</v>
      </c>
      <c r="G66" s="50">
        <f>G$24</f>
        <v>10</v>
      </c>
      <c r="H66" s="52" t="s">
        <v>49</v>
      </c>
      <c r="I66" s="53">
        <f>E66*G66</f>
        <v>0</v>
      </c>
    </row>
    <row r="67" spans="2:14" ht="18" customHeight="1" thickBot="1">
      <c r="B67" s="23" t="s">
        <v>36</v>
      </c>
      <c r="C67" s="252" t="s">
        <v>14</v>
      </c>
      <c r="D67" s="252" t="s">
        <v>37</v>
      </c>
      <c r="E67" s="252" t="s">
        <v>38</v>
      </c>
      <c r="F67" s="252" t="s">
        <v>39</v>
      </c>
      <c r="G67" s="252" t="s">
        <v>8</v>
      </c>
      <c r="H67" s="252" t="s">
        <v>22</v>
      </c>
      <c r="I67" s="25" t="s">
        <v>40</v>
      </c>
      <c r="J67" s="54" t="s">
        <v>2</v>
      </c>
      <c r="K67" s="55" t="s">
        <v>3</v>
      </c>
      <c r="L67" s="55" t="s">
        <v>52</v>
      </c>
      <c r="M67" s="55" t="s">
        <v>53</v>
      </c>
      <c r="N67" s="70" t="s">
        <v>14</v>
      </c>
    </row>
    <row r="68" spans="2:14" ht="18" customHeight="1">
      <c r="B68" s="648" t="s">
        <v>79</v>
      </c>
      <c r="C68" s="649" t="s">
        <v>323</v>
      </c>
      <c r="D68" s="81">
        <f>J68-IF(L68=1,72,IF(L68=2,54,IF(L68=3,26,IF(L68=11,102.8,IF(L68=12,88.8,IF(L68=13,74.8,0))))))</f>
        <v>0</v>
      </c>
      <c r="E68" s="81">
        <f>K68-IF(M68=1,72,IF(M68=2,24,IF(M68=3,26,IF(M68=11,102.8,IF(M68=12,88.8,IF(M68=13,74.8,0))))))</f>
        <v>0</v>
      </c>
      <c r="F68" s="81">
        <f>2*(D68+E68)/1000</f>
        <v>0</v>
      </c>
      <c r="G68" s="82"/>
      <c r="H68" s="250">
        <v>0.224</v>
      </c>
      <c r="I68" s="283">
        <f>ROUND(F68*G68*H68,3)*1.5</f>
        <v>0</v>
      </c>
      <c r="J68" s="83"/>
      <c r="K68" s="83"/>
      <c r="L68" s="84"/>
      <c r="M68" s="84"/>
      <c r="N68" s="71" t="s">
        <v>56</v>
      </c>
    </row>
    <row r="69" spans="2:14" ht="18" customHeight="1">
      <c r="B69" s="648"/>
      <c r="C69" s="650"/>
      <c r="D69" s="81">
        <f t="shared" ref="D69:D87" si="11">J69-IF(L69=1,72,IF(L69=2,54,IF(L69=3,26,IF(L69=11,102.8,IF(L69=12,88.8,IF(L69=13,74.8,0))))))</f>
        <v>0</v>
      </c>
      <c r="E69" s="81">
        <f t="shared" ref="E69:E87" si="12">K69-IF(M69=1,72,IF(M69=2,24,IF(M69=3,26,IF(M69=11,102.8,IF(M69=12,88.8,IF(M69=13,74.8,0))))))</f>
        <v>0</v>
      </c>
      <c r="F69" s="81">
        <f t="shared" ref="F69:F87" si="13">2*(D69+E69)/1000</f>
        <v>0</v>
      </c>
      <c r="G69" s="82"/>
      <c r="H69" s="250">
        <f>H68</f>
        <v>0.224</v>
      </c>
      <c r="I69" s="59">
        <f t="shared" ref="I69:I87" si="14">ROUND(F69*G69*H69,3)</f>
        <v>0</v>
      </c>
      <c r="J69" s="83"/>
      <c r="K69" s="84"/>
      <c r="L69" s="84"/>
      <c r="M69" s="84"/>
      <c r="N69" s="72" t="s">
        <v>58</v>
      </c>
    </row>
    <row r="70" spans="2:14" ht="18" customHeight="1">
      <c r="B70" s="648"/>
      <c r="C70" s="650"/>
      <c r="D70" s="81">
        <f t="shared" si="11"/>
        <v>0</v>
      </c>
      <c r="E70" s="81">
        <f t="shared" si="12"/>
        <v>0</v>
      </c>
      <c r="F70" s="81">
        <f t="shared" si="13"/>
        <v>0</v>
      </c>
      <c r="G70" s="82"/>
      <c r="H70" s="250">
        <f>H69</f>
        <v>0.224</v>
      </c>
      <c r="I70" s="59">
        <f t="shared" si="14"/>
        <v>0</v>
      </c>
      <c r="J70" s="83"/>
      <c r="K70" s="84"/>
      <c r="L70" s="84"/>
      <c r="M70" s="84"/>
      <c r="N70" s="72" t="s">
        <v>60</v>
      </c>
    </row>
    <row r="71" spans="2:14" ht="18" customHeight="1">
      <c r="B71" s="648"/>
      <c r="C71" s="650"/>
      <c r="D71" s="81">
        <f t="shared" si="11"/>
        <v>0</v>
      </c>
      <c r="E71" s="81">
        <f t="shared" si="12"/>
        <v>0</v>
      </c>
      <c r="F71" s="81">
        <f t="shared" si="13"/>
        <v>0</v>
      </c>
      <c r="G71" s="82"/>
      <c r="H71" s="77">
        <f>H70</f>
        <v>0.224</v>
      </c>
      <c r="I71" s="59">
        <f t="shared" si="14"/>
        <v>0</v>
      </c>
      <c r="J71" s="85"/>
      <c r="K71" s="86"/>
      <c r="L71" s="86"/>
      <c r="M71" s="86"/>
      <c r="N71" s="72" t="s">
        <v>65</v>
      </c>
    </row>
    <row r="72" spans="2:14" ht="18" customHeight="1">
      <c r="B72" s="648"/>
      <c r="C72" s="650"/>
      <c r="D72" s="81">
        <f t="shared" si="11"/>
        <v>0</v>
      </c>
      <c r="E72" s="81">
        <f t="shared" si="12"/>
        <v>0</v>
      </c>
      <c r="F72" s="81">
        <f t="shared" si="13"/>
        <v>0</v>
      </c>
      <c r="G72" s="82"/>
      <c r="H72" s="77">
        <f>H71</f>
        <v>0.224</v>
      </c>
      <c r="I72" s="87">
        <f t="shared" si="14"/>
        <v>0</v>
      </c>
      <c r="J72" s="85"/>
      <c r="K72" s="86"/>
      <c r="L72" s="86"/>
      <c r="M72" s="86"/>
      <c r="N72" s="72" t="s">
        <v>66</v>
      </c>
    </row>
    <row r="73" spans="2:14" ht="18" customHeight="1">
      <c r="B73" s="648"/>
      <c r="C73" s="650"/>
      <c r="D73" s="81">
        <f t="shared" si="11"/>
        <v>0</v>
      </c>
      <c r="E73" s="81">
        <f t="shared" si="12"/>
        <v>0</v>
      </c>
      <c r="F73" s="81">
        <f t="shared" si="13"/>
        <v>0</v>
      </c>
      <c r="G73" s="82"/>
      <c r="H73" s="250">
        <f>H70</f>
        <v>0.224</v>
      </c>
      <c r="I73" s="87">
        <f t="shared" si="14"/>
        <v>0</v>
      </c>
      <c r="J73" s="83"/>
      <c r="K73" s="84"/>
      <c r="L73" s="84"/>
      <c r="M73" s="84"/>
      <c r="N73" s="72" t="s">
        <v>67</v>
      </c>
    </row>
    <row r="74" spans="2:14" ht="18" customHeight="1">
      <c r="B74" s="648"/>
      <c r="C74" s="651"/>
      <c r="D74" s="81">
        <f t="shared" si="11"/>
        <v>0</v>
      </c>
      <c r="E74" s="81">
        <f t="shared" si="12"/>
        <v>0</v>
      </c>
      <c r="F74" s="81">
        <f t="shared" si="13"/>
        <v>0</v>
      </c>
      <c r="G74" s="82"/>
      <c r="H74" s="250">
        <f>H73</f>
        <v>0.224</v>
      </c>
      <c r="I74" s="87">
        <f t="shared" si="14"/>
        <v>0</v>
      </c>
      <c r="J74" s="83"/>
      <c r="K74" s="84"/>
      <c r="L74" s="84"/>
      <c r="M74" s="84"/>
      <c r="N74" s="88"/>
    </row>
    <row r="75" spans="2:14" ht="18" customHeight="1">
      <c r="B75" s="648"/>
      <c r="C75" s="649" t="s">
        <v>324</v>
      </c>
      <c r="D75" s="89">
        <f t="shared" si="11"/>
        <v>0</v>
      </c>
      <c r="E75" s="89">
        <f t="shared" si="12"/>
        <v>0</v>
      </c>
      <c r="F75" s="89">
        <f t="shared" si="13"/>
        <v>0</v>
      </c>
      <c r="G75" s="90"/>
      <c r="H75" s="91">
        <f>H74</f>
        <v>0.224</v>
      </c>
      <c r="I75" s="92">
        <f t="shared" si="14"/>
        <v>0</v>
      </c>
      <c r="J75" s="83"/>
      <c r="K75" s="84"/>
      <c r="L75" s="84"/>
      <c r="M75" s="84"/>
      <c r="N75" s="93" t="s">
        <v>80</v>
      </c>
    </row>
    <row r="76" spans="2:14" ht="18" customHeight="1">
      <c r="B76" s="648"/>
      <c r="C76" s="650"/>
      <c r="D76" s="89">
        <f t="shared" si="11"/>
        <v>0</v>
      </c>
      <c r="E76" s="89">
        <f t="shared" si="12"/>
        <v>0</v>
      </c>
      <c r="F76" s="89">
        <f t="shared" si="13"/>
        <v>0</v>
      </c>
      <c r="G76" s="90"/>
      <c r="H76" s="91">
        <f>H72</f>
        <v>0.224</v>
      </c>
      <c r="I76" s="92">
        <f t="shared" si="14"/>
        <v>0</v>
      </c>
      <c r="J76" s="83"/>
      <c r="K76" s="84"/>
      <c r="L76" s="84"/>
      <c r="M76" s="84"/>
      <c r="N76" s="93" t="s">
        <v>80</v>
      </c>
    </row>
    <row r="77" spans="2:14" ht="18" customHeight="1">
      <c r="B77" s="648"/>
      <c r="C77" s="650"/>
      <c r="D77" s="89">
        <f t="shared" si="11"/>
        <v>0</v>
      </c>
      <c r="E77" s="89">
        <f t="shared" si="12"/>
        <v>0</v>
      </c>
      <c r="F77" s="89">
        <f t="shared" si="13"/>
        <v>0</v>
      </c>
      <c r="G77" s="90"/>
      <c r="H77" s="91">
        <f t="shared" ref="H77:H87" si="15">H76</f>
        <v>0.224</v>
      </c>
      <c r="I77" s="92">
        <f t="shared" si="14"/>
        <v>0</v>
      </c>
      <c r="J77" s="83"/>
      <c r="K77" s="84"/>
      <c r="L77" s="84"/>
      <c r="M77" s="84"/>
      <c r="N77" s="93" t="s">
        <v>80</v>
      </c>
    </row>
    <row r="78" spans="2:14" ht="18" customHeight="1">
      <c r="B78" s="648"/>
      <c r="C78" s="650"/>
      <c r="D78" s="89">
        <f t="shared" si="11"/>
        <v>0</v>
      </c>
      <c r="E78" s="89">
        <f t="shared" si="12"/>
        <v>0</v>
      </c>
      <c r="F78" s="89">
        <f t="shared" si="13"/>
        <v>0</v>
      </c>
      <c r="G78" s="90"/>
      <c r="H78" s="91">
        <f t="shared" si="15"/>
        <v>0.224</v>
      </c>
      <c r="I78" s="92">
        <f t="shared" si="14"/>
        <v>0</v>
      </c>
      <c r="J78" s="83"/>
      <c r="K78" s="84"/>
      <c r="L78" s="84"/>
      <c r="M78" s="84"/>
      <c r="N78" s="93" t="s">
        <v>80</v>
      </c>
    </row>
    <row r="79" spans="2:14" ht="18" customHeight="1">
      <c r="B79" s="648"/>
      <c r="C79" s="650"/>
      <c r="D79" s="89">
        <f t="shared" si="11"/>
        <v>0</v>
      </c>
      <c r="E79" s="89">
        <f t="shared" si="12"/>
        <v>0</v>
      </c>
      <c r="F79" s="89">
        <f t="shared" si="13"/>
        <v>0</v>
      </c>
      <c r="G79" s="90"/>
      <c r="H79" s="91">
        <f t="shared" si="15"/>
        <v>0.224</v>
      </c>
      <c r="I79" s="94">
        <f t="shared" si="14"/>
        <v>0</v>
      </c>
      <c r="J79" s="83"/>
      <c r="K79" s="84"/>
      <c r="L79" s="84"/>
      <c r="M79" s="84"/>
      <c r="N79" s="93" t="s">
        <v>80</v>
      </c>
    </row>
    <row r="80" spans="2:14" ht="18" customHeight="1">
      <c r="B80" s="648"/>
      <c r="C80" s="650"/>
      <c r="D80" s="89">
        <f t="shared" si="11"/>
        <v>0</v>
      </c>
      <c r="E80" s="89">
        <f t="shared" si="12"/>
        <v>0</v>
      </c>
      <c r="F80" s="89">
        <f t="shared" si="13"/>
        <v>0</v>
      </c>
      <c r="G80" s="90"/>
      <c r="H80" s="91">
        <f t="shared" si="15"/>
        <v>0.224</v>
      </c>
      <c r="I80" s="94">
        <f t="shared" si="14"/>
        <v>0</v>
      </c>
      <c r="J80" s="83"/>
      <c r="K80" s="84"/>
      <c r="L80" s="84"/>
      <c r="M80" s="84"/>
      <c r="N80" s="93" t="s">
        <v>80</v>
      </c>
    </row>
    <row r="81" spans="2:14" ht="18" customHeight="1">
      <c r="B81" s="648"/>
      <c r="C81" s="651"/>
      <c r="D81" s="89">
        <f t="shared" si="11"/>
        <v>0</v>
      </c>
      <c r="E81" s="89">
        <f t="shared" si="12"/>
        <v>0</v>
      </c>
      <c r="F81" s="89">
        <f t="shared" si="13"/>
        <v>0</v>
      </c>
      <c r="G81" s="90"/>
      <c r="H81" s="91">
        <f t="shared" si="15"/>
        <v>0.224</v>
      </c>
      <c r="I81" s="94">
        <f t="shared" si="14"/>
        <v>0</v>
      </c>
      <c r="J81" s="95"/>
      <c r="K81" s="96"/>
      <c r="L81" s="96"/>
      <c r="M81" s="96"/>
      <c r="N81" s="93" t="s">
        <v>81</v>
      </c>
    </row>
    <row r="82" spans="2:14" ht="18" customHeight="1">
      <c r="B82" s="648"/>
      <c r="C82" s="639" t="s">
        <v>325</v>
      </c>
      <c r="D82" s="81">
        <f t="shared" si="11"/>
        <v>0</v>
      </c>
      <c r="E82" s="81">
        <f t="shared" si="12"/>
        <v>0</v>
      </c>
      <c r="F82" s="81">
        <f t="shared" si="13"/>
        <v>0</v>
      </c>
      <c r="G82" s="82"/>
      <c r="H82" s="250">
        <f t="shared" si="15"/>
        <v>0.224</v>
      </c>
      <c r="I82" s="59">
        <f t="shared" si="14"/>
        <v>0</v>
      </c>
      <c r="J82" s="83"/>
      <c r="K82" s="84"/>
      <c r="L82" s="84"/>
      <c r="M82" s="84"/>
      <c r="N82" s="88"/>
    </row>
    <row r="83" spans="2:14" ht="18" customHeight="1">
      <c r="B83" s="648"/>
      <c r="C83" s="645"/>
      <c r="D83" s="81">
        <f t="shared" si="11"/>
        <v>0</v>
      </c>
      <c r="E83" s="81">
        <f t="shared" si="12"/>
        <v>0</v>
      </c>
      <c r="F83" s="81">
        <f t="shared" si="13"/>
        <v>0</v>
      </c>
      <c r="G83" s="82"/>
      <c r="H83" s="250">
        <f t="shared" si="15"/>
        <v>0.224</v>
      </c>
      <c r="I83" s="59">
        <f t="shared" si="14"/>
        <v>0</v>
      </c>
      <c r="J83" s="83"/>
      <c r="K83" s="84"/>
      <c r="L83" s="84"/>
      <c r="M83" s="84"/>
      <c r="N83" s="88"/>
    </row>
    <row r="84" spans="2:14" ht="18" customHeight="1">
      <c r="B84" s="648"/>
      <c r="C84" s="645"/>
      <c r="D84" s="81">
        <f t="shared" si="11"/>
        <v>0</v>
      </c>
      <c r="E84" s="81">
        <f t="shared" si="12"/>
        <v>0</v>
      </c>
      <c r="F84" s="81">
        <f t="shared" si="13"/>
        <v>0</v>
      </c>
      <c r="G84" s="82"/>
      <c r="H84" s="250">
        <f t="shared" si="15"/>
        <v>0.224</v>
      </c>
      <c r="I84" s="59">
        <f t="shared" si="14"/>
        <v>0</v>
      </c>
      <c r="J84" s="83"/>
      <c r="K84" s="84"/>
      <c r="L84" s="84"/>
      <c r="M84" s="84"/>
      <c r="N84" s="76"/>
    </row>
    <row r="85" spans="2:14" ht="18" customHeight="1">
      <c r="B85" s="648"/>
      <c r="C85" s="645"/>
      <c r="D85" s="81">
        <f t="shared" si="11"/>
        <v>0</v>
      </c>
      <c r="E85" s="81">
        <f t="shared" si="12"/>
        <v>0</v>
      </c>
      <c r="F85" s="81">
        <f t="shared" si="13"/>
        <v>0</v>
      </c>
      <c r="G85" s="82"/>
      <c r="H85" s="250">
        <f t="shared" si="15"/>
        <v>0.224</v>
      </c>
      <c r="I85" s="59">
        <f t="shared" si="14"/>
        <v>0</v>
      </c>
      <c r="J85" s="83"/>
      <c r="K85" s="84"/>
      <c r="L85" s="84"/>
      <c r="M85" s="84"/>
      <c r="N85" s="76"/>
    </row>
    <row r="86" spans="2:14" ht="18" customHeight="1">
      <c r="B86" s="648"/>
      <c r="C86" s="645"/>
      <c r="D86" s="81">
        <f t="shared" si="11"/>
        <v>0</v>
      </c>
      <c r="E86" s="81">
        <f t="shared" si="12"/>
        <v>0</v>
      </c>
      <c r="F86" s="81">
        <f t="shared" si="13"/>
        <v>0</v>
      </c>
      <c r="G86" s="82"/>
      <c r="H86" s="250">
        <f t="shared" si="15"/>
        <v>0.224</v>
      </c>
      <c r="I86" s="59">
        <f t="shared" si="14"/>
        <v>0</v>
      </c>
      <c r="J86" s="85"/>
      <c r="K86" s="86"/>
      <c r="L86" s="86"/>
      <c r="M86" s="86"/>
      <c r="N86" s="76"/>
    </row>
    <row r="87" spans="2:14" ht="18" customHeight="1" thickBot="1">
      <c r="B87" s="648"/>
      <c r="C87" s="640"/>
      <c r="D87" s="81">
        <f t="shared" si="11"/>
        <v>0</v>
      </c>
      <c r="E87" s="81">
        <f t="shared" si="12"/>
        <v>0</v>
      </c>
      <c r="F87" s="81">
        <f t="shared" si="13"/>
        <v>0</v>
      </c>
      <c r="G87" s="82"/>
      <c r="H87" s="250">
        <f t="shared" si="15"/>
        <v>0.224</v>
      </c>
      <c r="I87" s="59">
        <f t="shared" si="14"/>
        <v>0</v>
      </c>
      <c r="J87" s="97"/>
      <c r="K87" s="98"/>
      <c r="L87" s="98"/>
      <c r="M87" s="98"/>
      <c r="N87" s="80"/>
    </row>
    <row r="88" spans="2:14" ht="18" customHeight="1">
      <c r="B88" s="48" t="s">
        <v>42</v>
      </c>
      <c r="C88" s="49">
        <f>SUMPRODUCT(F68:F87*G68:G87)</f>
        <v>0</v>
      </c>
      <c r="D88" s="50" t="s">
        <v>43</v>
      </c>
      <c r="E88" s="49">
        <f>SUM(I68:I87)*1.1</f>
        <v>0</v>
      </c>
      <c r="F88" s="50" t="s">
        <v>44</v>
      </c>
      <c r="G88" s="51">
        <f>(C$218+C$222)/1000</f>
        <v>39.781500000000001</v>
      </c>
      <c r="H88" s="52" t="s">
        <v>45</v>
      </c>
      <c r="I88" s="53">
        <f>ROUND(E88*G88,2)</f>
        <v>0</v>
      </c>
      <c r="J88" s="255"/>
      <c r="K88" s="255"/>
      <c r="L88" s="255"/>
      <c r="M88" s="255"/>
    </row>
    <row r="89" spans="2:14" ht="18" customHeight="1">
      <c r="B89" s="48" t="s">
        <v>46</v>
      </c>
      <c r="C89" s="50">
        <v>181.72</v>
      </c>
      <c r="D89" s="50" t="s">
        <v>47</v>
      </c>
      <c r="E89" s="49">
        <f>ROUND(C88*(C89/1000),2)</f>
        <v>0</v>
      </c>
      <c r="F89" s="50" t="s">
        <v>48</v>
      </c>
      <c r="G89" s="50">
        <f>G$23</f>
        <v>10</v>
      </c>
      <c r="H89" s="52" t="s">
        <v>49</v>
      </c>
      <c r="I89" s="53">
        <f>E89*G89</f>
        <v>0</v>
      </c>
      <c r="J89" s="255"/>
      <c r="K89" s="255"/>
      <c r="L89" s="255"/>
      <c r="M89" s="255"/>
    </row>
    <row r="90" spans="2:14" ht="18" customHeight="1">
      <c r="B90" s="48" t="s">
        <v>50</v>
      </c>
      <c r="C90" s="50"/>
      <c r="D90" s="50" t="s">
        <v>51</v>
      </c>
      <c r="E90" s="49">
        <f>ROUND(C88*(C90/1000),2)</f>
        <v>0</v>
      </c>
      <c r="F90" s="50" t="s">
        <v>48</v>
      </c>
      <c r="G90" s="50">
        <f>G$24</f>
        <v>10</v>
      </c>
      <c r="H90" s="52" t="s">
        <v>49</v>
      </c>
      <c r="I90" s="53">
        <f>E90*G90</f>
        <v>0</v>
      </c>
      <c r="J90" s="255"/>
      <c r="K90" s="255"/>
      <c r="L90" s="255"/>
      <c r="M90" s="255"/>
    </row>
    <row r="91" spans="2:14" ht="18" customHeight="1">
      <c r="B91" s="23" t="s">
        <v>36</v>
      </c>
      <c r="C91" s="252" t="s">
        <v>14</v>
      </c>
      <c r="D91" s="252" t="s">
        <v>37</v>
      </c>
      <c r="E91" s="252" t="s">
        <v>38</v>
      </c>
      <c r="F91" s="252" t="s">
        <v>39</v>
      </c>
      <c r="G91" s="252" t="s">
        <v>8</v>
      </c>
      <c r="H91" s="252" t="s">
        <v>22</v>
      </c>
      <c r="I91" s="25" t="s">
        <v>40</v>
      </c>
      <c r="J91" s="255"/>
      <c r="K91" s="255"/>
      <c r="L91" s="255"/>
      <c r="M91" s="255"/>
    </row>
    <row r="92" spans="2:14" ht="18" customHeight="1">
      <c r="B92" s="648" t="s">
        <v>82</v>
      </c>
      <c r="C92" s="653" t="s">
        <v>326</v>
      </c>
      <c r="D92" s="253">
        <f>D26-90</f>
        <v>-90</v>
      </c>
      <c r="E92" s="253">
        <f>E26-90</f>
        <v>-90</v>
      </c>
      <c r="F92" s="253">
        <f>2*(D92+E92)/1000</f>
        <v>-0.36</v>
      </c>
      <c r="G92" s="250">
        <f>G26</f>
        <v>0</v>
      </c>
      <c r="H92" s="250">
        <v>0.27100000000000002</v>
      </c>
      <c r="I92" s="59">
        <f>ROUND(F92*G92*H92,3)</f>
        <v>0</v>
      </c>
    </row>
    <row r="93" spans="2:14" ht="18" customHeight="1">
      <c r="B93" s="648"/>
      <c r="C93" s="658"/>
      <c r="D93" s="253">
        <f t="shared" ref="D93:E96" si="16">D27-90</f>
        <v>-90</v>
      </c>
      <c r="E93" s="253">
        <f t="shared" si="16"/>
        <v>-90</v>
      </c>
      <c r="F93" s="253">
        <f>2*(D93+E93)/1000</f>
        <v>-0.36</v>
      </c>
      <c r="G93" s="250">
        <f>G27</f>
        <v>0</v>
      </c>
      <c r="H93" s="250">
        <f>H92</f>
        <v>0.27100000000000002</v>
      </c>
      <c r="I93" s="59">
        <f>ROUND(F93*G93*H93,3)</f>
        <v>0</v>
      </c>
      <c r="M93" s="42"/>
    </row>
    <row r="94" spans="2:14" ht="18" customHeight="1">
      <c r="B94" s="648"/>
      <c r="C94" s="658"/>
      <c r="D94" s="253">
        <f t="shared" si="16"/>
        <v>-90</v>
      </c>
      <c r="E94" s="253">
        <f t="shared" si="16"/>
        <v>-90</v>
      </c>
      <c r="F94" s="253">
        <f>2*(D94+E94)/1000</f>
        <v>-0.36</v>
      </c>
      <c r="G94" s="250">
        <f>G28</f>
        <v>0</v>
      </c>
      <c r="H94" s="250">
        <f>H93</f>
        <v>0.27100000000000002</v>
      </c>
      <c r="I94" s="59">
        <f>ROUND(F94*G94*H94,3)</f>
        <v>0</v>
      </c>
    </row>
    <row r="95" spans="2:14" ht="18" customHeight="1">
      <c r="B95" s="648"/>
      <c r="C95" s="658"/>
      <c r="D95" s="253">
        <f t="shared" si="16"/>
        <v>-90</v>
      </c>
      <c r="E95" s="253">
        <f t="shared" si="16"/>
        <v>-90</v>
      </c>
      <c r="F95" s="253">
        <f>2*(D95+E95)/1000</f>
        <v>-0.36</v>
      </c>
      <c r="G95" s="250">
        <f>G29</f>
        <v>0</v>
      </c>
      <c r="H95" s="250">
        <f>H94</f>
        <v>0.27100000000000002</v>
      </c>
      <c r="I95" s="59">
        <f>ROUND(F95*G95*H95,3)</f>
        <v>0</v>
      </c>
    </row>
    <row r="96" spans="2:14" ht="18" customHeight="1">
      <c r="B96" s="648"/>
      <c r="C96" s="659"/>
      <c r="D96" s="253">
        <f t="shared" si="16"/>
        <v>-90</v>
      </c>
      <c r="E96" s="253">
        <f t="shared" si="16"/>
        <v>-90</v>
      </c>
      <c r="F96" s="253">
        <f>2*(D96+E96)/1000</f>
        <v>-0.36</v>
      </c>
      <c r="G96" s="250">
        <f>G30</f>
        <v>0</v>
      </c>
      <c r="H96" s="250">
        <f>H95</f>
        <v>0.27100000000000002</v>
      </c>
      <c r="I96" s="59">
        <f>ROUND(F96*G96*H96,3)</f>
        <v>0</v>
      </c>
    </row>
    <row r="97" spans="2:13" ht="18" customHeight="1">
      <c r="B97" s="48" t="s">
        <v>42</v>
      </c>
      <c r="C97" s="49">
        <f>SUMPRODUCT(F92:F96*G92:G96)</f>
        <v>0</v>
      </c>
      <c r="D97" s="50" t="s">
        <v>43</v>
      </c>
      <c r="E97" s="49">
        <f>SUM(I92:I96)*1.1</f>
        <v>0</v>
      </c>
      <c r="F97" s="50" t="s">
        <v>44</v>
      </c>
      <c r="G97" s="51">
        <f>(C$218+C$222)/1000</f>
        <v>39.781500000000001</v>
      </c>
      <c r="H97" s="52" t="s">
        <v>45</v>
      </c>
      <c r="I97" s="53">
        <f>ROUND(E97*G97,2)</f>
        <v>0</v>
      </c>
    </row>
    <row r="98" spans="2:13" ht="18" customHeight="1">
      <c r="B98" s="48" t="s">
        <v>46</v>
      </c>
      <c r="C98" s="50">
        <v>186.72</v>
      </c>
      <c r="D98" s="50" t="s">
        <v>47</v>
      </c>
      <c r="E98" s="49">
        <f>ROUND(C97*(C98/1000),2)</f>
        <v>0</v>
      </c>
      <c r="F98" s="50" t="s">
        <v>48</v>
      </c>
      <c r="G98" s="50">
        <f>G$23</f>
        <v>10</v>
      </c>
      <c r="H98" s="52" t="s">
        <v>49</v>
      </c>
      <c r="I98" s="53">
        <f>E98*G98</f>
        <v>0</v>
      </c>
    </row>
    <row r="99" spans="2:13" ht="18" customHeight="1">
      <c r="B99" s="48" t="s">
        <v>50</v>
      </c>
      <c r="C99" s="50">
        <v>0</v>
      </c>
      <c r="D99" s="50" t="s">
        <v>51</v>
      </c>
      <c r="E99" s="49">
        <f>ROUND(C97*(C99/1000),2)</f>
        <v>0</v>
      </c>
      <c r="F99" s="50" t="s">
        <v>48</v>
      </c>
      <c r="G99" s="50">
        <f>G$24</f>
        <v>10</v>
      </c>
      <c r="H99" s="52" t="s">
        <v>49</v>
      </c>
      <c r="I99" s="53">
        <f>E99*G99</f>
        <v>0</v>
      </c>
    </row>
    <row r="100" spans="2:13" ht="18" customHeight="1">
      <c r="B100" s="23" t="s">
        <v>36</v>
      </c>
      <c r="C100" s="252" t="s">
        <v>14</v>
      </c>
      <c r="D100" s="252" t="s">
        <v>37</v>
      </c>
      <c r="E100" s="252" t="s">
        <v>38</v>
      </c>
      <c r="F100" s="252" t="s">
        <v>39</v>
      </c>
      <c r="G100" s="252" t="s">
        <v>8</v>
      </c>
      <c r="H100" s="252" t="s">
        <v>22</v>
      </c>
      <c r="I100" s="25" t="s">
        <v>40</v>
      </c>
    </row>
    <row r="101" spans="2:13" ht="18" customHeight="1">
      <c r="B101" s="648" t="s">
        <v>84</v>
      </c>
      <c r="C101" s="653" t="str">
        <f>C92</f>
        <v>SDL2281</v>
      </c>
      <c r="D101" s="253">
        <f>D35-122</f>
        <v>-122</v>
      </c>
      <c r="E101" s="253">
        <f t="shared" ref="D101:E103" si="17">E35-122</f>
        <v>-122</v>
      </c>
      <c r="F101" s="253">
        <f>2*(D101+E101)/1000</f>
        <v>-0.48799999999999999</v>
      </c>
      <c r="G101" s="250">
        <f>G35</f>
        <v>0</v>
      </c>
      <c r="H101" s="250">
        <f>H96</f>
        <v>0.27100000000000002</v>
      </c>
      <c r="I101" s="59">
        <f>ROUND(F101*G101*H101,3)</f>
        <v>0</v>
      </c>
    </row>
    <row r="102" spans="2:13" ht="18" customHeight="1">
      <c r="B102" s="648"/>
      <c r="C102" s="650"/>
      <c r="D102" s="253">
        <f t="shared" si="17"/>
        <v>-122</v>
      </c>
      <c r="E102" s="253">
        <f t="shared" si="17"/>
        <v>-122</v>
      </c>
      <c r="F102" s="253">
        <f>2*(D102+E102)/1000</f>
        <v>-0.48799999999999999</v>
      </c>
      <c r="G102" s="250">
        <f>G36</f>
        <v>0</v>
      </c>
      <c r="H102" s="250">
        <f>H101</f>
        <v>0.27100000000000002</v>
      </c>
      <c r="I102" s="59">
        <f>ROUND(F102*G102*H102,3)</f>
        <v>0</v>
      </c>
      <c r="K102" s="99"/>
      <c r="M102" s="99"/>
    </row>
    <row r="103" spans="2:13" ht="18" customHeight="1">
      <c r="B103" s="648"/>
      <c r="C103" s="651"/>
      <c r="D103" s="253">
        <f t="shared" si="17"/>
        <v>-122</v>
      </c>
      <c r="E103" s="253">
        <f t="shared" si="17"/>
        <v>-122</v>
      </c>
      <c r="F103" s="253">
        <f>2*(D103+E103)/1000</f>
        <v>-0.48799999999999999</v>
      </c>
      <c r="G103" s="250">
        <f>G37</f>
        <v>0</v>
      </c>
      <c r="H103" s="250">
        <f>H102</f>
        <v>0.27100000000000002</v>
      </c>
      <c r="I103" s="59">
        <f>ROUND(F103*G103*H103,3)</f>
        <v>0</v>
      </c>
      <c r="M103" s="99"/>
    </row>
    <row r="104" spans="2:13" ht="18" customHeight="1">
      <c r="B104" s="48" t="s">
        <v>42</v>
      </c>
      <c r="C104" s="49">
        <f>SUMPRODUCT(F101:F103*G101:G103)</f>
        <v>0</v>
      </c>
      <c r="D104" s="50" t="s">
        <v>43</v>
      </c>
      <c r="E104" s="49">
        <f>SUM(I101:I103)*1.1</f>
        <v>0</v>
      </c>
      <c r="F104" s="50" t="s">
        <v>44</v>
      </c>
      <c r="G104" s="51">
        <f>(C$218+C$222)/1000</f>
        <v>39.781500000000001</v>
      </c>
      <c r="H104" s="52" t="s">
        <v>45</v>
      </c>
      <c r="I104" s="53">
        <f>ROUND(E104*G104,2)</f>
        <v>0</v>
      </c>
    </row>
    <row r="105" spans="2:13" ht="18" customHeight="1">
      <c r="B105" s="48" t="s">
        <v>46</v>
      </c>
      <c r="C105" s="50">
        <v>186.72</v>
      </c>
      <c r="D105" s="50" t="s">
        <v>47</v>
      </c>
      <c r="E105" s="49">
        <f>ROUND(C104*(C105/1000),2)</f>
        <v>0</v>
      </c>
      <c r="F105" s="50" t="s">
        <v>48</v>
      </c>
      <c r="G105" s="50">
        <f>G$23</f>
        <v>10</v>
      </c>
      <c r="H105" s="52" t="s">
        <v>49</v>
      </c>
      <c r="I105" s="53">
        <f>ROUND(E105*G105,2)</f>
        <v>0</v>
      </c>
    </row>
    <row r="106" spans="2:13" ht="18" customHeight="1">
      <c r="B106" s="48" t="s">
        <v>50</v>
      </c>
      <c r="C106" s="50">
        <v>0</v>
      </c>
      <c r="D106" s="50" t="s">
        <v>51</v>
      </c>
      <c r="E106" s="49">
        <f>ROUND(C104*(C106/1000),2)</f>
        <v>0</v>
      </c>
      <c r="F106" s="50" t="s">
        <v>48</v>
      </c>
      <c r="G106" s="50">
        <f>G$24</f>
        <v>10</v>
      </c>
      <c r="H106" s="52" t="s">
        <v>49</v>
      </c>
      <c r="I106" s="53">
        <f>ROUND(E106*G106,2)</f>
        <v>0</v>
      </c>
    </row>
    <row r="107" spans="2:13" ht="18" customHeight="1">
      <c r="B107" s="23" t="s">
        <v>36</v>
      </c>
      <c r="C107" s="252" t="s">
        <v>14</v>
      </c>
      <c r="D107" s="252" t="s">
        <v>37</v>
      </c>
      <c r="E107" s="252" t="s">
        <v>38</v>
      </c>
      <c r="F107" s="252" t="s">
        <v>39</v>
      </c>
      <c r="G107" s="252" t="s">
        <v>8</v>
      </c>
      <c r="H107" s="252" t="s">
        <v>22</v>
      </c>
      <c r="I107" s="25" t="s">
        <v>40</v>
      </c>
    </row>
    <row r="108" spans="2:13" ht="18" customHeight="1">
      <c r="B108" s="648" t="s">
        <v>85</v>
      </c>
      <c r="C108" s="655" t="s">
        <v>86</v>
      </c>
      <c r="D108" s="250">
        <f>D6</f>
        <v>1220</v>
      </c>
      <c r="E108" s="250">
        <f>E6</f>
        <v>2370</v>
      </c>
      <c r="F108" s="250">
        <f>ROUND((D108+E108)*2/1000,4)</f>
        <v>7.18</v>
      </c>
      <c r="G108" s="250">
        <v>1</v>
      </c>
      <c r="H108" s="250">
        <v>1.857</v>
      </c>
      <c r="I108" s="59">
        <f>ROUND(F108*G108*H108,3)</f>
        <v>13.333</v>
      </c>
    </row>
    <row r="109" spans="2:13" ht="18" customHeight="1">
      <c r="B109" s="648"/>
      <c r="C109" s="656"/>
      <c r="D109" s="250"/>
      <c r="E109" s="250"/>
      <c r="F109" s="250">
        <f>ROUND((D109+E109)*2/1000,4)</f>
        <v>0</v>
      </c>
      <c r="G109" s="250"/>
      <c r="H109" s="250">
        <f>H108</f>
        <v>1.857</v>
      </c>
      <c r="I109" s="59">
        <f>ROUND(F109*G109*H109,3)</f>
        <v>0</v>
      </c>
      <c r="K109" s="42"/>
      <c r="L109" s="42"/>
      <c r="M109" s="42"/>
    </row>
    <row r="110" spans="2:13" ht="18" customHeight="1">
      <c r="B110" s="648"/>
      <c r="C110" s="656"/>
      <c r="D110" s="250"/>
      <c r="E110" s="250"/>
      <c r="F110" s="250">
        <f>ROUND((D110+E110)*2/1000,4)</f>
        <v>0</v>
      </c>
      <c r="G110" s="250"/>
      <c r="H110" s="250">
        <f>H109</f>
        <v>1.857</v>
      </c>
      <c r="I110" s="59">
        <f>ROUND(F110*G110*H110,3)</f>
        <v>0</v>
      </c>
      <c r="K110" s="42"/>
      <c r="L110" s="42"/>
      <c r="M110" s="42"/>
    </row>
    <row r="111" spans="2:13" ht="18" customHeight="1">
      <c r="B111" s="648"/>
      <c r="C111" s="657"/>
      <c r="D111" s="250"/>
      <c r="E111" s="250"/>
      <c r="F111" s="250">
        <f>ROUND((D111+E111)*2/1000,4)</f>
        <v>0</v>
      </c>
      <c r="G111" s="250"/>
      <c r="H111" s="250">
        <f>H110</f>
        <v>1.857</v>
      </c>
      <c r="I111" s="59">
        <f>ROUND(F111*G111*H111,3)</f>
        <v>0</v>
      </c>
      <c r="K111" s="42"/>
      <c r="L111" s="42"/>
      <c r="M111" s="42"/>
    </row>
    <row r="112" spans="2:13" ht="18" customHeight="1">
      <c r="B112" s="48" t="s">
        <v>42</v>
      </c>
      <c r="C112" s="49">
        <f>SUMPRODUCT(F108:F111*G108:G111)</f>
        <v>7.18</v>
      </c>
      <c r="D112" s="50" t="s">
        <v>43</v>
      </c>
      <c r="E112" s="49">
        <f>SUM(I108:I111)*1.1</f>
        <v>14.666300000000001</v>
      </c>
      <c r="F112" s="50" t="s">
        <v>44</v>
      </c>
      <c r="G112" s="51">
        <f>(C$218+C$219)/1000</f>
        <v>46.081499999999998</v>
      </c>
      <c r="H112" s="52" t="s">
        <v>45</v>
      </c>
      <c r="I112" s="53">
        <f>ROUND(E112*G112,2)</f>
        <v>675.85</v>
      </c>
      <c r="J112" s="243">
        <f>SUM(G108:G111)</f>
        <v>1</v>
      </c>
      <c r="K112" s="42"/>
      <c r="L112" s="42"/>
      <c r="M112" s="42"/>
    </row>
    <row r="113" spans="2:14" ht="18" customHeight="1">
      <c r="B113" s="48" t="s">
        <v>46</v>
      </c>
      <c r="C113" s="50">
        <v>241.03</v>
      </c>
      <c r="D113" s="50" t="s">
        <v>47</v>
      </c>
      <c r="E113" s="49">
        <f>ROUND(C112*(C113/1000),2)</f>
        <v>1.73</v>
      </c>
      <c r="F113" s="50" t="s">
        <v>48</v>
      </c>
      <c r="G113" s="50">
        <f>G$23</f>
        <v>10</v>
      </c>
      <c r="H113" s="52" t="s">
        <v>49</v>
      </c>
      <c r="I113" s="53">
        <f>E113*G113</f>
        <v>17.3</v>
      </c>
      <c r="K113" s="42"/>
      <c r="L113" s="42"/>
      <c r="M113" s="42"/>
    </row>
    <row r="114" spans="2:14" ht="18" customHeight="1" thickBot="1">
      <c r="B114" s="48" t="s">
        <v>50</v>
      </c>
      <c r="C114" s="50">
        <v>204.38</v>
      </c>
      <c r="D114" s="50" t="s">
        <v>51</v>
      </c>
      <c r="E114" s="49">
        <f>ROUND(C112*(C114/1000),2)</f>
        <v>1.47</v>
      </c>
      <c r="F114" s="50" t="s">
        <v>48</v>
      </c>
      <c r="G114" s="50">
        <f>G$24</f>
        <v>10</v>
      </c>
      <c r="H114" s="52" t="s">
        <v>49</v>
      </c>
      <c r="I114" s="53">
        <f>E114*G114</f>
        <v>14.7</v>
      </c>
    </row>
    <row r="115" spans="2:14" ht="18" customHeight="1" thickBot="1">
      <c r="B115" s="23" t="s">
        <v>36</v>
      </c>
      <c r="C115" s="252" t="s">
        <v>14</v>
      </c>
      <c r="D115" s="252" t="s">
        <v>37</v>
      </c>
      <c r="E115" s="252" t="s">
        <v>38</v>
      </c>
      <c r="F115" s="252" t="s">
        <v>39</v>
      </c>
      <c r="G115" s="252" t="s">
        <v>8</v>
      </c>
      <c r="H115" s="252" t="s">
        <v>22</v>
      </c>
      <c r="I115" s="25" t="s">
        <v>40</v>
      </c>
      <c r="J115" s="54" t="s">
        <v>2</v>
      </c>
      <c r="K115" s="55" t="s">
        <v>3</v>
      </c>
      <c r="L115" s="55" t="s">
        <v>61</v>
      </c>
      <c r="M115" s="55" t="s">
        <v>62</v>
      </c>
      <c r="N115" s="70" t="s">
        <v>14</v>
      </c>
    </row>
    <row r="116" spans="2:14" ht="18" customHeight="1">
      <c r="B116" s="648" t="s">
        <v>87</v>
      </c>
      <c r="C116" s="649" t="s">
        <v>88</v>
      </c>
      <c r="D116" s="253">
        <f t="shared" ref="D116:E118" si="18">J116-IF(L116=1,78,IF(L116=2,55.5,IF(L116=3,41,0)))</f>
        <v>569</v>
      </c>
      <c r="E116" s="253">
        <f t="shared" si="18"/>
        <v>2292</v>
      </c>
      <c r="F116" s="250">
        <f>ROUND((D116+E116)*2/1000,4)</f>
        <v>5.7220000000000004</v>
      </c>
      <c r="G116" s="250">
        <v>2</v>
      </c>
      <c r="H116" s="58">
        <v>2.456</v>
      </c>
      <c r="I116" s="59">
        <f>ROUND(F116*G116*H116,3)</f>
        <v>28.106000000000002</v>
      </c>
      <c r="J116" s="60">
        <f>D108/2</f>
        <v>610</v>
      </c>
      <c r="K116" s="61">
        <f>E108</f>
        <v>2370</v>
      </c>
      <c r="L116" s="61">
        <v>3</v>
      </c>
      <c r="M116" s="61">
        <v>1</v>
      </c>
      <c r="N116" s="76" t="s">
        <v>56</v>
      </c>
    </row>
    <row r="117" spans="2:14" ht="18" customHeight="1">
      <c r="B117" s="648"/>
      <c r="C117" s="650"/>
      <c r="D117" s="253">
        <f t="shared" si="18"/>
        <v>0</v>
      </c>
      <c r="E117" s="253">
        <f t="shared" si="18"/>
        <v>0</v>
      </c>
      <c r="F117" s="250">
        <f>ROUND((D117+E117)*2/1000,4)</f>
        <v>0</v>
      </c>
      <c r="G117" s="250">
        <v>0</v>
      </c>
      <c r="H117" s="58">
        <f>H116</f>
        <v>2.456</v>
      </c>
      <c r="I117" s="59">
        <f>ROUND(F117*G117*H117,3)</f>
        <v>0</v>
      </c>
      <c r="J117" s="60"/>
      <c r="K117" s="61"/>
      <c r="L117" s="61"/>
      <c r="M117" s="61"/>
      <c r="N117" s="76" t="s">
        <v>58</v>
      </c>
    </row>
    <row r="118" spans="2:14" ht="18" customHeight="1" thickBot="1">
      <c r="B118" s="648"/>
      <c r="C118" s="651"/>
      <c r="D118" s="253">
        <f t="shared" si="18"/>
        <v>0</v>
      </c>
      <c r="E118" s="253">
        <f t="shared" si="18"/>
        <v>0</v>
      </c>
      <c r="F118" s="250">
        <f>ROUND((D118+E118)*2/1000,4)</f>
        <v>0</v>
      </c>
      <c r="G118" s="250">
        <v>0</v>
      </c>
      <c r="H118" s="58">
        <f>H117</f>
        <v>2.456</v>
      </c>
      <c r="I118" s="59">
        <f>ROUND(F118*G118*H118,3)</f>
        <v>0</v>
      </c>
      <c r="J118" s="64"/>
      <c r="K118" s="65"/>
      <c r="L118" s="65"/>
      <c r="M118" s="65"/>
      <c r="N118" s="80" t="s">
        <v>89</v>
      </c>
    </row>
    <row r="119" spans="2:14" ht="18" customHeight="1">
      <c r="B119" s="48" t="s">
        <v>42</v>
      </c>
      <c r="C119" s="49">
        <f>SUMPRODUCT(F116:F118*G116:G118)</f>
        <v>11.444000000000001</v>
      </c>
      <c r="D119" s="100" t="s">
        <v>43</v>
      </c>
      <c r="E119" s="100">
        <f>SUM(I116:I118)*1.1</f>
        <v>30.916600000000006</v>
      </c>
      <c r="F119" s="50" t="s">
        <v>44</v>
      </c>
      <c r="G119" s="51">
        <f>(C$218+C$219)/1000</f>
        <v>46.081499999999998</v>
      </c>
      <c r="H119" s="52" t="s">
        <v>45</v>
      </c>
      <c r="I119" s="53">
        <f>ROUND(E119*G119,2)</f>
        <v>1424.68</v>
      </c>
      <c r="J119" s="243">
        <f>SUM(G116:G118)</f>
        <v>2</v>
      </c>
      <c r="K119" s="255"/>
      <c r="L119" s="255"/>
      <c r="M119" s="255"/>
    </row>
    <row r="120" spans="2:14" ht="18" customHeight="1">
      <c r="B120" s="48" t="s">
        <v>46</v>
      </c>
      <c r="C120" s="50">
        <v>350.56</v>
      </c>
      <c r="D120" s="100" t="s">
        <v>47</v>
      </c>
      <c r="E120" s="100">
        <f>ROUND(C119*(C120/1000),2)</f>
        <v>4.01</v>
      </c>
      <c r="F120" s="50" t="s">
        <v>48</v>
      </c>
      <c r="G120" s="50">
        <f>G$23</f>
        <v>10</v>
      </c>
      <c r="H120" s="52" t="s">
        <v>49</v>
      </c>
      <c r="I120" s="53">
        <f>E120*G120</f>
        <v>40.099999999999994</v>
      </c>
      <c r="J120" s="255"/>
      <c r="K120" s="255"/>
      <c r="L120" s="255"/>
      <c r="M120" s="255"/>
    </row>
    <row r="121" spans="2:14" ht="18" customHeight="1" thickBot="1">
      <c r="B121" s="48" t="s">
        <v>50</v>
      </c>
      <c r="C121" s="50">
        <v>189.03</v>
      </c>
      <c r="D121" s="100" t="s">
        <v>51</v>
      </c>
      <c r="E121" s="100">
        <f>ROUND(C119*(C121/1000),2)</f>
        <v>2.16</v>
      </c>
      <c r="F121" s="50" t="s">
        <v>48</v>
      </c>
      <c r="G121" s="50">
        <f>G$24</f>
        <v>10</v>
      </c>
      <c r="H121" s="52" t="s">
        <v>49</v>
      </c>
      <c r="I121" s="53">
        <f>E121*G121</f>
        <v>21.6</v>
      </c>
      <c r="J121" s="255"/>
    </row>
    <row r="122" spans="2:14" ht="18" customHeight="1" thickBot="1">
      <c r="B122" s="23" t="s">
        <v>36</v>
      </c>
      <c r="C122" s="252" t="s">
        <v>14</v>
      </c>
      <c r="D122" s="101" t="s">
        <v>37</v>
      </c>
      <c r="E122" s="101" t="s">
        <v>38</v>
      </c>
      <c r="F122" s="252" t="s">
        <v>39</v>
      </c>
      <c r="G122" s="252" t="s">
        <v>8</v>
      </c>
      <c r="H122" s="252" t="s">
        <v>22</v>
      </c>
      <c r="I122" s="25" t="s">
        <v>40</v>
      </c>
      <c r="J122" s="54" t="s">
        <v>2</v>
      </c>
      <c r="K122" s="55" t="s">
        <v>3</v>
      </c>
      <c r="L122" s="55" t="s">
        <v>61</v>
      </c>
      <c r="M122" s="55" t="s">
        <v>62</v>
      </c>
      <c r="N122" s="70" t="s">
        <v>14</v>
      </c>
    </row>
    <row r="123" spans="2:14" ht="18" customHeight="1">
      <c r="B123" s="648" t="s">
        <v>90</v>
      </c>
      <c r="C123" s="649" t="s">
        <v>91</v>
      </c>
      <c r="D123" s="253">
        <f t="shared" ref="D123:E125" si="19">J123-IF(L123=1,78,IF(L123=2,55.5,IF(L123=3,41,0)))</f>
        <v>0</v>
      </c>
      <c r="E123" s="253">
        <f t="shared" si="19"/>
        <v>0</v>
      </c>
      <c r="F123" s="250">
        <f>ROUND((D123+E123)*2/1000,4)</f>
        <v>0</v>
      </c>
      <c r="G123" s="250"/>
      <c r="H123" s="58">
        <v>2.4710000000000001</v>
      </c>
      <c r="I123" s="59">
        <f>ROUND(F123*G123*H123,3)</f>
        <v>0</v>
      </c>
      <c r="J123" s="60"/>
      <c r="K123" s="61"/>
      <c r="L123" s="61"/>
      <c r="M123" s="61"/>
      <c r="N123" s="76" t="s">
        <v>56</v>
      </c>
    </row>
    <row r="124" spans="2:14" ht="18" customHeight="1">
      <c r="B124" s="648"/>
      <c r="C124" s="650"/>
      <c r="D124" s="253">
        <f t="shared" si="19"/>
        <v>0</v>
      </c>
      <c r="E124" s="253">
        <f t="shared" si="19"/>
        <v>0</v>
      </c>
      <c r="F124" s="250">
        <f>ROUND((D124+E124)*2/1000,4)</f>
        <v>0</v>
      </c>
      <c r="G124" s="250"/>
      <c r="H124" s="58">
        <f>H123</f>
        <v>2.4710000000000001</v>
      </c>
      <c r="I124" s="59">
        <f>ROUND(F124*G124*H124,3)</f>
        <v>0</v>
      </c>
      <c r="J124" s="60"/>
      <c r="K124" s="61"/>
      <c r="L124" s="61"/>
      <c r="M124" s="61"/>
      <c r="N124" s="76" t="s">
        <v>58</v>
      </c>
    </row>
    <row r="125" spans="2:14" ht="18" customHeight="1" thickBot="1">
      <c r="B125" s="648"/>
      <c r="C125" s="651"/>
      <c r="D125" s="253">
        <f t="shared" si="19"/>
        <v>0</v>
      </c>
      <c r="E125" s="253">
        <f t="shared" si="19"/>
        <v>0</v>
      </c>
      <c r="F125" s="250">
        <f>ROUND((D125+E125)*2/1000,4)</f>
        <v>0</v>
      </c>
      <c r="G125" s="250"/>
      <c r="H125" s="58">
        <f>H124</f>
        <v>2.4710000000000001</v>
      </c>
      <c r="I125" s="59">
        <f>ROUND(F125*G125*H125,3)</f>
        <v>0</v>
      </c>
      <c r="J125" s="64"/>
      <c r="K125" s="65"/>
      <c r="L125" s="65"/>
      <c r="M125" s="65"/>
      <c r="N125" s="80" t="s">
        <v>89</v>
      </c>
    </row>
    <row r="126" spans="2:14" ht="18" customHeight="1">
      <c r="B126" s="48" t="s">
        <v>42</v>
      </c>
      <c r="C126" s="49">
        <f>SUMPRODUCT(F123:F125*G123:G125)</f>
        <v>0</v>
      </c>
      <c r="D126" s="50" t="s">
        <v>43</v>
      </c>
      <c r="E126" s="49">
        <f>SUM(I123:I125)*1.1</f>
        <v>0</v>
      </c>
      <c r="F126" s="50" t="s">
        <v>44</v>
      </c>
      <c r="G126" s="51">
        <f>(C$218+C$221)/1000</f>
        <v>46.081499999999998</v>
      </c>
      <c r="H126" s="52" t="s">
        <v>45</v>
      </c>
      <c r="I126" s="53">
        <f>ROUND(E126*G126,2)</f>
        <v>0</v>
      </c>
      <c r="J126" s="243">
        <f>SUM(G123:G125)</f>
        <v>0</v>
      </c>
      <c r="K126" s="255"/>
      <c r="L126" s="255"/>
      <c r="M126" s="255"/>
    </row>
    <row r="127" spans="2:14" ht="18" customHeight="1">
      <c r="B127" s="48" t="s">
        <v>46</v>
      </c>
      <c r="C127" s="50">
        <v>236.53</v>
      </c>
      <c r="D127" s="50" t="s">
        <v>47</v>
      </c>
      <c r="E127" s="49">
        <f>ROUND(C126*(C127/1000),2)</f>
        <v>0</v>
      </c>
      <c r="F127" s="50" t="s">
        <v>48</v>
      </c>
      <c r="G127" s="50">
        <f>G$23</f>
        <v>10</v>
      </c>
      <c r="H127" s="52" t="s">
        <v>49</v>
      </c>
      <c r="I127" s="53">
        <f>E127*G127</f>
        <v>0</v>
      </c>
      <c r="J127" s="255"/>
      <c r="K127" s="255"/>
      <c r="L127" s="255"/>
      <c r="M127" s="255"/>
    </row>
    <row r="128" spans="2:14" ht="18" customHeight="1" thickBot="1">
      <c r="B128" s="48" t="s">
        <v>50</v>
      </c>
      <c r="C128" s="50">
        <v>311.02999999999997</v>
      </c>
      <c r="D128" s="50" t="s">
        <v>51</v>
      </c>
      <c r="E128" s="49">
        <f>ROUND(C126*(C128/1000),2)</f>
        <v>0</v>
      </c>
      <c r="F128" s="50" t="s">
        <v>48</v>
      </c>
      <c r="G128" s="50">
        <f>G$24</f>
        <v>10</v>
      </c>
      <c r="H128" s="52" t="s">
        <v>49</v>
      </c>
      <c r="I128" s="53">
        <f>E128*G128</f>
        <v>0</v>
      </c>
      <c r="J128" s="255"/>
    </row>
    <row r="129" spans="2:14" ht="18" customHeight="1" thickBot="1">
      <c r="B129" s="23" t="s">
        <v>36</v>
      </c>
      <c r="C129" s="252" t="s">
        <v>14</v>
      </c>
      <c r="D129" s="252" t="s">
        <v>37</v>
      </c>
      <c r="E129" s="252" t="s">
        <v>71</v>
      </c>
      <c r="F129" s="252" t="s">
        <v>38</v>
      </c>
      <c r="G129" s="252" t="s">
        <v>72</v>
      </c>
      <c r="H129" s="252" t="s">
        <v>22</v>
      </c>
      <c r="I129" s="25" t="s">
        <v>40</v>
      </c>
      <c r="J129" s="54" t="s">
        <v>2</v>
      </c>
      <c r="K129" s="55" t="s">
        <v>3</v>
      </c>
      <c r="L129" s="55" t="s">
        <v>61</v>
      </c>
      <c r="M129" s="55" t="s">
        <v>62</v>
      </c>
      <c r="N129" s="70" t="s">
        <v>14</v>
      </c>
    </row>
    <row r="130" spans="2:14" ht="18" customHeight="1">
      <c r="B130" s="648" t="s">
        <v>92</v>
      </c>
      <c r="C130" s="649" t="s">
        <v>93</v>
      </c>
      <c r="D130" s="253">
        <f>J130-IF(L130=1,81,IF(L130=2,58.5,IF(L130=3,36,0)))</f>
        <v>0</v>
      </c>
      <c r="E130" s="253">
        <v>0</v>
      </c>
      <c r="F130" s="253">
        <f>K130-IF(M130=1,81,IF(M130=2,58.5,IF(M130=3,36,0)))</f>
        <v>0</v>
      </c>
      <c r="G130" s="250">
        <v>0</v>
      </c>
      <c r="H130" s="250">
        <v>2.0489999999999999</v>
      </c>
      <c r="I130" s="59">
        <f>ROUND((D130*E130+F130*G130)/1000*H130,3)</f>
        <v>0</v>
      </c>
      <c r="J130" s="60"/>
      <c r="K130" s="61"/>
      <c r="L130" s="61"/>
      <c r="M130" s="61"/>
      <c r="N130" s="76" t="s">
        <v>56</v>
      </c>
    </row>
    <row r="131" spans="2:14" ht="18" customHeight="1">
      <c r="B131" s="648"/>
      <c r="C131" s="650"/>
      <c r="D131" s="253">
        <f>J131-IF(L131=1,81,IF(L131=2,58.5,IF(L131=3,36,0)))</f>
        <v>0</v>
      </c>
      <c r="E131" s="253">
        <v>0</v>
      </c>
      <c r="F131" s="253">
        <f>K131-IF(M131=1,81,IF(M131=2,58.5,IF(M131=3,36,0)))</f>
        <v>0</v>
      </c>
      <c r="G131" s="250"/>
      <c r="H131" s="250">
        <f>H130</f>
        <v>2.0489999999999999</v>
      </c>
      <c r="I131" s="59">
        <f>ROUND((D131*E131+F131*G131)/1000*H131,3)</f>
        <v>0</v>
      </c>
      <c r="J131" s="60"/>
      <c r="K131" s="61"/>
      <c r="L131" s="61"/>
      <c r="M131" s="61"/>
      <c r="N131" s="76" t="s">
        <v>58</v>
      </c>
    </row>
    <row r="132" spans="2:14" ht="18" customHeight="1" thickBot="1">
      <c r="B132" s="648"/>
      <c r="C132" s="651"/>
      <c r="D132" s="253">
        <f>J132-IF(L132=1,81,IF(L132=2,58.5,IF(L132=3,36,0)))</f>
        <v>0</v>
      </c>
      <c r="E132" s="253"/>
      <c r="F132" s="253">
        <f>K132-IF(M132=1,81,IF(M132=2,58.5,IF(M132=3,36,0)))</f>
        <v>0</v>
      </c>
      <c r="G132" s="250"/>
      <c r="H132" s="250">
        <f>H131</f>
        <v>2.0489999999999999</v>
      </c>
      <c r="I132" s="59">
        <f>ROUND((D132*E132+F132*G132)/1000*H132,3)</f>
        <v>0</v>
      </c>
      <c r="J132" s="64"/>
      <c r="K132" s="65"/>
      <c r="L132" s="65"/>
      <c r="M132" s="65"/>
      <c r="N132" s="80" t="s">
        <v>89</v>
      </c>
    </row>
    <row r="133" spans="2:14" ht="18" customHeight="1">
      <c r="B133" s="48" t="s">
        <v>42</v>
      </c>
      <c r="C133" s="49">
        <f>SUMPRODUCT(D130:D132*E130:E132+F130:F132*G130:G132)/1000</f>
        <v>0</v>
      </c>
      <c r="D133" s="50" t="s">
        <v>43</v>
      </c>
      <c r="E133" s="49">
        <f>SUM(I130:I132)*1.1</f>
        <v>0</v>
      </c>
      <c r="F133" s="50" t="s">
        <v>44</v>
      </c>
      <c r="G133" s="51">
        <f>(C$218+C$219)/1000</f>
        <v>46.081499999999998</v>
      </c>
      <c r="H133" s="52" t="s">
        <v>45</v>
      </c>
      <c r="I133" s="53">
        <f>ROUND(E133*G133,2)</f>
        <v>0</v>
      </c>
      <c r="J133" s="243">
        <f>SUM(G130:G132)+SUM(E130:E132)</f>
        <v>0</v>
      </c>
    </row>
    <row r="134" spans="2:14" ht="18" customHeight="1">
      <c r="B134" s="48" t="s">
        <v>46</v>
      </c>
      <c r="C134" s="50">
        <v>298.42</v>
      </c>
      <c r="D134" s="50" t="s">
        <v>47</v>
      </c>
      <c r="E134" s="49">
        <f>ROUND(C133*(C134/1000),2)</f>
        <v>0</v>
      </c>
      <c r="F134" s="50" t="s">
        <v>48</v>
      </c>
      <c r="G134" s="50">
        <f>G$23</f>
        <v>10</v>
      </c>
      <c r="H134" s="52" t="s">
        <v>49</v>
      </c>
      <c r="I134" s="53">
        <f>ROUND(E134*G134,2)</f>
        <v>0</v>
      </c>
    </row>
    <row r="135" spans="2:14" ht="18" customHeight="1">
      <c r="B135" s="48" t="s">
        <v>50</v>
      </c>
      <c r="C135" s="50">
        <v>208.08</v>
      </c>
      <c r="D135" s="50" t="s">
        <v>51</v>
      </c>
      <c r="E135" s="49">
        <f>ROUND(C133*(C135/1000),2)</f>
        <v>0</v>
      </c>
      <c r="F135" s="50" t="s">
        <v>48</v>
      </c>
      <c r="G135" s="50">
        <f>G$24</f>
        <v>10</v>
      </c>
      <c r="H135" s="52" t="s">
        <v>49</v>
      </c>
      <c r="I135" s="53">
        <f>ROUND(E135*G135,2)</f>
        <v>0</v>
      </c>
    </row>
    <row r="136" spans="2:14" ht="18" customHeight="1">
      <c r="B136" s="23" t="s">
        <v>36</v>
      </c>
      <c r="C136" s="252" t="s">
        <v>14</v>
      </c>
      <c r="D136" s="652" t="s">
        <v>38</v>
      </c>
      <c r="E136" s="652"/>
      <c r="F136" s="652"/>
      <c r="G136" s="252" t="s">
        <v>72</v>
      </c>
      <c r="H136" s="252" t="s">
        <v>22</v>
      </c>
      <c r="I136" s="25" t="s">
        <v>40</v>
      </c>
    </row>
    <row r="137" spans="2:14" ht="18" customHeight="1">
      <c r="B137" s="648" t="s">
        <v>94</v>
      </c>
      <c r="C137" s="649" t="s">
        <v>95</v>
      </c>
      <c r="D137" s="654">
        <f>E116</f>
        <v>2292</v>
      </c>
      <c r="E137" s="646"/>
      <c r="F137" s="646"/>
      <c r="G137" s="250">
        <v>1</v>
      </c>
      <c r="H137" s="250">
        <v>1.3360000000000001</v>
      </c>
      <c r="I137" s="59">
        <f>ROUND(D137*H137*G137/1000,3)</f>
        <v>3.0619999999999998</v>
      </c>
    </row>
    <row r="138" spans="2:14" ht="18" customHeight="1">
      <c r="B138" s="648"/>
      <c r="C138" s="651"/>
      <c r="D138" s="654"/>
      <c r="E138" s="646"/>
      <c r="F138" s="646"/>
      <c r="G138" s="250"/>
      <c r="H138" s="250">
        <f>H137</f>
        <v>1.3360000000000001</v>
      </c>
      <c r="I138" s="59">
        <f>ROUND(D138*H138*G138/1000,3)</f>
        <v>0</v>
      </c>
    </row>
    <row r="139" spans="2:14" ht="18" customHeight="1">
      <c r="B139" s="48" t="s">
        <v>42</v>
      </c>
      <c r="C139" s="49">
        <f>SUMPRODUCT(D137:F138*G137:G138)/1000</f>
        <v>2.2919999999999998</v>
      </c>
      <c r="D139" s="50" t="s">
        <v>43</v>
      </c>
      <c r="E139" s="49">
        <f>SUM(I137:I138)*1.1</f>
        <v>3.3682000000000003</v>
      </c>
      <c r="F139" s="50" t="s">
        <v>44</v>
      </c>
      <c r="G139" s="51">
        <f>(C$218+C$219)/1000</f>
        <v>46.081499999999998</v>
      </c>
      <c r="H139" s="52" t="s">
        <v>45</v>
      </c>
      <c r="I139" s="53">
        <f>ROUND(E139*G139,2)</f>
        <v>155.21</v>
      </c>
    </row>
    <row r="140" spans="2:14" ht="18" customHeight="1">
      <c r="B140" s="48" t="s">
        <v>46</v>
      </c>
      <c r="C140" s="50">
        <v>143.24</v>
      </c>
      <c r="D140" s="50" t="s">
        <v>47</v>
      </c>
      <c r="E140" s="49">
        <f>ROUND(C139*(C140/1000),2)</f>
        <v>0.33</v>
      </c>
      <c r="F140" s="50" t="s">
        <v>48</v>
      </c>
      <c r="G140" s="50">
        <f>G$23</f>
        <v>10</v>
      </c>
      <c r="H140" s="52" t="s">
        <v>49</v>
      </c>
      <c r="I140" s="53">
        <f>E140*G140</f>
        <v>3.3000000000000003</v>
      </c>
    </row>
    <row r="141" spans="2:14" ht="18" customHeight="1">
      <c r="B141" s="48" t="s">
        <v>50</v>
      </c>
      <c r="C141" s="50">
        <v>85.04</v>
      </c>
      <c r="D141" s="50" t="s">
        <v>51</v>
      </c>
      <c r="E141" s="49">
        <f>ROUND(C139*(C141/1000),2)</f>
        <v>0.19</v>
      </c>
      <c r="F141" s="50" t="s">
        <v>48</v>
      </c>
      <c r="G141" s="50">
        <f>G$24</f>
        <v>10</v>
      </c>
      <c r="H141" s="52" t="s">
        <v>49</v>
      </c>
      <c r="I141" s="53">
        <f>E141*G141</f>
        <v>1.9</v>
      </c>
    </row>
    <row r="142" spans="2:14" ht="18" customHeight="1">
      <c r="B142" s="23" t="s">
        <v>36</v>
      </c>
      <c r="C142" s="252" t="s">
        <v>14</v>
      </c>
      <c r="D142" s="252" t="s">
        <v>37</v>
      </c>
      <c r="E142" s="252" t="s">
        <v>38</v>
      </c>
      <c r="F142" s="252" t="s">
        <v>39</v>
      </c>
      <c r="G142" s="252" t="s">
        <v>8</v>
      </c>
      <c r="H142" s="252" t="s">
        <v>22</v>
      </c>
      <c r="I142" s="25" t="s">
        <v>40</v>
      </c>
    </row>
    <row r="143" spans="2:14" ht="18" customHeight="1">
      <c r="B143" s="648" t="s">
        <v>96</v>
      </c>
      <c r="C143" s="653" t="s">
        <v>83</v>
      </c>
      <c r="D143" s="253">
        <f t="shared" ref="D143:E145" si="20">D116-154</f>
        <v>415</v>
      </c>
      <c r="E143" s="253">
        <f t="shared" si="20"/>
        <v>2138</v>
      </c>
      <c r="F143" s="253">
        <f>(D143+E143)*2/1000</f>
        <v>5.1059999999999999</v>
      </c>
      <c r="G143" s="250">
        <f>G116</f>
        <v>2</v>
      </c>
      <c r="H143" s="250">
        <v>0.27100000000000002</v>
      </c>
      <c r="I143" s="59">
        <f>ROUND((F143*G143)*H143,3)</f>
        <v>2.7669999999999999</v>
      </c>
    </row>
    <row r="144" spans="2:14" ht="18" customHeight="1">
      <c r="B144" s="648"/>
      <c r="C144" s="650"/>
      <c r="D144" s="253">
        <f t="shared" si="20"/>
        <v>-154</v>
      </c>
      <c r="E144" s="253">
        <f t="shared" si="20"/>
        <v>-154</v>
      </c>
      <c r="F144" s="253">
        <f>(D144+E144)*2/1000</f>
        <v>-0.61599999999999999</v>
      </c>
      <c r="G144" s="250">
        <f>G117</f>
        <v>0</v>
      </c>
      <c r="H144" s="250">
        <f>H143</f>
        <v>0.27100000000000002</v>
      </c>
      <c r="I144" s="59">
        <f>ROUND((F144*G144)*H144,3)</f>
        <v>0</v>
      </c>
    </row>
    <row r="145" spans="2:14" ht="18" customHeight="1">
      <c r="B145" s="648"/>
      <c r="C145" s="651"/>
      <c r="D145" s="253">
        <f t="shared" si="20"/>
        <v>-154</v>
      </c>
      <c r="E145" s="253">
        <f t="shared" si="20"/>
        <v>-154</v>
      </c>
      <c r="F145" s="253">
        <f>(D145+E145)*2/1000</f>
        <v>-0.61599999999999999</v>
      </c>
      <c r="G145" s="250">
        <f>G118</f>
        <v>0</v>
      </c>
      <c r="H145" s="250">
        <f>H144</f>
        <v>0.27100000000000002</v>
      </c>
      <c r="I145" s="59">
        <f>ROUND((F145*G145)*H145,3)</f>
        <v>0</v>
      </c>
    </row>
    <row r="146" spans="2:14" ht="18" customHeight="1">
      <c r="B146" s="48" t="s">
        <v>42</v>
      </c>
      <c r="C146" s="49">
        <f>SUMPRODUCT(F143:F145*G143:G145)</f>
        <v>10.212</v>
      </c>
      <c r="D146" s="50" t="s">
        <v>43</v>
      </c>
      <c r="E146" s="49">
        <f>SUM(I143:I145)*1.1</f>
        <v>3.0437000000000003</v>
      </c>
      <c r="F146" s="50" t="s">
        <v>44</v>
      </c>
      <c r="G146" s="51">
        <f>(C$218+C$222)/1000</f>
        <v>39.781500000000001</v>
      </c>
      <c r="H146" s="52" t="s">
        <v>45</v>
      </c>
      <c r="I146" s="53">
        <f>ROUND(E146*G146,2)</f>
        <v>121.08</v>
      </c>
    </row>
    <row r="147" spans="2:14" ht="18" customHeight="1">
      <c r="B147" s="48" t="s">
        <v>46</v>
      </c>
      <c r="C147" s="50">
        <v>186.72</v>
      </c>
      <c r="D147" s="50" t="s">
        <v>47</v>
      </c>
      <c r="E147" s="49">
        <f>ROUND(C146*(C147/1000),2)</f>
        <v>1.91</v>
      </c>
      <c r="F147" s="50" t="s">
        <v>48</v>
      </c>
      <c r="G147" s="50">
        <f>G$23</f>
        <v>10</v>
      </c>
      <c r="H147" s="52" t="s">
        <v>49</v>
      </c>
      <c r="I147" s="53">
        <f>E147*G147</f>
        <v>19.099999999999998</v>
      </c>
      <c r="K147" s="42"/>
      <c r="L147" s="42"/>
      <c r="M147" s="42"/>
    </row>
    <row r="148" spans="2:14" ht="18" customHeight="1">
      <c r="B148" s="48" t="s">
        <v>50</v>
      </c>
      <c r="C148" s="50">
        <v>0</v>
      </c>
      <c r="D148" s="50" t="s">
        <v>51</v>
      </c>
      <c r="E148" s="49">
        <f>ROUND(C146*(C148/1000),2)</f>
        <v>0</v>
      </c>
      <c r="F148" s="50" t="s">
        <v>48</v>
      </c>
      <c r="G148" s="50">
        <f>G$24</f>
        <v>10</v>
      </c>
      <c r="H148" s="52" t="s">
        <v>49</v>
      </c>
      <c r="I148" s="53">
        <f>E148*G148</f>
        <v>0</v>
      </c>
      <c r="K148" s="42"/>
      <c r="L148" s="42"/>
      <c r="M148" s="42"/>
    </row>
    <row r="149" spans="2:14" ht="18" customHeight="1">
      <c r="B149" s="23" t="s">
        <v>36</v>
      </c>
      <c r="C149" s="252" t="s">
        <v>14</v>
      </c>
      <c r="D149" s="252" t="s">
        <v>37</v>
      </c>
      <c r="E149" s="252" t="s">
        <v>38</v>
      </c>
      <c r="F149" s="252" t="s">
        <v>39</v>
      </c>
      <c r="G149" s="252" t="s">
        <v>8</v>
      </c>
      <c r="H149" s="252" t="s">
        <v>22</v>
      </c>
      <c r="I149" s="25" t="s">
        <v>40</v>
      </c>
      <c r="K149" s="42"/>
      <c r="L149" s="42"/>
      <c r="M149" s="42"/>
    </row>
    <row r="150" spans="2:14" ht="18" customHeight="1">
      <c r="B150" s="648" t="s">
        <v>97</v>
      </c>
      <c r="C150" s="653" t="s">
        <v>83</v>
      </c>
      <c r="D150" s="253">
        <f t="shared" ref="D150:E152" si="21">D123-160</f>
        <v>-160</v>
      </c>
      <c r="E150" s="253">
        <f t="shared" si="21"/>
        <v>-160</v>
      </c>
      <c r="F150" s="253">
        <f>(D150+E150)*2/1000</f>
        <v>-0.64</v>
      </c>
      <c r="G150" s="250">
        <f>G123</f>
        <v>0</v>
      </c>
      <c r="H150" s="250">
        <f>H145</f>
        <v>0.27100000000000002</v>
      </c>
      <c r="I150" s="59">
        <f>ROUND((F150*G150)*H150,3)</f>
        <v>0</v>
      </c>
      <c r="K150" s="42"/>
      <c r="L150" s="42"/>
      <c r="M150" s="42"/>
    </row>
    <row r="151" spans="2:14" ht="18" customHeight="1">
      <c r="B151" s="648"/>
      <c r="C151" s="650"/>
      <c r="D151" s="253">
        <f t="shared" si="21"/>
        <v>-160</v>
      </c>
      <c r="E151" s="253">
        <f t="shared" si="21"/>
        <v>-160</v>
      </c>
      <c r="F151" s="253">
        <f>(D151+E151)*2/1000</f>
        <v>-0.64</v>
      </c>
      <c r="G151" s="250">
        <f>G124</f>
        <v>0</v>
      </c>
      <c r="H151" s="250">
        <f>H150</f>
        <v>0.27100000000000002</v>
      </c>
      <c r="I151" s="59">
        <f>ROUND((F151*G151)*H151,3)</f>
        <v>0</v>
      </c>
      <c r="K151" s="42"/>
      <c r="L151" s="42"/>
      <c r="M151" s="42"/>
    </row>
    <row r="152" spans="2:14" ht="18" customHeight="1">
      <c r="B152" s="648"/>
      <c r="C152" s="651"/>
      <c r="D152" s="253">
        <f t="shared" si="21"/>
        <v>-160</v>
      </c>
      <c r="E152" s="253">
        <f t="shared" si="21"/>
        <v>-160</v>
      </c>
      <c r="F152" s="253">
        <f>(D152+E152)*2/1000</f>
        <v>-0.64</v>
      </c>
      <c r="G152" s="250">
        <f>G125</f>
        <v>0</v>
      </c>
      <c r="H152" s="250">
        <f>H151</f>
        <v>0.27100000000000002</v>
      </c>
      <c r="I152" s="59">
        <f>ROUND((F152*G152)*H152,3)</f>
        <v>0</v>
      </c>
      <c r="K152" s="42"/>
      <c r="L152" s="42"/>
      <c r="M152" s="42"/>
    </row>
    <row r="153" spans="2:14" ht="18" customHeight="1">
      <c r="B153" s="48" t="s">
        <v>42</v>
      </c>
      <c r="C153" s="49">
        <f>SUMPRODUCT(F150:F152*G150:G152)</f>
        <v>0</v>
      </c>
      <c r="D153" s="50" t="s">
        <v>43</v>
      </c>
      <c r="E153" s="49">
        <f>SUM(I150:I152)*1.1</f>
        <v>0</v>
      </c>
      <c r="F153" s="50" t="s">
        <v>44</v>
      </c>
      <c r="G153" s="51">
        <f>(C$218+C$222)/1000</f>
        <v>39.781500000000001</v>
      </c>
      <c r="H153" s="52" t="s">
        <v>45</v>
      </c>
      <c r="I153" s="53">
        <f>ROUND(E153*G153,2)</f>
        <v>0</v>
      </c>
      <c r="K153" s="42"/>
      <c r="L153" s="42"/>
      <c r="M153" s="42"/>
    </row>
    <row r="154" spans="2:14" ht="18" customHeight="1">
      <c r="B154" s="48" t="s">
        <v>46</v>
      </c>
      <c r="C154" s="50">
        <v>186.72</v>
      </c>
      <c r="D154" s="50" t="s">
        <v>47</v>
      </c>
      <c r="E154" s="49">
        <f>ROUND(C153*(C154/1000),2)</f>
        <v>0</v>
      </c>
      <c r="F154" s="50" t="s">
        <v>48</v>
      </c>
      <c r="G154" s="50">
        <f>G$23</f>
        <v>10</v>
      </c>
      <c r="H154" s="52" t="s">
        <v>49</v>
      </c>
      <c r="I154" s="53">
        <f>E154*G154</f>
        <v>0</v>
      </c>
    </row>
    <row r="155" spans="2:14" ht="18" customHeight="1" thickBot="1">
      <c r="B155" s="48" t="s">
        <v>50</v>
      </c>
      <c r="C155" s="50">
        <v>0</v>
      </c>
      <c r="D155" s="50" t="s">
        <v>51</v>
      </c>
      <c r="E155" s="49">
        <f>ROUND(C153*(C155/1000),2)</f>
        <v>0</v>
      </c>
      <c r="F155" s="50" t="s">
        <v>48</v>
      </c>
      <c r="G155" s="50">
        <f>G$24</f>
        <v>10</v>
      </c>
      <c r="H155" s="52" t="s">
        <v>49</v>
      </c>
      <c r="I155" s="53">
        <f>E155*G155</f>
        <v>0</v>
      </c>
    </row>
    <row r="156" spans="2:14" ht="18" customHeight="1" thickBot="1">
      <c r="B156" s="23" t="s">
        <v>36</v>
      </c>
      <c r="C156" s="252" t="s">
        <v>14</v>
      </c>
      <c r="D156" s="252" t="s">
        <v>37</v>
      </c>
      <c r="E156" s="252" t="s">
        <v>38</v>
      </c>
      <c r="F156" s="252" t="s">
        <v>39</v>
      </c>
      <c r="G156" s="252" t="s">
        <v>8</v>
      </c>
      <c r="H156" s="252" t="s">
        <v>22</v>
      </c>
      <c r="I156" s="25" t="s">
        <v>40</v>
      </c>
      <c r="J156" s="54" t="s">
        <v>2</v>
      </c>
      <c r="K156" s="55" t="s">
        <v>3</v>
      </c>
      <c r="L156" s="55" t="s">
        <v>61</v>
      </c>
      <c r="M156" s="55" t="s">
        <v>62</v>
      </c>
      <c r="N156" s="70" t="s">
        <v>14</v>
      </c>
    </row>
    <row r="157" spans="2:14" ht="18" customHeight="1">
      <c r="B157" s="648" t="s">
        <v>98</v>
      </c>
      <c r="C157" s="649" t="s">
        <v>99</v>
      </c>
      <c r="D157" s="253">
        <f t="shared" ref="D157:E162" si="22">J157-IF(L157=1,90,IF(L157=2,67.5,IF(L157=3,45,0)))</f>
        <v>0</v>
      </c>
      <c r="E157" s="253">
        <f t="shared" si="22"/>
        <v>0</v>
      </c>
      <c r="F157" s="253">
        <f t="shared" ref="F157:F162" si="23">2*(D157+E157)/1000</f>
        <v>0</v>
      </c>
      <c r="G157" s="250">
        <v>0</v>
      </c>
      <c r="H157" s="250">
        <f>H68</f>
        <v>0.224</v>
      </c>
      <c r="I157" s="59">
        <f t="shared" ref="I157:I162" si="24">ROUND((F157*G157)*H157,3)</f>
        <v>0</v>
      </c>
      <c r="J157" s="60"/>
      <c r="K157" s="61"/>
      <c r="L157" s="61"/>
      <c r="M157" s="61"/>
      <c r="N157" s="76" t="s">
        <v>56</v>
      </c>
    </row>
    <row r="158" spans="2:14" ht="18" customHeight="1">
      <c r="B158" s="648"/>
      <c r="C158" s="650"/>
      <c r="D158" s="253">
        <f t="shared" si="22"/>
        <v>0</v>
      </c>
      <c r="E158" s="253">
        <f t="shared" si="22"/>
        <v>0</v>
      </c>
      <c r="F158" s="253">
        <f t="shared" si="23"/>
        <v>0</v>
      </c>
      <c r="G158" s="250"/>
      <c r="H158" s="250">
        <f>H157</f>
        <v>0.224</v>
      </c>
      <c r="I158" s="59">
        <f t="shared" si="24"/>
        <v>0</v>
      </c>
      <c r="J158" s="60"/>
      <c r="K158" s="61"/>
      <c r="L158" s="61"/>
      <c r="M158" s="61"/>
      <c r="N158" s="76" t="s">
        <v>58</v>
      </c>
    </row>
    <row r="159" spans="2:14" ht="18" customHeight="1">
      <c r="B159" s="648"/>
      <c r="C159" s="650"/>
      <c r="D159" s="253">
        <f t="shared" si="22"/>
        <v>0</v>
      </c>
      <c r="E159" s="253">
        <f t="shared" si="22"/>
        <v>0</v>
      </c>
      <c r="F159" s="253">
        <f t="shared" si="23"/>
        <v>0</v>
      </c>
      <c r="G159" s="250"/>
      <c r="H159" s="250">
        <f>H158</f>
        <v>0.224</v>
      </c>
      <c r="I159" s="59">
        <f t="shared" si="24"/>
        <v>0</v>
      </c>
      <c r="J159" s="60"/>
      <c r="K159" s="61"/>
      <c r="L159" s="61"/>
      <c r="M159" s="61"/>
      <c r="N159" s="76" t="s">
        <v>60</v>
      </c>
    </row>
    <row r="160" spans="2:14" ht="18" customHeight="1">
      <c r="B160" s="648"/>
      <c r="C160" s="650"/>
      <c r="D160" s="253">
        <f t="shared" si="22"/>
        <v>0</v>
      </c>
      <c r="E160" s="253">
        <f t="shared" si="22"/>
        <v>0</v>
      </c>
      <c r="F160" s="253">
        <f t="shared" si="23"/>
        <v>0</v>
      </c>
      <c r="G160" s="250">
        <v>0</v>
      </c>
      <c r="H160" s="77">
        <f>H159</f>
        <v>0.224</v>
      </c>
      <c r="I160" s="59">
        <f t="shared" si="24"/>
        <v>0</v>
      </c>
      <c r="J160" s="60"/>
      <c r="K160" s="61"/>
      <c r="L160" s="61"/>
      <c r="M160" s="61"/>
      <c r="N160" s="76"/>
    </row>
    <row r="161" spans="2:16" ht="18" customHeight="1">
      <c r="B161" s="648"/>
      <c r="C161" s="650"/>
      <c r="D161" s="253">
        <f t="shared" si="22"/>
        <v>0</v>
      </c>
      <c r="E161" s="253">
        <f t="shared" si="22"/>
        <v>0</v>
      </c>
      <c r="F161" s="253">
        <f t="shared" si="23"/>
        <v>0</v>
      </c>
      <c r="G161" s="250"/>
      <c r="H161" s="250">
        <f>H160</f>
        <v>0.224</v>
      </c>
      <c r="I161" s="59">
        <f t="shared" si="24"/>
        <v>0</v>
      </c>
      <c r="J161" s="60"/>
      <c r="K161" s="61"/>
      <c r="L161" s="61"/>
      <c r="M161" s="61"/>
      <c r="N161" s="76"/>
    </row>
    <row r="162" spans="2:16" ht="18" customHeight="1" thickBot="1">
      <c r="B162" s="648"/>
      <c r="C162" s="651"/>
      <c r="D162" s="253">
        <f t="shared" si="22"/>
        <v>0</v>
      </c>
      <c r="E162" s="253">
        <f t="shared" si="22"/>
        <v>0</v>
      </c>
      <c r="F162" s="253">
        <f t="shared" si="23"/>
        <v>0</v>
      </c>
      <c r="G162" s="250"/>
      <c r="H162" s="250">
        <f>H160</f>
        <v>0.224</v>
      </c>
      <c r="I162" s="59">
        <f t="shared" si="24"/>
        <v>0</v>
      </c>
      <c r="J162" s="64"/>
      <c r="K162" s="65"/>
      <c r="L162" s="65"/>
      <c r="M162" s="65"/>
      <c r="N162" s="80"/>
    </row>
    <row r="163" spans="2:16" ht="18" customHeight="1">
      <c r="B163" s="48" t="s">
        <v>42</v>
      </c>
      <c r="C163" s="49">
        <f>SUMPRODUCT(F157:F162*G157:G162)</f>
        <v>0</v>
      </c>
      <c r="D163" s="50" t="s">
        <v>43</v>
      </c>
      <c r="E163" s="49">
        <f>SUM(I157:I162)*1.1</f>
        <v>0</v>
      </c>
      <c r="F163" s="50" t="s">
        <v>44</v>
      </c>
      <c r="G163" s="51">
        <f>(C$218+C$222)/1000</f>
        <v>39.781500000000001</v>
      </c>
      <c r="H163" s="52" t="s">
        <v>45</v>
      </c>
      <c r="I163" s="53">
        <f>ROUND(E163*G163,2)</f>
        <v>0</v>
      </c>
      <c r="J163" s="102"/>
      <c r="K163" s="102"/>
      <c r="L163" s="102"/>
      <c r="M163" s="102"/>
      <c r="O163" s="102"/>
      <c r="P163" s="102"/>
    </row>
    <row r="164" spans="2:16" ht="18" customHeight="1">
      <c r="B164" s="48" t="s">
        <v>46</v>
      </c>
      <c r="C164" s="50">
        <v>181.72</v>
      </c>
      <c r="D164" s="50" t="s">
        <v>47</v>
      </c>
      <c r="E164" s="49">
        <f>ROUND(C163*(C164/1000),2)</f>
        <v>0</v>
      </c>
      <c r="F164" s="50" t="s">
        <v>48</v>
      </c>
      <c r="G164" s="50">
        <f>G$23</f>
        <v>10</v>
      </c>
      <c r="H164" s="52" t="s">
        <v>49</v>
      </c>
      <c r="I164" s="53">
        <f>E164*G164</f>
        <v>0</v>
      </c>
      <c r="J164" s="102"/>
      <c r="K164" s="102"/>
      <c r="L164" s="102"/>
      <c r="M164" s="102"/>
      <c r="O164" s="102"/>
      <c r="P164" s="102"/>
    </row>
    <row r="165" spans="2:16" ht="18" customHeight="1">
      <c r="B165" s="48" t="s">
        <v>50</v>
      </c>
      <c r="C165" s="50"/>
      <c r="D165" s="50" t="s">
        <v>51</v>
      </c>
      <c r="E165" s="49">
        <f>ROUND(C163*(C165/1000),2)</f>
        <v>0</v>
      </c>
      <c r="F165" s="50" t="s">
        <v>48</v>
      </c>
      <c r="G165" s="50">
        <f>G$24</f>
        <v>10</v>
      </c>
      <c r="H165" s="52" t="s">
        <v>49</v>
      </c>
      <c r="I165" s="53">
        <f>E165*G165</f>
        <v>0</v>
      </c>
      <c r="K165" s="43">
        <f>J165*E165</f>
        <v>0</v>
      </c>
    </row>
    <row r="166" spans="2:16" ht="18" customHeight="1">
      <c r="B166" s="23" t="s">
        <v>36</v>
      </c>
      <c r="C166" s="252" t="s">
        <v>14</v>
      </c>
      <c r="D166" s="252" t="s">
        <v>37</v>
      </c>
      <c r="E166" s="252" t="s">
        <v>71</v>
      </c>
      <c r="F166" s="252" t="s">
        <v>38</v>
      </c>
      <c r="G166" s="252" t="s">
        <v>72</v>
      </c>
      <c r="H166" s="252" t="s">
        <v>22</v>
      </c>
      <c r="I166" s="25" t="s">
        <v>40</v>
      </c>
    </row>
    <row r="167" spans="2:16" ht="18" customHeight="1">
      <c r="B167" s="648" t="s">
        <v>100</v>
      </c>
      <c r="C167" s="649" t="s">
        <v>101</v>
      </c>
      <c r="D167" s="250"/>
      <c r="E167" s="250"/>
      <c r="F167" s="250"/>
      <c r="G167" s="250"/>
      <c r="H167" s="28">
        <v>6.3E-2</v>
      </c>
      <c r="I167" s="59">
        <f>ROUND((D167*E167+F167*G167)/1000*H167,3)</f>
        <v>0</v>
      </c>
    </row>
    <row r="168" spans="2:16" ht="18" customHeight="1">
      <c r="B168" s="648"/>
      <c r="C168" s="650"/>
      <c r="D168" s="250"/>
      <c r="E168" s="250"/>
      <c r="F168" s="250"/>
      <c r="G168" s="250"/>
      <c r="H168" s="28">
        <f>H167</f>
        <v>6.3E-2</v>
      </c>
      <c r="I168" s="59">
        <f>ROUND((D168*E168+F168*G168)/1000*H168,3)</f>
        <v>0</v>
      </c>
    </row>
    <row r="169" spans="2:16" ht="18" customHeight="1">
      <c r="B169" s="648"/>
      <c r="C169" s="651"/>
      <c r="D169" s="250"/>
      <c r="E169" s="250"/>
      <c r="F169" s="250"/>
      <c r="G169" s="250"/>
      <c r="H169" s="28">
        <f>H168</f>
        <v>6.3E-2</v>
      </c>
      <c r="I169" s="59">
        <f>ROUND((D169*E169+F169*G169)/1000*H169,3)</f>
        <v>0</v>
      </c>
    </row>
    <row r="170" spans="2:16" ht="18" customHeight="1">
      <c r="B170" s="48" t="s">
        <v>42</v>
      </c>
      <c r="C170" s="49">
        <f>SUMPRODUCT(D167:D169*E167:E169+F167:F169*G167:G169)/1000</f>
        <v>0</v>
      </c>
      <c r="D170" s="50" t="s">
        <v>43</v>
      </c>
      <c r="E170" s="49">
        <f>SUM(I167:I169)*1.1</f>
        <v>0</v>
      </c>
      <c r="F170" s="50" t="s">
        <v>44</v>
      </c>
      <c r="G170" s="51">
        <f>(C$218+$C$222)/1000</f>
        <v>39.781500000000001</v>
      </c>
      <c r="H170" s="52" t="s">
        <v>45</v>
      </c>
      <c r="I170" s="53">
        <f>ROUND(E170*G170,2)</f>
        <v>0</v>
      </c>
    </row>
    <row r="171" spans="2:16" ht="18" customHeight="1">
      <c r="B171" s="48" t="s">
        <v>46</v>
      </c>
      <c r="C171" s="50">
        <v>105.66</v>
      </c>
      <c r="D171" s="50" t="s">
        <v>47</v>
      </c>
      <c r="E171" s="49">
        <f>ROUND(C170*(C171/1000),2)</f>
        <v>0</v>
      </c>
      <c r="F171" s="50" t="s">
        <v>48</v>
      </c>
      <c r="G171" s="50">
        <f>G$23</f>
        <v>10</v>
      </c>
      <c r="H171" s="52" t="s">
        <v>49</v>
      </c>
      <c r="I171" s="53">
        <f>E171*G171</f>
        <v>0</v>
      </c>
    </row>
    <row r="172" spans="2:16" ht="18" customHeight="1">
      <c r="B172" s="48" t="s">
        <v>50</v>
      </c>
      <c r="C172" s="50">
        <v>125.66</v>
      </c>
      <c r="D172" s="50" t="s">
        <v>51</v>
      </c>
      <c r="E172" s="49">
        <f>ROUND(C170*(C172/1000),2)</f>
        <v>0</v>
      </c>
      <c r="F172" s="50" t="s">
        <v>48</v>
      </c>
      <c r="G172" s="50">
        <f>G$24</f>
        <v>10</v>
      </c>
      <c r="H172" s="52" t="s">
        <v>49</v>
      </c>
      <c r="I172" s="53">
        <f>E172*G172</f>
        <v>0</v>
      </c>
    </row>
    <row r="173" spans="2:16" ht="18" customHeight="1">
      <c r="B173" s="23" t="s">
        <v>36</v>
      </c>
      <c r="C173" s="252" t="s">
        <v>14</v>
      </c>
      <c r="D173" s="252" t="s">
        <v>37</v>
      </c>
      <c r="E173" s="252" t="s">
        <v>71</v>
      </c>
      <c r="F173" s="252" t="s">
        <v>38</v>
      </c>
      <c r="G173" s="252" t="s">
        <v>72</v>
      </c>
      <c r="H173" s="252" t="s">
        <v>22</v>
      </c>
      <c r="I173" s="25" t="s">
        <v>40</v>
      </c>
    </row>
    <row r="174" spans="2:16" ht="18" customHeight="1">
      <c r="B174" s="648" t="s">
        <v>102</v>
      </c>
      <c r="C174" s="649" t="s">
        <v>103</v>
      </c>
      <c r="D174" s="250"/>
      <c r="E174" s="250"/>
      <c r="F174" s="250"/>
      <c r="G174" s="250"/>
      <c r="H174" s="28">
        <v>1.0980000000000001</v>
      </c>
      <c r="I174" s="59">
        <f>ROUND((D174*E174+F174*G174)/1000*H174,3)</f>
        <v>0</v>
      </c>
    </row>
    <row r="175" spans="2:16" ht="18" customHeight="1">
      <c r="B175" s="648"/>
      <c r="C175" s="650"/>
      <c r="D175" s="250"/>
      <c r="E175" s="250"/>
      <c r="F175" s="250"/>
      <c r="G175" s="250"/>
      <c r="H175" s="28">
        <f>H174</f>
        <v>1.0980000000000001</v>
      </c>
      <c r="I175" s="59">
        <f>ROUND((D175*E175+F175*G175)/1000*H175,3)</f>
        <v>0</v>
      </c>
    </row>
    <row r="176" spans="2:16" ht="18" customHeight="1">
      <c r="B176" s="648"/>
      <c r="C176" s="651"/>
      <c r="D176" s="250"/>
      <c r="E176" s="250"/>
      <c r="F176" s="250"/>
      <c r="G176" s="250"/>
      <c r="H176" s="28">
        <f>H175</f>
        <v>1.0980000000000001</v>
      </c>
      <c r="I176" s="59">
        <f>ROUND((D176*E176+F176*G176)/1000*H176,3)</f>
        <v>0</v>
      </c>
    </row>
    <row r="177" spans="2:9" ht="18" customHeight="1">
      <c r="B177" s="48" t="s">
        <v>42</v>
      </c>
      <c r="C177" s="49">
        <f>SUMPRODUCT(D174:D176*E174:E176+F174:F176*G174:G176)/1000</f>
        <v>0</v>
      </c>
      <c r="D177" s="50" t="s">
        <v>43</v>
      </c>
      <c r="E177" s="49">
        <f>SUM(I174:I176)*1.1</f>
        <v>0</v>
      </c>
      <c r="F177" s="50" t="s">
        <v>44</v>
      </c>
      <c r="G177" s="51">
        <f>(C$218+C$219)/1000</f>
        <v>46.081499999999998</v>
      </c>
      <c r="H177" s="52" t="s">
        <v>45</v>
      </c>
      <c r="I177" s="53">
        <f>ROUND(E177*G177,2)</f>
        <v>0</v>
      </c>
    </row>
    <row r="178" spans="2:9" ht="18" customHeight="1">
      <c r="B178" s="48" t="s">
        <v>46</v>
      </c>
      <c r="C178" s="50">
        <v>105.66</v>
      </c>
      <c r="D178" s="50" t="s">
        <v>47</v>
      </c>
      <c r="E178" s="49">
        <f>ROUND(C177*(C178/1000),2)</f>
        <v>0</v>
      </c>
      <c r="F178" s="50" t="s">
        <v>48</v>
      </c>
      <c r="G178" s="50">
        <f>G$23</f>
        <v>10</v>
      </c>
      <c r="H178" s="52" t="s">
        <v>49</v>
      </c>
      <c r="I178" s="53">
        <f>E178*G178</f>
        <v>0</v>
      </c>
    </row>
    <row r="179" spans="2:9" ht="18" customHeight="1">
      <c r="B179" s="48" t="s">
        <v>50</v>
      </c>
      <c r="C179" s="50">
        <v>125.66</v>
      </c>
      <c r="D179" s="50" t="s">
        <v>51</v>
      </c>
      <c r="E179" s="49">
        <f>ROUND(C177*(C179/1000),2)</f>
        <v>0</v>
      </c>
      <c r="F179" s="50" t="s">
        <v>48</v>
      </c>
      <c r="G179" s="50">
        <f>G$24</f>
        <v>10</v>
      </c>
      <c r="H179" s="52" t="s">
        <v>49</v>
      </c>
      <c r="I179" s="53">
        <f>E179*G179</f>
        <v>0</v>
      </c>
    </row>
    <row r="180" spans="2:9" ht="18" customHeight="1">
      <c r="B180" s="23" t="s">
        <v>36</v>
      </c>
      <c r="C180" s="252" t="s">
        <v>14</v>
      </c>
      <c r="D180" s="252" t="s">
        <v>37</v>
      </c>
      <c r="E180" s="252" t="s">
        <v>71</v>
      </c>
      <c r="F180" s="252" t="s">
        <v>38</v>
      </c>
      <c r="G180" s="252" t="s">
        <v>72</v>
      </c>
      <c r="H180" s="252" t="s">
        <v>22</v>
      </c>
      <c r="I180" s="25" t="s">
        <v>40</v>
      </c>
    </row>
    <row r="181" spans="2:9" ht="18" customHeight="1">
      <c r="B181" s="648" t="s">
        <v>104</v>
      </c>
      <c r="C181" s="649" t="s">
        <v>105</v>
      </c>
      <c r="D181" s="250"/>
      <c r="E181" s="250"/>
      <c r="F181" s="250">
        <f>E14</f>
        <v>0</v>
      </c>
      <c r="G181" s="250">
        <v>1</v>
      </c>
      <c r="H181" s="28">
        <v>1.5629999999999999</v>
      </c>
      <c r="I181" s="59">
        <f>ROUND((D181*E181+F181*G181)/1000*H181,3)</f>
        <v>0</v>
      </c>
    </row>
    <row r="182" spans="2:9" ht="18" customHeight="1">
      <c r="B182" s="648"/>
      <c r="C182" s="650"/>
      <c r="D182" s="250"/>
      <c r="E182" s="250"/>
      <c r="F182" s="250"/>
      <c r="G182" s="250"/>
      <c r="H182" s="28">
        <f>H181</f>
        <v>1.5629999999999999</v>
      </c>
      <c r="I182" s="59">
        <f>ROUND((D182*E182+F182*G182)/1000*H182,3)</f>
        <v>0</v>
      </c>
    </row>
    <row r="183" spans="2:9" ht="18" customHeight="1">
      <c r="B183" s="648"/>
      <c r="C183" s="651"/>
      <c r="D183" s="250"/>
      <c r="E183" s="250"/>
      <c r="F183" s="250"/>
      <c r="G183" s="250"/>
      <c r="H183" s="28">
        <f>H182</f>
        <v>1.5629999999999999</v>
      </c>
      <c r="I183" s="59">
        <f>ROUND((D183*E183+F183*G183)/1000*H183,3)</f>
        <v>0</v>
      </c>
    </row>
    <row r="184" spans="2:9" ht="18" customHeight="1">
      <c r="B184" s="48" t="s">
        <v>42</v>
      </c>
      <c r="C184" s="49">
        <f>SUMPRODUCT(D181:D183*E181:E183+F181:F183*G181:G183)/1000</f>
        <v>0</v>
      </c>
      <c r="D184" s="50" t="s">
        <v>43</v>
      </c>
      <c r="E184" s="49">
        <f>SUM(I181:I183)*1.1</f>
        <v>0</v>
      </c>
      <c r="F184" s="50" t="s">
        <v>44</v>
      </c>
      <c r="G184" s="51">
        <f>(C$218+C$219)/1000</f>
        <v>46.081499999999998</v>
      </c>
      <c r="H184" s="52" t="s">
        <v>45</v>
      </c>
      <c r="I184" s="53">
        <f>ROUND(E184*G184,2)</f>
        <v>0</v>
      </c>
    </row>
    <row r="185" spans="2:9" ht="18" customHeight="1">
      <c r="B185" s="48" t="s">
        <v>46</v>
      </c>
      <c r="C185" s="50">
        <v>105.66</v>
      </c>
      <c r="D185" s="50" t="s">
        <v>47</v>
      </c>
      <c r="E185" s="49">
        <f>ROUND(C184*(C185/1000),2)</f>
        <v>0</v>
      </c>
      <c r="F185" s="50" t="s">
        <v>48</v>
      </c>
      <c r="G185" s="50">
        <f>G$23</f>
        <v>10</v>
      </c>
      <c r="H185" s="52" t="s">
        <v>49</v>
      </c>
      <c r="I185" s="53">
        <f>E185*G185</f>
        <v>0</v>
      </c>
    </row>
    <row r="186" spans="2:9" ht="18" customHeight="1">
      <c r="B186" s="48" t="s">
        <v>50</v>
      </c>
      <c r="C186" s="50">
        <v>125.66</v>
      </c>
      <c r="D186" s="50" t="s">
        <v>51</v>
      </c>
      <c r="E186" s="49">
        <f>ROUND(C184*(C186/1000),2)</f>
        <v>0</v>
      </c>
      <c r="F186" s="50" t="s">
        <v>48</v>
      </c>
      <c r="G186" s="50">
        <f>G$24</f>
        <v>10</v>
      </c>
      <c r="H186" s="52" t="s">
        <v>49</v>
      </c>
      <c r="I186" s="53">
        <f>E186*G186</f>
        <v>0</v>
      </c>
    </row>
    <row r="187" spans="2:9" ht="18" customHeight="1">
      <c r="B187" s="23" t="s">
        <v>36</v>
      </c>
      <c r="C187" s="252" t="s">
        <v>14</v>
      </c>
      <c r="D187" s="252" t="s">
        <v>37</v>
      </c>
      <c r="E187" s="252" t="s">
        <v>71</v>
      </c>
      <c r="F187" s="252" t="s">
        <v>38</v>
      </c>
      <c r="G187" s="252" t="s">
        <v>72</v>
      </c>
      <c r="H187" s="252" t="s">
        <v>22</v>
      </c>
      <c r="I187" s="25" t="s">
        <v>40</v>
      </c>
    </row>
    <row r="188" spans="2:9" ht="18" customHeight="1">
      <c r="B188" s="648" t="s">
        <v>106</v>
      </c>
      <c r="C188" s="649" t="s">
        <v>107</v>
      </c>
      <c r="D188" s="250"/>
      <c r="E188" s="250"/>
      <c r="F188" s="250"/>
      <c r="G188" s="250"/>
      <c r="H188" s="28">
        <v>1.732</v>
      </c>
      <c r="I188" s="59">
        <f>ROUND((D188*E188+F188*G188)/1000*H188,3)</f>
        <v>0</v>
      </c>
    </row>
    <row r="189" spans="2:9" ht="18" customHeight="1">
      <c r="B189" s="648"/>
      <c r="C189" s="650"/>
      <c r="D189" s="250"/>
      <c r="E189" s="250"/>
      <c r="F189" s="250"/>
      <c r="G189" s="250"/>
      <c r="H189" s="28">
        <f>H188</f>
        <v>1.732</v>
      </c>
      <c r="I189" s="59">
        <f>ROUND((D189*E189+F189*G189)/1000*H189,3)</f>
        <v>0</v>
      </c>
    </row>
    <row r="190" spans="2:9" ht="18" customHeight="1">
      <c r="B190" s="648"/>
      <c r="C190" s="651"/>
      <c r="D190" s="250"/>
      <c r="E190" s="250"/>
      <c r="F190" s="250">
        <f>E6</f>
        <v>2370</v>
      </c>
      <c r="G190" s="250"/>
      <c r="H190" s="28">
        <f>H189</f>
        <v>1.732</v>
      </c>
      <c r="I190" s="59">
        <f>ROUND((D190*E190+F190*G190)/1000*H190,3)</f>
        <v>0</v>
      </c>
    </row>
    <row r="191" spans="2:9" ht="18" customHeight="1">
      <c r="B191" s="48" t="s">
        <v>42</v>
      </c>
      <c r="C191" s="49">
        <f>SUMPRODUCT(D188:D190*E188:E190+F188:F190*G188:G190)/1000</f>
        <v>0</v>
      </c>
      <c r="D191" s="50" t="s">
        <v>43</v>
      </c>
      <c r="E191" s="49">
        <f>SUM(I188:I190)*1.1</f>
        <v>0</v>
      </c>
      <c r="F191" s="50" t="s">
        <v>44</v>
      </c>
      <c r="G191" s="51">
        <f>(C$218+C$219)/1000</f>
        <v>46.081499999999998</v>
      </c>
      <c r="H191" s="52" t="s">
        <v>45</v>
      </c>
      <c r="I191" s="53">
        <f>ROUND(E191*G191,2)</f>
        <v>0</v>
      </c>
    </row>
    <row r="192" spans="2:9" ht="18" customHeight="1">
      <c r="B192" s="48" t="s">
        <v>46</v>
      </c>
      <c r="C192" s="50">
        <v>105.66</v>
      </c>
      <c r="D192" s="50" t="s">
        <v>47</v>
      </c>
      <c r="E192" s="49">
        <f>ROUND(C191*(C192/1000),2)</f>
        <v>0</v>
      </c>
      <c r="F192" s="50" t="s">
        <v>48</v>
      </c>
      <c r="G192" s="50">
        <f>G$23</f>
        <v>10</v>
      </c>
      <c r="H192" s="52" t="s">
        <v>49</v>
      </c>
      <c r="I192" s="53">
        <f>E192*G192</f>
        <v>0</v>
      </c>
    </row>
    <row r="193" spans="2:15" ht="18" customHeight="1">
      <c r="B193" s="48" t="s">
        <v>50</v>
      </c>
      <c r="C193" s="50">
        <v>125.66</v>
      </c>
      <c r="D193" s="50" t="s">
        <v>51</v>
      </c>
      <c r="E193" s="49">
        <f>ROUND(C191*(C193/1000),2)</f>
        <v>0</v>
      </c>
      <c r="F193" s="50" t="s">
        <v>48</v>
      </c>
      <c r="G193" s="50">
        <f>G$24</f>
        <v>10</v>
      </c>
      <c r="H193" s="52" t="s">
        <v>49</v>
      </c>
      <c r="I193" s="53">
        <f>E193*G193</f>
        <v>0</v>
      </c>
    </row>
    <row r="194" spans="2:15" ht="18" customHeight="1">
      <c r="B194" s="23" t="s">
        <v>36</v>
      </c>
      <c r="C194" s="252" t="s">
        <v>14</v>
      </c>
      <c r="D194" s="652" t="s">
        <v>38</v>
      </c>
      <c r="E194" s="652"/>
      <c r="F194" s="652"/>
      <c r="G194" s="252" t="s">
        <v>72</v>
      </c>
      <c r="H194" s="252" t="s">
        <v>22</v>
      </c>
      <c r="I194" s="25" t="s">
        <v>40</v>
      </c>
    </row>
    <row r="195" spans="2:15" ht="18" customHeight="1">
      <c r="B195" s="643" t="s">
        <v>108</v>
      </c>
      <c r="C195" s="645" t="s">
        <v>109</v>
      </c>
      <c r="D195" s="646"/>
      <c r="E195" s="646"/>
      <c r="F195" s="646"/>
      <c r="G195" s="250"/>
      <c r="H195" s="250">
        <v>1.796</v>
      </c>
      <c r="I195" s="59">
        <f>ROUND((D195*G195*H195)/1000,3)</f>
        <v>0</v>
      </c>
    </row>
    <row r="196" spans="2:15" ht="18" customHeight="1">
      <c r="B196" s="644"/>
      <c r="C196" s="640"/>
      <c r="D196" s="646"/>
      <c r="E196" s="646"/>
      <c r="F196" s="646"/>
      <c r="G196" s="250"/>
      <c r="H196" s="250">
        <f>H195</f>
        <v>1.796</v>
      </c>
      <c r="I196" s="59">
        <f>ROUND((D196*G196*H196)/1000,3)</f>
        <v>0</v>
      </c>
    </row>
    <row r="197" spans="2:15" ht="18" customHeight="1">
      <c r="B197" s="643" t="s">
        <v>110</v>
      </c>
      <c r="C197" s="645" t="s">
        <v>111</v>
      </c>
      <c r="D197" s="646"/>
      <c r="E197" s="646"/>
      <c r="F197" s="646"/>
      <c r="G197" s="250"/>
      <c r="H197" s="250">
        <v>1.355</v>
      </c>
      <c r="I197" s="59"/>
    </row>
    <row r="198" spans="2:15" ht="18" customHeight="1">
      <c r="B198" s="644"/>
      <c r="C198" s="640"/>
      <c r="D198" s="646"/>
      <c r="E198" s="646"/>
      <c r="F198" s="646"/>
      <c r="G198" s="250"/>
      <c r="H198" s="250">
        <f>H197</f>
        <v>1.355</v>
      </c>
      <c r="I198" s="59"/>
    </row>
    <row r="199" spans="2:15" ht="18" customHeight="1">
      <c r="B199" s="48" t="s">
        <v>42</v>
      </c>
      <c r="C199" s="49">
        <f>SUMPRODUCT(D195:F198*G195:G198)/1000</f>
        <v>0</v>
      </c>
      <c r="D199" s="50" t="s">
        <v>43</v>
      </c>
      <c r="E199" s="49">
        <f>SUM(I195:I198)*1.1</f>
        <v>0</v>
      </c>
      <c r="F199" s="50" t="s">
        <v>44</v>
      </c>
      <c r="G199" s="51">
        <f>(C$218+C$219)/1000</f>
        <v>46.081499999999998</v>
      </c>
      <c r="H199" s="52" t="s">
        <v>45</v>
      </c>
      <c r="I199" s="53">
        <f>ROUND(E199*G199,2)</f>
        <v>0</v>
      </c>
    </row>
    <row r="200" spans="2:15" ht="18" customHeight="1">
      <c r="B200" s="48" t="s">
        <v>46</v>
      </c>
      <c r="C200" s="50">
        <v>267.77999999999997</v>
      </c>
      <c r="D200" s="50" t="s">
        <v>47</v>
      </c>
      <c r="E200" s="49">
        <f>ROUND(C199*(C200/1000),2)</f>
        <v>0</v>
      </c>
      <c r="F200" s="50" t="s">
        <v>48</v>
      </c>
      <c r="G200" s="50">
        <f>G$23</f>
        <v>10</v>
      </c>
      <c r="H200" s="52" t="s">
        <v>49</v>
      </c>
      <c r="I200" s="53">
        <f>E200*G200</f>
        <v>0</v>
      </c>
    </row>
    <row r="201" spans="2:15" ht="18" customHeight="1">
      <c r="B201" s="48" t="s">
        <v>50</v>
      </c>
      <c r="C201" s="50">
        <v>104.29</v>
      </c>
      <c r="D201" s="50" t="s">
        <v>51</v>
      </c>
      <c r="E201" s="49">
        <f>ROUND(C199*(C201/1000),2)</f>
        <v>0</v>
      </c>
      <c r="F201" s="50" t="s">
        <v>48</v>
      </c>
      <c r="G201" s="50">
        <f>G$24</f>
        <v>10</v>
      </c>
      <c r="H201" s="52" t="s">
        <v>49</v>
      </c>
      <c r="I201" s="53">
        <f>E201*G201</f>
        <v>0</v>
      </c>
    </row>
    <row r="202" spans="2:15" ht="18" customHeight="1">
      <c r="B202" s="103" t="s">
        <v>112</v>
      </c>
      <c r="C202" s="104" t="s">
        <v>113</v>
      </c>
      <c r="D202" s="104" t="s">
        <v>28</v>
      </c>
      <c r="E202" s="104" t="s">
        <v>8</v>
      </c>
      <c r="F202" s="104" t="s">
        <v>112</v>
      </c>
      <c r="G202" s="104" t="s">
        <v>113</v>
      </c>
      <c r="H202" s="104" t="s">
        <v>28</v>
      </c>
      <c r="I202" s="105" t="s">
        <v>8</v>
      </c>
      <c r="N202" s="106"/>
      <c r="O202" s="102"/>
    </row>
    <row r="203" spans="2:15" ht="18" customHeight="1">
      <c r="B203" s="251" t="s">
        <v>327</v>
      </c>
      <c r="C203" s="107" t="s">
        <v>114</v>
      </c>
      <c r="D203" s="108">
        <v>2.15</v>
      </c>
      <c r="E203" s="253">
        <f>SUM(G14:G21)*4</f>
        <v>0</v>
      </c>
      <c r="F203" s="647" t="s">
        <v>115</v>
      </c>
      <c r="G203" s="107" t="s">
        <v>116</v>
      </c>
      <c r="H203" s="108">
        <v>2.46</v>
      </c>
      <c r="I203" s="247">
        <f>SUM(G108:G111)*4</f>
        <v>4</v>
      </c>
      <c r="J203" s="42"/>
      <c r="N203" s="106"/>
      <c r="O203" s="102"/>
    </row>
    <row r="204" spans="2:15" ht="18" customHeight="1">
      <c r="B204" s="251" t="s">
        <v>328</v>
      </c>
      <c r="C204" s="107" t="s">
        <v>117</v>
      </c>
      <c r="D204" s="108">
        <v>1.72</v>
      </c>
      <c r="E204" s="253">
        <f>E203</f>
        <v>0</v>
      </c>
      <c r="F204" s="646"/>
      <c r="G204" s="107" t="s">
        <v>118</v>
      </c>
      <c r="H204" s="108">
        <v>3.11</v>
      </c>
      <c r="I204" s="247">
        <f>I203</f>
        <v>4</v>
      </c>
      <c r="J204" s="42"/>
      <c r="N204" s="106"/>
      <c r="O204" s="102"/>
    </row>
    <row r="205" spans="2:15" ht="18" customHeight="1">
      <c r="B205" s="109" t="s">
        <v>330</v>
      </c>
      <c r="C205" s="107" t="s">
        <v>119</v>
      </c>
      <c r="D205" s="108">
        <v>2.68</v>
      </c>
      <c r="E205" s="253">
        <f>SUM(G26:G30)*4</f>
        <v>0</v>
      </c>
      <c r="F205" s="110" t="s">
        <v>120</v>
      </c>
      <c r="G205" s="107" t="s">
        <v>121</v>
      </c>
      <c r="H205" s="111">
        <v>4.76</v>
      </c>
      <c r="I205" s="247">
        <f>SUM(G123:G125)*4</f>
        <v>0</v>
      </c>
      <c r="J205" s="42"/>
      <c r="N205" s="106"/>
      <c r="O205" s="102"/>
    </row>
    <row r="206" spans="2:15" ht="18" customHeight="1">
      <c r="B206" s="109" t="s">
        <v>329</v>
      </c>
      <c r="C206" s="107" t="s">
        <v>122</v>
      </c>
      <c r="D206" s="108">
        <v>1.27</v>
      </c>
      <c r="E206" s="253">
        <f>E205</f>
        <v>0</v>
      </c>
      <c r="F206" s="110" t="s">
        <v>123</v>
      </c>
      <c r="G206" s="107" t="s">
        <v>124</v>
      </c>
      <c r="H206" s="111">
        <v>3.85</v>
      </c>
      <c r="I206" s="247">
        <f>I205</f>
        <v>0</v>
      </c>
      <c r="J206" s="42"/>
      <c r="N206" s="106"/>
      <c r="O206" s="102"/>
    </row>
    <row r="207" spans="2:15" ht="18" customHeight="1">
      <c r="B207" s="109" t="s">
        <v>331</v>
      </c>
      <c r="C207" s="107" t="s">
        <v>125</v>
      </c>
      <c r="D207" s="111" t="s">
        <v>126</v>
      </c>
      <c r="E207" s="253">
        <f>SUM(G35:G37)*4</f>
        <v>0</v>
      </c>
      <c r="F207" s="110" t="s">
        <v>127</v>
      </c>
      <c r="G207" s="107" t="s">
        <v>128</v>
      </c>
      <c r="H207" s="111">
        <v>4.29</v>
      </c>
      <c r="I207" s="247">
        <f>SUM(G116:G118)*4</f>
        <v>8</v>
      </c>
      <c r="J207" s="42"/>
      <c r="N207" s="106"/>
      <c r="O207" s="102"/>
    </row>
    <row r="208" spans="2:15" ht="18" customHeight="1">
      <c r="B208" s="109" t="s">
        <v>332</v>
      </c>
      <c r="C208" s="107" t="s">
        <v>129</v>
      </c>
      <c r="D208" s="111" t="s">
        <v>130</v>
      </c>
      <c r="E208" s="253">
        <f>E207</f>
        <v>0</v>
      </c>
      <c r="F208" s="110" t="s">
        <v>131</v>
      </c>
      <c r="G208" s="107" t="s">
        <v>132</v>
      </c>
      <c r="H208" s="111">
        <v>4.5</v>
      </c>
      <c r="I208" s="247">
        <f>I207</f>
        <v>8</v>
      </c>
      <c r="J208" s="42"/>
      <c r="N208" s="106"/>
      <c r="O208" s="102"/>
    </row>
    <row r="209" spans="2:15" ht="18" customHeight="1">
      <c r="B209" s="249" t="s">
        <v>333</v>
      </c>
      <c r="C209" s="250">
        <v>12.6</v>
      </c>
      <c r="D209" s="111">
        <v>1.32</v>
      </c>
      <c r="E209" s="253">
        <f>SUM(G42:G47)*4</f>
        <v>0</v>
      </c>
      <c r="F209" s="639"/>
      <c r="G209" s="107"/>
      <c r="H209" s="28"/>
      <c r="I209" s="247"/>
      <c r="N209" s="106"/>
      <c r="O209" s="102"/>
    </row>
    <row r="210" spans="2:15" ht="18" customHeight="1">
      <c r="B210" s="249" t="s">
        <v>334</v>
      </c>
      <c r="C210" s="250">
        <v>15.8</v>
      </c>
      <c r="D210" s="111">
        <v>1.18</v>
      </c>
      <c r="E210" s="253">
        <f>E209</f>
        <v>0</v>
      </c>
      <c r="F210" s="640"/>
      <c r="G210" s="107"/>
      <c r="H210" s="28"/>
      <c r="I210" s="231"/>
      <c r="N210" s="106"/>
      <c r="O210" s="102"/>
    </row>
    <row r="211" spans="2:15" ht="18" customHeight="1">
      <c r="B211" s="251" t="s">
        <v>335</v>
      </c>
      <c r="C211" s="107" t="s">
        <v>337</v>
      </c>
      <c r="D211" s="111">
        <v>2.81</v>
      </c>
      <c r="E211" s="250">
        <f>SUM(E52+E53+E54+E55+G52+G53+G54+G55+G60+G61+G62+G63)*2</f>
        <v>0</v>
      </c>
      <c r="F211" s="641" t="s">
        <v>133</v>
      </c>
      <c r="G211" s="111">
        <f>SUMPRODUCT(D35:D37,G35:G37)/1000</f>
        <v>0</v>
      </c>
      <c r="H211" s="28">
        <v>0.16</v>
      </c>
      <c r="I211" s="232">
        <f>G211*H211</f>
        <v>0</v>
      </c>
      <c r="N211" s="106"/>
      <c r="O211" s="102"/>
    </row>
    <row r="212" spans="2:15" ht="18" customHeight="1">
      <c r="B212" s="251" t="s">
        <v>336</v>
      </c>
      <c r="C212" s="107" t="s">
        <v>338</v>
      </c>
      <c r="D212" s="111">
        <v>3.51</v>
      </c>
      <c r="E212" s="250">
        <f>E211</f>
        <v>0</v>
      </c>
      <c r="F212" s="641"/>
      <c r="G212" s="111">
        <f>SUMPRODUCT(D26:D30,G26:G30)/1000</f>
        <v>0</v>
      </c>
      <c r="H212" s="28">
        <v>0.16</v>
      </c>
      <c r="I212" s="232">
        <f>G212*H212</f>
        <v>0</v>
      </c>
      <c r="N212" s="106"/>
      <c r="O212" s="102"/>
    </row>
    <row r="213" spans="2:15" ht="18" customHeight="1">
      <c r="B213" s="251" t="s">
        <v>134</v>
      </c>
      <c r="C213" s="250">
        <v>30.6</v>
      </c>
      <c r="D213" s="111">
        <v>2.81</v>
      </c>
      <c r="E213" s="253">
        <f>SUM(+E130+E131+E132+G130+G131+G132)*2</f>
        <v>0</v>
      </c>
      <c r="F213" s="641" t="s">
        <v>135</v>
      </c>
      <c r="G213" s="111">
        <f>SUMPRODUCT(E26:E30,G26:G30)/1000</f>
        <v>0</v>
      </c>
      <c r="H213" s="28">
        <v>0.16</v>
      </c>
      <c r="I213" s="232">
        <f>G213*H213</f>
        <v>0</v>
      </c>
      <c r="N213" s="106"/>
      <c r="O213" s="102"/>
    </row>
    <row r="214" spans="2:15" ht="18" customHeight="1">
      <c r="B214" s="251" t="s">
        <v>136</v>
      </c>
      <c r="C214" s="250">
        <v>30.6</v>
      </c>
      <c r="D214" s="111">
        <v>3.51</v>
      </c>
      <c r="E214" s="253">
        <f>E213</f>
        <v>0</v>
      </c>
      <c r="F214" s="641"/>
      <c r="G214" s="111">
        <f>SUMPRODUCT(E35:E37,G35:G37)/1000</f>
        <v>0</v>
      </c>
      <c r="H214" s="28">
        <v>0.16</v>
      </c>
      <c r="I214" s="232">
        <f>G214*H214</f>
        <v>0</v>
      </c>
      <c r="N214" s="106"/>
      <c r="O214" s="102"/>
    </row>
    <row r="215" spans="2:15" ht="18" customHeight="1">
      <c r="B215" s="52" t="s">
        <v>137</v>
      </c>
      <c r="C215" s="112" cm="1">
        <f t="array" ref="C215">SUMPRODUCT(D203:D214*E203:E214)+SUMPRODUCT(H203:H210*I203:I210)</f>
        <v>92.6</v>
      </c>
      <c r="D215" s="52"/>
      <c r="E215" s="52"/>
      <c r="F215" s="52"/>
      <c r="G215" s="52" t="s">
        <v>138</v>
      </c>
      <c r="H215" s="52" cm="1">
        <f t="array" ref="H215">SUMPRODUCT(G211:G214*H211:H214)</f>
        <v>0</v>
      </c>
      <c r="I215" s="233">
        <f>H215*1.08</f>
        <v>0</v>
      </c>
      <c r="N215" s="106"/>
      <c r="O215" s="102"/>
    </row>
    <row r="216" spans="2:15" ht="18" customHeight="1">
      <c r="B216" s="23" t="s">
        <v>139</v>
      </c>
      <c r="C216" s="252" t="s">
        <v>14</v>
      </c>
      <c r="D216" s="252" t="s">
        <v>22</v>
      </c>
      <c r="E216" s="252" t="s">
        <v>8</v>
      </c>
      <c r="F216" s="252" t="s">
        <v>113</v>
      </c>
      <c r="G216" s="252" t="s">
        <v>40</v>
      </c>
      <c r="H216" s="252" t="s">
        <v>28</v>
      </c>
      <c r="I216" s="25" t="s">
        <v>29</v>
      </c>
      <c r="N216" s="106"/>
      <c r="O216" s="102"/>
    </row>
    <row r="217" spans="2:15" ht="18" customHeight="1">
      <c r="B217" s="48" t="s">
        <v>140</v>
      </c>
      <c r="C217" s="52" t="s">
        <v>141</v>
      </c>
      <c r="D217" s="50">
        <v>0.14199999999999999</v>
      </c>
      <c r="E217" s="50">
        <v>1</v>
      </c>
      <c r="F217" s="50">
        <f>D6</f>
        <v>1220</v>
      </c>
      <c r="G217" s="128">
        <f>D217*F217*E217/1000*1.1</f>
        <v>0.19056399999999998</v>
      </c>
      <c r="H217" s="52">
        <f>(C218+C222)/1000</f>
        <v>39.781500000000001</v>
      </c>
      <c r="I217" s="193">
        <f>G217*H217</f>
        <v>7.5809217659999995</v>
      </c>
      <c r="N217" s="106"/>
      <c r="O217" s="102"/>
    </row>
    <row r="218" spans="2:15" ht="18" customHeight="1">
      <c r="B218" s="37" t="s">
        <v>142</v>
      </c>
      <c r="C218" s="113">
        <f>材料价格!B4</f>
        <v>22081.5</v>
      </c>
      <c r="D218" s="39" t="s">
        <v>143</v>
      </c>
      <c r="E218" s="114">
        <f>E139+E133+E126+E119+E112+E199+E177+E64+E56+E48+E38+E31+E22+E184+E191</f>
        <v>48.951100000000004</v>
      </c>
      <c r="F218" s="39" t="s">
        <v>144</v>
      </c>
      <c r="G218" s="115">
        <f>I218/E218-C218/1000</f>
        <v>23.999997657866729</v>
      </c>
      <c r="H218" s="39" t="s">
        <v>145</v>
      </c>
      <c r="I218" s="116">
        <f>I22+I31+I38+I48+I56+I64+I199+I112+I119+I126+I133+I139+I177+I184+I191</f>
        <v>2255.7400000000002</v>
      </c>
      <c r="N218" s="106"/>
      <c r="O218" s="102"/>
    </row>
    <row r="219" spans="2:15" ht="18" customHeight="1">
      <c r="B219" s="117" t="s">
        <v>146</v>
      </c>
      <c r="C219" s="118">
        <f>材料价格!B5</f>
        <v>24000</v>
      </c>
      <c r="D219" s="39" t="s">
        <v>147</v>
      </c>
      <c r="E219" s="114">
        <f>E163+E153+E146+E104+E97+E88+G217+E170</f>
        <v>3.2342640000000005</v>
      </c>
      <c r="F219" s="39" t="s">
        <v>148</v>
      </c>
      <c r="G219" s="119">
        <f>I219/E219-C218/1000</f>
        <v>17.699087412159301</v>
      </c>
      <c r="H219" s="39" t="s">
        <v>149</v>
      </c>
      <c r="I219" s="116">
        <f>I88+I97+I104+I146+I153+I163+I217+I170</f>
        <v>128.660921766</v>
      </c>
      <c r="N219" s="106"/>
      <c r="O219" s="102"/>
    </row>
    <row r="220" spans="2:15" ht="18" customHeight="1">
      <c r="B220" s="117" t="s">
        <v>150</v>
      </c>
      <c r="C220" s="118">
        <f>C219</f>
        <v>24000</v>
      </c>
      <c r="D220" s="39" t="s">
        <v>151</v>
      </c>
      <c r="E220" s="120">
        <f>I215</f>
        <v>0</v>
      </c>
      <c r="F220" s="39" t="s">
        <v>152</v>
      </c>
      <c r="G220" s="119" t="e">
        <f>I220/E220-C218/1000</f>
        <v>#DIV/0!</v>
      </c>
      <c r="H220" s="39" t="s">
        <v>153</v>
      </c>
      <c r="I220" s="116">
        <f>ROUND(E220*(C218+C223)/1000,2)</f>
        <v>0</v>
      </c>
      <c r="N220" s="106"/>
      <c r="O220" s="102"/>
    </row>
    <row r="221" spans="2:15" ht="18" customHeight="1">
      <c r="B221" s="117" t="s">
        <v>154</v>
      </c>
      <c r="C221" s="121">
        <f>C220</f>
        <v>24000</v>
      </c>
      <c r="D221" s="39" t="s">
        <v>155</v>
      </c>
      <c r="E221" s="39"/>
      <c r="F221" s="39" t="s">
        <v>156</v>
      </c>
      <c r="G221" s="39"/>
      <c r="H221" s="39" t="s">
        <v>49</v>
      </c>
      <c r="I221" s="116">
        <f>E221*G221</f>
        <v>0</v>
      </c>
      <c r="J221" s="42"/>
      <c r="K221" s="255"/>
    </row>
    <row r="222" spans="2:15" ht="18" customHeight="1">
      <c r="B222" s="117" t="s">
        <v>148</v>
      </c>
      <c r="C222" s="122">
        <f>材料价格!B6</f>
        <v>17700</v>
      </c>
      <c r="D222" s="39" t="s">
        <v>157</v>
      </c>
      <c r="E222" s="39"/>
      <c r="F222" s="39" t="s">
        <v>156</v>
      </c>
      <c r="G222" s="39"/>
      <c r="H222" s="39" t="s">
        <v>49</v>
      </c>
      <c r="I222" s="116">
        <f>E222*G222</f>
        <v>0</v>
      </c>
      <c r="J222" s="123"/>
      <c r="K222" s="123"/>
      <c r="L222" s="123"/>
    </row>
    <row r="223" spans="2:15" ht="18" customHeight="1">
      <c r="B223" s="117" t="s">
        <v>152</v>
      </c>
      <c r="C223" s="122">
        <f>材料价格!B9</f>
        <v>2900</v>
      </c>
      <c r="D223" s="39" t="s">
        <v>158</v>
      </c>
      <c r="E223" s="114">
        <f>SUM(E218:E220)</f>
        <v>52.185364000000007</v>
      </c>
      <c r="F223" s="39"/>
      <c r="G223" s="39" t="s">
        <v>339</v>
      </c>
      <c r="H223" s="39"/>
      <c r="I223" s="234">
        <f>SUM(I218:I222)+C215</f>
        <v>2477.0009217660004</v>
      </c>
      <c r="J223" s="123"/>
      <c r="K223" s="123"/>
      <c r="L223" s="123"/>
    </row>
    <row r="224" spans="2:15" ht="18" customHeight="1">
      <c r="B224" s="23" t="s">
        <v>159</v>
      </c>
      <c r="C224" s="252" t="s">
        <v>113</v>
      </c>
      <c r="D224" s="252" t="s">
        <v>16</v>
      </c>
      <c r="E224" s="252" t="s">
        <v>7</v>
      </c>
      <c r="F224" s="252" t="s">
        <v>8</v>
      </c>
      <c r="G224" s="252" t="s">
        <v>28</v>
      </c>
      <c r="H224" s="252" t="s">
        <v>160</v>
      </c>
      <c r="I224" s="25" t="s">
        <v>1</v>
      </c>
      <c r="J224" s="255"/>
      <c r="K224" s="255"/>
      <c r="L224" s="255"/>
      <c r="M224" s="255"/>
    </row>
    <row r="225" spans="2:13" ht="18" customHeight="1">
      <c r="B225" s="124" t="str">
        <f>材料价格!A10</f>
        <v>6单银Low-E+12A+6</v>
      </c>
      <c r="C225" s="253">
        <f t="shared" ref="C225:D229" si="25">D92</f>
        <v>-90</v>
      </c>
      <c r="D225" s="253">
        <f t="shared" si="25"/>
        <v>-90</v>
      </c>
      <c r="E225" s="32">
        <f>C225*D225/10^6</f>
        <v>8.0999999999999996E-3</v>
      </c>
      <c r="F225" s="250">
        <f>G26</f>
        <v>0</v>
      </c>
      <c r="G225" s="125">
        <f>材料价格!B10</f>
        <v>148</v>
      </c>
      <c r="H225" s="250">
        <f>ROUND(E225*G225*F225,2)</f>
        <v>0</v>
      </c>
      <c r="I225" s="247" t="s">
        <v>161</v>
      </c>
      <c r="J225" s="255"/>
      <c r="K225" s="255"/>
      <c r="L225" s="255"/>
      <c r="M225" s="255"/>
    </row>
    <row r="226" spans="2:13" ht="18" customHeight="1">
      <c r="B226" s="124" t="str">
        <f t="shared" ref="B226:B232" si="26">B225</f>
        <v>6单银Low-E+12A+6</v>
      </c>
      <c r="C226" s="253">
        <f t="shared" si="25"/>
        <v>-90</v>
      </c>
      <c r="D226" s="253">
        <f t="shared" si="25"/>
        <v>-90</v>
      </c>
      <c r="E226" s="32">
        <f t="shared" ref="E226:E284" si="27">C226*D226/10^6</f>
        <v>8.0999999999999996E-3</v>
      </c>
      <c r="F226" s="250">
        <f>G27</f>
        <v>0</v>
      </c>
      <c r="G226" s="126">
        <f t="shared" ref="G226:G232" si="28">G225</f>
        <v>148</v>
      </c>
      <c r="H226" s="250">
        <f t="shared" ref="H226:H241" si="29">ROUND(E226*G226*F226,2)</f>
        <v>0</v>
      </c>
      <c r="I226" s="247" t="s">
        <v>162</v>
      </c>
      <c r="J226" s="255"/>
      <c r="K226" s="255"/>
      <c r="L226" s="255"/>
      <c r="M226" s="255"/>
    </row>
    <row r="227" spans="2:13" ht="18" customHeight="1">
      <c r="B227" s="124" t="str">
        <f t="shared" si="26"/>
        <v>6单银Low-E+12A+6</v>
      </c>
      <c r="C227" s="253">
        <f t="shared" si="25"/>
        <v>-90</v>
      </c>
      <c r="D227" s="253">
        <f t="shared" si="25"/>
        <v>-90</v>
      </c>
      <c r="E227" s="32">
        <f t="shared" si="27"/>
        <v>8.0999999999999996E-3</v>
      </c>
      <c r="F227" s="250">
        <f>G28</f>
        <v>0</v>
      </c>
      <c r="G227" s="126">
        <f t="shared" si="28"/>
        <v>148</v>
      </c>
      <c r="H227" s="250">
        <f t="shared" si="29"/>
        <v>0</v>
      </c>
      <c r="I227" s="247" t="s">
        <v>162</v>
      </c>
      <c r="J227" s="255"/>
      <c r="K227" s="255"/>
      <c r="L227" s="255"/>
      <c r="M227" s="255"/>
    </row>
    <row r="228" spans="2:13" ht="18" customHeight="1">
      <c r="B228" s="124" t="str">
        <f t="shared" si="26"/>
        <v>6单银Low-E+12A+6</v>
      </c>
      <c r="C228" s="253">
        <f t="shared" si="25"/>
        <v>-90</v>
      </c>
      <c r="D228" s="253">
        <f t="shared" si="25"/>
        <v>-90</v>
      </c>
      <c r="E228" s="32">
        <f t="shared" si="27"/>
        <v>8.0999999999999996E-3</v>
      </c>
      <c r="F228" s="250">
        <f>G29</f>
        <v>0</v>
      </c>
      <c r="G228" s="126">
        <f t="shared" si="28"/>
        <v>148</v>
      </c>
      <c r="H228" s="250">
        <f t="shared" si="29"/>
        <v>0</v>
      </c>
      <c r="I228" s="247" t="s">
        <v>162</v>
      </c>
      <c r="J228" s="255"/>
      <c r="K228" s="255"/>
      <c r="L228" s="255"/>
      <c r="M228" s="255"/>
    </row>
    <row r="229" spans="2:13" ht="18" customHeight="1">
      <c r="B229" s="124" t="str">
        <f t="shared" si="26"/>
        <v>6单银Low-E+12A+6</v>
      </c>
      <c r="C229" s="253">
        <f t="shared" si="25"/>
        <v>-90</v>
      </c>
      <c r="D229" s="253">
        <f t="shared" si="25"/>
        <v>-90</v>
      </c>
      <c r="E229" s="32">
        <f t="shared" si="27"/>
        <v>8.0999999999999996E-3</v>
      </c>
      <c r="F229" s="250">
        <f>G30</f>
        <v>0</v>
      </c>
      <c r="G229" s="126">
        <f t="shared" si="28"/>
        <v>148</v>
      </c>
      <c r="H229" s="250">
        <f t="shared" si="29"/>
        <v>0</v>
      </c>
      <c r="I229" s="247" t="s">
        <v>162</v>
      </c>
      <c r="J229" s="123"/>
      <c r="K229" s="123"/>
      <c r="L229" s="123"/>
    </row>
    <row r="230" spans="2:13" ht="18" customHeight="1">
      <c r="B230" s="124" t="str">
        <f t="shared" si="26"/>
        <v>6单银Low-E+12A+6</v>
      </c>
      <c r="C230" s="253">
        <f t="shared" ref="C230:D232" si="30">D101</f>
        <v>-122</v>
      </c>
      <c r="D230" s="253">
        <f t="shared" si="30"/>
        <v>-122</v>
      </c>
      <c r="E230" s="32">
        <f t="shared" si="27"/>
        <v>1.4884E-2</v>
      </c>
      <c r="F230" s="250">
        <f>G101</f>
        <v>0</v>
      </c>
      <c r="G230" s="126">
        <f t="shared" si="28"/>
        <v>148</v>
      </c>
      <c r="H230" s="250">
        <f t="shared" si="29"/>
        <v>0</v>
      </c>
      <c r="I230" s="127" t="s">
        <v>163</v>
      </c>
      <c r="J230" s="123"/>
      <c r="K230" s="123"/>
      <c r="L230" s="123"/>
    </row>
    <row r="231" spans="2:13" ht="18" customHeight="1">
      <c r="B231" s="124" t="str">
        <f t="shared" si="26"/>
        <v>6单银Low-E+12A+6</v>
      </c>
      <c r="C231" s="253">
        <f t="shared" si="30"/>
        <v>-122</v>
      </c>
      <c r="D231" s="253">
        <f t="shared" si="30"/>
        <v>-122</v>
      </c>
      <c r="E231" s="32">
        <f t="shared" si="27"/>
        <v>1.4884E-2</v>
      </c>
      <c r="F231" s="250">
        <f>G102</f>
        <v>0</v>
      </c>
      <c r="G231" s="126">
        <f t="shared" si="28"/>
        <v>148</v>
      </c>
      <c r="H231" s="250">
        <f t="shared" si="29"/>
        <v>0</v>
      </c>
      <c r="I231" s="127" t="s">
        <v>163</v>
      </c>
    </row>
    <row r="232" spans="2:13" ht="18" customHeight="1">
      <c r="B232" s="124" t="str">
        <f t="shared" si="26"/>
        <v>6单银Low-E+12A+6</v>
      </c>
      <c r="C232" s="253">
        <f t="shared" si="30"/>
        <v>-122</v>
      </c>
      <c r="D232" s="253">
        <f t="shared" si="30"/>
        <v>-122</v>
      </c>
      <c r="E232" s="32">
        <f t="shared" si="27"/>
        <v>1.4884E-2</v>
      </c>
      <c r="F232" s="250">
        <f>G103</f>
        <v>0</v>
      </c>
      <c r="G232" s="126">
        <f t="shared" si="28"/>
        <v>148</v>
      </c>
      <c r="H232" s="250">
        <f t="shared" si="29"/>
        <v>0</v>
      </c>
      <c r="I232" s="127" t="s">
        <v>163</v>
      </c>
    </row>
    <row r="233" spans="2:13" ht="18" customHeight="1">
      <c r="B233" s="48" t="s">
        <v>164</v>
      </c>
      <c r="C233" s="52"/>
      <c r="D233" s="50"/>
      <c r="E233" s="128"/>
      <c r="F233" s="50">
        <f>SUM(F225:F232)</f>
        <v>0</v>
      </c>
      <c r="G233" s="50"/>
      <c r="H233" s="52">
        <f>SUM(H225:H232)</f>
        <v>0</v>
      </c>
      <c r="I233" s="53">
        <f>ROUND((E225*F225+E226*F226+E227*F227+E228*F228+E229*F229+E230*F230+E231*F231+E232*F232),2)</f>
        <v>0</v>
      </c>
    </row>
    <row r="234" spans="2:13" ht="18" customHeight="1">
      <c r="B234" s="124" t="str">
        <f>B232</f>
        <v>6单银Low-E+12A+6</v>
      </c>
      <c r="C234" s="253">
        <f>C225</f>
        <v>-90</v>
      </c>
      <c r="D234" s="253">
        <f>D225</f>
        <v>-90</v>
      </c>
      <c r="E234" s="32">
        <f t="shared" si="27"/>
        <v>8.0999999999999996E-3</v>
      </c>
      <c r="F234" s="250">
        <f>IF(F225=0,G26,0)</f>
        <v>0</v>
      </c>
      <c r="G234" s="126">
        <f>G232</f>
        <v>148</v>
      </c>
      <c r="H234" s="250">
        <f t="shared" si="29"/>
        <v>0</v>
      </c>
      <c r="I234" s="247" t="s">
        <v>165</v>
      </c>
      <c r="J234" s="129"/>
    </row>
    <row r="235" spans="2:13" ht="18" customHeight="1">
      <c r="B235" s="124" t="str">
        <f t="shared" ref="B235:B241" si="31">B234</f>
        <v>6单银Low-E+12A+6</v>
      </c>
      <c r="C235" s="253">
        <f t="shared" ref="C235:D241" si="32">C226</f>
        <v>-90</v>
      </c>
      <c r="D235" s="253">
        <f t="shared" si="32"/>
        <v>-90</v>
      </c>
      <c r="E235" s="32">
        <f t="shared" si="27"/>
        <v>8.0999999999999996E-3</v>
      </c>
      <c r="F235" s="250">
        <f>IF(F226=0,G27,0)</f>
        <v>0</v>
      </c>
      <c r="G235" s="126">
        <f>G234</f>
        <v>148</v>
      </c>
      <c r="H235" s="250">
        <f t="shared" si="29"/>
        <v>0</v>
      </c>
      <c r="I235" s="247" t="s">
        <v>165</v>
      </c>
      <c r="J235" s="129"/>
    </row>
    <row r="236" spans="2:13" ht="18" customHeight="1">
      <c r="B236" s="124" t="str">
        <f t="shared" si="31"/>
        <v>6单银Low-E+12A+6</v>
      </c>
      <c r="C236" s="253">
        <f t="shared" si="32"/>
        <v>-90</v>
      </c>
      <c r="D236" s="253">
        <f t="shared" si="32"/>
        <v>-90</v>
      </c>
      <c r="E236" s="32">
        <f t="shared" si="27"/>
        <v>8.0999999999999996E-3</v>
      </c>
      <c r="F236" s="250">
        <f>IF(F227=0,G28,0)</f>
        <v>0</v>
      </c>
      <c r="G236" s="126">
        <f t="shared" ref="G236:G241" si="33">G234</f>
        <v>148</v>
      </c>
      <c r="H236" s="250">
        <f t="shared" si="29"/>
        <v>0</v>
      </c>
      <c r="I236" s="247" t="s">
        <v>165</v>
      </c>
      <c r="J236" s="129"/>
    </row>
    <row r="237" spans="2:13" ht="18" customHeight="1">
      <c r="B237" s="124" t="str">
        <f t="shared" si="31"/>
        <v>6单银Low-E+12A+6</v>
      </c>
      <c r="C237" s="253">
        <f t="shared" si="32"/>
        <v>-90</v>
      </c>
      <c r="D237" s="253">
        <f t="shared" si="32"/>
        <v>-90</v>
      </c>
      <c r="E237" s="32">
        <f t="shared" si="27"/>
        <v>8.0999999999999996E-3</v>
      </c>
      <c r="F237" s="250">
        <f>IF(F228=0,G29,0)</f>
        <v>0</v>
      </c>
      <c r="G237" s="126">
        <f t="shared" si="33"/>
        <v>148</v>
      </c>
      <c r="H237" s="250">
        <f t="shared" si="29"/>
        <v>0</v>
      </c>
      <c r="I237" s="247" t="s">
        <v>165</v>
      </c>
      <c r="J237" s="129"/>
    </row>
    <row r="238" spans="2:13" ht="18" customHeight="1">
      <c r="B238" s="124" t="str">
        <f t="shared" si="31"/>
        <v>6单银Low-E+12A+6</v>
      </c>
      <c r="C238" s="253">
        <f t="shared" si="32"/>
        <v>-90</v>
      </c>
      <c r="D238" s="253">
        <f t="shared" si="32"/>
        <v>-90</v>
      </c>
      <c r="E238" s="32">
        <f t="shared" si="27"/>
        <v>8.0999999999999996E-3</v>
      </c>
      <c r="F238" s="250">
        <f>IF(F229=0,G30,0)</f>
        <v>0</v>
      </c>
      <c r="G238" s="126">
        <f t="shared" si="33"/>
        <v>148</v>
      </c>
      <c r="H238" s="250">
        <f t="shared" si="29"/>
        <v>0</v>
      </c>
      <c r="I238" s="247" t="s">
        <v>165</v>
      </c>
      <c r="J238" s="129"/>
    </row>
    <row r="239" spans="2:13" ht="18" customHeight="1">
      <c r="B239" s="124" t="str">
        <f t="shared" si="31"/>
        <v>6单银Low-E+12A+6</v>
      </c>
      <c r="C239" s="253">
        <f t="shared" si="32"/>
        <v>-122</v>
      </c>
      <c r="D239" s="253">
        <f t="shared" si="32"/>
        <v>-122</v>
      </c>
      <c r="E239" s="32">
        <f t="shared" si="27"/>
        <v>1.4884E-2</v>
      </c>
      <c r="F239" s="250">
        <f>IF(F230=0,G35,0)</f>
        <v>0</v>
      </c>
      <c r="G239" s="126">
        <f t="shared" si="33"/>
        <v>148</v>
      </c>
      <c r="H239" s="250">
        <f t="shared" si="29"/>
        <v>0</v>
      </c>
      <c r="I239" s="127" t="s">
        <v>166</v>
      </c>
      <c r="J239" s="129"/>
    </row>
    <row r="240" spans="2:13" ht="18" customHeight="1">
      <c r="B240" s="124" t="str">
        <f t="shared" si="31"/>
        <v>6单银Low-E+12A+6</v>
      </c>
      <c r="C240" s="253">
        <f t="shared" si="32"/>
        <v>-122</v>
      </c>
      <c r="D240" s="253">
        <f t="shared" si="32"/>
        <v>-122</v>
      </c>
      <c r="E240" s="32">
        <f t="shared" si="27"/>
        <v>1.4884E-2</v>
      </c>
      <c r="F240" s="250">
        <f>IF(F231=0,G36,0)</f>
        <v>0</v>
      </c>
      <c r="G240" s="126">
        <f t="shared" si="33"/>
        <v>148</v>
      </c>
      <c r="H240" s="250">
        <f t="shared" si="29"/>
        <v>0</v>
      </c>
      <c r="I240" s="127" t="s">
        <v>166</v>
      </c>
      <c r="J240" s="129"/>
    </row>
    <row r="241" spans="1:16" ht="18" customHeight="1">
      <c r="B241" s="124" t="str">
        <f t="shared" si="31"/>
        <v>6单银Low-E+12A+6</v>
      </c>
      <c r="C241" s="253">
        <f t="shared" si="32"/>
        <v>-122</v>
      </c>
      <c r="D241" s="253">
        <f t="shared" si="32"/>
        <v>-122</v>
      </c>
      <c r="E241" s="32">
        <f t="shared" si="27"/>
        <v>1.4884E-2</v>
      </c>
      <c r="F241" s="250">
        <f>IF(F232=0,G37,0)</f>
        <v>0</v>
      </c>
      <c r="G241" s="126">
        <f t="shared" si="33"/>
        <v>148</v>
      </c>
      <c r="H241" s="250">
        <f t="shared" si="29"/>
        <v>0</v>
      </c>
      <c r="I241" s="127" t="s">
        <v>166</v>
      </c>
      <c r="J241" s="129"/>
    </row>
    <row r="242" spans="1:16" s="43" customFormat="1" ht="18" customHeight="1">
      <c r="A242" s="1"/>
      <c r="B242" s="48" t="s">
        <v>167</v>
      </c>
      <c r="C242" s="52"/>
      <c r="D242" s="50"/>
      <c r="E242" s="128"/>
      <c r="F242" s="50">
        <f>SUM(F234:F241)</f>
        <v>0</v>
      </c>
      <c r="G242" s="50"/>
      <c r="H242" s="52">
        <f>SUM(H234:H241)</f>
        <v>0</v>
      </c>
      <c r="I242" s="53">
        <f>ROUND(SUMPRODUCT(E234:E241*F234:F241),2)</f>
        <v>0</v>
      </c>
      <c r="J242" s="129"/>
      <c r="N242" s="255"/>
      <c r="O242" s="255"/>
      <c r="P242" s="255"/>
    </row>
    <row r="243" spans="1:16" s="43" customFormat="1" ht="18" customHeight="1">
      <c r="A243" s="1"/>
      <c r="B243" s="124" t="str">
        <f>B240</f>
        <v>6单银Low-E+12A+6</v>
      </c>
      <c r="C243" s="253">
        <f t="shared" ref="C243:D249" si="34">D68-12</f>
        <v>-12</v>
      </c>
      <c r="D243" s="253">
        <f t="shared" si="34"/>
        <v>-12</v>
      </c>
      <c r="E243" s="32">
        <f t="shared" si="27"/>
        <v>1.44E-4</v>
      </c>
      <c r="F243" s="82">
        <f t="shared" ref="F243:F249" si="35">G68</f>
        <v>0</v>
      </c>
      <c r="G243" s="130">
        <f>G241</f>
        <v>148</v>
      </c>
      <c r="H243" s="250">
        <f t="shared" ref="H243:H249" si="36">ROUND(E243*G243*F243,2)</f>
        <v>0</v>
      </c>
      <c r="I243" s="247" t="s">
        <v>168</v>
      </c>
      <c r="J243" s="129"/>
      <c r="N243" s="255"/>
      <c r="O243" s="255"/>
      <c r="P243" s="255"/>
    </row>
    <row r="244" spans="1:16" s="43" customFormat="1" ht="18" customHeight="1">
      <c r="A244" s="1"/>
      <c r="B244" s="124" t="str">
        <f t="shared" ref="B244:B249" si="37">B243</f>
        <v>6单银Low-E+12A+6</v>
      </c>
      <c r="C244" s="253">
        <f t="shared" si="34"/>
        <v>-12</v>
      </c>
      <c r="D244" s="253">
        <f t="shared" si="34"/>
        <v>-12</v>
      </c>
      <c r="E244" s="32">
        <f t="shared" si="27"/>
        <v>1.44E-4</v>
      </c>
      <c r="F244" s="82">
        <f t="shared" si="35"/>
        <v>0</v>
      </c>
      <c r="G244" s="130">
        <f t="shared" ref="G244:G249" si="38">G243</f>
        <v>148</v>
      </c>
      <c r="H244" s="250">
        <f t="shared" si="36"/>
        <v>0</v>
      </c>
      <c r="I244" s="247" t="s">
        <v>168</v>
      </c>
      <c r="J244" s="129"/>
      <c r="N244" s="255"/>
      <c r="O244" s="255"/>
      <c r="P244" s="255"/>
    </row>
    <row r="245" spans="1:16" s="43" customFormat="1" ht="18" customHeight="1">
      <c r="A245" s="1"/>
      <c r="B245" s="124" t="str">
        <f t="shared" si="37"/>
        <v>6单银Low-E+12A+6</v>
      </c>
      <c r="C245" s="253">
        <f t="shared" si="34"/>
        <v>-12</v>
      </c>
      <c r="D245" s="253">
        <f t="shared" si="34"/>
        <v>-12</v>
      </c>
      <c r="E245" s="32">
        <f t="shared" si="27"/>
        <v>1.44E-4</v>
      </c>
      <c r="F245" s="82">
        <f t="shared" si="35"/>
        <v>0</v>
      </c>
      <c r="G245" s="130">
        <f t="shared" si="38"/>
        <v>148</v>
      </c>
      <c r="H245" s="250">
        <f t="shared" si="36"/>
        <v>0</v>
      </c>
      <c r="I245" s="247" t="s">
        <v>168</v>
      </c>
      <c r="J245" s="129"/>
      <c r="N245" s="255"/>
      <c r="O245" s="255"/>
      <c r="P245" s="255"/>
    </row>
    <row r="246" spans="1:16" s="43" customFormat="1" ht="18" customHeight="1">
      <c r="A246" s="1"/>
      <c r="B246" s="124" t="str">
        <f t="shared" si="37"/>
        <v>6单银Low-E+12A+6</v>
      </c>
      <c r="C246" s="253">
        <f t="shared" si="34"/>
        <v>-12</v>
      </c>
      <c r="D246" s="253">
        <f t="shared" si="34"/>
        <v>-12</v>
      </c>
      <c r="E246" s="32">
        <f t="shared" si="27"/>
        <v>1.44E-4</v>
      </c>
      <c r="F246" s="82">
        <f t="shared" si="35"/>
        <v>0</v>
      </c>
      <c r="G246" s="130">
        <f t="shared" si="38"/>
        <v>148</v>
      </c>
      <c r="H246" s="250">
        <f t="shared" si="36"/>
        <v>0</v>
      </c>
      <c r="I246" s="247" t="s">
        <v>168</v>
      </c>
      <c r="J246" s="129"/>
      <c r="N246" s="255"/>
      <c r="O246" s="255"/>
      <c r="P246" s="255"/>
    </row>
    <row r="247" spans="1:16" s="43" customFormat="1" ht="18" customHeight="1">
      <c r="A247" s="1"/>
      <c r="B247" s="124" t="str">
        <f t="shared" si="37"/>
        <v>6单银Low-E+12A+6</v>
      </c>
      <c r="C247" s="253">
        <f t="shared" si="34"/>
        <v>-12</v>
      </c>
      <c r="D247" s="253">
        <f t="shared" si="34"/>
        <v>-12</v>
      </c>
      <c r="E247" s="32">
        <f t="shared" si="27"/>
        <v>1.44E-4</v>
      </c>
      <c r="F247" s="82">
        <f t="shared" si="35"/>
        <v>0</v>
      </c>
      <c r="G247" s="130">
        <f t="shared" si="38"/>
        <v>148</v>
      </c>
      <c r="H247" s="250">
        <f t="shared" si="36"/>
        <v>0</v>
      </c>
      <c r="I247" s="247" t="s">
        <v>168</v>
      </c>
      <c r="J247" s="129"/>
      <c r="N247" s="255"/>
      <c r="O247" s="255"/>
      <c r="P247" s="255"/>
    </row>
    <row r="248" spans="1:16" s="43" customFormat="1" ht="18" customHeight="1">
      <c r="A248" s="1"/>
      <c r="B248" s="124" t="str">
        <f t="shared" si="37"/>
        <v>6单银Low-E+12A+6</v>
      </c>
      <c r="C248" s="253">
        <f t="shared" si="34"/>
        <v>-12</v>
      </c>
      <c r="D248" s="253">
        <f t="shared" si="34"/>
        <v>-12</v>
      </c>
      <c r="E248" s="32">
        <f t="shared" si="27"/>
        <v>1.44E-4</v>
      </c>
      <c r="F248" s="82">
        <f t="shared" si="35"/>
        <v>0</v>
      </c>
      <c r="G248" s="130">
        <f t="shared" si="38"/>
        <v>148</v>
      </c>
      <c r="H248" s="250">
        <f t="shared" si="36"/>
        <v>0</v>
      </c>
      <c r="I248" s="247" t="s">
        <v>168</v>
      </c>
      <c r="J248" s="129"/>
      <c r="N248" s="255"/>
      <c r="O248" s="255"/>
      <c r="P248" s="255"/>
    </row>
    <row r="249" spans="1:16" s="43" customFormat="1" ht="18" customHeight="1">
      <c r="A249" s="1"/>
      <c r="B249" s="124" t="str">
        <f t="shared" si="37"/>
        <v>6单银Low-E+12A+6</v>
      </c>
      <c r="C249" s="253">
        <f t="shared" si="34"/>
        <v>-12</v>
      </c>
      <c r="D249" s="253">
        <f t="shared" si="34"/>
        <v>-12</v>
      </c>
      <c r="E249" s="32">
        <f t="shared" si="27"/>
        <v>1.44E-4</v>
      </c>
      <c r="F249" s="82">
        <f t="shared" si="35"/>
        <v>0</v>
      </c>
      <c r="G249" s="130">
        <f t="shared" si="38"/>
        <v>148</v>
      </c>
      <c r="H249" s="250">
        <f t="shared" si="36"/>
        <v>0</v>
      </c>
      <c r="I249" s="247" t="s">
        <v>168</v>
      </c>
      <c r="J249" s="129"/>
      <c r="N249" s="255"/>
      <c r="O249" s="255"/>
      <c r="P249" s="255"/>
    </row>
    <row r="250" spans="1:16" s="43" customFormat="1" ht="18" customHeight="1">
      <c r="A250" s="1"/>
      <c r="B250" s="131" t="str">
        <f>B246</f>
        <v>6单银Low-E+12A+6</v>
      </c>
      <c r="C250" s="52"/>
      <c r="D250" s="50"/>
      <c r="E250" s="128"/>
      <c r="F250" s="50">
        <f>SUM(F243:F249)</f>
        <v>0</v>
      </c>
      <c r="G250" s="50"/>
      <c r="H250" s="52">
        <f>SUM(H243:H249)</f>
        <v>0</v>
      </c>
      <c r="I250" s="53">
        <f>ROUND((E243*F243+E244*F244+E245*F245+E246*F246+E247*F247+E248*F248+E249*F249),2)</f>
        <v>0</v>
      </c>
      <c r="J250" s="43">
        <f>(I242+I258+I273+I280)</f>
        <v>0</v>
      </c>
      <c r="N250" s="255"/>
      <c r="O250" s="255"/>
      <c r="P250" s="255"/>
    </row>
    <row r="251" spans="1:16" s="43" customFormat="1" ht="18" customHeight="1">
      <c r="A251" s="1"/>
      <c r="B251" s="124" t="str">
        <f>B249</f>
        <v>6单银Low-E+12A+6</v>
      </c>
      <c r="C251" s="253">
        <f t="shared" ref="C251:D257" si="39">D75-12</f>
        <v>-12</v>
      </c>
      <c r="D251" s="253">
        <f t="shared" si="39"/>
        <v>-12</v>
      </c>
      <c r="E251" s="32">
        <f t="shared" si="27"/>
        <v>1.44E-4</v>
      </c>
      <c r="F251" s="82">
        <f t="shared" ref="F251:F257" si="40">G75</f>
        <v>0</v>
      </c>
      <c r="G251" s="130">
        <f>G249</f>
        <v>148</v>
      </c>
      <c r="H251" s="250">
        <f>ROUND(E251*G251*F251,2)</f>
        <v>0</v>
      </c>
      <c r="I251" s="132" t="s">
        <v>169</v>
      </c>
      <c r="N251" s="255"/>
      <c r="O251" s="255"/>
      <c r="P251" s="255"/>
    </row>
    <row r="252" spans="1:16" s="43" customFormat="1" ht="18" customHeight="1">
      <c r="A252" s="1"/>
      <c r="B252" s="124" t="str">
        <f t="shared" ref="B252:B257" si="41">B251</f>
        <v>6单银Low-E+12A+6</v>
      </c>
      <c r="C252" s="253">
        <f t="shared" si="39"/>
        <v>-12</v>
      </c>
      <c r="D252" s="253">
        <f t="shared" si="39"/>
        <v>-12</v>
      </c>
      <c r="E252" s="32">
        <f t="shared" si="27"/>
        <v>1.44E-4</v>
      </c>
      <c r="F252" s="82">
        <f t="shared" si="40"/>
        <v>0</v>
      </c>
      <c r="G252" s="130">
        <f t="shared" ref="G252:G257" si="42">G251</f>
        <v>148</v>
      </c>
      <c r="H252" s="250">
        <f t="shared" ref="H252:H264" si="43">ROUND(E252*G252*F252,2)</f>
        <v>0</v>
      </c>
      <c r="I252" s="132" t="str">
        <f t="shared" ref="I252:I257" si="44">I251</f>
        <v>固定钢化中空</v>
      </c>
      <c r="N252" s="255"/>
      <c r="O252" s="255"/>
      <c r="P252" s="255"/>
    </row>
    <row r="253" spans="1:16" s="43" customFormat="1" ht="18" customHeight="1">
      <c r="A253" s="1"/>
      <c r="B253" s="124" t="str">
        <f t="shared" si="41"/>
        <v>6单银Low-E+12A+6</v>
      </c>
      <c r="C253" s="253">
        <f t="shared" si="39"/>
        <v>-12</v>
      </c>
      <c r="D253" s="253">
        <f t="shared" si="39"/>
        <v>-12</v>
      </c>
      <c r="E253" s="32">
        <f t="shared" si="27"/>
        <v>1.44E-4</v>
      </c>
      <c r="F253" s="82">
        <f t="shared" si="40"/>
        <v>0</v>
      </c>
      <c r="G253" s="130">
        <f t="shared" si="42"/>
        <v>148</v>
      </c>
      <c r="H253" s="250">
        <f t="shared" si="43"/>
        <v>0</v>
      </c>
      <c r="I253" s="132" t="str">
        <f t="shared" si="44"/>
        <v>固定钢化中空</v>
      </c>
      <c r="N253" s="255"/>
      <c r="O253" s="255"/>
      <c r="P253" s="255"/>
    </row>
    <row r="254" spans="1:16" s="43" customFormat="1" ht="18" customHeight="1">
      <c r="A254" s="1"/>
      <c r="B254" s="124" t="str">
        <f t="shared" si="41"/>
        <v>6单银Low-E+12A+6</v>
      </c>
      <c r="C254" s="253">
        <f t="shared" si="39"/>
        <v>-12</v>
      </c>
      <c r="D254" s="253">
        <f t="shared" si="39"/>
        <v>-12</v>
      </c>
      <c r="E254" s="32">
        <f t="shared" si="27"/>
        <v>1.44E-4</v>
      </c>
      <c r="F254" s="82">
        <f t="shared" si="40"/>
        <v>0</v>
      </c>
      <c r="G254" s="130">
        <f t="shared" si="42"/>
        <v>148</v>
      </c>
      <c r="H254" s="250">
        <f t="shared" si="43"/>
        <v>0</v>
      </c>
      <c r="I254" s="132" t="str">
        <f t="shared" si="44"/>
        <v>固定钢化中空</v>
      </c>
      <c r="J254" s="42"/>
      <c r="N254" s="255"/>
      <c r="O254" s="255"/>
      <c r="P254" s="255"/>
    </row>
    <row r="255" spans="1:16" s="43" customFormat="1" ht="18" customHeight="1">
      <c r="A255" s="1"/>
      <c r="B255" s="124" t="str">
        <f t="shared" si="41"/>
        <v>6单银Low-E+12A+6</v>
      </c>
      <c r="C255" s="253">
        <f t="shared" si="39"/>
        <v>-12</v>
      </c>
      <c r="D255" s="253">
        <f t="shared" si="39"/>
        <v>-12</v>
      </c>
      <c r="E255" s="32">
        <f t="shared" si="27"/>
        <v>1.44E-4</v>
      </c>
      <c r="F255" s="82">
        <f t="shared" si="40"/>
        <v>0</v>
      </c>
      <c r="G255" s="130">
        <f t="shared" si="42"/>
        <v>148</v>
      </c>
      <c r="H255" s="250">
        <f t="shared" si="43"/>
        <v>0</v>
      </c>
      <c r="I255" s="132" t="str">
        <f t="shared" si="44"/>
        <v>固定钢化中空</v>
      </c>
      <c r="N255" s="255"/>
      <c r="O255" s="255"/>
      <c r="P255" s="255"/>
    </row>
    <row r="256" spans="1:16" s="43" customFormat="1" ht="18" customHeight="1">
      <c r="A256" s="1"/>
      <c r="B256" s="124" t="str">
        <f t="shared" si="41"/>
        <v>6单银Low-E+12A+6</v>
      </c>
      <c r="C256" s="253">
        <f t="shared" si="39"/>
        <v>-12</v>
      </c>
      <c r="D256" s="253">
        <f t="shared" si="39"/>
        <v>-12</v>
      </c>
      <c r="E256" s="32">
        <f t="shared" si="27"/>
        <v>1.44E-4</v>
      </c>
      <c r="F256" s="82">
        <f t="shared" si="40"/>
        <v>0</v>
      </c>
      <c r="G256" s="130">
        <f t="shared" si="42"/>
        <v>148</v>
      </c>
      <c r="H256" s="250">
        <f t="shared" si="43"/>
        <v>0</v>
      </c>
      <c r="I256" s="132" t="str">
        <f t="shared" si="44"/>
        <v>固定钢化中空</v>
      </c>
      <c r="N256" s="255"/>
      <c r="O256" s="255"/>
      <c r="P256" s="255"/>
    </row>
    <row r="257" spans="1:16" s="43" customFormat="1" ht="18" customHeight="1">
      <c r="A257" s="1"/>
      <c r="B257" s="124" t="str">
        <f t="shared" si="41"/>
        <v>6单银Low-E+12A+6</v>
      </c>
      <c r="C257" s="253">
        <f t="shared" si="39"/>
        <v>-12</v>
      </c>
      <c r="D257" s="253">
        <f t="shared" si="39"/>
        <v>-12</v>
      </c>
      <c r="E257" s="32">
        <f t="shared" si="27"/>
        <v>1.44E-4</v>
      </c>
      <c r="F257" s="82">
        <f t="shared" si="40"/>
        <v>0</v>
      </c>
      <c r="G257" s="130">
        <f t="shared" si="42"/>
        <v>148</v>
      </c>
      <c r="H257" s="250">
        <f t="shared" si="43"/>
        <v>0</v>
      </c>
      <c r="I257" s="132" t="str">
        <f t="shared" si="44"/>
        <v>固定钢化中空</v>
      </c>
      <c r="N257" s="255"/>
      <c r="O257" s="255"/>
      <c r="P257" s="255"/>
    </row>
    <row r="258" spans="1:16" s="43" customFormat="1" ht="18" customHeight="1">
      <c r="A258" s="1"/>
      <c r="B258" s="48" t="s">
        <v>170</v>
      </c>
      <c r="C258" s="52"/>
      <c r="D258" s="50"/>
      <c r="E258" s="128"/>
      <c r="F258" s="50">
        <f>SUM(F251:F257)</f>
        <v>0</v>
      </c>
      <c r="G258" s="50"/>
      <c r="H258" s="52">
        <f>SUM(H251:H257)</f>
        <v>0</v>
      </c>
      <c r="I258" s="53">
        <f>ROUND((E251*F251+E252*F252+E253*F253+E254*F254+E255*F255+E256*F256+E257*F257),2)</f>
        <v>0</v>
      </c>
      <c r="N258" s="255"/>
      <c r="O258" s="255"/>
      <c r="P258" s="255"/>
    </row>
    <row r="259" spans="1:16" s="43" customFormat="1" ht="18" customHeight="1">
      <c r="A259" s="1"/>
      <c r="B259" s="124" t="str">
        <f>B257</f>
        <v>6单银Low-E+12A+6</v>
      </c>
      <c r="C259" s="253">
        <f t="shared" ref="C259:D264" si="45">D82-12</f>
        <v>-12</v>
      </c>
      <c r="D259" s="253">
        <f t="shared" si="45"/>
        <v>-12</v>
      </c>
      <c r="E259" s="32">
        <f t="shared" si="27"/>
        <v>1.44E-4</v>
      </c>
      <c r="F259" s="82">
        <f t="shared" ref="F259:F264" si="46">G82</f>
        <v>0</v>
      </c>
      <c r="G259" s="130">
        <f>G257</f>
        <v>148</v>
      </c>
      <c r="H259" s="250">
        <f t="shared" si="43"/>
        <v>0</v>
      </c>
      <c r="I259" s="247" t="s">
        <v>171</v>
      </c>
      <c r="N259" s="255"/>
      <c r="O259" s="255"/>
      <c r="P259" s="255"/>
    </row>
    <row r="260" spans="1:16" s="43" customFormat="1" ht="18" customHeight="1">
      <c r="A260" s="1"/>
      <c r="B260" s="124" t="str">
        <f>B259</f>
        <v>6单银Low-E+12A+6</v>
      </c>
      <c r="C260" s="253">
        <f t="shared" si="45"/>
        <v>-12</v>
      </c>
      <c r="D260" s="253">
        <f t="shared" si="45"/>
        <v>-12</v>
      </c>
      <c r="E260" s="32">
        <f t="shared" si="27"/>
        <v>1.44E-4</v>
      </c>
      <c r="F260" s="82">
        <f t="shared" si="46"/>
        <v>0</v>
      </c>
      <c r="G260" s="130">
        <f>G259</f>
        <v>148</v>
      </c>
      <c r="H260" s="250">
        <f t="shared" si="43"/>
        <v>0</v>
      </c>
      <c r="I260" s="247" t="s">
        <v>171</v>
      </c>
      <c r="N260" s="255"/>
      <c r="O260" s="255"/>
      <c r="P260" s="255"/>
    </row>
    <row r="261" spans="1:16" s="43" customFormat="1" ht="18" customHeight="1">
      <c r="A261" s="1"/>
      <c r="B261" s="124" t="str">
        <f>B260</f>
        <v>6单银Low-E+12A+6</v>
      </c>
      <c r="C261" s="253">
        <f t="shared" si="45"/>
        <v>-12</v>
      </c>
      <c r="D261" s="253">
        <f t="shared" si="45"/>
        <v>-12</v>
      </c>
      <c r="E261" s="32">
        <f t="shared" si="27"/>
        <v>1.44E-4</v>
      </c>
      <c r="F261" s="82">
        <f t="shared" si="46"/>
        <v>0</v>
      </c>
      <c r="G261" s="130">
        <f>G260</f>
        <v>148</v>
      </c>
      <c r="H261" s="250">
        <f t="shared" si="43"/>
        <v>0</v>
      </c>
      <c r="I261" s="247" t="s">
        <v>171</v>
      </c>
      <c r="N261" s="255"/>
      <c r="O261" s="255"/>
      <c r="P261" s="255"/>
    </row>
    <row r="262" spans="1:16" s="43" customFormat="1" ht="18" customHeight="1">
      <c r="A262" s="1"/>
      <c r="B262" s="124" t="str">
        <f>B261</f>
        <v>6单银Low-E+12A+6</v>
      </c>
      <c r="C262" s="253">
        <f t="shared" si="45"/>
        <v>-12</v>
      </c>
      <c r="D262" s="253">
        <f t="shared" si="45"/>
        <v>-12</v>
      </c>
      <c r="E262" s="32">
        <f t="shared" si="27"/>
        <v>1.44E-4</v>
      </c>
      <c r="F262" s="82">
        <f t="shared" si="46"/>
        <v>0</v>
      </c>
      <c r="G262" s="130">
        <f>G261</f>
        <v>148</v>
      </c>
      <c r="H262" s="250">
        <f t="shared" si="43"/>
        <v>0</v>
      </c>
      <c r="I262" s="247" t="s">
        <v>171</v>
      </c>
      <c r="N262" s="255"/>
      <c r="O262" s="255"/>
      <c r="P262" s="255"/>
    </row>
    <row r="263" spans="1:16" s="43" customFormat="1" ht="18" customHeight="1">
      <c r="A263" s="1"/>
      <c r="B263" s="124" t="str">
        <f>B262</f>
        <v>6单银Low-E+12A+6</v>
      </c>
      <c r="C263" s="253">
        <f t="shared" si="45"/>
        <v>-12</v>
      </c>
      <c r="D263" s="253">
        <f t="shared" si="45"/>
        <v>-12</v>
      </c>
      <c r="E263" s="32">
        <f t="shared" si="27"/>
        <v>1.44E-4</v>
      </c>
      <c r="F263" s="82">
        <f t="shared" si="46"/>
        <v>0</v>
      </c>
      <c r="G263" s="130">
        <f>G262</f>
        <v>148</v>
      </c>
      <c r="H263" s="250">
        <f t="shared" si="43"/>
        <v>0</v>
      </c>
      <c r="I263" s="247" t="s">
        <v>171</v>
      </c>
      <c r="N263" s="255"/>
      <c r="O263" s="255"/>
      <c r="P263" s="255"/>
    </row>
    <row r="264" spans="1:16" s="43" customFormat="1" ht="18" customHeight="1">
      <c r="A264" s="1"/>
      <c r="B264" s="124" t="str">
        <f>B263</f>
        <v>6单银Low-E+12A+6</v>
      </c>
      <c r="C264" s="253">
        <f t="shared" si="45"/>
        <v>-12</v>
      </c>
      <c r="D264" s="253">
        <f t="shared" si="45"/>
        <v>-12</v>
      </c>
      <c r="E264" s="32">
        <f t="shared" si="27"/>
        <v>1.44E-4</v>
      </c>
      <c r="F264" s="82">
        <f t="shared" si="46"/>
        <v>0</v>
      </c>
      <c r="G264" s="130">
        <f>G263</f>
        <v>148</v>
      </c>
      <c r="H264" s="250">
        <f t="shared" si="43"/>
        <v>0</v>
      </c>
      <c r="I264" s="247" t="s">
        <v>171</v>
      </c>
      <c r="N264" s="255"/>
      <c r="O264" s="255"/>
      <c r="P264" s="255"/>
    </row>
    <row r="265" spans="1:16" s="43" customFormat="1" ht="18" customHeight="1">
      <c r="A265" s="1"/>
      <c r="B265" s="48" t="s">
        <v>172</v>
      </c>
      <c r="C265" s="52"/>
      <c r="D265" s="50"/>
      <c r="E265" s="128"/>
      <c r="F265" s="50">
        <f>SUM(F259:F264)</f>
        <v>0</v>
      </c>
      <c r="G265" s="50"/>
      <c r="H265" s="52">
        <f>SUM(H259:H264)</f>
        <v>0</v>
      </c>
      <c r="I265" s="53">
        <f>ROUND(SUMPRODUCT(E259:E264*F259:F264),2)</f>
        <v>0</v>
      </c>
      <c r="N265" s="255"/>
      <c r="O265" s="255"/>
      <c r="P265" s="255"/>
    </row>
    <row r="266" spans="1:16" s="43" customFormat="1" ht="18" customHeight="1">
      <c r="A266" s="1"/>
      <c r="B266" s="124" t="str">
        <f>B264</f>
        <v>6单银Low-E+12A+6</v>
      </c>
      <c r="C266" s="133">
        <f t="shared" ref="C266:D268" si="47">D143</f>
        <v>415</v>
      </c>
      <c r="D266" s="133">
        <f t="shared" si="47"/>
        <v>2138</v>
      </c>
      <c r="E266" s="32">
        <f t="shared" si="27"/>
        <v>0.88727</v>
      </c>
      <c r="F266" s="134">
        <f>G143</f>
        <v>2</v>
      </c>
      <c r="G266" s="135">
        <f>G264</f>
        <v>148</v>
      </c>
      <c r="H266" s="134">
        <f>ROUND(E266*G266*F266,2)</f>
        <v>262.63</v>
      </c>
      <c r="I266" s="136" t="s">
        <v>173</v>
      </c>
      <c r="N266" s="255"/>
      <c r="O266" s="255"/>
      <c r="P266" s="255"/>
    </row>
    <row r="267" spans="1:16" s="43" customFormat="1" ht="18" customHeight="1">
      <c r="A267" s="1"/>
      <c r="B267" s="124" t="str">
        <f>B264</f>
        <v>6单银Low-E+12A+6</v>
      </c>
      <c r="C267" s="133">
        <f t="shared" si="47"/>
        <v>-154</v>
      </c>
      <c r="D267" s="133">
        <f t="shared" si="47"/>
        <v>-154</v>
      </c>
      <c r="E267" s="32">
        <f t="shared" si="27"/>
        <v>2.3716000000000001E-2</v>
      </c>
      <c r="F267" s="134">
        <f>G144</f>
        <v>0</v>
      </c>
      <c r="G267" s="135">
        <f>G266</f>
        <v>148</v>
      </c>
      <c r="H267" s="134">
        <f>ROUND(E267*G267*F267,2)</f>
        <v>0</v>
      </c>
      <c r="I267" s="136" t="s">
        <v>173</v>
      </c>
      <c r="N267" s="255"/>
      <c r="O267" s="255"/>
      <c r="P267" s="255"/>
    </row>
    <row r="268" spans="1:16" s="43" customFormat="1" ht="18" customHeight="1">
      <c r="A268" s="1"/>
      <c r="B268" s="124" t="str">
        <f>B267</f>
        <v>6单银Low-E+12A+6</v>
      </c>
      <c r="C268" s="133">
        <f t="shared" si="47"/>
        <v>-154</v>
      </c>
      <c r="D268" s="133">
        <f t="shared" si="47"/>
        <v>-154</v>
      </c>
      <c r="E268" s="32">
        <f t="shared" si="27"/>
        <v>2.3716000000000001E-2</v>
      </c>
      <c r="F268" s="134">
        <f>G145</f>
        <v>0</v>
      </c>
      <c r="G268" s="135">
        <f>G267</f>
        <v>148</v>
      </c>
      <c r="H268" s="134">
        <f>ROUND(E268*G268*F268,2)</f>
        <v>0</v>
      </c>
      <c r="I268" s="136" t="s">
        <v>173</v>
      </c>
      <c r="N268" s="255"/>
      <c r="O268" s="255"/>
      <c r="P268" s="255"/>
    </row>
    <row r="269" spans="1:16" s="43" customFormat="1" ht="18" customHeight="1">
      <c r="A269" s="1"/>
      <c r="B269" s="48" t="s">
        <v>174</v>
      </c>
      <c r="C269" s="52"/>
      <c r="D269" s="50"/>
      <c r="E269" s="128"/>
      <c r="F269" s="50">
        <f>SUM(F266:F268)</f>
        <v>2</v>
      </c>
      <c r="G269" s="50"/>
      <c r="H269" s="52">
        <f>SUM(H266:H268)</f>
        <v>262.63</v>
      </c>
      <c r="I269" s="53">
        <f>ROUND((E266*F266+E267*F267+E268*F268),2)</f>
        <v>1.77</v>
      </c>
      <c r="N269" s="255"/>
      <c r="O269" s="255"/>
      <c r="P269" s="255"/>
    </row>
    <row r="270" spans="1:16" s="43" customFormat="1" ht="18" customHeight="1">
      <c r="A270" s="1"/>
      <c r="B270" s="124" t="str">
        <f>B268</f>
        <v>6单银Low-E+12A+6</v>
      </c>
      <c r="C270" s="133">
        <f t="shared" ref="C270:D272" si="48">D150</f>
        <v>-160</v>
      </c>
      <c r="D270" s="133">
        <f t="shared" si="48"/>
        <v>-160</v>
      </c>
      <c r="E270" s="32">
        <f t="shared" si="27"/>
        <v>2.5600000000000001E-2</v>
      </c>
      <c r="F270" s="134">
        <f>G150</f>
        <v>0</v>
      </c>
      <c r="G270" s="135">
        <f>G268</f>
        <v>148</v>
      </c>
      <c r="H270" s="134">
        <f>ROUND(E270*G270*F270,2)</f>
        <v>0</v>
      </c>
      <c r="I270" s="136" t="s">
        <v>173</v>
      </c>
      <c r="N270" s="255"/>
      <c r="O270" s="255"/>
      <c r="P270" s="255"/>
    </row>
    <row r="271" spans="1:16" s="43" customFormat="1" ht="18" customHeight="1">
      <c r="A271" s="1"/>
      <c r="B271" s="124" t="str">
        <f>B270</f>
        <v>6单银Low-E+12A+6</v>
      </c>
      <c r="C271" s="133">
        <f t="shared" si="48"/>
        <v>-160</v>
      </c>
      <c r="D271" s="133">
        <f t="shared" si="48"/>
        <v>-160</v>
      </c>
      <c r="E271" s="32">
        <f t="shared" si="27"/>
        <v>2.5600000000000001E-2</v>
      </c>
      <c r="F271" s="134">
        <f>G151</f>
        <v>0</v>
      </c>
      <c r="G271" s="135">
        <f>G270</f>
        <v>148</v>
      </c>
      <c r="H271" s="134">
        <f>ROUND(E271*G271*F271,2)</f>
        <v>0</v>
      </c>
      <c r="I271" s="136" t="s">
        <v>173</v>
      </c>
      <c r="N271" s="255"/>
      <c r="O271" s="255"/>
      <c r="P271" s="255"/>
    </row>
    <row r="272" spans="1:16" s="43" customFormat="1" ht="18" customHeight="1">
      <c r="A272" s="1"/>
      <c r="B272" s="124" t="str">
        <f>B271</f>
        <v>6单银Low-E+12A+6</v>
      </c>
      <c r="C272" s="133">
        <f t="shared" si="48"/>
        <v>-160</v>
      </c>
      <c r="D272" s="133">
        <f t="shared" si="48"/>
        <v>-160</v>
      </c>
      <c r="E272" s="32">
        <f t="shared" si="27"/>
        <v>2.5600000000000001E-2</v>
      </c>
      <c r="F272" s="134">
        <f>G152</f>
        <v>0</v>
      </c>
      <c r="G272" s="135">
        <f>G271</f>
        <v>148</v>
      </c>
      <c r="H272" s="134">
        <f>ROUND(E272*G272*F272,2)</f>
        <v>0</v>
      </c>
      <c r="I272" s="136" t="s">
        <v>173</v>
      </c>
      <c r="N272" s="255"/>
      <c r="O272" s="255"/>
      <c r="P272" s="255"/>
    </row>
    <row r="273" spans="1:16" s="43" customFormat="1" ht="18" customHeight="1">
      <c r="A273" s="1"/>
      <c r="B273" s="48" t="s">
        <v>175</v>
      </c>
      <c r="C273" s="52"/>
      <c r="D273" s="50"/>
      <c r="E273" s="128"/>
      <c r="F273" s="50">
        <f>SUM(F270:F272)</f>
        <v>0</v>
      </c>
      <c r="G273" s="50"/>
      <c r="H273" s="52">
        <f>SUM(H270:H272)</f>
        <v>0</v>
      </c>
      <c r="I273" s="53">
        <f>ROUND((E270*F270+E271*F271+E272*F272),2)</f>
        <v>0</v>
      </c>
      <c r="N273" s="255"/>
      <c r="O273" s="255"/>
      <c r="P273" s="255"/>
    </row>
    <row r="274" spans="1:16" ht="18" customHeight="1">
      <c r="B274" s="124" t="str">
        <f>B272</f>
        <v>6单银Low-E+12A+6</v>
      </c>
      <c r="C274" s="133">
        <f t="shared" ref="C274:D279" si="49">D157-12</f>
        <v>-12</v>
      </c>
      <c r="D274" s="133">
        <f t="shared" si="49"/>
        <v>-12</v>
      </c>
      <c r="E274" s="32">
        <f t="shared" si="27"/>
        <v>1.44E-4</v>
      </c>
      <c r="F274" s="134">
        <f t="shared" ref="F274:F279" si="50">G157</f>
        <v>0</v>
      </c>
      <c r="G274" s="135">
        <f>G272</f>
        <v>148</v>
      </c>
      <c r="H274" s="134">
        <f t="shared" ref="H274:H279" si="51">ROUND(E274*G274*F274,2)</f>
        <v>0</v>
      </c>
      <c r="I274" s="136" t="s">
        <v>176</v>
      </c>
    </row>
    <row r="275" spans="1:16" ht="18" customHeight="1">
      <c r="B275" s="124" t="str">
        <f>B274</f>
        <v>6单银Low-E+12A+6</v>
      </c>
      <c r="C275" s="133">
        <f t="shared" si="49"/>
        <v>-12</v>
      </c>
      <c r="D275" s="133">
        <f t="shared" si="49"/>
        <v>-12</v>
      </c>
      <c r="E275" s="32">
        <f t="shared" si="27"/>
        <v>1.44E-4</v>
      </c>
      <c r="F275" s="134">
        <f t="shared" si="50"/>
        <v>0</v>
      </c>
      <c r="G275" s="135">
        <f>G274</f>
        <v>148</v>
      </c>
      <c r="H275" s="134">
        <f t="shared" si="51"/>
        <v>0</v>
      </c>
      <c r="I275" s="136" t="str">
        <f>I274</f>
        <v>门钢化中空玻璃</v>
      </c>
      <c r="K275" s="43" t="s">
        <v>177</v>
      </c>
    </row>
    <row r="276" spans="1:16" ht="18" customHeight="1">
      <c r="B276" s="124" t="str">
        <f>B275</f>
        <v>6单银Low-E+12A+6</v>
      </c>
      <c r="C276" s="133">
        <f t="shared" si="49"/>
        <v>-12</v>
      </c>
      <c r="D276" s="133">
        <f t="shared" si="49"/>
        <v>-12</v>
      </c>
      <c r="E276" s="32">
        <f t="shared" si="27"/>
        <v>1.44E-4</v>
      </c>
      <c r="F276" s="134">
        <f t="shared" si="50"/>
        <v>0</v>
      </c>
      <c r="G276" s="135">
        <f>G275</f>
        <v>148</v>
      </c>
      <c r="H276" s="134">
        <f t="shared" si="51"/>
        <v>0</v>
      </c>
      <c r="I276" s="136" t="str">
        <f>I275</f>
        <v>门钢化中空玻璃</v>
      </c>
    </row>
    <row r="277" spans="1:16" ht="18" customHeight="1">
      <c r="B277" s="124" t="str">
        <f>B276</f>
        <v>6单银Low-E+12A+6</v>
      </c>
      <c r="C277" s="133">
        <f t="shared" si="49"/>
        <v>-12</v>
      </c>
      <c r="D277" s="133">
        <f t="shared" si="49"/>
        <v>-12</v>
      </c>
      <c r="E277" s="32">
        <f t="shared" si="27"/>
        <v>1.44E-4</v>
      </c>
      <c r="F277" s="134">
        <f t="shared" si="50"/>
        <v>0</v>
      </c>
      <c r="G277" s="135">
        <f>G276</f>
        <v>148</v>
      </c>
      <c r="H277" s="134">
        <f t="shared" si="51"/>
        <v>0</v>
      </c>
      <c r="I277" s="136" t="str">
        <f>I276</f>
        <v>门钢化中空玻璃</v>
      </c>
    </row>
    <row r="278" spans="1:16" ht="18" customHeight="1">
      <c r="B278" s="124" t="str">
        <f>B277</f>
        <v>6单银Low-E+12A+6</v>
      </c>
      <c r="C278" s="133">
        <f t="shared" si="49"/>
        <v>-12</v>
      </c>
      <c r="D278" s="133">
        <f t="shared" si="49"/>
        <v>-12</v>
      </c>
      <c r="E278" s="32">
        <f t="shared" si="27"/>
        <v>1.44E-4</v>
      </c>
      <c r="F278" s="134">
        <f t="shared" si="50"/>
        <v>0</v>
      </c>
      <c r="G278" s="135">
        <f>G277</f>
        <v>148</v>
      </c>
      <c r="H278" s="134">
        <f t="shared" si="51"/>
        <v>0</v>
      </c>
      <c r="I278" s="136" t="str">
        <f>I277</f>
        <v>门钢化中空玻璃</v>
      </c>
    </row>
    <row r="279" spans="1:16" ht="18" customHeight="1">
      <c r="B279" s="124" t="str">
        <f>B278</f>
        <v>6单银Low-E+12A+6</v>
      </c>
      <c r="C279" s="133">
        <f t="shared" si="49"/>
        <v>-12</v>
      </c>
      <c r="D279" s="133">
        <f t="shared" si="49"/>
        <v>-12</v>
      </c>
      <c r="E279" s="32">
        <f t="shared" si="27"/>
        <v>1.44E-4</v>
      </c>
      <c r="F279" s="134">
        <f t="shared" si="50"/>
        <v>0</v>
      </c>
      <c r="G279" s="135">
        <f>G278</f>
        <v>148</v>
      </c>
      <c r="H279" s="134">
        <f t="shared" si="51"/>
        <v>0</v>
      </c>
      <c r="I279" s="136" t="str">
        <f>I278</f>
        <v>门钢化中空玻璃</v>
      </c>
    </row>
    <row r="280" spans="1:16" ht="18" customHeight="1">
      <c r="B280" s="48" t="s">
        <v>178</v>
      </c>
      <c r="C280" s="52"/>
      <c r="D280" s="50"/>
      <c r="E280" s="128"/>
      <c r="F280" s="50">
        <f>SUM(F274:F279)</f>
        <v>0</v>
      </c>
      <c r="G280" s="50"/>
      <c r="H280" s="52">
        <f>SUM(H274:H279)</f>
        <v>0</v>
      </c>
      <c r="I280" s="53">
        <f>ROUND(SUMPRODUCT(E274:E279*F274:F279),2)</f>
        <v>0</v>
      </c>
    </row>
    <row r="281" spans="1:16" ht="18" customHeight="1">
      <c r="B281" s="124" t="str">
        <f>材料价格!A10</f>
        <v>6单银Low-E+12A+6</v>
      </c>
      <c r="C281" s="133">
        <f>C252</f>
        <v>-12</v>
      </c>
      <c r="D281" s="133">
        <f>D252</f>
        <v>-12</v>
      </c>
      <c r="E281" s="32">
        <f t="shared" si="27"/>
        <v>1.44E-4</v>
      </c>
      <c r="F281" s="134"/>
      <c r="G281" s="137">
        <f>材料价格!B10</f>
        <v>148</v>
      </c>
      <c r="H281" s="134">
        <f>ROUND(E281*G281*F281,2)</f>
        <v>0</v>
      </c>
      <c r="I281" s="247" t="s">
        <v>179</v>
      </c>
    </row>
    <row r="282" spans="1:16" ht="18" customHeight="1">
      <c r="B282" s="124" t="str">
        <f>B281</f>
        <v>6单银Low-E+12A+6</v>
      </c>
      <c r="C282" s="133">
        <f>C253</f>
        <v>-12</v>
      </c>
      <c r="D282" s="133">
        <f>D253</f>
        <v>-12</v>
      </c>
      <c r="E282" s="32">
        <f t="shared" si="27"/>
        <v>1.44E-4</v>
      </c>
      <c r="F282" s="134"/>
      <c r="G282" s="135">
        <f>G281</f>
        <v>148</v>
      </c>
      <c r="H282" s="134">
        <f>ROUND(E282*G282*F282,2)</f>
        <v>0</v>
      </c>
      <c r="I282" s="247" t="s">
        <v>179</v>
      </c>
      <c r="J282" s="255"/>
      <c r="K282" s="255"/>
      <c r="L282" s="255"/>
      <c r="M282" s="255"/>
    </row>
    <row r="283" spans="1:16" ht="18" customHeight="1">
      <c r="B283" s="124" t="str">
        <f>B282</f>
        <v>6单银Low-E+12A+6</v>
      </c>
      <c r="C283" s="133">
        <f>D84-12</f>
        <v>-12</v>
      </c>
      <c r="D283" s="133">
        <f>E84-12</f>
        <v>-12</v>
      </c>
      <c r="E283" s="32">
        <f t="shared" si="27"/>
        <v>1.44E-4</v>
      </c>
      <c r="F283" s="134">
        <f>G84</f>
        <v>0</v>
      </c>
      <c r="G283" s="135">
        <f>G282</f>
        <v>148</v>
      </c>
      <c r="H283" s="134">
        <f>ROUND(E283*G283*F283,2)</f>
        <v>0</v>
      </c>
      <c r="I283" s="247" t="s">
        <v>179</v>
      </c>
      <c r="J283" s="255"/>
      <c r="K283" s="255"/>
      <c r="L283" s="255"/>
      <c r="M283" s="255"/>
    </row>
    <row r="284" spans="1:16" ht="18" customHeight="1">
      <c r="B284" s="124" t="str">
        <f>B283</f>
        <v>6单银Low-E+12A+6</v>
      </c>
      <c r="C284" s="133">
        <f>D85-12</f>
        <v>-12</v>
      </c>
      <c r="D284" s="133">
        <f>E85-12</f>
        <v>-12</v>
      </c>
      <c r="E284" s="32">
        <f t="shared" si="27"/>
        <v>1.44E-4</v>
      </c>
      <c r="F284" s="134">
        <f>G85</f>
        <v>0</v>
      </c>
      <c r="G284" s="135">
        <f>G283</f>
        <v>148</v>
      </c>
      <c r="H284" s="134">
        <f>ROUND(E284*G284*F284,2)</f>
        <v>0</v>
      </c>
      <c r="I284" s="247" t="s">
        <v>179</v>
      </c>
      <c r="J284" s="255"/>
      <c r="K284" s="255"/>
      <c r="L284" s="255"/>
      <c r="M284" s="255"/>
    </row>
    <row r="285" spans="1:16" ht="18" customHeight="1">
      <c r="B285" s="48" t="s">
        <v>180</v>
      </c>
      <c r="C285" s="52"/>
      <c r="D285" s="50"/>
      <c r="E285" s="50"/>
      <c r="F285" s="50">
        <f>SUM(F281:F284)</f>
        <v>0</v>
      </c>
      <c r="G285" s="50"/>
      <c r="H285" s="52">
        <f>SUM(H281:H284)</f>
        <v>0</v>
      </c>
      <c r="I285" s="53">
        <f>ROUND((E281*F281+E282*F282+E283*F283+E284*F284),2)</f>
        <v>0</v>
      </c>
      <c r="J285" s="255"/>
      <c r="K285" s="255"/>
      <c r="L285" s="255"/>
      <c r="M285" s="255"/>
    </row>
    <row r="286" spans="1:16" ht="18" customHeight="1">
      <c r="B286" s="124" t="str">
        <f>材料价格!A11</f>
        <v>8单银Low-E+12Ar+8+12A+8mm</v>
      </c>
      <c r="C286" s="133"/>
      <c r="D286" s="133"/>
      <c r="E286" s="32">
        <f>C286*D286/10^6</f>
        <v>0</v>
      </c>
      <c r="F286" s="134"/>
      <c r="G286" s="137">
        <f>材料价格!B11</f>
        <v>312</v>
      </c>
      <c r="H286" s="134">
        <f>ROUND(E286*G286*F286,2)</f>
        <v>0</v>
      </c>
      <c r="I286" s="247" t="s">
        <v>181</v>
      </c>
      <c r="J286" s="255"/>
      <c r="K286" s="255"/>
      <c r="L286" s="255"/>
      <c r="M286" s="255"/>
    </row>
    <row r="287" spans="1:16" ht="18" customHeight="1">
      <c r="B287" s="124" t="str">
        <f>B286</f>
        <v>8单银Low-E+12Ar+8+12A+8mm</v>
      </c>
      <c r="C287" s="133"/>
      <c r="D287" s="133"/>
      <c r="E287" s="32">
        <f>C287*D287/10^6</f>
        <v>0</v>
      </c>
      <c r="F287" s="134"/>
      <c r="G287" s="135">
        <f>G286</f>
        <v>312</v>
      </c>
      <c r="H287" s="134">
        <f>ROUND(E287*G287*F287,2)</f>
        <v>0</v>
      </c>
      <c r="I287" s="247" t="s">
        <v>181</v>
      </c>
      <c r="J287" s="255"/>
      <c r="K287" s="255"/>
      <c r="L287" s="255"/>
      <c r="M287" s="255"/>
    </row>
    <row r="288" spans="1:16" ht="18" customHeight="1">
      <c r="B288" s="138" t="str">
        <f>材料价格!A12</f>
        <v>10单银Low-E+12Ar+10+12A+10mm</v>
      </c>
      <c r="C288" s="139"/>
      <c r="D288" s="139"/>
      <c r="E288" s="140">
        <f>C288*D288/10^6</f>
        <v>0</v>
      </c>
      <c r="F288" s="141"/>
      <c r="G288" s="142">
        <f>材料价格!B12</f>
        <v>395</v>
      </c>
      <c r="H288" s="141">
        <f>ROUND(E288*G288*F288,2)</f>
        <v>0</v>
      </c>
      <c r="I288" s="143" t="s">
        <v>181</v>
      </c>
      <c r="J288" s="255"/>
      <c r="K288" s="255"/>
      <c r="L288" s="255"/>
      <c r="M288" s="255"/>
    </row>
    <row r="289" spans="2:13" ht="18" customHeight="1">
      <c r="B289" s="138" t="str">
        <f>B288</f>
        <v>10单银Low-E+12Ar+10+12A+10mm</v>
      </c>
      <c r="C289" s="139"/>
      <c r="D289" s="139"/>
      <c r="E289" s="140">
        <f>C289*D289/10^6</f>
        <v>0</v>
      </c>
      <c r="F289" s="141"/>
      <c r="G289" s="142">
        <f>G288</f>
        <v>395</v>
      </c>
      <c r="H289" s="141">
        <f>ROUND(E289*G289*F289,2)</f>
        <v>0</v>
      </c>
      <c r="I289" s="143" t="s">
        <v>181</v>
      </c>
      <c r="J289" s="255"/>
      <c r="K289" s="255"/>
      <c r="L289" s="255"/>
      <c r="M289" s="255"/>
    </row>
    <row r="290" spans="2:13" ht="18" customHeight="1">
      <c r="B290" s="48" t="s">
        <v>180</v>
      </c>
      <c r="C290" s="52"/>
      <c r="D290" s="50"/>
      <c r="E290" s="50"/>
      <c r="F290" s="50">
        <f>SUM(F286:F289)</f>
        <v>0</v>
      </c>
      <c r="G290" s="50"/>
      <c r="H290" s="52">
        <f>SUM(H286:H289)</f>
        <v>0</v>
      </c>
      <c r="I290" s="53">
        <f>ROUND((E286*F286+E287*F287+E288*F288+E289*F289),2)</f>
        <v>0</v>
      </c>
      <c r="J290" s="255"/>
      <c r="K290" s="255"/>
      <c r="L290" s="255"/>
      <c r="M290" s="255"/>
    </row>
    <row r="291" spans="2:13" ht="18" customHeight="1">
      <c r="B291" s="642" t="s">
        <v>182</v>
      </c>
      <c r="C291" s="144" t="s">
        <v>183</v>
      </c>
      <c r="D291" s="144" cm="1">
        <f t="array" ref="D291">SUMPRODUCT(E225:E232*F225:F232)+SUMPRODUCT(E243:E249*F243:F249)</f>
        <v>0</v>
      </c>
      <c r="E291" s="144" t="s">
        <v>184</v>
      </c>
      <c r="F291" s="145">
        <f>F233+F250</f>
        <v>0</v>
      </c>
      <c r="G291" s="145" t="s">
        <v>185</v>
      </c>
      <c r="H291" s="144">
        <f>H233+H250</f>
        <v>0</v>
      </c>
      <c r="I291" s="146">
        <f>H291/F366</f>
        <v>0</v>
      </c>
      <c r="J291" s="255"/>
      <c r="K291" s="255"/>
      <c r="L291" s="255"/>
      <c r="M291" s="255"/>
    </row>
    <row r="292" spans="2:13" ht="18" customHeight="1">
      <c r="B292" s="642"/>
      <c r="C292" s="144" t="s">
        <v>186</v>
      </c>
      <c r="D292" s="144">
        <f>SUMPRODUCT(E234:E241*F234:F241)+SUMPRODUCT(E251:E257*F251:F257)+SUMPRODUCT(E259:E264*F259:F264)+SUMPRODUCT(E266:E268*F266:F268)+SUMPRODUCT(E270:E272*F270:F272)+SUMPRODUCT(E281:E284*F281:F284)+SUMPRODUCT(E286:E289*F286:F289)+SUMPRODUCT(E274:E279*F274:F279)</f>
        <v>1.77454</v>
      </c>
      <c r="E292" s="144" t="s">
        <v>186</v>
      </c>
      <c r="F292" s="145">
        <f>F242+F258+F265+F269+F273+F285+F290+F280</f>
        <v>2</v>
      </c>
      <c r="G292" s="145" t="s">
        <v>185</v>
      </c>
      <c r="H292" s="144">
        <f>H242+H258+H265+H269+H273+H280+H285+H290</f>
        <v>262.63</v>
      </c>
      <c r="I292" s="146">
        <f>H292/F366</f>
        <v>89.714422354307573</v>
      </c>
      <c r="J292" s="255"/>
      <c r="K292" s="255"/>
      <c r="L292" s="255"/>
      <c r="M292" s="255"/>
    </row>
    <row r="293" spans="2:13" ht="18" customHeight="1">
      <c r="B293" s="23" t="s">
        <v>187</v>
      </c>
      <c r="C293" s="252" t="s">
        <v>188</v>
      </c>
      <c r="D293" s="68" t="s">
        <v>189</v>
      </c>
      <c r="E293" s="252" t="s">
        <v>8</v>
      </c>
      <c r="F293" s="252" t="s">
        <v>190</v>
      </c>
      <c r="G293" s="252" t="s">
        <v>191</v>
      </c>
      <c r="H293" s="252" t="s">
        <v>160</v>
      </c>
      <c r="I293" s="25" t="s">
        <v>1</v>
      </c>
      <c r="J293" s="255"/>
      <c r="K293" s="255"/>
      <c r="L293" s="255"/>
      <c r="M293" s="255"/>
    </row>
    <row r="294" spans="2:13" ht="18" customHeight="1">
      <c r="B294" s="629" t="s">
        <v>192</v>
      </c>
      <c r="C294" s="253">
        <f>D26</f>
        <v>0</v>
      </c>
      <c r="D294" s="250"/>
      <c r="E294" s="250"/>
      <c r="F294" s="250" t="s">
        <v>193</v>
      </c>
      <c r="G294" s="108">
        <f>材料价格!B14</f>
        <v>153</v>
      </c>
      <c r="H294" s="147">
        <f>E294*G294</f>
        <v>0</v>
      </c>
      <c r="I294" s="632" t="s">
        <v>194</v>
      </c>
      <c r="J294" s="255"/>
      <c r="K294" s="255"/>
      <c r="L294" s="255"/>
      <c r="M294" s="255"/>
    </row>
    <row r="295" spans="2:13" ht="18" customHeight="1">
      <c r="B295" s="629"/>
      <c r="C295" s="253"/>
      <c r="D295" s="250"/>
      <c r="E295" s="250"/>
      <c r="F295" s="250"/>
      <c r="G295" s="108"/>
      <c r="H295" s="147">
        <f t="shared" ref="H295:H303" si="52">E295*G295</f>
        <v>0</v>
      </c>
      <c r="I295" s="633"/>
      <c r="J295" s="255"/>
      <c r="K295" s="255"/>
      <c r="L295" s="255"/>
      <c r="M295" s="255"/>
    </row>
    <row r="296" spans="2:13" ht="18" customHeight="1">
      <c r="B296" s="629" t="s">
        <v>195</v>
      </c>
      <c r="C296" s="253"/>
      <c r="D296" s="148"/>
      <c r="E296" s="250"/>
      <c r="F296" s="250" t="str">
        <f>F294</f>
        <v>坚朗</v>
      </c>
      <c r="G296" s="108">
        <f>材料价格!B15</f>
        <v>80</v>
      </c>
      <c r="H296" s="147">
        <f t="shared" si="52"/>
        <v>0</v>
      </c>
      <c r="I296" s="632" t="s">
        <v>196</v>
      </c>
      <c r="J296" s="255"/>
      <c r="K296" s="255"/>
      <c r="L296" s="255"/>
      <c r="M296" s="255"/>
    </row>
    <row r="297" spans="2:13" ht="18" customHeight="1">
      <c r="B297" s="629"/>
      <c r="C297" s="253"/>
      <c r="D297" s="148"/>
      <c r="E297" s="250"/>
      <c r="F297" s="250"/>
      <c r="G297" s="108"/>
      <c r="H297" s="147">
        <f t="shared" si="52"/>
        <v>0</v>
      </c>
      <c r="I297" s="633"/>
      <c r="J297" s="255"/>
      <c r="K297" s="255"/>
      <c r="L297" s="255"/>
      <c r="M297" s="255"/>
    </row>
    <row r="298" spans="2:13" ht="18" customHeight="1">
      <c r="B298" s="629" t="s">
        <v>197</v>
      </c>
      <c r="C298" s="253"/>
      <c r="D298" s="148"/>
      <c r="E298" s="250"/>
      <c r="F298" s="250" t="str">
        <f>F296</f>
        <v>坚朗</v>
      </c>
      <c r="G298" s="108">
        <f>材料价格!B16</f>
        <v>88</v>
      </c>
      <c r="H298" s="147">
        <f t="shared" si="52"/>
        <v>0</v>
      </c>
      <c r="I298" s="633"/>
      <c r="J298" s="255"/>
      <c r="K298" s="255"/>
      <c r="L298" s="255"/>
      <c r="M298" s="255"/>
    </row>
    <row r="299" spans="2:13" ht="18" customHeight="1">
      <c r="B299" s="629"/>
      <c r="C299" s="253"/>
      <c r="D299" s="148"/>
      <c r="E299" s="250"/>
      <c r="F299" s="250"/>
      <c r="G299" s="108"/>
      <c r="H299" s="147">
        <f t="shared" si="52"/>
        <v>0</v>
      </c>
      <c r="I299" s="633"/>
      <c r="J299" s="255"/>
      <c r="K299" s="255"/>
      <c r="L299" s="255"/>
      <c r="M299" s="255"/>
    </row>
    <row r="300" spans="2:13" ht="18" customHeight="1">
      <c r="B300" s="629" t="s">
        <v>198</v>
      </c>
      <c r="C300" s="253">
        <f>D35</f>
        <v>0</v>
      </c>
      <c r="D300" s="148"/>
      <c r="E300" s="250"/>
      <c r="F300" s="250" t="str">
        <f>F298</f>
        <v>坚朗</v>
      </c>
      <c r="G300" s="108">
        <f>材料价格!B17</f>
        <v>115</v>
      </c>
      <c r="H300" s="147">
        <f t="shared" si="52"/>
        <v>0</v>
      </c>
      <c r="I300" s="149"/>
      <c r="J300" s="255"/>
      <c r="K300" s="255"/>
      <c r="L300" s="255"/>
      <c r="M300" s="255"/>
    </row>
    <row r="301" spans="2:13" ht="18" customHeight="1">
      <c r="B301" s="629"/>
      <c r="C301" s="253"/>
      <c r="D301" s="148"/>
      <c r="E301" s="250"/>
      <c r="F301" s="250"/>
      <c r="G301" s="108"/>
      <c r="H301" s="147">
        <f t="shared" si="52"/>
        <v>0</v>
      </c>
      <c r="I301" s="149"/>
      <c r="J301" s="255"/>
      <c r="K301" s="255"/>
      <c r="L301" s="255"/>
      <c r="M301" s="255"/>
    </row>
    <row r="302" spans="2:13" ht="18" customHeight="1">
      <c r="B302" s="629" t="s">
        <v>199</v>
      </c>
      <c r="C302" s="250" t="s">
        <v>200</v>
      </c>
      <c r="D302" s="148"/>
      <c r="E302" s="250"/>
      <c r="F302" s="250" t="str">
        <f>F300</f>
        <v>坚朗</v>
      </c>
      <c r="G302" s="108">
        <f>材料价格!B19</f>
        <v>230</v>
      </c>
      <c r="H302" s="147">
        <f t="shared" si="52"/>
        <v>0</v>
      </c>
      <c r="I302" s="247"/>
      <c r="J302" s="255"/>
      <c r="K302" s="255"/>
      <c r="L302" s="255"/>
      <c r="M302" s="255"/>
    </row>
    <row r="303" spans="2:13" ht="18" customHeight="1">
      <c r="B303" s="629"/>
      <c r="C303" s="250" t="s">
        <v>201</v>
      </c>
      <c r="D303" s="148"/>
      <c r="E303" s="250">
        <v>1</v>
      </c>
      <c r="F303" s="250" t="str">
        <f>F302</f>
        <v>坚朗</v>
      </c>
      <c r="G303" s="108">
        <f>材料价格!B20</f>
        <v>335</v>
      </c>
      <c r="H303" s="147">
        <f t="shared" si="52"/>
        <v>335</v>
      </c>
      <c r="I303" s="247"/>
      <c r="J303" s="255"/>
      <c r="K303" s="255"/>
      <c r="L303" s="255"/>
      <c r="M303" s="255"/>
    </row>
    <row r="304" spans="2:13" ht="18" customHeight="1">
      <c r="B304" s="150" t="s">
        <v>202</v>
      </c>
      <c r="C304" s="50"/>
      <c r="D304" s="50"/>
      <c r="E304" s="50">
        <f>SUM(E294:E303)</f>
        <v>1</v>
      </c>
      <c r="F304" s="50"/>
      <c r="G304" s="166"/>
      <c r="H304" s="151">
        <f>SUM(H294:H303)</f>
        <v>335</v>
      </c>
      <c r="I304" s="152"/>
      <c r="J304" s="42"/>
    </row>
    <row r="305" spans="1:16" ht="18" customHeight="1">
      <c r="B305" s="246" t="s">
        <v>300</v>
      </c>
      <c r="C305" s="250"/>
      <c r="D305" s="148"/>
      <c r="E305" s="253">
        <f>E294+E296</f>
        <v>0</v>
      </c>
      <c r="F305" s="148"/>
      <c r="G305" s="148">
        <f>材料价格!B27</f>
        <v>0</v>
      </c>
      <c r="H305" s="154">
        <f>E305*G305</f>
        <v>0</v>
      </c>
      <c r="I305" s="247" t="s">
        <v>203</v>
      </c>
    </row>
    <row r="306" spans="1:16" s="16" customFormat="1" ht="18" customHeight="1">
      <c r="A306" s="1"/>
      <c r="B306" s="246" t="s">
        <v>204</v>
      </c>
      <c r="C306" s="250"/>
      <c r="D306" s="148"/>
      <c r="E306" s="253">
        <f>E298+E299+E300+E301</f>
        <v>0</v>
      </c>
      <c r="F306" s="148"/>
      <c r="G306" s="148">
        <f>材料价格!B28</f>
        <v>118</v>
      </c>
      <c r="H306" s="154">
        <f>E306*G306</f>
        <v>0</v>
      </c>
      <c r="I306" s="247" t="s">
        <v>205</v>
      </c>
      <c r="J306" s="43"/>
      <c r="K306" s="43"/>
      <c r="L306" s="43"/>
      <c r="M306" s="43"/>
      <c r="N306" s="255"/>
      <c r="O306" s="255"/>
      <c r="P306" s="255"/>
    </row>
    <row r="307" spans="1:16" s="16" customFormat="1" ht="18" customHeight="1">
      <c r="A307" s="1"/>
      <c r="B307" s="246" t="s">
        <v>206</v>
      </c>
      <c r="C307" s="250"/>
      <c r="D307" s="148"/>
      <c r="E307" s="253"/>
      <c r="F307" s="148"/>
      <c r="G307" s="148"/>
      <c r="H307" s="154">
        <f>E307*G307</f>
        <v>0</v>
      </c>
      <c r="I307" s="247" t="s">
        <v>207</v>
      </c>
      <c r="J307" s="43"/>
      <c r="K307" s="43"/>
      <c r="L307" s="43"/>
      <c r="M307" s="43"/>
      <c r="N307" s="255"/>
      <c r="O307" s="255"/>
      <c r="P307" s="255"/>
    </row>
    <row r="308" spans="1:16" s="16" customFormat="1" ht="18" customHeight="1">
      <c r="A308" s="1"/>
      <c r="B308" s="150" t="s">
        <v>208</v>
      </c>
      <c r="C308" s="50"/>
      <c r="D308" s="50"/>
      <c r="E308" s="100">
        <f>SUM(E305:E307)</f>
        <v>0</v>
      </c>
      <c r="F308" s="50"/>
      <c r="G308" s="166"/>
      <c r="H308" s="155">
        <f>SUM(H305:H307)</f>
        <v>0</v>
      </c>
      <c r="I308" s="152"/>
      <c r="J308" s="43"/>
      <c r="K308" s="43"/>
      <c r="L308" s="43"/>
      <c r="M308" s="43"/>
      <c r="N308" s="255"/>
      <c r="O308" s="255"/>
      <c r="P308" s="255"/>
    </row>
    <row r="309" spans="1:16" s="16" customFormat="1" ht="18" customHeight="1">
      <c r="A309" s="1"/>
      <c r="B309" s="156" t="s">
        <v>209</v>
      </c>
      <c r="C309" s="157">
        <f>ROUND(IF(D4&lt;=200,4,0)+IF(D4&gt;200,(D4/200+1))+IF(E4&lt;=200,4,0)+IF(E4&gt;200,(E4/200+1)),0)</f>
        <v>21</v>
      </c>
      <c r="D309" s="148"/>
      <c r="E309" s="148"/>
      <c r="F309" s="148"/>
      <c r="G309" s="158">
        <v>0.5</v>
      </c>
      <c r="H309" s="159">
        <f>ROUND(C309*G309,2)</f>
        <v>10.5</v>
      </c>
      <c r="I309" s="247" t="s">
        <v>210</v>
      </c>
      <c r="J309" s="43"/>
      <c r="K309" s="43"/>
      <c r="L309" s="43"/>
      <c r="M309" s="43"/>
      <c r="N309" s="255"/>
      <c r="O309" s="255"/>
      <c r="P309" s="255"/>
    </row>
    <row r="310" spans="1:16" s="16" customFormat="1" ht="18" customHeight="1">
      <c r="A310" s="1"/>
      <c r="B310" s="156" t="s">
        <v>211</v>
      </c>
      <c r="C310" s="157">
        <f>C309*2</f>
        <v>42</v>
      </c>
      <c r="D310" s="148">
        <f>D309*2</f>
        <v>0</v>
      </c>
      <c r="E310" s="148"/>
      <c r="F310" s="148"/>
      <c r="G310" s="158">
        <v>0.3</v>
      </c>
      <c r="H310" s="159">
        <f>ROUND(C310*G310,2)</f>
        <v>12.6</v>
      </c>
      <c r="I310" s="247" t="s">
        <v>212</v>
      </c>
      <c r="J310" s="43"/>
      <c r="K310" s="43"/>
      <c r="L310" s="255"/>
      <c r="M310" s="255"/>
      <c r="N310" s="255"/>
      <c r="O310" s="255"/>
      <c r="P310" s="255"/>
    </row>
    <row r="311" spans="1:16" s="16" customFormat="1" ht="18" customHeight="1">
      <c r="A311" s="1"/>
      <c r="B311" s="160" t="s">
        <v>213</v>
      </c>
      <c r="C311" s="161">
        <f>F6</f>
        <v>2.8914</v>
      </c>
      <c r="D311" s="162"/>
      <c r="E311" s="162"/>
      <c r="F311" s="162"/>
      <c r="G311" s="163">
        <v>5</v>
      </c>
      <c r="H311" s="159">
        <f>ROUND(C311*G311,2)</f>
        <v>14.46</v>
      </c>
      <c r="I311" s="247"/>
      <c r="J311" s="43"/>
      <c r="K311" s="43"/>
      <c r="L311" s="255"/>
      <c r="M311" s="255"/>
      <c r="N311" s="255"/>
      <c r="O311" s="255"/>
      <c r="P311" s="255"/>
    </row>
    <row r="312" spans="1:16" s="16" customFormat="1" ht="18" customHeight="1">
      <c r="A312" s="1"/>
      <c r="B312" s="160" t="s">
        <v>214</v>
      </c>
      <c r="C312" s="161"/>
      <c r="D312" s="162"/>
      <c r="E312" s="162"/>
      <c r="F312" s="162"/>
      <c r="G312" s="163"/>
      <c r="H312" s="159">
        <f>ROUND(C312*G312,2)</f>
        <v>0</v>
      </c>
      <c r="I312" s="247"/>
      <c r="J312" s="43"/>
      <c r="K312" s="43"/>
      <c r="L312" s="255"/>
      <c r="M312" s="255"/>
      <c r="N312" s="255"/>
      <c r="O312" s="255"/>
      <c r="P312" s="255"/>
    </row>
    <row r="313" spans="1:16" s="16" customFormat="1" ht="18" customHeight="1">
      <c r="A313" s="1"/>
      <c r="B313" s="164" t="s">
        <v>397</v>
      </c>
      <c r="C313" s="161">
        <f>D291+D292</f>
        <v>1.77454</v>
      </c>
      <c r="D313" s="162"/>
      <c r="E313" s="162"/>
      <c r="F313" s="162"/>
      <c r="G313" s="163">
        <f>10+5</f>
        <v>15</v>
      </c>
      <c r="H313" s="159">
        <f>ROUND(C313*G313,2)</f>
        <v>26.62</v>
      </c>
      <c r="I313" s="247"/>
      <c r="J313" s="43"/>
      <c r="K313" s="43"/>
      <c r="L313" s="255"/>
      <c r="M313" s="255"/>
      <c r="N313" s="255"/>
      <c r="O313" s="255"/>
      <c r="P313" s="255"/>
    </row>
    <row r="314" spans="1:16" s="16" customFormat="1" ht="18" customHeight="1">
      <c r="A314" s="1"/>
      <c r="B314" s="150" t="s">
        <v>215</v>
      </c>
      <c r="C314" s="165"/>
      <c r="D314" s="50"/>
      <c r="E314" s="50"/>
      <c r="F314" s="50"/>
      <c r="G314" s="166"/>
      <c r="H314" s="155">
        <f>SUM(H309:H313)</f>
        <v>64.180000000000007</v>
      </c>
      <c r="I314" s="152"/>
      <c r="J314" s="43"/>
      <c r="K314" s="43"/>
      <c r="L314" s="255"/>
      <c r="M314" s="255"/>
      <c r="N314" s="255"/>
      <c r="O314" s="255"/>
      <c r="P314" s="255"/>
    </row>
    <row r="315" spans="1:16" s="16" customFormat="1" ht="18" customHeight="1">
      <c r="A315" s="1"/>
      <c r="B315" s="156" t="s">
        <v>216</v>
      </c>
      <c r="C315" s="167">
        <f>E203+E205+E207+I203+I205+E209+I207</f>
        <v>12</v>
      </c>
      <c r="D315" s="148"/>
      <c r="E315" s="148"/>
      <c r="F315" s="148"/>
      <c r="G315" s="168">
        <v>1.9</v>
      </c>
      <c r="H315" s="154">
        <f t="shared" ref="H315:H318" si="53">ROUND(C315*G315,2)</f>
        <v>22.8</v>
      </c>
      <c r="I315" s="224" t="s">
        <v>340</v>
      </c>
      <c r="J315" s="255"/>
      <c r="K315" s="43"/>
      <c r="L315" s="255"/>
      <c r="M315" s="255"/>
      <c r="N315" s="255"/>
      <c r="O315" s="255"/>
      <c r="P315" s="255"/>
    </row>
    <row r="316" spans="1:16" s="16" customFormat="1" ht="18" customHeight="1">
      <c r="A316" s="1"/>
      <c r="B316" s="156" t="s">
        <v>217</v>
      </c>
      <c r="C316" s="167">
        <f>ROUND((D4+E4)*2/1000,2)</f>
        <v>7.5</v>
      </c>
      <c r="D316" s="148"/>
      <c r="E316" s="238">
        <v>4</v>
      </c>
      <c r="F316" s="235">
        <f>材料价格!B25</f>
        <v>8.52</v>
      </c>
      <c r="G316" s="168">
        <f t="shared" ref="G316:G321" si="54">F316/E316</f>
        <v>2.13</v>
      </c>
      <c r="H316" s="154">
        <f t="shared" si="53"/>
        <v>15.98</v>
      </c>
      <c r="I316" s="169" t="s">
        <v>218</v>
      </c>
      <c r="J316" s="255"/>
      <c r="K316" s="43"/>
      <c r="L316" s="255"/>
      <c r="M316" s="255"/>
      <c r="N316" s="255"/>
      <c r="O316" s="255"/>
      <c r="P316" s="255"/>
    </row>
    <row r="317" spans="1:16" s="16" customFormat="1" ht="18" customHeight="1">
      <c r="A317" s="1"/>
      <c r="B317" s="156" t="s">
        <v>219</v>
      </c>
      <c r="C317" s="167">
        <f>C316</f>
        <v>7.5</v>
      </c>
      <c r="D317" s="148"/>
      <c r="E317" s="238">
        <v>3</v>
      </c>
      <c r="F317" s="235">
        <f>F316</f>
        <v>8.52</v>
      </c>
      <c r="G317" s="168">
        <f t="shared" si="54"/>
        <v>2.84</v>
      </c>
      <c r="H317" s="154">
        <f t="shared" si="53"/>
        <v>21.3</v>
      </c>
      <c r="I317" s="169" t="s">
        <v>220</v>
      </c>
      <c r="J317" s="255"/>
      <c r="K317" s="43"/>
      <c r="L317" s="255"/>
      <c r="M317" s="255"/>
      <c r="N317" s="255"/>
      <c r="O317" s="255"/>
      <c r="P317" s="255"/>
    </row>
    <row r="318" spans="1:16" s="16" customFormat="1" ht="18" customHeight="1">
      <c r="A318" s="1"/>
      <c r="B318" s="156" t="s">
        <v>221</v>
      </c>
      <c r="C318" s="167">
        <f>C316</f>
        <v>7.5</v>
      </c>
      <c r="D318" s="148"/>
      <c r="E318" s="238">
        <v>6.5</v>
      </c>
      <c r="F318" s="235">
        <f>材料价格!B26</f>
        <v>23</v>
      </c>
      <c r="G318" s="168">
        <f t="shared" si="54"/>
        <v>3.5384615384615383</v>
      </c>
      <c r="H318" s="154">
        <f t="shared" si="53"/>
        <v>26.54</v>
      </c>
      <c r="I318" s="224" t="s">
        <v>222</v>
      </c>
      <c r="J318" s="255"/>
      <c r="K318" s="43"/>
      <c r="L318" s="255"/>
      <c r="M318" s="255"/>
      <c r="N318" s="255"/>
      <c r="O318" s="255"/>
      <c r="P318" s="255"/>
    </row>
    <row r="319" spans="1:16" s="16" customFormat="1" ht="18" customHeight="1">
      <c r="A319" s="1"/>
      <c r="B319" s="156" t="s">
        <v>341</v>
      </c>
      <c r="C319" s="167">
        <f>ROUND((C97+C104+C88+C146+C153+C163)*1,2)</f>
        <v>10.210000000000001</v>
      </c>
      <c r="D319" s="77">
        <v>1</v>
      </c>
      <c r="E319" s="238">
        <f>10</f>
        <v>10</v>
      </c>
      <c r="F319" s="235">
        <f>F317</f>
        <v>8.52</v>
      </c>
      <c r="G319" s="168">
        <f>F319/E319</f>
        <v>0.85199999999999998</v>
      </c>
      <c r="H319" s="154">
        <f>ROUND(C319*G319,2)</f>
        <v>8.6999999999999993</v>
      </c>
      <c r="I319" s="247" t="s">
        <v>223</v>
      </c>
      <c r="J319" s="255"/>
      <c r="K319" s="43"/>
      <c r="L319" s="255"/>
      <c r="M319" s="255"/>
      <c r="N319" s="255"/>
      <c r="O319" s="255"/>
      <c r="P319" s="255"/>
    </row>
    <row r="320" spans="1:16" s="16" customFormat="1" ht="18" customHeight="1">
      <c r="A320" s="1"/>
      <c r="B320" s="156" t="s">
        <v>342</v>
      </c>
      <c r="C320" s="167">
        <f>C319</f>
        <v>10.210000000000001</v>
      </c>
      <c r="D320" s="77">
        <v>1</v>
      </c>
      <c r="E320" s="238">
        <v>6</v>
      </c>
      <c r="F320" s="235">
        <f>F319</f>
        <v>8.52</v>
      </c>
      <c r="G320" s="168">
        <f t="shared" si="54"/>
        <v>1.42</v>
      </c>
      <c r="H320" s="154">
        <f>ROUND(C320*G320,2)</f>
        <v>14.5</v>
      </c>
      <c r="I320" s="247" t="s">
        <v>224</v>
      </c>
      <c r="J320" s="255"/>
      <c r="K320" s="170"/>
      <c r="L320" s="170"/>
      <c r="M320" s="170"/>
      <c r="N320" s="170"/>
      <c r="O320" s="170"/>
      <c r="P320" s="170"/>
    </row>
    <row r="321" spans="1:16" s="16" customFormat="1" ht="18" customHeight="1">
      <c r="A321" s="1"/>
      <c r="B321" s="156" t="s">
        <v>225</v>
      </c>
      <c r="C321" s="167">
        <f>C334*D334+C324*D324+C327*D327</f>
        <v>0</v>
      </c>
      <c r="D321" s="77">
        <v>1</v>
      </c>
      <c r="E321" s="238">
        <f>10</f>
        <v>10</v>
      </c>
      <c r="F321" s="235">
        <f>F317</f>
        <v>8.52</v>
      </c>
      <c r="G321" s="168">
        <f t="shared" si="54"/>
        <v>0.85199999999999998</v>
      </c>
      <c r="H321" s="154">
        <f>ROUND(C321*G321,2)</f>
        <v>0</v>
      </c>
      <c r="I321" s="247" t="s">
        <v>226</v>
      </c>
      <c r="J321" s="255"/>
      <c r="K321" s="170"/>
      <c r="L321" s="170"/>
      <c r="M321" s="170"/>
      <c r="N321" s="170"/>
      <c r="O321" s="170"/>
      <c r="P321" s="170"/>
    </row>
    <row r="322" spans="1:16" s="16" customFormat="1" ht="18" customHeight="1">
      <c r="A322" s="1"/>
      <c r="B322" s="150" t="s">
        <v>227</v>
      </c>
      <c r="C322" s="165"/>
      <c r="D322" s="50"/>
      <c r="E322" s="50"/>
      <c r="F322" s="50"/>
      <c r="G322" s="166" t="s">
        <v>396</v>
      </c>
      <c r="H322" s="155">
        <f>SUM(H315:H321)</f>
        <v>109.82000000000001</v>
      </c>
      <c r="I322" s="152"/>
      <c r="J322" s="244" t="s">
        <v>399</v>
      </c>
      <c r="K322" s="245" t="s">
        <v>379</v>
      </c>
      <c r="L322" s="170"/>
      <c r="M322" s="170"/>
      <c r="N322" s="170"/>
      <c r="O322" s="170"/>
      <c r="P322" s="170"/>
    </row>
    <row r="323" spans="1:16" s="16" customFormat="1" ht="18" customHeight="1">
      <c r="A323" s="1"/>
      <c r="B323" s="156" t="s">
        <v>356</v>
      </c>
      <c r="C323" s="167">
        <f>C31</f>
        <v>0</v>
      </c>
      <c r="D323" s="239">
        <v>1</v>
      </c>
      <c r="E323" s="148"/>
      <c r="F323" s="148"/>
      <c r="G323" s="236">
        <f>0.45+0.85</f>
        <v>1.3</v>
      </c>
      <c r="H323" s="154">
        <f>ROUND(C323*D323*G323,2)</f>
        <v>0</v>
      </c>
      <c r="I323" s="247" t="s">
        <v>345</v>
      </c>
      <c r="J323" s="244">
        <v>1.76</v>
      </c>
      <c r="K323" s="245" t="s">
        <v>400</v>
      </c>
      <c r="L323" s="170"/>
      <c r="M323" s="171"/>
      <c r="N323" s="170"/>
      <c r="O323" s="170"/>
      <c r="P323" s="170"/>
    </row>
    <row r="324" spans="1:16" s="16" customFormat="1" ht="18" customHeight="1">
      <c r="A324" s="1"/>
      <c r="B324" s="156" t="s">
        <v>347</v>
      </c>
      <c r="C324" s="167">
        <f>C323</f>
        <v>0</v>
      </c>
      <c r="D324" s="239">
        <v>1</v>
      </c>
      <c r="E324" s="148"/>
      <c r="F324" s="148"/>
      <c r="G324" s="236">
        <v>6.89</v>
      </c>
      <c r="H324" s="154">
        <f t="shared" ref="H324:H329" si="55">ROUND(C324*D324*G324,2)</f>
        <v>0</v>
      </c>
      <c r="I324" s="247" t="s">
        <v>346</v>
      </c>
      <c r="J324" s="244">
        <v>12.25</v>
      </c>
      <c r="K324" s="245" t="s">
        <v>376</v>
      </c>
      <c r="L324" s="170"/>
      <c r="M324" s="171"/>
      <c r="N324" s="170"/>
      <c r="O324" s="170"/>
      <c r="P324" s="170"/>
    </row>
    <row r="325" spans="1:16" s="16" customFormat="1" ht="18" customHeight="1">
      <c r="A325" s="1"/>
      <c r="B325" s="156" t="s">
        <v>357</v>
      </c>
      <c r="C325" s="167">
        <f>C38</f>
        <v>0</v>
      </c>
      <c r="D325" s="239">
        <v>1</v>
      </c>
      <c r="E325" s="148"/>
      <c r="F325" s="148"/>
      <c r="G325" s="236">
        <f>0.85+0.61</f>
        <v>1.46</v>
      </c>
      <c r="H325" s="154">
        <f t="shared" si="55"/>
        <v>0</v>
      </c>
      <c r="I325" s="247" t="s">
        <v>354</v>
      </c>
      <c r="J325" s="244">
        <v>1.76</v>
      </c>
      <c r="K325" s="245" t="s">
        <v>378</v>
      </c>
      <c r="L325" s="170"/>
      <c r="M325" s="171"/>
      <c r="N325" s="170"/>
      <c r="O325" s="170"/>
      <c r="P325" s="170"/>
    </row>
    <row r="326" spans="1:16" s="16" customFormat="1" ht="18" customHeight="1">
      <c r="A326" s="1"/>
      <c r="B326" s="156" t="s">
        <v>355</v>
      </c>
      <c r="C326" s="167">
        <f>C325</f>
        <v>0</v>
      </c>
      <c r="D326" s="239">
        <v>1</v>
      </c>
      <c r="E326" s="148"/>
      <c r="F326" s="148"/>
      <c r="G326" s="236">
        <v>3.27</v>
      </c>
      <c r="H326" s="154">
        <f>ROUND(C326*D326*G326,2)</f>
        <v>0</v>
      </c>
      <c r="I326" s="247" t="s">
        <v>358</v>
      </c>
      <c r="J326" s="244">
        <v>3.27</v>
      </c>
      <c r="K326" s="245" t="s">
        <v>358</v>
      </c>
      <c r="L326" s="170"/>
      <c r="M326" s="171"/>
      <c r="N326" s="170"/>
      <c r="O326" s="170"/>
      <c r="P326" s="170"/>
    </row>
    <row r="327" spans="1:16" s="16" customFormat="1" ht="18" customHeight="1">
      <c r="A327" s="1"/>
      <c r="B327" s="156" t="s">
        <v>228</v>
      </c>
      <c r="C327" s="167">
        <f>C126</f>
        <v>0</v>
      </c>
      <c r="D327" s="239">
        <v>1</v>
      </c>
      <c r="E327" s="110"/>
      <c r="F327" s="148"/>
      <c r="G327" s="236">
        <v>6.89</v>
      </c>
      <c r="H327" s="154">
        <f t="shared" si="55"/>
        <v>0</v>
      </c>
      <c r="I327" s="247" t="s">
        <v>346</v>
      </c>
      <c r="J327" s="244">
        <v>12.25</v>
      </c>
      <c r="K327" s="245" t="s">
        <v>346</v>
      </c>
      <c r="L327" s="170"/>
      <c r="M327" s="171"/>
      <c r="N327" s="170"/>
      <c r="O327" s="170"/>
      <c r="P327" s="170"/>
    </row>
    <row r="328" spans="1:16" s="16" customFormat="1" ht="18" customHeight="1">
      <c r="A328" s="1"/>
      <c r="B328" s="156" t="s">
        <v>229</v>
      </c>
      <c r="C328" s="167">
        <f>C327</f>
        <v>0</v>
      </c>
      <c r="D328" s="239">
        <v>1</v>
      </c>
      <c r="E328" s="110"/>
      <c r="F328" s="148"/>
      <c r="G328" s="236">
        <f>G3233</f>
        <v>0</v>
      </c>
      <c r="H328" s="154">
        <f t="shared" si="55"/>
        <v>0</v>
      </c>
      <c r="I328" s="247" t="s">
        <v>345</v>
      </c>
      <c r="J328" s="244">
        <v>0</v>
      </c>
      <c r="K328" s="245" t="s">
        <v>400</v>
      </c>
      <c r="L328" s="170"/>
      <c r="M328" s="171"/>
      <c r="N328" s="170"/>
      <c r="O328" s="170"/>
      <c r="P328" s="170"/>
    </row>
    <row r="329" spans="1:16" s="16" customFormat="1" ht="18" customHeight="1">
      <c r="A329" s="1"/>
      <c r="B329" s="156" t="s">
        <v>230</v>
      </c>
      <c r="C329" s="167">
        <f>C119</f>
        <v>11.444000000000001</v>
      </c>
      <c r="D329" s="239">
        <v>1</v>
      </c>
      <c r="E329" s="148"/>
      <c r="F329" s="148"/>
      <c r="G329" s="236">
        <f>G3253</f>
        <v>0</v>
      </c>
      <c r="H329" s="154">
        <f t="shared" si="55"/>
        <v>0</v>
      </c>
      <c r="I329" s="247" t="s">
        <v>354</v>
      </c>
      <c r="J329" s="244">
        <v>0</v>
      </c>
      <c r="K329" s="245" t="s">
        <v>378</v>
      </c>
      <c r="L329" s="170"/>
      <c r="M329" s="171"/>
      <c r="N329" s="170"/>
      <c r="O329" s="170"/>
      <c r="P329" s="170"/>
    </row>
    <row r="330" spans="1:16" s="16" customFormat="1" ht="18" customHeight="1">
      <c r="A330" s="1"/>
      <c r="B330" s="156" t="s">
        <v>362</v>
      </c>
      <c r="C330" s="167">
        <f>C329</f>
        <v>11.444000000000001</v>
      </c>
      <c r="D330" s="239">
        <v>1</v>
      </c>
      <c r="E330" s="148"/>
      <c r="F330" s="148"/>
      <c r="G330" s="236">
        <v>3.27</v>
      </c>
      <c r="H330" s="154">
        <f>ROUND(C330*D330*G330,2)</f>
        <v>37.42</v>
      </c>
      <c r="I330" s="247" t="s">
        <v>358</v>
      </c>
      <c r="J330" s="244">
        <v>3.27</v>
      </c>
      <c r="K330" s="245" t="s">
        <v>358</v>
      </c>
      <c r="L330" s="170"/>
      <c r="M330" s="171"/>
      <c r="N330" s="170"/>
      <c r="O330" s="170"/>
      <c r="P330" s="170"/>
    </row>
    <row r="331" spans="1:16" s="16" customFormat="1" ht="18" customHeight="1">
      <c r="A331" s="1"/>
      <c r="B331" s="156" t="s">
        <v>343</v>
      </c>
      <c r="C331" s="167">
        <f>C319</f>
        <v>10.210000000000001</v>
      </c>
      <c r="D331" s="239">
        <v>1</v>
      </c>
      <c r="E331" s="148"/>
      <c r="F331" s="148"/>
      <c r="G331" s="236">
        <v>1.25</v>
      </c>
      <c r="H331" s="154">
        <f>C331*D331*G331</f>
        <v>12.762500000000001</v>
      </c>
      <c r="I331" s="247" t="s">
        <v>344</v>
      </c>
      <c r="J331" s="244">
        <v>1.25</v>
      </c>
      <c r="K331" s="245" t="s">
        <v>344</v>
      </c>
      <c r="L331" s="170"/>
      <c r="M331" s="171"/>
      <c r="N331" s="170"/>
      <c r="O331" s="170"/>
      <c r="P331" s="170"/>
    </row>
    <row r="332" spans="1:16" s="16" customFormat="1" ht="18" customHeight="1">
      <c r="A332" s="1"/>
      <c r="B332" s="156" t="s">
        <v>350</v>
      </c>
      <c r="C332" s="167" cm="1">
        <f t="array" ref="C332">SUMPRODUCT(D26:D30*G26:G30)/1000</f>
        <v>0</v>
      </c>
      <c r="D332" s="239">
        <v>1</v>
      </c>
      <c r="E332" s="148"/>
      <c r="F332" s="148"/>
      <c r="G332" s="236">
        <v>0.41</v>
      </c>
      <c r="H332" s="154">
        <f>C332*D332*G332</f>
        <v>0</v>
      </c>
      <c r="I332" s="247" t="s">
        <v>348</v>
      </c>
      <c r="J332" s="244">
        <v>0.41</v>
      </c>
      <c r="K332" s="245" t="s">
        <v>348</v>
      </c>
      <c r="L332" s="170"/>
      <c r="M332" s="171"/>
      <c r="N332" s="170"/>
      <c r="O332" s="170"/>
      <c r="P332" s="170"/>
    </row>
    <row r="333" spans="1:16" s="16" customFormat="1" ht="18" customHeight="1">
      <c r="A333" s="1"/>
      <c r="B333" s="156" t="s">
        <v>349</v>
      </c>
      <c r="C333" s="167">
        <f>C88+C97+C104+C153+C163+C146</f>
        <v>10.212</v>
      </c>
      <c r="D333" s="239">
        <v>1</v>
      </c>
      <c r="E333" s="148"/>
      <c r="F333" s="148"/>
      <c r="G333" s="236">
        <v>0.49</v>
      </c>
      <c r="H333" s="154">
        <f>C333*D333*G333</f>
        <v>5.0038799999999997</v>
      </c>
      <c r="I333" s="247" t="s">
        <v>351</v>
      </c>
      <c r="J333" s="244">
        <v>0.49</v>
      </c>
      <c r="K333" s="245" t="s">
        <v>351</v>
      </c>
      <c r="L333" s="170"/>
      <c r="M333" s="171"/>
      <c r="N333" s="170"/>
      <c r="O333" s="170"/>
      <c r="P333" s="170"/>
    </row>
    <row r="334" spans="1:16" s="16" customFormat="1" ht="18" customHeight="1">
      <c r="A334" s="1"/>
      <c r="B334" s="156" t="s">
        <v>353</v>
      </c>
      <c r="C334" s="167">
        <f t="array" ref="C334">SUMPRODUCT(D157:D162*G157:G162)/1000+SUM(G157:G162)*0.3+SUMPRODUCT(D68:D87*G68:G87)/1000+SUM(G68:G87)*0.3</f>
        <v>0</v>
      </c>
      <c r="D334" s="239">
        <v>1</v>
      </c>
      <c r="E334" s="148"/>
      <c r="F334" s="148"/>
      <c r="G334" s="237">
        <v>5.36</v>
      </c>
      <c r="H334" s="154">
        <f>C334*G334</f>
        <v>0</v>
      </c>
      <c r="I334" s="247" t="s">
        <v>352</v>
      </c>
      <c r="J334" s="244">
        <v>9.5500000000000007</v>
      </c>
      <c r="K334" s="245" t="s">
        <v>377</v>
      </c>
      <c r="L334" s="170"/>
      <c r="M334" s="171"/>
      <c r="N334" s="170"/>
      <c r="O334" s="170"/>
      <c r="P334" s="170"/>
    </row>
    <row r="335" spans="1:16" s="16" customFormat="1" ht="18" customHeight="1">
      <c r="A335" s="1"/>
      <c r="B335" s="156" t="s">
        <v>364</v>
      </c>
      <c r="C335" s="167">
        <f>C319</f>
        <v>10.210000000000001</v>
      </c>
      <c r="D335" s="239">
        <v>1</v>
      </c>
      <c r="E335" s="148"/>
      <c r="F335" s="148"/>
      <c r="G335" s="237">
        <v>1.25</v>
      </c>
      <c r="H335" s="154"/>
      <c r="I335" s="149" t="s">
        <v>363</v>
      </c>
      <c r="J335" s="244">
        <v>1.25</v>
      </c>
      <c r="K335" s="245" t="s">
        <v>363</v>
      </c>
      <c r="L335" s="170"/>
      <c r="M335" s="171"/>
      <c r="N335" s="170"/>
      <c r="O335" s="170"/>
      <c r="P335" s="170"/>
    </row>
    <row r="336" spans="1:16" s="16" customFormat="1" ht="18" customHeight="1">
      <c r="A336" s="1"/>
      <c r="B336" s="156" t="s">
        <v>365</v>
      </c>
      <c r="C336" s="167">
        <f>C320</f>
        <v>10.210000000000001</v>
      </c>
      <c r="D336" s="239">
        <v>1</v>
      </c>
      <c r="E336" s="148"/>
      <c r="F336" s="148"/>
      <c r="G336" s="237">
        <v>1.63</v>
      </c>
      <c r="H336" s="154"/>
      <c r="I336" s="149" t="s">
        <v>363</v>
      </c>
      <c r="J336" s="244">
        <v>1.63</v>
      </c>
      <c r="K336" s="245" t="s">
        <v>363</v>
      </c>
      <c r="L336" s="170"/>
      <c r="M336" s="171"/>
      <c r="N336" s="170"/>
      <c r="O336" s="170"/>
      <c r="P336" s="170"/>
    </row>
    <row r="337" spans="1:16" s="16" customFormat="1" ht="18" customHeight="1">
      <c r="A337" s="1"/>
      <c r="B337" s="150" t="s">
        <v>231</v>
      </c>
      <c r="C337" s="165"/>
      <c r="D337" s="50"/>
      <c r="E337" s="50"/>
      <c r="F337" s="50"/>
      <c r="G337" s="166"/>
      <c r="H337" s="155">
        <f>SUM(H323:H336)*1.05</f>
        <v>57.945699000000012</v>
      </c>
      <c r="I337" s="152"/>
      <c r="J337" s="172"/>
      <c r="K337" s="170"/>
      <c r="L337" s="170"/>
      <c r="M337" s="170"/>
      <c r="N337" s="170"/>
      <c r="O337" s="170"/>
      <c r="P337" s="170"/>
    </row>
    <row r="338" spans="1:16" s="16" customFormat="1" ht="18" customHeight="1">
      <c r="A338" s="1"/>
      <c r="B338" s="173" t="s">
        <v>366</v>
      </c>
      <c r="C338" s="174">
        <f>F250+F258+F265+F280+F285+F290</f>
        <v>0</v>
      </c>
      <c r="D338" s="175">
        <v>2</v>
      </c>
      <c r="E338" s="176"/>
      <c r="F338" s="176"/>
      <c r="G338" s="240">
        <v>0.5</v>
      </c>
      <c r="H338" s="177">
        <f t="shared" ref="H338:H343" si="56">D338*G338*C338</f>
        <v>0</v>
      </c>
      <c r="I338" s="178" t="s">
        <v>233</v>
      </c>
      <c r="J338" s="172"/>
      <c r="K338" s="170"/>
      <c r="L338" s="170"/>
      <c r="M338" s="170"/>
      <c r="N338" s="170"/>
      <c r="O338" s="170"/>
      <c r="P338" s="170"/>
    </row>
    <row r="339" spans="1:16" s="16" customFormat="1" ht="18" customHeight="1">
      <c r="A339" s="1"/>
      <c r="B339" s="173" t="s">
        <v>367</v>
      </c>
      <c r="C339" s="174">
        <f>F233+F242+F269+F273</f>
        <v>2</v>
      </c>
      <c r="D339" s="175">
        <v>4</v>
      </c>
      <c r="E339" s="176"/>
      <c r="F339" s="176"/>
      <c r="G339" s="240">
        <v>0.63</v>
      </c>
      <c r="H339" s="177">
        <f t="shared" si="56"/>
        <v>5.04</v>
      </c>
      <c r="I339" s="178" t="s">
        <v>234</v>
      </c>
      <c r="J339" s="172"/>
      <c r="K339" s="170"/>
      <c r="L339" s="170"/>
      <c r="M339" s="170"/>
      <c r="N339" s="170"/>
      <c r="O339" s="170"/>
      <c r="P339" s="170"/>
    </row>
    <row r="340" spans="1:16" s="16" customFormat="1" ht="18" customHeight="1">
      <c r="A340" s="1"/>
      <c r="B340" s="173" t="s">
        <v>366</v>
      </c>
      <c r="C340" s="174">
        <f>SUM(G157:G162)</f>
        <v>0</v>
      </c>
      <c r="D340" s="175">
        <f>IF(E113&gt;2200,2,0)</f>
        <v>0</v>
      </c>
      <c r="E340" s="176"/>
      <c r="F340" s="176"/>
      <c r="G340" s="240">
        <v>0.5</v>
      </c>
      <c r="H340" s="177">
        <f t="shared" si="56"/>
        <v>0</v>
      </c>
      <c r="I340" s="178" t="s">
        <v>235</v>
      </c>
      <c r="J340" s="172"/>
      <c r="K340" s="170"/>
      <c r="L340" s="170"/>
      <c r="M340" s="170"/>
      <c r="N340" s="170"/>
      <c r="O340" s="170"/>
      <c r="P340" s="170"/>
    </row>
    <row r="341" spans="1:16" s="16" customFormat="1" ht="18" customHeight="1">
      <c r="A341" s="1"/>
      <c r="B341" s="173" t="s">
        <v>367</v>
      </c>
      <c r="C341" s="174">
        <f>SUM(G116:G118)</f>
        <v>2</v>
      </c>
      <c r="D341" s="175">
        <v>4</v>
      </c>
      <c r="E341" s="176"/>
      <c r="F341" s="176"/>
      <c r="G341" s="240">
        <v>0.63</v>
      </c>
      <c r="H341" s="177">
        <f t="shared" si="56"/>
        <v>5.04</v>
      </c>
      <c r="I341" s="178" t="s">
        <v>236</v>
      </c>
      <c r="J341" s="172"/>
      <c r="K341" s="170"/>
      <c r="L341" s="170"/>
      <c r="M341" s="170"/>
      <c r="N341" s="170"/>
      <c r="O341" s="170"/>
      <c r="P341" s="170"/>
    </row>
    <row r="342" spans="1:16" ht="18" customHeight="1">
      <c r="B342" s="173" t="s">
        <v>237</v>
      </c>
      <c r="C342" s="174">
        <v>1</v>
      </c>
      <c r="D342" s="175">
        <f>(F291+F292)*10</f>
        <v>20</v>
      </c>
      <c r="E342" s="176"/>
      <c r="F342" s="176"/>
      <c r="G342" s="240">
        <v>0.37</v>
      </c>
      <c r="H342" s="177">
        <f t="shared" si="56"/>
        <v>7.4</v>
      </c>
      <c r="I342" s="178"/>
      <c r="J342" s="172"/>
      <c r="K342" s="172"/>
      <c r="L342" s="172"/>
      <c r="N342" s="43"/>
    </row>
    <row r="343" spans="1:16" ht="18" customHeight="1">
      <c r="B343" s="173" t="s">
        <v>232</v>
      </c>
      <c r="C343" s="174">
        <f>C338</f>
        <v>0</v>
      </c>
      <c r="D343" s="175">
        <v>0</v>
      </c>
      <c r="E343" s="176"/>
      <c r="F343" s="176"/>
      <c r="G343" s="240">
        <v>0.49</v>
      </c>
      <c r="H343" s="177">
        <f t="shared" si="56"/>
        <v>0</v>
      </c>
      <c r="I343" s="178" t="s">
        <v>238</v>
      </c>
      <c r="J343" s="172"/>
      <c r="K343" s="172"/>
      <c r="L343" s="172"/>
      <c r="N343" s="43"/>
    </row>
    <row r="344" spans="1:16" ht="18" customHeight="1">
      <c r="B344" s="156" t="s">
        <v>239</v>
      </c>
      <c r="C344" s="157"/>
      <c r="D344" s="250">
        <f>E203+E205*2+E207*2+I203+I205*2+I207*2</f>
        <v>20</v>
      </c>
      <c r="E344" s="148"/>
      <c r="F344" s="148"/>
      <c r="G344" s="148">
        <v>0.2</v>
      </c>
      <c r="H344" s="179">
        <f>D344*G344</f>
        <v>4</v>
      </c>
      <c r="I344" s="247" t="s">
        <v>368</v>
      </c>
      <c r="J344" s="172"/>
      <c r="K344" s="172"/>
      <c r="L344" s="172"/>
    </row>
    <row r="345" spans="1:16" ht="18" customHeight="1">
      <c r="B345" s="156" t="s">
        <v>240</v>
      </c>
      <c r="C345" s="157"/>
      <c r="D345" s="250">
        <f>4*(E52+E53+E54+E55+G52+G53+G54+G55+G60+G61+G62+G63+E130+E131+E132+G130+G131+G132+G137+G138)</f>
        <v>4</v>
      </c>
      <c r="E345" s="148"/>
      <c r="F345" s="148"/>
      <c r="G345" s="148">
        <v>0.22</v>
      </c>
      <c r="H345" s="179">
        <f>D345*G345</f>
        <v>0.88</v>
      </c>
      <c r="I345" s="247" t="s">
        <v>241</v>
      </c>
      <c r="J345" s="172"/>
      <c r="K345" s="172"/>
      <c r="L345" s="172"/>
    </row>
    <row r="346" spans="1:16" ht="18" customHeight="1">
      <c r="B346" s="156" t="s">
        <v>242</v>
      </c>
      <c r="C346" s="157"/>
      <c r="D346" s="250">
        <f>D345/2</f>
        <v>2</v>
      </c>
      <c r="E346" s="148"/>
      <c r="F346" s="148"/>
      <c r="G346" s="148">
        <v>0.22</v>
      </c>
      <c r="H346" s="179">
        <f>ROUND(D346*G346,2)</f>
        <v>0.44</v>
      </c>
      <c r="I346" s="247" t="s">
        <v>243</v>
      </c>
      <c r="J346" s="172"/>
      <c r="K346" s="172"/>
      <c r="L346" s="172"/>
    </row>
    <row r="347" spans="1:16" ht="18" customHeight="1">
      <c r="B347" s="156" t="s">
        <v>369</v>
      </c>
      <c r="C347" s="157"/>
      <c r="D347" s="250">
        <f>D346</f>
        <v>2</v>
      </c>
      <c r="E347" s="148"/>
      <c r="F347" s="148"/>
      <c r="G347" s="148">
        <v>1.37</v>
      </c>
      <c r="H347" s="179">
        <f>ROUND(D347*G347,2)</f>
        <v>2.74</v>
      </c>
      <c r="I347" s="247" t="s">
        <v>370</v>
      </c>
      <c r="J347" s="172"/>
      <c r="K347" s="172"/>
      <c r="L347" s="172"/>
    </row>
    <row r="348" spans="1:16" ht="18" customHeight="1">
      <c r="B348" s="156" t="s">
        <v>244</v>
      </c>
      <c r="C348" s="157"/>
      <c r="D348" s="250">
        <f>(F291+F292)*2</f>
        <v>4</v>
      </c>
      <c r="E348" s="148"/>
      <c r="F348" s="148"/>
      <c r="G348" s="148">
        <v>0.48</v>
      </c>
      <c r="H348" s="179">
        <f>ROUND(D348*G348,2)</f>
        <v>1.92</v>
      </c>
      <c r="I348" s="247" t="s">
        <v>245</v>
      </c>
      <c r="J348" s="255"/>
    </row>
    <row r="349" spans="1:16" ht="18" customHeight="1">
      <c r="B349" s="156" t="s">
        <v>246</v>
      </c>
      <c r="C349" s="157"/>
      <c r="D349" s="250">
        <f>ROUND((D4+E4-240)*2/200+E217*F217/200,0)</f>
        <v>41</v>
      </c>
      <c r="E349" s="148"/>
      <c r="F349" s="148"/>
      <c r="G349" s="148">
        <v>0.05</v>
      </c>
      <c r="H349" s="179">
        <f>ROUND(D349*G349,2)</f>
        <v>2.0499999999999998</v>
      </c>
      <c r="I349" s="247" t="s">
        <v>247</v>
      </c>
      <c r="J349" s="255"/>
    </row>
    <row r="350" spans="1:16" ht="18" customHeight="1">
      <c r="B350" s="150" t="s">
        <v>248</v>
      </c>
      <c r="C350" s="165"/>
      <c r="D350" s="50"/>
      <c r="E350" s="50"/>
      <c r="F350" s="50"/>
      <c r="G350" s="166"/>
      <c r="H350" s="155">
        <f>SUM(H338:H349)</f>
        <v>29.51</v>
      </c>
      <c r="I350" s="152"/>
    </row>
    <row r="351" spans="1:16" ht="18" customHeight="1">
      <c r="B351" s="156" t="s">
        <v>359</v>
      </c>
      <c r="C351" s="157"/>
      <c r="D351" s="250">
        <f>SUMPRODUCT(G26:G30)*8+SUMPRODUCT(G35:G37)*8+SUMPRODUCT(G116:G118)*8+SUMPRODUCT(G123:G125)*8</f>
        <v>16</v>
      </c>
      <c r="E351" s="148"/>
      <c r="F351" s="148"/>
      <c r="G351" s="148">
        <v>1.26</v>
      </c>
      <c r="H351" s="154">
        <f>ROUND(D351*G351,2)</f>
        <v>20.16</v>
      </c>
      <c r="I351" s="247" t="s">
        <v>386</v>
      </c>
    </row>
    <row r="352" spans="1:16" ht="18" customHeight="1">
      <c r="B352" s="156" t="s">
        <v>360</v>
      </c>
      <c r="C352" s="157"/>
      <c r="D352" s="250">
        <f>G26*4+G27*4+G28*4+G29*4+G30*4</f>
        <v>0</v>
      </c>
      <c r="E352" s="148"/>
      <c r="F352" s="148"/>
      <c r="G352" s="148">
        <v>2</v>
      </c>
      <c r="H352" s="154">
        <f>ROUND(D352*G352,2)</f>
        <v>0</v>
      </c>
      <c r="I352" s="247" t="s">
        <v>361</v>
      </c>
    </row>
    <row r="353" spans="1:22" ht="18" customHeight="1">
      <c r="B353" s="156" t="s">
        <v>249</v>
      </c>
      <c r="C353" s="157"/>
      <c r="D353" s="250"/>
      <c r="E353" s="148"/>
      <c r="F353" s="148"/>
      <c r="G353" s="148">
        <v>1.6</v>
      </c>
      <c r="H353" s="154"/>
      <c r="I353" s="247"/>
    </row>
    <row r="354" spans="1:22" ht="18" customHeight="1">
      <c r="B354" s="156" t="s">
        <v>250</v>
      </c>
      <c r="C354" s="157"/>
      <c r="D354" s="44">
        <f>C22+C31+C38+C48+C56+C64+C112+C119+C126+C133+C139+C199</f>
        <v>20.916000000000004</v>
      </c>
      <c r="E354" s="148"/>
      <c r="F354" s="148"/>
      <c r="G354" s="179">
        <v>4</v>
      </c>
      <c r="H354" s="154">
        <f t="shared" ref="H354:H356" si="57">ROUND(D354*G354,2)</f>
        <v>83.66</v>
      </c>
      <c r="I354" s="247"/>
    </row>
    <row r="355" spans="1:22" ht="18" customHeight="1">
      <c r="B355" s="156" t="s">
        <v>251</v>
      </c>
      <c r="C355" s="157" t="s">
        <v>252</v>
      </c>
      <c r="D355" s="44">
        <f>C88+C163</f>
        <v>0</v>
      </c>
      <c r="E355" s="148"/>
      <c r="F355" s="148"/>
      <c r="G355" s="179">
        <v>3.15</v>
      </c>
      <c r="H355" s="154">
        <f t="shared" si="57"/>
        <v>0</v>
      </c>
      <c r="I355" s="247"/>
    </row>
    <row r="356" spans="1:22" ht="18" customHeight="1">
      <c r="B356" s="156" t="s">
        <v>253</v>
      </c>
      <c r="C356" s="157" t="s">
        <v>254</v>
      </c>
      <c r="D356" s="44">
        <f>C97+C104+C146+C153</f>
        <v>10.212</v>
      </c>
      <c r="E356" s="148"/>
      <c r="F356" s="148"/>
      <c r="G356" s="179">
        <v>3.65</v>
      </c>
      <c r="H356" s="154">
        <f t="shared" si="57"/>
        <v>37.270000000000003</v>
      </c>
      <c r="I356" s="247"/>
    </row>
    <row r="357" spans="1:22" ht="18" customHeight="1">
      <c r="B357" s="156" t="s">
        <v>387</v>
      </c>
      <c r="C357" s="157"/>
      <c r="D357" s="44">
        <f>F291+F292</f>
        <v>2</v>
      </c>
      <c r="E357" s="148"/>
      <c r="F357" s="148"/>
      <c r="G357" s="179">
        <v>6</v>
      </c>
      <c r="H357" s="154"/>
      <c r="I357" s="247"/>
    </row>
    <row r="358" spans="1:22" ht="18" customHeight="1">
      <c r="B358" s="156" t="s">
        <v>255</v>
      </c>
      <c r="C358" s="157"/>
      <c r="D358" s="180"/>
      <c r="E358" s="148"/>
      <c r="F358" s="148"/>
      <c r="G358" s="148">
        <v>70</v>
      </c>
      <c r="H358" s="154">
        <f>D358*G358</f>
        <v>0</v>
      </c>
      <c r="I358" s="247"/>
    </row>
    <row r="359" spans="1:22" ht="18" customHeight="1">
      <c r="B359" s="156" t="s">
        <v>858</v>
      </c>
      <c r="C359" s="157"/>
      <c r="D359" s="180">
        <f>(D4*2+E4*0)/1000</f>
        <v>2.6</v>
      </c>
      <c r="E359" s="148"/>
      <c r="F359" s="148"/>
      <c r="G359" s="148">
        <v>180</v>
      </c>
      <c r="H359" s="154">
        <f>D359*G359</f>
        <v>468</v>
      </c>
      <c r="I359" s="247"/>
    </row>
    <row r="360" spans="1:22" ht="18" customHeight="1">
      <c r="B360" s="156" t="s">
        <v>388</v>
      </c>
      <c r="C360" s="157"/>
      <c r="D360" s="250">
        <v>1</v>
      </c>
      <c r="E360" s="148"/>
      <c r="F360" s="148"/>
      <c r="G360" s="148">
        <v>9.6</v>
      </c>
      <c r="H360" s="154">
        <f>ROUND(D360*G360,2)</f>
        <v>9.6</v>
      </c>
      <c r="I360" s="247"/>
    </row>
    <row r="361" spans="1:22" ht="18" customHeight="1">
      <c r="B361" s="156" t="s">
        <v>901</v>
      </c>
      <c r="C361" s="157"/>
      <c r="D361" s="463">
        <f>(D4+E4)*2/1000</f>
        <v>7.5</v>
      </c>
      <c r="E361" s="148"/>
      <c r="F361" s="148"/>
      <c r="G361" s="148">
        <v>45</v>
      </c>
      <c r="H361" s="154">
        <f>ROUND(D361*G361,2)</f>
        <v>337.5</v>
      </c>
      <c r="I361" s="468"/>
    </row>
    <row r="362" spans="1:22" ht="18" customHeight="1">
      <c r="B362" s="181" t="s">
        <v>398</v>
      </c>
      <c r="C362" s="157"/>
      <c r="D362" s="182">
        <f>F366</f>
        <v>2.9274</v>
      </c>
      <c r="E362" s="148"/>
      <c r="F362" s="148"/>
      <c r="G362" s="148">
        <v>3</v>
      </c>
      <c r="H362" s="154">
        <f>D362*G362</f>
        <v>8.7821999999999996</v>
      </c>
      <c r="I362" s="247"/>
    </row>
    <row r="363" spans="1:22" ht="18" customHeight="1">
      <c r="B363" s="150" t="s">
        <v>256</v>
      </c>
      <c r="C363" s="50"/>
      <c r="D363" s="50"/>
      <c r="E363" s="50"/>
      <c r="F363" s="50"/>
      <c r="G363" s="166"/>
      <c r="H363" s="155">
        <f>SUM(H351:H362)</f>
        <v>964.97220000000004</v>
      </c>
      <c r="I363" s="183"/>
    </row>
    <row r="364" spans="1:22" ht="18" customHeight="1">
      <c r="B364" s="248" t="s">
        <v>257</v>
      </c>
      <c r="C364" s="185"/>
      <c r="D364" s="186"/>
      <c r="E364" s="185"/>
      <c r="F364" s="186"/>
      <c r="G364" s="186"/>
      <c r="H364" s="187">
        <f>SUM(H363,H350,H337,H322,H314,H308,H304)</f>
        <v>1561.427899</v>
      </c>
      <c r="I364" s="188"/>
    </row>
    <row r="365" spans="1:22" ht="18" customHeight="1">
      <c r="A365" s="189"/>
      <c r="B365" s="190" t="s">
        <v>258</v>
      </c>
      <c r="C365" s="10" t="s">
        <v>14</v>
      </c>
      <c r="D365" s="10" t="s">
        <v>16</v>
      </c>
      <c r="E365" s="10" t="s">
        <v>17</v>
      </c>
      <c r="F365" s="10" t="s">
        <v>7</v>
      </c>
      <c r="G365" s="10" t="s">
        <v>5</v>
      </c>
      <c r="H365" s="10" t="s">
        <v>18</v>
      </c>
      <c r="I365" s="191" t="s">
        <v>259</v>
      </c>
      <c r="L365" s="192"/>
      <c r="M365" s="192"/>
    </row>
    <row r="366" spans="1:22" ht="18" customHeight="1">
      <c r="B366" s="48">
        <f>ROUND(I366/F366,2)</f>
        <v>1505.58</v>
      </c>
      <c r="C366" s="50" t="s">
        <v>299</v>
      </c>
      <c r="D366" s="50">
        <f>D5</f>
        <v>1230</v>
      </c>
      <c r="E366" s="50">
        <f>E5</f>
        <v>2380</v>
      </c>
      <c r="F366" s="49">
        <f>E366*D366/1000000</f>
        <v>2.9274</v>
      </c>
      <c r="G366" s="50">
        <f>G4</f>
        <v>1</v>
      </c>
      <c r="H366" s="49">
        <f>F366</f>
        <v>2.9274</v>
      </c>
      <c r="I366" s="193">
        <f>H364+H291+H292+I223+I12</f>
        <v>4407.4288207660002</v>
      </c>
      <c r="K366" s="192"/>
    </row>
    <row r="367" spans="1:22" ht="18" customHeight="1">
      <c r="B367" s="194" t="s">
        <v>258</v>
      </c>
      <c r="C367" s="195" t="s">
        <v>260</v>
      </c>
      <c r="D367" s="195" t="s">
        <v>261</v>
      </c>
      <c r="E367" s="195" t="s">
        <v>262</v>
      </c>
      <c r="F367" s="195" t="s">
        <v>263</v>
      </c>
      <c r="G367" s="195" t="s">
        <v>264</v>
      </c>
      <c r="H367" s="195" t="s">
        <v>265</v>
      </c>
      <c r="I367" s="196" t="s">
        <v>266</v>
      </c>
    </row>
    <row r="368" spans="1:22" ht="30" customHeight="1" thickBot="1">
      <c r="B368" s="197">
        <f>ROUND(I366/H366,2)</f>
        <v>1505.58</v>
      </c>
      <c r="C368" s="198">
        <f>E294+E296+E298+E300+E302+E303+E297+E299</f>
        <v>1</v>
      </c>
      <c r="D368" s="199"/>
      <c r="E368" s="199"/>
      <c r="F368" s="200"/>
      <c r="G368" s="200"/>
      <c r="H368" s="200"/>
      <c r="I368" s="201"/>
      <c r="O368" s="631" t="s">
        <v>603</v>
      </c>
      <c r="P368" s="631"/>
      <c r="Q368" s="631"/>
      <c r="R368" s="631"/>
      <c r="S368" s="631"/>
      <c r="T368" s="631"/>
      <c r="U368" s="631"/>
      <c r="V368" s="631"/>
    </row>
    <row r="369" spans="2:22" ht="20.100000000000001" customHeight="1">
      <c r="B369" s="42"/>
      <c r="L369" s="202"/>
      <c r="M369" s="202"/>
      <c r="N369" s="202"/>
      <c r="O369" s="634" t="s">
        <v>604</v>
      </c>
      <c r="P369" s="634"/>
      <c r="Q369" s="634"/>
      <c r="R369" s="634"/>
      <c r="S369" s="634"/>
      <c r="T369" s="634"/>
      <c r="U369" s="634"/>
      <c r="V369" s="634"/>
    </row>
    <row r="370" spans="2:22" ht="20.100000000000001" customHeight="1">
      <c r="B370" s="102" t="s">
        <v>862</v>
      </c>
      <c r="C370" s="203"/>
      <c r="D370" s="203" t="s">
        <v>267</v>
      </c>
      <c r="E370" s="203"/>
      <c r="J370" s="102"/>
      <c r="O370" s="285" t="s">
        <v>279</v>
      </c>
      <c r="P370" s="624" t="s">
        <v>629</v>
      </c>
      <c r="Q370" s="625"/>
      <c r="R370" s="312" t="str">
        <f ca="1">B4</f>
        <v>WM1325</v>
      </c>
      <c r="S370" s="312"/>
      <c r="T370" s="313"/>
      <c r="U370" s="287" t="s">
        <v>605</v>
      </c>
      <c r="V370" s="288"/>
    </row>
    <row r="371" spans="2:22" ht="24.95" customHeight="1">
      <c r="B371" s="102">
        <f>ROUND(I366/F6,2)</f>
        <v>1524.32</v>
      </c>
      <c r="C371" s="203">
        <f>U392</f>
        <v>1836.4938426747881</v>
      </c>
      <c r="D371" s="203">
        <f>E304</f>
        <v>1</v>
      </c>
      <c r="E371" s="203"/>
      <c r="J371" s="102"/>
      <c r="O371" s="635" t="s">
        <v>606</v>
      </c>
      <c r="P371" s="623" t="s">
        <v>626</v>
      </c>
      <c r="Q371" s="623"/>
      <c r="R371" s="623"/>
      <c r="S371" s="623"/>
      <c r="T371" s="637"/>
      <c r="U371" s="291" t="s">
        <v>607</v>
      </c>
      <c r="V371" s="292" t="s">
        <v>313</v>
      </c>
    </row>
    <row r="372" spans="2:22" ht="24.95" customHeight="1">
      <c r="L372" s="102"/>
      <c r="M372" s="102"/>
      <c r="N372" s="102"/>
      <c r="O372" s="636"/>
      <c r="P372" s="638"/>
      <c r="Q372" s="638"/>
      <c r="R372" s="638"/>
      <c r="S372" s="638"/>
      <c r="T372" s="638"/>
      <c r="U372" s="291" t="s">
        <v>268</v>
      </c>
      <c r="V372" s="293">
        <f>F4</f>
        <v>3.1850000000000001</v>
      </c>
    </row>
    <row r="373" spans="2:22" ht="24.95" customHeight="1">
      <c r="J373" s="102"/>
      <c r="K373" s="102"/>
      <c r="L373" s="102"/>
      <c r="M373" s="102"/>
      <c r="N373" s="102"/>
      <c r="O373" s="311" t="s">
        <v>0</v>
      </c>
      <c r="P373" s="289" t="s">
        <v>608</v>
      </c>
      <c r="Q373" s="289" t="s">
        <v>627</v>
      </c>
      <c r="R373" s="289" t="s">
        <v>269</v>
      </c>
      <c r="S373" s="294" t="s">
        <v>8</v>
      </c>
      <c r="T373" s="295" t="s">
        <v>609</v>
      </c>
      <c r="U373" s="296" t="s">
        <v>270</v>
      </c>
      <c r="V373" s="295" t="s">
        <v>610</v>
      </c>
    </row>
    <row r="374" spans="2:22" ht="20.100000000000001" customHeight="1">
      <c r="J374" s="102"/>
      <c r="K374" s="102"/>
      <c r="L374" s="102"/>
      <c r="M374" s="102"/>
      <c r="N374" s="102"/>
      <c r="O374" s="297" t="s">
        <v>305</v>
      </c>
      <c r="P374" s="298" t="s">
        <v>611</v>
      </c>
      <c r="Q374" s="298"/>
      <c r="R374" s="286"/>
      <c r="S374" s="299"/>
      <c r="T374" s="300"/>
      <c r="U374" s="301">
        <f>SUM(U375:U383)</f>
        <v>4301.060740766</v>
      </c>
      <c r="V374" s="286"/>
    </row>
    <row r="375" spans="2:22" ht="20.100000000000001" customHeight="1">
      <c r="J375" s="102"/>
      <c r="K375" s="102"/>
      <c r="L375" s="102"/>
      <c r="M375" s="102"/>
      <c r="N375" s="102"/>
      <c r="O375" s="286">
        <v>1</v>
      </c>
      <c r="P375" s="302" t="s">
        <v>612</v>
      </c>
      <c r="Q375" s="307"/>
      <c r="R375" s="286" t="s">
        <v>271</v>
      </c>
      <c r="S375" s="303">
        <f>E223</f>
        <v>52.185364000000007</v>
      </c>
      <c r="T375" s="304">
        <f>I223/E223</f>
        <v>47.465433445400514</v>
      </c>
      <c r="U375" s="305">
        <f t="shared" ref="U375:U383" si="58">T375*S375</f>
        <v>2477.0009217660004</v>
      </c>
      <c r="V375" s="306"/>
    </row>
    <row r="376" spans="2:22" ht="20.100000000000001" customHeight="1">
      <c r="J376" s="102"/>
      <c r="K376" s="102"/>
      <c r="L376" s="102"/>
      <c r="M376" s="102"/>
      <c r="N376" s="102"/>
      <c r="O376" s="286">
        <v>2</v>
      </c>
      <c r="P376" s="290" t="s">
        <v>613</v>
      </c>
      <c r="Q376" s="307"/>
      <c r="R376" s="286" t="s">
        <v>276</v>
      </c>
      <c r="S376" s="303">
        <f>D358</f>
        <v>0</v>
      </c>
      <c r="T376" s="304">
        <f>G358</f>
        <v>70</v>
      </c>
      <c r="U376" s="305">
        <f t="shared" si="58"/>
        <v>0</v>
      </c>
      <c r="V376" s="306"/>
    </row>
    <row r="377" spans="2:22" ht="20.100000000000001" customHeight="1">
      <c r="J377" s="102"/>
      <c r="K377" s="102"/>
      <c r="L377" s="102"/>
      <c r="M377" s="102"/>
      <c r="N377" s="102"/>
      <c r="O377" s="286">
        <v>3</v>
      </c>
      <c r="P377" s="302" t="s">
        <v>614</v>
      </c>
      <c r="Q377" s="302"/>
      <c r="R377" s="286" t="s">
        <v>312</v>
      </c>
      <c r="S377" s="303">
        <f>D291+D292</f>
        <v>1.77454</v>
      </c>
      <c r="T377" s="304">
        <f>材料价格!B10</f>
        <v>148</v>
      </c>
      <c r="U377" s="305">
        <f t="shared" si="58"/>
        <v>262.63191999999998</v>
      </c>
      <c r="V377" s="306"/>
    </row>
    <row r="378" spans="2:22" ht="20.100000000000001" customHeight="1">
      <c r="B378" s="630" t="s">
        <v>277</v>
      </c>
      <c r="C378" s="630"/>
      <c r="D378" s="630"/>
      <c r="E378" s="630"/>
      <c r="F378" s="630"/>
      <c r="G378" s="630"/>
      <c r="H378" s="630"/>
      <c r="I378" s="630"/>
      <c r="J378" s="102"/>
      <c r="K378" s="102"/>
      <c r="L378" s="102"/>
      <c r="M378" s="102"/>
      <c r="N378" s="102"/>
      <c r="O378" s="286">
        <v>4</v>
      </c>
      <c r="P378" s="302" t="s">
        <v>615</v>
      </c>
      <c r="Q378" s="306"/>
      <c r="R378" s="286" t="s">
        <v>278</v>
      </c>
      <c r="S378" s="303">
        <f>(H316+H317+H319+H320+H321)/F316</f>
        <v>7.0985915492957758</v>
      </c>
      <c r="T378" s="304">
        <f>材料价格!B25</f>
        <v>8.52</v>
      </c>
      <c r="U378" s="305">
        <f t="shared" si="58"/>
        <v>60.480000000000004</v>
      </c>
      <c r="V378" s="306"/>
    </row>
    <row r="379" spans="2:22" ht="20.100000000000001" customHeight="1">
      <c r="B379" s="204" t="s">
        <v>279</v>
      </c>
      <c r="C379" s="205" t="s">
        <v>280</v>
      </c>
      <c r="D379" s="205" t="s">
        <v>281</v>
      </c>
      <c r="E379" s="205" t="s">
        <v>282</v>
      </c>
      <c r="F379" s="205" t="s">
        <v>379</v>
      </c>
      <c r="G379" s="205"/>
      <c r="H379" s="205" t="s">
        <v>28</v>
      </c>
      <c r="I379" s="205" t="s">
        <v>259</v>
      </c>
      <c r="J379" s="102"/>
      <c r="K379" s="102"/>
      <c r="L379" s="102"/>
      <c r="M379" s="102"/>
      <c r="N379" s="102"/>
      <c r="O379" s="286">
        <v>5</v>
      </c>
      <c r="P379" s="306" t="s">
        <v>616</v>
      </c>
      <c r="Q379" s="302"/>
      <c r="R379" s="286" t="s">
        <v>628</v>
      </c>
      <c r="S379" s="303">
        <f>H337/21</f>
        <v>2.7593190000000005</v>
      </c>
      <c r="T379" s="304">
        <v>21</v>
      </c>
      <c r="U379" s="305">
        <f t="shared" si="58"/>
        <v>57.945699000000012</v>
      </c>
      <c r="V379" s="306"/>
    </row>
    <row r="380" spans="2:22" ht="20.100000000000001" customHeight="1">
      <c r="B380" s="206" t="s">
        <v>284</v>
      </c>
      <c r="C380" s="208" t="s">
        <v>384</v>
      </c>
      <c r="D380" s="207">
        <f>C22+C31+C38+C48+C56+C112+C119+C126+C133+C139+C177+C184+C191+C199</f>
        <v>20.916000000000004</v>
      </c>
      <c r="E380" s="207" t="s">
        <v>383</v>
      </c>
      <c r="F380" s="206"/>
      <c r="G380" s="206"/>
      <c r="H380" s="241">
        <v>2.4</v>
      </c>
      <c r="I380" s="207"/>
      <c r="J380" s="102"/>
      <c r="K380" s="102"/>
      <c r="L380" s="102"/>
      <c r="M380" s="102"/>
      <c r="N380" s="102"/>
      <c r="O380" s="286">
        <v>6</v>
      </c>
      <c r="P380" s="302" t="s">
        <v>319</v>
      </c>
      <c r="Q380" s="302"/>
      <c r="R380" s="286" t="s">
        <v>273</v>
      </c>
      <c r="S380" s="303"/>
      <c r="T380" s="304"/>
      <c r="U380" s="305">
        <f t="shared" si="58"/>
        <v>0</v>
      </c>
      <c r="V380" s="306"/>
    </row>
    <row r="381" spans="2:22" ht="20.100000000000001" customHeight="1">
      <c r="B381" s="206" t="s">
        <v>286</v>
      </c>
      <c r="C381" s="206" t="s">
        <v>287</v>
      </c>
      <c r="D381" s="209">
        <f>(J22+J31+J38+J48+J112+J119+J126)*4+(J56+J133)*2</f>
        <v>12</v>
      </c>
      <c r="E381" s="207" t="s">
        <v>285</v>
      </c>
      <c r="F381" s="206"/>
      <c r="G381" s="206"/>
      <c r="H381" s="241">
        <v>0.5</v>
      </c>
      <c r="I381" s="207">
        <f>H381*D381</f>
        <v>6</v>
      </c>
      <c r="J381" s="102"/>
      <c r="K381" s="102"/>
      <c r="L381" s="102"/>
      <c r="M381" s="102"/>
      <c r="N381" s="102"/>
      <c r="O381" s="286">
        <v>7</v>
      </c>
      <c r="P381" s="302" t="s">
        <v>295</v>
      </c>
      <c r="Q381" s="302"/>
      <c r="R381" s="286" t="s">
        <v>273</v>
      </c>
      <c r="S381" s="303"/>
      <c r="T381" s="304">
        <f>材料价格!B19</f>
        <v>230</v>
      </c>
      <c r="U381" s="305">
        <f t="shared" si="58"/>
        <v>0</v>
      </c>
      <c r="V381" s="306"/>
    </row>
    <row r="382" spans="2:22" ht="20.100000000000001" customHeight="1">
      <c r="B382" s="206" t="s">
        <v>289</v>
      </c>
      <c r="C382" s="206"/>
      <c r="D382" s="210">
        <f>ROUND((C22+C56*2+C64*2+C112+C133*2+C139*2)/0.3,0)+2</f>
        <v>41</v>
      </c>
      <c r="E382" s="207" t="s">
        <v>285</v>
      </c>
      <c r="F382" s="206"/>
      <c r="G382" s="206"/>
      <c r="H382" s="241">
        <v>0.3</v>
      </c>
      <c r="I382" s="207">
        <f t="shared" ref="I382:I387" si="59">H382*D382</f>
        <v>12.299999999999999</v>
      </c>
      <c r="J382" s="102"/>
      <c r="K382" s="102"/>
      <c r="L382" s="102"/>
      <c r="M382" s="102"/>
      <c r="N382" s="102"/>
      <c r="O382" s="286">
        <v>8</v>
      </c>
      <c r="P382" s="302" t="s">
        <v>296</v>
      </c>
      <c r="Q382" s="302"/>
      <c r="R382" s="286" t="s">
        <v>273</v>
      </c>
      <c r="S382" s="303">
        <f>E303</f>
        <v>1</v>
      </c>
      <c r="T382" s="304">
        <f>材料价格!B20</f>
        <v>335</v>
      </c>
      <c r="U382" s="305">
        <f t="shared" si="58"/>
        <v>335</v>
      </c>
      <c r="V382" s="306"/>
    </row>
    <row r="383" spans="2:22" ht="20.100000000000001" customHeight="1">
      <c r="B383" s="206" t="s">
        <v>381</v>
      </c>
      <c r="C383" s="206" t="s">
        <v>389</v>
      </c>
      <c r="D383" s="211">
        <f>C22+C31+C38+C56*2+C64*2+C112+C119+C126+C133*2</f>
        <v>18.624000000000002</v>
      </c>
      <c r="E383" s="207" t="s">
        <v>285</v>
      </c>
      <c r="F383" s="206" t="s">
        <v>380</v>
      </c>
      <c r="G383" s="206"/>
      <c r="H383" s="241">
        <v>2.81</v>
      </c>
      <c r="I383" s="207">
        <f>H383*D383</f>
        <v>52.33344000000001</v>
      </c>
      <c r="J383" s="102"/>
      <c r="K383" s="102"/>
      <c r="L383" s="102"/>
      <c r="M383" s="102"/>
      <c r="N383" s="102"/>
      <c r="O383" s="286">
        <v>9</v>
      </c>
      <c r="P383" s="302" t="s">
        <v>617</v>
      </c>
      <c r="Q383" s="302"/>
      <c r="R383" s="286" t="s">
        <v>618</v>
      </c>
      <c r="S383" s="296">
        <v>1</v>
      </c>
      <c r="T383" s="304">
        <f>H363-H358+H350+H318+H315+H314</f>
        <v>1108.0022000000001</v>
      </c>
      <c r="U383" s="305">
        <f t="shared" si="58"/>
        <v>1108.0022000000001</v>
      </c>
      <c r="V383" s="306"/>
    </row>
    <row r="384" spans="2:22" ht="20.100000000000001" customHeight="1">
      <c r="B384" s="206" t="s">
        <v>390</v>
      </c>
      <c r="C384" s="206" t="s">
        <v>392</v>
      </c>
      <c r="D384" s="211">
        <f>C22+C88+C112+C163</f>
        <v>7.18</v>
      </c>
      <c r="E384" s="207" t="s">
        <v>285</v>
      </c>
      <c r="F384" s="206" t="s">
        <v>394</v>
      </c>
      <c r="G384" s="206"/>
      <c r="H384" s="241">
        <v>3.27</v>
      </c>
      <c r="I384" s="207">
        <f t="shared" ref="I384" si="60">H384*D384</f>
        <v>23.4786</v>
      </c>
      <c r="J384" s="102"/>
      <c r="K384" s="102"/>
      <c r="L384" s="102"/>
      <c r="M384" s="102"/>
      <c r="N384" s="102"/>
      <c r="O384" s="297" t="s">
        <v>306</v>
      </c>
      <c r="P384" s="308" t="s">
        <v>314</v>
      </c>
      <c r="Q384" s="298"/>
      <c r="R384" s="286"/>
      <c r="S384" s="296"/>
      <c r="T384" s="309"/>
      <c r="U384" s="301">
        <f>SUM(U385:U386)</f>
        <v>509.6</v>
      </c>
      <c r="V384" s="286"/>
    </row>
    <row r="385" spans="2:22" ht="20.100000000000001" customHeight="1">
      <c r="B385" s="206" t="s">
        <v>391</v>
      </c>
      <c r="C385" s="206" t="s">
        <v>393</v>
      </c>
      <c r="D385" s="211">
        <f>(C97+C104+C119+C126)*2</f>
        <v>22.888000000000002</v>
      </c>
      <c r="E385" s="207" t="s">
        <v>285</v>
      </c>
      <c r="F385" s="206" t="s">
        <v>395</v>
      </c>
      <c r="G385" s="206"/>
      <c r="H385" s="241">
        <v>1.74</v>
      </c>
      <c r="I385" s="207">
        <f t="shared" si="59"/>
        <v>39.825120000000005</v>
      </c>
      <c r="J385" s="102"/>
      <c r="K385" s="102"/>
      <c r="L385" s="102"/>
      <c r="M385" s="102"/>
      <c r="N385" s="102"/>
      <c r="O385" s="286">
        <v>1</v>
      </c>
      <c r="P385" s="307" t="s">
        <v>619</v>
      </c>
      <c r="Q385" s="307"/>
      <c r="R385" s="300" t="s">
        <v>312</v>
      </c>
      <c r="S385" s="296">
        <f>V372</f>
        <v>3.1850000000000001</v>
      </c>
      <c r="T385" s="310">
        <v>60</v>
      </c>
      <c r="U385" s="305">
        <f>T385*S385</f>
        <v>191.1</v>
      </c>
      <c r="V385" s="286"/>
    </row>
    <row r="386" spans="2:22" ht="20.100000000000001" customHeight="1">
      <c r="B386" s="208" t="s">
        <v>382</v>
      </c>
      <c r="C386" s="206" t="s">
        <v>291</v>
      </c>
      <c r="D386" s="211">
        <f>D338+D339+D341</f>
        <v>10</v>
      </c>
      <c r="E386" s="207" t="s">
        <v>285</v>
      </c>
      <c r="F386" s="206"/>
      <c r="G386" s="206"/>
      <c r="H386" s="241">
        <v>0.56999999999999995</v>
      </c>
      <c r="I386" s="207">
        <f>H386*D386</f>
        <v>5.6999999999999993</v>
      </c>
      <c r="J386" s="102"/>
      <c r="K386" s="102"/>
      <c r="L386" s="102"/>
      <c r="M386" s="102"/>
      <c r="N386" s="102"/>
      <c r="O386" s="286">
        <v>2</v>
      </c>
      <c r="P386" s="307" t="s">
        <v>288</v>
      </c>
      <c r="Q386" s="307"/>
      <c r="R386" s="300" t="s">
        <v>312</v>
      </c>
      <c r="S386" s="296">
        <f>V372</f>
        <v>3.1850000000000001</v>
      </c>
      <c r="T386" s="310">
        <v>100</v>
      </c>
      <c r="U386" s="305">
        <f>T386*S386</f>
        <v>318.5</v>
      </c>
      <c r="V386" s="286"/>
    </row>
    <row r="387" spans="2:22" ht="20.100000000000001" customHeight="1">
      <c r="B387" s="206" t="s">
        <v>292</v>
      </c>
      <c r="C387" s="206"/>
      <c r="D387" s="211">
        <f>H366</f>
        <v>2.9274</v>
      </c>
      <c r="E387" s="207" t="s">
        <v>285</v>
      </c>
      <c r="F387" s="206"/>
      <c r="G387" s="206"/>
      <c r="H387" s="241">
        <v>20</v>
      </c>
      <c r="I387" s="207">
        <f t="shared" si="59"/>
        <v>58.548000000000002</v>
      </c>
      <c r="J387" s="102"/>
      <c r="K387" s="102"/>
      <c r="L387" s="102"/>
      <c r="M387" s="102"/>
      <c r="N387" s="102"/>
      <c r="O387" s="297" t="s">
        <v>307</v>
      </c>
      <c r="P387" s="308" t="s">
        <v>290</v>
      </c>
      <c r="Q387" s="298"/>
      <c r="R387" s="286"/>
      <c r="S387" s="296"/>
      <c r="T387" s="309"/>
      <c r="U387" s="301">
        <f>SUM(U388)</f>
        <v>63.7</v>
      </c>
      <c r="V387" s="286"/>
    </row>
    <row r="388" spans="2:22" ht="20.100000000000001" customHeight="1">
      <c r="B388" s="212" t="s">
        <v>4</v>
      </c>
      <c r="C388" s="213"/>
      <c r="D388" s="212"/>
      <c r="E388" s="212"/>
      <c r="F388" s="212"/>
      <c r="G388" s="212"/>
      <c r="H388" s="212"/>
      <c r="I388" s="213">
        <f>SUM(I380:I387)</f>
        <v>198.18516</v>
      </c>
      <c r="J388" s="242"/>
      <c r="K388" s="102"/>
      <c r="L388" s="102"/>
      <c r="M388" s="102"/>
      <c r="N388" s="102"/>
      <c r="O388" s="286">
        <v>1</v>
      </c>
      <c r="P388" s="307" t="s">
        <v>290</v>
      </c>
      <c r="Q388" s="307"/>
      <c r="R388" s="300" t="s">
        <v>312</v>
      </c>
      <c r="S388" s="296">
        <f>V372</f>
        <v>3.1850000000000001</v>
      </c>
      <c r="T388" s="310">
        <v>20</v>
      </c>
      <c r="U388" s="305">
        <f>T388*S388</f>
        <v>63.7</v>
      </c>
      <c r="V388" s="286"/>
    </row>
    <row r="389" spans="2:22" ht="20.100000000000001" customHeight="1">
      <c r="J389" s="102"/>
      <c r="K389" s="102"/>
      <c r="L389" s="102"/>
      <c r="M389" s="102"/>
      <c r="N389" s="102"/>
      <c r="O389" s="286" t="s">
        <v>308</v>
      </c>
      <c r="P389" s="618" t="s">
        <v>620</v>
      </c>
      <c r="Q389" s="619"/>
      <c r="R389" s="620"/>
      <c r="S389" s="621"/>
      <c r="T389" s="622"/>
      <c r="U389" s="301">
        <f>U374+U384+U387</f>
        <v>4874.3607407660002</v>
      </c>
      <c r="V389" s="286"/>
    </row>
    <row r="390" spans="2:22" ht="20.100000000000001" customHeight="1">
      <c r="J390" s="102"/>
      <c r="K390" s="102"/>
      <c r="L390" s="102"/>
      <c r="M390" s="102"/>
      <c r="N390" s="102"/>
      <c r="O390" s="286" t="s">
        <v>309</v>
      </c>
      <c r="P390" s="618" t="s">
        <v>621</v>
      </c>
      <c r="Q390" s="619"/>
      <c r="R390" s="626">
        <v>0.2</v>
      </c>
      <c r="S390" s="627"/>
      <c r="T390" s="628"/>
      <c r="U390" s="301">
        <f>U389*R390</f>
        <v>974.8721481532001</v>
      </c>
      <c r="V390" s="286"/>
    </row>
    <row r="391" spans="2:22" ht="20.100000000000001" customHeight="1">
      <c r="J391" s="102"/>
      <c r="K391" s="102"/>
      <c r="L391" s="102"/>
      <c r="M391" s="102"/>
      <c r="N391" s="102"/>
      <c r="O391" s="286" t="s">
        <v>310</v>
      </c>
      <c r="P391" s="618" t="s">
        <v>622</v>
      </c>
      <c r="Q391" s="619"/>
      <c r="R391" s="620"/>
      <c r="S391" s="621"/>
      <c r="T391" s="622"/>
      <c r="U391" s="301">
        <f>U389+U390</f>
        <v>5849.2328889192004</v>
      </c>
      <c r="V391" s="286"/>
    </row>
    <row r="392" spans="2:22" ht="30" customHeight="1">
      <c r="L392" s="102"/>
      <c r="M392" s="102"/>
      <c r="N392" s="102"/>
      <c r="O392" s="297" t="s">
        <v>311</v>
      </c>
      <c r="P392" s="618" t="s">
        <v>623</v>
      </c>
      <c r="Q392" s="619"/>
      <c r="R392" s="620"/>
      <c r="S392" s="621"/>
      <c r="T392" s="622"/>
      <c r="U392" s="301">
        <f>U391/V372</f>
        <v>1836.4938426747881</v>
      </c>
      <c r="V392" s="286" t="s">
        <v>624</v>
      </c>
    </row>
    <row r="393" spans="2:22" ht="45" customHeight="1">
      <c r="L393" s="102"/>
      <c r="M393" s="102"/>
      <c r="N393" s="102"/>
      <c r="O393" s="623" t="s">
        <v>625</v>
      </c>
      <c r="P393" s="623"/>
      <c r="Q393" s="623"/>
      <c r="R393" s="623"/>
      <c r="S393" s="623"/>
      <c r="T393" s="623"/>
      <c r="U393" s="623"/>
      <c r="V393" s="623"/>
    </row>
    <row r="394" spans="2:22" ht="18" customHeight="1">
      <c r="L394" s="102"/>
      <c r="M394" s="102"/>
      <c r="N394" s="102"/>
      <c r="O394" s="102"/>
      <c r="P394" s="102"/>
    </row>
    <row r="395" spans="2:22">
      <c r="L395" s="102"/>
      <c r="M395" s="102"/>
      <c r="N395" s="102"/>
      <c r="O395" s="102"/>
      <c r="P395" s="102"/>
    </row>
    <row r="396" spans="2:22">
      <c r="L396" s="102"/>
      <c r="M396" s="102"/>
      <c r="N396" s="102"/>
      <c r="O396" s="102"/>
      <c r="P396" s="102"/>
    </row>
    <row r="397" spans="2:22">
      <c r="L397" s="102"/>
      <c r="M397" s="102"/>
      <c r="N397" s="102"/>
      <c r="O397" s="102"/>
      <c r="P397" s="102"/>
    </row>
    <row r="398" spans="2:22">
      <c r="L398" s="102"/>
      <c r="M398" s="102"/>
      <c r="N398" s="102"/>
      <c r="O398" s="102"/>
      <c r="P398" s="102"/>
    </row>
    <row r="399" spans="2:22">
      <c r="L399" s="102"/>
      <c r="M399" s="102"/>
      <c r="N399" s="102"/>
      <c r="O399" s="102"/>
      <c r="P399" s="102"/>
    </row>
    <row r="400" spans="2:22">
      <c r="L400" s="102"/>
      <c r="M400" s="102"/>
      <c r="N400" s="102"/>
      <c r="O400" s="102"/>
      <c r="P400" s="102"/>
    </row>
    <row r="401" spans="12:16">
      <c r="L401" s="102"/>
      <c r="M401" s="102"/>
      <c r="N401" s="102"/>
      <c r="O401" s="102"/>
      <c r="P401" s="102"/>
    </row>
    <row r="402" spans="12:16">
      <c r="L402" s="102"/>
      <c r="M402" s="102"/>
      <c r="N402" s="102"/>
      <c r="O402" s="102"/>
      <c r="P402" s="102"/>
    </row>
    <row r="403" spans="12:16">
      <c r="L403" s="102"/>
      <c r="M403" s="102"/>
      <c r="N403" s="102"/>
      <c r="O403" s="102"/>
      <c r="P403" s="102"/>
    </row>
    <row r="404" spans="12:16">
      <c r="L404" s="102"/>
      <c r="M404" s="102"/>
      <c r="N404" s="102"/>
      <c r="O404" s="102"/>
      <c r="P404" s="102"/>
    </row>
    <row r="405" spans="12:16">
      <c r="L405" s="102"/>
      <c r="M405" s="102"/>
      <c r="N405" s="102"/>
      <c r="O405" s="102"/>
      <c r="P405" s="102"/>
    </row>
    <row r="406" spans="12:16">
      <c r="L406" s="102"/>
      <c r="M406" s="102"/>
      <c r="N406" s="102"/>
      <c r="O406" s="102"/>
      <c r="P406" s="102"/>
    </row>
    <row r="407" spans="12:16">
      <c r="L407" s="102"/>
      <c r="M407" s="102"/>
      <c r="N407" s="102"/>
      <c r="O407" s="102"/>
      <c r="P407" s="102"/>
    </row>
    <row r="408" spans="12:16">
      <c r="L408" s="102"/>
      <c r="M408" s="102"/>
      <c r="N408" s="102"/>
      <c r="O408" s="102"/>
      <c r="P408" s="102"/>
    </row>
    <row r="409" spans="12:16">
      <c r="L409" s="102"/>
      <c r="M409" s="102"/>
      <c r="N409" s="102"/>
      <c r="O409" s="102"/>
      <c r="P409" s="102"/>
    </row>
    <row r="410" spans="12:16">
      <c r="L410" s="102"/>
      <c r="M410" s="102"/>
      <c r="N410" s="102"/>
      <c r="O410" s="102"/>
      <c r="P410" s="102"/>
    </row>
    <row r="411" spans="12:16">
      <c r="L411" s="102"/>
      <c r="M411" s="102"/>
      <c r="N411" s="102"/>
      <c r="O411" s="102"/>
      <c r="P411" s="102"/>
    </row>
    <row r="412" spans="12:16">
      <c r="L412" s="102"/>
      <c r="M412" s="102"/>
      <c r="N412" s="102"/>
      <c r="O412" s="102"/>
      <c r="P412" s="102"/>
    </row>
    <row r="413" spans="12:16">
      <c r="L413" s="102"/>
      <c r="M413" s="102"/>
      <c r="N413" s="102"/>
      <c r="O413" s="102"/>
      <c r="P413" s="102"/>
    </row>
    <row r="414" spans="12:16">
      <c r="L414" s="102"/>
      <c r="M414" s="102"/>
      <c r="N414" s="102"/>
      <c r="O414" s="102"/>
      <c r="P414" s="102"/>
    </row>
    <row r="415" spans="12:16">
      <c r="L415" s="102"/>
      <c r="M415" s="102"/>
      <c r="N415" s="102"/>
      <c r="O415" s="102"/>
      <c r="P415" s="102"/>
    </row>
    <row r="416" spans="12:16">
      <c r="L416" s="102"/>
      <c r="M416" s="102"/>
      <c r="N416" s="102"/>
      <c r="O416" s="102"/>
      <c r="P416" s="102"/>
    </row>
    <row r="417" spans="10:16">
      <c r="L417" s="102"/>
      <c r="M417" s="102"/>
      <c r="N417" s="102"/>
      <c r="O417" s="102"/>
      <c r="P417" s="102"/>
    </row>
    <row r="418" spans="10:16">
      <c r="L418" s="102"/>
      <c r="M418" s="102"/>
      <c r="N418" s="102"/>
      <c r="O418" s="102"/>
      <c r="P418" s="102"/>
    </row>
    <row r="419" spans="10:16">
      <c r="L419" s="102"/>
      <c r="M419" s="102"/>
      <c r="N419" s="102"/>
      <c r="O419" s="102"/>
      <c r="P419" s="102"/>
    </row>
    <row r="420" spans="10:16">
      <c r="L420" s="102"/>
      <c r="M420" s="102"/>
      <c r="N420" s="102"/>
      <c r="O420" s="102"/>
      <c r="P420" s="102"/>
    </row>
    <row r="421" spans="10:16">
      <c r="L421" s="102"/>
      <c r="M421" s="102"/>
      <c r="N421" s="102"/>
      <c r="O421" s="102"/>
      <c r="P421" s="102"/>
    </row>
    <row r="422" spans="10:16">
      <c r="L422" s="102"/>
      <c r="M422" s="102"/>
      <c r="N422" s="102"/>
      <c r="O422" s="102"/>
      <c r="P422" s="102"/>
    </row>
    <row r="423" spans="10:16">
      <c r="L423" s="102"/>
      <c r="M423" s="102"/>
      <c r="N423" s="102"/>
      <c r="O423" s="102"/>
      <c r="P423" s="102"/>
    </row>
    <row r="424" spans="10:16">
      <c r="L424" s="102"/>
      <c r="M424" s="102"/>
      <c r="N424" s="102"/>
      <c r="O424" s="102"/>
      <c r="P424" s="102"/>
    </row>
    <row r="425" spans="10:16">
      <c r="L425" s="102"/>
      <c r="M425" s="102"/>
      <c r="N425" s="102"/>
      <c r="O425" s="102"/>
      <c r="P425" s="102"/>
    </row>
    <row r="426" spans="10:16">
      <c r="L426" s="102"/>
      <c r="M426" s="102"/>
      <c r="N426" s="102"/>
      <c r="O426" s="102"/>
      <c r="P426" s="102"/>
    </row>
    <row r="427" spans="10:16">
      <c r="J427" s="102"/>
      <c r="K427" s="102"/>
      <c r="L427" s="102"/>
      <c r="M427" s="102"/>
      <c r="N427" s="102"/>
      <c r="O427" s="102"/>
      <c r="P427" s="102"/>
    </row>
    <row r="428" spans="10:16">
      <c r="J428" s="102"/>
      <c r="K428" s="102"/>
      <c r="L428" s="102"/>
      <c r="M428" s="102"/>
      <c r="N428" s="102"/>
      <c r="O428" s="102"/>
      <c r="P428" s="102"/>
    </row>
    <row r="429" spans="10:16">
      <c r="J429" s="102"/>
      <c r="K429" s="102"/>
      <c r="L429" s="102"/>
      <c r="M429" s="102"/>
      <c r="N429" s="102"/>
      <c r="O429" s="102"/>
      <c r="P429" s="102"/>
    </row>
    <row r="430" spans="10:16">
      <c r="J430" s="102"/>
      <c r="K430" s="102"/>
      <c r="L430" s="102"/>
      <c r="M430" s="102"/>
      <c r="N430" s="102"/>
      <c r="O430" s="102"/>
      <c r="P430" s="102"/>
    </row>
    <row r="431" spans="10:16">
      <c r="J431" s="102"/>
      <c r="K431" s="102"/>
      <c r="L431" s="102"/>
      <c r="M431" s="102"/>
      <c r="N431" s="102"/>
      <c r="O431" s="102"/>
      <c r="P431" s="102"/>
    </row>
    <row r="432" spans="10:16">
      <c r="J432" s="102"/>
      <c r="K432" s="102"/>
      <c r="L432" s="102"/>
      <c r="M432" s="102"/>
      <c r="N432" s="102"/>
      <c r="O432" s="102"/>
      <c r="P432" s="102"/>
    </row>
    <row r="433" spans="10:16">
      <c r="J433" s="102"/>
      <c r="K433" s="102"/>
      <c r="L433" s="102"/>
      <c r="M433" s="102"/>
      <c r="N433" s="102"/>
      <c r="O433" s="102"/>
      <c r="P433" s="102"/>
    </row>
    <row r="434" spans="10:16">
      <c r="J434" s="102"/>
      <c r="K434" s="102"/>
      <c r="L434" s="102"/>
      <c r="M434" s="102"/>
      <c r="N434" s="102"/>
      <c r="O434" s="102"/>
      <c r="P434" s="102"/>
    </row>
    <row r="435" spans="10:16">
      <c r="J435" s="102"/>
      <c r="K435" s="102"/>
      <c r="L435" s="102"/>
      <c r="M435" s="102"/>
      <c r="N435" s="102"/>
      <c r="O435" s="102"/>
      <c r="P435" s="102"/>
    </row>
    <row r="436" spans="10:16">
      <c r="J436" s="102"/>
      <c r="K436" s="102"/>
      <c r="L436" s="102"/>
      <c r="M436" s="102"/>
      <c r="N436" s="102"/>
      <c r="O436" s="102"/>
      <c r="P436" s="102"/>
    </row>
    <row r="437" spans="10:16">
      <c r="J437" s="102"/>
      <c r="K437" s="102"/>
      <c r="L437" s="102"/>
      <c r="M437" s="102"/>
      <c r="N437" s="102"/>
      <c r="O437" s="102"/>
      <c r="P437" s="102"/>
    </row>
    <row r="438" spans="10:16">
      <c r="J438" s="102"/>
      <c r="K438" s="102"/>
      <c r="L438" s="102"/>
      <c r="M438" s="102"/>
      <c r="N438" s="102"/>
      <c r="O438" s="102"/>
      <c r="P438" s="102"/>
    </row>
    <row r="439" spans="10:16">
      <c r="J439" s="102"/>
      <c r="K439" s="102"/>
      <c r="L439" s="102"/>
      <c r="M439" s="102"/>
      <c r="N439" s="102"/>
      <c r="O439" s="102"/>
      <c r="P439" s="102"/>
    </row>
    <row r="440" spans="10:16">
      <c r="J440" s="102"/>
      <c r="K440" s="102"/>
      <c r="L440" s="102"/>
      <c r="M440" s="102"/>
      <c r="N440" s="102"/>
      <c r="O440" s="102"/>
      <c r="P440" s="102"/>
    </row>
    <row r="441" spans="10:16">
      <c r="J441" s="102"/>
      <c r="K441" s="102"/>
      <c r="L441" s="102"/>
      <c r="M441" s="102"/>
      <c r="N441" s="102"/>
      <c r="O441" s="102"/>
      <c r="P441" s="102"/>
    </row>
    <row r="442" spans="10:16">
      <c r="J442" s="102"/>
      <c r="K442" s="102"/>
      <c r="L442" s="102"/>
      <c r="M442" s="102"/>
      <c r="N442" s="102"/>
      <c r="O442" s="102"/>
      <c r="P442" s="102"/>
    </row>
    <row r="443" spans="10:16">
      <c r="J443" s="102"/>
      <c r="K443" s="102"/>
      <c r="L443" s="102"/>
      <c r="M443" s="102"/>
      <c r="N443" s="102"/>
      <c r="O443" s="102"/>
      <c r="P443" s="102"/>
    </row>
    <row r="444" spans="10:16">
      <c r="J444" s="102"/>
      <c r="K444" s="102"/>
      <c r="L444" s="102"/>
      <c r="M444" s="102"/>
      <c r="N444" s="102"/>
      <c r="O444" s="102"/>
      <c r="P444" s="102"/>
    </row>
    <row r="445" spans="10:16">
      <c r="J445" s="102"/>
      <c r="K445" s="102"/>
      <c r="L445" s="102"/>
      <c r="M445" s="102"/>
      <c r="N445" s="102"/>
      <c r="O445" s="102"/>
      <c r="P445" s="102"/>
    </row>
    <row r="446" spans="10:16">
      <c r="J446" s="102"/>
      <c r="K446" s="102"/>
      <c r="L446" s="102"/>
      <c r="M446" s="102"/>
      <c r="N446" s="102"/>
      <c r="O446" s="102"/>
      <c r="P446" s="102"/>
    </row>
    <row r="447" spans="10:16">
      <c r="J447" s="102"/>
      <c r="K447" s="102"/>
      <c r="L447" s="102"/>
      <c r="M447" s="102"/>
      <c r="N447" s="102"/>
      <c r="O447" s="102"/>
      <c r="P447" s="102"/>
    </row>
    <row r="448" spans="10:16">
      <c r="J448" s="102"/>
      <c r="K448" s="102"/>
      <c r="L448" s="102"/>
      <c r="M448" s="102"/>
      <c r="N448" s="102"/>
      <c r="O448" s="102"/>
      <c r="P448" s="102"/>
    </row>
    <row r="449" spans="10:16">
      <c r="J449" s="102"/>
      <c r="K449" s="102"/>
      <c r="L449" s="102"/>
      <c r="M449" s="102"/>
      <c r="N449" s="102"/>
      <c r="O449" s="102"/>
      <c r="P449" s="102"/>
    </row>
    <row r="450" spans="10:16">
      <c r="J450" s="102"/>
      <c r="K450" s="102"/>
      <c r="L450" s="102"/>
      <c r="M450" s="102"/>
      <c r="N450" s="102"/>
      <c r="O450" s="102"/>
      <c r="P450" s="102"/>
    </row>
    <row r="451" spans="10:16">
      <c r="J451" s="102"/>
      <c r="K451" s="102"/>
      <c r="L451" s="102"/>
      <c r="M451" s="102"/>
      <c r="N451" s="102"/>
      <c r="O451" s="102"/>
      <c r="P451" s="102"/>
    </row>
    <row r="452" spans="10:16">
      <c r="J452" s="102"/>
      <c r="K452" s="102"/>
      <c r="L452" s="102"/>
      <c r="M452" s="102"/>
      <c r="N452" s="102"/>
      <c r="O452" s="102"/>
      <c r="P452" s="102"/>
    </row>
    <row r="453" spans="10:16">
      <c r="J453" s="102"/>
      <c r="K453" s="102"/>
      <c r="L453" s="102"/>
      <c r="M453" s="102"/>
      <c r="N453" s="102"/>
      <c r="O453" s="102"/>
      <c r="P453" s="102"/>
    </row>
    <row r="454" spans="10:16">
      <c r="J454" s="102"/>
      <c r="K454" s="102"/>
      <c r="L454" s="102"/>
      <c r="M454" s="102"/>
      <c r="N454" s="102"/>
      <c r="O454" s="102"/>
      <c r="P454" s="102"/>
    </row>
    <row r="455" spans="10:16">
      <c r="J455" s="102"/>
      <c r="K455" s="102"/>
      <c r="L455" s="102"/>
      <c r="M455" s="102"/>
      <c r="N455" s="102"/>
      <c r="O455" s="102"/>
      <c r="P455" s="102"/>
    </row>
    <row r="456" spans="10:16">
      <c r="J456" s="102"/>
      <c r="K456" s="102"/>
      <c r="L456" s="102"/>
      <c r="M456" s="102"/>
      <c r="N456" s="102"/>
      <c r="O456" s="102"/>
      <c r="P456" s="102"/>
    </row>
    <row r="457" spans="10:16">
      <c r="J457" s="102"/>
      <c r="K457" s="102"/>
      <c r="L457" s="102"/>
      <c r="M457" s="102"/>
      <c r="N457" s="102"/>
      <c r="O457" s="102"/>
      <c r="P457" s="102"/>
    </row>
    <row r="458" spans="10:16">
      <c r="J458" s="102"/>
      <c r="K458" s="102"/>
      <c r="L458" s="102"/>
      <c r="M458" s="102"/>
      <c r="N458" s="102"/>
      <c r="O458" s="102"/>
      <c r="P458" s="102"/>
    </row>
    <row r="459" spans="10:16">
      <c r="J459" s="102"/>
      <c r="K459" s="102"/>
      <c r="L459" s="102"/>
      <c r="M459" s="102"/>
      <c r="N459" s="102"/>
      <c r="O459" s="102"/>
      <c r="P459" s="102"/>
    </row>
    <row r="460" spans="10:16">
      <c r="J460" s="102"/>
      <c r="K460" s="102"/>
      <c r="L460" s="102"/>
      <c r="M460" s="102"/>
      <c r="N460" s="102"/>
      <c r="O460" s="102"/>
      <c r="P460" s="102"/>
    </row>
    <row r="461" spans="10:16">
      <c r="J461" s="102"/>
      <c r="K461" s="102"/>
      <c r="L461" s="102"/>
      <c r="M461" s="102"/>
      <c r="N461" s="102"/>
      <c r="O461" s="102"/>
      <c r="P461" s="102"/>
    </row>
    <row r="462" spans="10:16">
      <c r="J462" s="102"/>
      <c r="K462" s="102"/>
      <c r="L462" s="102"/>
      <c r="M462" s="102"/>
      <c r="N462" s="102"/>
      <c r="O462" s="102"/>
      <c r="P462" s="102"/>
    </row>
    <row r="463" spans="10:16">
      <c r="J463" s="102"/>
      <c r="K463" s="102"/>
      <c r="L463" s="102"/>
      <c r="M463" s="102"/>
      <c r="N463" s="102"/>
      <c r="O463" s="102"/>
      <c r="P463" s="102"/>
    </row>
    <row r="464" spans="10:16">
      <c r="J464" s="102"/>
      <c r="K464" s="102"/>
      <c r="L464" s="102"/>
      <c r="M464" s="102"/>
      <c r="N464" s="102"/>
      <c r="O464" s="102"/>
      <c r="P464" s="102"/>
    </row>
  </sheetData>
  <mergeCells count="95">
    <mergeCell ref="F2:H2"/>
    <mergeCell ref="I2:I6"/>
    <mergeCell ref="J2:M2"/>
    <mergeCell ref="B4:B6"/>
    <mergeCell ref="B14:B21"/>
    <mergeCell ref="C14:C21"/>
    <mergeCell ref="B26:B30"/>
    <mergeCell ref="C26:C30"/>
    <mergeCell ref="B35:B37"/>
    <mergeCell ref="C35:C37"/>
    <mergeCell ref="B42:B47"/>
    <mergeCell ref="C42:C44"/>
    <mergeCell ref="C45:C47"/>
    <mergeCell ref="B52:B55"/>
    <mergeCell ref="C52:C55"/>
    <mergeCell ref="D59:F59"/>
    <mergeCell ref="B60:B63"/>
    <mergeCell ref="C60:C61"/>
    <mergeCell ref="D60:F60"/>
    <mergeCell ref="D61:F61"/>
    <mergeCell ref="C62:C63"/>
    <mergeCell ref="D62:F62"/>
    <mergeCell ref="D63:F63"/>
    <mergeCell ref="B68:B87"/>
    <mergeCell ref="C68:C74"/>
    <mergeCell ref="C75:C81"/>
    <mergeCell ref="C82:C87"/>
    <mergeCell ref="B92:B96"/>
    <mergeCell ref="C92:C96"/>
    <mergeCell ref="B137:B138"/>
    <mergeCell ref="C137:C138"/>
    <mergeCell ref="D137:F137"/>
    <mergeCell ref="D138:F138"/>
    <mergeCell ref="B101:B103"/>
    <mergeCell ref="C101:C103"/>
    <mergeCell ref="B108:B111"/>
    <mergeCell ref="C108:C111"/>
    <mergeCell ref="B116:B118"/>
    <mergeCell ref="C116:C118"/>
    <mergeCell ref="B123:B125"/>
    <mergeCell ref="C123:C125"/>
    <mergeCell ref="B130:B132"/>
    <mergeCell ref="C130:C132"/>
    <mergeCell ref="D136:F136"/>
    <mergeCell ref="B143:B145"/>
    <mergeCell ref="C143:C145"/>
    <mergeCell ref="B150:B152"/>
    <mergeCell ref="C150:C152"/>
    <mergeCell ref="B157:B162"/>
    <mergeCell ref="C157:C162"/>
    <mergeCell ref="B167:B169"/>
    <mergeCell ref="C167:C169"/>
    <mergeCell ref="B174:B176"/>
    <mergeCell ref="C174:C176"/>
    <mergeCell ref="B181:B183"/>
    <mergeCell ref="C181:C183"/>
    <mergeCell ref="F209:F210"/>
    <mergeCell ref="B188:B190"/>
    <mergeCell ref="C188:C190"/>
    <mergeCell ref="D194:F194"/>
    <mergeCell ref="B195:B196"/>
    <mergeCell ref="C195:C196"/>
    <mergeCell ref="D195:F195"/>
    <mergeCell ref="D196:F196"/>
    <mergeCell ref="B197:B198"/>
    <mergeCell ref="C197:C198"/>
    <mergeCell ref="D197:F197"/>
    <mergeCell ref="D198:F198"/>
    <mergeCell ref="F203:F204"/>
    <mergeCell ref="O369:V369"/>
    <mergeCell ref="F211:F212"/>
    <mergeCell ref="F213:F214"/>
    <mergeCell ref="B291:B292"/>
    <mergeCell ref="B294:B295"/>
    <mergeCell ref="I294:I295"/>
    <mergeCell ref="B296:B297"/>
    <mergeCell ref="I296:I297"/>
    <mergeCell ref="B298:B299"/>
    <mergeCell ref="I298:I299"/>
    <mergeCell ref="B300:B301"/>
    <mergeCell ref="B302:B303"/>
    <mergeCell ref="O368:V368"/>
    <mergeCell ref="P370:Q370"/>
    <mergeCell ref="O371:O372"/>
    <mergeCell ref="P371:T372"/>
    <mergeCell ref="B378:I378"/>
    <mergeCell ref="P389:Q389"/>
    <mergeCell ref="R389:T389"/>
    <mergeCell ref="O393:V393"/>
    <mergeCell ref="P390:Q390"/>
    <mergeCell ref="R390:T390"/>
    <mergeCell ref="P391:Q391"/>
    <mergeCell ref="R391:T391"/>
    <mergeCell ref="P392:Q392"/>
    <mergeCell ref="R392:T392"/>
  </mergeCells>
  <phoneticPr fontId="5" type="noConversion"/>
  <pageMargins left="0.19685039370078741" right="0.19685039370078741" top="0.74803149606299213" bottom="0.74803149606299213" header="0.31496062992125984" footer="0.31496062992125984"/>
  <pageSetup paperSize="9" scale="78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B8515-D24E-44EC-8ADC-F1223DBE5FAF}">
  <sheetPr>
    <tabColor rgb="FF7030A0"/>
    <pageSetUpPr fitToPage="1"/>
  </sheetPr>
  <dimension ref="A1:V464"/>
  <sheetViews>
    <sheetView showZeros="0" topLeftCell="A341" zoomScaleNormal="100" workbookViewId="0">
      <selection activeCell="C372" sqref="C372"/>
    </sheetView>
  </sheetViews>
  <sheetFormatPr defaultColWidth="25.25" defaultRowHeight="13.5"/>
  <cols>
    <col min="1" max="1" width="0.5" style="1" customWidth="1"/>
    <col min="2" max="2" width="25.25" style="102" customWidth="1"/>
    <col min="3" max="3" width="14.75" style="102" customWidth="1"/>
    <col min="4" max="4" width="11.5" style="102" customWidth="1"/>
    <col min="5" max="5" width="11.25" style="102" customWidth="1"/>
    <col min="6" max="6" width="12.25" style="102" customWidth="1"/>
    <col min="7" max="7" width="10" style="102" customWidth="1"/>
    <col min="8" max="8" width="9.875" style="102" customWidth="1"/>
    <col min="9" max="9" width="26.875" style="102" customWidth="1"/>
    <col min="10" max="10" width="11.125" style="43" customWidth="1"/>
    <col min="11" max="11" width="7.875" style="43" customWidth="1"/>
    <col min="12" max="12" width="7.25" style="43" customWidth="1"/>
    <col min="13" max="13" width="9.125" style="43" customWidth="1"/>
    <col min="14" max="14" width="15.125" style="255" customWidth="1"/>
    <col min="15" max="15" width="13.125" style="255" customWidth="1"/>
    <col min="16" max="16" width="24.375" style="255" customWidth="1"/>
    <col min="17" max="17" width="13.75" style="255" customWidth="1"/>
    <col min="18" max="18" width="11.25" style="255" customWidth="1"/>
    <col min="19" max="19" width="10.75" style="255" customWidth="1"/>
    <col min="20" max="20" width="10" style="255" customWidth="1"/>
    <col min="21" max="21" width="9.875" style="255" customWidth="1"/>
    <col min="22" max="22" width="26.125" style="255" customWidth="1"/>
    <col min="23" max="23" width="11.125" style="255" customWidth="1"/>
    <col min="24" max="24" width="7.875" style="255" customWidth="1"/>
    <col min="25" max="25" width="7.25" style="255" customWidth="1"/>
    <col min="26" max="26" width="9.125" style="255" customWidth="1"/>
    <col min="27" max="27" width="15.125" style="255" customWidth="1"/>
    <col min="28" max="28" width="7.75" style="255" customWidth="1"/>
    <col min="29" max="29" width="7.125" style="255" customWidth="1"/>
    <col min="30" max="30" width="12.125" style="255" customWidth="1"/>
    <col min="31" max="31" width="8.25" style="255" customWidth="1"/>
    <col min="32" max="33" width="10.375" style="255" customWidth="1"/>
    <col min="34" max="34" width="15.625" style="255" customWidth="1"/>
    <col min="35" max="35" width="15.875" style="255" customWidth="1"/>
    <col min="36" max="36" width="8.125" style="255" customWidth="1"/>
    <col min="37" max="40" width="10.375" style="255" customWidth="1"/>
    <col min="41" max="41" width="7.25" style="255" customWidth="1"/>
    <col min="42" max="42" width="7.125" style="255" customWidth="1"/>
    <col min="43" max="43" width="9.5" style="255" customWidth="1"/>
    <col min="44" max="45" width="9" style="255" customWidth="1"/>
    <col min="46" max="46" width="16.125" style="255" customWidth="1"/>
    <col min="47" max="77" width="9" style="255" customWidth="1"/>
    <col min="78" max="237" width="25.25" style="255"/>
    <col min="238" max="267" width="9" style="255" customWidth="1"/>
    <col min="268" max="268" width="0.5" style="255" customWidth="1"/>
    <col min="269" max="269" width="25.25" style="255"/>
    <col min="270" max="270" width="0.5" style="255" customWidth="1"/>
    <col min="271" max="271" width="25.25" style="255"/>
    <col min="272" max="272" width="14.75" style="255" customWidth="1"/>
    <col min="273" max="273" width="11.5" style="255" customWidth="1"/>
    <col min="274" max="274" width="11.25" style="255" customWidth="1"/>
    <col min="275" max="275" width="10.75" style="255" customWidth="1"/>
    <col min="276" max="276" width="10" style="255" customWidth="1"/>
    <col min="277" max="277" width="9.875" style="255" customWidth="1"/>
    <col min="278" max="278" width="26.125" style="255" customWidth="1"/>
    <col min="279" max="279" width="11.125" style="255" customWidth="1"/>
    <col min="280" max="280" width="7.875" style="255" customWidth="1"/>
    <col min="281" max="281" width="7.25" style="255" customWidth="1"/>
    <col min="282" max="282" width="9.125" style="255" customWidth="1"/>
    <col min="283" max="283" width="15.125" style="255" customWidth="1"/>
    <col min="284" max="284" width="7.75" style="255" customWidth="1"/>
    <col min="285" max="285" width="7.125" style="255" customWidth="1"/>
    <col min="286" max="286" width="12.125" style="255" customWidth="1"/>
    <col min="287" max="287" width="8.25" style="255" customWidth="1"/>
    <col min="288" max="289" width="10.375" style="255" customWidth="1"/>
    <col min="290" max="290" width="15.625" style="255" customWidth="1"/>
    <col min="291" max="291" width="15.875" style="255" customWidth="1"/>
    <col min="292" max="292" width="8.125" style="255" customWidth="1"/>
    <col min="293" max="296" width="10.375" style="255" customWidth="1"/>
    <col min="297" max="297" width="7.25" style="255" customWidth="1"/>
    <col min="298" max="298" width="7.125" style="255" customWidth="1"/>
    <col min="299" max="299" width="9.5" style="255" customWidth="1"/>
    <col min="300" max="301" width="9" style="255" customWidth="1"/>
    <col min="302" max="302" width="16.125" style="255" customWidth="1"/>
    <col min="303" max="333" width="9" style="255" customWidth="1"/>
    <col min="334" max="493" width="25.25" style="255"/>
    <col min="494" max="523" width="9" style="255" customWidth="1"/>
    <col min="524" max="524" width="0.5" style="255" customWidth="1"/>
    <col min="525" max="525" width="25.25" style="255"/>
    <col min="526" max="526" width="0.5" style="255" customWidth="1"/>
    <col min="527" max="527" width="25.25" style="255"/>
    <col min="528" max="528" width="14.75" style="255" customWidth="1"/>
    <col min="529" max="529" width="11.5" style="255" customWidth="1"/>
    <col min="530" max="530" width="11.25" style="255" customWidth="1"/>
    <col min="531" max="531" width="10.75" style="255" customWidth="1"/>
    <col min="532" max="532" width="10" style="255" customWidth="1"/>
    <col min="533" max="533" width="9.875" style="255" customWidth="1"/>
    <col min="534" max="534" width="26.125" style="255" customWidth="1"/>
    <col min="535" max="535" width="11.125" style="255" customWidth="1"/>
    <col min="536" max="536" width="7.875" style="255" customWidth="1"/>
    <col min="537" max="537" width="7.25" style="255" customWidth="1"/>
    <col min="538" max="538" width="9.125" style="255" customWidth="1"/>
    <col min="539" max="539" width="15.125" style="255" customWidth="1"/>
    <col min="540" max="540" width="7.75" style="255" customWidth="1"/>
    <col min="541" max="541" width="7.125" style="255" customWidth="1"/>
    <col min="542" max="542" width="12.125" style="255" customWidth="1"/>
    <col min="543" max="543" width="8.25" style="255" customWidth="1"/>
    <col min="544" max="545" width="10.375" style="255" customWidth="1"/>
    <col min="546" max="546" width="15.625" style="255" customWidth="1"/>
    <col min="547" max="547" width="15.875" style="255" customWidth="1"/>
    <col min="548" max="548" width="8.125" style="255" customWidth="1"/>
    <col min="549" max="552" width="10.375" style="255" customWidth="1"/>
    <col min="553" max="553" width="7.25" style="255" customWidth="1"/>
    <col min="554" max="554" width="7.125" style="255" customWidth="1"/>
    <col min="555" max="555" width="9.5" style="255" customWidth="1"/>
    <col min="556" max="557" width="9" style="255" customWidth="1"/>
    <col min="558" max="558" width="16.125" style="255" customWidth="1"/>
    <col min="559" max="589" width="9" style="255" customWidth="1"/>
    <col min="590" max="749" width="25.25" style="255"/>
    <col min="750" max="779" width="9" style="255" customWidth="1"/>
    <col min="780" max="780" width="0.5" style="255" customWidth="1"/>
    <col min="781" max="781" width="25.25" style="255"/>
    <col min="782" max="782" width="0.5" style="255" customWidth="1"/>
    <col min="783" max="783" width="25.25" style="255"/>
    <col min="784" max="784" width="14.75" style="255" customWidth="1"/>
    <col min="785" max="785" width="11.5" style="255" customWidth="1"/>
    <col min="786" max="786" width="11.25" style="255" customWidth="1"/>
    <col min="787" max="787" width="10.75" style="255" customWidth="1"/>
    <col min="788" max="788" width="10" style="255" customWidth="1"/>
    <col min="789" max="789" width="9.875" style="255" customWidth="1"/>
    <col min="790" max="790" width="26.125" style="255" customWidth="1"/>
    <col min="791" max="791" width="11.125" style="255" customWidth="1"/>
    <col min="792" max="792" width="7.875" style="255" customWidth="1"/>
    <col min="793" max="793" width="7.25" style="255" customWidth="1"/>
    <col min="794" max="794" width="9.125" style="255" customWidth="1"/>
    <col min="795" max="795" width="15.125" style="255" customWidth="1"/>
    <col min="796" max="796" width="7.75" style="255" customWidth="1"/>
    <col min="797" max="797" width="7.125" style="255" customWidth="1"/>
    <col min="798" max="798" width="12.125" style="255" customWidth="1"/>
    <col min="799" max="799" width="8.25" style="255" customWidth="1"/>
    <col min="800" max="801" width="10.375" style="255" customWidth="1"/>
    <col min="802" max="802" width="15.625" style="255" customWidth="1"/>
    <col min="803" max="803" width="15.875" style="255" customWidth="1"/>
    <col min="804" max="804" width="8.125" style="255" customWidth="1"/>
    <col min="805" max="808" width="10.375" style="255" customWidth="1"/>
    <col min="809" max="809" width="7.25" style="255" customWidth="1"/>
    <col min="810" max="810" width="7.125" style="255" customWidth="1"/>
    <col min="811" max="811" width="9.5" style="255" customWidth="1"/>
    <col min="812" max="813" width="9" style="255" customWidth="1"/>
    <col min="814" max="814" width="16.125" style="255" customWidth="1"/>
    <col min="815" max="845" width="9" style="255" customWidth="1"/>
    <col min="846" max="1005" width="25.25" style="255"/>
    <col min="1006" max="1035" width="9" style="255" customWidth="1"/>
    <col min="1036" max="1036" width="0.5" style="255" customWidth="1"/>
    <col min="1037" max="1037" width="25.25" style="255"/>
    <col min="1038" max="1038" width="0.5" style="255" customWidth="1"/>
    <col min="1039" max="1039" width="25.25" style="255"/>
    <col min="1040" max="1040" width="14.75" style="255" customWidth="1"/>
    <col min="1041" max="1041" width="11.5" style="255" customWidth="1"/>
    <col min="1042" max="1042" width="11.25" style="255" customWidth="1"/>
    <col min="1043" max="1043" width="10.75" style="255" customWidth="1"/>
    <col min="1044" max="1044" width="10" style="255" customWidth="1"/>
    <col min="1045" max="1045" width="9.875" style="255" customWidth="1"/>
    <col min="1046" max="1046" width="26.125" style="255" customWidth="1"/>
    <col min="1047" max="1047" width="11.125" style="255" customWidth="1"/>
    <col min="1048" max="1048" width="7.875" style="255" customWidth="1"/>
    <col min="1049" max="1049" width="7.25" style="255" customWidth="1"/>
    <col min="1050" max="1050" width="9.125" style="255" customWidth="1"/>
    <col min="1051" max="1051" width="15.125" style="255" customWidth="1"/>
    <col min="1052" max="1052" width="7.75" style="255" customWidth="1"/>
    <col min="1053" max="1053" width="7.125" style="255" customWidth="1"/>
    <col min="1054" max="1054" width="12.125" style="255" customWidth="1"/>
    <col min="1055" max="1055" width="8.25" style="255" customWidth="1"/>
    <col min="1056" max="1057" width="10.375" style="255" customWidth="1"/>
    <col min="1058" max="1058" width="15.625" style="255" customWidth="1"/>
    <col min="1059" max="1059" width="15.875" style="255" customWidth="1"/>
    <col min="1060" max="1060" width="8.125" style="255" customWidth="1"/>
    <col min="1061" max="1064" width="10.375" style="255" customWidth="1"/>
    <col min="1065" max="1065" width="7.25" style="255" customWidth="1"/>
    <col min="1066" max="1066" width="7.125" style="255" customWidth="1"/>
    <col min="1067" max="1067" width="9.5" style="255" customWidth="1"/>
    <col min="1068" max="1069" width="9" style="255" customWidth="1"/>
    <col min="1070" max="1070" width="16.125" style="255" customWidth="1"/>
    <col min="1071" max="1101" width="9" style="255" customWidth="1"/>
    <col min="1102" max="1261" width="25.25" style="255"/>
    <col min="1262" max="1291" width="9" style="255" customWidth="1"/>
    <col min="1292" max="1292" width="0.5" style="255" customWidth="1"/>
    <col min="1293" max="1293" width="25.25" style="255"/>
    <col min="1294" max="1294" width="0.5" style="255" customWidth="1"/>
    <col min="1295" max="1295" width="25.25" style="255"/>
    <col min="1296" max="1296" width="14.75" style="255" customWidth="1"/>
    <col min="1297" max="1297" width="11.5" style="255" customWidth="1"/>
    <col min="1298" max="1298" width="11.25" style="255" customWidth="1"/>
    <col min="1299" max="1299" width="10.75" style="255" customWidth="1"/>
    <col min="1300" max="1300" width="10" style="255" customWidth="1"/>
    <col min="1301" max="1301" width="9.875" style="255" customWidth="1"/>
    <col min="1302" max="1302" width="26.125" style="255" customWidth="1"/>
    <col min="1303" max="1303" width="11.125" style="255" customWidth="1"/>
    <col min="1304" max="1304" width="7.875" style="255" customWidth="1"/>
    <col min="1305" max="1305" width="7.25" style="255" customWidth="1"/>
    <col min="1306" max="1306" width="9.125" style="255" customWidth="1"/>
    <col min="1307" max="1307" width="15.125" style="255" customWidth="1"/>
    <col min="1308" max="1308" width="7.75" style="255" customWidth="1"/>
    <col min="1309" max="1309" width="7.125" style="255" customWidth="1"/>
    <col min="1310" max="1310" width="12.125" style="255" customWidth="1"/>
    <col min="1311" max="1311" width="8.25" style="255" customWidth="1"/>
    <col min="1312" max="1313" width="10.375" style="255" customWidth="1"/>
    <col min="1314" max="1314" width="15.625" style="255" customWidth="1"/>
    <col min="1315" max="1315" width="15.875" style="255" customWidth="1"/>
    <col min="1316" max="1316" width="8.125" style="255" customWidth="1"/>
    <col min="1317" max="1320" width="10.375" style="255" customWidth="1"/>
    <col min="1321" max="1321" width="7.25" style="255" customWidth="1"/>
    <col min="1322" max="1322" width="7.125" style="255" customWidth="1"/>
    <col min="1323" max="1323" width="9.5" style="255" customWidth="1"/>
    <col min="1324" max="1325" width="9" style="255" customWidth="1"/>
    <col min="1326" max="1326" width="16.125" style="255" customWidth="1"/>
    <col min="1327" max="1357" width="9" style="255" customWidth="1"/>
    <col min="1358" max="1517" width="25.25" style="255"/>
    <col min="1518" max="1547" width="9" style="255" customWidth="1"/>
    <col min="1548" max="1548" width="0.5" style="255" customWidth="1"/>
    <col min="1549" max="1549" width="25.25" style="255"/>
    <col min="1550" max="1550" width="0.5" style="255" customWidth="1"/>
    <col min="1551" max="1551" width="25.25" style="255"/>
    <col min="1552" max="1552" width="14.75" style="255" customWidth="1"/>
    <col min="1553" max="1553" width="11.5" style="255" customWidth="1"/>
    <col min="1554" max="1554" width="11.25" style="255" customWidth="1"/>
    <col min="1555" max="1555" width="10.75" style="255" customWidth="1"/>
    <col min="1556" max="1556" width="10" style="255" customWidth="1"/>
    <col min="1557" max="1557" width="9.875" style="255" customWidth="1"/>
    <col min="1558" max="1558" width="26.125" style="255" customWidth="1"/>
    <col min="1559" max="1559" width="11.125" style="255" customWidth="1"/>
    <col min="1560" max="1560" width="7.875" style="255" customWidth="1"/>
    <col min="1561" max="1561" width="7.25" style="255" customWidth="1"/>
    <col min="1562" max="1562" width="9.125" style="255" customWidth="1"/>
    <col min="1563" max="1563" width="15.125" style="255" customWidth="1"/>
    <col min="1564" max="1564" width="7.75" style="255" customWidth="1"/>
    <col min="1565" max="1565" width="7.125" style="255" customWidth="1"/>
    <col min="1566" max="1566" width="12.125" style="255" customWidth="1"/>
    <col min="1567" max="1567" width="8.25" style="255" customWidth="1"/>
    <col min="1568" max="1569" width="10.375" style="255" customWidth="1"/>
    <col min="1570" max="1570" width="15.625" style="255" customWidth="1"/>
    <col min="1571" max="1571" width="15.875" style="255" customWidth="1"/>
    <col min="1572" max="1572" width="8.125" style="255" customWidth="1"/>
    <col min="1573" max="1576" width="10.375" style="255" customWidth="1"/>
    <col min="1577" max="1577" width="7.25" style="255" customWidth="1"/>
    <col min="1578" max="1578" width="7.125" style="255" customWidth="1"/>
    <col min="1579" max="1579" width="9.5" style="255" customWidth="1"/>
    <col min="1580" max="1581" width="9" style="255" customWidth="1"/>
    <col min="1582" max="1582" width="16.125" style="255" customWidth="1"/>
    <col min="1583" max="1613" width="9" style="255" customWidth="1"/>
    <col min="1614" max="1773" width="25.25" style="255"/>
    <col min="1774" max="1803" width="9" style="255" customWidth="1"/>
    <col min="1804" max="1804" width="0.5" style="255" customWidth="1"/>
    <col min="1805" max="1805" width="25.25" style="255"/>
    <col min="1806" max="1806" width="0.5" style="255" customWidth="1"/>
    <col min="1807" max="1807" width="25.25" style="255"/>
    <col min="1808" max="1808" width="14.75" style="255" customWidth="1"/>
    <col min="1809" max="1809" width="11.5" style="255" customWidth="1"/>
    <col min="1810" max="1810" width="11.25" style="255" customWidth="1"/>
    <col min="1811" max="1811" width="10.75" style="255" customWidth="1"/>
    <col min="1812" max="1812" width="10" style="255" customWidth="1"/>
    <col min="1813" max="1813" width="9.875" style="255" customWidth="1"/>
    <col min="1814" max="1814" width="26.125" style="255" customWidth="1"/>
    <col min="1815" max="1815" width="11.125" style="255" customWidth="1"/>
    <col min="1816" max="1816" width="7.875" style="255" customWidth="1"/>
    <col min="1817" max="1817" width="7.25" style="255" customWidth="1"/>
    <col min="1818" max="1818" width="9.125" style="255" customWidth="1"/>
    <col min="1819" max="1819" width="15.125" style="255" customWidth="1"/>
    <col min="1820" max="1820" width="7.75" style="255" customWidth="1"/>
    <col min="1821" max="1821" width="7.125" style="255" customWidth="1"/>
    <col min="1822" max="1822" width="12.125" style="255" customWidth="1"/>
    <col min="1823" max="1823" width="8.25" style="255" customWidth="1"/>
    <col min="1824" max="1825" width="10.375" style="255" customWidth="1"/>
    <col min="1826" max="1826" width="15.625" style="255" customWidth="1"/>
    <col min="1827" max="1827" width="15.875" style="255" customWidth="1"/>
    <col min="1828" max="1828" width="8.125" style="255" customWidth="1"/>
    <col min="1829" max="1832" width="10.375" style="255" customWidth="1"/>
    <col min="1833" max="1833" width="7.25" style="255" customWidth="1"/>
    <col min="1834" max="1834" width="7.125" style="255" customWidth="1"/>
    <col min="1835" max="1835" width="9.5" style="255" customWidth="1"/>
    <col min="1836" max="1837" width="9" style="255" customWidth="1"/>
    <col min="1838" max="1838" width="16.125" style="255" customWidth="1"/>
    <col min="1839" max="1869" width="9" style="255" customWidth="1"/>
    <col min="1870" max="2029" width="25.25" style="255"/>
    <col min="2030" max="2059" width="9" style="255" customWidth="1"/>
    <col min="2060" max="2060" width="0.5" style="255" customWidth="1"/>
    <col min="2061" max="2061" width="25.25" style="255"/>
    <col min="2062" max="2062" width="0.5" style="255" customWidth="1"/>
    <col min="2063" max="2063" width="25.25" style="255"/>
    <col min="2064" max="2064" width="14.75" style="255" customWidth="1"/>
    <col min="2065" max="2065" width="11.5" style="255" customWidth="1"/>
    <col min="2066" max="2066" width="11.25" style="255" customWidth="1"/>
    <col min="2067" max="2067" width="10.75" style="255" customWidth="1"/>
    <col min="2068" max="2068" width="10" style="255" customWidth="1"/>
    <col min="2069" max="2069" width="9.875" style="255" customWidth="1"/>
    <col min="2070" max="2070" width="26.125" style="255" customWidth="1"/>
    <col min="2071" max="2071" width="11.125" style="255" customWidth="1"/>
    <col min="2072" max="2072" width="7.875" style="255" customWidth="1"/>
    <col min="2073" max="2073" width="7.25" style="255" customWidth="1"/>
    <col min="2074" max="2074" width="9.125" style="255" customWidth="1"/>
    <col min="2075" max="2075" width="15.125" style="255" customWidth="1"/>
    <col min="2076" max="2076" width="7.75" style="255" customWidth="1"/>
    <col min="2077" max="2077" width="7.125" style="255" customWidth="1"/>
    <col min="2078" max="2078" width="12.125" style="255" customWidth="1"/>
    <col min="2079" max="2079" width="8.25" style="255" customWidth="1"/>
    <col min="2080" max="2081" width="10.375" style="255" customWidth="1"/>
    <col min="2082" max="2082" width="15.625" style="255" customWidth="1"/>
    <col min="2083" max="2083" width="15.875" style="255" customWidth="1"/>
    <col min="2084" max="2084" width="8.125" style="255" customWidth="1"/>
    <col min="2085" max="2088" width="10.375" style="255" customWidth="1"/>
    <col min="2089" max="2089" width="7.25" style="255" customWidth="1"/>
    <col min="2090" max="2090" width="7.125" style="255" customWidth="1"/>
    <col min="2091" max="2091" width="9.5" style="255" customWidth="1"/>
    <col min="2092" max="2093" width="9" style="255" customWidth="1"/>
    <col min="2094" max="2094" width="16.125" style="255" customWidth="1"/>
    <col min="2095" max="2125" width="9" style="255" customWidth="1"/>
    <col min="2126" max="2285" width="25.25" style="255"/>
    <col min="2286" max="2315" width="9" style="255" customWidth="1"/>
    <col min="2316" max="2316" width="0.5" style="255" customWidth="1"/>
    <col min="2317" max="2317" width="25.25" style="255"/>
    <col min="2318" max="2318" width="0.5" style="255" customWidth="1"/>
    <col min="2319" max="2319" width="25.25" style="255"/>
    <col min="2320" max="2320" width="14.75" style="255" customWidth="1"/>
    <col min="2321" max="2321" width="11.5" style="255" customWidth="1"/>
    <col min="2322" max="2322" width="11.25" style="255" customWidth="1"/>
    <col min="2323" max="2323" width="10.75" style="255" customWidth="1"/>
    <col min="2324" max="2324" width="10" style="255" customWidth="1"/>
    <col min="2325" max="2325" width="9.875" style="255" customWidth="1"/>
    <col min="2326" max="2326" width="26.125" style="255" customWidth="1"/>
    <col min="2327" max="2327" width="11.125" style="255" customWidth="1"/>
    <col min="2328" max="2328" width="7.875" style="255" customWidth="1"/>
    <col min="2329" max="2329" width="7.25" style="255" customWidth="1"/>
    <col min="2330" max="2330" width="9.125" style="255" customWidth="1"/>
    <col min="2331" max="2331" width="15.125" style="255" customWidth="1"/>
    <col min="2332" max="2332" width="7.75" style="255" customWidth="1"/>
    <col min="2333" max="2333" width="7.125" style="255" customWidth="1"/>
    <col min="2334" max="2334" width="12.125" style="255" customWidth="1"/>
    <col min="2335" max="2335" width="8.25" style="255" customWidth="1"/>
    <col min="2336" max="2337" width="10.375" style="255" customWidth="1"/>
    <col min="2338" max="2338" width="15.625" style="255" customWidth="1"/>
    <col min="2339" max="2339" width="15.875" style="255" customWidth="1"/>
    <col min="2340" max="2340" width="8.125" style="255" customWidth="1"/>
    <col min="2341" max="2344" width="10.375" style="255" customWidth="1"/>
    <col min="2345" max="2345" width="7.25" style="255" customWidth="1"/>
    <col min="2346" max="2346" width="7.125" style="255" customWidth="1"/>
    <col min="2347" max="2347" width="9.5" style="255" customWidth="1"/>
    <col min="2348" max="2349" width="9" style="255" customWidth="1"/>
    <col min="2350" max="2350" width="16.125" style="255" customWidth="1"/>
    <col min="2351" max="2381" width="9" style="255" customWidth="1"/>
    <col min="2382" max="2541" width="25.25" style="255"/>
    <col min="2542" max="2571" width="9" style="255" customWidth="1"/>
    <col min="2572" max="2572" width="0.5" style="255" customWidth="1"/>
    <col min="2573" max="2573" width="25.25" style="255"/>
    <col min="2574" max="2574" width="0.5" style="255" customWidth="1"/>
    <col min="2575" max="2575" width="25.25" style="255"/>
    <col min="2576" max="2576" width="14.75" style="255" customWidth="1"/>
    <col min="2577" max="2577" width="11.5" style="255" customWidth="1"/>
    <col min="2578" max="2578" width="11.25" style="255" customWidth="1"/>
    <col min="2579" max="2579" width="10.75" style="255" customWidth="1"/>
    <col min="2580" max="2580" width="10" style="255" customWidth="1"/>
    <col min="2581" max="2581" width="9.875" style="255" customWidth="1"/>
    <col min="2582" max="2582" width="26.125" style="255" customWidth="1"/>
    <col min="2583" max="2583" width="11.125" style="255" customWidth="1"/>
    <col min="2584" max="2584" width="7.875" style="255" customWidth="1"/>
    <col min="2585" max="2585" width="7.25" style="255" customWidth="1"/>
    <col min="2586" max="2586" width="9.125" style="255" customWidth="1"/>
    <col min="2587" max="2587" width="15.125" style="255" customWidth="1"/>
    <col min="2588" max="2588" width="7.75" style="255" customWidth="1"/>
    <col min="2589" max="2589" width="7.125" style="255" customWidth="1"/>
    <col min="2590" max="2590" width="12.125" style="255" customWidth="1"/>
    <col min="2591" max="2591" width="8.25" style="255" customWidth="1"/>
    <col min="2592" max="2593" width="10.375" style="255" customWidth="1"/>
    <col min="2594" max="2594" width="15.625" style="255" customWidth="1"/>
    <col min="2595" max="2595" width="15.875" style="255" customWidth="1"/>
    <col min="2596" max="2596" width="8.125" style="255" customWidth="1"/>
    <col min="2597" max="2600" width="10.375" style="255" customWidth="1"/>
    <col min="2601" max="2601" width="7.25" style="255" customWidth="1"/>
    <col min="2602" max="2602" width="7.125" style="255" customWidth="1"/>
    <col min="2603" max="2603" width="9.5" style="255" customWidth="1"/>
    <col min="2604" max="2605" width="9" style="255" customWidth="1"/>
    <col min="2606" max="2606" width="16.125" style="255" customWidth="1"/>
    <col min="2607" max="2637" width="9" style="255" customWidth="1"/>
    <col min="2638" max="2797" width="25.25" style="255"/>
    <col min="2798" max="2827" width="9" style="255" customWidth="1"/>
    <col min="2828" max="2828" width="0.5" style="255" customWidth="1"/>
    <col min="2829" max="2829" width="25.25" style="255"/>
    <col min="2830" max="2830" width="0.5" style="255" customWidth="1"/>
    <col min="2831" max="2831" width="25.25" style="255"/>
    <col min="2832" max="2832" width="14.75" style="255" customWidth="1"/>
    <col min="2833" max="2833" width="11.5" style="255" customWidth="1"/>
    <col min="2834" max="2834" width="11.25" style="255" customWidth="1"/>
    <col min="2835" max="2835" width="10.75" style="255" customWidth="1"/>
    <col min="2836" max="2836" width="10" style="255" customWidth="1"/>
    <col min="2837" max="2837" width="9.875" style="255" customWidth="1"/>
    <col min="2838" max="2838" width="26.125" style="255" customWidth="1"/>
    <col min="2839" max="2839" width="11.125" style="255" customWidth="1"/>
    <col min="2840" max="2840" width="7.875" style="255" customWidth="1"/>
    <col min="2841" max="2841" width="7.25" style="255" customWidth="1"/>
    <col min="2842" max="2842" width="9.125" style="255" customWidth="1"/>
    <col min="2843" max="2843" width="15.125" style="255" customWidth="1"/>
    <col min="2844" max="2844" width="7.75" style="255" customWidth="1"/>
    <col min="2845" max="2845" width="7.125" style="255" customWidth="1"/>
    <col min="2846" max="2846" width="12.125" style="255" customWidth="1"/>
    <col min="2847" max="2847" width="8.25" style="255" customWidth="1"/>
    <col min="2848" max="2849" width="10.375" style="255" customWidth="1"/>
    <col min="2850" max="2850" width="15.625" style="255" customWidth="1"/>
    <col min="2851" max="2851" width="15.875" style="255" customWidth="1"/>
    <col min="2852" max="2852" width="8.125" style="255" customWidth="1"/>
    <col min="2853" max="2856" width="10.375" style="255" customWidth="1"/>
    <col min="2857" max="2857" width="7.25" style="255" customWidth="1"/>
    <col min="2858" max="2858" width="7.125" style="255" customWidth="1"/>
    <col min="2859" max="2859" width="9.5" style="255" customWidth="1"/>
    <col min="2860" max="2861" width="9" style="255" customWidth="1"/>
    <col min="2862" max="2862" width="16.125" style="255" customWidth="1"/>
    <col min="2863" max="2893" width="9" style="255" customWidth="1"/>
    <col min="2894" max="3053" width="25.25" style="255"/>
    <col min="3054" max="3083" width="9" style="255" customWidth="1"/>
    <col min="3084" max="3084" width="0.5" style="255" customWidth="1"/>
    <col min="3085" max="3085" width="25.25" style="255"/>
    <col min="3086" max="3086" width="0.5" style="255" customWidth="1"/>
    <col min="3087" max="3087" width="25.25" style="255"/>
    <col min="3088" max="3088" width="14.75" style="255" customWidth="1"/>
    <col min="3089" max="3089" width="11.5" style="255" customWidth="1"/>
    <col min="3090" max="3090" width="11.25" style="255" customWidth="1"/>
    <col min="3091" max="3091" width="10.75" style="255" customWidth="1"/>
    <col min="3092" max="3092" width="10" style="255" customWidth="1"/>
    <col min="3093" max="3093" width="9.875" style="255" customWidth="1"/>
    <col min="3094" max="3094" width="26.125" style="255" customWidth="1"/>
    <col min="3095" max="3095" width="11.125" style="255" customWidth="1"/>
    <col min="3096" max="3096" width="7.875" style="255" customWidth="1"/>
    <col min="3097" max="3097" width="7.25" style="255" customWidth="1"/>
    <col min="3098" max="3098" width="9.125" style="255" customWidth="1"/>
    <col min="3099" max="3099" width="15.125" style="255" customWidth="1"/>
    <col min="3100" max="3100" width="7.75" style="255" customWidth="1"/>
    <col min="3101" max="3101" width="7.125" style="255" customWidth="1"/>
    <col min="3102" max="3102" width="12.125" style="255" customWidth="1"/>
    <col min="3103" max="3103" width="8.25" style="255" customWidth="1"/>
    <col min="3104" max="3105" width="10.375" style="255" customWidth="1"/>
    <col min="3106" max="3106" width="15.625" style="255" customWidth="1"/>
    <col min="3107" max="3107" width="15.875" style="255" customWidth="1"/>
    <col min="3108" max="3108" width="8.125" style="255" customWidth="1"/>
    <col min="3109" max="3112" width="10.375" style="255" customWidth="1"/>
    <col min="3113" max="3113" width="7.25" style="255" customWidth="1"/>
    <col min="3114" max="3114" width="7.125" style="255" customWidth="1"/>
    <col min="3115" max="3115" width="9.5" style="255" customWidth="1"/>
    <col min="3116" max="3117" width="9" style="255" customWidth="1"/>
    <col min="3118" max="3118" width="16.125" style="255" customWidth="1"/>
    <col min="3119" max="3149" width="9" style="255" customWidth="1"/>
    <col min="3150" max="3309" width="25.25" style="255"/>
    <col min="3310" max="3339" width="9" style="255" customWidth="1"/>
    <col min="3340" max="3340" width="0.5" style="255" customWidth="1"/>
    <col min="3341" max="3341" width="25.25" style="255"/>
    <col min="3342" max="3342" width="0.5" style="255" customWidth="1"/>
    <col min="3343" max="3343" width="25.25" style="255"/>
    <col min="3344" max="3344" width="14.75" style="255" customWidth="1"/>
    <col min="3345" max="3345" width="11.5" style="255" customWidth="1"/>
    <col min="3346" max="3346" width="11.25" style="255" customWidth="1"/>
    <col min="3347" max="3347" width="10.75" style="255" customWidth="1"/>
    <col min="3348" max="3348" width="10" style="255" customWidth="1"/>
    <col min="3349" max="3349" width="9.875" style="255" customWidth="1"/>
    <col min="3350" max="3350" width="26.125" style="255" customWidth="1"/>
    <col min="3351" max="3351" width="11.125" style="255" customWidth="1"/>
    <col min="3352" max="3352" width="7.875" style="255" customWidth="1"/>
    <col min="3353" max="3353" width="7.25" style="255" customWidth="1"/>
    <col min="3354" max="3354" width="9.125" style="255" customWidth="1"/>
    <col min="3355" max="3355" width="15.125" style="255" customWidth="1"/>
    <col min="3356" max="3356" width="7.75" style="255" customWidth="1"/>
    <col min="3357" max="3357" width="7.125" style="255" customWidth="1"/>
    <col min="3358" max="3358" width="12.125" style="255" customWidth="1"/>
    <col min="3359" max="3359" width="8.25" style="255" customWidth="1"/>
    <col min="3360" max="3361" width="10.375" style="255" customWidth="1"/>
    <col min="3362" max="3362" width="15.625" style="255" customWidth="1"/>
    <col min="3363" max="3363" width="15.875" style="255" customWidth="1"/>
    <col min="3364" max="3364" width="8.125" style="255" customWidth="1"/>
    <col min="3365" max="3368" width="10.375" style="255" customWidth="1"/>
    <col min="3369" max="3369" width="7.25" style="255" customWidth="1"/>
    <col min="3370" max="3370" width="7.125" style="255" customWidth="1"/>
    <col min="3371" max="3371" width="9.5" style="255" customWidth="1"/>
    <col min="3372" max="3373" width="9" style="255" customWidth="1"/>
    <col min="3374" max="3374" width="16.125" style="255" customWidth="1"/>
    <col min="3375" max="3405" width="9" style="255" customWidth="1"/>
    <col min="3406" max="3565" width="25.25" style="255"/>
    <col min="3566" max="3595" width="9" style="255" customWidth="1"/>
    <col min="3596" max="3596" width="0.5" style="255" customWidth="1"/>
    <col min="3597" max="3597" width="25.25" style="255"/>
    <col min="3598" max="3598" width="0.5" style="255" customWidth="1"/>
    <col min="3599" max="3599" width="25.25" style="255"/>
    <col min="3600" max="3600" width="14.75" style="255" customWidth="1"/>
    <col min="3601" max="3601" width="11.5" style="255" customWidth="1"/>
    <col min="3602" max="3602" width="11.25" style="255" customWidth="1"/>
    <col min="3603" max="3603" width="10.75" style="255" customWidth="1"/>
    <col min="3604" max="3604" width="10" style="255" customWidth="1"/>
    <col min="3605" max="3605" width="9.875" style="255" customWidth="1"/>
    <col min="3606" max="3606" width="26.125" style="255" customWidth="1"/>
    <col min="3607" max="3607" width="11.125" style="255" customWidth="1"/>
    <col min="3608" max="3608" width="7.875" style="255" customWidth="1"/>
    <col min="3609" max="3609" width="7.25" style="255" customWidth="1"/>
    <col min="3610" max="3610" width="9.125" style="255" customWidth="1"/>
    <col min="3611" max="3611" width="15.125" style="255" customWidth="1"/>
    <col min="3612" max="3612" width="7.75" style="255" customWidth="1"/>
    <col min="3613" max="3613" width="7.125" style="255" customWidth="1"/>
    <col min="3614" max="3614" width="12.125" style="255" customWidth="1"/>
    <col min="3615" max="3615" width="8.25" style="255" customWidth="1"/>
    <col min="3616" max="3617" width="10.375" style="255" customWidth="1"/>
    <col min="3618" max="3618" width="15.625" style="255" customWidth="1"/>
    <col min="3619" max="3619" width="15.875" style="255" customWidth="1"/>
    <col min="3620" max="3620" width="8.125" style="255" customWidth="1"/>
    <col min="3621" max="3624" width="10.375" style="255" customWidth="1"/>
    <col min="3625" max="3625" width="7.25" style="255" customWidth="1"/>
    <col min="3626" max="3626" width="7.125" style="255" customWidth="1"/>
    <col min="3627" max="3627" width="9.5" style="255" customWidth="1"/>
    <col min="3628" max="3629" width="9" style="255" customWidth="1"/>
    <col min="3630" max="3630" width="16.125" style="255" customWidth="1"/>
    <col min="3631" max="3661" width="9" style="255" customWidth="1"/>
    <col min="3662" max="3821" width="25.25" style="255"/>
    <col min="3822" max="3851" width="9" style="255" customWidth="1"/>
    <col min="3852" max="3852" width="0.5" style="255" customWidth="1"/>
    <col min="3853" max="3853" width="25.25" style="255"/>
    <col min="3854" max="3854" width="0.5" style="255" customWidth="1"/>
    <col min="3855" max="3855" width="25.25" style="255"/>
    <col min="3856" max="3856" width="14.75" style="255" customWidth="1"/>
    <col min="3857" max="3857" width="11.5" style="255" customWidth="1"/>
    <col min="3858" max="3858" width="11.25" style="255" customWidth="1"/>
    <col min="3859" max="3859" width="10.75" style="255" customWidth="1"/>
    <col min="3860" max="3860" width="10" style="255" customWidth="1"/>
    <col min="3861" max="3861" width="9.875" style="255" customWidth="1"/>
    <col min="3862" max="3862" width="26.125" style="255" customWidth="1"/>
    <col min="3863" max="3863" width="11.125" style="255" customWidth="1"/>
    <col min="3864" max="3864" width="7.875" style="255" customWidth="1"/>
    <col min="3865" max="3865" width="7.25" style="255" customWidth="1"/>
    <col min="3866" max="3866" width="9.125" style="255" customWidth="1"/>
    <col min="3867" max="3867" width="15.125" style="255" customWidth="1"/>
    <col min="3868" max="3868" width="7.75" style="255" customWidth="1"/>
    <col min="3869" max="3869" width="7.125" style="255" customWidth="1"/>
    <col min="3870" max="3870" width="12.125" style="255" customWidth="1"/>
    <col min="3871" max="3871" width="8.25" style="255" customWidth="1"/>
    <col min="3872" max="3873" width="10.375" style="255" customWidth="1"/>
    <col min="3874" max="3874" width="15.625" style="255" customWidth="1"/>
    <col min="3875" max="3875" width="15.875" style="255" customWidth="1"/>
    <col min="3876" max="3876" width="8.125" style="255" customWidth="1"/>
    <col min="3877" max="3880" width="10.375" style="255" customWidth="1"/>
    <col min="3881" max="3881" width="7.25" style="255" customWidth="1"/>
    <col min="3882" max="3882" width="7.125" style="255" customWidth="1"/>
    <col min="3883" max="3883" width="9.5" style="255" customWidth="1"/>
    <col min="3884" max="3885" width="9" style="255" customWidth="1"/>
    <col min="3886" max="3886" width="16.125" style="255" customWidth="1"/>
    <col min="3887" max="3917" width="9" style="255" customWidth="1"/>
    <col min="3918" max="4077" width="25.25" style="255"/>
    <col min="4078" max="4107" width="9" style="255" customWidth="1"/>
    <col min="4108" max="4108" width="0.5" style="255" customWidth="1"/>
    <col min="4109" max="4109" width="25.25" style="255"/>
    <col min="4110" max="4110" width="0.5" style="255" customWidth="1"/>
    <col min="4111" max="4111" width="25.25" style="255"/>
    <col min="4112" max="4112" width="14.75" style="255" customWidth="1"/>
    <col min="4113" max="4113" width="11.5" style="255" customWidth="1"/>
    <col min="4114" max="4114" width="11.25" style="255" customWidth="1"/>
    <col min="4115" max="4115" width="10.75" style="255" customWidth="1"/>
    <col min="4116" max="4116" width="10" style="255" customWidth="1"/>
    <col min="4117" max="4117" width="9.875" style="255" customWidth="1"/>
    <col min="4118" max="4118" width="26.125" style="255" customWidth="1"/>
    <col min="4119" max="4119" width="11.125" style="255" customWidth="1"/>
    <col min="4120" max="4120" width="7.875" style="255" customWidth="1"/>
    <col min="4121" max="4121" width="7.25" style="255" customWidth="1"/>
    <col min="4122" max="4122" width="9.125" style="255" customWidth="1"/>
    <col min="4123" max="4123" width="15.125" style="255" customWidth="1"/>
    <col min="4124" max="4124" width="7.75" style="255" customWidth="1"/>
    <col min="4125" max="4125" width="7.125" style="255" customWidth="1"/>
    <col min="4126" max="4126" width="12.125" style="255" customWidth="1"/>
    <col min="4127" max="4127" width="8.25" style="255" customWidth="1"/>
    <col min="4128" max="4129" width="10.375" style="255" customWidth="1"/>
    <col min="4130" max="4130" width="15.625" style="255" customWidth="1"/>
    <col min="4131" max="4131" width="15.875" style="255" customWidth="1"/>
    <col min="4132" max="4132" width="8.125" style="255" customWidth="1"/>
    <col min="4133" max="4136" width="10.375" style="255" customWidth="1"/>
    <col min="4137" max="4137" width="7.25" style="255" customWidth="1"/>
    <col min="4138" max="4138" width="7.125" style="255" customWidth="1"/>
    <col min="4139" max="4139" width="9.5" style="255" customWidth="1"/>
    <col min="4140" max="4141" width="9" style="255" customWidth="1"/>
    <col min="4142" max="4142" width="16.125" style="255" customWidth="1"/>
    <col min="4143" max="4173" width="9" style="255" customWidth="1"/>
    <col min="4174" max="4333" width="25.25" style="255"/>
    <col min="4334" max="4363" width="9" style="255" customWidth="1"/>
    <col min="4364" max="4364" width="0.5" style="255" customWidth="1"/>
    <col min="4365" max="4365" width="25.25" style="255"/>
    <col min="4366" max="4366" width="0.5" style="255" customWidth="1"/>
    <col min="4367" max="4367" width="25.25" style="255"/>
    <col min="4368" max="4368" width="14.75" style="255" customWidth="1"/>
    <col min="4369" max="4369" width="11.5" style="255" customWidth="1"/>
    <col min="4370" max="4370" width="11.25" style="255" customWidth="1"/>
    <col min="4371" max="4371" width="10.75" style="255" customWidth="1"/>
    <col min="4372" max="4372" width="10" style="255" customWidth="1"/>
    <col min="4373" max="4373" width="9.875" style="255" customWidth="1"/>
    <col min="4374" max="4374" width="26.125" style="255" customWidth="1"/>
    <col min="4375" max="4375" width="11.125" style="255" customWidth="1"/>
    <col min="4376" max="4376" width="7.875" style="255" customWidth="1"/>
    <col min="4377" max="4377" width="7.25" style="255" customWidth="1"/>
    <col min="4378" max="4378" width="9.125" style="255" customWidth="1"/>
    <col min="4379" max="4379" width="15.125" style="255" customWidth="1"/>
    <col min="4380" max="4380" width="7.75" style="255" customWidth="1"/>
    <col min="4381" max="4381" width="7.125" style="255" customWidth="1"/>
    <col min="4382" max="4382" width="12.125" style="255" customWidth="1"/>
    <col min="4383" max="4383" width="8.25" style="255" customWidth="1"/>
    <col min="4384" max="4385" width="10.375" style="255" customWidth="1"/>
    <col min="4386" max="4386" width="15.625" style="255" customWidth="1"/>
    <col min="4387" max="4387" width="15.875" style="255" customWidth="1"/>
    <col min="4388" max="4388" width="8.125" style="255" customWidth="1"/>
    <col min="4389" max="4392" width="10.375" style="255" customWidth="1"/>
    <col min="4393" max="4393" width="7.25" style="255" customWidth="1"/>
    <col min="4394" max="4394" width="7.125" style="255" customWidth="1"/>
    <col min="4395" max="4395" width="9.5" style="255" customWidth="1"/>
    <col min="4396" max="4397" width="9" style="255" customWidth="1"/>
    <col min="4398" max="4398" width="16.125" style="255" customWidth="1"/>
    <col min="4399" max="4429" width="9" style="255" customWidth="1"/>
    <col min="4430" max="4589" width="25.25" style="255"/>
    <col min="4590" max="4619" width="9" style="255" customWidth="1"/>
    <col min="4620" max="4620" width="0.5" style="255" customWidth="1"/>
    <col min="4621" max="4621" width="25.25" style="255"/>
    <col min="4622" max="4622" width="0.5" style="255" customWidth="1"/>
    <col min="4623" max="4623" width="25.25" style="255"/>
    <col min="4624" max="4624" width="14.75" style="255" customWidth="1"/>
    <col min="4625" max="4625" width="11.5" style="255" customWidth="1"/>
    <col min="4626" max="4626" width="11.25" style="255" customWidth="1"/>
    <col min="4627" max="4627" width="10.75" style="255" customWidth="1"/>
    <col min="4628" max="4628" width="10" style="255" customWidth="1"/>
    <col min="4629" max="4629" width="9.875" style="255" customWidth="1"/>
    <col min="4630" max="4630" width="26.125" style="255" customWidth="1"/>
    <col min="4631" max="4631" width="11.125" style="255" customWidth="1"/>
    <col min="4632" max="4632" width="7.875" style="255" customWidth="1"/>
    <col min="4633" max="4633" width="7.25" style="255" customWidth="1"/>
    <col min="4634" max="4634" width="9.125" style="255" customWidth="1"/>
    <col min="4635" max="4635" width="15.125" style="255" customWidth="1"/>
    <col min="4636" max="4636" width="7.75" style="255" customWidth="1"/>
    <col min="4637" max="4637" width="7.125" style="255" customWidth="1"/>
    <col min="4638" max="4638" width="12.125" style="255" customWidth="1"/>
    <col min="4639" max="4639" width="8.25" style="255" customWidth="1"/>
    <col min="4640" max="4641" width="10.375" style="255" customWidth="1"/>
    <col min="4642" max="4642" width="15.625" style="255" customWidth="1"/>
    <col min="4643" max="4643" width="15.875" style="255" customWidth="1"/>
    <col min="4644" max="4644" width="8.125" style="255" customWidth="1"/>
    <col min="4645" max="4648" width="10.375" style="255" customWidth="1"/>
    <col min="4649" max="4649" width="7.25" style="255" customWidth="1"/>
    <col min="4650" max="4650" width="7.125" style="255" customWidth="1"/>
    <col min="4651" max="4651" width="9.5" style="255" customWidth="1"/>
    <col min="4652" max="4653" width="9" style="255" customWidth="1"/>
    <col min="4654" max="4654" width="16.125" style="255" customWidth="1"/>
    <col min="4655" max="4685" width="9" style="255" customWidth="1"/>
    <col min="4686" max="4845" width="25.25" style="255"/>
    <col min="4846" max="4875" width="9" style="255" customWidth="1"/>
    <col min="4876" max="4876" width="0.5" style="255" customWidth="1"/>
    <col min="4877" max="4877" width="25.25" style="255"/>
    <col min="4878" max="4878" width="0.5" style="255" customWidth="1"/>
    <col min="4879" max="4879" width="25.25" style="255"/>
    <col min="4880" max="4880" width="14.75" style="255" customWidth="1"/>
    <col min="4881" max="4881" width="11.5" style="255" customWidth="1"/>
    <col min="4882" max="4882" width="11.25" style="255" customWidth="1"/>
    <col min="4883" max="4883" width="10.75" style="255" customWidth="1"/>
    <col min="4884" max="4884" width="10" style="255" customWidth="1"/>
    <col min="4885" max="4885" width="9.875" style="255" customWidth="1"/>
    <col min="4886" max="4886" width="26.125" style="255" customWidth="1"/>
    <col min="4887" max="4887" width="11.125" style="255" customWidth="1"/>
    <col min="4888" max="4888" width="7.875" style="255" customWidth="1"/>
    <col min="4889" max="4889" width="7.25" style="255" customWidth="1"/>
    <col min="4890" max="4890" width="9.125" style="255" customWidth="1"/>
    <col min="4891" max="4891" width="15.125" style="255" customWidth="1"/>
    <col min="4892" max="4892" width="7.75" style="255" customWidth="1"/>
    <col min="4893" max="4893" width="7.125" style="255" customWidth="1"/>
    <col min="4894" max="4894" width="12.125" style="255" customWidth="1"/>
    <col min="4895" max="4895" width="8.25" style="255" customWidth="1"/>
    <col min="4896" max="4897" width="10.375" style="255" customWidth="1"/>
    <col min="4898" max="4898" width="15.625" style="255" customWidth="1"/>
    <col min="4899" max="4899" width="15.875" style="255" customWidth="1"/>
    <col min="4900" max="4900" width="8.125" style="255" customWidth="1"/>
    <col min="4901" max="4904" width="10.375" style="255" customWidth="1"/>
    <col min="4905" max="4905" width="7.25" style="255" customWidth="1"/>
    <col min="4906" max="4906" width="7.125" style="255" customWidth="1"/>
    <col min="4907" max="4907" width="9.5" style="255" customWidth="1"/>
    <col min="4908" max="4909" width="9" style="255" customWidth="1"/>
    <col min="4910" max="4910" width="16.125" style="255" customWidth="1"/>
    <col min="4911" max="4941" width="9" style="255" customWidth="1"/>
    <col min="4942" max="5101" width="25.25" style="255"/>
    <col min="5102" max="5131" width="9" style="255" customWidth="1"/>
    <col min="5132" max="5132" width="0.5" style="255" customWidth="1"/>
    <col min="5133" max="5133" width="25.25" style="255"/>
    <col min="5134" max="5134" width="0.5" style="255" customWidth="1"/>
    <col min="5135" max="5135" width="25.25" style="255"/>
    <col min="5136" max="5136" width="14.75" style="255" customWidth="1"/>
    <col min="5137" max="5137" width="11.5" style="255" customWidth="1"/>
    <col min="5138" max="5138" width="11.25" style="255" customWidth="1"/>
    <col min="5139" max="5139" width="10.75" style="255" customWidth="1"/>
    <col min="5140" max="5140" width="10" style="255" customWidth="1"/>
    <col min="5141" max="5141" width="9.875" style="255" customWidth="1"/>
    <col min="5142" max="5142" width="26.125" style="255" customWidth="1"/>
    <col min="5143" max="5143" width="11.125" style="255" customWidth="1"/>
    <col min="5144" max="5144" width="7.875" style="255" customWidth="1"/>
    <col min="5145" max="5145" width="7.25" style="255" customWidth="1"/>
    <col min="5146" max="5146" width="9.125" style="255" customWidth="1"/>
    <col min="5147" max="5147" width="15.125" style="255" customWidth="1"/>
    <col min="5148" max="5148" width="7.75" style="255" customWidth="1"/>
    <col min="5149" max="5149" width="7.125" style="255" customWidth="1"/>
    <col min="5150" max="5150" width="12.125" style="255" customWidth="1"/>
    <col min="5151" max="5151" width="8.25" style="255" customWidth="1"/>
    <col min="5152" max="5153" width="10.375" style="255" customWidth="1"/>
    <col min="5154" max="5154" width="15.625" style="255" customWidth="1"/>
    <col min="5155" max="5155" width="15.875" style="255" customWidth="1"/>
    <col min="5156" max="5156" width="8.125" style="255" customWidth="1"/>
    <col min="5157" max="5160" width="10.375" style="255" customWidth="1"/>
    <col min="5161" max="5161" width="7.25" style="255" customWidth="1"/>
    <col min="5162" max="5162" width="7.125" style="255" customWidth="1"/>
    <col min="5163" max="5163" width="9.5" style="255" customWidth="1"/>
    <col min="5164" max="5165" width="9" style="255" customWidth="1"/>
    <col min="5166" max="5166" width="16.125" style="255" customWidth="1"/>
    <col min="5167" max="5197" width="9" style="255" customWidth="1"/>
    <col min="5198" max="5357" width="25.25" style="255"/>
    <col min="5358" max="5387" width="9" style="255" customWidth="1"/>
    <col min="5388" max="5388" width="0.5" style="255" customWidth="1"/>
    <col min="5389" max="5389" width="25.25" style="255"/>
    <col min="5390" max="5390" width="0.5" style="255" customWidth="1"/>
    <col min="5391" max="5391" width="25.25" style="255"/>
    <col min="5392" max="5392" width="14.75" style="255" customWidth="1"/>
    <col min="5393" max="5393" width="11.5" style="255" customWidth="1"/>
    <col min="5394" max="5394" width="11.25" style="255" customWidth="1"/>
    <col min="5395" max="5395" width="10.75" style="255" customWidth="1"/>
    <col min="5396" max="5396" width="10" style="255" customWidth="1"/>
    <col min="5397" max="5397" width="9.875" style="255" customWidth="1"/>
    <col min="5398" max="5398" width="26.125" style="255" customWidth="1"/>
    <col min="5399" max="5399" width="11.125" style="255" customWidth="1"/>
    <col min="5400" max="5400" width="7.875" style="255" customWidth="1"/>
    <col min="5401" max="5401" width="7.25" style="255" customWidth="1"/>
    <col min="5402" max="5402" width="9.125" style="255" customWidth="1"/>
    <col min="5403" max="5403" width="15.125" style="255" customWidth="1"/>
    <col min="5404" max="5404" width="7.75" style="255" customWidth="1"/>
    <col min="5405" max="5405" width="7.125" style="255" customWidth="1"/>
    <col min="5406" max="5406" width="12.125" style="255" customWidth="1"/>
    <col min="5407" max="5407" width="8.25" style="255" customWidth="1"/>
    <col min="5408" max="5409" width="10.375" style="255" customWidth="1"/>
    <col min="5410" max="5410" width="15.625" style="255" customWidth="1"/>
    <col min="5411" max="5411" width="15.875" style="255" customWidth="1"/>
    <col min="5412" max="5412" width="8.125" style="255" customWidth="1"/>
    <col min="5413" max="5416" width="10.375" style="255" customWidth="1"/>
    <col min="5417" max="5417" width="7.25" style="255" customWidth="1"/>
    <col min="5418" max="5418" width="7.125" style="255" customWidth="1"/>
    <col min="5419" max="5419" width="9.5" style="255" customWidth="1"/>
    <col min="5420" max="5421" width="9" style="255" customWidth="1"/>
    <col min="5422" max="5422" width="16.125" style="255" customWidth="1"/>
    <col min="5423" max="5453" width="9" style="255" customWidth="1"/>
    <col min="5454" max="5613" width="25.25" style="255"/>
    <col min="5614" max="5643" width="9" style="255" customWidth="1"/>
    <col min="5644" max="5644" width="0.5" style="255" customWidth="1"/>
    <col min="5645" max="5645" width="25.25" style="255"/>
    <col min="5646" max="5646" width="0.5" style="255" customWidth="1"/>
    <col min="5647" max="5647" width="25.25" style="255"/>
    <col min="5648" max="5648" width="14.75" style="255" customWidth="1"/>
    <col min="5649" max="5649" width="11.5" style="255" customWidth="1"/>
    <col min="5650" max="5650" width="11.25" style="255" customWidth="1"/>
    <col min="5651" max="5651" width="10.75" style="255" customWidth="1"/>
    <col min="5652" max="5652" width="10" style="255" customWidth="1"/>
    <col min="5653" max="5653" width="9.875" style="255" customWidth="1"/>
    <col min="5654" max="5654" width="26.125" style="255" customWidth="1"/>
    <col min="5655" max="5655" width="11.125" style="255" customWidth="1"/>
    <col min="5656" max="5656" width="7.875" style="255" customWidth="1"/>
    <col min="5657" max="5657" width="7.25" style="255" customWidth="1"/>
    <col min="5658" max="5658" width="9.125" style="255" customWidth="1"/>
    <col min="5659" max="5659" width="15.125" style="255" customWidth="1"/>
    <col min="5660" max="5660" width="7.75" style="255" customWidth="1"/>
    <col min="5661" max="5661" width="7.125" style="255" customWidth="1"/>
    <col min="5662" max="5662" width="12.125" style="255" customWidth="1"/>
    <col min="5663" max="5663" width="8.25" style="255" customWidth="1"/>
    <col min="5664" max="5665" width="10.375" style="255" customWidth="1"/>
    <col min="5666" max="5666" width="15.625" style="255" customWidth="1"/>
    <col min="5667" max="5667" width="15.875" style="255" customWidth="1"/>
    <col min="5668" max="5668" width="8.125" style="255" customWidth="1"/>
    <col min="5669" max="5672" width="10.375" style="255" customWidth="1"/>
    <col min="5673" max="5673" width="7.25" style="255" customWidth="1"/>
    <col min="5674" max="5674" width="7.125" style="255" customWidth="1"/>
    <col min="5675" max="5675" width="9.5" style="255" customWidth="1"/>
    <col min="5676" max="5677" width="9" style="255" customWidth="1"/>
    <col min="5678" max="5678" width="16.125" style="255" customWidth="1"/>
    <col min="5679" max="5709" width="9" style="255" customWidth="1"/>
    <col min="5710" max="5869" width="25.25" style="255"/>
    <col min="5870" max="5899" width="9" style="255" customWidth="1"/>
    <col min="5900" max="5900" width="0.5" style="255" customWidth="1"/>
    <col min="5901" max="5901" width="25.25" style="255"/>
    <col min="5902" max="5902" width="0.5" style="255" customWidth="1"/>
    <col min="5903" max="5903" width="25.25" style="255"/>
    <col min="5904" max="5904" width="14.75" style="255" customWidth="1"/>
    <col min="5905" max="5905" width="11.5" style="255" customWidth="1"/>
    <col min="5906" max="5906" width="11.25" style="255" customWidth="1"/>
    <col min="5907" max="5907" width="10.75" style="255" customWidth="1"/>
    <col min="5908" max="5908" width="10" style="255" customWidth="1"/>
    <col min="5909" max="5909" width="9.875" style="255" customWidth="1"/>
    <col min="5910" max="5910" width="26.125" style="255" customWidth="1"/>
    <col min="5911" max="5911" width="11.125" style="255" customWidth="1"/>
    <col min="5912" max="5912" width="7.875" style="255" customWidth="1"/>
    <col min="5913" max="5913" width="7.25" style="255" customWidth="1"/>
    <col min="5914" max="5914" width="9.125" style="255" customWidth="1"/>
    <col min="5915" max="5915" width="15.125" style="255" customWidth="1"/>
    <col min="5916" max="5916" width="7.75" style="255" customWidth="1"/>
    <col min="5917" max="5917" width="7.125" style="255" customWidth="1"/>
    <col min="5918" max="5918" width="12.125" style="255" customWidth="1"/>
    <col min="5919" max="5919" width="8.25" style="255" customWidth="1"/>
    <col min="5920" max="5921" width="10.375" style="255" customWidth="1"/>
    <col min="5922" max="5922" width="15.625" style="255" customWidth="1"/>
    <col min="5923" max="5923" width="15.875" style="255" customWidth="1"/>
    <col min="5924" max="5924" width="8.125" style="255" customWidth="1"/>
    <col min="5925" max="5928" width="10.375" style="255" customWidth="1"/>
    <col min="5929" max="5929" width="7.25" style="255" customWidth="1"/>
    <col min="5930" max="5930" width="7.125" style="255" customWidth="1"/>
    <col min="5931" max="5931" width="9.5" style="255" customWidth="1"/>
    <col min="5932" max="5933" width="9" style="255" customWidth="1"/>
    <col min="5934" max="5934" width="16.125" style="255" customWidth="1"/>
    <col min="5935" max="5965" width="9" style="255" customWidth="1"/>
    <col min="5966" max="6125" width="25.25" style="255"/>
    <col min="6126" max="6155" width="9" style="255" customWidth="1"/>
    <col min="6156" max="6156" width="0.5" style="255" customWidth="1"/>
    <col min="6157" max="6157" width="25.25" style="255"/>
    <col min="6158" max="6158" width="0.5" style="255" customWidth="1"/>
    <col min="6159" max="6159" width="25.25" style="255"/>
    <col min="6160" max="6160" width="14.75" style="255" customWidth="1"/>
    <col min="6161" max="6161" width="11.5" style="255" customWidth="1"/>
    <col min="6162" max="6162" width="11.25" style="255" customWidth="1"/>
    <col min="6163" max="6163" width="10.75" style="255" customWidth="1"/>
    <col min="6164" max="6164" width="10" style="255" customWidth="1"/>
    <col min="6165" max="6165" width="9.875" style="255" customWidth="1"/>
    <col min="6166" max="6166" width="26.125" style="255" customWidth="1"/>
    <col min="6167" max="6167" width="11.125" style="255" customWidth="1"/>
    <col min="6168" max="6168" width="7.875" style="255" customWidth="1"/>
    <col min="6169" max="6169" width="7.25" style="255" customWidth="1"/>
    <col min="6170" max="6170" width="9.125" style="255" customWidth="1"/>
    <col min="6171" max="6171" width="15.125" style="255" customWidth="1"/>
    <col min="6172" max="6172" width="7.75" style="255" customWidth="1"/>
    <col min="6173" max="6173" width="7.125" style="255" customWidth="1"/>
    <col min="6174" max="6174" width="12.125" style="255" customWidth="1"/>
    <col min="6175" max="6175" width="8.25" style="255" customWidth="1"/>
    <col min="6176" max="6177" width="10.375" style="255" customWidth="1"/>
    <col min="6178" max="6178" width="15.625" style="255" customWidth="1"/>
    <col min="6179" max="6179" width="15.875" style="255" customWidth="1"/>
    <col min="6180" max="6180" width="8.125" style="255" customWidth="1"/>
    <col min="6181" max="6184" width="10.375" style="255" customWidth="1"/>
    <col min="6185" max="6185" width="7.25" style="255" customWidth="1"/>
    <col min="6186" max="6186" width="7.125" style="255" customWidth="1"/>
    <col min="6187" max="6187" width="9.5" style="255" customWidth="1"/>
    <col min="6188" max="6189" width="9" style="255" customWidth="1"/>
    <col min="6190" max="6190" width="16.125" style="255" customWidth="1"/>
    <col min="6191" max="6221" width="9" style="255" customWidth="1"/>
    <col min="6222" max="6381" width="25.25" style="255"/>
    <col min="6382" max="6411" width="9" style="255" customWidth="1"/>
    <col min="6412" max="6412" width="0.5" style="255" customWidth="1"/>
    <col min="6413" max="6413" width="25.25" style="255"/>
    <col min="6414" max="6414" width="0.5" style="255" customWidth="1"/>
    <col min="6415" max="6415" width="25.25" style="255"/>
    <col min="6416" max="6416" width="14.75" style="255" customWidth="1"/>
    <col min="6417" max="6417" width="11.5" style="255" customWidth="1"/>
    <col min="6418" max="6418" width="11.25" style="255" customWidth="1"/>
    <col min="6419" max="6419" width="10.75" style="255" customWidth="1"/>
    <col min="6420" max="6420" width="10" style="255" customWidth="1"/>
    <col min="6421" max="6421" width="9.875" style="255" customWidth="1"/>
    <col min="6422" max="6422" width="26.125" style="255" customWidth="1"/>
    <col min="6423" max="6423" width="11.125" style="255" customWidth="1"/>
    <col min="6424" max="6424" width="7.875" style="255" customWidth="1"/>
    <col min="6425" max="6425" width="7.25" style="255" customWidth="1"/>
    <col min="6426" max="6426" width="9.125" style="255" customWidth="1"/>
    <col min="6427" max="6427" width="15.125" style="255" customWidth="1"/>
    <col min="6428" max="6428" width="7.75" style="255" customWidth="1"/>
    <col min="6429" max="6429" width="7.125" style="255" customWidth="1"/>
    <col min="6430" max="6430" width="12.125" style="255" customWidth="1"/>
    <col min="6431" max="6431" width="8.25" style="255" customWidth="1"/>
    <col min="6432" max="6433" width="10.375" style="255" customWidth="1"/>
    <col min="6434" max="6434" width="15.625" style="255" customWidth="1"/>
    <col min="6435" max="6435" width="15.875" style="255" customWidth="1"/>
    <col min="6436" max="6436" width="8.125" style="255" customWidth="1"/>
    <col min="6437" max="6440" width="10.375" style="255" customWidth="1"/>
    <col min="6441" max="6441" width="7.25" style="255" customWidth="1"/>
    <col min="6442" max="6442" width="7.125" style="255" customWidth="1"/>
    <col min="6443" max="6443" width="9.5" style="255" customWidth="1"/>
    <col min="6444" max="6445" width="9" style="255" customWidth="1"/>
    <col min="6446" max="6446" width="16.125" style="255" customWidth="1"/>
    <col min="6447" max="6477" width="9" style="255" customWidth="1"/>
    <col min="6478" max="6637" width="25.25" style="255"/>
    <col min="6638" max="6667" width="9" style="255" customWidth="1"/>
    <col min="6668" max="6668" width="0.5" style="255" customWidth="1"/>
    <col min="6669" max="6669" width="25.25" style="255"/>
    <col min="6670" max="6670" width="0.5" style="255" customWidth="1"/>
    <col min="6671" max="6671" width="25.25" style="255"/>
    <col min="6672" max="6672" width="14.75" style="255" customWidth="1"/>
    <col min="6673" max="6673" width="11.5" style="255" customWidth="1"/>
    <col min="6674" max="6674" width="11.25" style="255" customWidth="1"/>
    <col min="6675" max="6675" width="10.75" style="255" customWidth="1"/>
    <col min="6676" max="6676" width="10" style="255" customWidth="1"/>
    <col min="6677" max="6677" width="9.875" style="255" customWidth="1"/>
    <col min="6678" max="6678" width="26.125" style="255" customWidth="1"/>
    <col min="6679" max="6679" width="11.125" style="255" customWidth="1"/>
    <col min="6680" max="6680" width="7.875" style="255" customWidth="1"/>
    <col min="6681" max="6681" width="7.25" style="255" customWidth="1"/>
    <col min="6682" max="6682" width="9.125" style="255" customWidth="1"/>
    <col min="6683" max="6683" width="15.125" style="255" customWidth="1"/>
    <col min="6684" max="6684" width="7.75" style="255" customWidth="1"/>
    <col min="6685" max="6685" width="7.125" style="255" customWidth="1"/>
    <col min="6686" max="6686" width="12.125" style="255" customWidth="1"/>
    <col min="6687" max="6687" width="8.25" style="255" customWidth="1"/>
    <col min="6688" max="6689" width="10.375" style="255" customWidth="1"/>
    <col min="6690" max="6690" width="15.625" style="255" customWidth="1"/>
    <col min="6691" max="6691" width="15.875" style="255" customWidth="1"/>
    <col min="6692" max="6692" width="8.125" style="255" customWidth="1"/>
    <col min="6693" max="6696" width="10.375" style="255" customWidth="1"/>
    <col min="6697" max="6697" width="7.25" style="255" customWidth="1"/>
    <col min="6698" max="6698" width="7.125" style="255" customWidth="1"/>
    <col min="6699" max="6699" width="9.5" style="255" customWidth="1"/>
    <col min="6700" max="6701" width="9" style="255" customWidth="1"/>
    <col min="6702" max="6702" width="16.125" style="255" customWidth="1"/>
    <col min="6703" max="6733" width="9" style="255" customWidth="1"/>
    <col min="6734" max="6893" width="25.25" style="255"/>
    <col min="6894" max="6923" width="9" style="255" customWidth="1"/>
    <col min="6924" max="6924" width="0.5" style="255" customWidth="1"/>
    <col min="6925" max="6925" width="25.25" style="255"/>
    <col min="6926" max="6926" width="0.5" style="255" customWidth="1"/>
    <col min="6927" max="6927" width="25.25" style="255"/>
    <col min="6928" max="6928" width="14.75" style="255" customWidth="1"/>
    <col min="6929" max="6929" width="11.5" style="255" customWidth="1"/>
    <col min="6930" max="6930" width="11.25" style="255" customWidth="1"/>
    <col min="6931" max="6931" width="10.75" style="255" customWidth="1"/>
    <col min="6932" max="6932" width="10" style="255" customWidth="1"/>
    <col min="6933" max="6933" width="9.875" style="255" customWidth="1"/>
    <col min="6934" max="6934" width="26.125" style="255" customWidth="1"/>
    <col min="6935" max="6935" width="11.125" style="255" customWidth="1"/>
    <col min="6936" max="6936" width="7.875" style="255" customWidth="1"/>
    <col min="6937" max="6937" width="7.25" style="255" customWidth="1"/>
    <col min="6938" max="6938" width="9.125" style="255" customWidth="1"/>
    <col min="6939" max="6939" width="15.125" style="255" customWidth="1"/>
    <col min="6940" max="6940" width="7.75" style="255" customWidth="1"/>
    <col min="6941" max="6941" width="7.125" style="255" customWidth="1"/>
    <col min="6942" max="6942" width="12.125" style="255" customWidth="1"/>
    <col min="6943" max="6943" width="8.25" style="255" customWidth="1"/>
    <col min="6944" max="6945" width="10.375" style="255" customWidth="1"/>
    <col min="6946" max="6946" width="15.625" style="255" customWidth="1"/>
    <col min="6947" max="6947" width="15.875" style="255" customWidth="1"/>
    <col min="6948" max="6948" width="8.125" style="255" customWidth="1"/>
    <col min="6949" max="6952" width="10.375" style="255" customWidth="1"/>
    <col min="6953" max="6953" width="7.25" style="255" customWidth="1"/>
    <col min="6954" max="6954" width="7.125" style="255" customWidth="1"/>
    <col min="6955" max="6955" width="9.5" style="255" customWidth="1"/>
    <col min="6956" max="6957" width="9" style="255" customWidth="1"/>
    <col min="6958" max="6958" width="16.125" style="255" customWidth="1"/>
    <col min="6959" max="6989" width="9" style="255" customWidth="1"/>
    <col min="6990" max="7149" width="25.25" style="255"/>
    <col min="7150" max="7179" width="9" style="255" customWidth="1"/>
    <col min="7180" max="7180" width="0.5" style="255" customWidth="1"/>
    <col min="7181" max="7181" width="25.25" style="255"/>
    <col min="7182" max="7182" width="0.5" style="255" customWidth="1"/>
    <col min="7183" max="7183" width="25.25" style="255"/>
    <col min="7184" max="7184" width="14.75" style="255" customWidth="1"/>
    <col min="7185" max="7185" width="11.5" style="255" customWidth="1"/>
    <col min="7186" max="7186" width="11.25" style="255" customWidth="1"/>
    <col min="7187" max="7187" width="10.75" style="255" customWidth="1"/>
    <col min="7188" max="7188" width="10" style="255" customWidth="1"/>
    <col min="7189" max="7189" width="9.875" style="255" customWidth="1"/>
    <col min="7190" max="7190" width="26.125" style="255" customWidth="1"/>
    <col min="7191" max="7191" width="11.125" style="255" customWidth="1"/>
    <col min="7192" max="7192" width="7.875" style="255" customWidth="1"/>
    <col min="7193" max="7193" width="7.25" style="255" customWidth="1"/>
    <col min="7194" max="7194" width="9.125" style="255" customWidth="1"/>
    <col min="7195" max="7195" width="15.125" style="255" customWidth="1"/>
    <col min="7196" max="7196" width="7.75" style="255" customWidth="1"/>
    <col min="7197" max="7197" width="7.125" style="255" customWidth="1"/>
    <col min="7198" max="7198" width="12.125" style="255" customWidth="1"/>
    <col min="7199" max="7199" width="8.25" style="255" customWidth="1"/>
    <col min="7200" max="7201" width="10.375" style="255" customWidth="1"/>
    <col min="7202" max="7202" width="15.625" style="255" customWidth="1"/>
    <col min="7203" max="7203" width="15.875" style="255" customWidth="1"/>
    <col min="7204" max="7204" width="8.125" style="255" customWidth="1"/>
    <col min="7205" max="7208" width="10.375" style="255" customWidth="1"/>
    <col min="7209" max="7209" width="7.25" style="255" customWidth="1"/>
    <col min="7210" max="7210" width="7.125" style="255" customWidth="1"/>
    <col min="7211" max="7211" width="9.5" style="255" customWidth="1"/>
    <col min="7212" max="7213" width="9" style="255" customWidth="1"/>
    <col min="7214" max="7214" width="16.125" style="255" customWidth="1"/>
    <col min="7215" max="7245" width="9" style="255" customWidth="1"/>
    <col min="7246" max="7405" width="25.25" style="255"/>
    <col min="7406" max="7435" width="9" style="255" customWidth="1"/>
    <col min="7436" max="7436" width="0.5" style="255" customWidth="1"/>
    <col min="7437" max="7437" width="25.25" style="255"/>
    <col min="7438" max="7438" width="0.5" style="255" customWidth="1"/>
    <col min="7439" max="7439" width="25.25" style="255"/>
    <col min="7440" max="7440" width="14.75" style="255" customWidth="1"/>
    <col min="7441" max="7441" width="11.5" style="255" customWidth="1"/>
    <col min="7442" max="7442" width="11.25" style="255" customWidth="1"/>
    <col min="7443" max="7443" width="10.75" style="255" customWidth="1"/>
    <col min="7444" max="7444" width="10" style="255" customWidth="1"/>
    <col min="7445" max="7445" width="9.875" style="255" customWidth="1"/>
    <col min="7446" max="7446" width="26.125" style="255" customWidth="1"/>
    <col min="7447" max="7447" width="11.125" style="255" customWidth="1"/>
    <col min="7448" max="7448" width="7.875" style="255" customWidth="1"/>
    <col min="7449" max="7449" width="7.25" style="255" customWidth="1"/>
    <col min="7450" max="7450" width="9.125" style="255" customWidth="1"/>
    <col min="7451" max="7451" width="15.125" style="255" customWidth="1"/>
    <col min="7452" max="7452" width="7.75" style="255" customWidth="1"/>
    <col min="7453" max="7453" width="7.125" style="255" customWidth="1"/>
    <col min="7454" max="7454" width="12.125" style="255" customWidth="1"/>
    <col min="7455" max="7455" width="8.25" style="255" customWidth="1"/>
    <col min="7456" max="7457" width="10.375" style="255" customWidth="1"/>
    <col min="7458" max="7458" width="15.625" style="255" customWidth="1"/>
    <col min="7459" max="7459" width="15.875" style="255" customWidth="1"/>
    <col min="7460" max="7460" width="8.125" style="255" customWidth="1"/>
    <col min="7461" max="7464" width="10.375" style="255" customWidth="1"/>
    <col min="7465" max="7465" width="7.25" style="255" customWidth="1"/>
    <col min="7466" max="7466" width="7.125" style="255" customWidth="1"/>
    <col min="7467" max="7467" width="9.5" style="255" customWidth="1"/>
    <col min="7468" max="7469" width="9" style="255" customWidth="1"/>
    <col min="7470" max="7470" width="16.125" style="255" customWidth="1"/>
    <col min="7471" max="7501" width="9" style="255" customWidth="1"/>
    <col min="7502" max="7661" width="25.25" style="255"/>
    <col min="7662" max="7691" width="9" style="255" customWidth="1"/>
    <col min="7692" max="7692" width="0.5" style="255" customWidth="1"/>
    <col min="7693" max="7693" width="25.25" style="255"/>
    <col min="7694" max="7694" width="0.5" style="255" customWidth="1"/>
    <col min="7695" max="7695" width="25.25" style="255"/>
    <col min="7696" max="7696" width="14.75" style="255" customWidth="1"/>
    <col min="7697" max="7697" width="11.5" style="255" customWidth="1"/>
    <col min="7698" max="7698" width="11.25" style="255" customWidth="1"/>
    <col min="7699" max="7699" width="10.75" style="255" customWidth="1"/>
    <col min="7700" max="7700" width="10" style="255" customWidth="1"/>
    <col min="7701" max="7701" width="9.875" style="255" customWidth="1"/>
    <col min="7702" max="7702" width="26.125" style="255" customWidth="1"/>
    <col min="7703" max="7703" width="11.125" style="255" customWidth="1"/>
    <col min="7704" max="7704" width="7.875" style="255" customWidth="1"/>
    <col min="7705" max="7705" width="7.25" style="255" customWidth="1"/>
    <col min="7706" max="7706" width="9.125" style="255" customWidth="1"/>
    <col min="7707" max="7707" width="15.125" style="255" customWidth="1"/>
    <col min="7708" max="7708" width="7.75" style="255" customWidth="1"/>
    <col min="7709" max="7709" width="7.125" style="255" customWidth="1"/>
    <col min="7710" max="7710" width="12.125" style="255" customWidth="1"/>
    <col min="7711" max="7711" width="8.25" style="255" customWidth="1"/>
    <col min="7712" max="7713" width="10.375" style="255" customWidth="1"/>
    <col min="7714" max="7714" width="15.625" style="255" customWidth="1"/>
    <col min="7715" max="7715" width="15.875" style="255" customWidth="1"/>
    <col min="7716" max="7716" width="8.125" style="255" customWidth="1"/>
    <col min="7717" max="7720" width="10.375" style="255" customWidth="1"/>
    <col min="7721" max="7721" width="7.25" style="255" customWidth="1"/>
    <col min="7722" max="7722" width="7.125" style="255" customWidth="1"/>
    <col min="7723" max="7723" width="9.5" style="255" customWidth="1"/>
    <col min="7724" max="7725" width="9" style="255" customWidth="1"/>
    <col min="7726" max="7726" width="16.125" style="255" customWidth="1"/>
    <col min="7727" max="7757" width="9" style="255" customWidth="1"/>
    <col min="7758" max="7917" width="25.25" style="255"/>
    <col min="7918" max="7947" width="9" style="255" customWidth="1"/>
    <col min="7948" max="7948" width="0.5" style="255" customWidth="1"/>
    <col min="7949" max="7949" width="25.25" style="255"/>
    <col min="7950" max="7950" width="0.5" style="255" customWidth="1"/>
    <col min="7951" max="7951" width="25.25" style="255"/>
    <col min="7952" max="7952" width="14.75" style="255" customWidth="1"/>
    <col min="7953" max="7953" width="11.5" style="255" customWidth="1"/>
    <col min="7954" max="7954" width="11.25" style="255" customWidth="1"/>
    <col min="7955" max="7955" width="10.75" style="255" customWidth="1"/>
    <col min="7956" max="7956" width="10" style="255" customWidth="1"/>
    <col min="7957" max="7957" width="9.875" style="255" customWidth="1"/>
    <col min="7958" max="7958" width="26.125" style="255" customWidth="1"/>
    <col min="7959" max="7959" width="11.125" style="255" customWidth="1"/>
    <col min="7960" max="7960" width="7.875" style="255" customWidth="1"/>
    <col min="7961" max="7961" width="7.25" style="255" customWidth="1"/>
    <col min="7962" max="7962" width="9.125" style="255" customWidth="1"/>
    <col min="7963" max="7963" width="15.125" style="255" customWidth="1"/>
    <col min="7964" max="7964" width="7.75" style="255" customWidth="1"/>
    <col min="7965" max="7965" width="7.125" style="255" customWidth="1"/>
    <col min="7966" max="7966" width="12.125" style="255" customWidth="1"/>
    <col min="7967" max="7967" width="8.25" style="255" customWidth="1"/>
    <col min="7968" max="7969" width="10.375" style="255" customWidth="1"/>
    <col min="7970" max="7970" width="15.625" style="255" customWidth="1"/>
    <col min="7971" max="7971" width="15.875" style="255" customWidth="1"/>
    <col min="7972" max="7972" width="8.125" style="255" customWidth="1"/>
    <col min="7973" max="7976" width="10.375" style="255" customWidth="1"/>
    <col min="7977" max="7977" width="7.25" style="255" customWidth="1"/>
    <col min="7978" max="7978" width="7.125" style="255" customWidth="1"/>
    <col min="7979" max="7979" width="9.5" style="255" customWidth="1"/>
    <col min="7980" max="7981" width="9" style="255" customWidth="1"/>
    <col min="7982" max="7982" width="16.125" style="255" customWidth="1"/>
    <col min="7983" max="8013" width="9" style="255" customWidth="1"/>
    <col min="8014" max="8173" width="25.25" style="255"/>
    <col min="8174" max="8203" width="9" style="255" customWidth="1"/>
    <col min="8204" max="8204" width="0.5" style="255" customWidth="1"/>
    <col min="8205" max="8205" width="25.25" style="255"/>
    <col min="8206" max="8206" width="0.5" style="255" customWidth="1"/>
    <col min="8207" max="8207" width="25.25" style="255"/>
    <col min="8208" max="8208" width="14.75" style="255" customWidth="1"/>
    <col min="8209" max="8209" width="11.5" style="255" customWidth="1"/>
    <col min="8210" max="8210" width="11.25" style="255" customWidth="1"/>
    <col min="8211" max="8211" width="10.75" style="255" customWidth="1"/>
    <col min="8212" max="8212" width="10" style="255" customWidth="1"/>
    <col min="8213" max="8213" width="9.875" style="255" customWidth="1"/>
    <col min="8214" max="8214" width="26.125" style="255" customWidth="1"/>
    <col min="8215" max="8215" width="11.125" style="255" customWidth="1"/>
    <col min="8216" max="8216" width="7.875" style="255" customWidth="1"/>
    <col min="8217" max="8217" width="7.25" style="255" customWidth="1"/>
    <col min="8218" max="8218" width="9.125" style="255" customWidth="1"/>
    <col min="8219" max="8219" width="15.125" style="255" customWidth="1"/>
    <col min="8220" max="8220" width="7.75" style="255" customWidth="1"/>
    <col min="8221" max="8221" width="7.125" style="255" customWidth="1"/>
    <col min="8222" max="8222" width="12.125" style="255" customWidth="1"/>
    <col min="8223" max="8223" width="8.25" style="255" customWidth="1"/>
    <col min="8224" max="8225" width="10.375" style="255" customWidth="1"/>
    <col min="8226" max="8226" width="15.625" style="255" customWidth="1"/>
    <col min="8227" max="8227" width="15.875" style="255" customWidth="1"/>
    <col min="8228" max="8228" width="8.125" style="255" customWidth="1"/>
    <col min="8229" max="8232" width="10.375" style="255" customWidth="1"/>
    <col min="8233" max="8233" width="7.25" style="255" customWidth="1"/>
    <col min="8234" max="8234" width="7.125" style="255" customWidth="1"/>
    <col min="8235" max="8235" width="9.5" style="255" customWidth="1"/>
    <col min="8236" max="8237" width="9" style="255" customWidth="1"/>
    <col min="8238" max="8238" width="16.125" style="255" customWidth="1"/>
    <col min="8239" max="8269" width="9" style="255" customWidth="1"/>
    <col min="8270" max="8429" width="25.25" style="255"/>
    <col min="8430" max="8459" width="9" style="255" customWidth="1"/>
    <col min="8460" max="8460" width="0.5" style="255" customWidth="1"/>
    <col min="8461" max="8461" width="25.25" style="255"/>
    <col min="8462" max="8462" width="0.5" style="255" customWidth="1"/>
    <col min="8463" max="8463" width="25.25" style="255"/>
    <col min="8464" max="8464" width="14.75" style="255" customWidth="1"/>
    <col min="8465" max="8465" width="11.5" style="255" customWidth="1"/>
    <col min="8466" max="8466" width="11.25" style="255" customWidth="1"/>
    <col min="8467" max="8467" width="10.75" style="255" customWidth="1"/>
    <col min="8468" max="8468" width="10" style="255" customWidth="1"/>
    <col min="8469" max="8469" width="9.875" style="255" customWidth="1"/>
    <col min="8470" max="8470" width="26.125" style="255" customWidth="1"/>
    <col min="8471" max="8471" width="11.125" style="255" customWidth="1"/>
    <col min="8472" max="8472" width="7.875" style="255" customWidth="1"/>
    <col min="8473" max="8473" width="7.25" style="255" customWidth="1"/>
    <col min="8474" max="8474" width="9.125" style="255" customWidth="1"/>
    <col min="8475" max="8475" width="15.125" style="255" customWidth="1"/>
    <col min="8476" max="8476" width="7.75" style="255" customWidth="1"/>
    <col min="8477" max="8477" width="7.125" style="255" customWidth="1"/>
    <col min="8478" max="8478" width="12.125" style="255" customWidth="1"/>
    <col min="8479" max="8479" width="8.25" style="255" customWidth="1"/>
    <col min="8480" max="8481" width="10.375" style="255" customWidth="1"/>
    <col min="8482" max="8482" width="15.625" style="255" customWidth="1"/>
    <col min="8483" max="8483" width="15.875" style="255" customWidth="1"/>
    <col min="8484" max="8484" width="8.125" style="255" customWidth="1"/>
    <col min="8485" max="8488" width="10.375" style="255" customWidth="1"/>
    <col min="8489" max="8489" width="7.25" style="255" customWidth="1"/>
    <col min="8490" max="8490" width="7.125" style="255" customWidth="1"/>
    <col min="8491" max="8491" width="9.5" style="255" customWidth="1"/>
    <col min="8492" max="8493" width="9" style="255" customWidth="1"/>
    <col min="8494" max="8494" width="16.125" style="255" customWidth="1"/>
    <col min="8495" max="8525" width="9" style="255" customWidth="1"/>
    <col min="8526" max="8685" width="25.25" style="255"/>
    <col min="8686" max="8715" width="9" style="255" customWidth="1"/>
    <col min="8716" max="8716" width="0.5" style="255" customWidth="1"/>
    <col min="8717" max="8717" width="25.25" style="255"/>
    <col min="8718" max="8718" width="0.5" style="255" customWidth="1"/>
    <col min="8719" max="8719" width="25.25" style="255"/>
    <col min="8720" max="8720" width="14.75" style="255" customWidth="1"/>
    <col min="8721" max="8721" width="11.5" style="255" customWidth="1"/>
    <col min="8722" max="8722" width="11.25" style="255" customWidth="1"/>
    <col min="8723" max="8723" width="10.75" style="255" customWidth="1"/>
    <col min="8724" max="8724" width="10" style="255" customWidth="1"/>
    <col min="8725" max="8725" width="9.875" style="255" customWidth="1"/>
    <col min="8726" max="8726" width="26.125" style="255" customWidth="1"/>
    <col min="8727" max="8727" width="11.125" style="255" customWidth="1"/>
    <col min="8728" max="8728" width="7.875" style="255" customWidth="1"/>
    <col min="8729" max="8729" width="7.25" style="255" customWidth="1"/>
    <col min="8730" max="8730" width="9.125" style="255" customWidth="1"/>
    <col min="8731" max="8731" width="15.125" style="255" customWidth="1"/>
    <col min="8732" max="8732" width="7.75" style="255" customWidth="1"/>
    <col min="8733" max="8733" width="7.125" style="255" customWidth="1"/>
    <col min="8734" max="8734" width="12.125" style="255" customWidth="1"/>
    <col min="8735" max="8735" width="8.25" style="255" customWidth="1"/>
    <col min="8736" max="8737" width="10.375" style="255" customWidth="1"/>
    <col min="8738" max="8738" width="15.625" style="255" customWidth="1"/>
    <col min="8739" max="8739" width="15.875" style="255" customWidth="1"/>
    <col min="8740" max="8740" width="8.125" style="255" customWidth="1"/>
    <col min="8741" max="8744" width="10.375" style="255" customWidth="1"/>
    <col min="8745" max="8745" width="7.25" style="255" customWidth="1"/>
    <col min="8746" max="8746" width="7.125" style="255" customWidth="1"/>
    <col min="8747" max="8747" width="9.5" style="255" customWidth="1"/>
    <col min="8748" max="8749" width="9" style="255" customWidth="1"/>
    <col min="8750" max="8750" width="16.125" style="255" customWidth="1"/>
    <col min="8751" max="8781" width="9" style="255" customWidth="1"/>
    <col min="8782" max="8941" width="25.25" style="255"/>
    <col min="8942" max="8971" width="9" style="255" customWidth="1"/>
    <col min="8972" max="8972" width="0.5" style="255" customWidth="1"/>
    <col min="8973" max="8973" width="25.25" style="255"/>
    <col min="8974" max="8974" width="0.5" style="255" customWidth="1"/>
    <col min="8975" max="8975" width="25.25" style="255"/>
    <col min="8976" max="8976" width="14.75" style="255" customWidth="1"/>
    <col min="8977" max="8977" width="11.5" style="255" customWidth="1"/>
    <col min="8978" max="8978" width="11.25" style="255" customWidth="1"/>
    <col min="8979" max="8979" width="10.75" style="255" customWidth="1"/>
    <col min="8980" max="8980" width="10" style="255" customWidth="1"/>
    <col min="8981" max="8981" width="9.875" style="255" customWidth="1"/>
    <col min="8982" max="8982" width="26.125" style="255" customWidth="1"/>
    <col min="8983" max="8983" width="11.125" style="255" customWidth="1"/>
    <col min="8984" max="8984" width="7.875" style="255" customWidth="1"/>
    <col min="8985" max="8985" width="7.25" style="255" customWidth="1"/>
    <col min="8986" max="8986" width="9.125" style="255" customWidth="1"/>
    <col min="8987" max="8987" width="15.125" style="255" customWidth="1"/>
    <col min="8988" max="8988" width="7.75" style="255" customWidth="1"/>
    <col min="8989" max="8989" width="7.125" style="255" customWidth="1"/>
    <col min="8990" max="8990" width="12.125" style="255" customWidth="1"/>
    <col min="8991" max="8991" width="8.25" style="255" customWidth="1"/>
    <col min="8992" max="8993" width="10.375" style="255" customWidth="1"/>
    <col min="8994" max="8994" width="15.625" style="255" customWidth="1"/>
    <col min="8995" max="8995" width="15.875" style="255" customWidth="1"/>
    <col min="8996" max="8996" width="8.125" style="255" customWidth="1"/>
    <col min="8997" max="9000" width="10.375" style="255" customWidth="1"/>
    <col min="9001" max="9001" width="7.25" style="255" customWidth="1"/>
    <col min="9002" max="9002" width="7.125" style="255" customWidth="1"/>
    <col min="9003" max="9003" width="9.5" style="255" customWidth="1"/>
    <col min="9004" max="9005" width="9" style="255" customWidth="1"/>
    <col min="9006" max="9006" width="16.125" style="255" customWidth="1"/>
    <col min="9007" max="9037" width="9" style="255" customWidth="1"/>
    <col min="9038" max="9197" width="25.25" style="255"/>
    <col min="9198" max="9227" width="9" style="255" customWidth="1"/>
    <col min="9228" max="9228" width="0.5" style="255" customWidth="1"/>
    <col min="9229" max="9229" width="25.25" style="255"/>
    <col min="9230" max="9230" width="0.5" style="255" customWidth="1"/>
    <col min="9231" max="9231" width="25.25" style="255"/>
    <col min="9232" max="9232" width="14.75" style="255" customWidth="1"/>
    <col min="9233" max="9233" width="11.5" style="255" customWidth="1"/>
    <col min="9234" max="9234" width="11.25" style="255" customWidth="1"/>
    <col min="9235" max="9235" width="10.75" style="255" customWidth="1"/>
    <col min="9236" max="9236" width="10" style="255" customWidth="1"/>
    <col min="9237" max="9237" width="9.875" style="255" customWidth="1"/>
    <col min="9238" max="9238" width="26.125" style="255" customWidth="1"/>
    <col min="9239" max="9239" width="11.125" style="255" customWidth="1"/>
    <col min="9240" max="9240" width="7.875" style="255" customWidth="1"/>
    <col min="9241" max="9241" width="7.25" style="255" customWidth="1"/>
    <col min="9242" max="9242" width="9.125" style="255" customWidth="1"/>
    <col min="9243" max="9243" width="15.125" style="255" customWidth="1"/>
    <col min="9244" max="9244" width="7.75" style="255" customWidth="1"/>
    <col min="9245" max="9245" width="7.125" style="255" customWidth="1"/>
    <col min="9246" max="9246" width="12.125" style="255" customWidth="1"/>
    <col min="9247" max="9247" width="8.25" style="255" customWidth="1"/>
    <col min="9248" max="9249" width="10.375" style="255" customWidth="1"/>
    <col min="9250" max="9250" width="15.625" style="255" customWidth="1"/>
    <col min="9251" max="9251" width="15.875" style="255" customWidth="1"/>
    <col min="9252" max="9252" width="8.125" style="255" customWidth="1"/>
    <col min="9253" max="9256" width="10.375" style="255" customWidth="1"/>
    <col min="9257" max="9257" width="7.25" style="255" customWidth="1"/>
    <col min="9258" max="9258" width="7.125" style="255" customWidth="1"/>
    <col min="9259" max="9259" width="9.5" style="255" customWidth="1"/>
    <col min="9260" max="9261" width="9" style="255" customWidth="1"/>
    <col min="9262" max="9262" width="16.125" style="255" customWidth="1"/>
    <col min="9263" max="9293" width="9" style="255" customWidth="1"/>
    <col min="9294" max="9453" width="25.25" style="255"/>
    <col min="9454" max="9483" width="9" style="255" customWidth="1"/>
    <col min="9484" max="9484" width="0.5" style="255" customWidth="1"/>
    <col min="9485" max="9485" width="25.25" style="255"/>
    <col min="9486" max="9486" width="0.5" style="255" customWidth="1"/>
    <col min="9487" max="9487" width="25.25" style="255"/>
    <col min="9488" max="9488" width="14.75" style="255" customWidth="1"/>
    <col min="9489" max="9489" width="11.5" style="255" customWidth="1"/>
    <col min="9490" max="9490" width="11.25" style="255" customWidth="1"/>
    <col min="9491" max="9491" width="10.75" style="255" customWidth="1"/>
    <col min="9492" max="9492" width="10" style="255" customWidth="1"/>
    <col min="9493" max="9493" width="9.875" style="255" customWidth="1"/>
    <col min="9494" max="9494" width="26.125" style="255" customWidth="1"/>
    <col min="9495" max="9495" width="11.125" style="255" customWidth="1"/>
    <col min="9496" max="9496" width="7.875" style="255" customWidth="1"/>
    <col min="9497" max="9497" width="7.25" style="255" customWidth="1"/>
    <col min="9498" max="9498" width="9.125" style="255" customWidth="1"/>
    <col min="9499" max="9499" width="15.125" style="255" customWidth="1"/>
    <col min="9500" max="9500" width="7.75" style="255" customWidth="1"/>
    <col min="9501" max="9501" width="7.125" style="255" customWidth="1"/>
    <col min="9502" max="9502" width="12.125" style="255" customWidth="1"/>
    <col min="9503" max="9503" width="8.25" style="255" customWidth="1"/>
    <col min="9504" max="9505" width="10.375" style="255" customWidth="1"/>
    <col min="9506" max="9506" width="15.625" style="255" customWidth="1"/>
    <col min="9507" max="9507" width="15.875" style="255" customWidth="1"/>
    <col min="9508" max="9508" width="8.125" style="255" customWidth="1"/>
    <col min="9509" max="9512" width="10.375" style="255" customWidth="1"/>
    <col min="9513" max="9513" width="7.25" style="255" customWidth="1"/>
    <col min="9514" max="9514" width="7.125" style="255" customWidth="1"/>
    <col min="9515" max="9515" width="9.5" style="255" customWidth="1"/>
    <col min="9516" max="9517" width="9" style="255" customWidth="1"/>
    <col min="9518" max="9518" width="16.125" style="255" customWidth="1"/>
    <col min="9519" max="9549" width="9" style="255" customWidth="1"/>
    <col min="9550" max="9709" width="25.25" style="255"/>
    <col min="9710" max="9739" width="9" style="255" customWidth="1"/>
    <col min="9740" max="9740" width="0.5" style="255" customWidth="1"/>
    <col min="9741" max="9741" width="25.25" style="255"/>
    <col min="9742" max="9742" width="0.5" style="255" customWidth="1"/>
    <col min="9743" max="9743" width="25.25" style="255"/>
    <col min="9744" max="9744" width="14.75" style="255" customWidth="1"/>
    <col min="9745" max="9745" width="11.5" style="255" customWidth="1"/>
    <col min="9746" max="9746" width="11.25" style="255" customWidth="1"/>
    <col min="9747" max="9747" width="10.75" style="255" customWidth="1"/>
    <col min="9748" max="9748" width="10" style="255" customWidth="1"/>
    <col min="9749" max="9749" width="9.875" style="255" customWidth="1"/>
    <col min="9750" max="9750" width="26.125" style="255" customWidth="1"/>
    <col min="9751" max="9751" width="11.125" style="255" customWidth="1"/>
    <col min="9752" max="9752" width="7.875" style="255" customWidth="1"/>
    <col min="9753" max="9753" width="7.25" style="255" customWidth="1"/>
    <col min="9754" max="9754" width="9.125" style="255" customWidth="1"/>
    <col min="9755" max="9755" width="15.125" style="255" customWidth="1"/>
    <col min="9756" max="9756" width="7.75" style="255" customWidth="1"/>
    <col min="9757" max="9757" width="7.125" style="255" customWidth="1"/>
    <col min="9758" max="9758" width="12.125" style="255" customWidth="1"/>
    <col min="9759" max="9759" width="8.25" style="255" customWidth="1"/>
    <col min="9760" max="9761" width="10.375" style="255" customWidth="1"/>
    <col min="9762" max="9762" width="15.625" style="255" customWidth="1"/>
    <col min="9763" max="9763" width="15.875" style="255" customWidth="1"/>
    <col min="9764" max="9764" width="8.125" style="255" customWidth="1"/>
    <col min="9765" max="9768" width="10.375" style="255" customWidth="1"/>
    <col min="9769" max="9769" width="7.25" style="255" customWidth="1"/>
    <col min="9770" max="9770" width="7.125" style="255" customWidth="1"/>
    <col min="9771" max="9771" width="9.5" style="255" customWidth="1"/>
    <col min="9772" max="9773" width="9" style="255" customWidth="1"/>
    <col min="9774" max="9774" width="16.125" style="255" customWidth="1"/>
    <col min="9775" max="9805" width="9" style="255" customWidth="1"/>
    <col min="9806" max="9965" width="25.25" style="255"/>
    <col min="9966" max="9995" width="9" style="255" customWidth="1"/>
    <col min="9996" max="9996" width="0.5" style="255" customWidth="1"/>
    <col min="9997" max="9997" width="25.25" style="255"/>
    <col min="9998" max="9998" width="0.5" style="255" customWidth="1"/>
    <col min="9999" max="9999" width="25.25" style="255"/>
    <col min="10000" max="10000" width="14.75" style="255" customWidth="1"/>
    <col min="10001" max="10001" width="11.5" style="255" customWidth="1"/>
    <col min="10002" max="10002" width="11.25" style="255" customWidth="1"/>
    <col min="10003" max="10003" width="10.75" style="255" customWidth="1"/>
    <col min="10004" max="10004" width="10" style="255" customWidth="1"/>
    <col min="10005" max="10005" width="9.875" style="255" customWidth="1"/>
    <col min="10006" max="10006" width="26.125" style="255" customWidth="1"/>
    <col min="10007" max="10007" width="11.125" style="255" customWidth="1"/>
    <col min="10008" max="10008" width="7.875" style="255" customWidth="1"/>
    <col min="10009" max="10009" width="7.25" style="255" customWidth="1"/>
    <col min="10010" max="10010" width="9.125" style="255" customWidth="1"/>
    <col min="10011" max="10011" width="15.125" style="255" customWidth="1"/>
    <col min="10012" max="10012" width="7.75" style="255" customWidth="1"/>
    <col min="10013" max="10013" width="7.125" style="255" customWidth="1"/>
    <col min="10014" max="10014" width="12.125" style="255" customWidth="1"/>
    <col min="10015" max="10015" width="8.25" style="255" customWidth="1"/>
    <col min="10016" max="10017" width="10.375" style="255" customWidth="1"/>
    <col min="10018" max="10018" width="15.625" style="255" customWidth="1"/>
    <col min="10019" max="10019" width="15.875" style="255" customWidth="1"/>
    <col min="10020" max="10020" width="8.125" style="255" customWidth="1"/>
    <col min="10021" max="10024" width="10.375" style="255" customWidth="1"/>
    <col min="10025" max="10025" width="7.25" style="255" customWidth="1"/>
    <col min="10026" max="10026" width="7.125" style="255" customWidth="1"/>
    <col min="10027" max="10027" width="9.5" style="255" customWidth="1"/>
    <col min="10028" max="10029" width="9" style="255" customWidth="1"/>
    <col min="10030" max="10030" width="16.125" style="255" customWidth="1"/>
    <col min="10031" max="10061" width="9" style="255" customWidth="1"/>
    <col min="10062" max="10221" width="25.25" style="255"/>
    <col min="10222" max="10251" width="9" style="255" customWidth="1"/>
    <col min="10252" max="10252" width="0.5" style="255" customWidth="1"/>
    <col min="10253" max="10253" width="25.25" style="255"/>
    <col min="10254" max="10254" width="0.5" style="255" customWidth="1"/>
    <col min="10255" max="10255" width="25.25" style="255"/>
    <col min="10256" max="10256" width="14.75" style="255" customWidth="1"/>
    <col min="10257" max="10257" width="11.5" style="255" customWidth="1"/>
    <col min="10258" max="10258" width="11.25" style="255" customWidth="1"/>
    <col min="10259" max="10259" width="10.75" style="255" customWidth="1"/>
    <col min="10260" max="10260" width="10" style="255" customWidth="1"/>
    <col min="10261" max="10261" width="9.875" style="255" customWidth="1"/>
    <col min="10262" max="10262" width="26.125" style="255" customWidth="1"/>
    <col min="10263" max="10263" width="11.125" style="255" customWidth="1"/>
    <col min="10264" max="10264" width="7.875" style="255" customWidth="1"/>
    <col min="10265" max="10265" width="7.25" style="255" customWidth="1"/>
    <col min="10266" max="10266" width="9.125" style="255" customWidth="1"/>
    <col min="10267" max="10267" width="15.125" style="255" customWidth="1"/>
    <col min="10268" max="10268" width="7.75" style="255" customWidth="1"/>
    <col min="10269" max="10269" width="7.125" style="255" customWidth="1"/>
    <col min="10270" max="10270" width="12.125" style="255" customWidth="1"/>
    <col min="10271" max="10271" width="8.25" style="255" customWidth="1"/>
    <col min="10272" max="10273" width="10.375" style="255" customWidth="1"/>
    <col min="10274" max="10274" width="15.625" style="255" customWidth="1"/>
    <col min="10275" max="10275" width="15.875" style="255" customWidth="1"/>
    <col min="10276" max="10276" width="8.125" style="255" customWidth="1"/>
    <col min="10277" max="10280" width="10.375" style="255" customWidth="1"/>
    <col min="10281" max="10281" width="7.25" style="255" customWidth="1"/>
    <col min="10282" max="10282" width="7.125" style="255" customWidth="1"/>
    <col min="10283" max="10283" width="9.5" style="255" customWidth="1"/>
    <col min="10284" max="10285" width="9" style="255" customWidth="1"/>
    <col min="10286" max="10286" width="16.125" style="255" customWidth="1"/>
    <col min="10287" max="10317" width="9" style="255" customWidth="1"/>
    <col min="10318" max="10477" width="25.25" style="255"/>
    <col min="10478" max="10507" width="9" style="255" customWidth="1"/>
    <col min="10508" max="10508" width="0.5" style="255" customWidth="1"/>
    <col min="10509" max="10509" width="25.25" style="255"/>
    <col min="10510" max="10510" width="0.5" style="255" customWidth="1"/>
    <col min="10511" max="10511" width="25.25" style="255"/>
    <col min="10512" max="10512" width="14.75" style="255" customWidth="1"/>
    <col min="10513" max="10513" width="11.5" style="255" customWidth="1"/>
    <col min="10514" max="10514" width="11.25" style="255" customWidth="1"/>
    <col min="10515" max="10515" width="10.75" style="255" customWidth="1"/>
    <col min="10516" max="10516" width="10" style="255" customWidth="1"/>
    <col min="10517" max="10517" width="9.875" style="255" customWidth="1"/>
    <col min="10518" max="10518" width="26.125" style="255" customWidth="1"/>
    <col min="10519" max="10519" width="11.125" style="255" customWidth="1"/>
    <col min="10520" max="10520" width="7.875" style="255" customWidth="1"/>
    <col min="10521" max="10521" width="7.25" style="255" customWidth="1"/>
    <col min="10522" max="10522" width="9.125" style="255" customWidth="1"/>
    <col min="10523" max="10523" width="15.125" style="255" customWidth="1"/>
    <col min="10524" max="10524" width="7.75" style="255" customWidth="1"/>
    <col min="10525" max="10525" width="7.125" style="255" customWidth="1"/>
    <col min="10526" max="10526" width="12.125" style="255" customWidth="1"/>
    <col min="10527" max="10527" width="8.25" style="255" customWidth="1"/>
    <col min="10528" max="10529" width="10.375" style="255" customWidth="1"/>
    <col min="10530" max="10530" width="15.625" style="255" customWidth="1"/>
    <col min="10531" max="10531" width="15.875" style="255" customWidth="1"/>
    <col min="10532" max="10532" width="8.125" style="255" customWidth="1"/>
    <col min="10533" max="10536" width="10.375" style="255" customWidth="1"/>
    <col min="10537" max="10537" width="7.25" style="255" customWidth="1"/>
    <col min="10538" max="10538" width="7.125" style="255" customWidth="1"/>
    <col min="10539" max="10539" width="9.5" style="255" customWidth="1"/>
    <col min="10540" max="10541" width="9" style="255" customWidth="1"/>
    <col min="10542" max="10542" width="16.125" style="255" customWidth="1"/>
    <col min="10543" max="10573" width="9" style="255" customWidth="1"/>
    <col min="10574" max="10733" width="25.25" style="255"/>
    <col min="10734" max="10763" width="9" style="255" customWidth="1"/>
    <col min="10764" max="10764" width="0.5" style="255" customWidth="1"/>
    <col min="10765" max="10765" width="25.25" style="255"/>
    <col min="10766" max="10766" width="0.5" style="255" customWidth="1"/>
    <col min="10767" max="10767" width="25.25" style="255"/>
    <col min="10768" max="10768" width="14.75" style="255" customWidth="1"/>
    <col min="10769" max="10769" width="11.5" style="255" customWidth="1"/>
    <col min="10770" max="10770" width="11.25" style="255" customWidth="1"/>
    <col min="10771" max="10771" width="10.75" style="255" customWidth="1"/>
    <col min="10772" max="10772" width="10" style="255" customWidth="1"/>
    <col min="10773" max="10773" width="9.875" style="255" customWidth="1"/>
    <col min="10774" max="10774" width="26.125" style="255" customWidth="1"/>
    <col min="10775" max="10775" width="11.125" style="255" customWidth="1"/>
    <col min="10776" max="10776" width="7.875" style="255" customWidth="1"/>
    <col min="10777" max="10777" width="7.25" style="255" customWidth="1"/>
    <col min="10778" max="10778" width="9.125" style="255" customWidth="1"/>
    <col min="10779" max="10779" width="15.125" style="255" customWidth="1"/>
    <col min="10780" max="10780" width="7.75" style="255" customWidth="1"/>
    <col min="10781" max="10781" width="7.125" style="255" customWidth="1"/>
    <col min="10782" max="10782" width="12.125" style="255" customWidth="1"/>
    <col min="10783" max="10783" width="8.25" style="255" customWidth="1"/>
    <col min="10784" max="10785" width="10.375" style="255" customWidth="1"/>
    <col min="10786" max="10786" width="15.625" style="255" customWidth="1"/>
    <col min="10787" max="10787" width="15.875" style="255" customWidth="1"/>
    <col min="10788" max="10788" width="8.125" style="255" customWidth="1"/>
    <col min="10789" max="10792" width="10.375" style="255" customWidth="1"/>
    <col min="10793" max="10793" width="7.25" style="255" customWidth="1"/>
    <col min="10794" max="10794" width="7.125" style="255" customWidth="1"/>
    <col min="10795" max="10795" width="9.5" style="255" customWidth="1"/>
    <col min="10796" max="10797" width="9" style="255" customWidth="1"/>
    <col min="10798" max="10798" width="16.125" style="255" customWidth="1"/>
    <col min="10799" max="10829" width="9" style="255" customWidth="1"/>
    <col min="10830" max="10989" width="25.25" style="255"/>
    <col min="10990" max="11019" width="9" style="255" customWidth="1"/>
    <col min="11020" max="11020" width="0.5" style="255" customWidth="1"/>
    <col min="11021" max="11021" width="25.25" style="255"/>
    <col min="11022" max="11022" width="0.5" style="255" customWidth="1"/>
    <col min="11023" max="11023" width="25.25" style="255"/>
    <col min="11024" max="11024" width="14.75" style="255" customWidth="1"/>
    <col min="11025" max="11025" width="11.5" style="255" customWidth="1"/>
    <col min="11026" max="11026" width="11.25" style="255" customWidth="1"/>
    <col min="11027" max="11027" width="10.75" style="255" customWidth="1"/>
    <col min="11028" max="11028" width="10" style="255" customWidth="1"/>
    <col min="11029" max="11029" width="9.875" style="255" customWidth="1"/>
    <col min="11030" max="11030" width="26.125" style="255" customWidth="1"/>
    <col min="11031" max="11031" width="11.125" style="255" customWidth="1"/>
    <col min="11032" max="11032" width="7.875" style="255" customWidth="1"/>
    <col min="11033" max="11033" width="7.25" style="255" customWidth="1"/>
    <col min="11034" max="11034" width="9.125" style="255" customWidth="1"/>
    <col min="11035" max="11035" width="15.125" style="255" customWidth="1"/>
    <col min="11036" max="11036" width="7.75" style="255" customWidth="1"/>
    <col min="11037" max="11037" width="7.125" style="255" customWidth="1"/>
    <col min="11038" max="11038" width="12.125" style="255" customWidth="1"/>
    <col min="11039" max="11039" width="8.25" style="255" customWidth="1"/>
    <col min="11040" max="11041" width="10.375" style="255" customWidth="1"/>
    <col min="11042" max="11042" width="15.625" style="255" customWidth="1"/>
    <col min="11043" max="11043" width="15.875" style="255" customWidth="1"/>
    <col min="11044" max="11044" width="8.125" style="255" customWidth="1"/>
    <col min="11045" max="11048" width="10.375" style="255" customWidth="1"/>
    <col min="11049" max="11049" width="7.25" style="255" customWidth="1"/>
    <col min="11050" max="11050" width="7.125" style="255" customWidth="1"/>
    <col min="11051" max="11051" width="9.5" style="255" customWidth="1"/>
    <col min="11052" max="11053" width="9" style="255" customWidth="1"/>
    <col min="11054" max="11054" width="16.125" style="255" customWidth="1"/>
    <col min="11055" max="11085" width="9" style="255" customWidth="1"/>
    <col min="11086" max="11245" width="25.25" style="255"/>
    <col min="11246" max="11275" width="9" style="255" customWidth="1"/>
    <col min="11276" max="11276" width="0.5" style="255" customWidth="1"/>
    <col min="11277" max="11277" width="25.25" style="255"/>
    <col min="11278" max="11278" width="0.5" style="255" customWidth="1"/>
    <col min="11279" max="11279" width="25.25" style="255"/>
    <col min="11280" max="11280" width="14.75" style="255" customWidth="1"/>
    <col min="11281" max="11281" width="11.5" style="255" customWidth="1"/>
    <col min="11282" max="11282" width="11.25" style="255" customWidth="1"/>
    <col min="11283" max="11283" width="10.75" style="255" customWidth="1"/>
    <col min="11284" max="11284" width="10" style="255" customWidth="1"/>
    <col min="11285" max="11285" width="9.875" style="255" customWidth="1"/>
    <col min="11286" max="11286" width="26.125" style="255" customWidth="1"/>
    <col min="11287" max="11287" width="11.125" style="255" customWidth="1"/>
    <col min="11288" max="11288" width="7.875" style="255" customWidth="1"/>
    <col min="11289" max="11289" width="7.25" style="255" customWidth="1"/>
    <col min="11290" max="11290" width="9.125" style="255" customWidth="1"/>
    <col min="11291" max="11291" width="15.125" style="255" customWidth="1"/>
    <col min="11292" max="11292" width="7.75" style="255" customWidth="1"/>
    <col min="11293" max="11293" width="7.125" style="255" customWidth="1"/>
    <col min="11294" max="11294" width="12.125" style="255" customWidth="1"/>
    <col min="11295" max="11295" width="8.25" style="255" customWidth="1"/>
    <col min="11296" max="11297" width="10.375" style="255" customWidth="1"/>
    <col min="11298" max="11298" width="15.625" style="255" customWidth="1"/>
    <col min="11299" max="11299" width="15.875" style="255" customWidth="1"/>
    <col min="11300" max="11300" width="8.125" style="255" customWidth="1"/>
    <col min="11301" max="11304" width="10.375" style="255" customWidth="1"/>
    <col min="11305" max="11305" width="7.25" style="255" customWidth="1"/>
    <col min="11306" max="11306" width="7.125" style="255" customWidth="1"/>
    <col min="11307" max="11307" width="9.5" style="255" customWidth="1"/>
    <col min="11308" max="11309" width="9" style="255" customWidth="1"/>
    <col min="11310" max="11310" width="16.125" style="255" customWidth="1"/>
    <col min="11311" max="11341" width="9" style="255" customWidth="1"/>
    <col min="11342" max="11501" width="25.25" style="255"/>
    <col min="11502" max="11531" width="9" style="255" customWidth="1"/>
    <col min="11532" max="11532" width="0.5" style="255" customWidth="1"/>
    <col min="11533" max="11533" width="25.25" style="255"/>
    <col min="11534" max="11534" width="0.5" style="255" customWidth="1"/>
    <col min="11535" max="11535" width="25.25" style="255"/>
    <col min="11536" max="11536" width="14.75" style="255" customWidth="1"/>
    <col min="11537" max="11537" width="11.5" style="255" customWidth="1"/>
    <col min="11538" max="11538" width="11.25" style="255" customWidth="1"/>
    <col min="11539" max="11539" width="10.75" style="255" customWidth="1"/>
    <col min="11540" max="11540" width="10" style="255" customWidth="1"/>
    <col min="11541" max="11541" width="9.875" style="255" customWidth="1"/>
    <col min="11542" max="11542" width="26.125" style="255" customWidth="1"/>
    <col min="11543" max="11543" width="11.125" style="255" customWidth="1"/>
    <col min="11544" max="11544" width="7.875" style="255" customWidth="1"/>
    <col min="11545" max="11545" width="7.25" style="255" customWidth="1"/>
    <col min="11546" max="11546" width="9.125" style="255" customWidth="1"/>
    <col min="11547" max="11547" width="15.125" style="255" customWidth="1"/>
    <col min="11548" max="11548" width="7.75" style="255" customWidth="1"/>
    <col min="11549" max="11549" width="7.125" style="255" customWidth="1"/>
    <col min="11550" max="11550" width="12.125" style="255" customWidth="1"/>
    <col min="11551" max="11551" width="8.25" style="255" customWidth="1"/>
    <col min="11552" max="11553" width="10.375" style="255" customWidth="1"/>
    <col min="11554" max="11554" width="15.625" style="255" customWidth="1"/>
    <col min="11555" max="11555" width="15.875" style="255" customWidth="1"/>
    <col min="11556" max="11556" width="8.125" style="255" customWidth="1"/>
    <col min="11557" max="11560" width="10.375" style="255" customWidth="1"/>
    <col min="11561" max="11561" width="7.25" style="255" customWidth="1"/>
    <col min="11562" max="11562" width="7.125" style="255" customWidth="1"/>
    <col min="11563" max="11563" width="9.5" style="255" customWidth="1"/>
    <col min="11564" max="11565" width="9" style="255" customWidth="1"/>
    <col min="11566" max="11566" width="16.125" style="255" customWidth="1"/>
    <col min="11567" max="11597" width="9" style="255" customWidth="1"/>
    <col min="11598" max="11757" width="25.25" style="255"/>
    <col min="11758" max="11787" width="9" style="255" customWidth="1"/>
    <col min="11788" max="11788" width="0.5" style="255" customWidth="1"/>
    <col min="11789" max="11789" width="25.25" style="255"/>
    <col min="11790" max="11790" width="0.5" style="255" customWidth="1"/>
    <col min="11791" max="11791" width="25.25" style="255"/>
    <col min="11792" max="11792" width="14.75" style="255" customWidth="1"/>
    <col min="11793" max="11793" width="11.5" style="255" customWidth="1"/>
    <col min="11794" max="11794" width="11.25" style="255" customWidth="1"/>
    <col min="11795" max="11795" width="10.75" style="255" customWidth="1"/>
    <col min="11796" max="11796" width="10" style="255" customWidth="1"/>
    <col min="11797" max="11797" width="9.875" style="255" customWidth="1"/>
    <col min="11798" max="11798" width="26.125" style="255" customWidth="1"/>
    <col min="11799" max="11799" width="11.125" style="255" customWidth="1"/>
    <col min="11800" max="11800" width="7.875" style="255" customWidth="1"/>
    <col min="11801" max="11801" width="7.25" style="255" customWidth="1"/>
    <col min="11802" max="11802" width="9.125" style="255" customWidth="1"/>
    <col min="11803" max="11803" width="15.125" style="255" customWidth="1"/>
    <col min="11804" max="11804" width="7.75" style="255" customWidth="1"/>
    <col min="11805" max="11805" width="7.125" style="255" customWidth="1"/>
    <col min="11806" max="11806" width="12.125" style="255" customWidth="1"/>
    <col min="11807" max="11807" width="8.25" style="255" customWidth="1"/>
    <col min="11808" max="11809" width="10.375" style="255" customWidth="1"/>
    <col min="11810" max="11810" width="15.625" style="255" customWidth="1"/>
    <col min="11811" max="11811" width="15.875" style="255" customWidth="1"/>
    <col min="11812" max="11812" width="8.125" style="255" customWidth="1"/>
    <col min="11813" max="11816" width="10.375" style="255" customWidth="1"/>
    <col min="11817" max="11817" width="7.25" style="255" customWidth="1"/>
    <col min="11818" max="11818" width="7.125" style="255" customWidth="1"/>
    <col min="11819" max="11819" width="9.5" style="255" customWidth="1"/>
    <col min="11820" max="11821" width="9" style="255" customWidth="1"/>
    <col min="11822" max="11822" width="16.125" style="255" customWidth="1"/>
    <col min="11823" max="11853" width="9" style="255" customWidth="1"/>
    <col min="11854" max="12013" width="25.25" style="255"/>
    <col min="12014" max="12043" width="9" style="255" customWidth="1"/>
    <col min="12044" max="12044" width="0.5" style="255" customWidth="1"/>
    <col min="12045" max="12045" width="25.25" style="255"/>
    <col min="12046" max="12046" width="0.5" style="255" customWidth="1"/>
    <col min="12047" max="12047" width="25.25" style="255"/>
    <col min="12048" max="12048" width="14.75" style="255" customWidth="1"/>
    <col min="12049" max="12049" width="11.5" style="255" customWidth="1"/>
    <col min="12050" max="12050" width="11.25" style="255" customWidth="1"/>
    <col min="12051" max="12051" width="10.75" style="255" customWidth="1"/>
    <col min="12052" max="12052" width="10" style="255" customWidth="1"/>
    <col min="12053" max="12053" width="9.875" style="255" customWidth="1"/>
    <col min="12054" max="12054" width="26.125" style="255" customWidth="1"/>
    <col min="12055" max="12055" width="11.125" style="255" customWidth="1"/>
    <col min="12056" max="12056" width="7.875" style="255" customWidth="1"/>
    <col min="12057" max="12057" width="7.25" style="255" customWidth="1"/>
    <col min="12058" max="12058" width="9.125" style="255" customWidth="1"/>
    <col min="12059" max="12059" width="15.125" style="255" customWidth="1"/>
    <col min="12060" max="12060" width="7.75" style="255" customWidth="1"/>
    <col min="12061" max="12061" width="7.125" style="255" customWidth="1"/>
    <col min="12062" max="12062" width="12.125" style="255" customWidth="1"/>
    <col min="12063" max="12063" width="8.25" style="255" customWidth="1"/>
    <col min="12064" max="12065" width="10.375" style="255" customWidth="1"/>
    <col min="12066" max="12066" width="15.625" style="255" customWidth="1"/>
    <col min="12067" max="12067" width="15.875" style="255" customWidth="1"/>
    <col min="12068" max="12068" width="8.125" style="255" customWidth="1"/>
    <col min="12069" max="12072" width="10.375" style="255" customWidth="1"/>
    <col min="12073" max="12073" width="7.25" style="255" customWidth="1"/>
    <col min="12074" max="12074" width="7.125" style="255" customWidth="1"/>
    <col min="12075" max="12075" width="9.5" style="255" customWidth="1"/>
    <col min="12076" max="12077" width="9" style="255" customWidth="1"/>
    <col min="12078" max="12078" width="16.125" style="255" customWidth="1"/>
    <col min="12079" max="12109" width="9" style="255" customWidth="1"/>
    <col min="12110" max="12269" width="25.25" style="255"/>
    <col min="12270" max="12299" width="9" style="255" customWidth="1"/>
    <col min="12300" max="12300" width="0.5" style="255" customWidth="1"/>
    <col min="12301" max="12301" width="25.25" style="255"/>
    <col min="12302" max="12302" width="0.5" style="255" customWidth="1"/>
    <col min="12303" max="12303" width="25.25" style="255"/>
    <col min="12304" max="12304" width="14.75" style="255" customWidth="1"/>
    <col min="12305" max="12305" width="11.5" style="255" customWidth="1"/>
    <col min="12306" max="12306" width="11.25" style="255" customWidth="1"/>
    <col min="12307" max="12307" width="10.75" style="255" customWidth="1"/>
    <col min="12308" max="12308" width="10" style="255" customWidth="1"/>
    <col min="12309" max="12309" width="9.875" style="255" customWidth="1"/>
    <col min="12310" max="12310" width="26.125" style="255" customWidth="1"/>
    <col min="12311" max="12311" width="11.125" style="255" customWidth="1"/>
    <col min="12312" max="12312" width="7.875" style="255" customWidth="1"/>
    <col min="12313" max="12313" width="7.25" style="255" customWidth="1"/>
    <col min="12314" max="12314" width="9.125" style="255" customWidth="1"/>
    <col min="12315" max="12315" width="15.125" style="255" customWidth="1"/>
    <col min="12316" max="12316" width="7.75" style="255" customWidth="1"/>
    <col min="12317" max="12317" width="7.125" style="255" customWidth="1"/>
    <col min="12318" max="12318" width="12.125" style="255" customWidth="1"/>
    <col min="12319" max="12319" width="8.25" style="255" customWidth="1"/>
    <col min="12320" max="12321" width="10.375" style="255" customWidth="1"/>
    <col min="12322" max="12322" width="15.625" style="255" customWidth="1"/>
    <col min="12323" max="12323" width="15.875" style="255" customWidth="1"/>
    <col min="12324" max="12324" width="8.125" style="255" customWidth="1"/>
    <col min="12325" max="12328" width="10.375" style="255" customWidth="1"/>
    <col min="12329" max="12329" width="7.25" style="255" customWidth="1"/>
    <col min="12330" max="12330" width="7.125" style="255" customWidth="1"/>
    <col min="12331" max="12331" width="9.5" style="255" customWidth="1"/>
    <col min="12332" max="12333" width="9" style="255" customWidth="1"/>
    <col min="12334" max="12334" width="16.125" style="255" customWidth="1"/>
    <col min="12335" max="12365" width="9" style="255" customWidth="1"/>
    <col min="12366" max="12525" width="25.25" style="255"/>
    <col min="12526" max="12555" width="9" style="255" customWidth="1"/>
    <col min="12556" max="12556" width="0.5" style="255" customWidth="1"/>
    <col min="12557" max="12557" width="25.25" style="255"/>
    <col min="12558" max="12558" width="0.5" style="255" customWidth="1"/>
    <col min="12559" max="12559" width="25.25" style="255"/>
    <col min="12560" max="12560" width="14.75" style="255" customWidth="1"/>
    <col min="12561" max="12561" width="11.5" style="255" customWidth="1"/>
    <col min="12562" max="12562" width="11.25" style="255" customWidth="1"/>
    <col min="12563" max="12563" width="10.75" style="255" customWidth="1"/>
    <col min="12564" max="12564" width="10" style="255" customWidth="1"/>
    <col min="12565" max="12565" width="9.875" style="255" customWidth="1"/>
    <col min="12566" max="12566" width="26.125" style="255" customWidth="1"/>
    <col min="12567" max="12567" width="11.125" style="255" customWidth="1"/>
    <col min="12568" max="12568" width="7.875" style="255" customWidth="1"/>
    <col min="12569" max="12569" width="7.25" style="255" customWidth="1"/>
    <col min="12570" max="12570" width="9.125" style="255" customWidth="1"/>
    <col min="12571" max="12571" width="15.125" style="255" customWidth="1"/>
    <col min="12572" max="12572" width="7.75" style="255" customWidth="1"/>
    <col min="12573" max="12573" width="7.125" style="255" customWidth="1"/>
    <col min="12574" max="12574" width="12.125" style="255" customWidth="1"/>
    <col min="12575" max="12575" width="8.25" style="255" customWidth="1"/>
    <col min="12576" max="12577" width="10.375" style="255" customWidth="1"/>
    <col min="12578" max="12578" width="15.625" style="255" customWidth="1"/>
    <col min="12579" max="12579" width="15.875" style="255" customWidth="1"/>
    <col min="12580" max="12580" width="8.125" style="255" customWidth="1"/>
    <col min="12581" max="12584" width="10.375" style="255" customWidth="1"/>
    <col min="12585" max="12585" width="7.25" style="255" customWidth="1"/>
    <col min="12586" max="12586" width="7.125" style="255" customWidth="1"/>
    <col min="12587" max="12587" width="9.5" style="255" customWidth="1"/>
    <col min="12588" max="12589" width="9" style="255" customWidth="1"/>
    <col min="12590" max="12590" width="16.125" style="255" customWidth="1"/>
    <col min="12591" max="12621" width="9" style="255" customWidth="1"/>
    <col min="12622" max="12781" width="25.25" style="255"/>
    <col min="12782" max="12811" width="9" style="255" customWidth="1"/>
    <col min="12812" max="12812" width="0.5" style="255" customWidth="1"/>
    <col min="12813" max="12813" width="25.25" style="255"/>
    <col min="12814" max="12814" width="0.5" style="255" customWidth="1"/>
    <col min="12815" max="12815" width="25.25" style="255"/>
    <col min="12816" max="12816" width="14.75" style="255" customWidth="1"/>
    <col min="12817" max="12817" width="11.5" style="255" customWidth="1"/>
    <col min="12818" max="12818" width="11.25" style="255" customWidth="1"/>
    <col min="12819" max="12819" width="10.75" style="255" customWidth="1"/>
    <col min="12820" max="12820" width="10" style="255" customWidth="1"/>
    <col min="12821" max="12821" width="9.875" style="255" customWidth="1"/>
    <col min="12822" max="12822" width="26.125" style="255" customWidth="1"/>
    <col min="12823" max="12823" width="11.125" style="255" customWidth="1"/>
    <col min="12824" max="12824" width="7.875" style="255" customWidth="1"/>
    <col min="12825" max="12825" width="7.25" style="255" customWidth="1"/>
    <col min="12826" max="12826" width="9.125" style="255" customWidth="1"/>
    <col min="12827" max="12827" width="15.125" style="255" customWidth="1"/>
    <col min="12828" max="12828" width="7.75" style="255" customWidth="1"/>
    <col min="12829" max="12829" width="7.125" style="255" customWidth="1"/>
    <col min="12830" max="12830" width="12.125" style="255" customWidth="1"/>
    <col min="12831" max="12831" width="8.25" style="255" customWidth="1"/>
    <col min="12832" max="12833" width="10.375" style="255" customWidth="1"/>
    <col min="12834" max="12834" width="15.625" style="255" customWidth="1"/>
    <col min="12835" max="12835" width="15.875" style="255" customWidth="1"/>
    <col min="12836" max="12836" width="8.125" style="255" customWidth="1"/>
    <col min="12837" max="12840" width="10.375" style="255" customWidth="1"/>
    <col min="12841" max="12841" width="7.25" style="255" customWidth="1"/>
    <col min="12842" max="12842" width="7.125" style="255" customWidth="1"/>
    <col min="12843" max="12843" width="9.5" style="255" customWidth="1"/>
    <col min="12844" max="12845" width="9" style="255" customWidth="1"/>
    <col min="12846" max="12846" width="16.125" style="255" customWidth="1"/>
    <col min="12847" max="12877" width="9" style="255" customWidth="1"/>
    <col min="12878" max="13037" width="25.25" style="255"/>
    <col min="13038" max="13067" width="9" style="255" customWidth="1"/>
    <col min="13068" max="13068" width="0.5" style="255" customWidth="1"/>
    <col min="13069" max="13069" width="25.25" style="255"/>
    <col min="13070" max="13070" width="0.5" style="255" customWidth="1"/>
    <col min="13071" max="13071" width="25.25" style="255"/>
    <col min="13072" max="13072" width="14.75" style="255" customWidth="1"/>
    <col min="13073" max="13073" width="11.5" style="255" customWidth="1"/>
    <col min="13074" max="13074" width="11.25" style="255" customWidth="1"/>
    <col min="13075" max="13075" width="10.75" style="255" customWidth="1"/>
    <col min="13076" max="13076" width="10" style="255" customWidth="1"/>
    <col min="13077" max="13077" width="9.875" style="255" customWidth="1"/>
    <col min="13078" max="13078" width="26.125" style="255" customWidth="1"/>
    <col min="13079" max="13079" width="11.125" style="255" customWidth="1"/>
    <col min="13080" max="13080" width="7.875" style="255" customWidth="1"/>
    <col min="13081" max="13081" width="7.25" style="255" customWidth="1"/>
    <col min="13082" max="13082" width="9.125" style="255" customWidth="1"/>
    <col min="13083" max="13083" width="15.125" style="255" customWidth="1"/>
    <col min="13084" max="13084" width="7.75" style="255" customWidth="1"/>
    <col min="13085" max="13085" width="7.125" style="255" customWidth="1"/>
    <col min="13086" max="13086" width="12.125" style="255" customWidth="1"/>
    <col min="13087" max="13087" width="8.25" style="255" customWidth="1"/>
    <col min="13088" max="13089" width="10.375" style="255" customWidth="1"/>
    <col min="13090" max="13090" width="15.625" style="255" customWidth="1"/>
    <col min="13091" max="13091" width="15.875" style="255" customWidth="1"/>
    <col min="13092" max="13092" width="8.125" style="255" customWidth="1"/>
    <col min="13093" max="13096" width="10.375" style="255" customWidth="1"/>
    <col min="13097" max="13097" width="7.25" style="255" customWidth="1"/>
    <col min="13098" max="13098" width="7.125" style="255" customWidth="1"/>
    <col min="13099" max="13099" width="9.5" style="255" customWidth="1"/>
    <col min="13100" max="13101" width="9" style="255" customWidth="1"/>
    <col min="13102" max="13102" width="16.125" style="255" customWidth="1"/>
    <col min="13103" max="13133" width="9" style="255" customWidth="1"/>
    <col min="13134" max="13293" width="25.25" style="255"/>
    <col min="13294" max="13323" width="9" style="255" customWidth="1"/>
    <col min="13324" max="13324" width="0.5" style="255" customWidth="1"/>
    <col min="13325" max="13325" width="25.25" style="255"/>
    <col min="13326" max="13326" width="0.5" style="255" customWidth="1"/>
    <col min="13327" max="13327" width="25.25" style="255"/>
    <col min="13328" max="13328" width="14.75" style="255" customWidth="1"/>
    <col min="13329" max="13329" width="11.5" style="255" customWidth="1"/>
    <col min="13330" max="13330" width="11.25" style="255" customWidth="1"/>
    <col min="13331" max="13331" width="10.75" style="255" customWidth="1"/>
    <col min="13332" max="13332" width="10" style="255" customWidth="1"/>
    <col min="13333" max="13333" width="9.875" style="255" customWidth="1"/>
    <col min="13334" max="13334" width="26.125" style="255" customWidth="1"/>
    <col min="13335" max="13335" width="11.125" style="255" customWidth="1"/>
    <col min="13336" max="13336" width="7.875" style="255" customWidth="1"/>
    <col min="13337" max="13337" width="7.25" style="255" customWidth="1"/>
    <col min="13338" max="13338" width="9.125" style="255" customWidth="1"/>
    <col min="13339" max="13339" width="15.125" style="255" customWidth="1"/>
    <col min="13340" max="13340" width="7.75" style="255" customWidth="1"/>
    <col min="13341" max="13341" width="7.125" style="255" customWidth="1"/>
    <col min="13342" max="13342" width="12.125" style="255" customWidth="1"/>
    <col min="13343" max="13343" width="8.25" style="255" customWidth="1"/>
    <col min="13344" max="13345" width="10.375" style="255" customWidth="1"/>
    <col min="13346" max="13346" width="15.625" style="255" customWidth="1"/>
    <col min="13347" max="13347" width="15.875" style="255" customWidth="1"/>
    <col min="13348" max="13348" width="8.125" style="255" customWidth="1"/>
    <col min="13349" max="13352" width="10.375" style="255" customWidth="1"/>
    <col min="13353" max="13353" width="7.25" style="255" customWidth="1"/>
    <col min="13354" max="13354" width="7.125" style="255" customWidth="1"/>
    <col min="13355" max="13355" width="9.5" style="255" customWidth="1"/>
    <col min="13356" max="13357" width="9" style="255" customWidth="1"/>
    <col min="13358" max="13358" width="16.125" style="255" customWidth="1"/>
    <col min="13359" max="13389" width="9" style="255" customWidth="1"/>
    <col min="13390" max="13549" width="25.25" style="255"/>
    <col min="13550" max="13579" width="9" style="255" customWidth="1"/>
    <col min="13580" max="13580" width="0.5" style="255" customWidth="1"/>
    <col min="13581" max="13581" width="25.25" style="255"/>
    <col min="13582" max="13582" width="0.5" style="255" customWidth="1"/>
    <col min="13583" max="13583" width="25.25" style="255"/>
    <col min="13584" max="13584" width="14.75" style="255" customWidth="1"/>
    <col min="13585" max="13585" width="11.5" style="255" customWidth="1"/>
    <col min="13586" max="13586" width="11.25" style="255" customWidth="1"/>
    <col min="13587" max="13587" width="10.75" style="255" customWidth="1"/>
    <col min="13588" max="13588" width="10" style="255" customWidth="1"/>
    <col min="13589" max="13589" width="9.875" style="255" customWidth="1"/>
    <col min="13590" max="13590" width="26.125" style="255" customWidth="1"/>
    <col min="13591" max="13591" width="11.125" style="255" customWidth="1"/>
    <col min="13592" max="13592" width="7.875" style="255" customWidth="1"/>
    <col min="13593" max="13593" width="7.25" style="255" customWidth="1"/>
    <col min="13594" max="13594" width="9.125" style="255" customWidth="1"/>
    <col min="13595" max="13595" width="15.125" style="255" customWidth="1"/>
    <col min="13596" max="13596" width="7.75" style="255" customWidth="1"/>
    <col min="13597" max="13597" width="7.125" style="255" customWidth="1"/>
    <col min="13598" max="13598" width="12.125" style="255" customWidth="1"/>
    <col min="13599" max="13599" width="8.25" style="255" customWidth="1"/>
    <col min="13600" max="13601" width="10.375" style="255" customWidth="1"/>
    <col min="13602" max="13602" width="15.625" style="255" customWidth="1"/>
    <col min="13603" max="13603" width="15.875" style="255" customWidth="1"/>
    <col min="13604" max="13604" width="8.125" style="255" customWidth="1"/>
    <col min="13605" max="13608" width="10.375" style="255" customWidth="1"/>
    <col min="13609" max="13609" width="7.25" style="255" customWidth="1"/>
    <col min="13610" max="13610" width="7.125" style="255" customWidth="1"/>
    <col min="13611" max="13611" width="9.5" style="255" customWidth="1"/>
    <col min="13612" max="13613" width="9" style="255" customWidth="1"/>
    <col min="13614" max="13614" width="16.125" style="255" customWidth="1"/>
    <col min="13615" max="13645" width="9" style="255" customWidth="1"/>
    <col min="13646" max="13805" width="25.25" style="255"/>
    <col min="13806" max="13835" width="9" style="255" customWidth="1"/>
    <col min="13836" max="13836" width="0.5" style="255" customWidth="1"/>
    <col min="13837" max="13837" width="25.25" style="255"/>
    <col min="13838" max="13838" width="0.5" style="255" customWidth="1"/>
    <col min="13839" max="13839" width="25.25" style="255"/>
    <col min="13840" max="13840" width="14.75" style="255" customWidth="1"/>
    <col min="13841" max="13841" width="11.5" style="255" customWidth="1"/>
    <col min="13842" max="13842" width="11.25" style="255" customWidth="1"/>
    <col min="13843" max="13843" width="10.75" style="255" customWidth="1"/>
    <col min="13844" max="13844" width="10" style="255" customWidth="1"/>
    <col min="13845" max="13845" width="9.875" style="255" customWidth="1"/>
    <col min="13846" max="13846" width="26.125" style="255" customWidth="1"/>
    <col min="13847" max="13847" width="11.125" style="255" customWidth="1"/>
    <col min="13848" max="13848" width="7.875" style="255" customWidth="1"/>
    <col min="13849" max="13849" width="7.25" style="255" customWidth="1"/>
    <col min="13850" max="13850" width="9.125" style="255" customWidth="1"/>
    <col min="13851" max="13851" width="15.125" style="255" customWidth="1"/>
    <col min="13852" max="13852" width="7.75" style="255" customWidth="1"/>
    <col min="13853" max="13853" width="7.125" style="255" customWidth="1"/>
    <col min="13854" max="13854" width="12.125" style="255" customWidth="1"/>
    <col min="13855" max="13855" width="8.25" style="255" customWidth="1"/>
    <col min="13856" max="13857" width="10.375" style="255" customWidth="1"/>
    <col min="13858" max="13858" width="15.625" style="255" customWidth="1"/>
    <col min="13859" max="13859" width="15.875" style="255" customWidth="1"/>
    <col min="13860" max="13860" width="8.125" style="255" customWidth="1"/>
    <col min="13861" max="13864" width="10.375" style="255" customWidth="1"/>
    <col min="13865" max="13865" width="7.25" style="255" customWidth="1"/>
    <col min="13866" max="13866" width="7.125" style="255" customWidth="1"/>
    <col min="13867" max="13867" width="9.5" style="255" customWidth="1"/>
    <col min="13868" max="13869" width="9" style="255" customWidth="1"/>
    <col min="13870" max="13870" width="16.125" style="255" customWidth="1"/>
    <col min="13871" max="13901" width="9" style="255" customWidth="1"/>
    <col min="13902" max="14061" width="25.25" style="255"/>
    <col min="14062" max="14091" width="9" style="255" customWidth="1"/>
    <col min="14092" max="14092" width="0.5" style="255" customWidth="1"/>
    <col min="14093" max="14093" width="25.25" style="255"/>
    <col min="14094" max="14094" width="0.5" style="255" customWidth="1"/>
    <col min="14095" max="14095" width="25.25" style="255"/>
    <col min="14096" max="14096" width="14.75" style="255" customWidth="1"/>
    <col min="14097" max="14097" width="11.5" style="255" customWidth="1"/>
    <col min="14098" max="14098" width="11.25" style="255" customWidth="1"/>
    <col min="14099" max="14099" width="10.75" style="255" customWidth="1"/>
    <col min="14100" max="14100" width="10" style="255" customWidth="1"/>
    <col min="14101" max="14101" width="9.875" style="255" customWidth="1"/>
    <col min="14102" max="14102" width="26.125" style="255" customWidth="1"/>
    <col min="14103" max="14103" width="11.125" style="255" customWidth="1"/>
    <col min="14104" max="14104" width="7.875" style="255" customWidth="1"/>
    <col min="14105" max="14105" width="7.25" style="255" customWidth="1"/>
    <col min="14106" max="14106" width="9.125" style="255" customWidth="1"/>
    <col min="14107" max="14107" width="15.125" style="255" customWidth="1"/>
    <col min="14108" max="14108" width="7.75" style="255" customWidth="1"/>
    <col min="14109" max="14109" width="7.125" style="255" customWidth="1"/>
    <col min="14110" max="14110" width="12.125" style="255" customWidth="1"/>
    <col min="14111" max="14111" width="8.25" style="255" customWidth="1"/>
    <col min="14112" max="14113" width="10.375" style="255" customWidth="1"/>
    <col min="14114" max="14114" width="15.625" style="255" customWidth="1"/>
    <col min="14115" max="14115" width="15.875" style="255" customWidth="1"/>
    <col min="14116" max="14116" width="8.125" style="255" customWidth="1"/>
    <col min="14117" max="14120" width="10.375" style="255" customWidth="1"/>
    <col min="14121" max="14121" width="7.25" style="255" customWidth="1"/>
    <col min="14122" max="14122" width="7.125" style="255" customWidth="1"/>
    <col min="14123" max="14123" width="9.5" style="255" customWidth="1"/>
    <col min="14124" max="14125" width="9" style="255" customWidth="1"/>
    <col min="14126" max="14126" width="16.125" style="255" customWidth="1"/>
    <col min="14127" max="14157" width="9" style="255" customWidth="1"/>
    <col min="14158" max="14317" width="25.25" style="255"/>
    <col min="14318" max="14347" width="9" style="255" customWidth="1"/>
    <col min="14348" max="14348" width="0.5" style="255" customWidth="1"/>
    <col min="14349" max="14349" width="25.25" style="255"/>
    <col min="14350" max="14350" width="0.5" style="255" customWidth="1"/>
    <col min="14351" max="14351" width="25.25" style="255"/>
    <col min="14352" max="14352" width="14.75" style="255" customWidth="1"/>
    <col min="14353" max="14353" width="11.5" style="255" customWidth="1"/>
    <col min="14354" max="14354" width="11.25" style="255" customWidth="1"/>
    <col min="14355" max="14355" width="10.75" style="255" customWidth="1"/>
    <col min="14356" max="14356" width="10" style="255" customWidth="1"/>
    <col min="14357" max="14357" width="9.875" style="255" customWidth="1"/>
    <col min="14358" max="14358" width="26.125" style="255" customWidth="1"/>
    <col min="14359" max="14359" width="11.125" style="255" customWidth="1"/>
    <col min="14360" max="14360" width="7.875" style="255" customWidth="1"/>
    <col min="14361" max="14361" width="7.25" style="255" customWidth="1"/>
    <col min="14362" max="14362" width="9.125" style="255" customWidth="1"/>
    <col min="14363" max="14363" width="15.125" style="255" customWidth="1"/>
    <col min="14364" max="14364" width="7.75" style="255" customWidth="1"/>
    <col min="14365" max="14365" width="7.125" style="255" customWidth="1"/>
    <col min="14366" max="14366" width="12.125" style="255" customWidth="1"/>
    <col min="14367" max="14367" width="8.25" style="255" customWidth="1"/>
    <col min="14368" max="14369" width="10.375" style="255" customWidth="1"/>
    <col min="14370" max="14370" width="15.625" style="255" customWidth="1"/>
    <col min="14371" max="14371" width="15.875" style="255" customWidth="1"/>
    <col min="14372" max="14372" width="8.125" style="255" customWidth="1"/>
    <col min="14373" max="14376" width="10.375" style="255" customWidth="1"/>
    <col min="14377" max="14377" width="7.25" style="255" customWidth="1"/>
    <col min="14378" max="14378" width="7.125" style="255" customWidth="1"/>
    <col min="14379" max="14379" width="9.5" style="255" customWidth="1"/>
    <col min="14380" max="14381" width="9" style="255" customWidth="1"/>
    <col min="14382" max="14382" width="16.125" style="255" customWidth="1"/>
    <col min="14383" max="14413" width="9" style="255" customWidth="1"/>
    <col min="14414" max="14573" width="25.25" style="255"/>
    <col min="14574" max="14603" width="9" style="255" customWidth="1"/>
    <col min="14604" max="14604" width="0.5" style="255" customWidth="1"/>
    <col min="14605" max="14605" width="25.25" style="255"/>
    <col min="14606" max="14606" width="0.5" style="255" customWidth="1"/>
    <col min="14607" max="14607" width="25.25" style="255"/>
    <col min="14608" max="14608" width="14.75" style="255" customWidth="1"/>
    <col min="14609" max="14609" width="11.5" style="255" customWidth="1"/>
    <col min="14610" max="14610" width="11.25" style="255" customWidth="1"/>
    <col min="14611" max="14611" width="10.75" style="255" customWidth="1"/>
    <col min="14612" max="14612" width="10" style="255" customWidth="1"/>
    <col min="14613" max="14613" width="9.875" style="255" customWidth="1"/>
    <col min="14614" max="14614" width="26.125" style="255" customWidth="1"/>
    <col min="14615" max="14615" width="11.125" style="255" customWidth="1"/>
    <col min="14616" max="14616" width="7.875" style="255" customWidth="1"/>
    <col min="14617" max="14617" width="7.25" style="255" customWidth="1"/>
    <col min="14618" max="14618" width="9.125" style="255" customWidth="1"/>
    <col min="14619" max="14619" width="15.125" style="255" customWidth="1"/>
    <col min="14620" max="14620" width="7.75" style="255" customWidth="1"/>
    <col min="14621" max="14621" width="7.125" style="255" customWidth="1"/>
    <col min="14622" max="14622" width="12.125" style="255" customWidth="1"/>
    <col min="14623" max="14623" width="8.25" style="255" customWidth="1"/>
    <col min="14624" max="14625" width="10.375" style="255" customWidth="1"/>
    <col min="14626" max="14626" width="15.625" style="255" customWidth="1"/>
    <col min="14627" max="14627" width="15.875" style="255" customWidth="1"/>
    <col min="14628" max="14628" width="8.125" style="255" customWidth="1"/>
    <col min="14629" max="14632" width="10.375" style="255" customWidth="1"/>
    <col min="14633" max="14633" width="7.25" style="255" customWidth="1"/>
    <col min="14634" max="14634" width="7.125" style="255" customWidth="1"/>
    <col min="14635" max="14635" width="9.5" style="255" customWidth="1"/>
    <col min="14636" max="14637" width="9" style="255" customWidth="1"/>
    <col min="14638" max="14638" width="16.125" style="255" customWidth="1"/>
    <col min="14639" max="14669" width="9" style="255" customWidth="1"/>
    <col min="14670" max="14829" width="25.25" style="255"/>
    <col min="14830" max="14859" width="9" style="255" customWidth="1"/>
    <col min="14860" max="14860" width="0.5" style="255" customWidth="1"/>
    <col min="14861" max="14861" width="25.25" style="255"/>
    <col min="14862" max="14862" width="0.5" style="255" customWidth="1"/>
    <col min="14863" max="14863" width="25.25" style="255"/>
    <col min="14864" max="14864" width="14.75" style="255" customWidth="1"/>
    <col min="14865" max="14865" width="11.5" style="255" customWidth="1"/>
    <col min="14866" max="14866" width="11.25" style="255" customWidth="1"/>
    <col min="14867" max="14867" width="10.75" style="255" customWidth="1"/>
    <col min="14868" max="14868" width="10" style="255" customWidth="1"/>
    <col min="14869" max="14869" width="9.875" style="255" customWidth="1"/>
    <col min="14870" max="14870" width="26.125" style="255" customWidth="1"/>
    <col min="14871" max="14871" width="11.125" style="255" customWidth="1"/>
    <col min="14872" max="14872" width="7.875" style="255" customWidth="1"/>
    <col min="14873" max="14873" width="7.25" style="255" customWidth="1"/>
    <col min="14874" max="14874" width="9.125" style="255" customWidth="1"/>
    <col min="14875" max="14875" width="15.125" style="255" customWidth="1"/>
    <col min="14876" max="14876" width="7.75" style="255" customWidth="1"/>
    <col min="14877" max="14877" width="7.125" style="255" customWidth="1"/>
    <col min="14878" max="14878" width="12.125" style="255" customWidth="1"/>
    <col min="14879" max="14879" width="8.25" style="255" customWidth="1"/>
    <col min="14880" max="14881" width="10.375" style="255" customWidth="1"/>
    <col min="14882" max="14882" width="15.625" style="255" customWidth="1"/>
    <col min="14883" max="14883" width="15.875" style="255" customWidth="1"/>
    <col min="14884" max="14884" width="8.125" style="255" customWidth="1"/>
    <col min="14885" max="14888" width="10.375" style="255" customWidth="1"/>
    <col min="14889" max="14889" width="7.25" style="255" customWidth="1"/>
    <col min="14890" max="14890" width="7.125" style="255" customWidth="1"/>
    <col min="14891" max="14891" width="9.5" style="255" customWidth="1"/>
    <col min="14892" max="14893" width="9" style="255" customWidth="1"/>
    <col min="14894" max="14894" width="16.125" style="255" customWidth="1"/>
    <col min="14895" max="14925" width="9" style="255" customWidth="1"/>
    <col min="14926" max="15085" width="25.25" style="255"/>
    <col min="15086" max="15115" width="9" style="255" customWidth="1"/>
    <col min="15116" max="15116" width="0.5" style="255" customWidth="1"/>
    <col min="15117" max="15117" width="25.25" style="255"/>
    <col min="15118" max="15118" width="0.5" style="255" customWidth="1"/>
    <col min="15119" max="15119" width="25.25" style="255"/>
    <col min="15120" max="15120" width="14.75" style="255" customWidth="1"/>
    <col min="15121" max="15121" width="11.5" style="255" customWidth="1"/>
    <col min="15122" max="15122" width="11.25" style="255" customWidth="1"/>
    <col min="15123" max="15123" width="10.75" style="255" customWidth="1"/>
    <col min="15124" max="15124" width="10" style="255" customWidth="1"/>
    <col min="15125" max="15125" width="9.875" style="255" customWidth="1"/>
    <col min="15126" max="15126" width="26.125" style="255" customWidth="1"/>
    <col min="15127" max="15127" width="11.125" style="255" customWidth="1"/>
    <col min="15128" max="15128" width="7.875" style="255" customWidth="1"/>
    <col min="15129" max="15129" width="7.25" style="255" customWidth="1"/>
    <col min="15130" max="15130" width="9.125" style="255" customWidth="1"/>
    <col min="15131" max="15131" width="15.125" style="255" customWidth="1"/>
    <col min="15132" max="15132" width="7.75" style="255" customWidth="1"/>
    <col min="15133" max="15133" width="7.125" style="255" customWidth="1"/>
    <col min="15134" max="15134" width="12.125" style="255" customWidth="1"/>
    <col min="15135" max="15135" width="8.25" style="255" customWidth="1"/>
    <col min="15136" max="15137" width="10.375" style="255" customWidth="1"/>
    <col min="15138" max="15138" width="15.625" style="255" customWidth="1"/>
    <col min="15139" max="15139" width="15.875" style="255" customWidth="1"/>
    <col min="15140" max="15140" width="8.125" style="255" customWidth="1"/>
    <col min="15141" max="15144" width="10.375" style="255" customWidth="1"/>
    <col min="15145" max="15145" width="7.25" style="255" customWidth="1"/>
    <col min="15146" max="15146" width="7.125" style="255" customWidth="1"/>
    <col min="15147" max="15147" width="9.5" style="255" customWidth="1"/>
    <col min="15148" max="15149" width="9" style="255" customWidth="1"/>
    <col min="15150" max="15150" width="16.125" style="255" customWidth="1"/>
    <col min="15151" max="15181" width="9" style="255" customWidth="1"/>
    <col min="15182" max="15341" width="25.25" style="255"/>
    <col min="15342" max="15371" width="9" style="255" customWidth="1"/>
    <col min="15372" max="15372" width="0.5" style="255" customWidth="1"/>
    <col min="15373" max="15373" width="25.25" style="255"/>
    <col min="15374" max="15374" width="0.5" style="255" customWidth="1"/>
    <col min="15375" max="15375" width="25.25" style="255"/>
    <col min="15376" max="15376" width="14.75" style="255" customWidth="1"/>
    <col min="15377" max="15377" width="11.5" style="255" customWidth="1"/>
    <col min="15378" max="15378" width="11.25" style="255" customWidth="1"/>
    <col min="15379" max="15379" width="10.75" style="255" customWidth="1"/>
    <col min="15380" max="15380" width="10" style="255" customWidth="1"/>
    <col min="15381" max="15381" width="9.875" style="255" customWidth="1"/>
    <col min="15382" max="15382" width="26.125" style="255" customWidth="1"/>
    <col min="15383" max="15383" width="11.125" style="255" customWidth="1"/>
    <col min="15384" max="15384" width="7.875" style="255" customWidth="1"/>
    <col min="15385" max="15385" width="7.25" style="255" customWidth="1"/>
    <col min="15386" max="15386" width="9.125" style="255" customWidth="1"/>
    <col min="15387" max="15387" width="15.125" style="255" customWidth="1"/>
    <col min="15388" max="15388" width="7.75" style="255" customWidth="1"/>
    <col min="15389" max="15389" width="7.125" style="255" customWidth="1"/>
    <col min="15390" max="15390" width="12.125" style="255" customWidth="1"/>
    <col min="15391" max="15391" width="8.25" style="255" customWidth="1"/>
    <col min="15392" max="15393" width="10.375" style="255" customWidth="1"/>
    <col min="15394" max="15394" width="15.625" style="255" customWidth="1"/>
    <col min="15395" max="15395" width="15.875" style="255" customWidth="1"/>
    <col min="15396" max="15396" width="8.125" style="255" customWidth="1"/>
    <col min="15397" max="15400" width="10.375" style="255" customWidth="1"/>
    <col min="15401" max="15401" width="7.25" style="255" customWidth="1"/>
    <col min="15402" max="15402" width="7.125" style="255" customWidth="1"/>
    <col min="15403" max="15403" width="9.5" style="255" customWidth="1"/>
    <col min="15404" max="15405" width="9" style="255" customWidth="1"/>
    <col min="15406" max="15406" width="16.125" style="255" customWidth="1"/>
    <col min="15407" max="15437" width="9" style="255" customWidth="1"/>
    <col min="15438" max="15597" width="25.25" style="255"/>
    <col min="15598" max="15627" width="9" style="255" customWidth="1"/>
    <col min="15628" max="15628" width="0.5" style="255" customWidth="1"/>
    <col min="15629" max="15629" width="25.25" style="255"/>
    <col min="15630" max="15630" width="0.5" style="255" customWidth="1"/>
    <col min="15631" max="15631" width="25.25" style="255"/>
    <col min="15632" max="15632" width="14.75" style="255" customWidth="1"/>
    <col min="15633" max="15633" width="11.5" style="255" customWidth="1"/>
    <col min="15634" max="15634" width="11.25" style="255" customWidth="1"/>
    <col min="15635" max="15635" width="10.75" style="255" customWidth="1"/>
    <col min="15636" max="15636" width="10" style="255" customWidth="1"/>
    <col min="15637" max="15637" width="9.875" style="255" customWidth="1"/>
    <col min="15638" max="15638" width="26.125" style="255" customWidth="1"/>
    <col min="15639" max="15639" width="11.125" style="255" customWidth="1"/>
    <col min="15640" max="15640" width="7.875" style="255" customWidth="1"/>
    <col min="15641" max="15641" width="7.25" style="255" customWidth="1"/>
    <col min="15642" max="15642" width="9.125" style="255" customWidth="1"/>
    <col min="15643" max="15643" width="15.125" style="255" customWidth="1"/>
    <col min="15644" max="15644" width="7.75" style="255" customWidth="1"/>
    <col min="15645" max="15645" width="7.125" style="255" customWidth="1"/>
    <col min="15646" max="15646" width="12.125" style="255" customWidth="1"/>
    <col min="15647" max="15647" width="8.25" style="255" customWidth="1"/>
    <col min="15648" max="15649" width="10.375" style="255" customWidth="1"/>
    <col min="15650" max="15650" width="15.625" style="255" customWidth="1"/>
    <col min="15651" max="15651" width="15.875" style="255" customWidth="1"/>
    <col min="15652" max="15652" width="8.125" style="255" customWidth="1"/>
    <col min="15653" max="15656" width="10.375" style="255" customWidth="1"/>
    <col min="15657" max="15657" width="7.25" style="255" customWidth="1"/>
    <col min="15658" max="15658" width="7.125" style="255" customWidth="1"/>
    <col min="15659" max="15659" width="9.5" style="255" customWidth="1"/>
    <col min="15660" max="15661" width="9" style="255" customWidth="1"/>
    <col min="15662" max="15662" width="16.125" style="255" customWidth="1"/>
    <col min="15663" max="15693" width="9" style="255" customWidth="1"/>
    <col min="15694" max="15853" width="25.25" style="255"/>
    <col min="15854" max="15883" width="9" style="255" customWidth="1"/>
    <col min="15884" max="15884" width="0.5" style="255" customWidth="1"/>
    <col min="15885" max="15885" width="25.25" style="255"/>
    <col min="15886" max="15886" width="0.5" style="255" customWidth="1"/>
    <col min="15887" max="15887" width="25.25" style="255"/>
    <col min="15888" max="15888" width="14.75" style="255" customWidth="1"/>
    <col min="15889" max="15889" width="11.5" style="255" customWidth="1"/>
    <col min="15890" max="15890" width="11.25" style="255" customWidth="1"/>
    <col min="15891" max="15891" width="10.75" style="255" customWidth="1"/>
    <col min="15892" max="15892" width="10" style="255" customWidth="1"/>
    <col min="15893" max="15893" width="9.875" style="255" customWidth="1"/>
    <col min="15894" max="15894" width="26.125" style="255" customWidth="1"/>
    <col min="15895" max="15895" width="11.125" style="255" customWidth="1"/>
    <col min="15896" max="15896" width="7.875" style="255" customWidth="1"/>
    <col min="15897" max="15897" width="7.25" style="255" customWidth="1"/>
    <col min="15898" max="15898" width="9.125" style="255" customWidth="1"/>
    <col min="15899" max="15899" width="15.125" style="255" customWidth="1"/>
    <col min="15900" max="15900" width="7.75" style="255" customWidth="1"/>
    <col min="15901" max="15901" width="7.125" style="255" customWidth="1"/>
    <col min="15902" max="15902" width="12.125" style="255" customWidth="1"/>
    <col min="15903" max="15903" width="8.25" style="255" customWidth="1"/>
    <col min="15904" max="15905" width="10.375" style="255" customWidth="1"/>
    <col min="15906" max="15906" width="15.625" style="255" customWidth="1"/>
    <col min="15907" max="15907" width="15.875" style="255" customWidth="1"/>
    <col min="15908" max="15908" width="8.125" style="255" customWidth="1"/>
    <col min="15909" max="15912" width="10.375" style="255" customWidth="1"/>
    <col min="15913" max="15913" width="7.25" style="255" customWidth="1"/>
    <col min="15914" max="15914" width="7.125" style="255" customWidth="1"/>
    <col min="15915" max="15915" width="9.5" style="255" customWidth="1"/>
    <col min="15916" max="15917" width="9" style="255" customWidth="1"/>
    <col min="15918" max="15918" width="16.125" style="255" customWidth="1"/>
    <col min="15919" max="15949" width="9" style="255" customWidth="1"/>
    <col min="15950" max="16109" width="25.25" style="255"/>
    <col min="16110" max="16139" width="9" style="255" customWidth="1"/>
    <col min="16140" max="16140" width="0.5" style="255" customWidth="1"/>
    <col min="16141" max="16384" width="25.25" style="255"/>
  </cols>
  <sheetData>
    <row r="1" spans="1:16" ht="14.25" thickBot="1"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1"/>
      <c r="O1" s="1"/>
      <c r="P1" s="1"/>
    </row>
    <row r="2" spans="1:16" ht="18" customHeight="1">
      <c r="A2" s="5"/>
      <c r="B2" s="6" t="s">
        <v>402</v>
      </c>
      <c r="C2" s="254"/>
      <c r="D2" s="254" t="s">
        <v>9</v>
      </c>
      <c r="E2" s="254" t="s">
        <v>10</v>
      </c>
      <c r="F2" s="661" t="s">
        <v>11</v>
      </c>
      <c r="G2" s="661"/>
      <c r="H2" s="661"/>
      <c r="I2" s="662" t="s">
        <v>12</v>
      </c>
      <c r="J2" s="664" t="s">
        <v>13</v>
      </c>
      <c r="K2" s="665"/>
      <c r="L2" s="665"/>
      <c r="M2" s="666"/>
      <c r="N2" s="8"/>
      <c r="O2" s="8"/>
      <c r="P2" s="8"/>
    </row>
    <row r="3" spans="1:16" ht="18" customHeight="1">
      <c r="B3" s="9" t="s">
        <v>14</v>
      </c>
      <c r="C3" s="10" t="s">
        <v>15</v>
      </c>
      <c r="D3" s="10" t="s">
        <v>16</v>
      </c>
      <c r="E3" s="10" t="s">
        <v>17</v>
      </c>
      <c r="F3" s="10" t="s">
        <v>7</v>
      </c>
      <c r="G3" s="10" t="s">
        <v>5</v>
      </c>
      <c r="H3" s="10" t="s">
        <v>18</v>
      </c>
      <c r="I3" s="663"/>
      <c r="J3" s="11" t="s">
        <v>19</v>
      </c>
      <c r="K3" s="12" t="s">
        <v>20</v>
      </c>
      <c r="L3" s="12" t="s">
        <v>21</v>
      </c>
      <c r="M3" s="13" t="s">
        <v>22</v>
      </c>
      <c r="N3" s="14"/>
      <c r="P3" s="15"/>
    </row>
    <row r="4" spans="1:16" ht="18" customHeight="1">
      <c r="B4" s="667" t="str">
        <f ca="1">MID(CELL("filename",Q13),FIND("]",CELL("filename",Q13))+1,30)</f>
        <v>WM2338</v>
      </c>
      <c r="C4" s="17" t="s">
        <v>23</v>
      </c>
      <c r="D4" s="17">
        <v>2300</v>
      </c>
      <c r="E4" s="17">
        <v>3800</v>
      </c>
      <c r="F4" s="222">
        <v>8.17</v>
      </c>
      <c r="G4" s="17">
        <v>1</v>
      </c>
      <c r="H4" s="17">
        <f>F4*G4</f>
        <v>8.17</v>
      </c>
      <c r="I4" s="663"/>
      <c r="J4" s="19">
        <v>40</v>
      </c>
      <c r="K4" s="20">
        <v>20</v>
      </c>
      <c r="L4" s="21">
        <v>1.5</v>
      </c>
      <c r="M4" s="22">
        <f t="shared" ref="M4:M11" si="0">ROUND(((J4*K4)-(J4-2*L4)*(K4-2*L4))*7.8/1000,3)</f>
        <v>1.3340000000000001</v>
      </c>
    </row>
    <row r="5" spans="1:16" ht="18" customHeight="1">
      <c r="B5" s="668"/>
      <c r="C5" s="221" t="s">
        <v>299</v>
      </c>
      <c r="D5" s="221">
        <f>D4-70</f>
        <v>2230</v>
      </c>
      <c r="E5" s="221">
        <f>E4-70</f>
        <v>3730</v>
      </c>
      <c r="F5" s="222">
        <f>D5*E5/10^6</f>
        <v>8.3178999999999998</v>
      </c>
      <c r="G5" s="221">
        <v>1</v>
      </c>
      <c r="H5" s="222">
        <f>F5*G5</f>
        <v>8.3178999999999998</v>
      </c>
      <c r="I5" s="663"/>
      <c r="J5" s="19">
        <v>40</v>
      </c>
      <c r="K5" s="20">
        <v>20</v>
      </c>
      <c r="L5" s="21">
        <v>2</v>
      </c>
      <c r="M5" s="22">
        <f t="shared" si="0"/>
        <v>1.7470000000000001</v>
      </c>
    </row>
    <row r="6" spans="1:16" ht="18" customHeight="1">
      <c r="B6" s="669"/>
      <c r="C6" s="17" t="s">
        <v>24</v>
      </c>
      <c r="D6" s="17">
        <f>D4-80</f>
        <v>2220</v>
      </c>
      <c r="E6" s="17">
        <f>E4-80</f>
        <v>3720</v>
      </c>
      <c r="F6" s="18">
        <f>D6*E6/10^6</f>
        <v>8.2584</v>
      </c>
      <c r="G6" s="17">
        <v>1</v>
      </c>
      <c r="H6" s="18">
        <f>F6*G6</f>
        <v>8.2584</v>
      </c>
      <c r="I6" s="663"/>
      <c r="J6" s="19">
        <v>40</v>
      </c>
      <c r="K6" s="20">
        <v>20</v>
      </c>
      <c r="L6" s="21">
        <v>2</v>
      </c>
      <c r="M6" s="22">
        <f t="shared" si="0"/>
        <v>1.7470000000000001</v>
      </c>
    </row>
    <row r="7" spans="1:16" ht="18" customHeight="1">
      <c r="B7" s="23" t="s">
        <v>25</v>
      </c>
      <c r="C7" s="252" t="s">
        <v>16</v>
      </c>
      <c r="D7" s="252" t="s">
        <v>26</v>
      </c>
      <c r="E7" s="252" t="s">
        <v>17</v>
      </c>
      <c r="F7" s="252" t="s">
        <v>27</v>
      </c>
      <c r="G7" s="252" t="s">
        <v>22</v>
      </c>
      <c r="H7" s="252" t="s">
        <v>28</v>
      </c>
      <c r="I7" s="25" t="s">
        <v>29</v>
      </c>
      <c r="J7" s="19">
        <v>80</v>
      </c>
      <c r="K7" s="20">
        <v>40</v>
      </c>
      <c r="L7" s="21">
        <v>2</v>
      </c>
      <c r="M7" s="22">
        <f t="shared" si="0"/>
        <v>3.6190000000000002</v>
      </c>
    </row>
    <row r="8" spans="1:16" ht="18" customHeight="1">
      <c r="B8" s="251" t="s">
        <v>30</v>
      </c>
      <c r="C8" s="27">
        <f>D4-30</f>
        <v>2270</v>
      </c>
      <c r="D8" s="27">
        <v>2</v>
      </c>
      <c r="E8" s="27">
        <f>E4-30</f>
        <v>3770</v>
      </c>
      <c r="F8" s="27">
        <v>2</v>
      </c>
      <c r="G8" s="28">
        <v>1.7470000000000001</v>
      </c>
      <c r="H8" s="29">
        <f>材料价格!B3</f>
        <v>7.5</v>
      </c>
      <c r="I8" s="30">
        <f>ROUND((C8*D8+E8*F8)*G8*H8/1000*1.1,2)</f>
        <v>174.11</v>
      </c>
      <c r="J8" s="19">
        <v>40</v>
      </c>
      <c r="K8" s="20">
        <v>20</v>
      </c>
      <c r="L8" s="21">
        <v>1.4</v>
      </c>
      <c r="M8" s="22">
        <f>ROUND(((J8*K8)-(J8-2*L8)*(K8-2*L8))*2.71/1000,3)</f>
        <v>0.434</v>
      </c>
    </row>
    <row r="9" spans="1:16" ht="18" customHeight="1">
      <c r="B9" s="251" t="s">
        <v>30</v>
      </c>
      <c r="C9" s="250"/>
      <c r="D9" s="250"/>
      <c r="E9" s="250"/>
      <c r="F9" s="250"/>
      <c r="G9" s="28">
        <v>1.7470000000000001</v>
      </c>
      <c r="H9" s="32">
        <f>H8</f>
        <v>7.5</v>
      </c>
      <c r="I9" s="30">
        <f>ROUND((C9*D9+E9*F9)*G9*H9/1000*1.1,2)</f>
        <v>0</v>
      </c>
      <c r="J9" s="19"/>
      <c r="K9" s="20"/>
      <c r="L9" s="21"/>
      <c r="M9" s="22">
        <f t="shared" si="0"/>
        <v>0</v>
      </c>
    </row>
    <row r="10" spans="1:16" ht="18" customHeight="1">
      <c r="B10" s="251" t="s">
        <v>31</v>
      </c>
      <c r="C10" s="250"/>
      <c r="D10" s="250"/>
      <c r="E10" s="250"/>
      <c r="F10" s="250"/>
      <c r="G10" s="28">
        <v>3.6190000000000002</v>
      </c>
      <c r="H10" s="32">
        <f>H9</f>
        <v>7.5</v>
      </c>
      <c r="I10" s="30">
        <f>ROUND((C10*D10+E10*F10)*G10*H10/1000*1.1,2)</f>
        <v>0</v>
      </c>
      <c r="J10" s="19"/>
      <c r="K10" s="20"/>
      <c r="L10" s="12"/>
      <c r="M10" s="22">
        <f t="shared" si="0"/>
        <v>0</v>
      </c>
    </row>
    <row r="11" spans="1:16" ht="18" customHeight="1" thickBot="1">
      <c r="B11" s="251" t="s">
        <v>32</v>
      </c>
      <c r="C11" s="250"/>
      <c r="D11" s="250"/>
      <c r="E11" s="250"/>
      <c r="F11" s="250"/>
      <c r="G11" s="28">
        <v>2.9950000000000001</v>
      </c>
      <c r="H11" s="32">
        <f>H10</f>
        <v>7.5</v>
      </c>
      <c r="I11" s="30">
        <f>ROUND((C11*D11+E11*F11)*G11*H11/1000*1.1,2)</f>
        <v>0</v>
      </c>
      <c r="J11" s="33"/>
      <c r="K11" s="34"/>
      <c r="L11" s="35"/>
      <c r="M11" s="36">
        <f t="shared" si="0"/>
        <v>0</v>
      </c>
    </row>
    <row r="12" spans="1:16" ht="18" customHeight="1">
      <c r="B12" s="37" t="s">
        <v>33</v>
      </c>
      <c r="C12" s="38">
        <f>((I9+I10+I8+I11)/H8)/F4</f>
        <v>2.8414524683802536</v>
      </c>
      <c r="D12" s="39" t="s">
        <v>34</v>
      </c>
      <c r="E12" s="38">
        <f>(I9+I10+I8+I11)/F4</f>
        <v>21.310893512851898</v>
      </c>
      <c r="F12" s="40" t="s">
        <v>35</v>
      </c>
      <c r="G12" s="39"/>
      <c r="H12" s="39">
        <f>ROUND(SUM(I8:I11)/H8,2)</f>
        <v>23.21</v>
      </c>
      <c r="I12" s="41">
        <f>SUM(I8:I11)</f>
        <v>174.11</v>
      </c>
      <c r="J12" s="42"/>
    </row>
    <row r="13" spans="1:16" ht="18" customHeight="1">
      <c r="B13" s="23" t="s">
        <v>36</v>
      </c>
      <c r="C13" s="252" t="s">
        <v>14</v>
      </c>
      <c r="D13" s="252" t="s">
        <v>37</v>
      </c>
      <c r="E13" s="252" t="s">
        <v>38</v>
      </c>
      <c r="F13" s="252" t="s">
        <v>39</v>
      </c>
      <c r="G13" s="252" t="s">
        <v>8</v>
      </c>
      <c r="H13" s="252" t="s">
        <v>22</v>
      </c>
      <c r="I13" s="25" t="s">
        <v>40</v>
      </c>
    </row>
    <row r="14" spans="1:16" ht="18" customHeight="1">
      <c r="B14" s="648" t="s">
        <v>41</v>
      </c>
      <c r="C14" s="649" t="s">
        <v>404</v>
      </c>
      <c r="D14" s="250">
        <f>D6</f>
        <v>2220</v>
      </c>
      <c r="E14" s="250">
        <v>1150</v>
      </c>
      <c r="F14" s="44">
        <f>ROUND((D14+E14)*2/1000,4)</f>
        <v>6.74</v>
      </c>
      <c r="G14" s="250">
        <v>1</v>
      </c>
      <c r="H14" s="250">
        <v>1.47</v>
      </c>
      <c r="I14" s="284">
        <f>ROUND(F14*G14*H14,3)*1.5</f>
        <v>14.861999999999998</v>
      </c>
      <c r="J14" s="42"/>
      <c r="K14" s="46"/>
      <c r="L14" s="46"/>
      <c r="M14" s="42"/>
    </row>
    <row r="15" spans="1:16" ht="18" customHeight="1">
      <c r="B15" s="648"/>
      <c r="C15" s="650"/>
      <c r="D15" s="250"/>
      <c r="E15" s="250"/>
      <c r="F15" s="44">
        <f t="shared" ref="F15:F21" si="1">ROUND((D15+E15)*2/1000,4)</f>
        <v>0</v>
      </c>
      <c r="G15" s="250"/>
      <c r="H15" s="250">
        <f t="shared" ref="H15:H21" si="2">H14</f>
        <v>1.47</v>
      </c>
      <c r="I15" s="247">
        <f t="shared" ref="I15:I21" si="3">ROUND(F15*G15*H15,3)</f>
        <v>0</v>
      </c>
      <c r="K15" s="47"/>
      <c r="M15" s="255"/>
    </row>
    <row r="16" spans="1:16" ht="18" customHeight="1">
      <c r="B16" s="648"/>
      <c r="C16" s="650"/>
      <c r="D16" s="250"/>
      <c r="E16" s="250"/>
      <c r="F16" s="44">
        <f t="shared" si="1"/>
        <v>0</v>
      </c>
      <c r="G16" s="250"/>
      <c r="H16" s="250">
        <f t="shared" si="2"/>
        <v>1.47</v>
      </c>
      <c r="I16" s="247">
        <f t="shared" si="3"/>
        <v>0</v>
      </c>
      <c r="K16" s="47"/>
      <c r="L16" s="46"/>
      <c r="M16" s="42"/>
    </row>
    <row r="17" spans="2:15" ht="18" customHeight="1">
      <c r="B17" s="648"/>
      <c r="C17" s="650"/>
      <c r="D17" s="250"/>
      <c r="E17" s="250"/>
      <c r="F17" s="44">
        <f t="shared" si="1"/>
        <v>0</v>
      </c>
      <c r="G17" s="250"/>
      <c r="H17" s="250">
        <f t="shared" si="2"/>
        <v>1.47</v>
      </c>
      <c r="I17" s="247">
        <f t="shared" si="3"/>
        <v>0</v>
      </c>
      <c r="K17" s="47"/>
      <c r="M17" s="42"/>
    </row>
    <row r="18" spans="2:15" ht="18" customHeight="1">
      <c r="B18" s="648"/>
      <c r="C18" s="650"/>
      <c r="D18" s="250"/>
      <c r="E18" s="250"/>
      <c r="F18" s="44">
        <f t="shared" si="1"/>
        <v>0</v>
      </c>
      <c r="G18" s="250"/>
      <c r="H18" s="250">
        <f t="shared" si="2"/>
        <v>1.47</v>
      </c>
      <c r="I18" s="247">
        <f t="shared" si="3"/>
        <v>0</v>
      </c>
      <c r="M18" s="42"/>
    </row>
    <row r="19" spans="2:15" ht="18" customHeight="1">
      <c r="B19" s="648"/>
      <c r="C19" s="650"/>
      <c r="D19" s="250"/>
      <c r="E19" s="250"/>
      <c r="F19" s="44">
        <f t="shared" si="1"/>
        <v>0</v>
      </c>
      <c r="G19" s="250"/>
      <c r="H19" s="250">
        <f t="shared" si="2"/>
        <v>1.47</v>
      </c>
      <c r="I19" s="247">
        <f t="shared" si="3"/>
        <v>0</v>
      </c>
      <c r="M19" s="42"/>
    </row>
    <row r="20" spans="2:15" ht="18" customHeight="1">
      <c r="B20" s="648"/>
      <c r="C20" s="650"/>
      <c r="D20" s="250"/>
      <c r="E20" s="250"/>
      <c r="F20" s="44">
        <f t="shared" si="1"/>
        <v>0</v>
      </c>
      <c r="G20" s="250"/>
      <c r="H20" s="250">
        <f t="shared" si="2"/>
        <v>1.47</v>
      </c>
      <c r="I20" s="247">
        <f t="shared" si="3"/>
        <v>0</v>
      </c>
      <c r="K20" s="47"/>
      <c r="M20" s="42"/>
    </row>
    <row r="21" spans="2:15" ht="18" customHeight="1">
      <c r="B21" s="648"/>
      <c r="C21" s="651"/>
      <c r="D21" s="250"/>
      <c r="E21" s="250"/>
      <c r="F21" s="44">
        <f t="shared" si="1"/>
        <v>0</v>
      </c>
      <c r="G21" s="250"/>
      <c r="H21" s="250">
        <f t="shared" si="2"/>
        <v>1.47</v>
      </c>
      <c r="I21" s="247">
        <f t="shared" si="3"/>
        <v>0</v>
      </c>
    </row>
    <row r="22" spans="2:15" ht="18" customHeight="1">
      <c r="B22" s="48" t="s">
        <v>42</v>
      </c>
      <c r="C22" s="49">
        <f>SUMPRODUCT(F14:F21*G14:G21)</f>
        <v>6.74</v>
      </c>
      <c r="D22" s="50" t="s">
        <v>43</v>
      </c>
      <c r="E22" s="49">
        <f>SUM(I14:I21)*1.1</f>
        <v>16.348199999999999</v>
      </c>
      <c r="F22" s="50" t="s">
        <v>44</v>
      </c>
      <c r="G22" s="51">
        <f>(C$218+C$219)/1000</f>
        <v>46.081499999999998</v>
      </c>
      <c r="H22" s="52" t="s">
        <v>45</v>
      </c>
      <c r="I22" s="53">
        <f>ROUND(E22*G22,2)</f>
        <v>753.35</v>
      </c>
      <c r="J22" s="243">
        <f>SUM(G14:G21)</f>
        <v>1</v>
      </c>
    </row>
    <row r="23" spans="2:15" ht="18" customHeight="1">
      <c r="B23" s="48" t="s">
        <v>46</v>
      </c>
      <c r="C23" s="50">
        <v>207.36</v>
      </c>
      <c r="D23" s="50" t="s">
        <v>47</v>
      </c>
      <c r="E23" s="49">
        <f>ROUND(C22*(C23/1000),2)</f>
        <v>1.4</v>
      </c>
      <c r="F23" s="50" t="s">
        <v>48</v>
      </c>
      <c r="G23" s="50">
        <v>10</v>
      </c>
      <c r="H23" s="52" t="s">
        <v>49</v>
      </c>
      <c r="I23" s="53">
        <f>E23*G23</f>
        <v>14</v>
      </c>
    </row>
    <row r="24" spans="2:15" ht="18" customHeight="1" thickBot="1">
      <c r="B24" s="48" t="s">
        <v>50</v>
      </c>
      <c r="C24" s="50">
        <v>169.96</v>
      </c>
      <c r="D24" s="50" t="s">
        <v>51</v>
      </c>
      <c r="E24" s="49">
        <f>ROUND(C22*(C24/1000),2)</f>
        <v>1.1499999999999999</v>
      </c>
      <c r="F24" s="50" t="s">
        <v>48</v>
      </c>
      <c r="G24" s="50">
        <v>10</v>
      </c>
      <c r="H24" s="52" t="s">
        <v>49</v>
      </c>
      <c r="I24" s="53">
        <f>E24*G24</f>
        <v>11.5</v>
      </c>
    </row>
    <row r="25" spans="2:15" ht="18" customHeight="1">
      <c r="B25" s="23" t="s">
        <v>36</v>
      </c>
      <c r="C25" s="252" t="s">
        <v>14</v>
      </c>
      <c r="D25" s="252" t="s">
        <v>37</v>
      </c>
      <c r="E25" s="252" t="s">
        <v>38</v>
      </c>
      <c r="F25" s="252" t="s">
        <v>39</v>
      </c>
      <c r="G25" s="252" t="s">
        <v>8</v>
      </c>
      <c r="H25" s="252" t="s">
        <v>22</v>
      </c>
      <c r="I25" s="25" t="s">
        <v>40</v>
      </c>
      <c r="J25" s="54" t="s">
        <v>2</v>
      </c>
      <c r="K25" s="55" t="s">
        <v>3</v>
      </c>
      <c r="L25" s="55" t="s">
        <v>52</v>
      </c>
      <c r="M25" s="55" t="s">
        <v>53</v>
      </c>
      <c r="N25" s="56" t="s">
        <v>14</v>
      </c>
    </row>
    <row r="26" spans="2:15" ht="18" customHeight="1">
      <c r="B26" s="648" t="s">
        <v>54</v>
      </c>
      <c r="C26" s="649" t="s">
        <v>55</v>
      </c>
      <c r="D26" s="253">
        <f>J26-IF(L26=1,44,IF(L26=2,30,IF(L26=3,16,0)))</f>
        <v>0</v>
      </c>
      <c r="E26" s="253">
        <f>K26-IF(M26=1,44,IF(M26=2,30,IF(M26=3,16,0)))</f>
        <v>0</v>
      </c>
      <c r="F26" s="44">
        <f>ROUND((D26+E26)*2/1000,4)</f>
        <v>0</v>
      </c>
      <c r="G26" s="250"/>
      <c r="H26" s="58">
        <v>1.62</v>
      </c>
      <c r="I26" s="59">
        <f>IF(AND(D26&gt;0,E26&gt;0,F26&gt;0),F26*G26*H26,0)</f>
        <v>0</v>
      </c>
      <c r="J26" s="60"/>
      <c r="K26" s="61"/>
      <c r="L26" s="61"/>
      <c r="M26" s="61"/>
      <c r="N26" s="62" t="s">
        <v>56</v>
      </c>
      <c r="O26" s="63" t="s">
        <v>57</v>
      </c>
    </row>
    <row r="27" spans="2:15" ht="18" customHeight="1">
      <c r="B27" s="648"/>
      <c r="C27" s="650"/>
      <c r="D27" s="253">
        <f t="shared" ref="D27:E30" si="4">J27-IF(L27=1,44,IF(L27=2,30,IF(L27=3,16,0)))</f>
        <v>0</v>
      </c>
      <c r="E27" s="253">
        <f t="shared" si="4"/>
        <v>0</v>
      </c>
      <c r="F27" s="44">
        <f>ROUND((D27+E27)*2/1000,4)</f>
        <v>0</v>
      </c>
      <c r="G27" s="250"/>
      <c r="H27" s="58">
        <f>H26</f>
        <v>1.62</v>
      </c>
      <c r="I27" s="59">
        <f>IF(AND(D27&gt;0,E27&gt;0,F27&gt;0),F27*G27*H27,0)</f>
        <v>0</v>
      </c>
      <c r="J27" s="60"/>
      <c r="K27" s="61"/>
      <c r="L27" s="61"/>
      <c r="M27" s="61"/>
      <c r="N27" s="62" t="s">
        <v>58</v>
      </c>
      <c r="O27" s="63" t="s">
        <v>59</v>
      </c>
    </row>
    <row r="28" spans="2:15" ht="18" customHeight="1">
      <c r="B28" s="648"/>
      <c r="C28" s="650"/>
      <c r="D28" s="253">
        <f t="shared" si="4"/>
        <v>0</v>
      </c>
      <c r="E28" s="253">
        <f t="shared" si="4"/>
        <v>0</v>
      </c>
      <c r="F28" s="44">
        <f>ROUND((D28+E28)*2/1000,4)</f>
        <v>0</v>
      </c>
      <c r="G28" s="250"/>
      <c r="H28" s="58">
        <f>H27</f>
        <v>1.62</v>
      </c>
      <c r="I28" s="59">
        <f>IF(AND(D28&gt;0,E28&gt;0,F28&gt;0),F28*G28*H28,0)</f>
        <v>0</v>
      </c>
      <c r="J28" s="60"/>
      <c r="K28" s="61"/>
      <c r="L28" s="61"/>
      <c r="M28" s="61"/>
      <c r="N28" s="62" t="s">
        <v>60</v>
      </c>
      <c r="O28" s="63" t="s">
        <v>59</v>
      </c>
    </row>
    <row r="29" spans="2:15" ht="18" customHeight="1">
      <c r="B29" s="648"/>
      <c r="C29" s="650"/>
      <c r="D29" s="253">
        <f t="shared" si="4"/>
        <v>0</v>
      </c>
      <c r="E29" s="253">
        <f t="shared" si="4"/>
        <v>0</v>
      </c>
      <c r="F29" s="44">
        <f>ROUND((D29+E29)*2/1000,4)</f>
        <v>0</v>
      </c>
      <c r="G29" s="250"/>
      <c r="H29" s="58">
        <f>H28</f>
        <v>1.62</v>
      </c>
      <c r="I29" s="59">
        <f>IF(AND(D29&gt;0,E29&gt;0,F29&gt;0),F29*G29*H29,0)</f>
        <v>0</v>
      </c>
      <c r="J29" s="60"/>
      <c r="K29" s="61"/>
      <c r="L29" s="61"/>
      <c r="M29" s="61"/>
      <c r="N29" s="62"/>
    </row>
    <row r="30" spans="2:15" ht="18" customHeight="1" thickBot="1">
      <c r="B30" s="648"/>
      <c r="C30" s="651"/>
      <c r="D30" s="253">
        <f t="shared" si="4"/>
        <v>0</v>
      </c>
      <c r="E30" s="253">
        <f t="shared" si="4"/>
        <v>0</v>
      </c>
      <c r="F30" s="44">
        <f>ROUND((D30+E30)*2/1000,4)</f>
        <v>0</v>
      </c>
      <c r="G30" s="250"/>
      <c r="H30" s="58">
        <f>H29</f>
        <v>1.62</v>
      </c>
      <c r="I30" s="59">
        <f>IF(AND(D30&gt;0,E30&gt;0,F30&gt;0),F30*G30*H30,0)</f>
        <v>0</v>
      </c>
      <c r="J30" s="64"/>
      <c r="K30" s="65"/>
      <c r="L30" s="65"/>
      <c r="M30" s="65"/>
      <c r="N30" s="66"/>
    </row>
    <row r="31" spans="2:15" ht="18" customHeight="1">
      <c r="B31" s="48" t="s">
        <v>42</v>
      </c>
      <c r="C31" s="49">
        <f>SUMPRODUCT(F26:F30*G26:G30)</f>
        <v>0</v>
      </c>
      <c r="D31" s="50" t="s">
        <v>43</v>
      </c>
      <c r="E31" s="49">
        <f>SUM(I26:I30)*1.1</f>
        <v>0</v>
      </c>
      <c r="F31" s="50" t="s">
        <v>44</v>
      </c>
      <c r="G31" s="51">
        <f>(C$218+C$221)/1000</f>
        <v>46.081499999999998</v>
      </c>
      <c r="H31" s="52" t="s">
        <v>45</v>
      </c>
      <c r="I31" s="53">
        <f>ROUND(E31*G31,2)</f>
        <v>0</v>
      </c>
      <c r="J31" s="243">
        <f>SUM(G26:G30)</f>
        <v>0</v>
      </c>
    </row>
    <row r="32" spans="2:15" ht="18" customHeight="1">
      <c r="B32" s="48" t="s">
        <v>46</v>
      </c>
      <c r="C32" s="50">
        <v>183.32</v>
      </c>
      <c r="D32" s="50" t="s">
        <v>47</v>
      </c>
      <c r="E32" s="49">
        <f>ROUND(C31*(C32/1000),2)</f>
        <v>0</v>
      </c>
      <c r="F32" s="50" t="s">
        <v>48</v>
      </c>
      <c r="G32" s="50">
        <f>G$23</f>
        <v>10</v>
      </c>
      <c r="H32" s="52" t="s">
        <v>49</v>
      </c>
      <c r="I32" s="53">
        <f>E32*G32</f>
        <v>0</v>
      </c>
    </row>
    <row r="33" spans="2:14" ht="18" customHeight="1" thickBot="1">
      <c r="B33" s="48" t="s">
        <v>50</v>
      </c>
      <c r="C33" s="50">
        <v>257.82</v>
      </c>
      <c r="D33" s="50" t="s">
        <v>51</v>
      </c>
      <c r="E33" s="49">
        <f>ROUND(C31*(C33/1000),2)</f>
        <v>0</v>
      </c>
      <c r="F33" s="50" t="s">
        <v>48</v>
      </c>
      <c r="G33" s="50">
        <f>G$24</f>
        <v>10</v>
      </c>
      <c r="H33" s="52" t="s">
        <v>49</v>
      </c>
      <c r="I33" s="53">
        <f>E33*G33</f>
        <v>0</v>
      </c>
    </row>
    <row r="34" spans="2:14" ht="18" customHeight="1" thickBot="1">
      <c r="B34" s="67" t="s">
        <v>36</v>
      </c>
      <c r="C34" s="68" t="s">
        <v>14</v>
      </c>
      <c r="D34" s="68" t="s">
        <v>37</v>
      </c>
      <c r="E34" s="68" t="s">
        <v>38</v>
      </c>
      <c r="F34" s="68" t="s">
        <v>39</v>
      </c>
      <c r="G34" s="68" t="s">
        <v>8</v>
      </c>
      <c r="H34" s="68" t="s">
        <v>22</v>
      </c>
      <c r="I34" s="69" t="s">
        <v>40</v>
      </c>
      <c r="J34" s="54" t="s">
        <v>2</v>
      </c>
      <c r="K34" s="55" t="s">
        <v>3</v>
      </c>
      <c r="L34" s="55" t="s">
        <v>61</v>
      </c>
      <c r="M34" s="55" t="s">
        <v>62</v>
      </c>
      <c r="N34" s="70" t="s">
        <v>14</v>
      </c>
    </row>
    <row r="35" spans="2:14" ht="18" customHeight="1">
      <c r="B35" s="648" t="s">
        <v>63</v>
      </c>
      <c r="C35" s="649" t="s">
        <v>64</v>
      </c>
      <c r="D35" s="253">
        <f t="shared" ref="D35:E37" si="5">J35-IF(L35=1,44,IF(L35=2,30,IF(L35=3,16,IF(L35=11,118,IF(L35=12,100,IF(L35=13,76.8,0))))))</f>
        <v>0</v>
      </c>
      <c r="E35" s="253">
        <f t="shared" si="5"/>
        <v>0</v>
      </c>
      <c r="F35" s="250">
        <f>ROUND((D35+E35)*2/1000,4)</f>
        <v>0</v>
      </c>
      <c r="G35" s="250"/>
      <c r="H35" s="58">
        <v>1.8140000000000001</v>
      </c>
      <c r="I35" s="59">
        <f>ROUND(F35*G35*H35,3)</f>
        <v>0</v>
      </c>
      <c r="J35" s="60"/>
      <c r="K35" s="61"/>
      <c r="L35" s="61"/>
      <c r="M35" s="61"/>
      <c r="N35" s="71" t="s">
        <v>56</v>
      </c>
    </row>
    <row r="36" spans="2:14" ht="18" customHeight="1">
      <c r="B36" s="660"/>
      <c r="C36" s="650"/>
      <c r="D36" s="253">
        <f t="shared" si="5"/>
        <v>0</v>
      </c>
      <c r="E36" s="253">
        <f t="shared" si="5"/>
        <v>0</v>
      </c>
      <c r="F36" s="250">
        <f>ROUND((D36+E36)*2/1000,4)</f>
        <v>0</v>
      </c>
      <c r="G36" s="250"/>
      <c r="H36" s="58">
        <f>H35</f>
        <v>1.8140000000000001</v>
      </c>
      <c r="I36" s="59">
        <f>ROUND(F36*G36*H36,3)</f>
        <v>0</v>
      </c>
      <c r="J36" s="60"/>
      <c r="K36" s="61"/>
      <c r="L36" s="61"/>
      <c r="M36" s="61"/>
      <c r="N36" s="72" t="s">
        <v>58</v>
      </c>
    </row>
    <row r="37" spans="2:14" ht="18" customHeight="1">
      <c r="B37" s="660"/>
      <c r="C37" s="651"/>
      <c r="D37" s="253">
        <f t="shared" si="5"/>
        <v>0</v>
      </c>
      <c r="E37" s="253">
        <f t="shared" si="5"/>
        <v>0</v>
      </c>
      <c r="F37" s="250">
        <f>ROUND((D37+E37)*2/1000,4)</f>
        <v>0</v>
      </c>
      <c r="G37" s="250"/>
      <c r="H37" s="58">
        <f>H36</f>
        <v>1.8140000000000001</v>
      </c>
      <c r="I37" s="59">
        <f>ROUND(F37*G37*H37,3)</f>
        <v>0</v>
      </c>
      <c r="J37" s="60"/>
      <c r="K37" s="61"/>
      <c r="L37" s="61"/>
      <c r="M37" s="61"/>
      <c r="N37" s="72" t="s">
        <v>60</v>
      </c>
    </row>
    <row r="38" spans="2:14" ht="18" customHeight="1">
      <c r="B38" s="48" t="s">
        <v>42</v>
      </c>
      <c r="C38" s="49">
        <f>SUMPRODUCT(F35:F37*G35:G37)</f>
        <v>0</v>
      </c>
      <c r="D38" s="50" t="s">
        <v>43</v>
      </c>
      <c r="E38" s="49">
        <f>SUM(I35:I37)*1.1</f>
        <v>0</v>
      </c>
      <c r="F38" s="50" t="s">
        <v>44</v>
      </c>
      <c r="G38" s="51">
        <f>(C$218+C$219)/1000</f>
        <v>46.081499999999998</v>
      </c>
      <c r="H38" s="52" t="s">
        <v>45</v>
      </c>
      <c r="I38" s="53">
        <f>ROUND(E38*G38,2)</f>
        <v>0</v>
      </c>
      <c r="J38" s="243">
        <f>SUM(G35:G37)</f>
        <v>0</v>
      </c>
      <c r="K38" s="255"/>
      <c r="L38" s="255"/>
      <c r="M38" s="255"/>
      <c r="N38" s="73" t="s">
        <v>65</v>
      </c>
    </row>
    <row r="39" spans="2:14" ht="18" customHeight="1">
      <c r="B39" s="48" t="s">
        <v>46</v>
      </c>
      <c r="C39" s="50">
        <v>320.14</v>
      </c>
      <c r="D39" s="50" t="s">
        <v>47</v>
      </c>
      <c r="E39" s="49">
        <f>ROUND(C38*(C39/1000),2)</f>
        <v>0</v>
      </c>
      <c r="F39" s="50" t="s">
        <v>48</v>
      </c>
      <c r="G39" s="50">
        <f>G$23</f>
        <v>10</v>
      </c>
      <c r="H39" s="52" t="s">
        <v>49</v>
      </c>
      <c r="I39" s="53">
        <f>E39*G39</f>
        <v>0</v>
      </c>
      <c r="J39" s="255"/>
      <c r="K39" s="255"/>
      <c r="L39" s="255"/>
      <c r="M39" s="255"/>
      <c r="N39" s="73" t="s">
        <v>66</v>
      </c>
    </row>
    <row r="40" spans="2:14" ht="18" customHeight="1" thickBot="1">
      <c r="B40" s="48" t="s">
        <v>50</v>
      </c>
      <c r="C40" s="50">
        <v>156.99</v>
      </c>
      <c r="D40" s="50" t="s">
        <v>51</v>
      </c>
      <c r="E40" s="49">
        <f>ROUND(C38*(C40/1000),2)</f>
        <v>0</v>
      </c>
      <c r="F40" s="50" t="s">
        <v>48</v>
      </c>
      <c r="G40" s="50">
        <f>G$24</f>
        <v>10</v>
      </c>
      <c r="H40" s="52" t="s">
        <v>49</v>
      </c>
      <c r="I40" s="53">
        <f>E40*G40</f>
        <v>0</v>
      </c>
      <c r="J40" s="255"/>
      <c r="K40" s="255"/>
      <c r="L40" s="255"/>
      <c r="M40" s="255"/>
      <c r="N40" s="74" t="s">
        <v>67</v>
      </c>
    </row>
    <row r="41" spans="2:14" ht="18" customHeight="1" thickBot="1">
      <c r="B41" s="23" t="s">
        <v>36</v>
      </c>
      <c r="C41" s="252" t="s">
        <v>14</v>
      </c>
      <c r="D41" s="252" t="s">
        <v>37</v>
      </c>
      <c r="E41" s="252" t="s">
        <v>38</v>
      </c>
      <c r="F41" s="252" t="s">
        <v>39</v>
      </c>
      <c r="G41" s="252" t="s">
        <v>8</v>
      </c>
      <c r="H41" s="252" t="s">
        <v>22</v>
      </c>
      <c r="I41" s="25" t="s">
        <v>40</v>
      </c>
      <c r="J41" s="54" t="s">
        <v>2</v>
      </c>
      <c r="K41" s="55" t="s">
        <v>3</v>
      </c>
      <c r="L41" s="55" t="s">
        <v>61</v>
      </c>
      <c r="M41" s="55" t="s">
        <v>62</v>
      </c>
      <c r="N41" s="70" t="s">
        <v>14</v>
      </c>
    </row>
    <row r="42" spans="2:14" ht="18" customHeight="1">
      <c r="B42" s="648" t="s">
        <v>68</v>
      </c>
      <c r="C42" s="649" t="s">
        <v>69</v>
      </c>
      <c r="D42" s="253">
        <f>J42-IF(L42=1,46,IF(L42=2,34.5,IF(L42=3,23)))</f>
        <v>0</v>
      </c>
      <c r="E42" s="253">
        <f>K42-IF(M42=1,46,IF(M42=2,34.5,IF(M42=3,23)))</f>
        <v>0</v>
      </c>
      <c r="F42" s="250">
        <f t="shared" ref="F42:F47" si="6">ROUND((D42+E42)*2/1000,4)</f>
        <v>0</v>
      </c>
      <c r="G42" s="250"/>
      <c r="H42" s="250">
        <v>1.26</v>
      </c>
      <c r="I42" s="59">
        <f t="shared" ref="I42:I47" si="7">ROUND(F42*G42*H42,3)</f>
        <v>0</v>
      </c>
      <c r="J42" s="60"/>
      <c r="K42" s="61"/>
      <c r="L42" s="61"/>
      <c r="M42" s="61"/>
      <c r="N42" s="71" t="s">
        <v>56</v>
      </c>
    </row>
    <row r="43" spans="2:14" ht="18" customHeight="1">
      <c r="B43" s="648"/>
      <c r="C43" s="650"/>
      <c r="D43" s="253">
        <f t="shared" ref="D43:E47" si="8">J43-IF(L43=1,46,IF(L43=2,34.5,IF(L43=3,23)))</f>
        <v>0</v>
      </c>
      <c r="E43" s="253">
        <f t="shared" si="8"/>
        <v>0</v>
      </c>
      <c r="F43" s="250">
        <f t="shared" si="6"/>
        <v>0</v>
      </c>
      <c r="G43" s="250"/>
      <c r="H43" s="250">
        <f>H42</f>
        <v>1.26</v>
      </c>
      <c r="I43" s="59">
        <f t="shared" si="7"/>
        <v>0</v>
      </c>
      <c r="J43" s="60"/>
      <c r="K43" s="61"/>
      <c r="L43" s="61"/>
      <c r="M43" s="61"/>
      <c r="N43" s="72" t="s">
        <v>58</v>
      </c>
    </row>
    <row r="44" spans="2:14" ht="18" customHeight="1">
      <c r="B44" s="648"/>
      <c r="C44" s="651"/>
      <c r="D44" s="253">
        <f t="shared" si="8"/>
        <v>0</v>
      </c>
      <c r="E44" s="253">
        <f t="shared" si="8"/>
        <v>0</v>
      </c>
      <c r="F44" s="250">
        <f t="shared" si="6"/>
        <v>0</v>
      </c>
      <c r="G44" s="250"/>
      <c r="H44" s="250">
        <f>H43</f>
        <v>1.26</v>
      </c>
      <c r="I44" s="59">
        <f t="shared" si="7"/>
        <v>0</v>
      </c>
      <c r="J44" s="60"/>
      <c r="K44" s="61"/>
      <c r="L44" s="61"/>
      <c r="M44" s="61"/>
      <c r="N44" s="72" t="s">
        <v>60</v>
      </c>
    </row>
    <row r="45" spans="2:14" ht="18" customHeight="1">
      <c r="B45" s="648"/>
      <c r="C45" s="649" t="s">
        <v>70</v>
      </c>
      <c r="D45" s="253">
        <f t="shared" si="8"/>
        <v>0</v>
      </c>
      <c r="E45" s="253">
        <f t="shared" si="8"/>
        <v>0</v>
      </c>
      <c r="F45" s="250">
        <f t="shared" si="6"/>
        <v>0</v>
      </c>
      <c r="G45" s="250"/>
      <c r="H45" s="250">
        <f>H44</f>
        <v>1.26</v>
      </c>
      <c r="I45" s="59">
        <f t="shared" si="7"/>
        <v>0</v>
      </c>
      <c r="J45" s="60"/>
      <c r="K45" s="61"/>
      <c r="L45" s="61"/>
      <c r="M45" s="61"/>
      <c r="N45" s="71" t="s">
        <v>56</v>
      </c>
    </row>
    <row r="46" spans="2:14" ht="18" customHeight="1">
      <c r="B46" s="648"/>
      <c r="C46" s="650"/>
      <c r="D46" s="253">
        <f t="shared" si="8"/>
        <v>0</v>
      </c>
      <c r="E46" s="253">
        <f t="shared" si="8"/>
        <v>0</v>
      </c>
      <c r="F46" s="250">
        <f t="shared" si="6"/>
        <v>0</v>
      </c>
      <c r="G46" s="250"/>
      <c r="H46" s="250">
        <f>H45</f>
        <v>1.26</v>
      </c>
      <c r="I46" s="59">
        <f t="shared" si="7"/>
        <v>0</v>
      </c>
      <c r="J46" s="60"/>
      <c r="K46" s="61"/>
      <c r="L46" s="61"/>
      <c r="M46" s="61"/>
      <c r="N46" s="72" t="s">
        <v>58</v>
      </c>
    </row>
    <row r="47" spans="2:14" ht="18" customHeight="1" thickBot="1">
      <c r="B47" s="648"/>
      <c r="C47" s="651"/>
      <c r="D47" s="253">
        <f t="shared" si="8"/>
        <v>0</v>
      </c>
      <c r="E47" s="253">
        <f t="shared" si="8"/>
        <v>0</v>
      </c>
      <c r="F47" s="250">
        <f t="shared" si="6"/>
        <v>0</v>
      </c>
      <c r="G47" s="250"/>
      <c r="H47" s="250">
        <f>H46</f>
        <v>1.26</v>
      </c>
      <c r="I47" s="59">
        <f t="shared" si="7"/>
        <v>0</v>
      </c>
      <c r="J47" s="64"/>
      <c r="K47" s="65"/>
      <c r="L47" s="65"/>
      <c r="M47" s="65"/>
      <c r="N47" s="75" t="s">
        <v>60</v>
      </c>
    </row>
    <row r="48" spans="2:14" ht="18" customHeight="1">
      <c r="B48" s="48" t="s">
        <v>42</v>
      </c>
      <c r="C48" s="49">
        <f>SUMPRODUCT(F42:F47*G42:G47)</f>
        <v>0</v>
      </c>
      <c r="D48" s="50" t="s">
        <v>43</v>
      </c>
      <c r="E48" s="49">
        <f>SUM(I42:I47)*1.1</f>
        <v>0</v>
      </c>
      <c r="F48" s="50" t="s">
        <v>44</v>
      </c>
      <c r="G48" s="51">
        <f>(C$218+C$219)/1000</f>
        <v>46.081499999999998</v>
      </c>
      <c r="H48" s="52" t="s">
        <v>45</v>
      </c>
      <c r="I48" s="53">
        <f>ROUND(E48*G48,2)</f>
        <v>0</v>
      </c>
      <c r="J48" s="243">
        <f>SUM(G42:G47)</f>
        <v>0</v>
      </c>
      <c r="K48" s="255"/>
      <c r="L48" s="255"/>
      <c r="M48" s="255"/>
    </row>
    <row r="49" spans="2:14" ht="18" customHeight="1">
      <c r="B49" s="48" t="s">
        <v>46</v>
      </c>
      <c r="C49" s="50">
        <v>132.47999999999999</v>
      </c>
      <c r="D49" s="50" t="s">
        <v>47</v>
      </c>
      <c r="E49" s="49">
        <f>ROUND(C48*(C49/1000),2)</f>
        <v>0</v>
      </c>
      <c r="F49" s="50" t="s">
        <v>48</v>
      </c>
      <c r="G49" s="50">
        <f>G$23</f>
        <v>10</v>
      </c>
      <c r="H49" s="52" t="s">
        <v>49</v>
      </c>
      <c r="I49" s="53">
        <f>E49*G49</f>
        <v>0</v>
      </c>
      <c r="J49" s="255"/>
      <c r="K49" s="255"/>
      <c r="L49" s="255"/>
      <c r="M49" s="255"/>
    </row>
    <row r="50" spans="2:14" ht="18" customHeight="1" thickBot="1">
      <c r="B50" s="48" t="s">
        <v>50</v>
      </c>
      <c r="C50" s="50">
        <v>202.06</v>
      </c>
      <c r="D50" s="50" t="s">
        <v>51</v>
      </c>
      <c r="E50" s="49">
        <f>ROUND(C48*(C50/1000),2)</f>
        <v>0</v>
      </c>
      <c r="F50" s="50" t="s">
        <v>48</v>
      </c>
      <c r="G50" s="50">
        <f>G$24</f>
        <v>10</v>
      </c>
      <c r="H50" s="52" t="s">
        <v>49</v>
      </c>
      <c r="I50" s="53">
        <f>E50*G50</f>
        <v>0</v>
      </c>
      <c r="J50" s="255"/>
    </row>
    <row r="51" spans="2:14" ht="18" customHeight="1" thickBot="1">
      <c r="B51" s="23" t="s">
        <v>36</v>
      </c>
      <c r="C51" s="252" t="s">
        <v>14</v>
      </c>
      <c r="D51" s="252" t="s">
        <v>37</v>
      </c>
      <c r="E51" s="252" t="s">
        <v>71</v>
      </c>
      <c r="F51" s="252" t="s">
        <v>38</v>
      </c>
      <c r="G51" s="252" t="s">
        <v>72</v>
      </c>
      <c r="H51" s="252" t="s">
        <v>22</v>
      </c>
      <c r="I51" s="25" t="s">
        <v>40</v>
      </c>
      <c r="J51" s="54" t="s">
        <v>2</v>
      </c>
      <c r="K51" s="55" t="s">
        <v>3</v>
      </c>
      <c r="L51" s="55" t="s">
        <v>61</v>
      </c>
      <c r="M51" s="55" t="s">
        <v>62</v>
      </c>
      <c r="N51" s="70" t="s">
        <v>14</v>
      </c>
    </row>
    <row r="52" spans="2:14" ht="18" customHeight="1">
      <c r="B52" s="648" t="s">
        <v>73</v>
      </c>
      <c r="C52" s="649" t="s">
        <v>405</v>
      </c>
      <c r="D52" s="253">
        <f>J52-IF(L52=1,46,IF(L52=2,32,IF(L52=3,18,0)))</f>
        <v>0</v>
      </c>
      <c r="E52" s="253"/>
      <c r="F52" s="253">
        <f>K52-IF(M52=1,46,IF(M52=2,32,IF(M52=3,118,0)))</f>
        <v>0</v>
      </c>
      <c r="G52" s="250"/>
      <c r="H52" s="250">
        <v>1.6379999999999999</v>
      </c>
      <c r="I52" s="59">
        <f>ROUND((D52*E52+F52*G52)/1000*H52,3)</f>
        <v>0</v>
      </c>
      <c r="J52" s="60"/>
      <c r="K52" s="61"/>
      <c r="L52" s="61"/>
      <c r="M52" s="61"/>
      <c r="N52" s="76" t="s">
        <v>56</v>
      </c>
    </row>
    <row r="53" spans="2:14" ht="18" customHeight="1">
      <c r="B53" s="648"/>
      <c r="C53" s="650"/>
      <c r="D53" s="253">
        <f t="shared" ref="D53:D55" si="9">J53-IF(L53=1,46,IF(L53=2,32,IF(L53=3,18,0)))</f>
        <v>0</v>
      </c>
      <c r="E53" s="253"/>
      <c r="F53" s="253">
        <f t="shared" ref="F53:F55" si="10">K53-IF(M53=1,46,IF(M53=2,32,IF(M53=3,118,0)))</f>
        <v>0</v>
      </c>
      <c r="G53" s="250"/>
      <c r="H53" s="250">
        <f>H52</f>
        <v>1.6379999999999999</v>
      </c>
      <c r="I53" s="59">
        <f>ROUND((D53*E53+F53*G53)/1000*H53,3)</f>
        <v>0</v>
      </c>
      <c r="J53" s="60"/>
      <c r="K53" s="61"/>
      <c r="L53" s="61"/>
      <c r="M53" s="61"/>
      <c r="N53" s="76" t="s">
        <v>58</v>
      </c>
    </row>
    <row r="54" spans="2:14" ht="18" customHeight="1">
      <c r="B54" s="648"/>
      <c r="C54" s="650"/>
      <c r="D54" s="253">
        <f t="shared" si="9"/>
        <v>0</v>
      </c>
      <c r="E54" s="253"/>
      <c r="F54" s="253">
        <f t="shared" si="10"/>
        <v>0</v>
      </c>
      <c r="G54" s="250"/>
      <c r="H54" s="250">
        <f>H53</f>
        <v>1.6379999999999999</v>
      </c>
      <c r="I54" s="59">
        <f>ROUND((D54*E54+F54*G54)/1000*H54,3)</f>
        <v>0</v>
      </c>
      <c r="J54" s="60"/>
      <c r="K54" s="61"/>
      <c r="L54" s="61"/>
      <c r="M54" s="61"/>
      <c r="N54" s="76" t="s">
        <v>60</v>
      </c>
    </row>
    <row r="55" spans="2:14" ht="18" customHeight="1" thickBot="1">
      <c r="B55" s="648"/>
      <c r="C55" s="651"/>
      <c r="D55" s="253">
        <f t="shared" si="9"/>
        <v>0</v>
      </c>
      <c r="E55" s="253"/>
      <c r="F55" s="253">
        <f t="shared" si="10"/>
        <v>0</v>
      </c>
      <c r="G55" s="250"/>
      <c r="H55" s="77">
        <f>H54</f>
        <v>1.6379999999999999</v>
      </c>
      <c r="I55" s="59">
        <f>ROUND((D55*E55+F55*G55)/1000*H55,3)</f>
        <v>0</v>
      </c>
      <c r="J55" s="78"/>
      <c r="K55" s="79"/>
      <c r="L55" s="79"/>
      <c r="M55" s="79"/>
      <c r="N55" s="80"/>
    </row>
    <row r="56" spans="2:14" ht="18" customHeight="1">
      <c r="B56" s="48" t="s">
        <v>42</v>
      </c>
      <c r="C56" s="49">
        <f>SUMPRODUCT(D52:D55*E52:E55+F52:F55*G52:G55)/1000</f>
        <v>0</v>
      </c>
      <c r="D56" s="50" t="s">
        <v>43</v>
      </c>
      <c r="E56" s="49">
        <f>SUM(I52:I55)*1.1</f>
        <v>0</v>
      </c>
      <c r="F56" s="50" t="s">
        <v>44</v>
      </c>
      <c r="G56" s="51">
        <f>(C$218+C$219)/1000</f>
        <v>46.081499999999998</v>
      </c>
      <c r="H56" s="52" t="s">
        <v>45</v>
      </c>
      <c r="I56" s="53">
        <f>ROUND(E56*G56,2)</f>
        <v>0</v>
      </c>
      <c r="J56" s="243">
        <f>SUM(E52:E55)+SUM(G52:G55)</f>
        <v>0</v>
      </c>
    </row>
    <row r="57" spans="2:14" ht="18" customHeight="1">
      <c r="B57" s="48" t="s">
        <v>46</v>
      </c>
      <c r="C57" s="50">
        <v>265.52999999999997</v>
      </c>
      <c r="D57" s="50" t="s">
        <v>47</v>
      </c>
      <c r="E57" s="49">
        <f>ROUND(C56*(C57/1000),2)</f>
        <v>0</v>
      </c>
      <c r="F57" s="50" t="s">
        <v>48</v>
      </c>
      <c r="G57" s="50">
        <f>G$23</f>
        <v>10</v>
      </c>
      <c r="H57" s="52" t="s">
        <v>49</v>
      </c>
      <c r="I57" s="53">
        <f>E57*G57</f>
        <v>0</v>
      </c>
      <c r="L57" s="47"/>
    </row>
    <row r="58" spans="2:14" ht="18" customHeight="1">
      <c r="B58" s="48" t="s">
        <v>50</v>
      </c>
      <c r="C58" s="50">
        <v>173.62</v>
      </c>
      <c r="D58" s="50" t="s">
        <v>51</v>
      </c>
      <c r="E58" s="49">
        <f>ROUND(C56*(C58/1000),2)</f>
        <v>0</v>
      </c>
      <c r="F58" s="50" t="s">
        <v>48</v>
      </c>
      <c r="G58" s="50">
        <f>G$24</f>
        <v>10</v>
      </c>
      <c r="H58" s="52" t="s">
        <v>49</v>
      </c>
      <c r="I58" s="53">
        <f>E58*G58</f>
        <v>0</v>
      </c>
      <c r="L58" s="47"/>
    </row>
    <row r="59" spans="2:14" ht="18" customHeight="1">
      <c r="B59" s="23" t="s">
        <v>36</v>
      </c>
      <c r="C59" s="252" t="s">
        <v>14</v>
      </c>
      <c r="D59" s="652" t="s">
        <v>74</v>
      </c>
      <c r="E59" s="652"/>
      <c r="F59" s="652"/>
      <c r="G59" s="252" t="s">
        <v>75</v>
      </c>
      <c r="H59" s="252" t="s">
        <v>22</v>
      </c>
      <c r="I59" s="25" t="s">
        <v>40</v>
      </c>
      <c r="L59" s="47"/>
    </row>
    <row r="60" spans="2:14" ht="18" customHeight="1">
      <c r="B60" s="648" t="s">
        <v>76</v>
      </c>
      <c r="C60" s="649" t="s">
        <v>77</v>
      </c>
      <c r="D60" s="646"/>
      <c r="E60" s="646"/>
      <c r="F60" s="646"/>
      <c r="G60" s="250"/>
      <c r="H60" s="250">
        <v>1.9339999999999999</v>
      </c>
      <c r="I60" s="59">
        <f>ROUND(D60*G60*H60/1000,3)</f>
        <v>0</v>
      </c>
      <c r="L60" s="47"/>
    </row>
    <row r="61" spans="2:14" ht="18" customHeight="1">
      <c r="B61" s="648"/>
      <c r="C61" s="651"/>
      <c r="D61" s="646"/>
      <c r="E61" s="646"/>
      <c r="F61" s="646"/>
      <c r="G61" s="250"/>
      <c r="H61" s="250">
        <v>1.9339999999999999</v>
      </c>
      <c r="I61" s="59">
        <f>ROUND(D61*G61*H61/1000,3)</f>
        <v>0</v>
      </c>
    </row>
    <row r="62" spans="2:14" ht="18" customHeight="1">
      <c r="B62" s="648"/>
      <c r="C62" s="649" t="s">
        <v>78</v>
      </c>
      <c r="D62" s="646"/>
      <c r="E62" s="646"/>
      <c r="F62" s="646"/>
      <c r="G62" s="250"/>
      <c r="H62" s="250">
        <v>2.3130000000000002</v>
      </c>
      <c r="I62" s="59">
        <f>ROUND(D62*G62*H62/1000,3)</f>
        <v>0</v>
      </c>
    </row>
    <row r="63" spans="2:14" ht="18" customHeight="1">
      <c r="B63" s="648"/>
      <c r="C63" s="651"/>
      <c r="D63" s="646"/>
      <c r="E63" s="646"/>
      <c r="F63" s="646"/>
      <c r="G63" s="250"/>
      <c r="H63" s="250">
        <v>2.3130000000000002</v>
      </c>
      <c r="I63" s="59">
        <f>ROUND(D63*G63*H63/1000,3)</f>
        <v>0</v>
      </c>
    </row>
    <row r="64" spans="2:14" ht="18" customHeight="1">
      <c r="B64" s="48" t="s">
        <v>42</v>
      </c>
      <c r="C64" s="49">
        <f>SUMPRODUCT(D60:F63*G60:G63)/1000</f>
        <v>0</v>
      </c>
      <c r="D64" s="50" t="s">
        <v>43</v>
      </c>
      <c r="E64" s="49">
        <f>SUM(I60:I63)*1.1</f>
        <v>0</v>
      </c>
      <c r="F64" s="50" t="s">
        <v>44</v>
      </c>
      <c r="G64" s="51">
        <f>(C$218+C$219)/1000</f>
        <v>46.081499999999998</v>
      </c>
      <c r="H64" s="52" t="s">
        <v>45</v>
      </c>
      <c r="I64" s="53">
        <f>ROUND(E64*G64,2)</f>
        <v>0</v>
      </c>
      <c r="J64" s="43">
        <f>SUM(G60:G63)</f>
        <v>0</v>
      </c>
    </row>
    <row r="65" spans="2:14" ht="18" customHeight="1">
      <c r="B65" s="48" t="s">
        <v>46</v>
      </c>
      <c r="C65" s="50">
        <v>337.92</v>
      </c>
      <c r="D65" s="50" t="s">
        <v>47</v>
      </c>
      <c r="E65" s="49">
        <f>ROUND(C64*(C65/1000),2)</f>
        <v>0</v>
      </c>
      <c r="F65" s="50" t="s">
        <v>48</v>
      </c>
      <c r="G65" s="50">
        <f>G$23</f>
        <v>10</v>
      </c>
      <c r="H65" s="52" t="s">
        <v>49</v>
      </c>
      <c r="I65" s="53">
        <f>E65*G65</f>
        <v>0</v>
      </c>
    </row>
    <row r="66" spans="2:14" ht="18" customHeight="1" thickBot="1">
      <c r="B66" s="48" t="s">
        <v>50</v>
      </c>
      <c r="C66" s="50">
        <v>175.93</v>
      </c>
      <c r="D66" s="50" t="s">
        <v>51</v>
      </c>
      <c r="E66" s="49">
        <f>ROUND(C64*(C66/1000),2)</f>
        <v>0</v>
      </c>
      <c r="F66" s="50" t="s">
        <v>48</v>
      </c>
      <c r="G66" s="50">
        <f>G$24</f>
        <v>10</v>
      </c>
      <c r="H66" s="52" t="s">
        <v>49</v>
      </c>
      <c r="I66" s="53">
        <f>E66*G66</f>
        <v>0</v>
      </c>
    </row>
    <row r="67" spans="2:14" ht="18" customHeight="1" thickBot="1">
      <c r="B67" s="23" t="s">
        <v>36</v>
      </c>
      <c r="C67" s="252" t="s">
        <v>14</v>
      </c>
      <c r="D67" s="252" t="s">
        <v>37</v>
      </c>
      <c r="E67" s="252" t="s">
        <v>38</v>
      </c>
      <c r="F67" s="252" t="s">
        <v>39</v>
      </c>
      <c r="G67" s="252" t="s">
        <v>8</v>
      </c>
      <c r="H67" s="252" t="s">
        <v>22</v>
      </c>
      <c r="I67" s="25" t="s">
        <v>40</v>
      </c>
      <c r="J67" s="54" t="s">
        <v>2</v>
      </c>
      <c r="K67" s="55" t="s">
        <v>3</v>
      </c>
      <c r="L67" s="55" t="s">
        <v>52</v>
      </c>
      <c r="M67" s="55" t="s">
        <v>53</v>
      </c>
      <c r="N67" s="70" t="s">
        <v>14</v>
      </c>
    </row>
    <row r="68" spans="2:14" ht="18" customHeight="1">
      <c r="B68" s="648" t="s">
        <v>79</v>
      </c>
      <c r="C68" s="649" t="s">
        <v>323</v>
      </c>
      <c r="D68" s="81">
        <f>J68-IF(L68=1,72,IF(L68=2,54,IF(L68=3,26,IF(L68=11,102.8,IF(L68=12,88.8,IF(L68=13,74.8,0))))))</f>
        <v>2148</v>
      </c>
      <c r="E68" s="81">
        <f>K68-IF(M68=1,72,IF(M68=2,24,IF(M68=3,26,IF(M68=11,102.8,IF(M68=12,88.8,IF(M68=13,74.8,0))))))</f>
        <v>1078</v>
      </c>
      <c r="F68" s="81">
        <f>2*(D68+E68)/1000</f>
        <v>6.452</v>
      </c>
      <c r="G68" s="82">
        <v>1</v>
      </c>
      <c r="H68" s="250">
        <v>0.224</v>
      </c>
      <c r="I68" s="283">
        <f>ROUND(F68*G68*H68,3)*1.5</f>
        <v>2.1675</v>
      </c>
      <c r="J68" s="83">
        <f>D14</f>
        <v>2220</v>
      </c>
      <c r="K68" s="83">
        <f>E14</f>
        <v>1150</v>
      </c>
      <c r="L68" s="84">
        <v>1</v>
      </c>
      <c r="M68" s="84">
        <v>1</v>
      </c>
      <c r="N68" s="71" t="s">
        <v>56</v>
      </c>
    </row>
    <row r="69" spans="2:14" ht="18" customHeight="1">
      <c r="B69" s="648"/>
      <c r="C69" s="650"/>
      <c r="D69" s="81">
        <f t="shared" ref="D69:D87" si="11">J69-IF(L69=1,72,IF(L69=2,54,IF(L69=3,26,IF(L69=11,102.8,IF(L69=12,88.8,IF(L69=13,74.8,0))))))</f>
        <v>0</v>
      </c>
      <c r="E69" s="81">
        <f t="shared" ref="E69:E87" si="12">K69-IF(M69=1,72,IF(M69=2,24,IF(M69=3,26,IF(M69=11,102.8,IF(M69=12,88.8,IF(M69=13,74.8,0))))))</f>
        <v>0</v>
      </c>
      <c r="F69" s="81">
        <f t="shared" ref="F69:F87" si="13">2*(D69+E69)/1000</f>
        <v>0</v>
      </c>
      <c r="G69" s="82"/>
      <c r="H69" s="250">
        <f>H68</f>
        <v>0.224</v>
      </c>
      <c r="I69" s="59">
        <f t="shared" ref="I69:I87" si="14">ROUND(F69*G69*H69,3)</f>
        <v>0</v>
      </c>
      <c r="J69" s="83"/>
      <c r="K69" s="84"/>
      <c r="L69" s="84"/>
      <c r="M69" s="84"/>
      <c r="N69" s="72" t="s">
        <v>58</v>
      </c>
    </row>
    <row r="70" spans="2:14" ht="18" customHeight="1">
      <c r="B70" s="648"/>
      <c r="C70" s="650"/>
      <c r="D70" s="81">
        <f t="shared" si="11"/>
        <v>0</v>
      </c>
      <c r="E70" s="81">
        <f t="shared" si="12"/>
        <v>0</v>
      </c>
      <c r="F70" s="81">
        <f t="shared" si="13"/>
        <v>0</v>
      </c>
      <c r="G70" s="82"/>
      <c r="H70" s="250">
        <f>H69</f>
        <v>0.224</v>
      </c>
      <c r="I70" s="59">
        <f t="shared" si="14"/>
        <v>0</v>
      </c>
      <c r="J70" s="83"/>
      <c r="K70" s="84"/>
      <c r="L70" s="84"/>
      <c r="M70" s="84"/>
      <c r="N70" s="72" t="s">
        <v>60</v>
      </c>
    </row>
    <row r="71" spans="2:14" ht="18" customHeight="1">
      <c r="B71" s="648"/>
      <c r="C71" s="650"/>
      <c r="D71" s="81">
        <f t="shared" si="11"/>
        <v>0</v>
      </c>
      <c r="E71" s="81">
        <f t="shared" si="12"/>
        <v>0</v>
      </c>
      <c r="F71" s="81">
        <f t="shared" si="13"/>
        <v>0</v>
      </c>
      <c r="G71" s="82"/>
      <c r="H71" s="77">
        <f>H70</f>
        <v>0.224</v>
      </c>
      <c r="I71" s="59">
        <f t="shared" si="14"/>
        <v>0</v>
      </c>
      <c r="J71" s="85"/>
      <c r="K71" s="86"/>
      <c r="L71" s="86"/>
      <c r="M71" s="86"/>
      <c r="N71" s="72" t="s">
        <v>65</v>
      </c>
    </row>
    <row r="72" spans="2:14" ht="18" customHeight="1">
      <c r="B72" s="648"/>
      <c r="C72" s="650"/>
      <c r="D72" s="81">
        <f t="shared" si="11"/>
        <v>0</v>
      </c>
      <c r="E72" s="81">
        <f t="shared" si="12"/>
        <v>0</v>
      </c>
      <c r="F72" s="81">
        <f t="shared" si="13"/>
        <v>0</v>
      </c>
      <c r="G72" s="82"/>
      <c r="H72" s="77">
        <f>H71</f>
        <v>0.224</v>
      </c>
      <c r="I72" s="87">
        <f t="shared" si="14"/>
        <v>0</v>
      </c>
      <c r="J72" s="85"/>
      <c r="K72" s="86"/>
      <c r="L72" s="86"/>
      <c r="M72" s="86"/>
      <c r="N72" s="72" t="s">
        <v>66</v>
      </c>
    </row>
    <row r="73" spans="2:14" ht="18" customHeight="1">
      <c r="B73" s="648"/>
      <c r="C73" s="650"/>
      <c r="D73" s="81">
        <f t="shared" si="11"/>
        <v>0</v>
      </c>
      <c r="E73" s="81">
        <f t="shared" si="12"/>
        <v>0</v>
      </c>
      <c r="F73" s="81">
        <f t="shared" si="13"/>
        <v>0</v>
      </c>
      <c r="G73" s="82"/>
      <c r="H73" s="250">
        <f>H70</f>
        <v>0.224</v>
      </c>
      <c r="I73" s="87">
        <f t="shared" si="14"/>
        <v>0</v>
      </c>
      <c r="J73" s="83"/>
      <c r="K73" s="84"/>
      <c r="L73" s="84"/>
      <c r="M73" s="84"/>
      <c r="N73" s="72" t="s">
        <v>67</v>
      </c>
    </row>
    <row r="74" spans="2:14" ht="18" customHeight="1">
      <c r="B74" s="648"/>
      <c r="C74" s="651"/>
      <c r="D74" s="81">
        <f t="shared" si="11"/>
        <v>0</v>
      </c>
      <c r="E74" s="81">
        <f t="shared" si="12"/>
        <v>0</v>
      </c>
      <c r="F74" s="81">
        <f t="shared" si="13"/>
        <v>0</v>
      </c>
      <c r="G74" s="82"/>
      <c r="H74" s="250">
        <f>H73</f>
        <v>0.224</v>
      </c>
      <c r="I74" s="87">
        <f t="shared" si="14"/>
        <v>0</v>
      </c>
      <c r="J74" s="83"/>
      <c r="K74" s="84"/>
      <c r="L74" s="84"/>
      <c r="M74" s="84"/>
      <c r="N74" s="88"/>
    </row>
    <row r="75" spans="2:14" ht="18" customHeight="1">
      <c r="B75" s="648"/>
      <c r="C75" s="649" t="s">
        <v>324</v>
      </c>
      <c r="D75" s="89">
        <f t="shared" si="11"/>
        <v>0</v>
      </c>
      <c r="E75" s="89">
        <f t="shared" si="12"/>
        <v>0</v>
      </c>
      <c r="F75" s="89">
        <f t="shared" si="13"/>
        <v>0</v>
      </c>
      <c r="G75" s="90"/>
      <c r="H75" s="91">
        <f>H74</f>
        <v>0.224</v>
      </c>
      <c r="I75" s="92">
        <f t="shared" si="14"/>
        <v>0</v>
      </c>
      <c r="J75" s="83"/>
      <c r="K75" s="84"/>
      <c r="L75" s="84"/>
      <c r="M75" s="84"/>
      <c r="N75" s="93" t="s">
        <v>80</v>
      </c>
    </row>
    <row r="76" spans="2:14" ht="18" customHeight="1">
      <c r="B76" s="648"/>
      <c r="C76" s="650"/>
      <c r="D76" s="89">
        <f t="shared" si="11"/>
        <v>0</v>
      </c>
      <c r="E76" s="89">
        <f t="shared" si="12"/>
        <v>0</v>
      </c>
      <c r="F76" s="89">
        <f t="shared" si="13"/>
        <v>0</v>
      </c>
      <c r="G76" s="90"/>
      <c r="H76" s="91">
        <f>H72</f>
        <v>0.224</v>
      </c>
      <c r="I76" s="92">
        <f t="shared" si="14"/>
        <v>0</v>
      </c>
      <c r="J76" s="83"/>
      <c r="K76" s="84"/>
      <c r="L76" s="84"/>
      <c r="M76" s="84"/>
      <c r="N76" s="93" t="s">
        <v>80</v>
      </c>
    </row>
    <row r="77" spans="2:14" ht="18" customHeight="1">
      <c r="B77" s="648"/>
      <c r="C77" s="650"/>
      <c r="D77" s="89">
        <f t="shared" si="11"/>
        <v>0</v>
      </c>
      <c r="E77" s="89">
        <f t="shared" si="12"/>
        <v>0</v>
      </c>
      <c r="F77" s="89">
        <f t="shared" si="13"/>
        <v>0</v>
      </c>
      <c r="G77" s="90"/>
      <c r="H77" s="91">
        <f t="shared" ref="H77:H87" si="15">H76</f>
        <v>0.224</v>
      </c>
      <c r="I77" s="92">
        <f t="shared" si="14"/>
        <v>0</v>
      </c>
      <c r="J77" s="83"/>
      <c r="K77" s="84"/>
      <c r="L77" s="84"/>
      <c r="M77" s="84"/>
      <c r="N77" s="93" t="s">
        <v>80</v>
      </c>
    </row>
    <row r="78" spans="2:14" ht="18" customHeight="1">
      <c r="B78" s="648"/>
      <c r="C78" s="650"/>
      <c r="D78" s="89">
        <f t="shared" si="11"/>
        <v>0</v>
      </c>
      <c r="E78" s="89">
        <f t="shared" si="12"/>
        <v>0</v>
      </c>
      <c r="F78" s="89">
        <f t="shared" si="13"/>
        <v>0</v>
      </c>
      <c r="G78" s="90"/>
      <c r="H78" s="91">
        <f t="shared" si="15"/>
        <v>0.224</v>
      </c>
      <c r="I78" s="92">
        <f t="shared" si="14"/>
        <v>0</v>
      </c>
      <c r="J78" s="83"/>
      <c r="K78" s="84"/>
      <c r="L78" s="84"/>
      <c r="M78" s="84"/>
      <c r="N78" s="93" t="s">
        <v>80</v>
      </c>
    </row>
    <row r="79" spans="2:14" ht="18" customHeight="1">
      <c r="B79" s="648"/>
      <c r="C79" s="650"/>
      <c r="D79" s="89">
        <f t="shared" si="11"/>
        <v>0</v>
      </c>
      <c r="E79" s="89">
        <f t="shared" si="12"/>
        <v>0</v>
      </c>
      <c r="F79" s="89">
        <f t="shared" si="13"/>
        <v>0</v>
      </c>
      <c r="G79" s="90"/>
      <c r="H79" s="91">
        <f t="shared" si="15"/>
        <v>0.224</v>
      </c>
      <c r="I79" s="94">
        <f t="shared" si="14"/>
        <v>0</v>
      </c>
      <c r="J79" s="83"/>
      <c r="K79" s="84"/>
      <c r="L79" s="84"/>
      <c r="M79" s="84"/>
      <c r="N79" s="93" t="s">
        <v>80</v>
      </c>
    </row>
    <row r="80" spans="2:14" ht="18" customHeight="1">
      <c r="B80" s="648"/>
      <c r="C80" s="650"/>
      <c r="D80" s="89">
        <f t="shared" si="11"/>
        <v>0</v>
      </c>
      <c r="E80" s="89">
        <f t="shared" si="12"/>
        <v>0</v>
      </c>
      <c r="F80" s="89">
        <f t="shared" si="13"/>
        <v>0</v>
      </c>
      <c r="G80" s="90"/>
      <c r="H80" s="91">
        <f t="shared" si="15"/>
        <v>0.224</v>
      </c>
      <c r="I80" s="94">
        <f t="shared" si="14"/>
        <v>0</v>
      </c>
      <c r="J80" s="83"/>
      <c r="K80" s="84"/>
      <c r="L80" s="84"/>
      <c r="M80" s="84"/>
      <c r="N80" s="93" t="s">
        <v>80</v>
      </c>
    </row>
    <row r="81" spans="2:14" ht="18" customHeight="1">
      <c r="B81" s="648"/>
      <c r="C81" s="651"/>
      <c r="D81" s="89">
        <f t="shared" si="11"/>
        <v>0</v>
      </c>
      <c r="E81" s="89">
        <f t="shared" si="12"/>
        <v>0</v>
      </c>
      <c r="F81" s="89">
        <f t="shared" si="13"/>
        <v>0</v>
      </c>
      <c r="G81" s="90"/>
      <c r="H81" s="91">
        <f t="shared" si="15"/>
        <v>0.224</v>
      </c>
      <c r="I81" s="94">
        <f t="shared" si="14"/>
        <v>0</v>
      </c>
      <c r="J81" s="95"/>
      <c r="K81" s="96"/>
      <c r="L81" s="96"/>
      <c r="M81" s="96"/>
      <c r="N81" s="93" t="s">
        <v>81</v>
      </c>
    </row>
    <row r="82" spans="2:14" ht="18" customHeight="1">
      <c r="B82" s="648"/>
      <c r="C82" s="639" t="s">
        <v>325</v>
      </c>
      <c r="D82" s="81">
        <f t="shared" si="11"/>
        <v>0</v>
      </c>
      <c r="E82" s="81">
        <f t="shared" si="12"/>
        <v>0</v>
      </c>
      <c r="F82" s="81">
        <f t="shared" si="13"/>
        <v>0</v>
      </c>
      <c r="G82" s="82"/>
      <c r="H82" s="250">
        <f t="shared" si="15"/>
        <v>0.224</v>
      </c>
      <c r="I82" s="59">
        <f t="shared" si="14"/>
        <v>0</v>
      </c>
      <c r="J82" s="83"/>
      <c r="K82" s="84"/>
      <c r="L82" s="84"/>
      <c r="M82" s="84"/>
      <c r="N82" s="88"/>
    </row>
    <row r="83" spans="2:14" ht="18" customHeight="1">
      <c r="B83" s="648"/>
      <c r="C83" s="645"/>
      <c r="D83" s="81">
        <f t="shared" si="11"/>
        <v>0</v>
      </c>
      <c r="E83" s="81">
        <f t="shared" si="12"/>
        <v>0</v>
      </c>
      <c r="F83" s="81">
        <f t="shared" si="13"/>
        <v>0</v>
      </c>
      <c r="G83" s="82"/>
      <c r="H83" s="250">
        <f t="shared" si="15"/>
        <v>0.224</v>
      </c>
      <c r="I83" s="59">
        <f t="shared" si="14"/>
        <v>0</v>
      </c>
      <c r="J83" s="83"/>
      <c r="K83" s="84"/>
      <c r="L83" s="84"/>
      <c r="M83" s="84"/>
      <c r="N83" s="88"/>
    </row>
    <row r="84" spans="2:14" ht="18" customHeight="1">
      <c r="B84" s="648"/>
      <c r="C84" s="645"/>
      <c r="D84" s="81">
        <f t="shared" si="11"/>
        <v>0</v>
      </c>
      <c r="E84" s="81">
        <f t="shared" si="12"/>
        <v>0</v>
      </c>
      <c r="F84" s="81">
        <f t="shared" si="13"/>
        <v>0</v>
      </c>
      <c r="G84" s="82"/>
      <c r="H84" s="250">
        <f t="shared" si="15"/>
        <v>0.224</v>
      </c>
      <c r="I84" s="59">
        <f t="shared" si="14"/>
        <v>0</v>
      </c>
      <c r="J84" s="83"/>
      <c r="K84" s="84"/>
      <c r="L84" s="84"/>
      <c r="M84" s="84"/>
      <c r="N84" s="76"/>
    </row>
    <row r="85" spans="2:14" ht="18" customHeight="1">
      <c r="B85" s="648"/>
      <c r="C85" s="645"/>
      <c r="D85" s="81">
        <f t="shared" si="11"/>
        <v>0</v>
      </c>
      <c r="E85" s="81">
        <f t="shared" si="12"/>
        <v>0</v>
      </c>
      <c r="F85" s="81">
        <f t="shared" si="13"/>
        <v>0</v>
      </c>
      <c r="G85" s="82"/>
      <c r="H85" s="250">
        <f t="shared" si="15"/>
        <v>0.224</v>
      </c>
      <c r="I85" s="59">
        <f t="shared" si="14"/>
        <v>0</v>
      </c>
      <c r="J85" s="83"/>
      <c r="K85" s="84"/>
      <c r="L85" s="84"/>
      <c r="M85" s="84"/>
      <c r="N85" s="76"/>
    </row>
    <row r="86" spans="2:14" ht="18" customHeight="1">
      <c r="B86" s="648"/>
      <c r="C86" s="645"/>
      <c r="D86" s="81">
        <f t="shared" si="11"/>
        <v>0</v>
      </c>
      <c r="E86" s="81">
        <f t="shared" si="12"/>
        <v>0</v>
      </c>
      <c r="F86" s="81">
        <f t="shared" si="13"/>
        <v>0</v>
      </c>
      <c r="G86" s="82"/>
      <c r="H86" s="250">
        <f t="shared" si="15"/>
        <v>0.224</v>
      </c>
      <c r="I86" s="59">
        <f t="shared" si="14"/>
        <v>0</v>
      </c>
      <c r="J86" s="85"/>
      <c r="K86" s="86"/>
      <c r="L86" s="86"/>
      <c r="M86" s="86"/>
      <c r="N86" s="76"/>
    </row>
    <row r="87" spans="2:14" ht="18" customHeight="1" thickBot="1">
      <c r="B87" s="648"/>
      <c r="C87" s="640"/>
      <c r="D87" s="81">
        <f t="shared" si="11"/>
        <v>0</v>
      </c>
      <c r="E87" s="81">
        <f t="shared" si="12"/>
        <v>0</v>
      </c>
      <c r="F87" s="81">
        <f t="shared" si="13"/>
        <v>0</v>
      </c>
      <c r="G87" s="82"/>
      <c r="H87" s="250">
        <f t="shared" si="15"/>
        <v>0.224</v>
      </c>
      <c r="I87" s="59">
        <f t="shared" si="14"/>
        <v>0</v>
      </c>
      <c r="J87" s="97"/>
      <c r="K87" s="98"/>
      <c r="L87" s="98"/>
      <c r="M87" s="98"/>
      <c r="N87" s="80"/>
    </row>
    <row r="88" spans="2:14" ht="18" customHeight="1">
      <c r="B88" s="48" t="s">
        <v>42</v>
      </c>
      <c r="C88" s="49">
        <f>SUMPRODUCT(F68:F87*G68:G87)</f>
        <v>6.452</v>
      </c>
      <c r="D88" s="50" t="s">
        <v>43</v>
      </c>
      <c r="E88" s="49">
        <f>SUM(I68:I87)*1.1</f>
        <v>2.3842500000000002</v>
      </c>
      <c r="F88" s="50" t="s">
        <v>44</v>
      </c>
      <c r="G88" s="51">
        <f>(C$218+C$222)/1000</f>
        <v>39.781500000000001</v>
      </c>
      <c r="H88" s="52" t="s">
        <v>45</v>
      </c>
      <c r="I88" s="53">
        <f>ROUND(E88*G88,2)</f>
        <v>94.85</v>
      </c>
      <c r="J88" s="255"/>
      <c r="K88" s="255"/>
      <c r="L88" s="255"/>
      <c r="M88" s="255"/>
    </row>
    <row r="89" spans="2:14" ht="18" customHeight="1">
      <c r="B89" s="48" t="s">
        <v>46</v>
      </c>
      <c r="C89" s="50">
        <v>181.72</v>
      </c>
      <c r="D89" s="50" t="s">
        <v>47</v>
      </c>
      <c r="E89" s="49">
        <f>ROUND(C88*(C89/1000),2)</f>
        <v>1.17</v>
      </c>
      <c r="F89" s="50" t="s">
        <v>48</v>
      </c>
      <c r="G89" s="50">
        <f>G$23</f>
        <v>10</v>
      </c>
      <c r="H89" s="52" t="s">
        <v>49</v>
      </c>
      <c r="I89" s="53">
        <f>E89*G89</f>
        <v>11.7</v>
      </c>
      <c r="J89" s="255"/>
      <c r="K89" s="255"/>
      <c r="L89" s="255"/>
      <c r="M89" s="255"/>
    </row>
    <row r="90" spans="2:14" ht="18" customHeight="1">
      <c r="B90" s="48" t="s">
        <v>50</v>
      </c>
      <c r="C90" s="50"/>
      <c r="D90" s="50" t="s">
        <v>51</v>
      </c>
      <c r="E90" s="49">
        <f>ROUND(C88*(C90/1000),2)</f>
        <v>0</v>
      </c>
      <c r="F90" s="50" t="s">
        <v>48</v>
      </c>
      <c r="G90" s="50">
        <f>G$24</f>
        <v>10</v>
      </c>
      <c r="H90" s="52" t="s">
        <v>49</v>
      </c>
      <c r="I90" s="53">
        <f>E90*G90</f>
        <v>0</v>
      </c>
      <c r="J90" s="255"/>
      <c r="K90" s="255"/>
      <c r="L90" s="255"/>
      <c r="M90" s="255"/>
    </row>
    <row r="91" spans="2:14" ht="18" customHeight="1">
      <c r="B91" s="23" t="s">
        <v>36</v>
      </c>
      <c r="C91" s="252" t="s">
        <v>14</v>
      </c>
      <c r="D91" s="252" t="s">
        <v>37</v>
      </c>
      <c r="E91" s="252" t="s">
        <v>38</v>
      </c>
      <c r="F91" s="252" t="s">
        <v>39</v>
      </c>
      <c r="G91" s="252" t="s">
        <v>8</v>
      </c>
      <c r="H91" s="252" t="s">
        <v>22</v>
      </c>
      <c r="I91" s="25" t="s">
        <v>40</v>
      </c>
      <c r="J91" s="255"/>
      <c r="K91" s="255"/>
      <c r="L91" s="255"/>
      <c r="M91" s="255"/>
    </row>
    <row r="92" spans="2:14" ht="18" customHeight="1">
      <c r="B92" s="648" t="s">
        <v>82</v>
      </c>
      <c r="C92" s="653" t="s">
        <v>326</v>
      </c>
      <c r="D92" s="253">
        <f>D26-90</f>
        <v>-90</v>
      </c>
      <c r="E92" s="253">
        <f>E26-90</f>
        <v>-90</v>
      </c>
      <c r="F92" s="253">
        <f>2*(D92+E92)/1000</f>
        <v>-0.36</v>
      </c>
      <c r="G92" s="250">
        <f>G26</f>
        <v>0</v>
      </c>
      <c r="H92" s="250">
        <v>0.27100000000000002</v>
      </c>
      <c r="I92" s="59">
        <f>ROUND(F92*G92*H92,3)</f>
        <v>0</v>
      </c>
    </row>
    <row r="93" spans="2:14" ht="18" customHeight="1">
      <c r="B93" s="648"/>
      <c r="C93" s="658"/>
      <c r="D93" s="253">
        <f t="shared" ref="D93:E96" si="16">D27-90</f>
        <v>-90</v>
      </c>
      <c r="E93" s="253">
        <f t="shared" si="16"/>
        <v>-90</v>
      </c>
      <c r="F93" s="253">
        <f>2*(D93+E93)/1000</f>
        <v>-0.36</v>
      </c>
      <c r="G93" s="250">
        <f>G27</f>
        <v>0</v>
      </c>
      <c r="H93" s="250">
        <f>H92</f>
        <v>0.27100000000000002</v>
      </c>
      <c r="I93" s="59">
        <f>ROUND(F93*G93*H93,3)</f>
        <v>0</v>
      </c>
      <c r="M93" s="42"/>
    </row>
    <row r="94" spans="2:14" ht="18" customHeight="1">
      <c r="B94" s="648"/>
      <c r="C94" s="658"/>
      <c r="D94" s="253">
        <f t="shared" si="16"/>
        <v>-90</v>
      </c>
      <c r="E94" s="253">
        <f t="shared" si="16"/>
        <v>-90</v>
      </c>
      <c r="F94" s="253">
        <f>2*(D94+E94)/1000</f>
        <v>-0.36</v>
      </c>
      <c r="G94" s="250">
        <f>G28</f>
        <v>0</v>
      </c>
      <c r="H94" s="250">
        <f>H93</f>
        <v>0.27100000000000002</v>
      </c>
      <c r="I94" s="59">
        <f>ROUND(F94*G94*H94,3)</f>
        <v>0</v>
      </c>
    </row>
    <row r="95" spans="2:14" ht="18" customHeight="1">
      <c r="B95" s="648"/>
      <c r="C95" s="658"/>
      <c r="D95" s="253">
        <f t="shared" si="16"/>
        <v>-90</v>
      </c>
      <c r="E95" s="253">
        <f t="shared" si="16"/>
        <v>-90</v>
      </c>
      <c r="F95" s="253">
        <f>2*(D95+E95)/1000</f>
        <v>-0.36</v>
      </c>
      <c r="G95" s="250">
        <f>G29</f>
        <v>0</v>
      </c>
      <c r="H95" s="250">
        <f>H94</f>
        <v>0.27100000000000002</v>
      </c>
      <c r="I95" s="59">
        <f>ROUND(F95*G95*H95,3)</f>
        <v>0</v>
      </c>
    </row>
    <row r="96" spans="2:14" ht="18" customHeight="1">
      <c r="B96" s="648"/>
      <c r="C96" s="659"/>
      <c r="D96" s="253">
        <f t="shared" si="16"/>
        <v>-90</v>
      </c>
      <c r="E96" s="253">
        <f t="shared" si="16"/>
        <v>-90</v>
      </c>
      <c r="F96" s="253">
        <f>2*(D96+E96)/1000</f>
        <v>-0.36</v>
      </c>
      <c r="G96" s="250">
        <f>G30</f>
        <v>0</v>
      </c>
      <c r="H96" s="250">
        <f>H95</f>
        <v>0.27100000000000002</v>
      </c>
      <c r="I96" s="59">
        <f>ROUND(F96*G96*H96,3)</f>
        <v>0</v>
      </c>
    </row>
    <row r="97" spans="2:13" ht="18" customHeight="1">
      <c r="B97" s="48" t="s">
        <v>42</v>
      </c>
      <c r="C97" s="49">
        <f>SUMPRODUCT(F92:F96*G92:G96)</f>
        <v>0</v>
      </c>
      <c r="D97" s="50" t="s">
        <v>43</v>
      </c>
      <c r="E97" s="49">
        <f>SUM(I92:I96)*1.1</f>
        <v>0</v>
      </c>
      <c r="F97" s="50" t="s">
        <v>44</v>
      </c>
      <c r="G97" s="51">
        <f>(C$218+C$222)/1000</f>
        <v>39.781500000000001</v>
      </c>
      <c r="H97" s="52" t="s">
        <v>45</v>
      </c>
      <c r="I97" s="53">
        <f>ROUND(E97*G97,2)</f>
        <v>0</v>
      </c>
    </row>
    <row r="98" spans="2:13" ht="18" customHeight="1">
      <c r="B98" s="48" t="s">
        <v>46</v>
      </c>
      <c r="C98" s="50">
        <v>186.72</v>
      </c>
      <c r="D98" s="50" t="s">
        <v>47</v>
      </c>
      <c r="E98" s="49">
        <f>ROUND(C97*(C98/1000),2)</f>
        <v>0</v>
      </c>
      <c r="F98" s="50" t="s">
        <v>48</v>
      </c>
      <c r="G98" s="50">
        <f>G$23</f>
        <v>10</v>
      </c>
      <c r="H98" s="52" t="s">
        <v>49</v>
      </c>
      <c r="I98" s="53">
        <f>E98*G98</f>
        <v>0</v>
      </c>
    </row>
    <row r="99" spans="2:13" ht="18" customHeight="1">
      <c r="B99" s="48" t="s">
        <v>50</v>
      </c>
      <c r="C99" s="50">
        <v>0</v>
      </c>
      <c r="D99" s="50" t="s">
        <v>51</v>
      </c>
      <c r="E99" s="49">
        <f>ROUND(C97*(C99/1000),2)</f>
        <v>0</v>
      </c>
      <c r="F99" s="50" t="s">
        <v>48</v>
      </c>
      <c r="G99" s="50">
        <f>G$24</f>
        <v>10</v>
      </c>
      <c r="H99" s="52" t="s">
        <v>49</v>
      </c>
      <c r="I99" s="53">
        <f>E99*G99</f>
        <v>0</v>
      </c>
    </row>
    <row r="100" spans="2:13" ht="18" customHeight="1">
      <c r="B100" s="23" t="s">
        <v>36</v>
      </c>
      <c r="C100" s="252" t="s">
        <v>14</v>
      </c>
      <c r="D100" s="252" t="s">
        <v>37</v>
      </c>
      <c r="E100" s="252" t="s">
        <v>38</v>
      </c>
      <c r="F100" s="252" t="s">
        <v>39</v>
      </c>
      <c r="G100" s="252" t="s">
        <v>8</v>
      </c>
      <c r="H100" s="252" t="s">
        <v>22</v>
      </c>
      <c r="I100" s="25" t="s">
        <v>40</v>
      </c>
    </row>
    <row r="101" spans="2:13" ht="18" customHeight="1">
      <c r="B101" s="648" t="s">
        <v>84</v>
      </c>
      <c r="C101" s="653" t="str">
        <f>C92</f>
        <v>SDL2281</v>
      </c>
      <c r="D101" s="253">
        <f>D35-122</f>
        <v>-122</v>
      </c>
      <c r="E101" s="253">
        <f t="shared" ref="D101:E103" si="17">E35-122</f>
        <v>-122</v>
      </c>
      <c r="F101" s="253">
        <f>2*(D101+E101)/1000</f>
        <v>-0.48799999999999999</v>
      </c>
      <c r="G101" s="250">
        <f>G35</f>
        <v>0</v>
      </c>
      <c r="H101" s="250">
        <f>H96</f>
        <v>0.27100000000000002</v>
      </c>
      <c r="I101" s="59">
        <f>ROUND(F101*G101*H101,3)</f>
        <v>0</v>
      </c>
    </row>
    <row r="102" spans="2:13" ht="18" customHeight="1">
      <c r="B102" s="648"/>
      <c r="C102" s="650"/>
      <c r="D102" s="253">
        <f t="shared" si="17"/>
        <v>-122</v>
      </c>
      <c r="E102" s="253">
        <f t="shared" si="17"/>
        <v>-122</v>
      </c>
      <c r="F102" s="253">
        <f>2*(D102+E102)/1000</f>
        <v>-0.48799999999999999</v>
      </c>
      <c r="G102" s="250">
        <f>G36</f>
        <v>0</v>
      </c>
      <c r="H102" s="250">
        <f>H101</f>
        <v>0.27100000000000002</v>
      </c>
      <c r="I102" s="59">
        <f>ROUND(F102*G102*H102,3)</f>
        <v>0</v>
      </c>
      <c r="K102" s="99"/>
      <c r="M102" s="99"/>
    </row>
    <row r="103" spans="2:13" ht="18" customHeight="1">
      <c r="B103" s="648"/>
      <c r="C103" s="651"/>
      <c r="D103" s="253">
        <f t="shared" si="17"/>
        <v>-122</v>
      </c>
      <c r="E103" s="253">
        <f t="shared" si="17"/>
        <v>-122</v>
      </c>
      <c r="F103" s="253">
        <f>2*(D103+E103)/1000</f>
        <v>-0.48799999999999999</v>
      </c>
      <c r="G103" s="250">
        <f>G37</f>
        <v>0</v>
      </c>
      <c r="H103" s="250">
        <f>H102</f>
        <v>0.27100000000000002</v>
      </c>
      <c r="I103" s="59">
        <f>ROUND(F103*G103*H103,3)</f>
        <v>0</v>
      </c>
      <c r="M103" s="99"/>
    </row>
    <row r="104" spans="2:13" ht="18" customHeight="1">
      <c r="B104" s="48" t="s">
        <v>42</v>
      </c>
      <c r="C104" s="49">
        <f>SUMPRODUCT(F101:F103*G101:G103)</f>
        <v>0</v>
      </c>
      <c r="D104" s="50" t="s">
        <v>43</v>
      </c>
      <c r="E104" s="49">
        <f>SUM(I101:I103)*1.1</f>
        <v>0</v>
      </c>
      <c r="F104" s="50" t="s">
        <v>44</v>
      </c>
      <c r="G104" s="51">
        <f>(C$218+C$222)/1000</f>
        <v>39.781500000000001</v>
      </c>
      <c r="H104" s="52" t="s">
        <v>45</v>
      </c>
      <c r="I104" s="53">
        <f>ROUND(E104*G104,2)</f>
        <v>0</v>
      </c>
    </row>
    <row r="105" spans="2:13" ht="18" customHeight="1">
      <c r="B105" s="48" t="s">
        <v>46</v>
      </c>
      <c r="C105" s="50">
        <v>186.72</v>
      </c>
      <c r="D105" s="50" t="s">
        <v>47</v>
      </c>
      <c r="E105" s="49">
        <f>ROUND(C104*(C105/1000),2)</f>
        <v>0</v>
      </c>
      <c r="F105" s="50" t="s">
        <v>48</v>
      </c>
      <c r="G105" s="50">
        <f>G$23</f>
        <v>10</v>
      </c>
      <c r="H105" s="52" t="s">
        <v>49</v>
      </c>
      <c r="I105" s="53">
        <f>ROUND(E105*G105,2)</f>
        <v>0</v>
      </c>
    </row>
    <row r="106" spans="2:13" ht="18" customHeight="1">
      <c r="B106" s="48" t="s">
        <v>50</v>
      </c>
      <c r="C106" s="50">
        <v>0</v>
      </c>
      <c r="D106" s="50" t="s">
        <v>51</v>
      </c>
      <c r="E106" s="49">
        <f>ROUND(C104*(C106/1000),2)</f>
        <v>0</v>
      </c>
      <c r="F106" s="50" t="s">
        <v>48</v>
      </c>
      <c r="G106" s="50">
        <f>G$24</f>
        <v>10</v>
      </c>
      <c r="H106" s="52" t="s">
        <v>49</v>
      </c>
      <c r="I106" s="53">
        <f>ROUND(E106*G106,2)</f>
        <v>0</v>
      </c>
    </row>
    <row r="107" spans="2:13" ht="18" customHeight="1">
      <c r="B107" s="23" t="s">
        <v>36</v>
      </c>
      <c r="C107" s="252" t="s">
        <v>14</v>
      </c>
      <c r="D107" s="252" t="s">
        <v>37</v>
      </c>
      <c r="E107" s="252" t="s">
        <v>38</v>
      </c>
      <c r="F107" s="252" t="s">
        <v>39</v>
      </c>
      <c r="G107" s="252" t="s">
        <v>8</v>
      </c>
      <c r="H107" s="252" t="s">
        <v>22</v>
      </c>
      <c r="I107" s="25" t="s">
        <v>40</v>
      </c>
    </row>
    <row r="108" spans="2:13" ht="18" customHeight="1">
      <c r="B108" s="648" t="s">
        <v>85</v>
      </c>
      <c r="C108" s="655" t="s">
        <v>86</v>
      </c>
      <c r="D108" s="250">
        <f>D6</f>
        <v>2220</v>
      </c>
      <c r="E108" s="250">
        <f>E6-E14</f>
        <v>2570</v>
      </c>
      <c r="F108" s="250">
        <f>ROUND((D108+E108)*2/1000,4)</f>
        <v>9.58</v>
      </c>
      <c r="G108" s="250">
        <v>1</v>
      </c>
      <c r="H108" s="250">
        <v>1.857</v>
      </c>
      <c r="I108" s="59">
        <f>ROUND(F108*G108*H108,3)</f>
        <v>17.79</v>
      </c>
    </row>
    <row r="109" spans="2:13" ht="18" customHeight="1">
      <c r="B109" s="648"/>
      <c r="C109" s="656"/>
      <c r="D109" s="250"/>
      <c r="E109" s="250"/>
      <c r="F109" s="250">
        <f>ROUND((D109+E109)*2/1000,4)</f>
        <v>0</v>
      </c>
      <c r="G109" s="250"/>
      <c r="H109" s="250">
        <f>H108</f>
        <v>1.857</v>
      </c>
      <c r="I109" s="59">
        <f>ROUND(F109*G109*H109,3)</f>
        <v>0</v>
      </c>
      <c r="K109" s="42"/>
      <c r="L109" s="42"/>
      <c r="M109" s="42"/>
    </row>
    <row r="110" spans="2:13" ht="18" customHeight="1">
      <c r="B110" s="648"/>
      <c r="C110" s="656"/>
      <c r="D110" s="250"/>
      <c r="E110" s="250"/>
      <c r="F110" s="250">
        <f>ROUND((D110+E110)*2/1000,4)</f>
        <v>0</v>
      </c>
      <c r="G110" s="250"/>
      <c r="H110" s="250">
        <f>H109</f>
        <v>1.857</v>
      </c>
      <c r="I110" s="59">
        <f>ROUND(F110*G110*H110,3)</f>
        <v>0</v>
      </c>
      <c r="K110" s="42"/>
      <c r="L110" s="42"/>
      <c r="M110" s="42"/>
    </row>
    <row r="111" spans="2:13" ht="18" customHeight="1">
      <c r="B111" s="648"/>
      <c r="C111" s="657"/>
      <c r="D111" s="250"/>
      <c r="E111" s="250"/>
      <c r="F111" s="250">
        <f>ROUND((D111+E111)*2/1000,4)</f>
        <v>0</v>
      </c>
      <c r="G111" s="250"/>
      <c r="H111" s="250">
        <f>H110</f>
        <v>1.857</v>
      </c>
      <c r="I111" s="59">
        <f>ROUND(F111*G111*H111,3)</f>
        <v>0</v>
      </c>
      <c r="K111" s="42"/>
      <c r="L111" s="42"/>
      <c r="M111" s="42"/>
    </row>
    <row r="112" spans="2:13" ht="18" customHeight="1">
      <c r="B112" s="48" t="s">
        <v>42</v>
      </c>
      <c r="C112" s="49">
        <f>SUMPRODUCT(F108:F111*G108:G111)</f>
        <v>9.58</v>
      </c>
      <c r="D112" s="50" t="s">
        <v>43</v>
      </c>
      <c r="E112" s="49">
        <f>SUM(I108:I111)*1.1</f>
        <v>19.568999999999999</v>
      </c>
      <c r="F112" s="50" t="s">
        <v>44</v>
      </c>
      <c r="G112" s="51">
        <f>(C$218+C$219)/1000</f>
        <v>46.081499999999998</v>
      </c>
      <c r="H112" s="52" t="s">
        <v>45</v>
      </c>
      <c r="I112" s="53">
        <f>ROUND(E112*G112,2)</f>
        <v>901.77</v>
      </c>
      <c r="J112" s="243">
        <f>SUM(G108:G111)</f>
        <v>1</v>
      </c>
      <c r="K112" s="42"/>
      <c r="L112" s="42"/>
      <c r="M112" s="42"/>
    </row>
    <row r="113" spans="2:14" ht="18" customHeight="1">
      <c r="B113" s="48" t="s">
        <v>46</v>
      </c>
      <c r="C113" s="50">
        <v>241.03</v>
      </c>
      <c r="D113" s="50" t="s">
        <v>47</v>
      </c>
      <c r="E113" s="49">
        <f>ROUND(C112*(C113/1000),2)</f>
        <v>2.31</v>
      </c>
      <c r="F113" s="50" t="s">
        <v>48</v>
      </c>
      <c r="G113" s="50">
        <f>G$23</f>
        <v>10</v>
      </c>
      <c r="H113" s="52" t="s">
        <v>49</v>
      </c>
      <c r="I113" s="53">
        <f>E113*G113</f>
        <v>23.1</v>
      </c>
      <c r="K113" s="42"/>
      <c r="L113" s="42"/>
      <c r="M113" s="42"/>
    </row>
    <row r="114" spans="2:14" ht="18" customHeight="1" thickBot="1">
      <c r="B114" s="48" t="s">
        <v>50</v>
      </c>
      <c r="C114" s="50">
        <v>204.38</v>
      </c>
      <c r="D114" s="50" t="s">
        <v>51</v>
      </c>
      <c r="E114" s="49">
        <f>ROUND(C112*(C114/1000),2)</f>
        <v>1.96</v>
      </c>
      <c r="F114" s="50" t="s">
        <v>48</v>
      </c>
      <c r="G114" s="50">
        <f>G$24</f>
        <v>10</v>
      </c>
      <c r="H114" s="52" t="s">
        <v>49</v>
      </c>
      <c r="I114" s="53">
        <f>E114*G114</f>
        <v>19.600000000000001</v>
      </c>
    </row>
    <row r="115" spans="2:14" ht="18" customHeight="1" thickBot="1">
      <c r="B115" s="23" t="s">
        <v>36</v>
      </c>
      <c r="C115" s="252" t="s">
        <v>14</v>
      </c>
      <c r="D115" s="252" t="s">
        <v>37</v>
      </c>
      <c r="E115" s="252" t="s">
        <v>38</v>
      </c>
      <c r="F115" s="252" t="s">
        <v>39</v>
      </c>
      <c r="G115" s="252" t="s">
        <v>8</v>
      </c>
      <c r="H115" s="252" t="s">
        <v>22</v>
      </c>
      <c r="I115" s="25" t="s">
        <v>40</v>
      </c>
      <c r="J115" s="54" t="s">
        <v>2</v>
      </c>
      <c r="K115" s="55" t="s">
        <v>3</v>
      </c>
      <c r="L115" s="55" t="s">
        <v>61</v>
      </c>
      <c r="M115" s="55" t="s">
        <v>62</v>
      </c>
      <c r="N115" s="70" t="s">
        <v>14</v>
      </c>
    </row>
    <row r="116" spans="2:14" ht="18" customHeight="1">
      <c r="B116" s="648" t="s">
        <v>87</v>
      </c>
      <c r="C116" s="649" t="s">
        <v>88</v>
      </c>
      <c r="D116" s="253">
        <f t="shared" ref="D116:E118" si="18">J116-IF(L116=1,78,IF(L116=2,55.5,IF(L116=3,41,0)))</f>
        <v>1069</v>
      </c>
      <c r="E116" s="253">
        <f t="shared" si="18"/>
        <v>2492</v>
      </c>
      <c r="F116" s="250">
        <f>ROUND((D116+E116)*2/1000,4)</f>
        <v>7.1219999999999999</v>
      </c>
      <c r="G116" s="250">
        <v>2</v>
      </c>
      <c r="H116" s="58">
        <v>2.456</v>
      </c>
      <c r="I116" s="59">
        <f>ROUND(F116*G116*H116,3)</f>
        <v>34.982999999999997</v>
      </c>
      <c r="J116" s="60">
        <f>D108/2</f>
        <v>1110</v>
      </c>
      <c r="K116" s="61">
        <f>E108</f>
        <v>2570</v>
      </c>
      <c r="L116" s="61">
        <v>3</v>
      </c>
      <c r="M116" s="61">
        <v>1</v>
      </c>
      <c r="N116" s="76" t="s">
        <v>56</v>
      </c>
    </row>
    <row r="117" spans="2:14" ht="18" customHeight="1">
      <c r="B117" s="648"/>
      <c r="C117" s="650"/>
      <c r="D117" s="253">
        <f t="shared" si="18"/>
        <v>0</v>
      </c>
      <c r="E117" s="253">
        <f t="shared" si="18"/>
        <v>0</v>
      </c>
      <c r="F117" s="250">
        <f>ROUND((D117+E117)*2/1000,4)</f>
        <v>0</v>
      </c>
      <c r="G117" s="250">
        <v>0</v>
      </c>
      <c r="H117" s="58">
        <f>H116</f>
        <v>2.456</v>
      </c>
      <c r="I117" s="59">
        <f>ROUND(F117*G117*H117,3)</f>
        <v>0</v>
      </c>
      <c r="J117" s="60"/>
      <c r="K117" s="61"/>
      <c r="L117" s="61"/>
      <c r="M117" s="61"/>
      <c r="N117" s="76" t="s">
        <v>58</v>
      </c>
    </row>
    <row r="118" spans="2:14" ht="18" customHeight="1" thickBot="1">
      <c r="B118" s="648"/>
      <c r="C118" s="651"/>
      <c r="D118" s="253">
        <f t="shared" si="18"/>
        <v>0</v>
      </c>
      <c r="E118" s="253">
        <f t="shared" si="18"/>
        <v>0</v>
      </c>
      <c r="F118" s="250">
        <f>ROUND((D118+E118)*2/1000,4)</f>
        <v>0</v>
      </c>
      <c r="G118" s="250">
        <v>0</v>
      </c>
      <c r="H118" s="58">
        <f>H117</f>
        <v>2.456</v>
      </c>
      <c r="I118" s="59">
        <f>ROUND(F118*G118*H118,3)</f>
        <v>0</v>
      </c>
      <c r="J118" s="64"/>
      <c r="K118" s="65"/>
      <c r="L118" s="65"/>
      <c r="M118" s="65"/>
      <c r="N118" s="80" t="s">
        <v>89</v>
      </c>
    </row>
    <row r="119" spans="2:14" ht="18" customHeight="1">
      <c r="B119" s="48" t="s">
        <v>42</v>
      </c>
      <c r="C119" s="49">
        <f>SUMPRODUCT(F116:F118*G116:G118)</f>
        <v>14.244</v>
      </c>
      <c r="D119" s="100" t="s">
        <v>43</v>
      </c>
      <c r="E119" s="100">
        <f>SUM(I116:I118)*1.1</f>
        <v>38.481299999999997</v>
      </c>
      <c r="F119" s="50" t="s">
        <v>44</v>
      </c>
      <c r="G119" s="51">
        <f>(C$218+C$219)/1000</f>
        <v>46.081499999999998</v>
      </c>
      <c r="H119" s="52" t="s">
        <v>45</v>
      </c>
      <c r="I119" s="53">
        <f>ROUND(E119*G119,2)</f>
        <v>1773.28</v>
      </c>
      <c r="J119" s="243">
        <f>SUM(G116:G118)</f>
        <v>2</v>
      </c>
      <c r="K119" s="255"/>
      <c r="L119" s="255"/>
      <c r="M119" s="255"/>
    </row>
    <row r="120" spans="2:14" ht="18" customHeight="1">
      <c r="B120" s="48" t="s">
        <v>46</v>
      </c>
      <c r="C120" s="50">
        <v>350.56</v>
      </c>
      <c r="D120" s="100" t="s">
        <v>47</v>
      </c>
      <c r="E120" s="100">
        <f>ROUND(C119*(C120/1000),2)</f>
        <v>4.99</v>
      </c>
      <c r="F120" s="50" t="s">
        <v>48</v>
      </c>
      <c r="G120" s="50">
        <f>G$23</f>
        <v>10</v>
      </c>
      <c r="H120" s="52" t="s">
        <v>49</v>
      </c>
      <c r="I120" s="53">
        <f>E120*G120</f>
        <v>49.900000000000006</v>
      </c>
      <c r="J120" s="255"/>
      <c r="K120" s="255"/>
      <c r="L120" s="255"/>
      <c r="M120" s="255"/>
    </row>
    <row r="121" spans="2:14" ht="18" customHeight="1" thickBot="1">
      <c r="B121" s="48" t="s">
        <v>50</v>
      </c>
      <c r="C121" s="50">
        <v>189.03</v>
      </c>
      <c r="D121" s="100" t="s">
        <v>51</v>
      </c>
      <c r="E121" s="100">
        <f>ROUND(C119*(C121/1000),2)</f>
        <v>2.69</v>
      </c>
      <c r="F121" s="50" t="s">
        <v>48</v>
      </c>
      <c r="G121" s="50">
        <f>G$24</f>
        <v>10</v>
      </c>
      <c r="H121" s="52" t="s">
        <v>49</v>
      </c>
      <c r="I121" s="53">
        <f>E121*G121</f>
        <v>26.9</v>
      </c>
      <c r="J121" s="255"/>
    </row>
    <row r="122" spans="2:14" ht="18" customHeight="1" thickBot="1">
      <c r="B122" s="23" t="s">
        <v>36</v>
      </c>
      <c r="C122" s="252" t="s">
        <v>14</v>
      </c>
      <c r="D122" s="101" t="s">
        <v>37</v>
      </c>
      <c r="E122" s="101" t="s">
        <v>38</v>
      </c>
      <c r="F122" s="252" t="s">
        <v>39</v>
      </c>
      <c r="G122" s="252" t="s">
        <v>8</v>
      </c>
      <c r="H122" s="252" t="s">
        <v>22</v>
      </c>
      <c r="I122" s="25" t="s">
        <v>40</v>
      </c>
      <c r="J122" s="54" t="s">
        <v>2</v>
      </c>
      <c r="K122" s="55" t="s">
        <v>3</v>
      </c>
      <c r="L122" s="55" t="s">
        <v>61</v>
      </c>
      <c r="M122" s="55" t="s">
        <v>62</v>
      </c>
      <c r="N122" s="70" t="s">
        <v>14</v>
      </c>
    </row>
    <row r="123" spans="2:14" ht="18" customHeight="1">
      <c r="B123" s="648" t="s">
        <v>90</v>
      </c>
      <c r="C123" s="649" t="s">
        <v>91</v>
      </c>
      <c r="D123" s="253">
        <f t="shared" ref="D123:E125" si="19">J123-IF(L123=1,78,IF(L123=2,55.5,IF(L123=3,41,0)))</f>
        <v>0</v>
      </c>
      <c r="E123" s="253">
        <f t="shared" si="19"/>
        <v>0</v>
      </c>
      <c r="F123" s="250">
        <f>ROUND((D123+E123)*2/1000,4)</f>
        <v>0</v>
      </c>
      <c r="G123" s="250"/>
      <c r="H123" s="58">
        <v>2.4710000000000001</v>
      </c>
      <c r="I123" s="59">
        <f>ROUND(F123*G123*H123,3)</f>
        <v>0</v>
      </c>
      <c r="J123" s="60"/>
      <c r="K123" s="61"/>
      <c r="L123" s="61"/>
      <c r="M123" s="61"/>
      <c r="N123" s="76" t="s">
        <v>56</v>
      </c>
    </row>
    <row r="124" spans="2:14" ht="18" customHeight="1">
      <c r="B124" s="648"/>
      <c r="C124" s="650"/>
      <c r="D124" s="253">
        <f t="shared" si="19"/>
        <v>0</v>
      </c>
      <c r="E124" s="253">
        <f t="shared" si="19"/>
        <v>0</v>
      </c>
      <c r="F124" s="250">
        <f>ROUND((D124+E124)*2/1000,4)</f>
        <v>0</v>
      </c>
      <c r="G124" s="250"/>
      <c r="H124" s="58">
        <f>H123</f>
        <v>2.4710000000000001</v>
      </c>
      <c r="I124" s="59">
        <f>ROUND(F124*G124*H124,3)</f>
        <v>0</v>
      </c>
      <c r="J124" s="60"/>
      <c r="K124" s="61"/>
      <c r="L124" s="61"/>
      <c r="M124" s="61"/>
      <c r="N124" s="76" t="s">
        <v>58</v>
      </c>
    </row>
    <row r="125" spans="2:14" ht="18" customHeight="1" thickBot="1">
      <c r="B125" s="648"/>
      <c r="C125" s="651"/>
      <c r="D125" s="253">
        <f t="shared" si="19"/>
        <v>0</v>
      </c>
      <c r="E125" s="253">
        <f t="shared" si="19"/>
        <v>0</v>
      </c>
      <c r="F125" s="250">
        <f>ROUND((D125+E125)*2/1000,4)</f>
        <v>0</v>
      </c>
      <c r="G125" s="250"/>
      <c r="H125" s="58">
        <f>H124</f>
        <v>2.4710000000000001</v>
      </c>
      <c r="I125" s="59">
        <f>ROUND(F125*G125*H125,3)</f>
        <v>0</v>
      </c>
      <c r="J125" s="64"/>
      <c r="K125" s="65"/>
      <c r="L125" s="65"/>
      <c r="M125" s="65"/>
      <c r="N125" s="80" t="s">
        <v>89</v>
      </c>
    </row>
    <row r="126" spans="2:14" ht="18" customHeight="1">
      <c r="B126" s="48" t="s">
        <v>42</v>
      </c>
      <c r="C126" s="49">
        <f>SUMPRODUCT(F123:F125*G123:G125)</f>
        <v>0</v>
      </c>
      <c r="D126" s="50" t="s">
        <v>43</v>
      </c>
      <c r="E126" s="49">
        <f>SUM(I123:I125)*1.1</f>
        <v>0</v>
      </c>
      <c r="F126" s="50" t="s">
        <v>44</v>
      </c>
      <c r="G126" s="51">
        <f>(C$218+C$221)/1000</f>
        <v>46.081499999999998</v>
      </c>
      <c r="H126" s="52" t="s">
        <v>45</v>
      </c>
      <c r="I126" s="53">
        <f>ROUND(E126*G126,2)</f>
        <v>0</v>
      </c>
      <c r="J126" s="243">
        <f>SUM(G123:G125)</f>
        <v>0</v>
      </c>
      <c r="K126" s="255"/>
      <c r="L126" s="255"/>
      <c r="M126" s="255"/>
    </row>
    <row r="127" spans="2:14" ht="18" customHeight="1">
      <c r="B127" s="48" t="s">
        <v>46</v>
      </c>
      <c r="C127" s="50">
        <v>236.53</v>
      </c>
      <c r="D127" s="50" t="s">
        <v>47</v>
      </c>
      <c r="E127" s="49">
        <f>ROUND(C126*(C127/1000),2)</f>
        <v>0</v>
      </c>
      <c r="F127" s="50" t="s">
        <v>48</v>
      </c>
      <c r="G127" s="50">
        <f>G$23</f>
        <v>10</v>
      </c>
      <c r="H127" s="52" t="s">
        <v>49</v>
      </c>
      <c r="I127" s="53">
        <f>E127*G127</f>
        <v>0</v>
      </c>
      <c r="J127" s="255"/>
      <c r="K127" s="255"/>
      <c r="L127" s="255"/>
      <c r="M127" s="255"/>
    </row>
    <row r="128" spans="2:14" ht="18" customHeight="1" thickBot="1">
      <c r="B128" s="48" t="s">
        <v>50</v>
      </c>
      <c r="C128" s="50">
        <v>311.02999999999997</v>
      </c>
      <c r="D128" s="50" t="s">
        <v>51</v>
      </c>
      <c r="E128" s="49">
        <f>ROUND(C126*(C128/1000),2)</f>
        <v>0</v>
      </c>
      <c r="F128" s="50" t="s">
        <v>48</v>
      </c>
      <c r="G128" s="50">
        <f>G$24</f>
        <v>10</v>
      </c>
      <c r="H128" s="52" t="s">
        <v>49</v>
      </c>
      <c r="I128" s="53">
        <f>E128*G128</f>
        <v>0</v>
      </c>
      <c r="J128" s="255"/>
    </row>
    <row r="129" spans="2:14" ht="18" customHeight="1" thickBot="1">
      <c r="B129" s="23" t="s">
        <v>36</v>
      </c>
      <c r="C129" s="252" t="s">
        <v>14</v>
      </c>
      <c r="D129" s="252" t="s">
        <v>37</v>
      </c>
      <c r="E129" s="252" t="s">
        <v>71</v>
      </c>
      <c r="F129" s="252" t="s">
        <v>38</v>
      </c>
      <c r="G129" s="252" t="s">
        <v>72</v>
      </c>
      <c r="H129" s="252" t="s">
        <v>22</v>
      </c>
      <c r="I129" s="25" t="s">
        <v>40</v>
      </c>
      <c r="J129" s="54" t="s">
        <v>2</v>
      </c>
      <c r="K129" s="55" t="s">
        <v>3</v>
      </c>
      <c r="L129" s="55" t="s">
        <v>61</v>
      </c>
      <c r="M129" s="55" t="s">
        <v>62</v>
      </c>
      <c r="N129" s="70" t="s">
        <v>14</v>
      </c>
    </row>
    <row r="130" spans="2:14" ht="18" customHeight="1">
      <c r="B130" s="648" t="s">
        <v>92</v>
      </c>
      <c r="C130" s="649" t="s">
        <v>93</v>
      </c>
      <c r="D130" s="253">
        <f>J130-IF(L130=1,81,IF(L130=2,58.5,IF(L130=3,36,0)))</f>
        <v>0</v>
      </c>
      <c r="E130" s="253">
        <v>0</v>
      </c>
      <c r="F130" s="253">
        <f>K130-IF(M130=1,81,IF(M130=2,58.5,IF(M130=3,36,0)))</f>
        <v>0</v>
      </c>
      <c r="G130" s="250">
        <v>0</v>
      </c>
      <c r="H130" s="250">
        <v>2.0489999999999999</v>
      </c>
      <c r="I130" s="59">
        <f>ROUND((D130*E130+F130*G130)/1000*H130,3)</f>
        <v>0</v>
      </c>
      <c r="J130" s="60"/>
      <c r="K130" s="61"/>
      <c r="L130" s="61"/>
      <c r="M130" s="61"/>
      <c r="N130" s="76" t="s">
        <v>56</v>
      </c>
    </row>
    <row r="131" spans="2:14" ht="18" customHeight="1">
      <c r="B131" s="648"/>
      <c r="C131" s="650"/>
      <c r="D131" s="253">
        <f>J131-IF(L131=1,81,IF(L131=2,58.5,IF(L131=3,36,0)))</f>
        <v>0</v>
      </c>
      <c r="E131" s="253">
        <v>0</v>
      </c>
      <c r="F131" s="253">
        <f>K131-IF(M131=1,81,IF(M131=2,58.5,IF(M131=3,36,0)))</f>
        <v>0</v>
      </c>
      <c r="G131" s="250"/>
      <c r="H131" s="250">
        <f>H130</f>
        <v>2.0489999999999999</v>
      </c>
      <c r="I131" s="59">
        <f>ROUND((D131*E131+F131*G131)/1000*H131,3)</f>
        <v>0</v>
      </c>
      <c r="J131" s="60"/>
      <c r="K131" s="61"/>
      <c r="L131" s="61"/>
      <c r="M131" s="61"/>
      <c r="N131" s="76" t="s">
        <v>58</v>
      </c>
    </row>
    <row r="132" spans="2:14" ht="18" customHeight="1" thickBot="1">
      <c r="B132" s="648"/>
      <c r="C132" s="651"/>
      <c r="D132" s="253">
        <f>J132-IF(L132=1,81,IF(L132=2,58.5,IF(L132=3,36,0)))</f>
        <v>0</v>
      </c>
      <c r="E132" s="253"/>
      <c r="F132" s="253">
        <f>K132-IF(M132=1,81,IF(M132=2,58.5,IF(M132=3,36,0)))</f>
        <v>0</v>
      </c>
      <c r="G132" s="250"/>
      <c r="H132" s="250">
        <f>H131</f>
        <v>2.0489999999999999</v>
      </c>
      <c r="I132" s="59">
        <f>ROUND((D132*E132+F132*G132)/1000*H132,3)</f>
        <v>0</v>
      </c>
      <c r="J132" s="64"/>
      <c r="K132" s="65"/>
      <c r="L132" s="65"/>
      <c r="M132" s="65"/>
      <c r="N132" s="80" t="s">
        <v>89</v>
      </c>
    </row>
    <row r="133" spans="2:14" ht="18" customHeight="1">
      <c r="B133" s="48" t="s">
        <v>42</v>
      </c>
      <c r="C133" s="49">
        <f>SUMPRODUCT(D130:D132*E130:E132+F130:F132*G130:G132)/1000</f>
        <v>0</v>
      </c>
      <c r="D133" s="50" t="s">
        <v>43</v>
      </c>
      <c r="E133" s="49">
        <f>SUM(I130:I132)*1.1</f>
        <v>0</v>
      </c>
      <c r="F133" s="50" t="s">
        <v>44</v>
      </c>
      <c r="G133" s="51">
        <f>(C$218+C$219)/1000</f>
        <v>46.081499999999998</v>
      </c>
      <c r="H133" s="52" t="s">
        <v>45</v>
      </c>
      <c r="I133" s="53">
        <f>ROUND(E133*G133,2)</f>
        <v>0</v>
      </c>
      <c r="J133" s="243">
        <f>SUM(G130:G132)+SUM(E130:E132)</f>
        <v>0</v>
      </c>
    </row>
    <row r="134" spans="2:14" ht="18" customHeight="1">
      <c r="B134" s="48" t="s">
        <v>46</v>
      </c>
      <c r="C134" s="50">
        <v>298.42</v>
      </c>
      <c r="D134" s="50" t="s">
        <v>47</v>
      </c>
      <c r="E134" s="49">
        <f>ROUND(C133*(C134/1000),2)</f>
        <v>0</v>
      </c>
      <c r="F134" s="50" t="s">
        <v>48</v>
      </c>
      <c r="G134" s="50">
        <f>G$23</f>
        <v>10</v>
      </c>
      <c r="H134" s="52" t="s">
        <v>49</v>
      </c>
      <c r="I134" s="53">
        <f>ROUND(E134*G134,2)</f>
        <v>0</v>
      </c>
    </row>
    <row r="135" spans="2:14" ht="18" customHeight="1">
      <c r="B135" s="48" t="s">
        <v>50</v>
      </c>
      <c r="C135" s="50">
        <v>208.08</v>
      </c>
      <c r="D135" s="50" t="s">
        <v>51</v>
      </c>
      <c r="E135" s="49">
        <f>ROUND(C133*(C135/1000),2)</f>
        <v>0</v>
      </c>
      <c r="F135" s="50" t="s">
        <v>48</v>
      </c>
      <c r="G135" s="50">
        <f>G$24</f>
        <v>10</v>
      </c>
      <c r="H135" s="52" t="s">
        <v>49</v>
      </c>
      <c r="I135" s="53">
        <f>ROUND(E135*G135,2)</f>
        <v>0</v>
      </c>
    </row>
    <row r="136" spans="2:14" ht="18" customHeight="1">
      <c r="B136" s="23" t="s">
        <v>36</v>
      </c>
      <c r="C136" s="252" t="s">
        <v>14</v>
      </c>
      <c r="D136" s="652" t="s">
        <v>38</v>
      </c>
      <c r="E136" s="652"/>
      <c r="F136" s="652"/>
      <c r="G136" s="252" t="s">
        <v>72</v>
      </c>
      <c r="H136" s="252" t="s">
        <v>22</v>
      </c>
      <c r="I136" s="25" t="s">
        <v>40</v>
      </c>
    </row>
    <row r="137" spans="2:14" ht="18" customHeight="1">
      <c r="B137" s="648" t="s">
        <v>94</v>
      </c>
      <c r="C137" s="649" t="s">
        <v>95</v>
      </c>
      <c r="D137" s="654">
        <f>E116</f>
        <v>2492</v>
      </c>
      <c r="E137" s="646"/>
      <c r="F137" s="646"/>
      <c r="G137" s="250">
        <v>1</v>
      </c>
      <c r="H137" s="250">
        <v>1.3360000000000001</v>
      </c>
      <c r="I137" s="59">
        <f>ROUND(D137*H137*G137/1000,3)</f>
        <v>3.3290000000000002</v>
      </c>
    </row>
    <row r="138" spans="2:14" ht="18" customHeight="1">
      <c r="B138" s="648"/>
      <c r="C138" s="651"/>
      <c r="D138" s="654"/>
      <c r="E138" s="646"/>
      <c r="F138" s="646"/>
      <c r="G138" s="250"/>
      <c r="H138" s="250">
        <f>H137</f>
        <v>1.3360000000000001</v>
      </c>
      <c r="I138" s="59">
        <f>ROUND(D138*H138*G138/1000,3)</f>
        <v>0</v>
      </c>
    </row>
    <row r="139" spans="2:14" ht="18" customHeight="1">
      <c r="B139" s="48" t="s">
        <v>42</v>
      </c>
      <c r="C139" s="49">
        <f>SUMPRODUCT(D137:F138*G137:G138)/1000</f>
        <v>2.492</v>
      </c>
      <c r="D139" s="50" t="s">
        <v>43</v>
      </c>
      <c r="E139" s="49">
        <f>SUM(I137:I138)*1.1</f>
        <v>3.6619000000000006</v>
      </c>
      <c r="F139" s="50" t="s">
        <v>44</v>
      </c>
      <c r="G139" s="51">
        <f>(C$218+C$219)/1000</f>
        <v>46.081499999999998</v>
      </c>
      <c r="H139" s="52" t="s">
        <v>45</v>
      </c>
      <c r="I139" s="53">
        <f>ROUND(E139*G139,2)</f>
        <v>168.75</v>
      </c>
    </row>
    <row r="140" spans="2:14" ht="18" customHeight="1">
      <c r="B140" s="48" t="s">
        <v>46</v>
      </c>
      <c r="C140" s="50">
        <v>143.24</v>
      </c>
      <c r="D140" s="50" t="s">
        <v>47</v>
      </c>
      <c r="E140" s="49">
        <f>ROUND(C139*(C140/1000),2)</f>
        <v>0.36</v>
      </c>
      <c r="F140" s="50" t="s">
        <v>48</v>
      </c>
      <c r="G140" s="50">
        <f>G$23</f>
        <v>10</v>
      </c>
      <c r="H140" s="52" t="s">
        <v>49</v>
      </c>
      <c r="I140" s="53">
        <f>E140*G140</f>
        <v>3.5999999999999996</v>
      </c>
    </row>
    <row r="141" spans="2:14" ht="18" customHeight="1">
      <c r="B141" s="48" t="s">
        <v>50</v>
      </c>
      <c r="C141" s="50">
        <v>85.04</v>
      </c>
      <c r="D141" s="50" t="s">
        <v>51</v>
      </c>
      <c r="E141" s="49">
        <f>ROUND(C139*(C141/1000),2)</f>
        <v>0.21</v>
      </c>
      <c r="F141" s="50" t="s">
        <v>48</v>
      </c>
      <c r="G141" s="50">
        <f>G$24</f>
        <v>10</v>
      </c>
      <c r="H141" s="52" t="s">
        <v>49</v>
      </c>
      <c r="I141" s="53">
        <f>E141*G141</f>
        <v>2.1</v>
      </c>
    </row>
    <row r="142" spans="2:14" ht="18" customHeight="1">
      <c r="B142" s="23" t="s">
        <v>36</v>
      </c>
      <c r="C142" s="252" t="s">
        <v>14</v>
      </c>
      <c r="D142" s="252" t="s">
        <v>37</v>
      </c>
      <c r="E142" s="252" t="s">
        <v>38</v>
      </c>
      <c r="F142" s="252" t="s">
        <v>39</v>
      </c>
      <c r="G142" s="252" t="s">
        <v>8</v>
      </c>
      <c r="H142" s="252" t="s">
        <v>22</v>
      </c>
      <c r="I142" s="25" t="s">
        <v>40</v>
      </c>
    </row>
    <row r="143" spans="2:14" ht="18" customHeight="1">
      <c r="B143" s="648" t="s">
        <v>96</v>
      </c>
      <c r="C143" s="653" t="s">
        <v>83</v>
      </c>
      <c r="D143" s="253">
        <f t="shared" ref="D143:E145" si="20">D116-154</f>
        <v>915</v>
      </c>
      <c r="E143" s="253">
        <f t="shared" si="20"/>
        <v>2338</v>
      </c>
      <c r="F143" s="253">
        <f>(D143+E143)*2/1000</f>
        <v>6.5060000000000002</v>
      </c>
      <c r="G143" s="250">
        <f>G116</f>
        <v>2</v>
      </c>
      <c r="H143" s="250">
        <v>0.27100000000000002</v>
      </c>
      <c r="I143" s="59">
        <f>ROUND((F143*G143)*H143,3)</f>
        <v>3.5259999999999998</v>
      </c>
    </row>
    <row r="144" spans="2:14" ht="18" customHeight="1">
      <c r="B144" s="648"/>
      <c r="C144" s="650"/>
      <c r="D144" s="253">
        <f t="shared" si="20"/>
        <v>-154</v>
      </c>
      <c r="E144" s="253">
        <f t="shared" si="20"/>
        <v>-154</v>
      </c>
      <c r="F144" s="253">
        <f>(D144+E144)*2/1000</f>
        <v>-0.61599999999999999</v>
      </c>
      <c r="G144" s="250">
        <f>G117</f>
        <v>0</v>
      </c>
      <c r="H144" s="250">
        <f>H143</f>
        <v>0.27100000000000002</v>
      </c>
      <c r="I144" s="59">
        <f>ROUND((F144*G144)*H144,3)</f>
        <v>0</v>
      </c>
    </row>
    <row r="145" spans="2:14" ht="18" customHeight="1">
      <c r="B145" s="648"/>
      <c r="C145" s="651"/>
      <c r="D145" s="253">
        <f t="shared" si="20"/>
        <v>-154</v>
      </c>
      <c r="E145" s="253">
        <f t="shared" si="20"/>
        <v>-154</v>
      </c>
      <c r="F145" s="253">
        <f>(D145+E145)*2/1000</f>
        <v>-0.61599999999999999</v>
      </c>
      <c r="G145" s="250">
        <f>G118</f>
        <v>0</v>
      </c>
      <c r="H145" s="250">
        <f>H144</f>
        <v>0.27100000000000002</v>
      </c>
      <c r="I145" s="59">
        <f>ROUND((F145*G145)*H145,3)</f>
        <v>0</v>
      </c>
    </row>
    <row r="146" spans="2:14" ht="18" customHeight="1">
      <c r="B146" s="48" t="s">
        <v>42</v>
      </c>
      <c r="C146" s="49">
        <f>SUMPRODUCT(F143:F145*G143:G145)</f>
        <v>13.012</v>
      </c>
      <c r="D146" s="50" t="s">
        <v>43</v>
      </c>
      <c r="E146" s="49">
        <f>SUM(I143:I145)*1.1</f>
        <v>3.8786</v>
      </c>
      <c r="F146" s="50" t="s">
        <v>44</v>
      </c>
      <c r="G146" s="51">
        <f>(C$218+C$222)/1000</f>
        <v>39.781500000000001</v>
      </c>
      <c r="H146" s="52" t="s">
        <v>45</v>
      </c>
      <c r="I146" s="53">
        <f>ROUND(E146*G146,2)</f>
        <v>154.30000000000001</v>
      </c>
    </row>
    <row r="147" spans="2:14" ht="18" customHeight="1">
      <c r="B147" s="48" t="s">
        <v>46</v>
      </c>
      <c r="C147" s="50">
        <v>186.72</v>
      </c>
      <c r="D147" s="50" t="s">
        <v>47</v>
      </c>
      <c r="E147" s="49">
        <f>ROUND(C146*(C147/1000),2)</f>
        <v>2.4300000000000002</v>
      </c>
      <c r="F147" s="50" t="s">
        <v>48</v>
      </c>
      <c r="G147" s="50">
        <f>G$23</f>
        <v>10</v>
      </c>
      <c r="H147" s="52" t="s">
        <v>49</v>
      </c>
      <c r="I147" s="53">
        <f>E147*G147</f>
        <v>24.3</v>
      </c>
      <c r="K147" s="42"/>
      <c r="L147" s="42"/>
      <c r="M147" s="42"/>
    </row>
    <row r="148" spans="2:14" ht="18" customHeight="1">
      <c r="B148" s="48" t="s">
        <v>50</v>
      </c>
      <c r="C148" s="50">
        <v>0</v>
      </c>
      <c r="D148" s="50" t="s">
        <v>51</v>
      </c>
      <c r="E148" s="49">
        <f>ROUND(C146*(C148/1000),2)</f>
        <v>0</v>
      </c>
      <c r="F148" s="50" t="s">
        <v>48</v>
      </c>
      <c r="G148" s="50">
        <f>G$24</f>
        <v>10</v>
      </c>
      <c r="H148" s="52" t="s">
        <v>49</v>
      </c>
      <c r="I148" s="53">
        <f>E148*G148</f>
        <v>0</v>
      </c>
      <c r="K148" s="42"/>
      <c r="L148" s="42"/>
      <c r="M148" s="42"/>
    </row>
    <row r="149" spans="2:14" ht="18" customHeight="1">
      <c r="B149" s="23" t="s">
        <v>36</v>
      </c>
      <c r="C149" s="252" t="s">
        <v>14</v>
      </c>
      <c r="D149" s="252" t="s">
        <v>37</v>
      </c>
      <c r="E149" s="252" t="s">
        <v>38</v>
      </c>
      <c r="F149" s="252" t="s">
        <v>39</v>
      </c>
      <c r="G149" s="252" t="s">
        <v>8</v>
      </c>
      <c r="H149" s="252" t="s">
        <v>22</v>
      </c>
      <c r="I149" s="25" t="s">
        <v>40</v>
      </c>
      <c r="K149" s="42"/>
      <c r="L149" s="42"/>
      <c r="M149" s="42"/>
    </row>
    <row r="150" spans="2:14" ht="18" customHeight="1">
      <c r="B150" s="648" t="s">
        <v>97</v>
      </c>
      <c r="C150" s="653" t="s">
        <v>83</v>
      </c>
      <c r="D150" s="253">
        <f t="shared" ref="D150:E152" si="21">D123-160</f>
        <v>-160</v>
      </c>
      <c r="E150" s="253">
        <f t="shared" si="21"/>
        <v>-160</v>
      </c>
      <c r="F150" s="253">
        <f>(D150+E150)*2/1000</f>
        <v>-0.64</v>
      </c>
      <c r="G150" s="250">
        <f>G123</f>
        <v>0</v>
      </c>
      <c r="H150" s="250">
        <f>H145</f>
        <v>0.27100000000000002</v>
      </c>
      <c r="I150" s="59">
        <f>ROUND((F150*G150)*H150,3)</f>
        <v>0</v>
      </c>
      <c r="K150" s="42"/>
      <c r="L150" s="42"/>
      <c r="M150" s="42"/>
    </row>
    <row r="151" spans="2:14" ht="18" customHeight="1">
      <c r="B151" s="648"/>
      <c r="C151" s="650"/>
      <c r="D151" s="253">
        <f t="shared" si="21"/>
        <v>-160</v>
      </c>
      <c r="E151" s="253">
        <f t="shared" si="21"/>
        <v>-160</v>
      </c>
      <c r="F151" s="253">
        <f>(D151+E151)*2/1000</f>
        <v>-0.64</v>
      </c>
      <c r="G151" s="250">
        <f>G124</f>
        <v>0</v>
      </c>
      <c r="H151" s="250">
        <f>H150</f>
        <v>0.27100000000000002</v>
      </c>
      <c r="I151" s="59">
        <f>ROUND((F151*G151)*H151,3)</f>
        <v>0</v>
      </c>
      <c r="K151" s="42"/>
      <c r="L151" s="42"/>
      <c r="M151" s="42"/>
    </row>
    <row r="152" spans="2:14" ht="18" customHeight="1">
      <c r="B152" s="648"/>
      <c r="C152" s="651"/>
      <c r="D152" s="253">
        <f t="shared" si="21"/>
        <v>-160</v>
      </c>
      <c r="E152" s="253">
        <f t="shared" si="21"/>
        <v>-160</v>
      </c>
      <c r="F152" s="253">
        <f>(D152+E152)*2/1000</f>
        <v>-0.64</v>
      </c>
      <c r="G152" s="250">
        <f>G125</f>
        <v>0</v>
      </c>
      <c r="H152" s="250">
        <f>H151</f>
        <v>0.27100000000000002</v>
      </c>
      <c r="I152" s="59">
        <f>ROUND((F152*G152)*H152,3)</f>
        <v>0</v>
      </c>
      <c r="K152" s="42"/>
      <c r="L152" s="42"/>
      <c r="M152" s="42"/>
    </row>
    <row r="153" spans="2:14" ht="18" customHeight="1">
      <c r="B153" s="48" t="s">
        <v>42</v>
      </c>
      <c r="C153" s="49">
        <f>SUMPRODUCT(F150:F152*G150:G152)</f>
        <v>0</v>
      </c>
      <c r="D153" s="50" t="s">
        <v>43</v>
      </c>
      <c r="E153" s="49">
        <f>SUM(I150:I152)*1.1</f>
        <v>0</v>
      </c>
      <c r="F153" s="50" t="s">
        <v>44</v>
      </c>
      <c r="G153" s="51">
        <f>(C$218+C$222)/1000</f>
        <v>39.781500000000001</v>
      </c>
      <c r="H153" s="52" t="s">
        <v>45</v>
      </c>
      <c r="I153" s="53">
        <f>ROUND(E153*G153,2)</f>
        <v>0</v>
      </c>
      <c r="K153" s="42"/>
      <c r="L153" s="42"/>
      <c r="M153" s="42"/>
    </row>
    <row r="154" spans="2:14" ht="18" customHeight="1">
      <c r="B154" s="48" t="s">
        <v>46</v>
      </c>
      <c r="C154" s="50">
        <v>186.72</v>
      </c>
      <c r="D154" s="50" t="s">
        <v>47</v>
      </c>
      <c r="E154" s="49">
        <f>ROUND(C153*(C154/1000),2)</f>
        <v>0</v>
      </c>
      <c r="F154" s="50" t="s">
        <v>48</v>
      </c>
      <c r="G154" s="50">
        <f>G$23</f>
        <v>10</v>
      </c>
      <c r="H154" s="52" t="s">
        <v>49</v>
      </c>
      <c r="I154" s="53">
        <f>E154*G154</f>
        <v>0</v>
      </c>
    </row>
    <row r="155" spans="2:14" ht="18" customHeight="1" thickBot="1">
      <c r="B155" s="48" t="s">
        <v>50</v>
      </c>
      <c r="C155" s="50">
        <v>0</v>
      </c>
      <c r="D155" s="50" t="s">
        <v>51</v>
      </c>
      <c r="E155" s="49">
        <f>ROUND(C153*(C155/1000),2)</f>
        <v>0</v>
      </c>
      <c r="F155" s="50" t="s">
        <v>48</v>
      </c>
      <c r="G155" s="50">
        <f>G$24</f>
        <v>10</v>
      </c>
      <c r="H155" s="52" t="s">
        <v>49</v>
      </c>
      <c r="I155" s="53">
        <f>E155*G155</f>
        <v>0</v>
      </c>
    </row>
    <row r="156" spans="2:14" ht="18" customHeight="1" thickBot="1">
      <c r="B156" s="23" t="s">
        <v>36</v>
      </c>
      <c r="C156" s="252" t="s">
        <v>14</v>
      </c>
      <c r="D156" s="252" t="s">
        <v>37</v>
      </c>
      <c r="E156" s="252" t="s">
        <v>38</v>
      </c>
      <c r="F156" s="252" t="s">
        <v>39</v>
      </c>
      <c r="G156" s="252" t="s">
        <v>8</v>
      </c>
      <c r="H156" s="252" t="s">
        <v>22</v>
      </c>
      <c r="I156" s="25" t="s">
        <v>40</v>
      </c>
      <c r="J156" s="54" t="s">
        <v>2</v>
      </c>
      <c r="K156" s="55" t="s">
        <v>3</v>
      </c>
      <c r="L156" s="55" t="s">
        <v>61</v>
      </c>
      <c r="M156" s="55" t="s">
        <v>62</v>
      </c>
      <c r="N156" s="70" t="s">
        <v>14</v>
      </c>
    </row>
    <row r="157" spans="2:14" ht="18" customHeight="1">
      <c r="B157" s="648" t="s">
        <v>98</v>
      </c>
      <c r="C157" s="649" t="s">
        <v>99</v>
      </c>
      <c r="D157" s="253">
        <f t="shared" ref="D157:E162" si="22">J157-IF(L157=1,90,IF(L157=2,67.5,IF(L157=3,45,0)))</f>
        <v>0</v>
      </c>
      <c r="E157" s="253">
        <f t="shared" si="22"/>
        <v>0</v>
      </c>
      <c r="F157" s="253">
        <f t="shared" ref="F157:F162" si="23">2*(D157+E157)/1000</f>
        <v>0</v>
      </c>
      <c r="G157" s="250">
        <v>0</v>
      </c>
      <c r="H157" s="250">
        <f>H68</f>
        <v>0.224</v>
      </c>
      <c r="I157" s="59">
        <f t="shared" ref="I157:I162" si="24">ROUND((F157*G157)*H157,3)</f>
        <v>0</v>
      </c>
      <c r="J157" s="60"/>
      <c r="K157" s="61"/>
      <c r="L157" s="61"/>
      <c r="M157" s="61"/>
      <c r="N157" s="76" t="s">
        <v>56</v>
      </c>
    </row>
    <row r="158" spans="2:14" ht="18" customHeight="1">
      <c r="B158" s="648"/>
      <c r="C158" s="650"/>
      <c r="D158" s="253">
        <f t="shared" si="22"/>
        <v>0</v>
      </c>
      <c r="E158" s="253">
        <f t="shared" si="22"/>
        <v>0</v>
      </c>
      <c r="F158" s="253">
        <f t="shared" si="23"/>
        <v>0</v>
      </c>
      <c r="G158" s="250"/>
      <c r="H158" s="250">
        <f>H157</f>
        <v>0.224</v>
      </c>
      <c r="I158" s="59">
        <f t="shared" si="24"/>
        <v>0</v>
      </c>
      <c r="J158" s="60"/>
      <c r="K158" s="61"/>
      <c r="L158" s="61"/>
      <c r="M158" s="61"/>
      <c r="N158" s="76" t="s">
        <v>58</v>
      </c>
    </row>
    <row r="159" spans="2:14" ht="18" customHeight="1">
      <c r="B159" s="648"/>
      <c r="C159" s="650"/>
      <c r="D159" s="253">
        <f t="shared" si="22"/>
        <v>0</v>
      </c>
      <c r="E159" s="253">
        <f t="shared" si="22"/>
        <v>0</v>
      </c>
      <c r="F159" s="253">
        <f t="shared" si="23"/>
        <v>0</v>
      </c>
      <c r="G159" s="250"/>
      <c r="H159" s="250">
        <f>H158</f>
        <v>0.224</v>
      </c>
      <c r="I159" s="59">
        <f t="shared" si="24"/>
        <v>0</v>
      </c>
      <c r="J159" s="60"/>
      <c r="K159" s="61"/>
      <c r="L159" s="61"/>
      <c r="M159" s="61"/>
      <c r="N159" s="76" t="s">
        <v>60</v>
      </c>
    </row>
    <row r="160" spans="2:14" ht="18" customHeight="1">
      <c r="B160" s="648"/>
      <c r="C160" s="650"/>
      <c r="D160" s="253">
        <f t="shared" si="22"/>
        <v>0</v>
      </c>
      <c r="E160" s="253">
        <f t="shared" si="22"/>
        <v>0</v>
      </c>
      <c r="F160" s="253">
        <f t="shared" si="23"/>
        <v>0</v>
      </c>
      <c r="G160" s="250">
        <v>0</v>
      </c>
      <c r="H160" s="77">
        <f>H159</f>
        <v>0.224</v>
      </c>
      <c r="I160" s="59">
        <f t="shared" si="24"/>
        <v>0</v>
      </c>
      <c r="J160" s="60"/>
      <c r="K160" s="61"/>
      <c r="L160" s="61"/>
      <c r="M160" s="61"/>
      <c r="N160" s="76"/>
    </row>
    <row r="161" spans="2:16" ht="18" customHeight="1">
      <c r="B161" s="648"/>
      <c r="C161" s="650"/>
      <c r="D161" s="253">
        <f t="shared" si="22"/>
        <v>0</v>
      </c>
      <c r="E161" s="253">
        <f t="shared" si="22"/>
        <v>0</v>
      </c>
      <c r="F161" s="253">
        <f t="shared" si="23"/>
        <v>0</v>
      </c>
      <c r="G161" s="250"/>
      <c r="H161" s="250">
        <f>H160</f>
        <v>0.224</v>
      </c>
      <c r="I161" s="59">
        <f t="shared" si="24"/>
        <v>0</v>
      </c>
      <c r="J161" s="60"/>
      <c r="K161" s="61"/>
      <c r="L161" s="61"/>
      <c r="M161" s="61"/>
      <c r="N161" s="76"/>
    </row>
    <row r="162" spans="2:16" ht="18" customHeight="1" thickBot="1">
      <c r="B162" s="648"/>
      <c r="C162" s="651"/>
      <c r="D162" s="253">
        <f t="shared" si="22"/>
        <v>0</v>
      </c>
      <c r="E162" s="253">
        <f t="shared" si="22"/>
        <v>0</v>
      </c>
      <c r="F162" s="253">
        <f t="shared" si="23"/>
        <v>0</v>
      </c>
      <c r="G162" s="250"/>
      <c r="H162" s="250">
        <f>H160</f>
        <v>0.224</v>
      </c>
      <c r="I162" s="59">
        <f t="shared" si="24"/>
        <v>0</v>
      </c>
      <c r="J162" s="64"/>
      <c r="K162" s="65"/>
      <c r="L162" s="65"/>
      <c r="M162" s="65"/>
      <c r="N162" s="80"/>
    </row>
    <row r="163" spans="2:16" ht="18" customHeight="1">
      <c r="B163" s="48" t="s">
        <v>42</v>
      </c>
      <c r="C163" s="49">
        <f>SUMPRODUCT(F157:F162*G157:G162)</f>
        <v>0</v>
      </c>
      <c r="D163" s="50" t="s">
        <v>43</v>
      </c>
      <c r="E163" s="49">
        <f>SUM(I157:I162)*1.1</f>
        <v>0</v>
      </c>
      <c r="F163" s="50" t="s">
        <v>44</v>
      </c>
      <c r="G163" s="51">
        <f>(C$218+C$222)/1000</f>
        <v>39.781500000000001</v>
      </c>
      <c r="H163" s="52" t="s">
        <v>45</v>
      </c>
      <c r="I163" s="53">
        <f>ROUND(E163*G163,2)</f>
        <v>0</v>
      </c>
      <c r="J163" s="102"/>
      <c r="K163" s="102"/>
      <c r="L163" s="102"/>
      <c r="M163" s="102"/>
      <c r="O163" s="102"/>
      <c r="P163" s="102"/>
    </row>
    <row r="164" spans="2:16" ht="18" customHeight="1">
      <c r="B164" s="48" t="s">
        <v>46</v>
      </c>
      <c r="C164" s="50">
        <v>181.72</v>
      </c>
      <c r="D164" s="50" t="s">
        <v>47</v>
      </c>
      <c r="E164" s="49">
        <f>ROUND(C163*(C164/1000),2)</f>
        <v>0</v>
      </c>
      <c r="F164" s="50" t="s">
        <v>48</v>
      </c>
      <c r="G164" s="50">
        <f>G$23</f>
        <v>10</v>
      </c>
      <c r="H164" s="52" t="s">
        <v>49</v>
      </c>
      <c r="I164" s="53">
        <f>E164*G164</f>
        <v>0</v>
      </c>
      <c r="J164" s="102"/>
      <c r="K164" s="102"/>
      <c r="L164" s="102"/>
      <c r="M164" s="102"/>
      <c r="O164" s="102"/>
      <c r="P164" s="102"/>
    </row>
    <row r="165" spans="2:16" ht="18" customHeight="1">
      <c r="B165" s="48" t="s">
        <v>50</v>
      </c>
      <c r="C165" s="50"/>
      <c r="D165" s="50" t="s">
        <v>51</v>
      </c>
      <c r="E165" s="49">
        <f>ROUND(C163*(C165/1000),2)</f>
        <v>0</v>
      </c>
      <c r="F165" s="50" t="s">
        <v>48</v>
      </c>
      <c r="G165" s="50">
        <f>G$24</f>
        <v>10</v>
      </c>
      <c r="H165" s="52" t="s">
        <v>49</v>
      </c>
      <c r="I165" s="53">
        <f>E165*G165</f>
        <v>0</v>
      </c>
      <c r="K165" s="43">
        <f>J165*E165</f>
        <v>0</v>
      </c>
    </row>
    <row r="166" spans="2:16" ht="18" customHeight="1">
      <c r="B166" s="23" t="s">
        <v>36</v>
      </c>
      <c r="C166" s="252" t="s">
        <v>14</v>
      </c>
      <c r="D166" s="252" t="s">
        <v>37</v>
      </c>
      <c r="E166" s="252" t="s">
        <v>71</v>
      </c>
      <c r="F166" s="252" t="s">
        <v>38</v>
      </c>
      <c r="G166" s="252" t="s">
        <v>72</v>
      </c>
      <c r="H166" s="252" t="s">
        <v>22</v>
      </c>
      <c r="I166" s="25" t="s">
        <v>40</v>
      </c>
    </row>
    <row r="167" spans="2:16" ht="18" customHeight="1">
      <c r="B167" s="648" t="s">
        <v>100</v>
      </c>
      <c r="C167" s="649" t="s">
        <v>101</v>
      </c>
      <c r="D167" s="250"/>
      <c r="E167" s="250"/>
      <c r="F167" s="250"/>
      <c r="G167" s="250"/>
      <c r="H167" s="28">
        <v>6.3E-2</v>
      </c>
      <c r="I167" s="59">
        <f>ROUND((D167*E167+F167*G167)/1000*H167,3)</f>
        <v>0</v>
      </c>
    </row>
    <row r="168" spans="2:16" ht="18" customHeight="1">
      <c r="B168" s="648"/>
      <c r="C168" s="650"/>
      <c r="D168" s="250"/>
      <c r="E168" s="250"/>
      <c r="F168" s="250"/>
      <c r="G168" s="250"/>
      <c r="H168" s="28">
        <f>H167</f>
        <v>6.3E-2</v>
      </c>
      <c r="I168" s="59">
        <f>ROUND((D168*E168+F168*G168)/1000*H168,3)</f>
        <v>0</v>
      </c>
    </row>
    <row r="169" spans="2:16" ht="18" customHeight="1">
      <c r="B169" s="648"/>
      <c r="C169" s="651"/>
      <c r="D169" s="250"/>
      <c r="E169" s="250"/>
      <c r="F169" s="250"/>
      <c r="G169" s="250"/>
      <c r="H169" s="28">
        <f>H168</f>
        <v>6.3E-2</v>
      </c>
      <c r="I169" s="59">
        <f>ROUND((D169*E169+F169*G169)/1000*H169,3)</f>
        <v>0</v>
      </c>
    </row>
    <row r="170" spans="2:16" ht="18" customHeight="1">
      <c r="B170" s="48" t="s">
        <v>42</v>
      </c>
      <c r="C170" s="49">
        <f>SUMPRODUCT(D167:D169*E167:E169+F167:F169*G167:G169)/1000</f>
        <v>0</v>
      </c>
      <c r="D170" s="50" t="s">
        <v>43</v>
      </c>
      <c r="E170" s="49">
        <f>SUM(I167:I169)*1.1</f>
        <v>0</v>
      </c>
      <c r="F170" s="50" t="s">
        <v>44</v>
      </c>
      <c r="G170" s="51">
        <f>(C$218+$C$222)/1000</f>
        <v>39.781500000000001</v>
      </c>
      <c r="H170" s="52" t="s">
        <v>45</v>
      </c>
      <c r="I170" s="53">
        <f>ROUND(E170*G170,2)</f>
        <v>0</v>
      </c>
    </row>
    <row r="171" spans="2:16" ht="18" customHeight="1">
      <c r="B171" s="48" t="s">
        <v>46</v>
      </c>
      <c r="C171" s="50">
        <v>105.66</v>
      </c>
      <c r="D171" s="50" t="s">
        <v>47</v>
      </c>
      <c r="E171" s="49">
        <f>ROUND(C170*(C171/1000),2)</f>
        <v>0</v>
      </c>
      <c r="F171" s="50" t="s">
        <v>48</v>
      </c>
      <c r="G171" s="50">
        <f>G$23</f>
        <v>10</v>
      </c>
      <c r="H171" s="52" t="s">
        <v>49</v>
      </c>
      <c r="I171" s="53">
        <f>E171*G171</f>
        <v>0</v>
      </c>
    </row>
    <row r="172" spans="2:16" ht="18" customHeight="1">
      <c r="B172" s="48" t="s">
        <v>50</v>
      </c>
      <c r="C172" s="50">
        <v>125.66</v>
      </c>
      <c r="D172" s="50" t="s">
        <v>51</v>
      </c>
      <c r="E172" s="49">
        <f>ROUND(C170*(C172/1000),2)</f>
        <v>0</v>
      </c>
      <c r="F172" s="50" t="s">
        <v>48</v>
      </c>
      <c r="G172" s="50">
        <f>G$24</f>
        <v>10</v>
      </c>
      <c r="H172" s="52" t="s">
        <v>49</v>
      </c>
      <c r="I172" s="53">
        <f>E172*G172</f>
        <v>0</v>
      </c>
    </row>
    <row r="173" spans="2:16" ht="18" customHeight="1">
      <c r="B173" s="23" t="s">
        <v>36</v>
      </c>
      <c r="C173" s="252" t="s">
        <v>14</v>
      </c>
      <c r="D173" s="252" t="s">
        <v>37</v>
      </c>
      <c r="E173" s="252" t="s">
        <v>71</v>
      </c>
      <c r="F173" s="252" t="s">
        <v>38</v>
      </c>
      <c r="G173" s="252" t="s">
        <v>72</v>
      </c>
      <c r="H173" s="252" t="s">
        <v>22</v>
      </c>
      <c r="I173" s="25" t="s">
        <v>40</v>
      </c>
    </row>
    <row r="174" spans="2:16" ht="18" customHeight="1">
      <c r="B174" s="648" t="s">
        <v>102</v>
      </c>
      <c r="C174" s="649" t="s">
        <v>103</v>
      </c>
      <c r="D174" s="250">
        <f>D6</f>
        <v>2220</v>
      </c>
      <c r="E174" s="250"/>
      <c r="F174" s="250"/>
      <c r="G174" s="250"/>
      <c r="H174" s="28">
        <v>1.0980000000000001</v>
      </c>
      <c r="I174" s="59">
        <f>ROUND((D174*E174+F174*G174)/1000*H174,3)</f>
        <v>0</v>
      </c>
    </row>
    <row r="175" spans="2:16" ht="18" customHeight="1">
      <c r="B175" s="648"/>
      <c r="C175" s="650"/>
      <c r="D175" s="250"/>
      <c r="E175" s="250"/>
      <c r="F175" s="250"/>
      <c r="G175" s="250"/>
      <c r="H175" s="28">
        <f>H174</f>
        <v>1.0980000000000001</v>
      </c>
      <c r="I175" s="59">
        <f>ROUND((D175*E175+F175*G175)/1000*H175,3)</f>
        <v>0</v>
      </c>
    </row>
    <row r="176" spans="2:16" ht="18" customHeight="1">
      <c r="B176" s="648"/>
      <c r="C176" s="651"/>
      <c r="D176" s="250"/>
      <c r="E176" s="250"/>
      <c r="F176" s="250"/>
      <c r="G176" s="250"/>
      <c r="H176" s="28">
        <f>H175</f>
        <v>1.0980000000000001</v>
      </c>
      <c r="I176" s="59">
        <f>ROUND((D176*E176+F176*G176)/1000*H176,3)</f>
        <v>0</v>
      </c>
    </row>
    <row r="177" spans="2:9" ht="18" customHeight="1">
      <c r="B177" s="48" t="s">
        <v>42</v>
      </c>
      <c r="C177" s="49">
        <f>SUMPRODUCT(D174:D176*E174:E176+F174:F176*G174:G176)/1000</f>
        <v>0</v>
      </c>
      <c r="D177" s="50" t="s">
        <v>43</v>
      </c>
      <c r="E177" s="49">
        <f>SUM(I174:I176)*1.1</f>
        <v>0</v>
      </c>
      <c r="F177" s="50" t="s">
        <v>44</v>
      </c>
      <c r="G177" s="51">
        <f>(C$218+C$219)/1000</f>
        <v>46.081499999999998</v>
      </c>
      <c r="H177" s="52" t="s">
        <v>45</v>
      </c>
      <c r="I177" s="53">
        <f>ROUND(E177*G177,2)</f>
        <v>0</v>
      </c>
    </row>
    <row r="178" spans="2:9" ht="18" customHeight="1">
      <c r="B178" s="48" t="s">
        <v>46</v>
      </c>
      <c r="C178" s="50">
        <v>105.66</v>
      </c>
      <c r="D178" s="50" t="s">
        <v>47</v>
      </c>
      <c r="E178" s="49">
        <f>ROUND(C177*(C178/1000),2)</f>
        <v>0</v>
      </c>
      <c r="F178" s="50" t="s">
        <v>48</v>
      </c>
      <c r="G178" s="50">
        <f>G$23</f>
        <v>10</v>
      </c>
      <c r="H178" s="52" t="s">
        <v>49</v>
      </c>
      <c r="I178" s="53">
        <f>E178*G178</f>
        <v>0</v>
      </c>
    </row>
    <row r="179" spans="2:9" ht="18" customHeight="1">
      <c r="B179" s="48" t="s">
        <v>50</v>
      </c>
      <c r="C179" s="50">
        <v>125.66</v>
      </c>
      <c r="D179" s="50" t="s">
        <v>51</v>
      </c>
      <c r="E179" s="49">
        <f>ROUND(C177*(C179/1000),2)</f>
        <v>0</v>
      </c>
      <c r="F179" s="50" t="s">
        <v>48</v>
      </c>
      <c r="G179" s="50">
        <f>G$24</f>
        <v>10</v>
      </c>
      <c r="H179" s="52" t="s">
        <v>49</v>
      </c>
      <c r="I179" s="53">
        <f>E179*G179</f>
        <v>0</v>
      </c>
    </row>
    <row r="180" spans="2:9" ht="18" customHeight="1">
      <c r="B180" s="23" t="s">
        <v>36</v>
      </c>
      <c r="C180" s="252" t="s">
        <v>14</v>
      </c>
      <c r="D180" s="252" t="s">
        <v>37</v>
      </c>
      <c r="E180" s="252" t="s">
        <v>71</v>
      </c>
      <c r="F180" s="252" t="s">
        <v>38</v>
      </c>
      <c r="G180" s="252" t="s">
        <v>72</v>
      </c>
      <c r="H180" s="252" t="s">
        <v>22</v>
      </c>
      <c r="I180" s="25" t="s">
        <v>40</v>
      </c>
    </row>
    <row r="181" spans="2:9" ht="18" customHeight="1">
      <c r="B181" s="648" t="s">
        <v>104</v>
      </c>
      <c r="C181" s="649" t="s">
        <v>105</v>
      </c>
      <c r="D181" s="250">
        <f>D174</f>
        <v>2220</v>
      </c>
      <c r="E181" s="250">
        <v>1</v>
      </c>
      <c r="F181" s="250">
        <f>E14</f>
        <v>1150</v>
      </c>
      <c r="G181" s="250"/>
      <c r="H181" s="28">
        <v>1.5629999999999999</v>
      </c>
      <c r="I181" s="59">
        <f>ROUND((D181*E181+F181*G181)/1000*H181,3)</f>
        <v>3.47</v>
      </c>
    </row>
    <row r="182" spans="2:9" ht="18" customHeight="1">
      <c r="B182" s="648"/>
      <c r="C182" s="650"/>
      <c r="D182" s="250"/>
      <c r="E182" s="250"/>
      <c r="F182" s="250"/>
      <c r="G182" s="250"/>
      <c r="H182" s="28">
        <f>H181</f>
        <v>1.5629999999999999</v>
      </c>
      <c r="I182" s="59">
        <f>ROUND((D182*E182+F182*G182)/1000*H182,3)</f>
        <v>0</v>
      </c>
    </row>
    <row r="183" spans="2:9" ht="18" customHeight="1">
      <c r="B183" s="648"/>
      <c r="C183" s="651"/>
      <c r="D183" s="250"/>
      <c r="E183" s="250"/>
      <c r="F183" s="250"/>
      <c r="G183" s="250"/>
      <c r="H183" s="28">
        <f>H182</f>
        <v>1.5629999999999999</v>
      </c>
      <c r="I183" s="59">
        <f>ROUND((D183*E183+F183*G183)/1000*H183,3)</f>
        <v>0</v>
      </c>
    </row>
    <row r="184" spans="2:9" ht="18" customHeight="1">
      <c r="B184" s="48" t="s">
        <v>42</v>
      </c>
      <c r="C184" s="49">
        <f>SUMPRODUCT(D181:D183*E181:E183+F181:F183*G181:G183)/1000</f>
        <v>2.2200000000000002</v>
      </c>
      <c r="D184" s="50" t="s">
        <v>43</v>
      </c>
      <c r="E184" s="49">
        <f>SUM(I181:I183)*1.1</f>
        <v>3.8170000000000006</v>
      </c>
      <c r="F184" s="50" t="s">
        <v>44</v>
      </c>
      <c r="G184" s="51">
        <f>(C$218+C$219)/1000</f>
        <v>46.081499999999998</v>
      </c>
      <c r="H184" s="52" t="s">
        <v>45</v>
      </c>
      <c r="I184" s="53">
        <f>ROUND(E184*G184,2)</f>
        <v>175.89</v>
      </c>
    </row>
    <row r="185" spans="2:9" ht="18" customHeight="1">
      <c r="B185" s="48" t="s">
        <v>46</v>
      </c>
      <c r="C185" s="50">
        <v>105.66</v>
      </c>
      <c r="D185" s="50" t="s">
        <v>47</v>
      </c>
      <c r="E185" s="49">
        <f>ROUND(C184*(C185/1000),2)</f>
        <v>0.23</v>
      </c>
      <c r="F185" s="50" t="s">
        <v>48</v>
      </c>
      <c r="G185" s="50">
        <f>G$23</f>
        <v>10</v>
      </c>
      <c r="H185" s="52" t="s">
        <v>49</v>
      </c>
      <c r="I185" s="53">
        <f>E185*G185</f>
        <v>2.3000000000000003</v>
      </c>
    </row>
    <row r="186" spans="2:9" ht="18" customHeight="1">
      <c r="B186" s="48" t="s">
        <v>50</v>
      </c>
      <c r="C186" s="50">
        <v>125.66</v>
      </c>
      <c r="D186" s="50" t="s">
        <v>51</v>
      </c>
      <c r="E186" s="49">
        <f>ROUND(C184*(C186/1000),2)</f>
        <v>0.28000000000000003</v>
      </c>
      <c r="F186" s="50" t="s">
        <v>48</v>
      </c>
      <c r="G186" s="50">
        <f>G$24</f>
        <v>10</v>
      </c>
      <c r="H186" s="52" t="s">
        <v>49</v>
      </c>
      <c r="I186" s="53">
        <f>E186*G186</f>
        <v>2.8000000000000003</v>
      </c>
    </row>
    <row r="187" spans="2:9" ht="18" customHeight="1">
      <c r="B187" s="23" t="s">
        <v>36</v>
      </c>
      <c r="C187" s="252" t="s">
        <v>14</v>
      </c>
      <c r="D187" s="252" t="s">
        <v>37</v>
      </c>
      <c r="E187" s="252" t="s">
        <v>71</v>
      </c>
      <c r="F187" s="252" t="s">
        <v>38</v>
      </c>
      <c r="G187" s="252" t="s">
        <v>72</v>
      </c>
      <c r="H187" s="252" t="s">
        <v>22</v>
      </c>
      <c r="I187" s="25" t="s">
        <v>40</v>
      </c>
    </row>
    <row r="188" spans="2:9" ht="18" customHeight="1">
      <c r="B188" s="648" t="s">
        <v>106</v>
      </c>
      <c r="C188" s="649" t="s">
        <v>107</v>
      </c>
      <c r="D188" s="250"/>
      <c r="E188" s="250"/>
      <c r="F188" s="250"/>
      <c r="G188" s="250"/>
      <c r="H188" s="28">
        <v>1.732</v>
      </c>
      <c r="I188" s="59">
        <f>ROUND((D188*E188+F188*G188)/1000*H188,3)</f>
        <v>0</v>
      </c>
    </row>
    <row r="189" spans="2:9" ht="18" customHeight="1">
      <c r="B189" s="648"/>
      <c r="C189" s="650"/>
      <c r="D189" s="250"/>
      <c r="E189" s="250"/>
      <c r="F189" s="250"/>
      <c r="G189" s="250"/>
      <c r="H189" s="28">
        <f>H188</f>
        <v>1.732</v>
      </c>
      <c r="I189" s="59">
        <f>ROUND((D189*E189+F189*G189)/1000*H189,3)</f>
        <v>0</v>
      </c>
    </row>
    <row r="190" spans="2:9" ht="18" customHeight="1">
      <c r="B190" s="648"/>
      <c r="C190" s="651"/>
      <c r="D190" s="250"/>
      <c r="E190" s="250"/>
      <c r="F190" s="250">
        <f>E6</f>
        <v>3720</v>
      </c>
      <c r="G190" s="250"/>
      <c r="H190" s="28">
        <f>H189</f>
        <v>1.732</v>
      </c>
      <c r="I190" s="59">
        <f>ROUND((D190*E190+F190*G190)/1000*H190,3)</f>
        <v>0</v>
      </c>
    </row>
    <row r="191" spans="2:9" ht="18" customHeight="1">
      <c r="B191" s="48" t="s">
        <v>42</v>
      </c>
      <c r="C191" s="49">
        <f>SUMPRODUCT(D188:D190*E188:E190+F188:F190*G188:G190)/1000</f>
        <v>0</v>
      </c>
      <c r="D191" s="50" t="s">
        <v>43</v>
      </c>
      <c r="E191" s="49">
        <f>SUM(I188:I190)*1.1</f>
        <v>0</v>
      </c>
      <c r="F191" s="50" t="s">
        <v>44</v>
      </c>
      <c r="G191" s="51">
        <f>(C$218+C$219)/1000</f>
        <v>46.081499999999998</v>
      </c>
      <c r="H191" s="52" t="s">
        <v>45</v>
      </c>
      <c r="I191" s="53">
        <f>ROUND(E191*G191,2)</f>
        <v>0</v>
      </c>
    </row>
    <row r="192" spans="2:9" ht="18" customHeight="1">
      <c r="B192" s="48" t="s">
        <v>46</v>
      </c>
      <c r="C192" s="50">
        <v>105.66</v>
      </c>
      <c r="D192" s="50" t="s">
        <v>47</v>
      </c>
      <c r="E192" s="49">
        <f>ROUND(C191*(C192/1000),2)</f>
        <v>0</v>
      </c>
      <c r="F192" s="50" t="s">
        <v>48</v>
      </c>
      <c r="G192" s="50">
        <f>G$23</f>
        <v>10</v>
      </c>
      <c r="H192" s="52" t="s">
        <v>49</v>
      </c>
      <c r="I192" s="53">
        <f>E192*G192</f>
        <v>0</v>
      </c>
    </row>
    <row r="193" spans="2:15" ht="18" customHeight="1">
      <c r="B193" s="48" t="s">
        <v>50</v>
      </c>
      <c r="C193" s="50">
        <v>125.66</v>
      </c>
      <c r="D193" s="50" t="s">
        <v>51</v>
      </c>
      <c r="E193" s="49">
        <f>ROUND(C191*(C193/1000),2)</f>
        <v>0</v>
      </c>
      <c r="F193" s="50" t="s">
        <v>48</v>
      </c>
      <c r="G193" s="50">
        <f>G$24</f>
        <v>10</v>
      </c>
      <c r="H193" s="52" t="s">
        <v>49</v>
      </c>
      <c r="I193" s="53">
        <f>E193*G193</f>
        <v>0</v>
      </c>
    </row>
    <row r="194" spans="2:15" ht="18" customHeight="1">
      <c r="B194" s="23" t="s">
        <v>36</v>
      </c>
      <c r="C194" s="252" t="s">
        <v>14</v>
      </c>
      <c r="D194" s="652" t="s">
        <v>38</v>
      </c>
      <c r="E194" s="652"/>
      <c r="F194" s="652"/>
      <c r="G194" s="252" t="s">
        <v>72</v>
      </c>
      <c r="H194" s="252" t="s">
        <v>22</v>
      </c>
      <c r="I194" s="25" t="s">
        <v>40</v>
      </c>
    </row>
    <row r="195" spans="2:15" ht="18" customHeight="1">
      <c r="B195" s="643" t="s">
        <v>108</v>
      </c>
      <c r="C195" s="645" t="s">
        <v>109</v>
      </c>
      <c r="D195" s="646"/>
      <c r="E195" s="646"/>
      <c r="F195" s="646"/>
      <c r="G195" s="250"/>
      <c r="H195" s="250">
        <v>1.796</v>
      </c>
      <c r="I195" s="59">
        <f>ROUND((D195*G195*H195)/1000,3)</f>
        <v>0</v>
      </c>
    </row>
    <row r="196" spans="2:15" ht="18" customHeight="1">
      <c r="B196" s="644"/>
      <c r="C196" s="640"/>
      <c r="D196" s="646"/>
      <c r="E196" s="646"/>
      <c r="F196" s="646"/>
      <c r="G196" s="250"/>
      <c r="H196" s="250">
        <f>H195</f>
        <v>1.796</v>
      </c>
      <c r="I196" s="59">
        <f>ROUND((D196*G196*H196)/1000,3)</f>
        <v>0</v>
      </c>
    </row>
    <row r="197" spans="2:15" ht="18" customHeight="1">
      <c r="B197" s="643" t="s">
        <v>110</v>
      </c>
      <c r="C197" s="645" t="s">
        <v>111</v>
      </c>
      <c r="D197" s="646"/>
      <c r="E197" s="646"/>
      <c r="F197" s="646"/>
      <c r="G197" s="250"/>
      <c r="H197" s="250">
        <v>1.355</v>
      </c>
      <c r="I197" s="59"/>
    </row>
    <row r="198" spans="2:15" ht="18" customHeight="1">
      <c r="B198" s="644"/>
      <c r="C198" s="640"/>
      <c r="D198" s="646"/>
      <c r="E198" s="646"/>
      <c r="F198" s="646"/>
      <c r="G198" s="250"/>
      <c r="H198" s="250">
        <f>H197</f>
        <v>1.355</v>
      </c>
      <c r="I198" s="59"/>
    </row>
    <row r="199" spans="2:15" ht="18" customHeight="1">
      <c r="B199" s="48" t="s">
        <v>42</v>
      </c>
      <c r="C199" s="49">
        <f>SUMPRODUCT(D195:F198*G195:G198)/1000</f>
        <v>0</v>
      </c>
      <c r="D199" s="50" t="s">
        <v>43</v>
      </c>
      <c r="E199" s="49">
        <f>SUM(I195:I198)*1.1</f>
        <v>0</v>
      </c>
      <c r="F199" s="50" t="s">
        <v>44</v>
      </c>
      <c r="G199" s="51">
        <f>(C$218+C$219)/1000</f>
        <v>46.081499999999998</v>
      </c>
      <c r="H199" s="52" t="s">
        <v>45</v>
      </c>
      <c r="I199" s="53">
        <f>ROUND(E199*G199,2)</f>
        <v>0</v>
      </c>
    </row>
    <row r="200" spans="2:15" ht="18" customHeight="1">
      <c r="B200" s="48" t="s">
        <v>46</v>
      </c>
      <c r="C200" s="50">
        <v>267.77999999999997</v>
      </c>
      <c r="D200" s="50" t="s">
        <v>47</v>
      </c>
      <c r="E200" s="49">
        <f>ROUND(C199*(C200/1000),2)</f>
        <v>0</v>
      </c>
      <c r="F200" s="50" t="s">
        <v>48</v>
      </c>
      <c r="G200" s="50">
        <f>G$23</f>
        <v>10</v>
      </c>
      <c r="H200" s="52" t="s">
        <v>49</v>
      </c>
      <c r="I200" s="53">
        <f>E200*G200</f>
        <v>0</v>
      </c>
    </row>
    <row r="201" spans="2:15" ht="18" customHeight="1">
      <c r="B201" s="48" t="s">
        <v>50</v>
      </c>
      <c r="C201" s="50">
        <v>104.29</v>
      </c>
      <c r="D201" s="50" t="s">
        <v>51</v>
      </c>
      <c r="E201" s="49">
        <f>ROUND(C199*(C201/1000),2)</f>
        <v>0</v>
      </c>
      <c r="F201" s="50" t="s">
        <v>48</v>
      </c>
      <c r="G201" s="50">
        <f>G$24</f>
        <v>10</v>
      </c>
      <c r="H201" s="52" t="s">
        <v>49</v>
      </c>
      <c r="I201" s="53">
        <f>E201*G201</f>
        <v>0</v>
      </c>
    </row>
    <row r="202" spans="2:15" ht="18" customHeight="1">
      <c r="B202" s="103" t="s">
        <v>112</v>
      </c>
      <c r="C202" s="104" t="s">
        <v>113</v>
      </c>
      <c r="D202" s="104" t="s">
        <v>28</v>
      </c>
      <c r="E202" s="104" t="s">
        <v>8</v>
      </c>
      <c r="F202" s="104" t="s">
        <v>112</v>
      </c>
      <c r="G202" s="104" t="s">
        <v>113</v>
      </c>
      <c r="H202" s="104" t="s">
        <v>28</v>
      </c>
      <c r="I202" s="105" t="s">
        <v>8</v>
      </c>
      <c r="N202" s="106"/>
      <c r="O202" s="102"/>
    </row>
    <row r="203" spans="2:15" ht="18" customHeight="1">
      <c r="B203" s="251" t="s">
        <v>327</v>
      </c>
      <c r="C203" s="107" t="s">
        <v>114</v>
      </c>
      <c r="D203" s="108">
        <v>2.15</v>
      </c>
      <c r="E203" s="253">
        <f>SUM(G14:G21)*4</f>
        <v>4</v>
      </c>
      <c r="F203" s="647" t="s">
        <v>115</v>
      </c>
      <c r="G203" s="107" t="s">
        <v>116</v>
      </c>
      <c r="H203" s="108">
        <v>2.46</v>
      </c>
      <c r="I203" s="247">
        <f>SUM(G108:G111)*4</f>
        <v>4</v>
      </c>
      <c r="J203" s="42"/>
      <c r="N203" s="106"/>
      <c r="O203" s="102"/>
    </row>
    <row r="204" spans="2:15" ht="18" customHeight="1">
      <c r="B204" s="251" t="s">
        <v>328</v>
      </c>
      <c r="C204" s="107" t="s">
        <v>117</v>
      </c>
      <c r="D204" s="108">
        <v>1.72</v>
      </c>
      <c r="E204" s="253">
        <f>E203</f>
        <v>4</v>
      </c>
      <c r="F204" s="646"/>
      <c r="G204" s="107" t="s">
        <v>118</v>
      </c>
      <c r="H204" s="108">
        <v>3.11</v>
      </c>
      <c r="I204" s="247">
        <f>I203</f>
        <v>4</v>
      </c>
      <c r="J204" s="42"/>
      <c r="N204" s="106"/>
      <c r="O204" s="102"/>
    </row>
    <row r="205" spans="2:15" ht="18" customHeight="1">
      <c r="B205" s="109" t="s">
        <v>330</v>
      </c>
      <c r="C205" s="107" t="s">
        <v>119</v>
      </c>
      <c r="D205" s="108">
        <v>2.68</v>
      </c>
      <c r="E205" s="253">
        <f>SUM(G26:G30)*4</f>
        <v>0</v>
      </c>
      <c r="F205" s="110" t="s">
        <v>120</v>
      </c>
      <c r="G205" s="107" t="s">
        <v>121</v>
      </c>
      <c r="H205" s="111">
        <v>4.76</v>
      </c>
      <c r="I205" s="247">
        <f>SUM(G123:G125)*4</f>
        <v>0</v>
      </c>
      <c r="J205" s="42"/>
      <c r="N205" s="106"/>
      <c r="O205" s="102"/>
    </row>
    <row r="206" spans="2:15" ht="18" customHeight="1">
      <c r="B206" s="109" t="s">
        <v>329</v>
      </c>
      <c r="C206" s="107" t="s">
        <v>122</v>
      </c>
      <c r="D206" s="108">
        <v>1.27</v>
      </c>
      <c r="E206" s="253">
        <f>E205</f>
        <v>0</v>
      </c>
      <c r="F206" s="110" t="s">
        <v>123</v>
      </c>
      <c r="G206" s="107" t="s">
        <v>124</v>
      </c>
      <c r="H206" s="111">
        <v>3.85</v>
      </c>
      <c r="I206" s="247">
        <f>I205</f>
        <v>0</v>
      </c>
      <c r="J206" s="42"/>
      <c r="N206" s="106"/>
      <c r="O206" s="102"/>
    </row>
    <row r="207" spans="2:15" ht="18" customHeight="1">
      <c r="B207" s="109" t="s">
        <v>331</v>
      </c>
      <c r="C207" s="107" t="s">
        <v>125</v>
      </c>
      <c r="D207" s="111" t="s">
        <v>126</v>
      </c>
      <c r="E207" s="253">
        <f>SUM(G35:G37)*4</f>
        <v>0</v>
      </c>
      <c r="F207" s="110" t="s">
        <v>127</v>
      </c>
      <c r="G207" s="107" t="s">
        <v>128</v>
      </c>
      <c r="H207" s="111">
        <v>4.29</v>
      </c>
      <c r="I207" s="247">
        <f>SUM(G116:G118)*4</f>
        <v>8</v>
      </c>
      <c r="J207" s="42"/>
      <c r="N207" s="106"/>
      <c r="O207" s="102"/>
    </row>
    <row r="208" spans="2:15" ht="18" customHeight="1">
      <c r="B208" s="109" t="s">
        <v>332</v>
      </c>
      <c r="C208" s="107" t="s">
        <v>129</v>
      </c>
      <c r="D208" s="111" t="s">
        <v>130</v>
      </c>
      <c r="E208" s="253">
        <f>E207</f>
        <v>0</v>
      </c>
      <c r="F208" s="110" t="s">
        <v>131</v>
      </c>
      <c r="G208" s="107" t="s">
        <v>132</v>
      </c>
      <c r="H208" s="111">
        <v>4.5</v>
      </c>
      <c r="I208" s="247">
        <f>I207</f>
        <v>8</v>
      </c>
      <c r="J208" s="42"/>
      <c r="N208" s="106"/>
      <c r="O208" s="102"/>
    </row>
    <row r="209" spans="2:15" ht="18" customHeight="1">
      <c r="B209" s="249" t="s">
        <v>333</v>
      </c>
      <c r="C209" s="250">
        <v>12.6</v>
      </c>
      <c r="D209" s="111">
        <v>1.32</v>
      </c>
      <c r="E209" s="253">
        <f>SUM(G42:G47)*4</f>
        <v>0</v>
      </c>
      <c r="F209" s="639"/>
      <c r="G209" s="107"/>
      <c r="H209" s="28"/>
      <c r="I209" s="247"/>
      <c r="N209" s="106"/>
      <c r="O209" s="102"/>
    </row>
    <row r="210" spans="2:15" ht="18" customHeight="1">
      <c r="B210" s="249" t="s">
        <v>334</v>
      </c>
      <c r="C210" s="250">
        <v>15.8</v>
      </c>
      <c r="D210" s="111">
        <v>1.18</v>
      </c>
      <c r="E210" s="253">
        <f>E209</f>
        <v>0</v>
      </c>
      <c r="F210" s="640"/>
      <c r="G210" s="107"/>
      <c r="H210" s="28"/>
      <c r="I210" s="231"/>
      <c r="N210" s="106"/>
      <c r="O210" s="102"/>
    </row>
    <row r="211" spans="2:15" ht="18" customHeight="1">
      <c r="B211" s="251" t="s">
        <v>335</v>
      </c>
      <c r="C211" s="107" t="s">
        <v>337</v>
      </c>
      <c r="D211" s="111">
        <v>2.81</v>
      </c>
      <c r="E211" s="250">
        <f>SUM(E52+E53+E54+E55+G52+G53+G54+G55+G60+G61+G62+G63)*2</f>
        <v>0</v>
      </c>
      <c r="F211" s="641" t="s">
        <v>133</v>
      </c>
      <c r="G211" s="111">
        <f>SUMPRODUCT(D35:D37,G35:G37)/1000</f>
        <v>0</v>
      </c>
      <c r="H211" s="28">
        <v>0.16</v>
      </c>
      <c r="I211" s="232">
        <f>G211*H211</f>
        <v>0</v>
      </c>
      <c r="N211" s="106"/>
      <c r="O211" s="102"/>
    </row>
    <row r="212" spans="2:15" ht="18" customHeight="1">
      <c r="B212" s="251" t="s">
        <v>336</v>
      </c>
      <c r="C212" s="107" t="s">
        <v>338</v>
      </c>
      <c r="D212" s="111">
        <v>3.51</v>
      </c>
      <c r="E212" s="250">
        <f>E211</f>
        <v>0</v>
      </c>
      <c r="F212" s="641"/>
      <c r="G212" s="111">
        <f>SUMPRODUCT(D26:D30,G26:G30)/1000</f>
        <v>0</v>
      </c>
      <c r="H212" s="28">
        <v>0.16</v>
      </c>
      <c r="I212" s="232">
        <f>G212*H212</f>
        <v>0</v>
      </c>
      <c r="N212" s="106"/>
      <c r="O212" s="102"/>
    </row>
    <row r="213" spans="2:15" ht="18" customHeight="1">
      <c r="B213" s="251" t="s">
        <v>134</v>
      </c>
      <c r="C213" s="250">
        <v>30.6</v>
      </c>
      <c r="D213" s="111">
        <v>2.81</v>
      </c>
      <c r="E213" s="253">
        <f>SUM(+E130+E131+E132+G130+G131+G132)*2</f>
        <v>0</v>
      </c>
      <c r="F213" s="641" t="s">
        <v>135</v>
      </c>
      <c r="G213" s="111">
        <f>SUMPRODUCT(E26:E30,G26:G30)/1000</f>
        <v>0</v>
      </c>
      <c r="H213" s="28">
        <v>0.16</v>
      </c>
      <c r="I213" s="232">
        <f>G213*H213</f>
        <v>0</v>
      </c>
      <c r="N213" s="106"/>
      <c r="O213" s="102"/>
    </row>
    <row r="214" spans="2:15" ht="18" customHeight="1">
      <c r="B214" s="251" t="s">
        <v>136</v>
      </c>
      <c r="C214" s="250">
        <v>30.6</v>
      </c>
      <c r="D214" s="111">
        <v>3.51</v>
      </c>
      <c r="E214" s="253">
        <f>E213</f>
        <v>0</v>
      </c>
      <c r="F214" s="641"/>
      <c r="G214" s="111">
        <f>SUMPRODUCT(E35:E37,G35:G37)/1000</f>
        <v>0</v>
      </c>
      <c r="H214" s="28">
        <v>0.16</v>
      </c>
      <c r="I214" s="232">
        <f>G214*H214</f>
        <v>0</v>
      </c>
      <c r="N214" s="106"/>
      <c r="O214" s="102"/>
    </row>
    <row r="215" spans="2:15" ht="18" customHeight="1">
      <c r="B215" s="52" t="s">
        <v>137</v>
      </c>
      <c r="C215" s="112" cm="1">
        <f t="array" ref="C215">SUMPRODUCT(D203:D214*E203:E214)+SUMPRODUCT(H203:H210*I203:I210)</f>
        <v>108.08</v>
      </c>
      <c r="D215" s="52"/>
      <c r="E215" s="52"/>
      <c r="F215" s="52"/>
      <c r="G215" s="52" t="s">
        <v>138</v>
      </c>
      <c r="H215" s="52" cm="1">
        <f t="array" ref="H215">SUMPRODUCT(G211:G214*H211:H214)</f>
        <v>0</v>
      </c>
      <c r="I215" s="233">
        <f>H215*1.08</f>
        <v>0</v>
      </c>
      <c r="N215" s="106"/>
      <c r="O215" s="102"/>
    </row>
    <row r="216" spans="2:15" ht="18" customHeight="1">
      <c r="B216" s="23" t="s">
        <v>139</v>
      </c>
      <c r="C216" s="252" t="s">
        <v>14</v>
      </c>
      <c r="D216" s="252" t="s">
        <v>22</v>
      </c>
      <c r="E216" s="252" t="s">
        <v>8</v>
      </c>
      <c r="F216" s="252" t="s">
        <v>113</v>
      </c>
      <c r="G216" s="252" t="s">
        <v>40</v>
      </c>
      <c r="H216" s="252" t="s">
        <v>28</v>
      </c>
      <c r="I216" s="25" t="s">
        <v>29</v>
      </c>
      <c r="N216" s="106"/>
      <c r="O216" s="102"/>
    </row>
    <row r="217" spans="2:15" ht="18" customHeight="1">
      <c r="B217" s="48" t="s">
        <v>140</v>
      </c>
      <c r="C217" s="52" t="s">
        <v>141</v>
      </c>
      <c r="D217" s="50">
        <v>0.14199999999999999</v>
      </c>
      <c r="E217" s="50">
        <v>1</v>
      </c>
      <c r="F217" s="50">
        <f>D6</f>
        <v>2220</v>
      </c>
      <c r="G217" s="128">
        <f>D217*F217*E217/1000*1.1</f>
        <v>0.34676400000000002</v>
      </c>
      <c r="H217" s="52">
        <f>(C218+C222)/1000</f>
        <v>39.781500000000001</v>
      </c>
      <c r="I217" s="193">
        <f>G217*H217</f>
        <v>13.794792066000001</v>
      </c>
      <c r="N217" s="106"/>
      <c r="O217" s="102"/>
    </row>
    <row r="218" spans="2:15" ht="18" customHeight="1">
      <c r="B218" s="37" t="s">
        <v>142</v>
      </c>
      <c r="C218" s="113">
        <f>材料价格!B4</f>
        <v>22081.5</v>
      </c>
      <c r="D218" s="39" t="s">
        <v>143</v>
      </c>
      <c r="E218" s="114">
        <f>E139+E133+E126+E119+E112+E199+E177+E64+E56+E48+E38+E31+E22+E184+E191</f>
        <v>81.877399999999994</v>
      </c>
      <c r="F218" s="39" t="s">
        <v>144</v>
      </c>
      <c r="G218" s="115">
        <f>I218/E218-C218/1000</f>
        <v>24.000080509395751</v>
      </c>
      <c r="H218" s="39" t="s">
        <v>145</v>
      </c>
      <c r="I218" s="116">
        <f>I22+I31+I38+I48+I56+I64+I199+I112+I119+I126+I133+I139+I177+I184+I191</f>
        <v>3773.0399999999995</v>
      </c>
      <c r="N218" s="106"/>
      <c r="O218" s="102"/>
    </row>
    <row r="219" spans="2:15" ht="18" customHeight="1">
      <c r="B219" s="117" t="s">
        <v>146</v>
      </c>
      <c r="C219" s="118">
        <f>材料价格!B5</f>
        <v>24000</v>
      </c>
      <c r="D219" s="39" t="s">
        <v>147</v>
      </c>
      <c r="E219" s="114">
        <f>E163+E153+E146+E104+E97+E88+G217+E170</f>
        <v>6.6096140000000005</v>
      </c>
      <c r="F219" s="39" t="s">
        <v>148</v>
      </c>
      <c r="G219" s="119">
        <f>I219/E219-C218/1000</f>
        <v>17.700670648089279</v>
      </c>
      <c r="H219" s="39" t="s">
        <v>149</v>
      </c>
      <c r="I219" s="116">
        <f>I88+I97+I104+I146+I153+I163+I217+I170</f>
        <v>262.94479206599999</v>
      </c>
      <c r="N219" s="106"/>
      <c r="O219" s="102"/>
    </row>
    <row r="220" spans="2:15" ht="18" customHeight="1">
      <c r="B220" s="117" t="s">
        <v>150</v>
      </c>
      <c r="C220" s="118">
        <f>C219</f>
        <v>24000</v>
      </c>
      <c r="D220" s="39" t="s">
        <v>151</v>
      </c>
      <c r="E220" s="120">
        <f>I215</f>
        <v>0</v>
      </c>
      <c r="F220" s="39" t="s">
        <v>152</v>
      </c>
      <c r="G220" s="119" t="e">
        <f>I220/E220-C218/1000</f>
        <v>#DIV/0!</v>
      </c>
      <c r="H220" s="39" t="s">
        <v>153</v>
      </c>
      <c r="I220" s="116">
        <f>ROUND(E220*(C218+C223)/1000,2)</f>
        <v>0</v>
      </c>
      <c r="N220" s="106"/>
      <c r="O220" s="102"/>
    </row>
    <row r="221" spans="2:15" ht="18" customHeight="1">
      <c r="B221" s="117" t="s">
        <v>154</v>
      </c>
      <c r="C221" s="121">
        <f>C220</f>
        <v>24000</v>
      </c>
      <c r="D221" s="39" t="s">
        <v>155</v>
      </c>
      <c r="E221" s="39"/>
      <c r="F221" s="39" t="s">
        <v>156</v>
      </c>
      <c r="G221" s="39"/>
      <c r="H221" s="39" t="s">
        <v>49</v>
      </c>
      <c r="I221" s="116">
        <f>E221*G221</f>
        <v>0</v>
      </c>
      <c r="J221" s="42"/>
      <c r="K221" s="255"/>
    </row>
    <row r="222" spans="2:15" ht="18" customHeight="1">
      <c r="B222" s="117" t="s">
        <v>148</v>
      </c>
      <c r="C222" s="122">
        <f>材料价格!B6</f>
        <v>17700</v>
      </c>
      <c r="D222" s="39" t="s">
        <v>157</v>
      </c>
      <c r="E222" s="39"/>
      <c r="F222" s="39" t="s">
        <v>156</v>
      </c>
      <c r="G222" s="39"/>
      <c r="H222" s="39" t="s">
        <v>49</v>
      </c>
      <c r="I222" s="116">
        <f>E222*G222</f>
        <v>0</v>
      </c>
      <c r="J222" s="123"/>
      <c r="K222" s="123"/>
      <c r="L222" s="123"/>
    </row>
    <row r="223" spans="2:15" ht="18" customHeight="1">
      <c r="B223" s="117" t="s">
        <v>152</v>
      </c>
      <c r="C223" s="122">
        <f>材料价格!B9</f>
        <v>2900</v>
      </c>
      <c r="D223" s="39" t="s">
        <v>158</v>
      </c>
      <c r="E223" s="114">
        <f>SUM(E218:E220)</f>
        <v>88.487013999999988</v>
      </c>
      <c r="F223" s="39"/>
      <c r="G223" s="39" t="s">
        <v>339</v>
      </c>
      <c r="H223" s="39"/>
      <c r="I223" s="234">
        <f>SUM(I218:I222)+C215</f>
        <v>4144.0647920659994</v>
      </c>
      <c r="J223" s="123"/>
      <c r="K223" s="123"/>
      <c r="L223" s="123"/>
    </row>
    <row r="224" spans="2:15" ht="18" customHeight="1">
      <c r="B224" s="23" t="s">
        <v>159</v>
      </c>
      <c r="C224" s="252" t="s">
        <v>113</v>
      </c>
      <c r="D224" s="252" t="s">
        <v>16</v>
      </c>
      <c r="E224" s="252" t="s">
        <v>7</v>
      </c>
      <c r="F224" s="252" t="s">
        <v>8</v>
      </c>
      <c r="G224" s="252" t="s">
        <v>28</v>
      </c>
      <c r="H224" s="252" t="s">
        <v>160</v>
      </c>
      <c r="I224" s="25" t="s">
        <v>1</v>
      </c>
      <c r="J224" s="255"/>
      <c r="K224" s="255"/>
      <c r="L224" s="255"/>
      <c r="M224" s="255"/>
    </row>
    <row r="225" spans="2:13" ht="18" customHeight="1">
      <c r="B225" s="124" t="str">
        <f>材料价格!A10</f>
        <v>6单银Low-E+12A+6</v>
      </c>
      <c r="C225" s="253">
        <f t="shared" ref="C225:D229" si="25">D92</f>
        <v>-90</v>
      </c>
      <c r="D225" s="253">
        <f t="shared" si="25"/>
        <v>-90</v>
      </c>
      <c r="E225" s="32">
        <f>C225*D225/10^6</f>
        <v>8.0999999999999996E-3</v>
      </c>
      <c r="F225" s="250">
        <f>G26</f>
        <v>0</v>
      </c>
      <c r="G225" s="125">
        <f>材料价格!B10</f>
        <v>148</v>
      </c>
      <c r="H225" s="250">
        <f>ROUND(E225*G225*F225,2)</f>
        <v>0</v>
      </c>
      <c r="I225" s="247" t="s">
        <v>161</v>
      </c>
      <c r="J225" s="255"/>
      <c r="K225" s="255"/>
      <c r="L225" s="255"/>
      <c r="M225" s="255"/>
    </row>
    <row r="226" spans="2:13" ht="18" customHeight="1">
      <c r="B226" s="124" t="str">
        <f t="shared" ref="B226:B232" si="26">B225</f>
        <v>6单银Low-E+12A+6</v>
      </c>
      <c r="C226" s="253">
        <f t="shared" si="25"/>
        <v>-90</v>
      </c>
      <c r="D226" s="253">
        <f t="shared" si="25"/>
        <v>-90</v>
      </c>
      <c r="E226" s="32">
        <f t="shared" ref="E226:E284" si="27">C226*D226/10^6</f>
        <v>8.0999999999999996E-3</v>
      </c>
      <c r="F226" s="250">
        <f>G27</f>
        <v>0</v>
      </c>
      <c r="G226" s="126">
        <f t="shared" ref="G226:G232" si="28">G225</f>
        <v>148</v>
      </c>
      <c r="H226" s="250">
        <f t="shared" ref="H226:H241" si="29">ROUND(E226*G226*F226,2)</f>
        <v>0</v>
      </c>
      <c r="I226" s="247" t="s">
        <v>162</v>
      </c>
      <c r="J226" s="255"/>
      <c r="K226" s="255"/>
      <c r="L226" s="255"/>
      <c r="M226" s="255"/>
    </row>
    <row r="227" spans="2:13" ht="18" customHeight="1">
      <c r="B227" s="124" t="str">
        <f t="shared" si="26"/>
        <v>6单银Low-E+12A+6</v>
      </c>
      <c r="C227" s="253">
        <f t="shared" si="25"/>
        <v>-90</v>
      </c>
      <c r="D227" s="253">
        <f t="shared" si="25"/>
        <v>-90</v>
      </c>
      <c r="E227" s="32">
        <f t="shared" si="27"/>
        <v>8.0999999999999996E-3</v>
      </c>
      <c r="F227" s="250">
        <f>G28</f>
        <v>0</v>
      </c>
      <c r="G227" s="126">
        <f t="shared" si="28"/>
        <v>148</v>
      </c>
      <c r="H227" s="250">
        <f t="shared" si="29"/>
        <v>0</v>
      </c>
      <c r="I227" s="247" t="s">
        <v>162</v>
      </c>
      <c r="J227" s="255"/>
      <c r="K227" s="255"/>
      <c r="L227" s="255"/>
      <c r="M227" s="255"/>
    </row>
    <row r="228" spans="2:13" ht="18" customHeight="1">
      <c r="B228" s="124" t="str">
        <f t="shared" si="26"/>
        <v>6单银Low-E+12A+6</v>
      </c>
      <c r="C228" s="253">
        <f t="shared" si="25"/>
        <v>-90</v>
      </c>
      <c r="D228" s="253">
        <f t="shared" si="25"/>
        <v>-90</v>
      </c>
      <c r="E228" s="32">
        <f t="shared" si="27"/>
        <v>8.0999999999999996E-3</v>
      </c>
      <c r="F228" s="250">
        <f>G29</f>
        <v>0</v>
      </c>
      <c r="G228" s="126">
        <f t="shared" si="28"/>
        <v>148</v>
      </c>
      <c r="H228" s="250">
        <f t="shared" si="29"/>
        <v>0</v>
      </c>
      <c r="I228" s="247" t="s">
        <v>162</v>
      </c>
      <c r="J228" s="255"/>
      <c r="K228" s="255"/>
      <c r="L228" s="255"/>
      <c r="M228" s="255"/>
    </row>
    <row r="229" spans="2:13" ht="18" customHeight="1">
      <c r="B229" s="124" t="str">
        <f t="shared" si="26"/>
        <v>6单银Low-E+12A+6</v>
      </c>
      <c r="C229" s="253">
        <f t="shared" si="25"/>
        <v>-90</v>
      </c>
      <c r="D229" s="253">
        <f t="shared" si="25"/>
        <v>-90</v>
      </c>
      <c r="E229" s="32">
        <f t="shared" si="27"/>
        <v>8.0999999999999996E-3</v>
      </c>
      <c r="F229" s="250">
        <f>G30</f>
        <v>0</v>
      </c>
      <c r="G229" s="126">
        <f t="shared" si="28"/>
        <v>148</v>
      </c>
      <c r="H229" s="250">
        <f t="shared" si="29"/>
        <v>0</v>
      </c>
      <c r="I229" s="247" t="s">
        <v>162</v>
      </c>
      <c r="J229" s="123"/>
      <c r="K229" s="123"/>
      <c r="L229" s="123"/>
    </row>
    <row r="230" spans="2:13" ht="18" customHeight="1">
      <c r="B230" s="124" t="str">
        <f t="shared" si="26"/>
        <v>6单银Low-E+12A+6</v>
      </c>
      <c r="C230" s="253">
        <f t="shared" ref="C230:D232" si="30">D101</f>
        <v>-122</v>
      </c>
      <c r="D230" s="253">
        <f t="shared" si="30"/>
        <v>-122</v>
      </c>
      <c r="E230" s="32">
        <f t="shared" si="27"/>
        <v>1.4884E-2</v>
      </c>
      <c r="F230" s="250">
        <f>G101</f>
        <v>0</v>
      </c>
      <c r="G230" s="126">
        <f t="shared" si="28"/>
        <v>148</v>
      </c>
      <c r="H230" s="250">
        <f t="shared" si="29"/>
        <v>0</v>
      </c>
      <c r="I230" s="127" t="s">
        <v>163</v>
      </c>
      <c r="J230" s="123"/>
      <c r="K230" s="123"/>
      <c r="L230" s="123"/>
    </row>
    <row r="231" spans="2:13" ht="18" customHeight="1">
      <c r="B231" s="124" t="str">
        <f t="shared" si="26"/>
        <v>6单银Low-E+12A+6</v>
      </c>
      <c r="C231" s="253">
        <f t="shared" si="30"/>
        <v>-122</v>
      </c>
      <c r="D231" s="253">
        <f t="shared" si="30"/>
        <v>-122</v>
      </c>
      <c r="E231" s="32">
        <f t="shared" si="27"/>
        <v>1.4884E-2</v>
      </c>
      <c r="F231" s="250">
        <f>G102</f>
        <v>0</v>
      </c>
      <c r="G231" s="126">
        <f t="shared" si="28"/>
        <v>148</v>
      </c>
      <c r="H231" s="250">
        <f t="shared" si="29"/>
        <v>0</v>
      </c>
      <c r="I231" s="127" t="s">
        <v>163</v>
      </c>
    </row>
    <row r="232" spans="2:13" ht="18" customHeight="1">
      <c r="B232" s="124" t="str">
        <f t="shared" si="26"/>
        <v>6单银Low-E+12A+6</v>
      </c>
      <c r="C232" s="253">
        <f t="shared" si="30"/>
        <v>-122</v>
      </c>
      <c r="D232" s="253">
        <f t="shared" si="30"/>
        <v>-122</v>
      </c>
      <c r="E232" s="32">
        <f t="shared" si="27"/>
        <v>1.4884E-2</v>
      </c>
      <c r="F232" s="250">
        <f>G103</f>
        <v>0</v>
      </c>
      <c r="G232" s="126">
        <f t="shared" si="28"/>
        <v>148</v>
      </c>
      <c r="H232" s="250">
        <f t="shared" si="29"/>
        <v>0</v>
      </c>
      <c r="I232" s="127" t="s">
        <v>163</v>
      </c>
    </row>
    <row r="233" spans="2:13" ht="18" customHeight="1">
      <c r="B233" s="48" t="s">
        <v>164</v>
      </c>
      <c r="C233" s="52"/>
      <c r="D233" s="50"/>
      <c r="E233" s="128"/>
      <c r="F233" s="50">
        <f>SUM(F225:F232)</f>
        <v>0</v>
      </c>
      <c r="G233" s="50"/>
      <c r="H233" s="52">
        <f>SUM(H225:H232)</f>
        <v>0</v>
      </c>
      <c r="I233" s="53">
        <f>ROUND((E225*F225+E226*F226+E227*F227+E228*F228+E229*F229+E230*F230+E231*F231+E232*F232),2)</f>
        <v>0</v>
      </c>
    </row>
    <row r="234" spans="2:13" ht="18" customHeight="1">
      <c r="B234" s="124" t="str">
        <f>B232</f>
        <v>6单银Low-E+12A+6</v>
      </c>
      <c r="C234" s="253">
        <f>C225</f>
        <v>-90</v>
      </c>
      <c r="D234" s="253">
        <f>D225</f>
        <v>-90</v>
      </c>
      <c r="E234" s="32">
        <f t="shared" si="27"/>
        <v>8.0999999999999996E-3</v>
      </c>
      <c r="F234" s="250">
        <f>IF(F225=0,G26,0)</f>
        <v>0</v>
      </c>
      <c r="G234" s="126">
        <f>G232</f>
        <v>148</v>
      </c>
      <c r="H234" s="250">
        <f t="shared" si="29"/>
        <v>0</v>
      </c>
      <c r="I234" s="247" t="s">
        <v>165</v>
      </c>
      <c r="J234" s="129"/>
    </row>
    <row r="235" spans="2:13" ht="18" customHeight="1">
      <c r="B235" s="124" t="str">
        <f t="shared" ref="B235:B241" si="31">B234</f>
        <v>6单银Low-E+12A+6</v>
      </c>
      <c r="C235" s="253">
        <f t="shared" ref="C235:D241" si="32">C226</f>
        <v>-90</v>
      </c>
      <c r="D235" s="253">
        <f t="shared" si="32"/>
        <v>-90</v>
      </c>
      <c r="E235" s="32">
        <f t="shared" si="27"/>
        <v>8.0999999999999996E-3</v>
      </c>
      <c r="F235" s="250">
        <f>IF(F226=0,G27,0)</f>
        <v>0</v>
      </c>
      <c r="G235" s="126">
        <f>G234</f>
        <v>148</v>
      </c>
      <c r="H235" s="250">
        <f t="shared" si="29"/>
        <v>0</v>
      </c>
      <c r="I235" s="247" t="s">
        <v>165</v>
      </c>
      <c r="J235" s="129"/>
    </row>
    <row r="236" spans="2:13" ht="18" customHeight="1">
      <c r="B236" s="124" t="str">
        <f t="shared" si="31"/>
        <v>6单银Low-E+12A+6</v>
      </c>
      <c r="C236" s="253">
        <f t="shared" si="32"/>
        <v>-90</v>
      </c>
      <c r="D236" s="253">
        <f t="shared" si="32"/>
        <v>-90</v>
      </c>
      <c r="E236" s="32">
        <f t="shared" si="27"/>
        <v>8.0999999999999996E-3</v>
      </c>
      <c r="F236" s="250">
        <f>IF(F227=0,G28,0)</f>
        <v>0</v>
      </c>
      <c r="G236" s="126">
        <f t="shared" ref="G236:G241" si="33">G234</f>
        <v>148</v>
      </c>
      <c r="H236" s="250">
        <f t="shared" si="29"/>
        <v>0</v>
      </c>
      <c r="I236" s="247" t="s">
        <v>165</v>
      </c>
      <c r="J236" s="129"/>
    </row>
    <row r="237" spans="2:13" ht="18" customHeight="1">
      <c r="B237" s="124" t="str">
        <f t="shared" si="31"/>
        <v>6单银Low-E+12A+6</v>
      </c>
      <c r="C237" s="253">
        <f t="shared" si="32"/>
        <v>-90</v>
      </c>
      <c r="D237" s="253">
        <f t="shared" si="32"/>
        <v>-90</v>
      </c>
      <c r="E237" s="32">
        <f t="shared" si="27"/>
        <v>8.0999999999999996E-3</v>
      </c>
      <c r="F237" s="250">
        <f>IF(F228=0,G29,0)</f>
        <v>0</v>
      </c>
      <c r="G237" s="126">
        <f t="shared" si="33"/>
        <v>148</v>
      </c>
      <c r="H237" s="250">
        <f t="shared" si="29"/>
        <v>0</v>
      </c>
      <c r="I237" s="247" t="s">
        <v>165</v>
      </c>
      <c r="J237" s="129"/>
    </row>
    <row r="238" spans="2:13" ht="18" customHeight="1">
      <c r="B238" s="124" t="str">
        <f t="shared" si="31"/>
        <v>6单银Low-E+12A+6</v>
      </c>
      <c r="C238" s="253">
        <f t="shared" si="32"/>
        <v>-90</v>
      </c>
      <c r="D238" s="253">
        <f t="shared" si="32"/>
        <v>-90</v>
      </c>
      <c r="E238" s="32">
        <f t="shared" si="27"/>
        <v>8.0999999999999996E-3</v>
      </c>
      <c r="F238" s="250">
        <f>IF(F229=0,G30,0)</f>
        <v>0</v>
      </c>
      <c r="G238" s="126">
        <f t="shared" si="33"/>
        <v>148</v>
      </c>
      <c r="H238" s="250">
        <f t="shared" si="29"/>
        <v>0</v>
      </c>
      <c r="I238" s="247" t="s">
        <v>165</v>
      </c>
      <c r="J238" s="129"/>
    </row>
    <row r="239" spans="2:13" ht="18" customHeight="1">
      <c r="B239" s="124" t="str">
        <f t="shared" si="31"/>
        <v>6单银Low-E+12A+6</v>
      </c>
      <c r="C239" s="253">
        <f t="shared" si="32"/>
        <v>-122</v>
      </c>
      <c r="D239" s="253">
        <f t="shared" si="32"/>
        <v>-122</v>
      </c>
      <c r="E239" s="32">
        <f t="shared" si="27"/>
        <v>1.4884E-2</v>
      </c>
      <c r="F239" s="250">
        <f>IF(F230=0,G35,0)</f>
        <v>0</v>
      </c>
      <c r="G239" s="126">
        <f t="shared" si="33"/>
        <v>148</v>
      </c>
      <c r="H239" s="250">
        <f t="shared" si="29"/>
        <v>0</v>
      </c>
      <c r="I239" s="127" t="s">
        <v>166</v>
      </c>
      <c r="J239" s="129"/>
    </row>
    <row r="240" spans="2:13" ht="18" customHeight="1">
      <c r="B240" s="124" t="str">
        <f t="shared" si="31"/>
        <v>6单银Low-E+12A+6</v>
      </c>
      <c r="C240" s="253">
        <f t="shared" si="32"/>
        <v>-122</v>
      </c>
      <c r="D240" s="253">
        <f t="shared" si="32"/>
        <v>-122</v>
      </c>
      <c r="E240" s="32">
        <f t="shared" si="27"/>
        <v>1.4884E-2</v>
      </c>
      <c r="F240" s="250">
        <f>IF(F231=0,G36,0)</f>
        <v>0</v>
      </c>
      <c r="G240" s="126">
        <f t="shared" si="33"/>
        <v>148</v>
      </c>
      <c r="H240" s="250">
        <f t="shared" si="29"/>
        <v>0</v>
      </c>
      <c r="I240" s="127" t="s">
        <v>166</v>
      </c>
      <c r="J240" s="129"/>
    </row>
    <row r="241" spans="1:16" ht="18" customHeight="1">
      <c r="B241" s="124" t="str">
        <f t="shared" si="31"/>
        <v>6单银Low-E+12A+6</v>
      </c>
      <c r="C241" s="253">
        <f t="shared" si="32"/>
        <v>-122</v>
      </c>
      <c r="D241" s="253">
        <f t="shared" si="32"/>
        <v>-122</v>
      </c>
      <c r="E241" s="32">
        <f t="shared" si="27"/>
        <v>1.4884E-2</v>
      </c>
      <c r="F241" s="250">
        <f>IF(F232=0,G37,0)</f>
        <v>0</v>
      </c>
      <c r="G241" s="126">
        <f t="shared" si="33"/>
        <v>148</v>
      </c>
      <c r="H241" s="250">
        <f t="shared" si="29"/>
        <v>0</v>
      </c>
      <c r="I241" s="127" t="s">
        <v>166</v>
      </c>
      <c r="J241" s="129"/>
    </row>
    <row r="242" spans="1:16" s="43" customFormat="1" ht="18" customHeight="1">
      <c r="A242" s="1"/>
      <c r="B242" s="48" t="s">
        <v>167</v>
      </c>
      <c r="C242" s="52"/>
      <c r="D242" s="50"/>
      <c r="E242" s="128"/>
      <c r="F242" s="50">
        <f>SUM(F234:F241)</f>
        <v>0</v>
      </c>
      <c r="G242" s="50"/>
      <c r="H242" s="52">
        <f>SUM(H234:H241)</f>
        <v>0</v>
      </c>
      <c r="I242" s="53">
        <f>ROUND(SUMPRODUCT(E234:E241*F234:F241),2)</f>
        <v>0</v>
      </c>
      <c r="J242" s="129"/>
      <c r="N242" s="255"/>
      <c r="O242" s="255"/>
      <c r="P242" s="255"/>
    </row>
    <row r="243" spans="1:16" s="43" customFormat="1" ht="18" customHeight="1">
      <c r="A243" s="1"/>
      <c r="B243" s="124" t="str">
        <f>B240</f>
        <v>6单银Low-E+12A+6</v>
      </c>
      <c r="C243" s="253">
        <f t="shared" ref="C243:D249" si="34">D68-12</f>
        <v>2136</v>
      </c>
      <c r="D243" s="253">
        <f t="shared" si="34"/>
        <v>1066</v>
      </c>
      <c r="E243" s="32">
        <f t="shared" si="27"/>
        <v>2.2769759999999999</v>
      </c>
      <c r="F243" s="82">
        <f t="shared" ref="F243:F249" si="35">G68</f>
        <v>1</v>
      </c>
      <c r="G243" s="130">
        <f>G241</f>
        <v>148</v>
      </c>
      <c r="H243" s="250">
        <f t="shared" ref="H243:H249" si="36">ROUND(E243*G243*F243,2)</f>
        <v>336.99</v>
      </c>
      <c r="I243" s="247" t="s">
        <v>168</v>
      </c>
      <c r="J243" s="129"/>
      <c r="N243" s="255"/>
      <c r="O243" s="255"/>
      <c r="P243" s="255"/>
    </row>
    <row r="244" spans="1:16" s="43" customFormat="1" ht="18" customHeight="1">
      <c r="A244" s="1"/>
      <c r="B244" s="124" t="str">
        <f t="shared" ref="B244:B249" si="37">B243</f>
        <v>6单银Low-E+12A+6</v>
      </c>
      <c r="C244" s="253">
        <f t="shared" si="34"/>
        <v>-12</v>
      </c>
      <c r="D244" s="253">
        <f t="shared" si="34"/>
        <v>-12</v>
      </c>
      <c r="E244" s="32">
        <f t="shared" si="27"/>
        <v>1.44E-4</v>
      </c>
      <c r="F244" s="82">
        <f t="shared" si="35"/>
        <v>0</v>
      </c>
      <c r="G244" s="130">
        <f t="shared" ref="G244:G249" si="38">G243</f>
        <v>148</v>
      </c>
      <c r="H244" s="250">
        <f t="shared" si="36"/>
        <v>0</v>
      </c>
      <c r="I244" s="247" t="s">
        <v>168</v>
      </c>
      <c r="J244" s="129"/>
      <c r="N244" s="255"/>
      <c r="O244" s="255"/>
      <c r="P244" s="255"/>
    </row>
    <row r="245" spans="1:16" s="43" customFormat="1" ht="18" customHeight="1">
      <c r="A245" s="1"/>
      <c r="B245" s="124" t="str">
        <f t="shared" si="37"/>
        <v>6单银Low-E+12A+6</v>
      </c>
      <c r="C245" s="253">
        <f t="shared" si="34"/>
        <v>-12</v>
      </c>
      <c r="D245" s="253">
        <f t="shared" si="34"/>
        <v>-12</v>
      </c>
      <c r="E245" s="32">
        <f t="shared" si="27"/>
        <v>1.44E-4</v>
      </c>
      <c r="F245" s="82">
        <f t="shared" si="35"/>
        <v>0</v>
      </c>
      <c r="G245" s="130">
        <f t="shared" si="38"/>
        <v>148</v>
      </c>
      <c r="H245" s="250">
        <f t="shared" si="36"/>
        <v>0</v>
      </c>
      <c r="I245" s="247" t="s">
        <v>168</v>
      </c>
      <c r="J245" s="129"/>
      <c r="N245" s="255"/>
      <c r="O245" s="255"/>
      <c r="P245" s="255"/>
    </row>
    <row r="246" spans="1:16" s="43" customFormat="1" ht="18" customHeight="1">
      <c r="A246" s="1"/>
      <c r="B246" s="124" t="str">
        <f t="shared" si="37"/>
        <v>6单银Low-E+12A+6</v>
      </c>
      <c r="C246" s="253">
        <f t="shared" si="34"/>
        <v>-12</v>
      </c>
      <c r="D246" s="253">
        <f t="shared" si="34"/>
        <v>-12</v>
      </c>
      <c r="E246" s="32">
        <f t="shared" si="27"/>
        <v>1.44E-4</v>
      </c>
      <c r="F246" s="82">
        <f t="shared" si="35"/>
        <v>0</v>
      </c>
      <c r="G246" s="130">
        <f t="shared" si="38"/>
        <v>148</v>
      </c>
      <c r="H246" s="250">
        <f t="shared" si="36"/>
        <v>0</v>
      </c>
      <c r="I246" s="247" t="s">
        <v>168</v>
      </c>
      <c r="J246" s="129"/>
      <c r="N246" s="255"/>
      <c r="O246" s="255"/>
      <c r="P246" s="255"/>
    </row>
    <row r="247" spans="1:16" s="43" customFormat="1" ht="18" customHeight="1">
      <c r="A247" s="1"/>
      <c r="B247" s="124" t="str">
        <f t="shared" si="37"/>
        <v>6单银Low-E+12A+6</v>
      </c>
      <c r="C247" s="253">
        <f t="shared" si="34"/>
        <v>-12</v>
      </c>
      <c r="D247" s="253">
        <f t="shared" si="34"/>
        <v>-12</v>
      </c>
      <c r="E247" s="32">
        <f t="shared" si="27"/>
        <v>1.44E-4</v>
      </c>
      <c r="F247" s="82">
        <f t="shared" si="35"/>
        <v>0</v>
      </c>
      <c r="G247" s="130">
        <f t="shared" si="38"/>
        <v>148</v>
      </c>
      <c r="H247" s="250">
        <f t="shared" si="36"/>
        <v>0</v>
      </c>
      <c r="I247" s="247" t="s">
        <v>168</v>
      </c>
      <c r="J247" s="129"/>
      <c r="N247" s="255"/>
      <c r="O247" s="255"/>
      <c r="P247" s="255"/>
    </row>
    <row r="248" spans="1:16" s="43" customFormat="1" ht="18" customHeight="1">
      <c r="A248" s="1"/>
      <c r="B248" s="124" t="str">
        <f t="shared" si="37"/>
        <v>6单银Low-E+12A+6</v>
      </c>
      <c r="C248" s="253">
        <f t="shared" si="34"/>
        <v>-12</v>
      </c>
      <c r="D248" s="253">
        <f t="shared" si="34"/>
        <v>-12</v>
      </c>
      <c r="E248" s="32">
        <f t="shared" si="27"/>
        <v>1.44E-4</v>
      </c>
      <c r="F248" s="82">
        <f t="shared" si="35"/>
        <v>0</v>
      </c>
      <c r="G248" s="130">
        <f t="shared" si="38"/>
        <v>148</v>
      </c>
      <c r="H248" s="250">
        <f t="shared" si="36"/>
        <v>0</v>
      </c>
      <c r="I248" s="247" t="s">
        <v>168</v>
      </c>
      <c r="J248" s="129"/>
      <c r="N248" s="255"/>
      <c r="O248" s="255"/>
      <c r="P248" s="255"/>
    </row>
    <row r="249" spans="1:16" s="43" customFormat="1" ht="18" customHeight="1">
      <c r="A249" s="1"/>
      <c r="B249" s="124" t="str">
        <f t="shared" si="37"/>
        <v>6单银Low-E+12A+6</v>
      </c>
      <c r="C249" s="253">
        <f t="shared" si="34"/>
        <v>-12</v>
      </c>
      <c r="D249" s="253">
        <f t="shared" si="34"/>
        <v>-12</v>
      </c>
      <c r="E249" s="32">
        <f t="shared" si="27"/>
        <v>1.44E-4</v>
      </c>
      <c r="F249" s="82">
        <f t="shared" si="35"/>
        <v>0</v>
      </c>
      <c r="G249" s="130">
        <f t="shared" si="38"/>
        <v>148</v>
      </c>
      <c r="H249" s="250">
        <f t="shared" si="36"/>
        <v>0</v>
      </c>
      <c r="I249" s="247" t="s">
        <v>168</v>
      </c>
      <c r="J249" s="129"/>
      <c r="N249" s="255"/>
      <c r="O249" s="255"/>
      <c r="P249" s="255"/>
    </row>
    <row r="250" spans="1:16" s="43" customFormat="1" ht="18" customHeight="1">
      <c r="A250" s="1"/>
      <c r="B250" s="131" t="str">
        <f>B246</f>
        <v>6单银Low-E+12A+6</v>
      </c>
      <c r="C250" s="52"/>
      <c r="D250" s="50"/>
      <c r="E250" s="128"/>
      <c r="F250" s="50">
        <f>SUM(F243:F249)</f>
        <v>1</v>
      </c>
      <c r="G250" s="50"/>
      <c r="H250" s="52">
        <f>SUM(H243:H249)</f>
        <v>336.99</v>
      </c>
      <c r="I250" s="53">
        <f>ROUND((E243*F243+E244*F244+E245*F245+E246*F246+E247*F247+E248*F248+E249*F249),2)</f>
        <v>2.2799999999999998</v>
      </c>
      <c r="J250" s="43">
        <f>(I242+I258+I273+I280)</f>
        <v>0</v>
      </c>
      <c r="N250" s="255"/>
      <c r="O250" s="255"/>
      <c r="P250" s="255"/>
    </row>
    <row r="251" spans="1:16" s="43" customFormat="1" ht="18" customHeight="1">
      <c r="A251" s="1"/>
      <c r="B251" s="124" t="str">
        <f>B249</f>
        <v>6单银Low-E+12A+6</v>
      </c>
      <c r="C251" s="253">
        <f t="shared" ref="C251:D257" si="39">D75-12</f>
        <v>-12</v>
      </c>
      <c r="D251" s="253">
        <f t="shared" si="39"/>
        <v>-12</v>
      </c>
      <c r="E251" s="32">
        <f t="shared" si="27"/>
        <v>1.44E-4</v>
      </c>
      <c r="F251" s="82">
        <f t="shared" ref="F251:F257" si="40">G75</f>
        <v>0</v>
      </c>
      <c r="G251" s="130">
        <f>G249</f>
        <v>148</v>
      </c>
      <c r="H251" s="250">
        <f>ROUND(E251*G251*F251,2)</f>
        <v>0</v>
      </c>
      <c r="I251" s="132" t="s">
        <v>169</v>
      </c>
      <c r="N251" s="255"/>
      <c r="O251" s="255"/>
      <c r="P251" s="255"/>
    </row>
    <row r="252" spans="1:16" s="43" customFormat="1" ht="18" customHeight="1">
      <c r="A252" s="1"/>
      <c r="B252" s="124" t="str">
        <f t="shared" ref="B252:B257" si="41">B251</f>
        <v>6单银Low-E+12A+6</v>
      </c>
      <c r="C252" s="253">
        <f t="shared" si="39"/>
        <v>-12</v>
      </c>
      <c r="D252" s="253">
        <f t="shared" si="39"/>
        <v>-12</v>
      </c>
      <c r="E252" s="32">
        <f t="shared" si="27"/>
        <v>1.44E-4</v>
      </c>
      <c r="F252" s="82">
        <f t="shared" si="40"/>
        <v>0</v>
      </c>
      <c r="G252" s="130">
        <f t="shared" ref="G252:G257" si="42">G251</f>
        <v>148</v>
      </c>
      <c r="H252" s="250">
        <f t="shared" ref="H252:H264" si="43">ROUND(E252*G252*F252,2)</f>
        <v>0</v>
      </c>
      <c r="I252" s="132" t="str">
        <f t="shared" ref="I252:I257" si="44">I251</f>
        <v>固定钢化中空</v>
      </c>
      <c r="N252" s="255"/>
      <c r="O252" s="255"/>
      <c r="P252" s="255"/>
    </row>
    <row r="253" spans="1:16" s="43" customFormat="1" ht="18" customHeight="1">
      <c r="A253" s="1"/>
      <c r="B253" s="124" t="str">
        <f t="shared" si="41"/>
        <v>6单银Low-E+12A+6</v>
      </c>
      <c r="C253" s="253">
        <f t="shared" si="39"/>
        <v>-12</v>
      </c>
      <c r="D253" s="253">
        <f t="shared" si="39"/>
        <v>-12</v>
      </c>
      <c r="E253" s="32">
        <f t="shared" si="27"/>
        <v>1.44E-4</v>
      </c>
      <c r="F253" s="82">
        <f t="shared" si="40"/>
        <v>0</v>
      </c>
      <c r="G253" s="130">
        <f t="shared" si="42"/>
        <v>148</v>
      </c>
      <c r="H253" s="250">
        <f t="shared" si="43"/>
        <v>0</v>
      </c>
      <c r="I253" s="132" t="str">
        <f t="shared" si="44"/>
        <v>固定钢化中空</v>
      </c>
      <c r="N253" s="255"/>
      <c r="O253" s="255"/>
      <c r="P253" s="255"/>
    </row>
    <row r="254" spans="1:16" s="43" customFormat="1" ht="18" customHeight="1">
      <c r="A254" s="1"/>
      <c r="B254" s="124" t="str">
        <f t="shared" si="41"/>
        <v>6单银Low-E+12A+6</v>
      </c>
      <c r="C254" s="253">
        <f t="shared" si="39"/>
        <v>-12</v>
      </c>
      <c r="D254" s="253">
        <f t="shared" si="39"/>
        <v>-12</v>
      </c>
      <c r="E254" s="32">
        <f t="shared" si="27"/>
        <v>1.44E-4</v>
      </c>
      <c r="F254" s="82">
        <f t="shared" si="40"/>
        <v>0</v>
      </c>
      <c r="G254" s="130">
        <f t="shared" si="42"/>
        <v>148</v>
      </c>
      <c r="H254" s="250">
        <f t="shared" si="43"/>
        <v>0</v>
      </c>
      <c r="I254" s="132" t="str">
        <f t="shared" si="44"/>
        <v>固定钢化中空</v>
      </c>
      <c r="J254" s="42"/>
      <c r="N254" s="255"/>
      <c r="O254" s="255"/>
      <c r="P254" s="255"/>
    </row>
    <row r="255" spans="1:16" s="43" customFormat="1" ht="18" customHeight="1">
      <c r="A255" s="1"/>
      <c r="B255" s="124" t="str">
        <f t="shared" si="41"/>
        <v>6单银Low-E+12A+6</v>
      </c>
      <c r="C255" s="253">
        <f t="shared" si="39"/>
        <v>-12</v>
      </c>
      <c r="D255" s="253">
        <f t="shared" si="39"/>
        <v>-12</v>
      </c>
      <c r="E255" s="32">
        <f t="shared" si="27"/>
        <v>1.44E-4</v>
      </c>
      <c r="F255" s="82">
        <f t="shared" si="40"/>
        <v>0</v>
      </c>
      <c r="G255" s="130">
        <f t="shared" si="42"/>
        <v>148</v>
      </c>
      <c r="H255" s="250">
        <f t="shared" si="43"/>
        <v>0</v>
      </c>
      <c r="I255" s="132" t="str">
        <f t="shared" si="44"/>
        <v>固定钢化中空</v>
      </c>
      <c r="N255" s="255"/>
      <c r="O255" s="255"/>
      <c r="P255" s="255"/>
    </row>
    <row r="256" spans="1:16" s="43" customFormat="1" ht="18" customHeight="1">
      <c r="A256" s="1"/>
      <c r="B256" s="124" t="str">
        <f t="shared" si="41"/>
        <v>6单银Low-E+12A+6</v>
      </c>
      <c r="C256" s="253">
        <f t="shared" si="39"/>
        <v>-12</v>
      </c>
      <c r="D256" s="253">
        <f t="shared" si="39"/>
        <v>-12</v>
      </c>
      <c r="E256" s="32">
        <f t="shared" si="27"/>
        <v>1.44E-4</v>
      </c>
      <c r="F256" s="82">
        <f t="shared" si="40"/>
        <v>0</v>
      </c>
      <c r="G256" s="130">
        <f t="shared" si="42"/>
        <v>148</v>
      </c>
      <c r="H256" s="250">
        <f t="shared" si="43"/>
        <v>0</v>
      </c>
      <c r="I256" s="132" t="str">
        <f t="shared" si="44"/>
        <v>固定钢化中空</v>
      </c>
      <c r="N256" s="255"/>
      <c r="O256" s="255"/>
      <c r="P256" s="255"/>
    </row>
    <row r="257" spans="1:16" s="43" customFormat="1" ht="18" customHeight="1">
      <c r="A257" s="1"/>
      <c r="B257" s="124" t="str">
        <f t="shared" si="41"/>
        <v>6单银Low-E+12A+6</v>
      </c>
      <c r="C257" s="253">
        <f t="shared" si="39"/>
        <v>-12</v>
      </c>
      <c r="D257" s="253">
        <f t="shared" si="39"/>
        <v>-12</v>
      </c>
      <c r="E257" s="32">
        <f t="shared" si="27"/>
        <v>1.44E-4</v>
      </c>
      <c r="F257" s="82">
        <f t="shared" si="40"/>
        <v>0</v>
      </c>
      <c r="G257" s="130">
        <f t="shared" si="42"/>
        <v>148</v>
      </c>
      <c r="H257" s="250">
        <f t="shared" si="43"/>
        <v>0</v>
      </c>
      <c r="I257" s="132" t="str">
        <f t="shared" si="44"/>
        <v>固定钢化中空</v>
      </c>
      <c r="N257" s="255"/>
      <c r="O257" s="255"/>
      <c r="P257" s="255"/>
    </row>
    <row r="258" spans="1:16" s="43" customFormat="1" ht="18" customHeight="1">
      <c r="A258" s="1"/>
      <c r="B258" s="48" t="s">
        <v>170</v>
      </c>
      <c r="C258" s="52"/>
      <c r="D258" s="50"/>
      <c r="E258" s="128"/>
      <c r="F258" s="50">
        <f>SUM(F251:F257)</f>
        <v>0</v>
      </c>
      <c r="G258" s="50"/>
      <c r="H258" s="52">
        <f>SUM(H251:H257)</f>
        <v>0</v>
      </c>
      <c r="I258" s="53">
        <f>ROUND((E251*F251+E252*F252+E253*F253+E254*F254+E255*F255+E256*F256+E257*F257),2)</f>
        <v>0</v>
      </c>
      <c r="N258" s="255"/>
      <c r="O258" s="255"/>
      <c r="P258" s="255"/>
    </row>
    <row r="259" spans="1:16" s="43" customFormat="1" ht="18" customHeight="1">
      <c r="A259" s="1"/>
      <c r="B259" s="124" t="str">
        <f>B257</f>
        <v>6单银Low-E+12A+6</v>
      </c>
      <c r="C259" s="253">
        <f t="shared" ref="C259:D264" si="45">D82-12</f>
        <v>-12</v>
      </c>
      <c r="D259" s="253">
        <f t="shared" si="45"/>
        <v>-12</v>
      </c>
      <c r="E259" s="32">
        <f t="shared" si="27"/>
        <v>1.44E-4</v>
      </c>
      <c r="F259" s="82">
        <f t="shared" ref="F259:F264" si="46">G82</f>
        <v>0</v>
      </c>
      <c r="G259" s="130">
        <f>G257</f>
        <v>148</v>
      </c>
      <c r="H259" s="250">
        <f t="shared" si="43"/>
        <v>0</v>
      </c>
      <c r="I259" s="247" t="s">
        <v>171</v>
      </c>
      <c r="N259" s="255"/>
      <c r="O259" s="255"/>
      <c r="P259" s="255"/>
    </row>
    <row r="260" spans="1:16" s="43" customFormat="1" ht="18" customHeight="1">
      <c r="A260" s="1"/>
      <c r="B260" s="124" t="str">
        <f>B259</f>
        <v>6单银Low-E+12A+6</v>
      </c>
      <c r="C260" s="253">
        <f t="shared" si="45"/>
        <v>-12</v>
      </c>
      <c r="D260" s="253">
        <f t="shared" si="45"/>
        <v>-12</v>
      </c>
      <c r="E260" s="32">
        <f t="shared" si="27"/>
        <v>1.44E-4</v>
      </c>
      <c r="F260" s="82">
        <f t="shared" si="46"/>
        <v>0</v>
      </c>
      <c r="G260" s="130">
        <f>G259</f>
        <v>148</v>
      </c>
      <c r="H260" s="250">
        <f t="shared" si="43"/>
        <v>0</v>
      </c>
      <c r="I260" s="247" t="s">
        <v>171</v>
      </c>
      <c r="N260" s="255"/>
      <c r="O260" s="255"/>
      <c r="P260" s="255"/>
    </row>
    <row r="261" spans="1:16" s="43" customFormat="1" ht="18" customHeight="1">
      <c r="A261" s="1"/>
      <c r="B261" s="124" t="str">
        <f>B260</f>
        <v>6单银Low-E+12A+6</v>
      </c>
      <c r="C261" s="253">
        <f t="shared" si="45"/>
        <v>-12</v>
      </c>
      <c r="D261" s="253">
        <f t="shared" si="45"/>
        <v>-12</v>
      </c>
      <c r="E261" s="32">
        <f t="shared" si="27"/>
        <v>1.44E-4</v>
      </c>
      <c r="F261" s="82">
        <f t="shared" si="46"/>
        <v>0</v>
      </c>
      <c r="G261" s="130">
        <f>G260</f>
        <v>148</v>
      </c>
      <c r="H261" s="250">
        <f t="shared" si="43"/>
        <v>0</v>
      </c>
      <c r="I261" s="247" t="s">
        <v>171</v>
      </c>
      <c r="N261" s="255"/>
      <c r="O261" s="255"/>
      <c r="P261" s="255"/>
    </row>
    <row r="262" spans="1:16" s="43" customFormat="1" ht="18" customHeight="1">
      <c r="A262" s="1"/>
      <c r="B262" s="124" t="str">
        <f>B261</f>
        <v>6单银Low-E+12A+6</v>
      </c>
      <c r="C262" s="253">
        <f t="shared" si="45"/>
        <v>-12</v>
      </c>
      <c r="D262" s="253">
        <f t="shared" si="45"/>
        <v>-12</v>
      </c>
      <c r="E262" s="32">
        <f t="shared" si="27"/>
        <v>1.44E-4</v>
      </c>
      <c r="F262" s="82">
        <f t="shared" si="46"/>
        <v>0</v>
      </c>
      <c r="G262" s="130">
        <f>G261</f>
        <v>148</v>
      </c>
      <c r="H262" s="250">
        <f t="shared" si="43"/>
        <v>0</v>
      </c>
      <c r="I262" s="247" t="s">
        <v>171</v>
      </c>
      <c r="N262" s="255"/>
      <c r="O262" s="255"/>
      <c r="P262" s="255"/>
    </row>
    <row r="263" spans="1:16" s="43" customFormat="1" ht="18" customHeight="1">
      <c r="A263" s="1"/>
      <c r="B263" s="124" t="str">
        <f>B262</f>
        <v>6单银Low-E+12A+6</v>
      </c>
      <c r="C263" s="253">
        <f t="shared" si="45"/>
        <v>-12</v>
      </c>
      <c r="D263" s="253">
        <f t="shared" si="45"/>
        <v>-12</v>
      </c>
      <c r="E263" s="32">
        <f t="shared" si="27"/>
        <v>1.44E-4</v>
      </c>
      <c r="F263" s="82">
        <f t="shared" si="46"/>
        <v>0</v>
      </c>
      <c r="G263" s="130">
        <f>G262</f>
        <v>148</v>
      </c>
      <c r="H263" s="250">
        <f t="shared" si="43"/>
        <v>0</v>
      </c>
      <c r="I263" s="247" t="s">
        <v>171</v>
      </c>
      <c r="N263" s="255"/>
      <c r="O263" s="255"/>
      <c r="P263" s="255"/>
    </row>
    <row r="264" spans="1:16" s="43" customFormat="1" ht="18" customHeight="1">
      <c r="A264" s="1"/>
      <c r="B264" s="124" t="str">
        <f>B263</f>
        <v>6单银Low-E+12A+6</v>
      </c>
      <c r="C264" s="253">
        <f t="shared" si="45"/>
        <v>-12</v>
      </c>
      <c r="D264" s="253">
        <f t="shared" si="45"/>
        <v>-12</v>
      </c>
      <c r="E264" s="32">
        <f t="shared" si="27"/>
        <v>1.44E-4</v>
      </c>
      <c r="F264" s="82">
        <f t="shared" si="46"/>
        <v>0</v>
      </c>
      <c r="G264" s="130">
        <f>G263</f>
        <v>148</v>
      </c>
      <c r="H264" s="250">
        <f t="shared" si="43"/>
        <v>0</v>
      </c>
      <c r="I264" s="247" t="s">
        <v>171</v>
      </c>
      <c r="N264" s="255"/>
      <c r="O264" s="255"/>
      <c r="P264" s="255"/>
    </row>
    <row r="265" spans="1:16" s="43" customFormat="1" ht="18" customHeight="1">
      <c r="A265" s="1"/>
      <c r="B265" s="48" t="s">
        <v>172</v>
      </c>
      <c r="C265" s="52"/>
      <c r="D265" s="50"/>
      <c r="E265" s="128"/>
      <c r="F265" s="50">
        <f>SUM(F259:F264)</f>
        <v>0</v>
      </c>
      <c r="G265" s="50"/>
      <c r="H265" s="52">
        <f>SUM(H259:H264)</f>
        <v>0</v>
      </c>
      <c r="I265" s="53">
        <f>ROUND(SUMPRODUCT(E259:E264*F259:F264),2)</f>
        <v>0</v>
      </c>
      <c r="N265" s="255"/>
      <c r="O265" s="255"/>
      <c r="P265" s="255"/>
    </row>
    <row r="266" spans="1:16" s="43" customFormat="1" ht="18" customHeight="1">
      <c r="A266" s="1"/>
      <c r="B266" s="124" t="str">
        <f>B264</f>
        <v>6单银Low-E+12A+6</v>
      </c>
      <c r="C266" s="133">
        <f t="shared" ref="C266:D268" si="47">D143</f>
        <v>915</v>
      </c>
      <c r="D266" s="133">
        <f t="shared" si="47"/>
        <v>2338</v>
      </c>
      <c r="E266" s="32">
        <f t="shared" si="27"/>
        <v>2.1392699999999998</v>
      </c>
      <c r="F266" s="134">
        <f>G143</f>
        <v>2</v>
      </c>
      <c r="G266" s="135">
        <f>G264</f>
        <v>148</v>
      </c>
      <c r="H266" s="134">
        <f>ROUND(E266*G266*F266,2)</f>
        <v>633.22</v>
      </c>
      <c r="I266" s="136" t="s">
        <v>173</v>
      </c>
      <c r="N266" s="255"/>
      <c r="O266" s="255"/>
      <c r="P266" s="255"/>
    </row>
    <row r="267" spans="1:16" s="43" customFormat="1" ht="18" customHeight="1">
      <c r="A267" s="1"/>
      <c r="B267" s="124" t="str">
        <f>B264</f>
        <v>6单银Low-E+12A+6</v>
      </c>
      <c r="C267" s="133">
        <f t="shared" si="47"/>
        <v>-154</v>
      </c>
      <c r="D267" s="133">
        <f t="shared" si="47"/>
        <v>-154</v>
      </c>
      <c r="E267" s="32">
        <f t="shared" si="27"/>
        <v>2.3716000000000001E-2</v>
      </c>
      <c r="F267" s="134">
        <f>G144</f>
        <v>0</v>
      </c>
      <c r="G267" s="135">
        <f>G266</f>
        <v>148</v>
      </c>
      <c r="H267" s="134">
        <f>ROUND(E267*G267*F267,2)</f>
        <v>0</v>
      </c>
      <c r="I267" s="136" t="s">
        <v>173</v>
      </c>
      <c r="N267" s="255"/>
      <c r="O267" s="255"/>
      <c r="P267" s="255"/>
    </row>
    <row r="268" spans="1:16" s="43" customFormat="1" ht="18" customHeight="1">
      <c r="A268" s="1"/>
      <c r="B268" s="124" t="str">
        <f>B267</f>
        <v>6单银Low-E+12A+6</v>
      </c>
      <c r="C268" s="133">
        <f t="shared" si="47"/>
        <v>-154</v>
      </c>
      <c r="D268" s="133">
        <f t="shared" si="47"/>
        <v>-154</v>
      </c>
      <c r="E268" s="32">
        <f t="shared" si="27"/>
        <v>2.3716000000000001E-2</v>
      </c>
      <c r="F268" s="134">
        <f>G145</f>
        <v>0</v>
      </c>
      <c r="G268" s="135">
        <f>G267</f>
        <v>148</v>
      </c>
      <c r="H268" s="134">
        <f>ROUND(E268*G268*F268,2)</f>
        <v>0</v>
      </c>
      <c r="I268" s="136" t="s">
        <v>173</v>
      </c>
      <c r="N268" s="255"/>
      <c r="O268" s="255"/>
      <c r="P268" s="255"/>
    </row>
    <row r="269" spans="1:16" s="43" customFormat="1" ht="18" customHeight="1">
      <c r="A269" s="1"/>
      <c r="B269" s="48" t="s">
        <v>174</v>
      </c>
      <c r="C269" s="52"/>
      <c r="D269" s="50"/>
      <c r="E269" s="128"/>
      <c r="F269" s="50">
        <f>SUM(F266:F268)</f>
        <v>2</v>
      </c>
      <c r="G269" s="50"/>
      <c r="H269" s="52">
        <f>SUM(H266:H268)</f>
        <v>633.22</v>
      </c>
      <c r="I269" s="53">
        <f>ROUND((E266*F266+E267*F267+E268*F268),2)</f>
        <v>4.28</v>
      </c>
      <c r="N269" s="255"/>
      <c r="O269" s="255"/>
      <c r="P269" s="255"/>
    </row>
    <row r="270" spans="1:16" s="43" customFormat="1" ht="18" customHeight="1">
      <c r="A270" s="1"/>
      <c r="B270" s="124" t="str">
        <f>B268</f>
        <v>6单银Low-E+12A+6</v>
      </c>
      <c r="C270" s="133">
        <f t="shared" ref="C270:D272" si="48">D150</f>
        <v>-160</v>
      </c>
      <c r="D270" s="133">
        <f t="shared" si="48"/>
        <v>-160</v>
      </c>
      <c r="E270" s="32">
        <f t="shared" si="27"/>
        <v>2.5600000000000001E-2</v>
      </c>
      <c r="F270" s="134">
        <f>G150</f>
        <v>0</v>
      </c>
      <c r="G270" s="135">
        <f>G268</f>
        <v>148</v>
      </c>
      <c r="H270" s="134">
        <f>ROUND(E270*G270*F270,2)</f>
        <v>0</v>
      </c>
      <c r="I270" s="136" t="s">
        <v>173</v>
      </c>
      <c r="N270" s="255"/>
      <c r="O270" s="255"/>
      <c r="P270" s="255"/>
    </row>
    <row r="271" spans="1:16" s="43" customFormat="1" ht="18" customHeight="1">
      <c r="A271" s="1"/>
      <c r="B271" s="124" t="str">
        <f>B270</f>
        <v>6单银Low-E+12A+6</v>
      </c>
      <c r="C271" s="133">
        <f t="shared" si="48"/>
        <v>-160</v>
      </c>
      <c r="D271" s="133">
        <f t="shared" si="48"/>
        <v>-160</v>
      </c>
      <c r="E271" s="32">
        <f t="shared" si="27"/>
        <v>2.5600000000000001E-2</v>
      </c>
      <c r="F271" s="134">
        <f>G151</f>
        <v>0</v>
      </c>
      <c r="G271" s="135">
        <f>G270</f>
        <v>148</v>
      </c>
      <c r="H271" s="134">
        <f>ROUND(E271*G271*F271,2)</f>
        <v>0</v>
      </c>
      <c r="I271" s="136" t="s">
        <v>173</v>
      </c>
      <c r="N271" s="255"/>
      <c r="O271" s="255"/>
      <c r="P271" s="255"/>
    </row>
    <row r="272" spans="1:16" s="43" customFormat="1" ht="18" customHeight="1">
      <c r="A272" s="1"/>
      <c r="B272" s="124" t="str">
        <f>B271</f>
        <v>6单银Low-E+12A+6</v>
      </c>
      <c r="C272" s="133">
        <f t="shared" si="48"/>
        <v>-160</v>
      </c>
      <c r="D272" s="133">
        <f t="shared" si="48"/>
        <v>-160</v>
      </c>
      <c r="E272" s="32">
        <f t="shared" si="27"/>
        <v>2.5600000000000001E-2</v>
      </c>
      <c r="F272" s="134">
        <f>G152</f>
        <v>0</v>
      </c>
      <c r="G272" s="135">
        <f>G271</f>
        <v>148</v>
      </c>
      <c r="H272" s="134">
        <f>ROUND(E272*G272*F272,2)</f>
        <v>0</v>
      </c>
      <c r="I272" s="136" t="s">
        <v>173</v>
      </c>
      <c r="N272" s="255"/>
      <c r="O272" s="255"/>
      <c r="P272" s="255"/>
    </row>
    <row r="273" spans="1:16" s="43" customFormat="1" ht="18" customHeight="1">
      <c r="A273" s="1"/>
      <c r="B273" s="48" t="s">
        <v>175</v>
      </c>
      <c r="C273" s="52"/>
      <c r="D273" s="50"/>
      <c r="E273" s="128"/>
      <c r="F273" s="50">
        <f>SUM(F270:F272)</f>
        <v>0</v>
      </c>
      <c r="G273" s="50"/>
      <c r="H273" s="52">
        <f>SUM(H270:H272)</f>
        <v>0</v>
      </c>
      <c r="I273" s="53">
        <f>ROUND((E270*F270+E271*F271+E272*F272),2)</f>
        <v>0</v>
      </c>
      <c r="N273" s="255"/>
      <c r="O273" s="255"/>
      <c r="P273" s="255"/>
    </row>
    <row r="274" spans="1:16" ht="18" customHeight="1">
      <c r="B274" s="124" t="str">
        <f>B272</f>
        <v>6单银Low-E+12A+6</v>
      </c>
      <c r="C274" s="133">
        <f t="shared" ref="C274:D279" si="49">D157-12</f>
        <v>-12</v>
      </c>
      <c r="D274" s="133">
        <f t="shared" si="49"/>
        <v>-12</v>
      </c>
      <c r="E274" s="32">
        <f t="shared" si="27"/>
        <v>1.44E-4</v>
      </c>
      <c r="F274" s="134">
        <f t="shared" ref="F274:F279" si="50">G157</f>
        <v>0</v>
      </c>
      <c r="G274" s="135">
        <f>G272</f>
        <v>148</v>
      </c>
      <c r="H274" s="134">
        <f t="shared" ref="H274:H279" si="51">ROUND(E274*G274*F274,2)</f>
        <v>0</v>
      </c>
      <c r="I274" s="136" t="s">
        <v>176</v>
      </c>
    </row>
    <row r="275" spans="1:16" ht="18" customHeight="1">
      <c r="B275" s="124" t="str">
        <f>B274</f>
        <v>6单银Low-E+12A+6</v>
      </c>
      <c r="C275" s="133">
        <f t="shared" si="49"/>
        <v>-12</v>
      </c>
      <c r="D275" s="133">
        <f t="shared" si="49"/>
        <v>-12</v>
      </c>
      <c r="E275" s="32">
        <f t="shared" si="27"/>
        <v>1.44E-4</v>
      </c>
      <c r="F275" s="134">
        <f t="shared" si="50"/>
        <v>0</v>
      </c>
      <c r="G275" s="135">
        <f>G274</f>
        <v>148</v>
      </c>
      <c r="H275" s="134">
        <f t="shared" si="51"/>
        <v>0</v>
      </c>
      <c r="I275" s="136" t="str">
        <f>I274</f>
        <v>门钢化中空玻璃</v>
      </c>
      <c r="K275" s="43" t="s">
        <v>177</v>
      </c>
    </row>
    <row r="276" spans="1:16" ht="18" customHeight="1">
      <c r="B276" s="124" t="str">
        <f>B275</f>
        <v>6单银Low-E+12A+6</v>
      </c>
      <c r="C276" s="133">
        <f t="shared" si="49"/>
        <v>-12</v>
      </c>
      <c r="D276" s="133">
        <f t="shared" si="49"/>
        <v>-12</v>
      </c>
      <c r="E276" s="32">
        <f t="shared" si="27"/>
        <v>1.44E-4</v>
      </c>
      <c r="F276" s="134">
        <f t="shared" si="50"/>
        <v>0</v>
      </c>
      <c r="G276" s="135">
        <f>G275</f>
        <v>148</v>
      </c>
      <c r="H276" s="134">
        <f t="shared" si="51"/>
        <v>0</v>
      </c>
      <c r="I276" s="136" t="str">
        <f>I275</f>
        <v>门钢化中空玻璃</v>
      </c>
    </row>
    <row r="277" spans="1:16" ht="18" customHeight="1">
      <c r="B277" s="124" t="str">
        <f>B276</f>
        <v>6单银Low-E+12A+6</v>
      </c>
      <c r="C277" s="133">
        <f t="shared" si="49"/>
        <v>-12</v>
      </c>
      <c r="D277" s="133">
        <f t="shared" si="49"/>
        <v>-12</v>
      </c>
      <c r="E277" s="32">
        <f t="shared" si="27"/>
        <v>1.44E-4</v>
      </c>
      <c r="F277" s="134">
        <f t="shared" si="50"/>
        <v>0</v>
      </c>
      <c r="G277" s="135">
        <f>G276</f>
        <v>148</v>
      </c>
      <c r="H277" s="134">
        <f t="shared" si="51"/>
        <v>0</v>
      </c>
      <c r="I277" s="136" t="str">
        <f>I276</f>
        <v>门钢化中空玻璃</v>
      </c>
    </row>
    <row r="278" spans="1:16" ht="18" customHeight="1">
      <c r="B278" s="124" t="str">
        <f>B277</f>
        <v>6单银Low-E+12A+6</v>
      </c>
      <c r="C278" s="133">
        <f t="shared" si="49"/>
        <v>-12</v>
      </c>
      <c r="D278" s="133">
        <f t="shared" si="49"/>
        <v>-12</v>
      </c>
      <c r="E278" s="32">
        <f t="shared" si="27"/>
        <v>1.44E-4</v>
      </c>
      <c r="F278" s="134">
        <f t="shared" si="50"/>
        <v>0</v>
      </c>
      <c r="G278" s="135">
        <f>G277</f>
        <v>148</v>
      </c>
      <c r="H278" s="134">
        <f t="shared" si="51"/>
        <v>0</v>
      </c>
      <c r="I278" s="136" t="str">
        <f>I277</f>
        <v>门钢化中空玻璃</v>
      </c>
    </row>
    <row r="279" spans="1:16" ht="18" customHeight="1">
      <c r="B279" s="124" t="str">
        <f>B278</f>
        <v>6单银Low-E+12A+6</v>
      </c>
      <c r="C279" s="133">
        <f t="shared" si="49"/>
        <v>-12</v>
      </c>
      <c r="D279" s="133">
        <f t="shared" si="49"/>
        <v>-12</v>
      </c>
      <c r="E279" s="32">
        <f t="shared" si="27"/>
        <v>1.44E-4</v>
      </c>
      <c r="F279" s="134">
        <f t="shared" si="50"/>
        <v>0</v>
      </c>
      <c r="G279" s="135">
        <f>G278</f>
        <v>148</v>
      </c>
      <c r="H279" s="134">
        <f t="shared" si="51"/>
        <v>0</v>
      </c>
      <c r="I279" s="136" t="str">
        <f>I278</f>
        <v>门钢化中空玻璃</v>
      </c>
    </row>
    <row r="280" spans="1:16" ht="18" customHeight="1">
      <c r="B280" s="48" t="s">
        <v>178</v>
      </c>
      <c r="C280" s="52"/>
      <c r="D280" s="50"/>
      <c r="E280" s="128"/>
      <c r="F280" s="50">
        <f>SUM(F274:F279)</f>
        <v>0</v>
      </c>
      <c r="G280" s="50"/>
      <c r="H280" s="52">
        <f>SUM(H274:H279)</f>
        <v>0</v>
      </c>
      <c r="I280" s="53">
        <f>ROUND(SUMPRODUCT(E274:E279*F274:F279),2)</f>
        <v>0</v>
      </c>
    </row>
    <row r="281" spans="1:16" ht="18" customHeight="1">
      <c r="B281" s="124" t="str">
        <f>材料价格!A10</f>
        <v>6单银Low-E+12A+6</v>
      </c>
      <c r="C281" s="133">
        <f>C252</f>
        <v>-12</v>
      </c>
      <c r="D281" s="133">
        <f>D252</f>
        <v>-12</v>
      </c>
      <c r="E281" s="32">
        <f t="shared" si="27"/>
        <v>1.44E-4</v>
      </c>
      <c r="F281" s="134"/>
      <c r="G281" s="137">
        <f>材料价格!B10</f>
        <v>148</v>
      </c>
      <c r="H281" s="134">
        <f>ROUND(E281*G281*F281,2)</f>
        <v>0</v>
      </c>
      <c r="I281" s="247" t="s">
        <v>179</v>
      </c>
    </row>
    <row r="282" spans="1:16" ht="18" customHeight="1">
      <c r="B282" s="124" t="str">
        <f>B281</f>
        <v>6单银Low-E+12A+6</v>
      </c>
      <c r="C282" s="133">
        <f>C253</f>
        <v>-12</v>
      </c>
      <c r="D282" s="133">
        <f>D253</f>
        <v>-12</v>
      </c>
      <c r="E282" s="32">
        <f t="shared" si="27"/>
        <v>1.44E-4</v>
      </c>
      <c r="F282" s="134"/>
      <c r="G282" s="135">
        <f>G281</f>
        <v>148</v>
      </c>
      <c r="H282" s="134">
        <f>ROUND(E282*G282*F282,2)</f>
        <v>0</v>
      </c>
      <c r="I282" s="247" t="s">
        <v>179</v>
      </c>
      <c r="J282" s="255"/>
      <c r="K282" s="255"/>
      <c r="L282" s="255"/>
      <c r="M282" s="255"/>
    </row>
    <row r="283" spans="1:16" ht="18" customHeight="1">
      <c r="B283" s="124" t="str">
        <f>B282</f>
        <v>6单银Low-E+12A+6</v>
      </c>
      <c r="C283" s="133">
        <f>D84-12</f>
        <v>-12</v>
      </c>
      <c r="D283" s="133">
        <f>E84-12</f>
        <v>-12</v>
      </c>
      <c r="E283" s="32">
        <f t="shared" si="27"/>
        <v>1.44E-4</v>
      </c>
      <c r="F283" s="134">
        <f>G84</f>
        <v>0</v>
      </c>
      <c r="G283" s="135">
        <f>G282</f>
        <v>148</v>
      </c>
      <c r="H283" s="134">
        <f>ROUND(E283*G283*F283,2)</f>
        <v>0</v>
      </c>
      <c r="I283" s="247" t="s">
        <v>179</v>
      </c>
      <c r="J283" s="255"/>
      <c r="K283" s="255"/>
      <c r="L283" s="255"/>
      <c r="M283" s="255"/>
    </row>
    <row r="284" spans="1:16" ht="18" customHeight="1">
      <c r="B284" s="124" t="str">
        <f>B283</f>
        <v>6单银Low-E+12A+6</v>
      </c>
      <c r="C284" s="133">
        <f>D85-12</f>
        <v>-12</v>
      </c>
      <c r="D284" s="133">
        <f>E85-12</f>
        <v>-12</v>
      </c>
      <c r="E284" s="32">
        <f t="shared" si="27"/>
        <v>1.44E-4</v>
      </c>
      <c r="F284" s="134">
        <f>G85</f>
        <v>0</v>
      </c>
      <c r="G284" s="135">
        <f>G283</f>
        <v>148</v>
      </c>
      <c r="H284" s="134">
        <f>ROUND(E284*G284*F284,2)</f>
        <v>0</v>
      </c>
      <c r="I284" s="247" t="s">
        <v>179</v>
      </c>
      <c r="J284" s="255"/>
      <c r="K284" s="255"/>
      <c r="L284" s="255"/>
      <c r="M284" s="255"/>
    </row>
    <row r="285" spans="1:16" ht="18" customHeight="1">
      <c r="B285" s="48" t="s">
        <v>180</v>
      </c>
      <c r="C285" s="52"/>
      <c r="D285" s="50"/>
      <c r="E285" s="50"/>
      <c r="F285" s="50">
        <f>SUM(F281:F284)</f>
        <v>0</v>
      </c>
      <c r="G285" s="50"/>
      <c r="H285" s="52">
        <f>SUM(H281:H284)</f>
        <v>0</v>
      </c>
      <c r="I285" s="53">
        <f>ROUND((E281*F281+E282*F282+E283*F283+E284*F284),2)</f>
        <v>0</v>
      </c>
      <c r="J285" s="255"/>
      <c r="K285" s="255"/>
      <c r="L285" s="255"/>
      <c r="M285" s="255"/>
    </row>
    <row r="286" spans="1:16" ht="18" customHeight="1">
      <c r="B286" s="124" t="str">
        <f>材料价格!A11</f>
        <v>8单银Low-E+12Ar+8+12A+8mm</v>
      </c>
      <c r="C286" s="133"/>
      <c r="D286" s="133"/>
      <c r="E286" s="32">
        <f>C286*D286/10^6</f>
        <v>0</v>
      </c>
      <c r="F286" s="134"/>
      <c r="G286" s="137">
        <f>材料价格!B11</f>
        <v>312</v>
      </c>
      <c r="H286" s="134">
        <f>ROUND(E286*G286*F286,2)</f>
        <v>0</v>
      </c>
      <c r="I286" s="247" t="s">
        <v>181</v>
      </c>
      <c r="J286" s="255"/>
      <c r="K286" s="255"/>
      <c r="L286" s="255"/>
      <c r="M286" s="255"/>
    </row>
    <row r="287" spans="1:16" ht="18" customHeight="1">
      <c r="B287" s="124" t="str">
        <f>B286</f>
        <v>8单银Low-E+12Ar+8+12A+8mm</v>
      </c>
      <c r="C287" s="133"/>
      <c r="D287" s="133"/>
      <c r="E287" s="32">
        <f>C287*D287/10^6</f>
        <v>0</v>
      </c>
      <c r="F287" s="134"/>
      <c r="G287" s="135">
        <f>G286</f>
        <v>312</v>
      </c>
      <c r="H287" s="134">
        <f>ROUND(E287*G287*F287,2)</f>
        <v>0</v>
      </c>
      <c r="I287" s="247" t="s">
        <v>181</v>
      </c>
      <c r="J287" s="255"/>
      <c r="K287" s="255"/>
      <c r="L287" s="255"/>
      <c r="M287" s="255"/>
    </row>
    <row r="288" spans="1:16" ht="18" customHeight="1">
      <c r="B288" s="138" t="str">
        <f>材料价格!A12</f>
        <v>10单银Low-E+12Ar+10+12A+10mm</v>
      </c>
      <c r="C288" s="139"/>
      <c r="D288" s="139"/>
      <c r="E288" s="140">
        <f>C288*D288/10^6</f>
        <v>0</v>
      </c>
      <c r="F288" s="141"/>
      <c r="G288" s="142">
        <f>材料价格!B12</f>
        <v>395</v>
      </c>
      <c r="H288" s="141">
        <f>ROUND(E288*G288*F288,2)</f>
        <v>0</v>
      </c>
      <c r="I288" s="143" t="s">
        <v>181</v>
      </c>
      <c r="J288" s="255"/>
      <c r="K288" s="255"/>
      <c r="L288" s="255"/>
      <c r="M288" s="255"/>
    </row>
    <row r="289" spans="2:13" ht="18" customHeight="1">
      <c r="B289" s="138" t="str">
        <f>B288</f>
        <v>10单银Low-E+12Ar+10+12A+10mm</v>
      </c>
      <c r="C289" s="139"/>
      <c r="D289" s="139"/>
      <c r="E289" s="140">
        <f>C289*D289/10^6</f>
        <v>0</v>
      </c>
      <c r="F289" s="141"/>
      <c r="G289" s="142">
        <f>G288</f>
        <v>395</v>
      </c>
      <c r="H289" s="141">
        <f>ROUND(E289*G289*F289,2)</f>
        <v>0</v>
      </c>
      <c r="I289" s="143" t="s">
        <v>181</v>
      </c>
      <c r="J289" s="255"/>
      <c r="K289" s="255"/>
      <c r="L289" s="255"/>
      <c r="M289" s="255"/>
    </row>
    <row r="290" spans="2:13" ht="18" customHeight="1">
      <c r="B290" s="48" t="s">
        <v>180</v>
      </c>
      <c r="C290" s="52"/>
      <c r="D290" s="50"/>
      <c r="E290" s="50"/>
      <c r="F290" s="50">
        <f>SUM(F286:F289)</f>
        <v>0</v>
      </c>
      <c r="G290" s="50"/>
      <c r="H290" s="52">
        <f>SUM(H286:H289)</f>
        <v>0</v>
      </c>
      <c r="I290" s="53">
        <f>ROUND((E286*F286+E287*F287+E288*F288+E289*F289),2)</f>
        <v>0</v>
      </c>
      <c r="J290" s="255"/>
      <c r="K290" s="255"/>
      <c r="L290" s="255"/>
      <c r="M290" s="255"/>
    </row>
    <row r="291" spans="2:13" ht="18" customHeight="1">
      <c r="B291" s="642" t="s">
        <v>182</v>
      </c>
      <c r="C291" s="144" t="s">
        <v>183</v>
      </c>
      <c r="D291" s="144" cm="1">
        <f t="array" ref="D291">SUMPRODUCT(E225:E232*F225:F232)+SUMPRODUCT(E243:E249*F243:F249)</f>
        <v>2.2769759999999999</v>
      </c>
      <c r="E291" s="144" t="s">
        <v>184</v>
      </c>
      <c r="F291" s="145">
        <f>F233+F250</f>
        <v>1</v>
      </c>
      <c r="G291" s="145" t="s">
        <v>185</v>
      </c>
      <c r="H291" s="144">
        <f>H233+H250</f>
        <v>336.99</v>
      </c>
      <c r="I291" s="146">
        <f>H291/F366</f>
        <v>40.513831616153119</v>
      </c>
      <c r="J291" s="255"/>
      <c r="K291" s="255"/>
      <c r="L291" s="255"/>
      <c r="M291" s="255"/>
    </row>
    <row r="292" spans="2:13" ht="18" customHeight="1">
      <c r="B292" s="642"/>
      <c r="C292" s="144" t="s">
        <v>186</v>
      </c>
      <c r="D292" s="144">
        <f>SUMPRODUCT(E234:E241*F234:F241)+SUMPRODUCT(E251:E257*F251:F257)+SUMPRODUCT(E259:E264*F259:F264)+SUMPRODUCT(E266:E268*F266:F268)+SUMPRODUCT(E270:E272*F270:F272)+SUMPRODUCT(E281:E284*F281:F284)+SUMPRODUCT(E286:E289*F286:F289)+SUMPRODUCT(E274:E279*F274:F279)</f>
        <v>4.2785399999999996</v>
      </c>
      <c r="E292" s="144" t="s">
        <v>186</v>
      </c>
      <c r="F292" s="145">
        <f>F242+F258+F265+F269+F273+F285+F290+F280</f>
        <v>2</v>
      </c>
      <c r="G292" s="145" t="s">
        <v>185</v>
      </c>
      <c r="H292" s="144">
        <f>H242+H258+H265+H269+H273+H280+H285+H290</f>
        <v>633.22</v>
      </c>
      <c r="I292" s="146">
        <f>H292/F366</f>
        <v>76.127387922432348</v>
      </c>
      <c r="J292" s="255"/>
      <c r="K292" s="255"/>
      <c r="L292" s="255"/>
      <c r="M292" s="255"/>
    </row>
    <row r="293" spans="2:13" ht="18" customHeight="1">
      <c r="B293" s="23" t="s">
        <v>187</v>
      </c>
      <c r="C293" s="252" t="s">
        <v>188</v>
      </c>
      <c r="D293" s="68" t="s">
        <v>189</v>
      </c>
      <c r="E293" s="252" t="s">
        <v>8</v>
      </c>
      <c r="F293" s="252" t="s">
        <v>190</v>
      </c>
      <c r="G293" s="252" t="s">
        <v>191</v>
      </c>
      <c r="H293" s="252" t="s">
        <v>160</v>
      </c>
      <c r="I293" s="25" t="s">
        <v>1</v>
      </c>
      <c r="J293" s="255"/>
      <c r="K293" s="255"/>
      <c r="L293" s="255"/>
      <c r="M293" s="255"/>
    </row>
    <row r="294" spans="2:13" ht="18" customHeight="1">
      <c r="B294" s="629" t="s">
        <v>192</v>
      </c>
      <c r="C294" s="253">
        <f>D26</f>
        <v>0</v>
      </c>
      <c r="D294" s="250"/>
      <c r="E294" s="250"/>
      <c r="F294" s="250" t="s">
        <v>193</v>
      </c>
      <c r="G294" s="108">
        <f>材料价格!B14</f>
        <v>153</v>
      </c>
      <c r="H294" s="147">
        <f>E294*G294</f>
        <v>0</v>
      </c>
      <c r="I294" s="632" t="s">
        <v>194</v>
      </c>
      <c r="J294" s="255"/>
      <c r="K294" s="255"/>
      <c r="L294" s="255"/>
      <c r="M294" s="255"/>
    </row>
    <row r="295" spans="2:13" ht="18" customHeight="1">
      <c r="B295" s="629"/>
      <c r="C295" s="253"/>
      <c r="D295" s="250"/>
      <c r="E295" s="250"/>
      <c r="F295" s="250"/>
      <c r="G295" s="108"/>
      <c r="H295" s="147">
        <f t="shared" ref="H295:H303" si="52">E295*G295</f>
        <v>0</v>
      </c>
      <c r="I295" s="633"/>
      <c r="J295" s="255"/>
      <c r="K295" s="255"/>
      <c r="L295" s="255"/>
      <c r="M295" s="255"/>
    </row>
    <row r="296" spans="2:13" ht="18" customHeight="1">
      <c r="B296" s="629" t="s">
        <v>195</v>
      </c>
      <c r="C296" s="253"/>
      <c r="D296" s="148"/>
      <c r="E296" s="250"/>
      <c r="F296" s="250" t="str">
        <f>F294</f>
        <v>坚朗</v>
      </c>
      <c r="G296" s="108">
        <f>材料价格!B15</f>
        <v>80</v>
      </c>
      <c r="H296" s="147">
        <f t="shared" si="52"/>
        <v>0</v>
      </c>
      <c r="I296" s="632" t="s">
        <v>196</v>
      </c>
      <c r="J296" s="255"/>
      <c r="K296" s="255"/>
      <c r="L296" s="255"/>
      <c r="M296" s="255"/>
    </row>
    <row r="297" spans="2:13" ht="18" customHeight="1">
      <c r="B297" s="629"/>
      <c r="C297" s="253"/>
      <c r="D297" s="148"/>
      <c r="E297" s="250"/>
      <c r="F297" s="250"/>
      <c r="G297" s="108"/>
      <c r="H297" s="147">
        <f t="shared" si="52"/>
        <v>0</v>
      </c>
      <c r="I297" s="633"/>
      <c r="J297" s="255"/>
      <c r="K297" s="255"/>
      <c r="L297" s="255"/>
      <c r="M297" s="255"/>
    </row>
    <row r="298" spans="2:13" ht="18" customHeight="1">
      <c r="B298" s="629" t="s">
        <v>197</v>
      </c>
      <c r="C298" s="253"/>
      <c r="D298" s="148"/>
      <c r="E298" s="250"/>
      <c r="F298" s="250" t="str">
        <f>F296</f>
        <v>坚朗</v>
      </c>
      <c r="G298" s="108">
        <f>材料价格!B16</f>
        <v>88</v>
      </c>
      <c r="H298" s="147">
        <f t="shared" si="52"/>
        <v>0</v>
      </c>
      <c r="I298" s="633"/>
      <c r="J298" s="255"/>
      <c r="K298" s="255"/>
      <c r="L298" s="255"/>
      <c r="M298" s="255"/>
    </row>
    <row r="299" spans="2:13" ht="18" customHeight="1">
      <c r="B299" s="629"/>
      <c r="C299" s="253"/>
      <c r="D299" s="148"/>
      <c r="E299" s="250"/>
      <c r="F299" s="250"/>
      <c r="G299" s="108"/>
      <c r="H299" s="147">
        <f t="shared" si="52"/>
        <v>0</v>
      </c>
      <c r="I299" s="633"/>
      <c r="J299" s="255"/>
      <c r="K299" s="255"/>
      <c r="L299" s="255"/>
      <c r="M299" s="255"/>
    </row>
    <row r="300" spans="2:13" ht="18" customHeight="1">
      <c r="B300" s="629" t="s">
        <v>198</v>
      </c>
      <c r="C300" s="253">
        <f>D35</f>
        <v>0</v>
      </c>
      <c r="D300" s="148"/>
      <c r="E300" s="250"/>
      <c r="F300" s="250" t="str">
        <f>F298</f>
        <v>坚朗</v>
      </c>
      <c r="G300" s="108">
        <f>材料价格!B17</f>
        <v>115</v>
      </c>
      <c r="H300" s="147">
        <f t="shared" si="52"/>
        <v>0</v>
      </c>
      <c r="I300" s="149"/>
      <c r="J300" s="255"/>
      <c r="K300" s="255"/>
      <c r="L300" s="255"/>
      <c r="M300" s="255"/>
    </row>
    <row r="301" spans="2:13" ht="18" customHeight="1">
      <c r="B301" s="629"/>
      <c r="C301" s="253"/>
      <c r="D301" s="148"/>
      <c r="E301" s="250"/>
      <c r="F301" s="250"/>
      <c r="G301" s="108"/>
      <c r="H301" s="147">
        <f t="shared" si="52"/>
        <v>0</v>
      </c>
      <c r="I301" s="149"/>
      <c r="J301" s="255"/>
      <c r="K301" s="255"/>
      <c r="L301" s="255"/>
      <c r="M301" s="255"/>
    </row>
    <row r="302" spans="2:13" ht="18" customHeight="1">
      <c r="B302" s="629" t="s">
        <v>199</v>
      </c>
      <c r="C302" s="250" t="s">
        <v>200</v>
      </c>
      <c r="D302" s="148"/>
      <c r="E302" s="250"/>
      <c r="F302" s="250" t="str">
        <f>F300</f>
        <v>坚朗</v>
      </c>
      <c r="G302" s="108">
        <f>材料价格!B19</f>
        <v>230</v>
      </c>
      <c r="H302" s="147">
        <f t="shared" si="52"/>
        <v>0</v>
      </c>
      <c r="I302" s="247"/>
      <c r="J302" s="255"/>
      <c r="K302" s="255"/>
      <c r="L302" s="255"/>
      <c r="M302" s="255"/>
    </row>
    <row r="303" spans="2:13" ht="18" customHeight="1">
      <c r="B303" s="629"/>
      <c r="C303" s="250" t="s">
        <v>201</v>
      </c>
      <c r="D303" s="148"/>
      <c r="E303" s="250">
        <v>1</v>
      </c>
      <c r="F303" s="250" t="str">
        <f>F302</f>
        <v>坚朗</v>
      </c>
      <c r="G303" s="108">
        <f>材料价格!B20</f>
        <v>335</v>
      </c>
      <c r="H303" s="147">
        <f t="shared" si="52"/>
        <v>335</v>
      </c>
      <c r="I303" s="247"/>
      <c r="J303" s="255"/>
      <c r="K303" s="255"/>
      <c r="L303" s="255"/>
      <c r="M303" s="255"/>
    </row>
    <row r="304" spans="2:13" ht="18" customHeight="1">
      <c r="B304" s="150" t="s">
        <v>202</v>
      </c>
      <c r="C304" s="50"/>
      <c r="D304" s="50"/>
      <c r="E304" s="50">
        <f>SUM(E294:E303)</f>
        <v>1</v>
      </c>
      <c r="F304" s="50"/>
      <c r="G304" s="166"/>
      <c r="H304" s="151">
        <f>SUM(H294:H303)</f>
        <v>335</v>
      </c>
      <c r="I304" s="152"/>
      <c r="J304" s="42"/>
    </row>
    <row r="305" spans="1:16" ht="18" customHeight="1">
      <c r="B305" s="246" t="s">
        <v>300</v>
      </c>
      <c r="C305" s="250"/>
      <c r="D305" s="148"/>
      <c r="E305" s="253">
        <f>E294+E296</f>
        <v>0</v>
      </c>
      <c r="F305" s="148"/>
      <c r="G305" s="148">
        <f>材料价格!B27</f>
        <v>0</v>
      </c>
      <c r="H305" s="154">
        <f>E305*G305</f>
        <v>0</v>
      </c>
      <c r="I305" s="247" t="s">
        <v>203</v>
      </c>
    </row>
    <row r="306" spans="1:16" s="16" customFormat="1" ht="18" customHeight="1">
      <c r="A306" s="1"/>
      <c r="B306" s="246" t="s">
        <v>204</v>
      </c>
      <c r="C306" s="250"/>
      <c r="D306" s="148"/>
      <c r="E306" s="253">
        <f>E298+E299+E300+E301</f>
        <v>0</v>
      </c>
      <c r="F306" s="148"/>
      <c r="G306" s="148">
        <f>材料价格!B28</f>
        <v>118</v>
      </c>
      <c r="H306" s="154">
        <f>E306*G306</f>
        <v>0</v>
      </c>
      <c r="I306" s="247" t="s">
        <v>205</v>
      </c>
      <c r="J306" s="43"/>
      <c r="K306" s="43"/>
      <c r="L306" s="43"/>
      <c r="M306" s="43"/>
      <c r="N306" s="255"/>
      <c r="O306" s="255"/>
      <c r="P306" s="255"/>
    </row>
    <row r="307" spans="1:16" s="16" customFormat="1" ht="18" customHeight="1">
      <c r="A307" s="1"/>
      <c r="B307" s="246" t="s">
        <v>206</v>
      </c>
      <c r="C307" s="250"/>
      <c r="D307" s="148"/>
      <c r="E307" s="253"/>
      <c r="F307" s="148"/>
      <c r="G307" s="148"/>
      <c r="H307" s="154">
        <f>E307*G307</f>
        <v>0</v>
      </c>
      <c r="I307" s="247" t="s">
        <v>207</v>
      </c>
      <c r="J307" s="43"/>
      <c r="K307" s="43"/>
      <c r="L307" s="43"/>
      <c r="M307" s="43"/>
      <c r="N307" s="255"/>
      <c r="O307" s="255"/>
      <c r="P307" s="255"/>
    </row>
    <row r="308" spans="1:16" s="16" customFormat="1" ht="18" customHeight="1">
      <c r="A308" s="1"/>
      <c r="B308" s="150" t="s">
        <v>208</v>
      </c>
      <c r="C308" s="50"/>
      <c r="D308" s="50"/>
      <c r="E308" s="100">
        <f>SUM(E305:E307)</f>
        <v>0</v>
      </c>
      <c r="F308" s="50"/>
      <c r="G308" s="166"/>
      <c r="H308" s="155">
        <f>SUM(H305:H307)</f>
        <v>0</v>
      </c>
      <c r="I308" s="152"/>
      <c r="J308" s="43"/>
      <c r="K308" s="43"/>
      <c r="L308" s="43"/>
      <c r="M308" s="43"/>
      <c r="N308" s="255"/>
      <c r="O308" s="255"/>
      <c r="P308" s="255"/>
    </row>
    <row r="309" spans="1:16" s="16" customFormat="1" ht="18" customHeight="1">
      <c r="A309" s="1"/>
      <c r="B309" s="156" t="s">
        <v>209</v>
      </c>
      <c r="C309" s="157">
        <f>ROUND(IF(D4&lt;=200,4,0)+IF(D4&gt;200,(D4/200+1))+IF(E4&lt;=200,4,0)+IF(E4&gt;200,(E4/200+1)),0)</f>
        <v>33</v>
      </c>
      <c r="D309" s="148"/>
      <c r="E309" s="148"/>
      <c r="F309" s="148"/>
      <c r="G309" s="158">
        <v>0.5</v>
      </c>
      <c r="H309" s="159">
        <f>ROUND(C309*G309,2)</f>
        <v>16.5</v>
      </c>
      <c r="I309" s="247" t="s">
        <v>210</v>
      </c>
      <c r="J309" s="43"/>
      <c r="K309" s="43"/>
      <c r="L309" s="43"/>
      <c r="M309" s="43"/>
      <c r="N309" s="255"/>
      <c r="O309" s="255"/>
      <c r="P309" s="255"/>
    </row>
    <row r="310" spans="1:16" s="16" customFormat="1" ht="18" customHeight="1">
      <c r="A310" s="1"/>
      <c r="B310" s="156" t="s">
        <v>211</v>
      </c>
      <c r="C310" s="157">
        <f>C309*2</f>
        <v>66</v>
      </c>
      <c r="D310" s="148">
        <f>D309*2</f>
        <v>0</v>
      </c>
      <c r="E310" s="148"/>
      <c r="F310" s="148"/>
      <c r="G310" s="158">
        <v>0.3</v>
      </c>
      <c r="H310" s="159">
        <f>ROUND(C310*G310,2)</f>
        <v>19.8</v>
      </c>
      <c r="I310" s="247" t="s">
        <v>212</v>
      </c>
      <c r="J310" s="43"/>
      <c r="K310" s="43"/>
      <c r="L310" s="255"/>
      <c r="M310" s="255"/>
      <c r="N310" s="255"/>
      <c r="O310" s="255"/>
      <c r="P310" s="255"/>
    </row>
    <row r="311" spans="1:16" s="16" customFormat="1" ht="18" customHeight="1">
      <c r="A311" s="1"/>
      <c r="B311" s="160" t="s">
        <v>213</v>
      </c>
      <c r="C311" s="161">
        <f>F6</f>
        <v>8.2584</v>
      </c>
      <c r="D311" s="162"/>
      <c r="E311" s="162"/>
      <c r="F311" s="162"/>
      <c r="G311" s="163">
        <v>5</v>
      </c>
      <c r="H311" s="159">
        <f>ROUND(C311*G311,2)</f>
        <v>41.29</v>
      </c>
      <c r="I311" s="247"/>
      <c r="J311" s="43"/>
      <c r="K311" s="43"/>
      <c r="L311" s="255"/>
      <c r="M311" s="255"/>
      <c r="N311" s="255"/>
      <c r="O311" s="255"/>
      <c r="P311" s="255"/>
    </row>
    <row r="312" spans="1:16" s="16" customFormat="1" ht="18" customHeight="1">
      <c r="A312" s="1"/>
      <c r="B312" s="160" t="s">
        <v>214</v>
      </c>
      <c r="C312" s="161"/>
      <c r="D312" s="162"/>
      <c r="E312" s="162"/>
      <c r="F312" s="162"/>
      <c r="G312" s="163"/>
      <c r="H312" s="159">
        <f>ROUND(C312*G312,2)</f>
        <v>0</v>
      </c>
      <c r="I312" s="247"/>
      <c r="J312" s="43"/>
      <c r="K312" s="43"/>
      <c r="L312" s="255"/>
      <c r="M312" s="255"/>
      <c r="N312" s="255"/>
      <c r="O312" s="255"/>
      <c r="P312" s="255"/>
    </row>
    <row r="313" spans="1:16" s="16" customFormat="1" ht="18" customHeight="1">
      <c r="A313" s="1"/>
      <c r="B313" s="164" t="s">
        <v>397</v>
      </c>
      <c r="C313" s="161">
        <f>D291+D292</f>
        <v>6.555515999999999</v>
      </c>
      <c r="D313" s="162"/>
      <c r="E313" s="162"/>
      <c r="F313" s="162"/>
      <c r="G313" s="163">
        <f>10+5</f>
        <v>15</v>
      </c>
      <c r="H313" s="159">
        <f>ROUND(C313*G313,2)</f>
        <v>98.33</v>
      </c>
      <c r="I313" s="247"/>
      <c r="J313" s="43"/>
      <c r="K313" s="43"/>
      <c r="L313" s="255"/>
      <c r="M313" s="255"/>
      <c r="N313" s="255"/>
      <c r="O313" s="255"/>
      <c r="P313" s="255"/>
    </row>
    <row r="314" spans="1:16" s="16" customFormat="1" ht="18" customHeight="1">
      <c r="A314" s="1"/>
      <c r="B314" s="150" t="s">
        <v>215</v>
      </c>
      <c r="C314" s="165"/>
      <c r="D314" s="50"/>
      <c r="E314" s="50"/>
      <c r="F314" s="50"/>
      <c r="G314" s="166"/>
      <c r="H314" s="155">
        <f>SUM(H309:H313)</f>
        <v>175.92000000000002</v>
      </c>
      <c r="I314" s="152"/>
      <c r="J314" s="43"/>
      <c r="K314" s="43"/>
      <c r="L314" s="255"/>
      <c r="M314" s="255"/>
      <c r="N314" s="255"/>
      <c r="O314" s="255"/>
      <c r="P314" s="255"/>
    </row>
    <row r="315" spans="1:16" s="16" customFormat="1" ht="18" customHeight="1">
      <c r="A315" s="1"/>
      <c r="B315" s="156" t="s">
        <v>216</v>
      </c>
      <c r="C315" s="167">
        <f>E203+E205+E207+I203+I205+E209+I207</f>
        <v>16</v>
      </c>
      <c r="D315" s="148"/>
      <c r="E315" s="148"/>
      <c r="F315" s="148"/>
      <c r="G315" s="168">
        <v>1.9</v>
      </c>
      <c r="H315" s="154">
        <f t="shared" ref="H315:H318" si="53">ROUND(C315*G315,2)</f>
        <v>30.4</v>
      </c>
      <c r="I315" s="224" t="s">
        <v>340</v>
      </c>
      <c r="J315" s="255"/>
      <c r="K315" s="43"/>
      <c r="L315" s="255"/>
      <c r="M315" s="255"/>
      <c r="N315" s="255"/>
      <c r="O315" s="255"/>
      <c r="P315" s="255"/>
    </row>
    <row r="316" spans="1:16" s="16" customFormat="1" ht="18" customHeight="1">
      <c r="A316" s="1"/>
      <c r="B316" s="156" t="s">
        <v>217</v>
      </c>
      <c r="C316" s="167">
        <f>ROUND((D4+E4)*2/1000,2)</f>
        <v>12.2</v>
      </c>
      <c r="D316" s="148"/>
      <c r="E316" s="238">
        <v>4</v>
      </c>
      <c r="F316" s="235">
        <f>材料价格!B25</f>
        <v>8.52</v>
      </c>
      <c r="G316" s="168">
        <f t="shared" ref="G316:G321" si="54">F316/E316</f>
        <v>2.13</v>
      </c>
      <c r="H316" s="154">
        <f t="shared" si="53"/>
        <v>25.99</v>
      </c>
      <c r="I316" s="169" t="s">
        <v>218</v>
      </c>
      <c r="J316" s="255"/>
      <c r="K316" s="43"/>
      <c r="L316" s="255"/>
      <c r="M316" s="255"/>
      <c r="N316" s="255"/>
      <c r="O316" s="255"/>
      <c r="P316" s="255"/>
    </row>
    <row r="317" spans="1:16" s="16" customFormat="1" ht="18" customHeight="1">
      <c r="A317" s="1"/>
      <c r="B317" s="156" t="s">
        <v>219</v>
      </c>
      <c r="C317" s="167">
        <f>C316</f>
        <v>12.2</v>
      </c>
      <c r="D317" s="148"/>
      <c r="E317" s="238">
        <v>3</v>
      </c>
      <c r="F317" s="235">
        <f>F316</f>
        <v>8.52</v>
      </c>
      <c r="G317" s="168">
        <f t="shared" si="54"/>
        <v>2.84</v>
      </c>
      <c r="H317" s="154">
        <f t="shared" si="53"/>
        <v>34.65</v>
      </c>
      <c r="I317" s="169" t="s">
        <v>220</v>
      </c>
      <c r="J317" s="255"/>
      <c r="K317" s="43"/>
      <c r="L317" s="255"/>
      <c r="M317" s="255"/>
      <c r="N317" s="255"/>
      <c r="O317" s="255"/>
      <c r="P317" s="255"/>
    </row>
    <row r="318" spans="1:16" s="16" customFormat="1" ht="18" customHeight="1">
      <c r="A318" s="1"/>
      <c r="B318" s="156" t="s">
        <v>221</v>
      </c>
      <c r="C318" s="167">
        <f>C316</f>
        <v>12.2</v>
      </c>
      <c r="D318" s="148"/>
      <c r="E318" s="238">
        <v>6.5</v>
      </c>
      <c r="F318" s="235">
        <f>材料价格!B26</f>
        <v>23</v>
      </c>
      <c r="G318" s="168">
        <f t="shared" si="54"/>
        <v>3.5384615384615383</v>
      </c>
      <c r="H318" s="154">
        <f t="shared" si="53"/>
        <v>43.17</v>
      </c>
      <c r="I318" s="224" t="s">
        <v>222</v>
      </c>
      <c r="J318" s="255"/>
      <c r="K318" s="43"/>
      <c r="L318" s="255"/>
      <c r="M318" s="255"/>
      <c r="N318" s="255"/>
      <c r="O318" s="255"/>
      <c r="P318" s="255"/>
    </row>
    <row r="319" spans="1:16" s="16" customFormat="1" ht="18" customHeight="1">
      <c r="A319" s="1"/>
      <c r="B319" s="156" t="s">
        <v>341</v>
      </c>
      <c r="C319" s="167">
        <f>ROUND((C97+C104+C88+C146+C153+C163)*1,2)</f>
        <v>19.46</v>
      </c>
      <c r="D319" s="77">
        <v>1</v>
      </c>
      <c r="E319" s="238">
        <f>10</f>
        <v>10</v>
      </c>
      <c r="F319" s="235">
        <f>F317</f>
        <v>8.52</v>
      </c>
      <c r="G319" s="168">
        <f>F319/E319</f>
        <v>0.85199999999999998</v>
      </c>
      <c r="H319" s="154">
        <f>ROUND(C319*G319,2)</f>
        <v>16.579999999999998</v>
      </c>
      <c r="I319" s="247" t="s">
        <v>223</v>
      </c>
      <c r="J319" s="255"/>
      <c r="K319" s="43"/>
      <c r="L319" s="255"/>
      <c r="M319" s="255"/>
      <c r="N319" s="255"/>
      <c r="O319" s="255"/>
      <c r="P319" s="255"/>
    </row>
    <row r="320" spans="1:16" s="16" customFormat="1" ht="18" customHeight="1">
      <c r="A320" s="1"/>
      <c r="B320" s="156" t="s">
        <v>342</v>
      </c>
      <c r="C320" s="167">
        <f>C319</f>
        <v>19.46</v>
      </c>
      <c r="D320" s="77">
        <v>1</v>
      </c>
      <c r="E320" s="238">
        <v>6</v>
      </c>
      <c r="F320" s="235">
        <f>F319</f>
        <v>8.52</v>
      </c>
      <c r="G320" s="168">
        <f t="shared" si="54"/>
        <v>1.42</v>
      </c>
      <c r="H320" s="154">
        <f>ROUND(C320*G320,2)</f>
        <v>27.63</v>
      </c>
      <c r="I320" s="247" t="s">
        <v>224</v>
      </c>
      <c r="J320" s="255"/>
      <c r="K320" s="170"/>
      <c r="L320" s="170"/>
      <c r="M320" s="170"/>
      <c r="N320" s="170"/>
      <c r="O320" s="170"/>
      <c r="P320" s="170"/>
    </row>
    <row r="321" spans="1:16" s="16" customFormat="1" ht="18" customHeight="1">
      <c r="A321" s="1"/>
      <c r="B321" s="156" t="s">
        <v>225</v>
      </c>
      <c r="C321" s="167">
        <f>C334*D334+C324*D324+C327*D327</f>
        <v>2.448</v>
      </c>
      <c r="D321" s="77">
        <v>1</v>
      </c>
      <c r="E321" s="238">
        <f>10</f>
        <v>10</v>
      </c>
      <c r="F321" s="235">
        <f>F317</f>
        <v>8.52</v>
      </c>
      <c r="G321" s="168">
        <f t="shared" si="54"/>
        <v>0.85199999999999998</v>
      </c>
      <c r="H321" s="154">
        <f>ROUND(C321*G321,2)</f>
        <v>2.09</v>
      </c>
      <c r="I321" s="247" t="s">
        <v>226</v>
      </c>
      <c r="J321" s="255"/>
      <c r="K321" s="170"/>
      <c r="L321" s="170"/>
      <c r="M321" s="170"/>
      <c r="N321" s="170"/>
      <c r="O321" s="170"/>
      <c r="P321" s="170"/>
    </row>
    <row r="322" spans="1:16" s="16" customFormat="1" ht="18" customHeight="1">
      <c r="A322" s="1"/>
      <c r="B322" s="150" t="s">
        <v>227</v>
      </c>
      <c r="C322" s="165"/>
      <c r="D322" s="50"/>
      <c r="E322" s="50"/>
      <c r="F322" s="50"/>
      <c r="G322" s="166" t="s">
        <v>396</v>
      </c>
      <c r="H322" s="155">
        <f>SUM(H315:H321)</f>
        <v>180.50999999999996</v>
      </c>
      <c r="I322" s="152"/>
      <c r="J322" s="244" t="s">
        <v>399</v>
      </c>
      <c r="K322" s="245" t="s">
        <v>379</v>
      </c>
      <c r="L322" s="170"/>
      <c r="M322" s="170"/>
      <c r="N322" s="170"/>
      <c r="O322" s="170"/>
      <c r="P322" s="170"/>
    </row>
    <row r="323" spans="1:16" s="16" customFormat="1" ht="18" customHeight="1">
      <c r="A323" s="1"/>
      <c r="B323" s="156" t="s">
        <v>356</v>
      </c>
      <c r="C323" s="167">
        <f>C31</f>
        <v>0</v>
      </c>
      <c r="D323" s="239">
        <v>1</v>
      </c>
      <c r="E323" s="148"/>
      <c r="F323" s="148"/>
      <c r="G323" s="236">
        <f>0.45+0.85</f>
        <v>1.3</v>
      </c>
      <c r="H323" s="154">
        <f>ROUND(C323*D323*G323,2)</f>
        <v>0</v>
      </c>
      <c r="I323" s="247" t="s">
        <v>345</v>
      </c>
      <c r="J323" s="244">
        <v>1.76</v>
      </c>
      <c r="K323" s="245" t="s">
        <v>400</v>
      </c>
      <c r="L323" s="170"/>
      <c r="M323" s="171"/>
      <c r="N323" s="170"/>
      <c r="O323" s="170"/>
      <c r="P323" s="170"/>
    </row>
    <row r="324" spans="1:16" s="16" customFormat="1" ht="18" customHeight="1">
      <c r="A324" s="1"/>
      <c r="B324" s="156" t="s">
        <v>347</v>
      </c>
      <c r="C324" s="167">
        <f>C323</f>
        <v>0</v>
      </c>
      <c r="D324" s="239">
        <v>1</v>
      </c>
      <c r="E324" s="148"/>
      <c r="F324" s="148"/>
      <c r="G324" s="236">
        <v>6.89</v>
      </c>
      <c r="H324" s="154">
        <f t="shared" ref="H324:H329" si="55">ROUND(C324*D324*G324,2)</f>
        <v>0</v>
      </c>
      <c r="I324" s="247" t="s">
        <v>346</v>
      </c>
      <c r="J324" s="244">
        <v>12.25</v>
      </c>
      <c r="K324" s="245" t="s">
        <v>376</v>
      </c>
      <c r="L324" s="170"/>
      <c r="M324" s="171"/>
      <c r="N324" s="170"/>
      <c r="O324" s="170"/>
      <c r="P324" s="170"/>
    </row>
    <row r="325" spans="1:16" s="16" customFormat="1" ht="18" customHeight="1">
      <c r="A325" s="1"/>
      <c r="B325" s="156" t="s">
        <v>357</v>
      </c>
      <c r="C325" s="167">
        <f>C38</f>
        <v>0</v>
      </c>
      <c r="D325" s="239">
        <v>1</v>
      </c>
      <c r="E325" s="148"/>
      <c r="F325" s="148"/>
      <c r="G325" s="236">
        <f>0.85+0.61</f>
        <v>1.46</v>
      </c>
      <c r="H325" s="154">
        <f t="shared" si="55"/>
        <v>0</v>
      </c>
      <c r="I325" s="247" t="s">
        <v>354</v>
      </c>
      <c r="J325" s="244">
        <v>1.76</v>
      </c>
      <c r="K325" s="245" t="s">
        <v>378</v>
      </c>
      <c r="L325" s="170"/>
      <c r="M325" s="171"/>
      <c r="N325" s="170"/>
      <c r="O325" s="170"/>
      <c r="P325" s="170"/>
    </row>
    <row r="326" spans="1:16" s="16" customFormat="1" ht="18" customHeight="1">
      <c r="A326" s="1"/>
      <c r="B326" s="156" t="s">
        <v>355</v>
      </c>
      <c r="C326" s="167">
        <f>C325</f>
        <v>0</v>
      </c>
      <c r="D326" s="239">
        <v>1</v>
      </c>
      <c r="E326" s="148"/>
      <c r="F326" s="148"/>
      <c r="G326" s="236">
        <v>3.27</v>
      </c>
      <c r="H326" s="154">
        <f>ROUND(C326*D326*G326,2)</f>
        <v>0</v>
      </c>
      <c r="I326" s="247" t="s">
        <v>358</v>
      </c>
      <c r="J326" s="244">
        <v>3.27</v>
      </c>
      <c r="K326" s="245" t="s">
        <v>358</v>
      </c>
      <c r="L326" s="170"/>
      <c r="M326" s="171"/>
      <c r="N326" s="170"/>
      <c r="O326" s="170"/>
      <c r="P326" s="170"/>
    </row>
    <row r="327" spans="1:16" s="16" customFormat="1" ht="18" customHeight="1">
      <c r="A327" s="1"/>
      <c r="B327" s="156" t="s">
        <v>228</v>
      </c>
      <c r="C327" s="167">
        <f>C126</f>
        <v>0</v>
      </c>
      <c r="D327" s="239">
        <v>1</v>
      </c>
      <c r="E327" s="110"/>
      <c r="F327" s="148"/>
      <c r="G327" s="236">
        <v>6.89</v>
      </c>
      <c r="H327" s="154">
        <f t="shared" si="55"/>
        <v>0</v>
      </c>
      <c r="I327" s="247" t="s">
        <v>346</v>
      </c>
      <c r="J327" s="244">
        <v>12.25</v>
      </c>
      <c r="K327" s="245" t="s">
        <v>346</v>
      </c>
      <c r="L327" s="170"/>
      <c r="M327" s="171"/>
      <c r="N327" s="170"/>
      <c r="O327" s="170"/>
      <c r="P327" s="170"/>
    </row>
    <row r="328" spans="1:16" s="16" customFormat="1" ht="18" customHeight="1">
      <c r="A328" s="1"/>
      <c r="B328" s="156" t="s">
        <v>229</v>
      </c>
      <c r="C328" s="167">
        <f>C327</f>
        <v>0</v>
      </c>
      <c r="D328" s="239">
        <v>1</v>
      </c>
      <c r="E328" s="110"/>
      <c r="F328" s="148"/>
      <c r="G328" s="236">
        <f>G3233</f>
        <v>0</v>
      </c>
      <c r="H328" s="154">
        <f t="shared" si="55"/>
        <v>0</v>
      </c>
      <c r="I328" s="247" t="s">
        <v>345</v>
      </c>
      <c r="J328" s="244">
        <v>0</v>
      </c>
      <c r="K328" s="245" t="s">
        <v>400</v>
      </c>
      <c r="L328" s="170"/>
      <c r="M328" s="171"/>
      <c r="N328" s="170"/>
      <c r="O328" s="170"/>
      <c r="P328" s="170"/>
    </row>
    <row r="329" spans="1:16" s="16" customFormat="1" ht="18" customHeight="1">
      <c r="A329" s="1"/>
      <c r="B329" s="156" t="s">
        <v>230</v>
      </c>
      <c r="C329" s="167">
        <f>C119</f>
        <v>14.244</v>
      </c>
      <c r="D329" s="239">
        <v>1</v>
      </c>
      <c r="E329" s="148"/>
      <c r="F329" s="148"/>
      <c r="G329" s="236">
        <f>G3253</f>
        <v>0</v>
      </c>
      <c r="H329" s="154">
        <f t="shared" si="55"/>
        <v>0</v>
      </c>
      <c r="I329" s="247" t="s">
        <v>354</v>
      </c>
      <c r="J329" s="244">
        <v>0</v>
      </c>
      <c r="K329" s="245" t="s">
        <v>378</v>
      </c>
      <c r="L329" s="170"/>
      <c r="M329" s="171"/>
      <c r="N329" s="170"/>
      <c r="O329" s="170"/>
      <c r="P329" s="170"/>
    </row>
    <row r="330" spans="1:16" s="16" customFormat="1" ht="18" customHeight="1">
      <c r="A330" s="1"/>
      <c r="B330" s="156" t="s">
        <v>362</v>
      </c>
      <c r="C330" s="167">
        <f>C329</f>
        <v>14.244</v>
      </c>
      <c r="D330" s="239">
        <v>1</v>
      </c>
      <c r="E330" s="148"/>
      <c r="F330" s="148"/>
      <c r="G330" s="236">
        <v>3.27</v>
      </c>
      <c r="H330" s="154">
        <f>ROUND(C330*D330*G330,2)</f>
        <v>46.58</v>
      </c>
      <c r="I330" s="247" t="s">
        <v>358</v>
      </c>
      <c r="J330" s="244">
        <v>3.27</v>
      </c>
      <c r="K330" s="245" t="s">
        <v>358</v>
      </c>
      <c r="L330" s="170"/>
      <c r="M330" s="171"/>
      <c r="N330" s="170"/>
      <c r="O330" s="170"/>
      <c r="P330" s="170"/>
    </row>
    <row r="331" spans="1:16" s="16" customFormat="1" ht="18" customHeight="1">
      <c r="A331" s="1"/>
      <c r="B331" s="156" t="s">
        <v>343</v>
      </c>
      <c r="C331" s="167">
        <f>C319</f>
        <v>19.46</v>
      </c>
      <c r="D331" s="239">
        <v>1</v>
      </c>
      <c r="E331" s="148"/>
      <c r="F331" s="148"/>
      <c r="G331" s="236">
        <v>1.25</v>
      </c>
      <c r="H331" s="154">
        <f>C331*D331*G331</f>
        <v>24.325000000000003</v>
      </c>
      <c r="I331" s="247" t="s">
        <v>344</v>
      </c>
      <c r="J331" s="244">
        <v>1.25</v>
      </c>
      <c r="K331" s="245" t="s">
        <v>344</v>
      </c>
      <c r="L331" s="170"/>
      <c r="M331" s="171"/>
      <c r="N331" s="170"/>
      <c r="O331" s="170"/>
      <c r="P331" s="170"/>
    </row>
    <row r="332" spans="1:16" s="16" customFormat="1" ht="18" customHeight="1">
      <c r="A332" s="1"/>
      <c r="B332" s="156" t="s">
        <v>350</v>
      </c>
      <c r="C332" s="167" cm="1">
        <f t="array" ref="C332">SUMPRODUCT(D26:D30*G26:G30)/1000</f>
        <v>0</v>
      </c>
      <c r="D332" s="239">
        <v>1</v>
      </c>
      <c r="E332" s="148"/>
      <c r="F332" s="148"/>
      <c r="G332" s="236">
        <v>0.41</v>
      </c>
      <c r="H332" s="154">
        <f>C332*D332*G332</f>
        <v>0</v>
      </c>
      <c r="I332" s="247" t="s">
        <v>348</v>
      </c>
      <c r="J332" s="244">
        <v>0.41</v>
      </c>
      <c r="K332" s="245" t="s">
        <v>348</v>
      </c>
      <c r="L332" s="170"/>
      <c r="M332" s="171"/>
      <c r="N332" s="170"/>
      <c r="O332" s="170"/>
      <c r="P332" s="170"/>
    </row>
    <row r="333" spans="1:16" s="16" customFormat="1" ht="18" customHeight="1">
      <c r="A333" s="1"/>
      <c r="B333" s="156" t="s">
        <v>349</v>
      </c>
      <c r="C333" s="167">
        <f>C88+C97+C104+C153+C163+C146</f>
        <v>19.463999999999999</v>
      </c>
      <c r="D333" s="239">
        <v>1</v>
      </c>
      <c r="E333" s="148"/>
      <c r="F333" s="148"/>
      <c r="G333" s="236">
        <v>0.49</v>
      </c>
      <c r="H333" s="154">
        <f>C333*D333*G333</f>
        <v>9.5373599999999996</v>
      </c>
      <c r="I333" s="247" t="s">
        <v>351</v>
      </c>
      <c r="J333" s="244">
        <v>0.49</v>
      </c>
      <c r="K333" s="245" t="s">
        <v>351</v>
      </c>
      <c r="L333" s="170"/>
      <c r="M333" s="171"/>
      <c r="N333" s="170"/>
      <c r="O333" s="170"/>
      <c r="P333" s="170"/>
    </row>
    <row r="334" spans="1:16" s="16" customFormat="1" ht="18" customHeight="1">
      <c r="A334" s="1"/>
      <c r="B334" s="156" t="s">
        <v>353</v>
      </c>
      <c r="C334" s="167">
        <f t="array" ref="C334">SUMPRODUCT(D157:D162*G157:G162)/1000+SUM(G157:G162)*0.3+SUMPRODUCT(D68:D87*G68:G87)/1000+SUM(G68:G87)*0.3</f>
        <v>2.448</v>
      </c>
      <c r="D334" s="239">
        <v>1</v>
      </c>
      <c r="E334" s="148"/>
      <c r="F334" s="148"/>
      <c r="G334" s="237">
        <v>5.36</v>
      </c>
      <c r="H334" s="154">
        <f>C334*G334</f>
        <v>13.12128</v>
      </c>
      <c r="I334" s="247" t="s">
        <v>352</v>
      </c>
      <c r="J334" s="244">
        <v>9.5500000000000007</v>
      </c>
      <c r="K334" s="245" t="s">
        <v>377</v>
      </c>
      <c r="L334" s="170"/>
      <c r="M334" s="171"/>
      <c r="N334" s="170"/>
      <c r="O334" s="170"/>
      <c r="P334" s="170"/>
    </row>
    <row r="335" spans="1:16" s="16" customFormat="1" ht="18" customHeight="1">
      <c r="A335" s="1"/>
      <c r="B335" s="156" t="s">
        <v>364</v>
      </c>
      <c r="C335" s="167">
        <f>C319</f>
        <v>19.46</v>
      </c>
      <c r="D335" s="239">
        <v>1</v>
      </c>
      <c r="E335" s="148"/>
      <c r="F335" s="148"/>
      <c r="G335" s="237">
        <v>1.25</v>
      </c>
      <c r="H335" s="154"/>
      <c r="I335" s="149" t="s">
        <v>363</v>
      </c>
      <c r="J335" s="244">
        <v>1.25</v>
      </c>
      <c r="K335" s="245" t="s">
        <v>363</v>
      </c>
      <c r="L335" s="170"/>
      <c r="M335" s="171"/>
      <c r="N335" s="170"/>
      <c r="O335" s="170"/>
      <c r="P335" s="170"/>
    </row>
    <row r="336" spans="1:16" s="16" customFormat="1" ht="18" customHeight="1">
      <c r="A336" s="1"/>
      <c r="B336" s="156" t="s">
        <v>365</v>
      </c>
      <c r="C336" s="167">
        <f>C320</f>
        <v>19.46</v>
      </c>
      <c r="D336" s="239">
        <v>1</v>
      </c>
      <c r="E336" s="148"/>
      <c r="F336" s="148"/>
      <c r="G336" s="237">
        <v>1.63</v>
      </c>
      <c r="H336" s="154"/>
      <c r="I336" s="149" t="s">
        <v>363</v>
      </c>
      <c r="J336" s="244">
        <v>1.63</v>
      </c>
      <c r="K336" s="245" t="s">
        <v>363</v>
      </c>
      <c r="L336" s="170"/>
      <c r="M336" s="171"/>
      <c r="N336" s="170"/>
      <c r="O336" s="170"/>
      <c r="P336" s="170"/>
    </row>
    <row r="337" spans="1:16" s="16" customFormat="1" ht="18" customHeight="1">
      <c r="A337" s="1"/>
      <c r="B337" s="150" t="s">
        <v>231</v>
      </c>
      <c r="C337" s="165"/>
      <c r="D337" s="50"/>
      <c r="E337" s="50"/>
      <c r="F337" s="50"/>
      <c r="G337" s="166"/>
      <c r="H337" s="155">
        <f>SUM(H323:H336)*1.05</f>
        <v>98.241822000000013</v>
      </c>
      <c r="I337" s="152"/>
      <c r="J337" s="172"/>
      <c r="K337" s="170"/>
      <c r="L337" s="170"/>
      <c r="M337" s="170"/>
      <c r="N337" s="170"/>
      <c r="O337" s="170"/>
      <c r="P337" s="170"/>
    </row>
    <row r="338" spans="1:16" s="16" customFormat="1" ht="18" customHeight="1">
      <c r="A338" s="1"/>
      <c r="B338" s="173" t="s">
        <v>366</v>
      </c>
      <c r="C338" s="174">
        <f>F250+F258+F265+F280+F285+F290</f>
        <v>1</v>
      </c>
      <c r="D338" s="175">
        <v>2</v>
      </c>
      <c r="E338" s="176"/>
      <c r="F338" s="176"/>
      <c r="G338" s="240">
        <v>0.5</v>
      </c>
      <c r="H338" s="177">
        <f t="shared" ref="H338:H343" si="56">D338*G338*C338</f>
        <v>1</v>
      </c>
      <c r="I338" s="178" t="s">
        <v>233</v>
      </c>
      <c r="J338" s="172"/>
      <c r="K338" s="170"/>
      <c r="L338" s="170"/>
      <c r="M338" s="170"/>
      <c r="N338" s="170"/>
      <c r="O338" s="170"/>
      <c r="P338" s="170"/>
    </row>
    <row r="339" spans="1:16" s="16" customFormat="1" ht="18" customHeight="1">
      <c r="A339" s="1"/>
      <c r="B339" s="173" t="s">
        <v>367</v>
      </c>
      <c r="C339" s="174">
        <f>F233+F242+F269+F273</f>
        <v>2</v>
      </c>
      <c r="D339" s="175">
        <v>4</v>
      </c>
      <c r="E339" s="176"/>
      <c r="F339" s="176"/>
      <c r="G339" s="240">
        <v>0.63</v>
      </c>
      <c r="H339" s="177">
        <f t="shared" si="56"/>
        <v>5.04</v>
      </c>
      <c r="I339" s="178" t="s">
        <v>234</v>
      </c>
      <c r="J339" s="172"/>
      <c r="K339" s="170"/>
      <c r="L339" s="170"/>
      <c r="M339" s="170"/>
      <c r="N339" s="170"/>
      <c r="O339" s="170"/>
      <c r="P339" s="170"/>
    </row>
    <row r="340" spans="1:16" s="16" customFormat="1" ht="18" customHeight="1">
      <c r="A340" s="1"/>
      <c r="B340" s="173" t="s">
        <v>366</v>
      </c>
      <c r="C340" s="174">
        <f>SUM(G157:G162)</f>
        <v>0</v>
      </c>
      <c r="D340" s="175">
        <f>IF(E113&gt;2200,2,0)</f>
        <v>0</v>
      </c>
      <c r="E340" s="176"/>
      <c r="F340" s="176"/>
      <c r="G340" s="240">
        <v>0.5</v>
      </c>
      <c r="H340" s="177">
        <f t="shared" si="56"/>
        <v>0</v>
      </c>
      <c r="I340" s="178" t="s">
        <v>235</v>
      </c>
      <c r="J340" s="172"/>
      <c r="K340" s="170"/>
      <c r="L340" s="170"/>
      <c r="M340" s="170"/>
      <c r="N340" s="170"/>
      <c r="O340" s="170"/>
      <c r="P340" s="170"/>
    </row>
    <row r="341" spans="1:16" s="16" customFormat="1" ht="18" customHeight="1">
      <c r="A341" s="1"/>
      <c r="B341" s="173" t="s">
        <v>367</v>
      </c>
      <c r="C341" s="174">
        <f>SUM(G116:G118)</f>
        <v>2</v>
      </c>
      <c r="D341" s="175">
        <v>4</v>
      </c>
      <c r="E341" s="176"/>
      <c r="F341" s="176"/>
      <c r="G341" s="240">
        <v>0.63</v>
      </c>
      <c r="H341" s="177">
        <f t="shared" si="56"/>
        <v>5.04</v>
      </c>
      <c r="I341" s="178" t="s">
        <v>236</v>
      </c>
      <c r="J341" s="172"/>
      <c r="K341" s="170"/>
      <c r="L341" s="170"/>
      <c r="M341" s="170"/>
      <c r="N341" s="170"/>
      <c r="O341" s="170"/>
      <c r="P341" s="170"/>
    </row>
    <row r="342" spans="1:16" ht="18" customHeight="1">
      <c r="B342" s="173" t="s">
        <v>237</v>
      </c>
      <c r="C342" s="174">
        <v>1</v>
      </c>
      <c r="D342" s="175">
        <f>(F291+F292)*10</f>
        <v>30</v>
      </c>
      <c r="E342" s="176"/>
      <c r="F342" s="176"/>
      <c r="G342" s="240">
        <v>0.37</v>
      </c>
      <c r="H342" s="177">
        <f t="shared" si="56"/>
        <v>11.1</v>
      </c>
      <c r="I342" s="178"/>
      <c r="J342" s="172"/>
      <c r="K342" s="172"/>
      <c r="L342" s="172"/>
      <c r="N342" s="43"/>
    </row>
    <row r="343" spans="1:16" ht="18" customHeight="1">
      <c r="B343" s="173" t="s">
        <v>232</v>
      </c>
      <c r="C343" s="174">
        <f>C338</f>
        <v>1</v>
      </c>
      <c r="D343" s="175">
        <v>0</v>
      </c>
      <c r="E343" s="176"/>
      <c r="F343" s="176"/>
      <c r="G343" s="240">
        <v>0.49</v>
      </c>
      <c r="H343" s="177">
        <f t="shared" si="56"/>
        <v>0</v>
      </c>
      <c r="I343" s="178" t="s">
        <v>238</v>
      </c>
      <c r="J343" s="172"/>
      <c r="K343" s="172"/>
      <c r="L343" s="172"/>
      <c r="N343" s="43"/>
    </row>
    <row r="344" spans="1:16" ht="18" customHeight="1">
      <c r="B344" s="156" t="s">
        <v>239</v>
      </c>
      <c r="C344" s="157"/>
      <c r="D344" s="250">
        <f>E203+E205*2+E207*2+I203+I205*2+I207*2</f>
        <v>24</v>
      </c>
      <c r="E344" s="148"/>
      <c r="F344" s="148"/>
      <c r="G344" s="148">
        <v>0.2</v>
      </c>
      <c r="H344" s="179">
        <f>D344*G344</f>
        <v>4.8000000000000007</v>
      </c>
      <c r="I344" s="247" t="s">
        <v>368</v>
      </c>
      <c r="J344" s="172"/>
      <c r="K344" s="172"/>
      <c r="L344" s="172"/>
    </row>
    <row r="345" spans="1:16" ht="18" customHeight="1">
      <c r="B345" s="156" t="s">
        <v>240</v>
      </c>
      <c r="C345" s="157"/>
      <c r="D345" s="250">
        <f>4*(E52+E53+E54+E55+G52+G53+G54+G55+G60+G61+G62+G63+E130+E131+E132+G130+G131+G132+G137+G138)</f>
        <v>4</v>
      </c>
      <c r="E345" s="148"/>
      <c r="F345" s="148"/>
      <c r="G345" s="148">
        <v>0.22</v>
      </c>
      <c r="H345" s="179">
        <f>D345*G345</f>
        <v>0.88</v>
      </c>
      <c r="I345" s="247" t="s">
        <v>241</v>
      </c>
      <c r="J345" s="172"/>
      <c r="K345" s="172"/>
      <c r="L345" s="172"/>
    </row>
    <row r="346" spans="1:16" ht="18" customHeight="1">
      <c r="B346" s="156" t="s">
        <v>242</v>
      </c>
      <c r="C346" s="157"/>
      <c r="D346" s="250">
        <f>D345/2</f>
        <v>2</v>
      </c>
      <c r="E346" s="148"/>
      <c r="F346" s="148"/>
      <c r="G346" s="148">
        <v>0.22</v>
      </c>
      <c r="H346" s="179">
        <f>ROUND(D346*G346,2)</f>
        <v>0.44</v>
      </c>
      <c r="I346" s="247" t="s">
        <v>243</v>
      </c>
      <c r="J346" s="172"/>
      <c r="K346" s="172"/>
      <c r="L346" s="172"/>
    </row>
    <row r="347" spans="1:16" ht="18" customHeight="1">
      <c r="B347" s="156" t="s">
        <v>369</v>
      </c>
      <c r="C347" s="157"/>
      <c r="D347" s="250">
        <f>D346</f>
        <v>2</v>
      </c>
      <c r="E347" s="148"/>
      <c r="F347" s="148"/>
      <c r="G347" s="148">
        <v>1.37</v>
      </c>
      <c r="H347" s="179">
        <f>ROUND(D347*G347,2)</f>
        <v>2.74</v>
      </c>
      <c r="I347" s="247" t="s">
        <v>370</v>
      </c>
      <c r="J347" s="172"/>
      <c r="K347" s="172"/>
      <c r="L347" s="172"/>
    </row>
    <row r="348" spans="1:16" ht="18" customHeight="1">
      <c r="B348" s="156" t="s">
        <v>244</v>
      </c>
      <c r="C348" s="157"/>
      <c r="D348" s="250">
        <f>(F291+F292)*2</f>
        <v>6</v>
      </c>
      <c r="E348" s="148"/>
      <c r="F348" s="148"/>
      <c r="G348" s="148">
        <v>0.48</v>
      </c>
      <c r="H348" s="179">
        <f>ROUND(D348*G348,2)</f>
        <v>2.88</v>
      </c>
      <c r="I348" s="247" t="s">
        <v>245</v>
      </c>
      <c r="J348" s="255"/>
    </row>
    <row r="349" spans="1:16" ht="18" customHeight="1">
      <c r="B349" s="156" t="s">
        <v>246</v>
      </c>
      <c r="C349" s="157"/>
      <c r="D349" s="250">
        <f>ROUND((D4+E4-240)*2/200+E217*F217/200,0)</f>
        <v>70</v>
      </c>
      <c r="E349" s="148"/>
      <c r="F349" s="148"/>
      <c r="G349" s="148">
        <v>0.05</v>
      </c>
      <c r="H349" s="179">
        <f>ROUND(D349*G349,2)</f>
        <v>3.5</v>
      </c>
      <c r="I349" s="247" t="s">
        <v>247</v>
      </c>
      <c r="J349" s="255"/>
    </row>
    <row r="350" spans="1:16" ht="18" customHeight="1">
      <c r="B350" s="150" t="s">
        <v>248</v>
      </c>
      <c r="C350" s="165"/>
      <c r="D350" s="50"/>
      <c r="E350" s="50"/>
      <c r="F350" s="50"/>
      <c r="G350" s="166"/>
      <c r="H350" s="155">
        <f>SUM(H338:H349)</f>
        <v>37.42</v>
      </c>
      <c r="I350" s="152"/>
    </row>
    <row r="351" spans="1:16" ht="18" customHeight="1">
      <c r="B351" s="156" t="s">
        <v>359</v>
      </c>
      <c r="C351" s="157"/>
      <c r="D351" s="250">
        <f>SUMPRODUCT(G26:G30)*8+SUMPRODUCT(G35:G37)*8+SUMPRODUCT(G116:G118)*8+SUMPRODUCT(G123:G125)*8</f>
        <v>16</v>
      </c>
      <c r="E351" s="148"/>
      <c r="F351" s="148"/>
      <c r="G351" s="148">
        <v>1.26</v>
      </c>
      <c r="H351" s="154">
        <f>ROUND(D351*G351,2)</f>
        <v>20.16</v>
      </c>
      <c r="I351" s="247" t="s">
        <v>386</v>
      </c>
    </row>
    <row r="352" spans="1:16" ht="18" customHeight="1">
      <c r="B352" s="156" t="s">
        <v>360</v>
      </c>
      <c r="C352" s="157"/>
      <c r="D352" s="250">
        <f>G26*4+G27*4+G28*4+G29*4+G30*4</f>
        <v>0</v>
      </c>
      <c r="E352" s="148"/>
      <c r="F352" s="148"/>
      <c r="G352" s="148">
        <v>2</v>
      </c>
      <c r="H352" s="154">
        <f>ROUND(D352*G352,2)</f>
        <v>0</v>
      </c>
      <c r="I352" s="247" t="s">
        <v>361</v>
      </c>
    </row>
    <row r="353" spans="1:22" ht="18" customHeight="1">
      <c r="B353" s="156" t="s">
        <v>249</v>
      </c>
      <c r="C353" s="157"/>
      <c r="D353" s="250"/>
      <c r="E353" s="148"/>
      <c r="F353" s="148"/>
      <c r="G353" s="148">
        <v>1.6</v>
      </c>
      <c r="H353" s="154"/>
      <c r="I353" s="247"/>
    </row>
    <row r="354" spans="1:22" ht="18" customHeight="1">
      <c r="B354" s="156" t="s">
        <v>250</v>
      </c>
      <c r="C354" s="157"/>
      <c r="D354" s="44">
        <f>C22+C31+C38+C48+C56+C64+C112+C119+C126+C133+C139+C199</f>
        <v>33.055999999999997</v>
      </c>
      <c r="E354" s="148"/>
      <c r="F354" s="148"/>
      <c r="G354" s="179">
        <v>4</v>
      </c>
      <c r="H354" s="154">
        <f t="shared" ref="H354:H356" si="57">ROUND(D354*G354,2)</f>
        <v>132.22</v>
      </c>
      <c r="I354" s="247"/>
    </row>
    <row r="355" spans="1:22" ht="18" customHeight="1">
      <c r="B355" s="156" t="s">
        <v>251</v>
      </c>
      <c r="C355" s="157" t="s">
        <v>252</v>
      </c>
      <c r="D355" s="44">
        <f>C88+C163</f>
        <v>6.452</v>
      </c>
      <c r="E355" s="148"/>
      <c r="F355" s="148"/>
      <c r="G355" s="179">
        <v>3.15</v>
      </c>
      <c r="H355" s="154">
        <f t="shared" si="57"/>
        <v>20.32</v>
      </c>
      <c r="I355" s="247"/>
    </row>
    <row r="356" spans="1:22" ht="18" customHeight="1">
      <c r="B356" s="156" t="s">
        <v>253</v>
      </c>
      <c r="C356" s="157" t="s">
        <v>254</v>
      </c>
      <c r="D356" s="44">
        <f>C97+C104+C146+C153</f>
        <v>13.012</v>
      </c>
      <c r="E356" s="148"/>
      <c r="F356" s="148"/>
      <c r="G356" s="179">
        <v>3.65</v>
      </c>
      <c r="H356" s="154">
        <f t="shared" si="57"/>
        <v>47.49</v>
      </c>
      <c r="I356" s="247"/>
    </row>
    <row r="357" spans="1:22" ht="18" customHeight="1">
      <c r="B357" s="156" t="s">
        <v>387</v>
      </c>
      <c r="C357" s="157"/>
      <c r="D357" s="44">
        <f>F291+F292</f>
        <v>3</v>
      </c>
      <c r="E357" s="148"/>
      <c r="F357" s="148"/>
      <c r="G357" s="179">
        <v>6</v>
      </c>
      <c r="H357" s="154"/>
      <c r="I357" s="247"/>
    </row>
    <row r="358" spans="1:22" ht="18" customHeight="1">
      <c r="B358" s="156" t="s">
        <v>255</v>
      </c>
      <c r="C358" s="157"/>
      <c r="D358" s="180">
        <f>D4/1000*1.5</f>
        <v>3.4499999999999997</v>
      </c>
      <c r="E358" s="148"/>
      <c r="F358" s="148"/>
      <c r="G358" s="148">
        <v>70</v>
      </c>
      <c r="H358" s="154">
        <f>D358*G358</f>
        <v>241.49999999999997</v>
      </c>
      <c r="I358" s="247"/>
    </row>
    <row r="359" spans="1:22" ht="18" customHeight="1">
      <c r="B359" s="156" t="s">
        <v>858</v>
      </c>
      <c r="C359" s="157"/>
      <c r="D359" s="180">
        <f>(D4*3+E4*2)/1000</f>
        <v>14.5</v>
      </c>
      <c r="E359" s="148"/>
      <c r="F359" s="148"/>
      <c r="G359" s="148">
        <v>180</v>
      </c>
      <c r="H359" s="154">
        <f>D359*G359</f>
        <v>2610</v>
      </c>
      <c r="I359" s="247"/>
    </row>
    <row r="360" spans="1:22" ht="18" customHeight="1">
      <c r="B360" s="156" t="s">
        <v>388</v>
      </c>
      <c r="C360" s="157"/>
      <c r="D360" s="250">
        <v>1</v>
      </c>
      <c r="E360" s="148"/>
      <c r="F360" s="148"/>
      <c r="G360" s="148">
        <v>9.6</v>
      </c>
      <c r="H360" s="154">
        <f>ROUND(D360*G360,2)</f>
        <v>9.6</v>
      </c>
      <c r="I360" s="247"/>
    </row>
    <row r="361" spans="1:22" ht="18" customHeight="1">
      <c r="B361" s="156" t="s">
        <v>901</v>
      </c>
      <c r="C361" s="157"/>
      <c r="D361" s="463">
        <f>(D4+E4)*2/1000</f>
        <v>12.2</v>
      </c>
      <c r="E361" s="148"/>
      <c r="F361" s="148"/>
      <c r="G361" s="148">
        <v>45</v>
      </c>
      <c r="H361" s="154">
        <f>ROUND(D361*G361,2)</f>
        <v>549</v>
      </c>
      <c r="I361" s="468"/>
    </row>
    <row r="362" spans="1:22" ht="18" customHeight="1">
      <c r="B362" s="181" t="s">
        <v>398</v>
      </c>
      <c r="C362" s="157"/>
      <c r="D362" s="182">
        <f>F366</f>
        <v>8.3178999999999998</v>
      </c>
      <c r="E362" s="148"/>
      <c r="F362" s="148"/>
      <c r="G362" s="148">
        <v>3</v>
      </c>
      <c r="H362" s="154">
        <f>D362*G362</f>
        <v>24.953699999999998</v>
      </c>
      <c r="I362" s="247"/>
    </row>
    <row r="363" spans="1:22" ht="18" customHeight="1">
      <c r="B363" s="150" t="s">
        <v>256</v>
      </c>
      <c r="C363" s="50"/>
      <c r="D363" s="50"/>
      <c r="E363" s="50"/>
      <c r="F363" s="50"/>
      <c r="G363" s="166"/>
      <c r="H363" s="155">
        <f>SUM(H351:H362)</f>
        <v>3655.2437</v>
      </c>
      <c r="I363" s="183"/>
    </row>
    <row r="364" spans="1:22" ht="18" customHeight="1">
      <c r="B364" s="248" t="s">
        <v>257</v>
      </c>
      <c r="C364" s="185"/>
      <c r="D364" s="186"/>
      <c r="E364" s="185"/>
      <c r="F364" s="186"/>
      <c r="G364" s="186"/>
      <c r="H364" s="187">
        <f>SUM(H363,H350,H337,H322,H314,H308,H304)</f>
        <v>4482.3355219999994</v>
      </c>
      <c r="I364" s="188"/>
    </row>
    <row r="365" spans="1:22" ht="18" customHeight="1">
      <c r="A365" s="189"/>
      <c r="B365" s="190" t="s">
        <v>258</v>
      </c>
      <c r="C365" s="10" t="s">
        <v>14</v>
      </c>
      <c r="D365" s="10" t="s">
        <v>16</v>
      </c>
      <c r="E365" s="10" t="s">
        <v>17</v>
      </c>
      <c r="F365" s="10" t="s">
        <v>7</v>
      </c>
      <c r="G365" s="10" t="s">
        <v>5</v>
      </c>
      <c r="H365" s="10" t="s">
        <v>18</v>
      </c>
      <c r="I365" s="191" t="s">
        <v>259</v>
      </c>
      <c r="L365" s="192"/>
      <c r="M365" s="192"/>
    </row>
    <row r="366" spans="1:22" ht="18" customHeight="1">
      <c r="B366" s="48">
        <f>ROUND(I366/F366,2)</f>
        <v>1174.6600000000001</v>
      </c>
      <c r="C366" s="50" t="s">
        <v>299</v>
      </c>
      <c r="D366" s="50">
        <f>D5</f>
        <v>2230</v>
      </c>
      <c r="E366" s="50">
        <f>E5</f>
        <v>3730</v>
      </c>
      <c r="F366" s="49">
        <f>E366*D366/1000000</f>
        <v>8.3178999999999998</v>
      </c>
      <c r="G366" s="50">
        <f>G4</f>
        <v>1</v>
      </c>
      <c r="H366" s="49">
        <f>F366</f>
        <v>8.3178999999999998</v>
      </c>
      <c r="I366" s="193">
        <f>H364+H291+H292+I223+I12</f>
        <v>9770.7203140659985</v>
      </c>
      <c r="K366" s="192"/>
    </row>
    <row r="367" spans="1:22" ht="18" customHeight="1">
      <c r="B367" s="194" t="s">
        <v>258</v>
      </c>
      <c r="C367" s="195" t="s">
        <v>260</v>
      </c>
      <c r="D367" s="195" t="s">
        <v>261</v>
      </c>
      <c r="E367" s="195" t="s">
        <v>262</v>
      </c>
      <c r="F367" s="195" t="s">
        <v>263</v>
      </c>
      <c r="G367" s="195" t="s">
        <v>264</v>
      </c>
      <c r="H367" s="195" t="s">
        <v>265</v>
      </c>
      <c r="I367" s="196" t="s">
        <v>266</v>
      </c>
    </row>
    <row r="368" spans="1:22" ht="30" customHeight="1" thickBot="1">
      <c r="B368" s="197">
        <f>ROUND(I366/H366,2)</f>
        <v>1174.6600000000001</v>
      </c>
      <c r="C368" s="198">
        <f>E294+E296+E298+E300+E302+E303+E297+E299</f>
        <v>1</v>
      </c>
      <c r="D368" s="199"/>
      <c r="E368" s="199"/>
      <c r="F368" s="200"/>
      <c r="G368" s="200"/>
      <c r="H368" s="200"/>
      <c r="I368" s="201"/>
      <c r="O368" s="631" t="s">
        <v>603</v>
      </c>
      <c r="P368" s="631"/>
      <c r="Q368" s="631"/>
      <c r="R368" s="631"/>
      <c r="S368" s="631"/>
      <c r="T368" s="631"/>
      <c r="U368" s="631"/>
      <c r="V368" s="631"/>
    </row>
    <row r="369" spans="2:22" ht="20.100000000000001" customHeight="1">
      <c r="B369" s="42"/>
      <c r="L369" s="202"/>
      <c r="M369" s="202"/>
      <c r="N369" s="202"/>
      <c r="O369" s="634" t="s">
        <v>604</v>
      </c>
      <c r="P369" s="634"/>
      <c r="Q369" s="634"/>
      <c r="R369" s="634"/>
      <c r="S369" s="634"/>
      <c r="T369" s="634"/>
      <c r="U369" s="634"/>
      <c r="V369" s="634"/>
    </row>
    <row r="370" spans="2:22" ht="20.100000000000001" customHeight="1">
      <c r="B370" s="102" t="s">
        <v>862</v>
      </c>
      <c r="C370" s="203"/>
      <c r="D370" s="203" t="s">
        <v>267</v>
      </c>
      <c r="E370" s="203"/>
      <c r="J370" s="102"/>
      <c r="O370" s="285" t="s">
        <v>279</v>
      </c>
      <c r="P370" s="624" t="s">
        <v>629</v>
      </c>
      <c r="Q370" s="625"/>
      <c r="R370" s="312" t="str">
        <f ca="1">B4</f>
        <v>WM2338</v>
      </c>
      <c r="S370" s="312"/>
      <c r="T370" s="313"/>
      <c r="U370" s="287" t="s">
        <v>605</v>
      </c>
      <c r="V370" s="288"/>
    </row>
    <row r="371" spans="2:22" ht="24.95" customHeight="1">
      <c r="B371" s="102">
        <f>ROUND(I366/F6,2)</f>
        <v>1183.1300000000001</v>
      </c>
      <c r="C371" s="203">
        <f>U392</f>
        <v>1625.5397819435984</v>
      </c>
      <c r="D371" s="203">
        <f>E304</f>
        <v>1</v>
      </c>
      <c r="E371" s="203"/>
      <c r="J371" s="102"/>
      <c r="O371" s="635" t="s">
        <v>606</v>
      </c>
      <c r="P371" s="623" t="s">
        <v>626</v>
      </c>
      <c r="Q371" s="623"/>
      <c r="R371" s="623"/>
      <c r="S371" s="623"/>
      <c r="T371" s="637"/>
      <c r="U371" s="291" t="s">
        <v>607</v>
      </c>
      <c r="V371" s="292" t="s">
        <v>313</v>
      </c>
    </row>
    <row r="372" spans="2:22" ht="24.95" customHeight="1">
      <c r="L372" s="102"/>
      <c r="M372" s="102"/>
      <c r="N372" s="102"/>
      <c r="O372" s="636"/>
      <c r="P372" s="638"/>
      <c r="Q372" s="638"/>
      <c r="R372" s="638"/>
      <c r="S372" s="638"/>
      <c r="T372" s="638"/>
      <c r="U372" s="291" t="s">
        <v>268</v>
      </c>
      <c r="V372" s="293">
        <f>F4</f>
        <v>8.17</v>
      </c>
    </row>
    <row r="373" spans="2:22" ht="24.95" customHeight="1">
      <c r="J373" s="102"/>
      <c r="K373" s="102"/>
      <c r="L373" s="102"/>
      <c r="M373" s="102"/>
      <c r="N373" s="102"/>
      <c r="O373" s="311" t="s">
        <v>0</v>
      </c>
      <c r="P373" s="289" t="s">
        <v>608</v>
      </c>
      <c r="Q373" s="289" t="s">
        <v>627</v>
      </c>
      <c r="R373" s="289" t="s">
        <v>269</v>
      </c>
      <c r="S373" s="294" t="s">
        <v>8</v>
      </c>
      <c r="T373" s="295" t="s">
        <v>609</v>
      </c>
      <c r="U373" s="296" t="s">
        <v>270</v>
      </c>
      <c r="V373" s="295" t="s">
        <v>610</v>
      </c>
    </row>
    <row r="374" spans="2:22" ht="20.100000000000001" customHeight="1">
      <c r="J374" s="102"/>
      <c r="K374" s="102"/>
      <c r="L374" s="102"/>
      <c r="M374" s="102"/>
      <c r="N374" s="102"/>
      <c r="O374" s="297" t="s">
        <v>305</v>
      </c>
      <c r="P374" s="298" t="s">
        <v>611</v>
      </c>
      <c r="Q374" s="298"/>
      <c r="R374" s="286"/>
      <c r="S374" s="299"/>
      <c r="T374" s="300"/>
      <c r="U374" s="301">
        <f>SUM(U375:U383)</f>
        <v>9596.6166820659982</v>
      </c>
      <c r="V374" s="286"/>
    </row>
    <row r="375" spans="2:22" ht="20.100000000000001" customHeight="1">
      <c r="J375" s="102"/>
      <c r="K375" s="102"/>
      <c r="L375" s="102"/>
      <c r="M375" s="102"/>
      <c r="N375" s="102"/>
      <c r="O375" s="286">
        <v>1</v>
      </c>
      <c r="P375" s="302" t="s">
        <v>612</v>
      </c>
      <c r="Q375" s="307"/>
      <c r="R375" s="286" t="s">
        <v>271</v>
      </c>
      <c r="S375" s="303">
        <f>E223</f>
        <v>88.487013999999988</v>
      </c>
      <c r="T375" s="304">
        <f>I223/E223</f>
        <v>46.832462807096192</v>
      </c>
      <c r="U375" s="305">
        <f t="shared" ref="U375:U383" si="58">T375*S375</f>
        <v>4144.0647920659994</v>
      </c>
      <c r="V375" s="306"/>
    </row>
    <row r="376" spans="2:22" ht="20.100000000000001" customHeight="1">
      <c r="J376" s="102"/>
      <c r="K376" s="102"/>
      <c r="L376" s="102"/>
      <c r="M376" s="102"/>
      <c r="N376" s="102"/>
      <c r="O376" s="286">
        <v>2</v>
      </c>
      <c r="P376" s="290" t="s">
        <v>613</v>
      </c>
      <c r="Q376" s="307"/>
      <c r="R376" s="286" t="s">
        <v>276</v>
      </c>
      <c r="S376" s="303">
        <f>D358</f>
        <v>3.4499999999999997</v>
      </c>
      <c r="T376" s="304">
        <f>G358</f>
        <v>70</v>
      </c>
      <c r="U376" s="305">
        <f t="shared" si="58"/>
        <v>241.49999999999997</v>
      </c>
      <c r="V376" s="306"/>
    </row>
    <row r="377" spans="2:22" ht="20.100000000000001" customHeight="1">
      <c r="J377" s="102"/>
      <c r="K377" s="102"/>
      <c r="L377" s="102"/>
      <c r="M377" s="102"/>
      <c r="N377" s="102"/>
      <c r="O377" s="286">
        <v>3</v>
      </c>
      <c r="P377" s="302" t="s">
        <v>614</v>
      </c>
      <c r="Q377" s="302"/>
      <c r="R377" s="286" t="s">
        <v>312</v>
      </c>
      <c r="S377" s="303">
        <f>D291+D292</f>
        <v>6.555515999999999</v>
      </c>
      <c r="T377" s="304">
        <f>材料价格!B10</f>
        <v>148</v>
      </c>
      <c r="U377" s="305">
        <f t="shared" si="58"/>
        <v>970.21636799999987</v>
      </c>
      <c r="V377" s="306"/>
    </row>
    <row r="378" spans="2:22" ht="20.100000000000001" customHeight="1">
      <c r="B378" s="630" t="s">
        <v>277</v>
      </c>
      <c r="C378" s="630"/>
      <c r="D378" s="630"/>
      <c r="E378" s="630"/>
      <c r="F378" s="630"/>
      <c r="G378" s="630"/>
      <c r="H378" s="630"/>
      <c r="I378" s="630"/>
      <c r="J378" s="102"/>
      <c r="K378" s="102"/>
      <c r="L378" s="102"/>
      <c r="M378" s="102"/>
      <c r="N378" s="102"/>
      <c r="O378" s="286">
        <v>4</v>
      </c>
      <c r="P378" s="302" t="s">
        <v>615</v>
      </c>
      <c r="Q378" s="306"/>
      <c r="R378" s="286" t="s">
        <v>278</v>
      </c>
      <c r="S378" s="303">
        <f>(H316+H317+H319+H320+H321)/F316</f>
        <v>12.551643192488264</v>
      </c>
      <c r="T378" s="304">
        <f>材料价格!B25</f>
        <v>8.52</v>
      </c>
      <c r="U378" s="305">
        <f t="shared" si="58"/>
        <v>106.94</v>
      </c>
      <c r="V378" s="306"/>
    </row>
    <row r="379" spans="2:22" ht="20.100000000000001" customHeight="1">
      <c r="B379" s="204" t="s">
        <v>279</v>
      </c>
      <c r="C379" s="205" t="s">
        <v>280</v>
      </c>
      <c r="D379" s="205" t="s">
        <v>281</v>
      </c>
      <c r="E379" s="205" t="s">
        <v>282</v>
      </c>
      <c r="F379" s="205" t="s">
        <v>379</v>
      </c>
      <c r="G379" s="205"/>
      <c r="H379" s="205" t="s">
        <v>28</v>
      </c>
      <c r="I379" s="205" t="s">
        <v>259</v>
      </c>
      <c r="J379" s="102"/>
      <c r="K379" s="102"/>
      <c r="L379" s="102"/>
      <c r="M379" s="102"/>
      <c r="N379" s="102"/>
      <c r="O379" s="286">
        <v>5</v>
      </c>
      <c r="P379" s="306" t="s">
        <v>616</v>
      </c>
      <c r="Q379" s="302"/>
      <c r="R379" s="286" t="s">
        <v>628</v>
      </c>
      <c r="S379" s="303">
        <f>H337/21</f>
        <v>4.6781820000000005</v>
      </c>
      <c r="T379" s="304">
        <v>21</v>
      </c>
      <c r="U379" s="305">
        <f t="shared" si="58"/>
        <v>98.241822000000013</v>
      </c>
      <c r="V379" s="306"/>
    </row>
    <row r="380" spans="2:22" ht="20.100000000000001" customHeight="1">
      <c r="B380" s="206" t="s">
        <v>284</v>
      </c>
      <c r="C380" s="208" t="s">
        <v>384</v>
      </c>
      <c r="D380" s="207">
        <f>C22+C31+C38+C48+C56+C112+C119+C126+C133+C139+C177+C184+C191+C199</f>
        <v>35.275999999999996</v>
      </c>
      <c r="E380" s="207" t="s">
        <v>383</v>
      </c>
      <c r="F380" s="206"/>
      <c r="G380" s="206"/>
      <c r="H380" s="241">
        <v>2.4</v>
      </c>
      <c r="I380" s="207"/>
      <c r="J380" s="102"/>
      <c r="K380" s="102"/>
      <c r="L380" s="102"/>
      <c r="M380" s="102"/>
      <c r="N380" s="102"/>
      <c r="O380" s="286">
        <v>6</v>
      </c>
      <c r="P380" s="302" t="s">
        <v>319</v>
      </c>
      <c r="Q380" s="302"/>
      <c r="R380" s="286" t="s">
        <v>273</v>
      </c>
      <c r="S380" s="303"/>
      <c r="T380" s="304"/>
      <c r="U380" s="305">
        <f t="shared" si="58"/>
        <v>0</v>
      </c>
      <c r="V380" s="306"/>
    </row>
    <row r="381" spans="2:22" ht="20.100000000000001" customHeight="1">
      <c r="B381" s="206" t="s">
        <v>286</v>
      </c>
      <c r="C381" s="206" t="s">
        <v>287</v>
      </c>
      <c r="D381" s="209">
        <f>(J22+J31+J38+J48+J112+J119+J126)*4+(J56+J133)*2</f>
        <v>16</v>
      </c>
      <c r="E381" s="207" t="s">
        <v>285</v>
      </c>
      <c r="F381" s="206"/>
      <c r="G381" s="206"/>
      <c r="H381" s="241">
        <v>0.5</v>
      </c>
      <c r="I381" s="207">
        <f>H381*D381</f>
        <v>8</v>
      </c>
      <c r="J381" s="102"/>
      <c r="K381" s="102"/>
      <c r="L381" s="102"/>
      <c r="M381" s="102"/>
      <c r="N381" s="102"/>
      <c r="O381" s="286">
        <v>7</v>
      </c>
      <c r="P381" s="302" t="s">
        <v>295</v>
      </c>
      <c r="Q381" s="302"/>
      <c r="R381" s="286" t="s">
        <v>273</v>
      </c>
      <c r="S381" s="303"/>
      <c r="T381" s="304">
        <f>材料价格!B19</f>
        <v>230</v>
      </c>
      <c r="U381" s="305">
        <f t="shared" si="58"/>
        <v>0</v>
      </c>
      <c r="V381" s="306"/>
    </row>
    <row r="382" spans="2:22" ht="20.100000000000001" customHeight="1">
      <c r="B382" s="206" t="s">
        <v>289</v>
      </c>
      <c r="C382" s="206"/>
      <c r="D382" s="210">
        <f>ROUND((C22+C56*2+C64*2+C112+C133*2+C139*2)/0.3,0)+2</f>
        <v>73</v>
      </c>
      <c r="E382" s="207" t="s">
        <v>285</v>
      </c>
      <c r="F382" s="206"/>
      <c r="G382" s="206"/>
      <c r="H382" s="241">
        <v>0.3</v>
      </c>
      <c r="I382" s="207">
        <f t="shared" ref="I382:I387" si="59">H382*D382</f>
        <v>21.9</v>
      </c>
      <c r="J382" s="102"/>
      <c r="K382" s="102"/>
      <c r="L382" s="102"/>
      <c r="M382" s="102"/>
      <c r="N382" s="102"/>
      <c r="O382" s="286">
        <v>8</v>
      </c>
      <c r="P382" s="302" t="s">
        <v>296</v>
      </c>
      <c r="Q382" s="302"/>
      <c r="R382" s="286" t="s">
        <v>273</v>
      </c>
      <c r="S382" s="303">
        <f>E303</f>
        <v>1</v>
      </c>
      <c r="T382" s="304">
        <f>材料价格!B20</f>
        <v>335</v>
      </c>
      <c r="U382" s="305">
        <f t="shared" si="58"/>
        <v>335</v>
      </c>
      <c r="V382" s="306"/>
    </row>
    <row r="383" spans="2:22" ht="20.100000000000001" customHeight="1">
      <c r="B383" s="206" t="s">
        <v>381</v>
      </c>
      <c r="C383" s="206" t="s">
        <v>389</v>
      </c>
      <c r="D383" s="211">
        <f>C22+C31+C38+C56*2+C64*2+C112+C119+C126+C133*2</f>
        <v>30.564</v>
      </c>
      <c r="E383" s="207" t="s">
        <v>285</v>
      </c>
      <c r="F383" s="206" t="s">
        <v>380</v>
      </c>
      <c r="G383" s="206"/>
      <c r="H383" s="241">
        <v>2.81</v>
      </c>
      <c r="I383" s="207">
        <f>H383*D383</f>
        <v>85.884839999999997</v>
      </c>
      <c r="J383" s="102"/>
      <c r="K383" s="102"/>
      <c r="L383" s="102"/>
      <c r="M383" s="102"/>
      <c r="N383" s="102"/>
      <c r="O383" s="286">
        <v>9</v>
      </c>
      <c r="P383" s="302" t="s">
        <v>617</v>
      </c>
      <c r="Q383" s="302"/>
      <c r="R383" s="286" t="s">
        <v>618</v>
      </c>
      <c r="S383" s="296">
        <v>1</v>
      </c>
      <c r="T383" s="304">
        <f>H363-H358+H350+H318+H315+H314</f>
        <v>3700.6537000000003</v>
      </c>
      <c r="U383" s="305">
        <f t="shared" si="58"/>
        <v>3700.6537000000003</v>
      </c>
      <c r="V383" s="306"/>
    </row>
    <row r="384" spans="2:22" ht="20.100000000000001" customHeight="1">
      <c r="B384" s="206" t="s">
        <v>390</v>
      </c>
      <c r="C384" s="206" t="s">
        <v>392</v>
      </c>
      <c r="D384" s="211">
        <f>C22+C88+C112+C163</f>
        <v>22.771999999999998</v>
      </c>
      <c r="E384" s="207" t="s">
        <v>285</v>
      </c>
      <c r="F384" s="206" t="s">
        <v>394</v>
      </c>
      <c r="G384" s="206"/>
      <c r="H384" s="241">
        <v>3.27</v>
      </c>
      <c r="I384" s="207">
        <f t="shared" ref="I384" si="60">H384*D384</f>
        <v>74.464439999999996</v>
      </c>
      <c r="J384" s="102"/>
      <c r="K384" s="102"/>
      <c r="L384" s="102"/>
      <c r="M384" s="102"/>
      <c r="N384" s="102"/>
      <c r="O384" s="297" t="s">
        <v>306</v>
      </c>
      <c r="P384" s="308" t="s">
        <v>314</v>
      </c>
      <c r="Q384" s="298"/>
      <c r="R384" s="286"/>
      <c r="S384" s="296"/>
      <c r="T384" s="309"/>
      <c r="U384" s="301">
        <f>SUM(U385:U386)</f>
        <v>1307.2</v>
      </c>
      <c r="V384" s="286"/>
    </row>
    <row r="385" spans="2:22" ht="20.100000000000001" customHeight="1">
      <c r="B385" s="206" t="s">
        <v>391</v>
      </c>
      <c r="C385" s="206" t="s">
        <v>393</v>
      </c>
      <c r="D385" s="211">
        <f>(C97+C104+C119+C126)*2</f>
        <v>28.488</v>
      </c>
      <c r="E385" s="207" t="s">
        <v>285</v>
      </c>
      <c r="F385" s="206" t="s">
        <v>395</v>
      </c>
      <c r="G385" s="206"/>
      <c r="H385" s="241">
        <v>1.74</v>
      </c>
      <c r="I385" s="207">
        <f t="shared" si="59"/>
        <v>49.569119999999998</v>
      </c>
      <c r="J385" s="102"/>
      <c r="K385" s="102"/>
      <c r="L385" s="102"/>
      <c r="M385" s="102"/>
      <c r="N385" s="102"/>
      <c r="O385" s="286">
        <v>1</v>
      </c>
      <c r="P385" s="307" t="s">
        <v>619</v>
      </c>
      <c r="Q385" s="307"/>
      <c r="R385" s="300" t="s">
        <v>312</v>
      </c>
      <c r="S385" s="296">
        <f>V372</f>
        <v>8.17</v>
      </c>
      <c r="T385" s="310">
        <v>60</v>
      </c>
      <c r="U385" s="305">
        <f>T385*S385</f>
        <v>490.2</v>
      </c>
      <c r="V385" s="286"/>
    </row>
    <row r="386" spans="2:22" ht="20.100000000000001" customHeight="1">
      <c r="B386" s="208" t="s">
        <v>382</v>
      </c>
      <c r="C386" s="206" t="s">
        <v>291</v>
      </c>
      <c r="D386" s="211">
        <f>D338+D339+D341</f>
        <v>10</v>
      </c>
      <c r="E386" s="207" t="s">
        <v>285</v>
      </c>
      <c r="F386" s="206"/>
      <c r="G386" s="206"/>
      <c r="H386" s="241">
        <v>0.56999999999999995</v>
      </c>
      <c r="I386" s="207">
        <f>H386*D386</f>
        <v>5.6999999999999993</v>
      </c>
      <c r="J386" s="102"/>
      <c r="K386" s="102"/>
      <c r="L386" s="102"/>
      <c r="M386" s="102"/>
      <c r="N386" s="102"/>
      <c r="O386" s="286">
        <v>2</v>
      </c>
      <c r="P386" s="307" t="s">
        <v>288</v>
      </c>
      <c r="Q386" s="307"/>
      <c r="R386" s="300" t="s">
        <v>312</v>
      </c>
      <c r="S386" s="296">
        <f>V372</f>
        <v>8.17</v>
      </c>
      <c r="T386" s="310">
        <v>100</v>
      </c>
      <c r="U386" s="305">
        <f>T386*S386</f>
        <v>817</v>
      </c>
      <c r="V386" s="286"/>
    </row>
    <row r="387" spans="2:22" ht="20.100000000000001" customHeight="1">
      <c r="B387" s="206" t="s">
        <v>292</v>
      </c>
      <c r="C387" s="206"/>
      <c r="D387" s="211">
        <f>H366</f>
        <v>8.3178999999999998</v>
      </c>
      <c r="E387" s="207" t="s">
        <v>285</v>
      </c>
      <c r="F387" s="206"/>
      <c r="G387" s="206"/>
      <c r="H387" s="241">
        <v>20</v>
      </c>
      <c r="I387" s="207">
        <f t="shared" si="59"/>
        <v>166.358</v>
      </c>
      <c r="J387" s="102"/>
      <c r="K387" s="102"/>
      <c r="L387" s="102"/>
      <c r="M387" s="102"/>
      <c r="N387" s="102"/>
      <c r="O387" s="297" t="s">
        <v>307</v>
      </c>
      <c r="P387" s="308" t="s">
        <v>290</v>
      </c>
      <c r="Q387" s="298"/>
      <c r="R387" s="286"/>
      <c r="S387" s="296"/>
      <c r="T387" s="309"/>
      <c r="U387" s="301">
        <f>SUM(U388)</f>
        <v>163.4</v>
      </c>
      <c r="V387" s="286"/>
    </row>
    <row r="388" spans="2:22" ht="20.100000000000001" customHeight="1">
      <c r="B388" s="212" t="s">
        <v>4</v>
      </c>
      <c r="C388" s="213"/>
      <c r="D388" s="212"/>
      <c r="E388" s="212"/>
      <c r="F388" s="212"/>
      <c r="G388" s="212"/>
      <c r="H388" s="212"/>
      <c r="I388" s="213">
        <f>SUM(I380:I387)</f>
        <v>411.87639999999999</v>
      </c>
      <c r="J388" s="242"/>
      <c r="K388" s="102"/>
      <c r="L388" s="102"/>
      <c r="M388" s="102"/>
      <c r="N388" s="102"/>
      <c r="O388" s="286">
        <v>1</v>
      </c>
      <c r="P388" s="307" t="s">
        <v>290</v>
      </c>
      <c r="Q388" s="307"/>
      <c r="R388" s="300" t="s">
        <v>312</v>
      </c>
      <c r="S388" s="296">
        <f>V372</f>
        <v>8.17</v>
      </c>
      <c r="T388" s="310">
        <v>20</v>
      </c>
      <c r="U388" s="305">
        <f>T388*S388</f>
        <v>163.4</v>
      </c>
      <c r="V388" s="286"/>
    </row>
    <row r="389" spans="2:22" ht="20.100000000000001" customHeight="1">
      <c r="J389" s="102"/>
      <c r="K389" s="102"/>
      <c r="L389" s="102"/>
      <c r="M389" s="102"/>
      <c r="N389" s="102"/>
      <c r="O389" s="286" t="s">
        <v>308</v>
      </c>
      <c r="P389" s="618" t="s">
        <v>620</v>
      </c>
      <c r="Q389" s="619"/>
      <c r="R389" s="620"/>
      <c r="S389" s="621"/>
      <c r="T389" s="622"/>
      <c r="U389" s="301">
        <f>U374+U384+U387</f>
        <v>11067.216682065999</v>
      </c>
      <c r="V389" s="286"/>
    </row>
    <row r="390" spans="2:22" ht="20.100000000000001" customHeight="1">
      <c r="J390" s="102"/>
      <c r="K390" s="102"/>
      <c r="L390" s="102"/>
      <c r="M390" s="102"/>
      <c r="N390" s="102"/>
      <c r="O390" s="286" t="s">
        <v>309</v>
      </c>
      <c r="P390" s="618" t="s">
        <v>621</v>
      </c>
      <c r="Q390" s="619"/>
      <c r="R390" s="626">
        <v>0.2</v>
      </c>
      <c r="S390" s="627"/>
      <c r="T390" s="628"/>
      <c r="U390" s="301">
        <f>U389*R390</f>
        <v>2213.4433364131996</v>
      </c>
      <c r="V390" s="286"/>
    </row>
    <row r="391" spans="2:22" ht="20.100000000000001" customHeight="1">
      <c r="J391" s="102"/>
      <c r="K391" s="102"/>
      <c r="L391" s="102"/>
      <c r="M391" s="102"/>
      <c r="N391" s="102"/>
      <c r="O391" s="286" t="s">
        <v>310</v>
      </c>
      <c r="P391" s="618" t="s">
        <v>622</v>
      </c>
      <c r="Q391" s="619"/>
      <c r="R391" s="620"/>
      <c r="S391" s="621"/>
      <c r="T391" s="622"/>
      <c r="U391" s="301">
        <f>U389+U390</f>
        <v>13280.660018479199</v>
      </c>
      <c r="V391" s="286"/>
    </row>
    <row r="392" spans="2:22" ht="30" customHeight="1">
      <c r="L392" s="102"/>
      <c r="M392" s="102"/>
      <c r="N392" s="102"/>
      <c r="O392" s="297" t="s">
        <v>311</v>
      </c>
      <c r="P392" s="618" t="s">
        <v>623</v>
      </c>
      <c r="Q392" s="619"/>
      <c r="R392" s="620"/>
      <c r="S392" s="621"/>
      <c r="T392" s="622"/>
      <c r="U392" s="301">
        <f>U391/V372</f>
        <v>1625.5397819435984</v>
      </c>
      <c r="V392" s="286" t="s">
        <v>624</v>
      </c>
    </row>
    <row r="393" spans="2:22" ht="45" customHeight="1">
      <c r="L393" s="102"/>
      <c r="M393" s="102"/>
      <c r="N393" s="102"/>
      <c r="O393" s="623" t="s">
        <v>625</v>
      </c>
      <c r="P393" s="623"/>
      <c r="Q393" s="623"/>
      <c r="R393" s="623"/>
      <c r="S393" s="623"/>
      <c r="T393" s="623"/>
      <c r="U393" s="623"/>
      <c r="V393" s="623"/>
    </row>
    <row r="394" spans="2:22" ht="18" customHeight="1">
      <c r="L394" s="102"/>
      <c r="M394" s="102"/>
      <c r="N394" s="102"/>
      <c r="O394" s="102"/>
      <c r="P394" s="102"/>
    </row>
    <row r="395" spans="2:22">
      <c r="L395" s="102"/>
      <c r="M395" s="102"/>
      <c r="N395" s="102"/>
      <c r="O395" s="102"/>
      <c r="P395" s="102"/>
    </row>
    <row r="396" spans="2:22">
      <c r="L396" s="102"/>
      <c r="M396" s="102"/>
      <c r="N396" s="102"/>
      <c r="O396" s="102"/>
      <c r="P396" s="102"/>
    </row>
    <row r="397" spans="2:22">
      <c r="L397" s="102"/>
      <c r="M397" s="102"/>
      <c r="N397" s="102"/>
      <c r="O397" s="102"/>
      <c r="P397" s="102"/>
    </row>
    <row r="398" spans="2:22">
      <c r="L398" s="102"/>
      <c r="M398" s="102"/>
      <c r="N398" s="102"/>
      <c r="O398" s="102"/>
      <c r="P398" s="102"/>
    </row>
    <row r="399" spans="2:22">
      <c r="L399" s="102"/>
      <c r="M399" s="102"/>
      <c r="N399" s="102"/>
      <c r="O399" s="102"/>
      <c r="P399" s="102"/>
    </row>
    <row r="400" spans="2:22">
      <c r="L400" s="102"/>
      <c r="M400" s="102"/>
      <c r="N400" s="102"/>
      <c r="O400" s="102"/>
      <c r="P400" s="102"/>
    </row>
    <row r="401" spans="12:16">
      <c r="L401" s="102"/>
      <c r="M401" s="102"/>
      <c r="N401" s="102"/>
      <c r="O401" s="102"/>
      <c r="P401" s="102"/>
    </row>
    <row r="402" spans="12:16">
      <c r="L402" s="102"/>
      <c r="M402" s="102"/>
      <c r="N402" s="102"/>
      <c r="O402" s="102"/>
      <c r="P402" s="102"/>
    </row>
    <row r="403" spans="12:16">
      <c r="L403" s="102"/>
      <c r="M403" s="102"/>
      <c r="N403" s="102"/>
      <c r="O403" s="102"/>
      <c r="P403" s="102"/>
    </row>
    <row r="404" spans="12:16">
      <c r="L404" s="102"/>
      <c r="M404" s="102"/>
      <c r="N404" s="102"/>
      <c r="O404" s="102"/>
      <c r="P404" s="102"/>
    </row>
    <row r="405" spans="12:16">
      <c r="L405" s="102"/>
      <c r="M405" s="102"/>
      <c r="N405" s="102"/>
      <c r="O405" s="102"/>
      <c r="P405" s="102"/>
    </row>
    <row r="406" spans="12:16">
      <c r="L406" s="102"/>
      <c r="M406" s="102"/>
      <c r="N406" s="102"/>
      <c r="O406" s="102"/>
      <c r="P406" s="102"/>
    </row>
    <row r="407" spans="12:16">
      <c r="L407" s="102"/>
      <c r="M407" s="102"/>
      <c r="N407" s="102"/>
      <c r="O407" s="102"/>
      <c r="P407" s="102"/>
    </row>
    <row r="408" spans="12:16">
      <c r="L408" s="102"/>
      <c r="M408" s="102"/>
      <c r="N408" s="102"/>
      <c r="O408" s="102"/>
      <c r="P408" s="102"/>
    </row>
    <row r="409" spans="12:16">
      <c r="L409" s="102"/>
      <c r="M409" s="102"/>
      <c r="N409" s="102"/>
      <c r="O409" s="102"/>
      <c r="P409" s="102"/>
    </row>
    <row r="410" spans="12:16">
      <c r="L410" s="102"/>
      <c r="M410" s="102"/>
      <c r="N410" s="102"/>
      <c r="O410" s="102"/>
      <c r="P410" s="102"/>
    </row>
    <row r="411" spans="12:16">
      <c r="L411" s="102"/>
      <c r="M411" s="102"/>
      <c r="N411" s="102"/>
      <c r="O411" s="102"/>
      <c r="P411" s="102"/>
    </row>
    <row r="412" spans="12:16">
      <c r="L412" s="102"/>
      <c r="M412" s="102"/>
      <c r="N412" s="102"/>
      <c r="O412" s="102"/>
      <c r="P412" s="102"/>
    </row>
    <row r="413" spans="12:16">
      <c r="L413" s="102"/>
      <c r="M413" s="102"/>
      <c r="N413" s="102"/>
      <c r="O413" s="102"/>
      <c r="P413" s="102"/>
    </row>
    <row r="414" spans="12:16">
      <c r="L414" s="102"/>
      <c r="M414" s="102"/>
      <c r="N414" s="102"/>
      <c r="O414" s="102"/>
      <c r="P414" s="102"/>
    </row>
    <row r="415" spans="12:16">
      <c r="L415" s="102"/>
      <c r="M415" s="102"/>
      <c r="N415" s="102"/>
      <c r="O415" s="102"/>
      <c r="P415" s="102"/>
    </row>
    <row r="416" spans="12:16">
      <c r="L416" s="102"/>
      <c r="M416" s="102"/>
      <c r="N416" s="102"/>
      <c r="O416" s="102"/>
      <c r="P416" s="102"/>
    </row>
    <row r="417" spans="10:16">
      <c r="L417" s="102"/>
      <c r="M417" s="102"/>
      <c r="N417" s="102"/>
      <c r="O417" s="102"/>
      <c r="P417" s="102"/>
    </row>
    <row r="418" spans="10:16">
      <c r="L418" s="102"/>
      <c r="M418" s="102"/>
      <c r="N418" s="102"/>
      <c r="O418" s="102"/>
      <c r="P418" s="102"/>
    </row>
    <row r="419" spans="10:16">
      <c r="L419" s="102"/>
      <c r="M419" s="102"/>
      <c r="N419" s="102"/>
      <c r="O419" s="102"/>
      <c r="P419" s="102"/>
    </row>
    <row r="420" spans="10:16">
      <c r="L420" s="102"/>
      <c r="M420" s="102"/>
      <c r="N420" s="102"/>
      <c r="O420" s="102"/>
      <c r="P420" s="102"/>
    </row>
    <row r="421" spans="10:16">
      <c r="L421" s="102"/>
      <c r="M421" s="102"/>
      <c r="N421" s="102"/>
      <c r="O421" s="102"/>
      <c r="P421" s="102"/>
    </row>
    <row r="422" spans="10:16">
      <c r="L422" s="102"/>
      <c r="M422" s="102"/>
      <c r="N422" s="102"/>
      <c r="O422" s="102"/>
      <c r="P422" s="102"/>
    </row>
    <row r="423" spans="10:16">
      <c r="L423" s="102"/>
      <c r="M423" s="102"/>
      <c r="N423" s="102"/>
      <c r="O423" s="102"/>
      <c r="P423" s="102"/>
    </row>
    <row r="424" spans="10:16">
      <c r="L424" s="102"/>
      <c r="M424" s="102"/>
      <c r="N424" s="102"/>
      <c r="O424" s="102"/>
      <c r="P424" s="102"/>
    </row>
    <row r="425" spans="10:16">
      <c r="L425" s="102"/>
      <c r="M425" s="102"/>
      <c r="N425" s="102"/>
      <c r="O425" s="102"/>
      <c r="P425" s="102"/>
    </row>
    <row r="426" spans="10:16">
      <c r="L426" s="102"/>
      <c r="M426" s="102"/>
      <c r="N426" s="102"/>
      <c r="O426" s="102"/>
      <c r="P426" s="102"/>
    </row>
    <row r="427" spans="10:16">
      <c r="J427" s="102"/>
      <c r="K427" s="102"/>
      <c r="L427" s="102"/>
      <c r="M427" s="102"/>
      <c r="N427" s="102"/>
      <c r="O427" s="102"/>
      <c r="P427" s="102"/>
    </row>
    <row r="428" spans="10:16">
      <c r="J428" s="102"/>
      <c r="K428" s="102"/>
      <c r="L428" s="102"/>
      <c r="M428" s="102"/>
      <c r="N428" s="102"/>
      <c r="O428" s="102"/>
      <c r="P428" s="102"/>
    </row>
    <row r="429" spans="10:16">
      <c r="J429" s="102"/>
      <c r="K429" s="102"/>
      <c r="L429" s="102"/>
      <c r="M429" s="102"/>
      <c r="N429" s="102"/>
      <c r="O429" s="102"/>
      <c r="P429" s="102"/>
    </row>
    <row r="430" spans="10:16">
      <c r="J430" s="102"/>
      <c r="K430" s="102"/>
      <c r="L430" s="102"/>
      <c r="M430" s="102"/>
      <c r="N430" s="102"/>
      <c r="O430" s="102"/>
      <c r="P430" s="102"/>
    </row>
    <row r="431" spans="10:16">
      <c r="J431" s="102"/>
      <c r="K431" s="102"/>
      <c r="L431" s="102"/>
      <c r="M431" s="102"/>
      <c r="N431" s="102"/>
      <c r="O431" s="102"/>
      <c r="P431" s="102"/>
    </row>
    <row r="432" spans="10:16">
      <c r="J432" s="102"/>
      <c r="K432" s="102"/>
      <c r="L432" s="102"/>
      <c r="M432" s="102"/>
      <c r="N432" s="102"/>
      <c r="O432" s="102"/>
      <c r="P432" s="102"/>
    </row>
    <row r="433" spans="10:16">
      <c r="J433" s="102"/>
      <c r="K433" s="102"/>
      <c r="L433" s="102"/>
      <c r="M433" s="102"/>
      <c r="N433" s="102"/>
      <c r="O433" s="102"/>
      <c r="P433" s="102"/>
    </row>
    <row r="434" spans="10:16">
      <c r="J434" s="102"/>
      <c r="K434" s="102"/>
      <c r="L434" s="102"/>
      <c r="M434" s="102"/>
      <c r="N434" s="102"/>
      <c r="O434" s="102"/>
      <c r="P434" s="102"/>
    </row>
    <row r="435" spans="10:16">
      <c r="J435" s="102"/>
      <c r="K435" s="102"/>
      <c r="L435" s="102"/>
      <c r="M435" s="102"/>
      <c r="N435" s="102"/>
      <c r="O435" s="102"/>
      <c r="P435" s="102"/>
    </row>
    <row r="436" spans="10:16">
      <c r="J436" s="102"/>
      <c r="K436" s="102"/>
      <c r="L436" s="102"/>
      <c r="M436" s="102"/>
      <c r="N436" s="102"/>
      <c r="O436" s="102"/>
      <c r="P436" s="102"/>
    </row>
    <row r="437" spans="10:16">
      <c r="J437" s="102"/>
      <c r="K437" s="102"/>
      <c r="L437" s="102"/>
      <c r="M437" s="102"/>
      <c r="N437" s="102"/>
      <c r="O437" s="102"/>
      <c r="P437" s="102"/>
    </row>
    <row r="438" spans="10:16">
      <c r="J438" s="102"/>
      <c r="K438" s="102"/>
      <c r="L438" s="102"/>
      <c r="M438" s="102"/>
      <c r="N438" s="102"/>
      <c r="O438" s="102"/>
      <c r="P438" s="102"/>
    </row>
    <row r="439" spans="10:16">
      <c r="J439" s="102"/>
      <c r="K439" s="102"/>
      <c r="L439" s="102"/>
      <c r="M439" s="102"/>
      <c r="N439" s="102"/>
      <c r="O439" s="102"/>
      <c r="P439" s="102"/>
    </row>
    <row r="440" spans="10:16">
      <c r="J440" s="102"/>
      <c r="K440" s="102"/>
      <c r="L440" s="102"/>
      <c r="M440" s="102"/>
      <c r="N440" s="102"/>
      <c r="O440" s="102"/>
      <c r="P440" s="102"/>
    </row>
    <row r="441" spans="10:16">
      <c r="J441" s="102"/>
      <c r="K441" s="102"/>
      <c r="L441" s="102"/>
      <c r="M441" s="102"/>
      <c r="N441" s="102"/>
      <c r="O441" s="102"/>
      <c r="P441" s="102"/>
    </row>
    <row r="442" spans="10:16">
      <c r="J442" s="102"/>
      <c r="K442" s="102"/>
      <c r="L442" s="102"/>
      <c r="M442" s="102"/>
      <c r="N442" s="102"/>
      <c r="O442" s="102"/>
      <c r="P442" s="102"/>
    </row>
    <row r="443" spans="10:16">
      <c r="J443" s="102"/>
      <c r="K443" s="102"/>
      <c r="L443" s="102"/>
      <c r="M443" s="102"/>
      <c r="N443" s="102"/>
      <c r="O443" s="102"/>
      <c r="P443" s="102"/>
    </row>
    <row r="444" spans="10:16">
      <c r="J444" s="102"/>
      <c r="K444" s="102"/>
      <c r="L444" s="102"/>
      <c r="M444" s="102"/>
      <c r="N444" s="102"/>
      <c r="O444" s="102"/>
      <c r="P444" s="102"/>
    </row>
    <row r="445" spans="10:16">
      <c r="J445" s="102"/>
      <c r="K445" s="102"/>
      <c r="L445" s="102"/>
      <c r="M445" s="102"/>
      <c r="N445" s="102"/>
      <c r="O445" s="102"/>
      <c r="P445" s="102"/>
    </row>
    <row r="446" spans="10:16">
      <c r="J446" s="102"/>
      <c r="K446" s="102"/>
      <c r="L446" s="102"/>
      <c r="M446" s="102"/>
      <c r="N446" s="102"/>
      <c r="O446" s="102"/>
      <c r="P446" s="102"/>
    </row>
    <row r="447" spans="10:16">
      <c r="J447" s="102"/>
      <c r="K447" s="102"/>
      <c r="L447" s="102"/>
      <c r="M447" s="102"/>
      <c r="N447" s="102"/>
      <c r="O447" s="102"/>
      <c r="P447" s="102"/>
    </row>
    <row r="448" spans="10:16">
      <c r="J448" s="102"/>
      <c r="K448" s="102"/>
      <c r="L448" s="102"/>
      <c r="M448" s="102"/>
      <c r="N448" s="102"/>
      <c r="O448" s="102"/>
      <c r="P448" s="102"/>
    </row>
    <row r="449" spans="10:16">
      <c r="J449" s="102"/>
      <c r="K449" s="102"/>
      <c r="L449" s="102"/>
      <c r="M449" s="102"/>
      <c r="N449" s="102"/>
      <c r="O449" s="102"/>
      <c r="P449" s="102"/>
    </row>
    <row r="450" spans="10:16">
      <c r="J450" s="102"/>
      <c r="K450" s="102"/>
      <c r="L450" s="102"/>
      <c r="M450" s="102"/>
      <c r="N450" s="102"/>
      <c r="O450" s="102"/>
      <c r="P450" s="102"/>
    </row>
    <row r="451" spans="10:16">
      <c r="J451" s="102"/>
      <c r="K451" s="102"/>
      <c r="L451" s="102"/>
      <c r="M451" s="102"/>
      <c r="N451" s="102"/>
      <c r="O451" s="102"/>
      <c r="P451" s="102"/>
    </row>
    <row r="452" spans="10:16">
      <c r="J452" s="102"/>
      <c r="K452" s="102"/>
      <c r="L452" s="102"/>
      <c r="M452" s="102"/>
      <c r="N452" s="102"/>
      <c r="O452" s="102"/>
      <c r="P452" s="102"/>
    </row>
    <row r="453" spans="10:16">
      <c r="J453" s="102"/>
      <c r="K453" s="102"/>
      <c r="L453" s="102"/>
      <c r="M453" s="102"/>
      <c r="N453" s="102"/>
      <c r="O453" s="102"/>
      <c r="P453" s="102"/>
    </row>
    <row r="454" spans="10:16">
      <c r="J454" s="102"/>
      <c r="K454" s="102"/>
      <c r="L454" s="102"/>
      <c r="M454" s="102"/>
      <c r="N454" s="102"/>
      <c r="O454" s="102"/>
      <c r="P454" s="102"/>
    </row>
    <row r="455" spans="10:16">
      <c r="J455" s="102"/>
      <c r="K455" s="102"/>
      <c r="L455" s="102"/>
      <c r="M455" s="102"/>
      <c r="N455" s="102"/>
      <c r="O455" s="102"/>
      <c r="P455" s="102"/>
    </row>
    <row r="456" spans="10:16">
      <c r="J456" s="102"/>
      <c r="K456" s="102"/>
      <c r="L456" s="102"/>
      <c r="M456" s="102"/>
      <c r="N456" s="102"/>
      <c r="O456" s="102"/>
      <c r="P456" s="102"/>
    </row>
    <row r="457" spans="10:16">
      <c r="J457" s="102"/>
      <c r="K457" s="102"/>
      <c r="L457" s="102"/>
      <c r="M457" s="102"/>
      <c r="N457" s="102"/>
      <c r="O457" s="102"/>
      <c r="P457" s="102"/>
    </row>
    <row r="458" spans="10:16">
      <c r="J458" s="102"/>
      <c r="K458" s="102"/>
      <c r="L458" s="102"/>
      <c r="M458" s="102"/>
      <c r="N458" s="102"/>
      <c r="O458" s="102"/>
      <c r="P458" s="102"/>
    </row>
    <row r="459" spans="10:16">
      <c r="J459" s="102"/>
      <c r="K459" s="102"/>
      <c r="L459" s="102"/>
      <c r="M459" s="102"/>
      <c r="N459" s="102"/>
      <c r="O459" s="102"/>
      <c r="P459" s="102"/>
    </row>
    <row r="460" spans="10:16">
      <c r="J460" s="102"/>
      <c r="K460" s="102"/>
      <c r="L460" s="102"/>
      <c r="M460" s="102"/>
      <c r="N460" s="102"/>
      <c r="O460" s="102"/>
      <c r="P460" s="102"/>
    </row>
    <row r="461" spans="10:16">
      <c r="J461" s="102"/>
      <c r="K461" s="102"/>
      <c r="L461" s="102"/>
      <c r="M461" s="102"/>
      <c r="N461" s="102"/>
      <c r="O461" s="102"/>
      <c r="P461" s="102"/>
    </row>
    <row r="462" spans="10:16">
      <c r="J462" s="102"/>
      <c r="K462" s="102"/>
      <c r="L462" s="102"/>
      <c r="M462" s="102"/>
      <c r="N462" s="102"/>
      <c r="O462" s="102"/>
      <c r="P462" s="102"/>
    </row>
    <row r="463" spans="10:16">
      <c r="J463" s="102"/>
      <c r="K463" s="102"/>
      <c r="L463" s="102"/>
      <c r="M463" s="102"/>
      <c r="N463" s="102"/>
      <c r="O463" s="102"/>
      <c r="P463" s="102"/>
    </row>
    <row r="464" spans="10:16">
      <c r="J464" s="102"/>
      <c r="K464" s="102"/>
      <c r="L464" s="102"/>
      <c r="M464" s="102"/>
      <c r="N464" s="102"/>
      <c r="O464" s="102"/>
      <c r="P464" s="102"/>
    </row>
  </sheetData>
  <mergeCells count="95">
    <mergeCell ref="F2:H2"/>
    <mergeCell ref="I2:I6"/>
    <mergeCell ref="J2:M2"/>
    <mergeCell ref="B4:B6"/>
    <mergeCell ref="B14:B21"/>
    <mergeCell ref="C14:C21"/>
    <mergeCell ref="B26:B30"/>
    <mergeCell ref="C26:C30"/>
    <mergeCell ref="B35:B37"/>
    <mergeCell ref="C35:C37"/>
    <mergeCell ref="B42:B47"/>
    <mergeCell ref="C42:C44"/>
    <mergeCell ref="C45:C47"/>
    <mergeCell ref="B52:B55"/>
    <mergeCell ref="C52:C55"/>
    <mergeCell ref="D59:F59"/>
    <mergeCell ref="B60:B63"/>
    <mergeCell ref="C60:C61"/>
    <mergeCell ref="D60:F60"/>
    <mergeCell ref="D61:F61"/>
    <mergeCell ref="C62:C63"/>
    <mergeCell ref="D62:F62"/>
    <mergeCell ref="D63:F63"/>
    <mergeCell ref="B68:B87"/>
    <mergeCell ref="C68:C74"/>
    <mergeCell ref="C75:C81"/>
    <mergeCell ref="C82:C87"/>
    <mergeCell ref="B92:B96"/>
    <mergeCell ref="C92:C96"/>
    <mergeCell ref="B137:B138"/>
    <mergeCell ref="C137:C138"/>
    <mergeCell ref="D137:F137"/>
    <mergeCell ref="D138:F138"/>
    <mergeCell ref="B101:B103"/>
    <mergeCell ref="C101:C103"/>
    <mergeCell ref="B108:B111"/>
    <mergeCell ref="C108:C111"/>
    <mergeCell ref="B116:B118"/>
    <mergeCell ref="C116:C118"/>
    <mergeCell ref="B123:B125"/>
    <mergeCell ref="C123:C125"/>
    <mergeCell ref="B130:B132"/>
    <mergeCell ref="C130:C132"/>
    <mergeCell ref="D136:F136"/>
    <mergeCell ref="B143:B145"/>
    <mergeCell ref="C143:C145"/>
    <mergeCell ref="B150:B152"/>
    <mergeCell ref="C150:C152"/>
    <mergeCell ref="B157:B162"/>
    <mergeCell ref="C157:C162"/>
    <mergeCell ref="B167:B169"/>
    <mergeCell ref="C167:C169"/>
    <mergeCell ref="B174:B176"/>
    <mergeCell ref="C174:C176"/>
    <mergeCell ref="B181:B183"/>
    <mergeCell ref="C181:C183"/>
    <mergeCell ref="F209:F210"/>
    <mergeCell ref="B188:B190"/>
    <mergeCell ref="C188:C190"/>
    <mergeCell ref="D194:F194"/>
    <mergeCell ref="B195:B196"/>
    <mergeCell ref="C195:C196"/>
    <mergeCell ref="D195:F195"/>
    <mergeCell ref="D196:F196"/>
    <mergeCell ref="B197:B198"/>
    <mergeCell ref="C197:C198"/>
    <mergeCell ref="D197:F197"/>
    <mergeCell ref="D198:F198"/>
    <mergeCell ref="F203:F204"/>
    <mergeCell ref="O369:V369"/>
    <mergeCell ref="F211:F212"/>
    <mergeCell ref="F213:F214"/>
    <mergeCell ref="B291:B292"/>
    <mergeCell ref="B294:B295"/>
    <mergeCell ref="I294:I295"/>
    <mergeCell ref="B296:B297"/>
    <mergeCell ref="I296:I297"/>
    <mergeCell ref="B298:B299"/>
    <mergeCell ref="I298:I299"/>
    <mergeCell ref="B300:B301"/>
    <mergeCell ref="B302:B303"/>
    <mergeCell ref="O368:V368"/>
    <mergeCell ref="P370:Q370"/>
    <mergeCell ref="O371:O372"/>
    <mergeCell ref="P371:T372"/>
    <mergeCell ref="B378:I378"/>
    <mergeCell ref="P389:Q389"/>
    <mergeCell ref="R389:T389"/>
    <mergeCell ref="O393:V393"/>
    <mergeCell ref="P390:Q390"/>
    <mergeCell ref="R390:T390"/>
    <mergeCell ref="P391:Q391"/>
    <mergeCell ref="R391:T391"/>
    <mergeCell ref="P392:Q392"/>
    <mergeCell ref="R392:T392"/>
  </mergeCells>
  <phoneticPr fontId="5" type="noConversion"/>
  <pageMargins left="0.19685039370078741" right="0.19685039370078741" top="0.74803149606299213" bottom="0.74803149606299213" header="0.31496062992125984" footer="0.31496062992125984"/>
  <pageSetup paperSize="9" scale="78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81816-5A4A-41B9-8EF8-F43CA3FC1971}">
  <sheetPr>
    <tabColor rgb="FF7030A0"/>
    <pageSetUpPr fitToPage="1"/>
  </sheetPr>
  <dimension ref="A1:V464"/>
  <sheetViews>
    <sheetView showZeros="0" topLeftCell="A346" zoomScaleNormal="100" workbookViewId="0">
      <selection activeCell="C372" sqref="C372"/>
    </sheetView>
  </sheetViews>
  <sheetFormatPr defaultColWidth="25.25" defaultRowHeight="13.5"/>
  <cols>
    <col min="1" max="1" width="0.5" style="1" customWidth="1"/>
    <col min="2" max="2" width="25.25" style="102" customWidth="1"/>
    <col min="3" max="3" width="14.75" style="102" customWidth="1"/>
    <col min="4" max="4" width="11.5" style="102" customWidth="1"/>
    <col min="5" max="5" width="11.25" style="102" customWidth="1"/>
    <col min="6" max="6" width="12.25" style="102" customWidth="1"/>
    <col min="7" max="7" width="10" style="102" customWidth="1"/>
    <col min="8" max="8" width="9.875" style="102" customWidth="1"/>
    <col min="9" max="9" width="26.875" style="102" customWidth="1"/>
    <col min="10" max="10" width="11.125" style="43" customWidth="1"/>
    <col min="11" max="11" width="7.875" style="43" customWidth="1"/>
    <col min="12" max="12" width="7.25" style="43" customWidth="1"/>
    <col min="13" max="13" width="9.125" style="43" customWidth="1"/>
    <col min="14" max="14" width="15.125" style="255" customWidth="1"/>
    <col min="15" max="15" width="13.125" style="255" customWidth="1"/>
    <col min="16" max="16" width="24.375" style="255" customWidth="1"/>
    <col min="17" max="17" width="13.75" style="255" customWidth="1"/>
    <col min="18" max="18" width="11.25" style="255" customWidth="1"/>
    <col min="19" max="19" width="10.75" style="255" customWidth="1"/>
    <col min="20" max="20" width="10" style="255" customWidth="1"/>
    <col min="21" max="21" width="9.875" style="255" customWidth="1"/>
    <col min="22" max="22" width="26.125" style="255" customWidth="1"/>
    <col min="23" max="23" width="11.125" style="255" customWidth="1"/>
    <col min="24" max="24" width="7.875" style="255" customWidth="1"/>
    <col min="25" max="25" width="7.25" style="255" customWidth="1"/>
    <col min="26" max="26" width="9.125" style="255" customWidth="1"/>
    <col min="27" max="27" width="15.125" style="255" customWidth="1"/>
    <col min="28" max="28" width="7.75" style="255" customWidth="1"/>
    <col min="29" max="29" width="7.125" style="255" customWidth="1"/>
    <col min="30" max="30" width="12.125" style="255" customWidth="1"/>
    <col min="31" max="31" width="8.25" style="255" customWidth="1"/>
    <col min="32" max="33" width="10.375" style="255" customWidth="1"/>
    <col min="34" max="34" width="15.625" style="255" customWidth="1"/>
    <col min="35" max="35" width="15.875" style="255" customWidth="1"/>
    <col min="36" max="36" width="8.125" style="255" customWidth="1"/>
    <col min="37" max="40" width="10.375" style="255" customWidth="1"/>
    <col min="41" max="41" width="7.25" style="255" customWidth="1"/>
    <col min="42" max="42" width="7.125" style="255" customWidth="1"/>
    <col min="43" max="43" width="9.5" style="255" customWidth="1"/>
    <col min="44" max="45" width="9" style="255" customWidth="1"/>
    <col min="46" max="46" width="16.125" style="255" customWidth="1"/>
    <col min="47" max="77" width="9" style="255" customWidth="1"/>
    <col min="78" max="237" width="25.25" style="255"/>
    <col min="238" max="267" width="9" style="255" customWidth="1"/>
    <col min="268" max="268" width="0.5" style="255" customWidth="1"/>
    <col min="269" max="269" width="25.25" style="255"/>
    <col min="270" max="270" width="0.5" style="255" customWidth="1"/>
    <col min="271" max="271" width="25.25" style="255"/>
    <col min="272" max="272" width="14.75" style="255" customWidth="1"/>
    <col min="273" max="273" width="11.5" style="255" customWidth="1"/>
    <col min="274" max="274" width="11.25" style="255" customWidth="1"/>
    <col min="275" max="275" width="10.75" style="255" customWidth="1"/>
    <col min="276" max="276" width="10" style="255" customWidth="1"/>
    <col min="277" max="277" width="9.875" style="255" customWidth="1"/>
    <col min="278" max="278" width="26.125" style="255" customWidth="1"/>
    <col min="279" max="279" width="11.125" style="255" customWidth="1"/>
    <col min="280" max="280" width="7.875" style="255" customWidth="1"/>
    <col min="281" max="281" width="7.25" style="255" customWidth="1"/>
    <col min="282" max="282" width="9.125" style="255" customWidth="1"/>
    <col min="283" max="283" width="15.125" style="255" customWidth="1"/>
    <col min="284" max="284" width="7.75" style="255" customWidth="1"/>
    <col min="285" max="285" width="7.125" style="255" customWidth="1"/>
    <col min="286" max="286" width="12.125" style="255" customWidth="1"/>
    <col min="287" max="287" width="8.25" style="255" customWidth="1"/>
    <col min="288" max="289" width="10.375" style="255" customWidth="1"/>
    <col min="290" max="290" width="15.625" style="255" customWidth="1"/>
    <col min="291" max="291" width="15.875" style="255" customWidth="1"/>
    <col min="292" max="292" width="8.125" style="255" customWidth="1"/>
    <col min="293" max="296" width="10.375" style="255" customWidth="1"/>
    <col min="297" max="297" width="7.25" style="255" customWidth="1"/>
    <col min="298" max="298" width="7.125" style="255" customWidth="1"/>
    <col min="299" max="299" width="9.5" style="255" customWidth="1"/>
    <col min="300" max="301" width="9" style="255" customWidth="1"/>
    <col min="302" max="302" width="16.125" style="255" customWidth="1"/>
    <col min="303" max="333" width="9" style="255" customWidth="1"/>
    <col min="334" max="493" width="25.25" style="255"/>
    <col min="494" max="523" width="9" style="255" customWidth="1"/>
    <col min="524" max="524" width="0.5" style="255" customWidth="1"/>
    <col min="525" max="525" width="25.25" style="255"/>
    <col min="526" max="526" width="0.5" style="255" customWidth="1"/>
    <col min="527" max="527" width="25.25" style="255"/>
    <col min="528" max="528" width="14.75" style="255" customWidth="1"/>
    <col min="529" max="529" width="11.5" style="255" customWidth="1"/>
    <col min="530" max="530" width="11.25" style="255" customWidth="1"/>
    <col min="531" max="531" width="10.75" style="255" customWidth="1"/>
    <col min="532" max="532" width="10" style="255" customWidth="1"/>
    <col min="533" max="533" width="9.875" style="255" customWidth="1"/>
    <col min="534" max="534" width="26.125" style="255" customWidth="1"/>
    <col min="535" max="535" width="11.125" style="255" customWidth="1"/>
    <col min="536" max="536" width="7.875" style="255" customWidth="1"/>
    <col min="537" max="537" width="7.25" style="255" customWidth="1"/>
    <col min="538" max="538" width="9.125" style="255" customWidth="1"/>
    <col min="539" max="539" width="15.125" style="255" customWidth="1"/>
    <col min="540" max="540" width="7.75" style="255" customWidth="1"/>
    <col min="541" max="541" width="7.125" style="255" customWidth="1"/>
    <col min="542" max="542" width="12.125" style="255" customWidth="1"/>
    <col min="543" max="543" width="8.25" style="255" customWidth="1"/>
    <col min="544" max="545" width="10.375" style="255" customWidth="1"/>
    <col min="546" max="546" width="15.625" style="255" customWidth="1"/>
    <col min="547" max="547" width="15.875" style="255" customWidth="1"/>
    <col min="548" max="548" width="8.125" style="255" customWidth="1"/>
    <col min="549" max="552" width="10.375" style="255" customWidth="1"/>
    <col min="553" max="553" width="7.25" style="255" customWidth="1"/>
    <col min="554" max="554" width="7.125" style="255" customWidth="1"/>
    <col min="555" max="555" width="9.5" style="255" customWidth="1"/>
    <col min="556" max="557" width="9" style="255" customWidth="1"/>
    <col min="558" max="558" width="16.125" style="255" customWidth="1"/>
    <col min="559" max="589" width="9" style="255" customWidth="1"/>
    <col min="590" max="749" width="25.25" style="255"/>
    <col min="750" max="779" width="9" style="255" customWidth="1"/>
    <col min="780" max="780" width="0.5" style="255" customWidth="1"/>
    <col min="781" max="781" width="25.25" style="255"/>
    <col min="782" max="782" width="0.5" style="255" customWidth="1"/>
    <col min="783" max="783" width="25.25" style="255"/>
    <col min="784" max="784" width="14.75" style="255" customWidth="1"/>
    <col min="785" max="785" width="11.5" style="255" customWidth="1"/>
    <col min="786" max="786" width="11.25" style="255" customWidth="1"/>
    <col min="787" max="787" width="10.75" style="255" customWidth="1"/>
    <col min="788" max="788" width="10" style="255" customWidth="1"/>
    <col min="789" max="789" width="9.875" style="255" customWidth="1"/>
    <col min="790" max="790" width="26.125" style="255" customWidth="1"/>
    <col min="791" max="791" width="11.125" style="255" customWidth="1"/>
    <col min="792" max="792" width="7.875" style="255" customWidth="1"/>
    <col min="793" max="793" width="7.25" style="255" customWidth="1"/>
    <col min="794" max="794" width="9.125" style="255" customWidth="1"/>
    <col min="795" max="795" width="15.125" style="255" customWidth="1"/>
    <col min="796" max="796" width="7.75" style="255" customWidth="1"/>
    <col min="797" max="797" width="7.125" style="255" customWidth="1"/>
    <col min="798" max="798" width="12.125" style="255" customWidth="1"/>
    <col min="799" max="799" width="8.25" style="255" customWidth="1"/>
    <col min="800" max="801" width="10.375" style="255" customWidth="1"/>
    <col min="802" max="802" width="15.625" style="255" customWidth="1"/>
    <col min="803" max="803" width="15.875" style="255" customWidth="1"/>
    <col min="804" max="804" width="8.125" style="255" customWidth="1"/>
    <col min="805" max="808" width="10.375" style="255" customWidth="1"/>
    <col min="809" max="809" width="7.25" style="255" customWidth="1"/>
    <col min="810" max="810" width="7.125" style="255" customWidth="1"/>
    <col min="811" max="811" width="9.5" style="255" customWidth="1"/>
    <col min="812" max="813" width="9" style="255" customWidth="1"/>
    <col min="814" max="814" width="16.125" style="255" customWidth="1"/>
    <col min="815" max="845" width="9" style="255" customWidth="1"/>
    <col min="846" max="1005" width="25.25" style="255"/>
    <col min="1006" max="1035" width="9" style="255" customWidth="1"/>
    <col min="1036" max="1036" width="0.5" style="255" customWidth="1"/>
    <col min="1037" max="1037" width="25.25" style="255"/>
    <col min="1038" max="1038" width="0.5" style="255" customWidth="1"/>
    <col min="1039" max="1039" width="25.25" style="255"/>
    <col min="1040" max="1040" width="14.75" style="255" customWidth="1"/>
    <col min="1041" max="1041" width="11.5" style="255" customWidth="1"/>
    <col min="1042" max="1042" width="11.25" style="255" customWidth="1"/>
    <col min="1043" max="1043" width="10.75" style="255" customWidth="1"/>
    <col min="1044" max="1044" width="10" style="255" customWidth="1"/>
    <col min="1045" max="1045" width="9.875" style="255" customWidth="1"/>
    <col min="1046" max="1046" width="26.125" style="255" customWidth="1"/>
    <col min="1047" max="1047" width="11.125" style="255" customWidth="1"/>
    <col min="1048" max="1048" width="7.875" style="255" customWidth="1"/>
    <col min="1049" max="1049" width="7.25" style="255" customWidth="1"/>
    <col min="1050" max="1050" width="9.125" style="255" customWidth="1"/>
    <col min="1051" max="1051" width="15.125" style="255" customWidth="1"/>
    <col min="1052" max="1052" width="7.75" style="255" customWidth="1"/>
    <col min="1053" max="1053" width="7.125" style="255" customWidth="1"/>
    <col min="1054" max="1054" width="12.125" style="255" customWidth="1"/>
    <col min="1055" max="1055" width="8.25" style="255" customWidth="1"/>
    <col min="1056" max="1057" width="10.375" style="255" customWidth="1"/>
    <col min="1058" max="1058" width="15.625" style="255" customWidth="1"/>
    <col min="1059" max="1059" width="15.875" style="255" customWidth="1"/>
    <col min="1060" max="1060" width="8.125" style="255" customWidth="1"/>
    <col min="1061" max="1064" width="10.375" style="255" customWidth="1"/>
    <col min="1065" max="1065" width="7.25" style="255" customWidth="1"/>
    <col min="1066" max="1066" width="7.125" style="255" customWidth="1"/>
    <col min="1067" max="1067" width="9.5" style="255" customWidth="1"/>
    <col min="1068" max="1069" width="9" style="255" customWidth="1"/>
    <col min="1070" max="1070" width="16.125" style="255" customWidth="1"/>
    <col min="1071" max="1101" width="9" style="255" customWidth="1"/>
    <col min="1102" max="1261" width="25.25" style="255"/>
    <col min="1262" max="1291" width="9" style="255" customWidth="1"/>
    <col min="1292" max="1292" width="0.5" style="255" customWidth="1"/>
    <col min="1293" max="1293" width="25.25" style="255"/>
    <col min="1294" max="1294" width="0.5" style="255" customWidth="1"/>
    <col min="1295" max="1295" width="25.25" style="255"/>
    <col min="1296" max="1296" width="14.75" style="255" customWidth="1"/>
    <col min="1297" max="1297" width="11.5" style="255" customWidth="1"/>
    <col min="1298" max="1298" width="11.25" style="255" customWidth="1"/>
    <col min="1299" max="1299" width="10.75" style="255" customWidth="1"/>
    <col min="1300" max="1300" width="10" style="255" customWidth="1"/>
    <col min="1301" max="1301" width="9.875" style="255" customWidth="1"/>
    <col min="1302" max="1302" width="26.125" style="255" customWidth="1"/>
    <col min="1303" max="1303" width="11.125" style="255" customWidth="1"/>
    <col min="1304" max="1304" width="7.875" style="255" customWidth="1"/>
    <col min="1305" max="1305" width="7.25" style="255" customWidth="1"/>
    <col min="1306" max="1306" width="9.125" style="255" customWidth="1"/>
    <col min="1307" max="1307" width="15.125" style="255" customWidth="1"/>
    <col min="1308" max="1308" width="7.75" style="255" customWidth="1"/>
    <col min="1309" max="1309" width="7.125" style="255" customWidth="1"/>
    <col min="1310" max="1310" width="12.125" style="255" customWidth="1"/>
    <col min="1311" max="1311" width="8.25" style="255" customWidth="1"/>
    <col min="1312" max="1313" width="10.375" style="255" customWidth="1"/>
    <col min="1314" max="1314" width="15.625" style="255" customWidth="1"/>
    <col min="1315" max="1315" width="15.875" style="255" customWidth="1"/>
    <col min="1316" max="1316" width="8.125" style="255" customWidth="1"/>
    <col min="1317" max="1320" width="10.375" style="255" customWidth="1"/>
    <col min="1321" max="1321" width="7.25" style="255" customWidth="1"/>
    <col min="1322" max="1322" width="7.125" style="255" customWidth="1"/>
    <col min="1323" max="1323" width="9.5" style="255" customWidth="1"/>
    <col min="1324" max="1325" width="9" style="255" customWidth="1"/>
    <col min="1326" max="1326" width="16.125" style="255" customWidth="1"/>
    <col min="1327" max="1357" width="9" style="255" customWidth="1"/>
    <col min="1358" max="1517" width="25.25" style="255"/>
    <col min="1518" max="1547" width="9" style="255" customWidth="1"/>
    <col min="1548" max="1548" width="0.5" style="255" customWidth="1"/>
    <col min="1549" max="1549" width="25.25" style="255"/>
    <col min="1550" max="1550" width="0.5" style="255" customWidth="1"/>
    <col min="1551" max="1551" width="25.25" style="255"/>
    <col min="1552" max="1552" width="14.75" style="255" customWidth="1"/>
    <col min="1553" max="1553" width="11.5" style="255" customWidth="1"/>
    <col min="1554" max="1554" width="11.25" style="255" customWidth="1"/>
    <col min="1555" max="1555" width="10.75" style="255" customWidth="1"/>
    <col min="1556" max="1556" width="10" style="255" customWidth="1"/>
    <col min="1557" max="1557" width="9.875" style="255" customWidth="1"/>
    <col min="1558" max="1558" width="26.125" style="255" customWidth="1"/>
    <col min="1559" max="1559" width="11.125" style="255" customWidth="1"/>
    <col min="1560" max="1560" width="7.875" style="255" customWidth="1"/>
    <col min="1561" max="1561" width="7.25" style="255" customWidth="1"/>
    <col min="1562" max="1562" width="9.125" style="255" customWidth="1"/>
    <col min="1563" max="1563" width="15.125" style="255" customWidth="1"/>
    <col min="1564" max="1564" width="7.75" style="255" customWidth="1"/>
    <col min="1565" max="1565" width="7.125" style="255" customWidth="1"/>
    <col min="1566" max="1566" width="12.125" style="255" customWidth="1"/>
    <col min="1567" max="1567" width="8.25" style="255" customWidth="1"/>
    <col min="1568" max="1569" width="10.375" style="255" customWidth="1"/>
    <col min="1570" max="1570" width="15.625" style="255" customWidth="1"/>
    <col min="1571" max="1571" width="15.875" style="255" customWidth="1"/>
    <col min="1572" max="1572" width="8.125" style="255" customWidth="1"/>
    <col min="1573" max="1576" width="10.375" style="255" customWidth="1"/>
    <col min="1577" max="1577" width="7.25" style="255" customWidth="1"/>
    <col min="1578" max="1578" width="7.125" style="255" customWidth="1"/>
    <col min="1579" max="1579" width="9.5" style="255" customWidth="1"/>
    <col min="1580" max="1581" width="9" style="255" customWidth="1"/>
    <col min="1582" max="1582" width="16.125" style="255" customWidth="1"/>
    <col min="1583" max="1613" width="9" style="255" customWidth="1"/>
    <col min="1614" max="1773" width="25.25" style="255"/>
    <col min="1774" max="1803" width="9" style="255" customWidth="1"/>
    <col min="1804" max="1804" width="0.5" style="255" customWidth="1"/>
    <col min="1805" max="1805" width="25.25" style="255"/>
    <col min="1806" max="1806" width="0.5" style="255" customWidth="1"/>
    <col min="1807" max="1807" width="25.25" style="255"/>
    <col min="1808" max="1808" width="14.75" style="255" customWidth="1"/>
    <col min="1809" max="1809" width="11.5" style="255" customWidth="1"/>
    <col min="1810" max="1810" width="11.25" style="255" customWidth="1"/>
    <col min="1811" max="1811" width="10.75" style="255" customWidth="1"/>
    <col min="1812" max="1812" width="10" style="255" customWidth="1"/>
    <col min="1813" max="1813" width="9.875" style="255" customWidth="1"/>
    <col min="1814" max="1814" width="26.125" style="255" customWidth="1"/>
    <col min="1815" max="1815" width="11.125" style="255" customWidth="1"/>
    <col min="1816" max="1816" width="7.875" style="255" customWidth="1"/>
    <col min="1817" max="1817" width="7.25" style="255" customWidth="1"/>
    <col min="1818" max="1818" width="9.125" style="255" customWidth="1"/>
    <col min="1819" max="1819" width="15.125" style="255" customWidth="1"/>
    <col min="1820" max="1820" width="7.75" style="255" customWidth="1"/>
    <col min="1821" max="1821" width="7.125" style="255" customWidth="1"/>
    <col min="1822" max="1822" width="12.125" style="255" customWidth="1"/>
    <col min="1823" max="1823" width="8.25" style="255" customWidth="1"/>
    <col min="1824" max="1825" width="10.375" style="255" customWidth="1"/>
    <col min="1826" max="1826" width="15.625" style="255" customWidth="1"/>
    <col min="1827" max="1827" width="15.875" style="255" customWidth="1"/>
    <col min="1828" max="1828" width="8.125" style="255" customWidth="1"/>
    <col min="1829" max="1832" width="10.375" style="255" customWidth="1"/>
    <col min="1833" max="1833" width="7.25" style="255" customWidth="1"/>
    <col min="1834" max="1834" width="7.125" style="255" customWidth="1"/>
    <col min="1835" max="1835" width="9.5" style="255" customWidth="1"/>
    <col min="1836" max="1837" width="9" style="255" customWidth="1"/>
    <col min="1838" max="1838" width="16.125" style="255" customWidth="1"/>
    <col min="1839" max="1869" width="9" style="255" customWidth="1"/>
    <col min="1870" max="2029" width="25.25" style="255"/>
    <col min="2030" max="2059" width="9" style="255" customWidth="1"/>
    <col min="2060" max="2060" width="0.5" style="255" customWidth="1"/>
    <col min="2061" max="2061" width="25.25" style="255"/>
    <col min="2062" max="2062" width="0.5" style="255" customWidth="1"/>
    <col min="2063" max="2063" width="25.25" style="255"/>
    <col min="2064" max="2064" width="14.75" style="255" customWidth="1"/>
    <col min="2065" max="2065" width="11.5" style="255" customWidth="1"/>
    <col min="2066" max="2066" width="11.25" style="255" customWidth="1"/>
    <col min="2067" max="2067" width="10.75" style="255" customWidth="1"/>
    <col min="2068" max="2068" width="10" style="255" customWidth="1"/>
    <col min="2069" max="2069" width="9.875" style="255" customWidth="1"/>
    <col min="2070" max="2070" width="26.125" style="255" customWidth="1"/>
    <col min="2071" max="2071" width="11.125" style="255" customWidth="1"/>
    <col min="2072" max="2072" width="7.875" style="255" customWidth="1"/>
    <col min="2073" max="2073" width="7.25" style="255" customWidth="1"/>
    <col min="2074" max="2074" width="9.125" style="255" customWidth="1"/>
    <col min="2075" max="2075" width="15.125" style="255" customWidth="1"/>
    <col min="2076" max="2076" width="7.75" style="255" customWidth="1"/>
    <col min="2077" max="2077" width="7.125" style="255" customWidth="1"/>
    <col min="2078" max="2078" width="12.125" style="255" customWidth="1"/>
    <col min="2079" max="2079" width="8.25" style="255" customWidth="1"/>
    <col min="2080" max="2081" width="10.375" style="255" customWidth="1"/>
    <col min="2082" max="2082" width="15.625" style="255" customWidth="1"/>
    <col min="2083" max="2083" width="15.875" style="255" customWidth="1"/>
    <col min="2084" max="2084" width="8.125" style="255" customWidth="1"/>
    <col min="2085" max="2088" width="10.375" style="255" customWidth="1"/>
    <col min="2089" max="2089" width="7.25" style="255" customWidth="1"/>
    <col min="2090" max="2090" width="7.125" style="255" customWidth="1"/>
    <col min="2091" max="2091" width="9.5" style="255" customWidth="1"/>
    <col min="2092" max="2093" width="9" style="255" customWidth="1"/>
    <col min="2094" max="2094" width="16.125" style="255" customWidth="1"/>
    <col min="2095" max="2125" width="9" style="255" customWidth="1"/>
    <col min="2126" max="2285" width="25.25" style="255"/>
    <col min="2286" max="2315" width="9" style="255" customWidth="1"/>
    <col min="2316" max="2316" width="0.5" style="255" customWidth="1"/>
    <col min="2317" max="2317" width="25.25" style="255"/>
    <col min="2318" max="2318" width="0.5" style="255" customWidth="1"/>
    <col min="2319" max="2319" width="25.25" style="255"/>
    <col min="2320" max="2320" width="14.75" style="255" customWidth="1"/>
    <col min="2321" max="2321" width="11.5" style="255" customWidth="1"/>
    <col min="2322" max="2322" width="11.25" style="255" customWidth="1"/>
    <col min="2323" max="2323" width="10.75" style="255" customWidth="1"/>
    <col min="2324" max="2324" width="10" style="255" customWidth="1"/>
    <col min="2325" max="2325" width="9.875" style="255" customWidth="1"/>
    <col min="2326" max="2326" width="26.125" style="255" customWidth="1"/>
    <col min="2327" max="2327" width="11.125" style="255" customWidth="1"/>
    <col min="2328" max="2328" width="7.875" style="255" customWidth="1"/>
    <col min="2329" max="2329" width="7.25" style="255" customWidth="1"/>
    <col min="2330" max="2330" width="9.125" style="255" customWidth="1"/>
    <col min="2331" max="2331" width="15.125" style="255" customWidth="1"/>
    <col min="2332" max="2332" width="7.75" style="255" customWidth="1"/>
    <col min="2333" max="2333" width="7.125" style="255" customWidth="1"/>
    <col min="2334" max="2334" width="12.125" style="255" customWidth="1"/>
    <col min="2335" max="2335" width="8.25" style="255" customWidth="1"/>
    <col min="2336" max="2337" width="10.375" style="255" customWidth="1"/>
    <col min="2338" max="2338" width="15.625" style="255" customWidth="1"/>
    <col min="2339" max="2339" width="15.875" style="255" customWidth="1"/>
    <col min="2340" max="2340" width="8.125" style="255" customWidth="1"/>
    <col min="2341" max="2344" width="10.375" style="255" customWidth="1"/>
    <col min="2345" max="2345" width="7.25" style="255" customWidth="1"/>
    <col min="2346" max="2346" width="7.125" style="255" customWidth="1"/>
    <col min="2347" max="2347" width="9.5" style="255" customWidth="1"/>
    <col min="2348" max="2349" width="9" style="255" customWidth="1"/>
    <col min="2350" max="2350" width="16.125" style="255" customWidth="1"/>
    <col min="2351" max="2381" width="9" style="255" customWidth="1"/>
    <col min="2382" max="2541" width="25.25" style="255"/>
    <col min="2542" max="2571" width="9" style="255" customWidth="1"/>
    <col min="2572" max="2572" width="0.5" style="255" customWidth="1"/>
    <col min="2573" max="2573" width="25.25" style="255"/>
    <col min="2574" max="2574" width="0.5" style="255" customWidth="1"/>
    <col min="2575" max="2575" width="25.25" style="255"/>
    <col min="2576" max="2576" width="14.75" style="255" customWidth="1"/>
    <col min="2577" max="2577" width="11.5" style="255" customWidth="1"/>
    <col min="2578" max="2578" width="11.25" style="255" customWidth="1"/>
    <col min="2579" max="2579" width="10.75" style="255" customWidth="1"/>
    <col min="2580" max="2580" width="10" style="255" customWidth="1"/>
    <col min="2581" max="2581" width="9.875" style="255" customWidth="1"/>
    <col min="2582" max="2582" width="26.125" style="255" customWidth="1"/>
    <col min="2583" max="2583" width="11.125" style="255" customWidth="1"/>
    <col min="2584" max="2584" width="7.875" style="255" customWidth="1"/>
    <col min="2585" max="2585" width="7.25" style="255" customWidth="1"/>
    <col min="2586" max="2586" width="9.125" style="255" customWidth="1"/>
    <col min="2587" max="2587" width="15.125" style="255" customWidth="1"/>
    <col min="2588" max="2588" width="7.75" style="255" customWidth="1"/>
    <col min="2589" max="2589" width="7.125" style="255" customWidth="1"/>
    <col min="2590" max="2590" width="12.125" style="255" customWidth="1"/>
    <col min="2591" max="2591" width="8.25" style="255" customWidth="1"/>
    <col min="2592" max="2593" width="10.375" style="255" customWidth="1"/>
    <col min="2594" max="2594" width="15.625" style="255" customWidth="1"/>
    <col min="2595" max="2595" width="15.875" style="255" customWidth="1"/>
    <col min="2596" max="2596" width="8.125" style="255" customWidth="1"/>
    <col min="2597" max="2600" width="10.375" style="255" customWidth="1"/>
    <col min="2601" max="2601" width="7.25" style="255" customWidth="1"/>
    <col min="2602" max="2602" width="7.125" style="255" customWidth="1"/>
    <col min="2603" max="2603" width="9.5" style="255" customWidth="1"/>
    <col min="2604" max="2605" width="9" style="255" customWidth="1"/>
    <col min="2606" max="2606" width="16.125" style="255" customWidth="1"/>
    <col min="2607" max="2637" width="9" style="255" customWidth="1"/>
    <col min="2638" max="2797" width="25.25" style="255"/>
    <col min="2798" max="2827" width="9" style="255" customWidth="1"/>
    <col min="2828" max="2828" width="0.5" style="255" customWidth="1"/>
    <col min="2829" max="2829" width="25.25" style="255"/>
    <col min="2830" max="2830" width="0.5" style="255" customWidth="1"/>
    <col min="2831" max="2831" width="25.25" style="255"/>
    <col min="2832" max="2832" width="14.75" style="255" customWidth="1"/>
    <col min="2833" max="2833" width="11.5" style="255" customWidth="1"/>
    <col min="2834" max="2834" width="11.25" style="255" customWidth="1"/>
    <col min="2835" max="2835" width="10.75" style="255" customWidth="1"/>
    <col min="2836" max="2836" width="10" style="255" customWidth="1"/>
    <col min="2837" max="2837" width="9.875" style="255" customWidth="1"/>
    <col min="2838" max="2838" width="26.125" style="255" customWidth="1"/>
    <col min="2839" max="2839" width="11.125" style="255" customWidth="1"/>
    <col min="2840" max="2840" width="7.875" style="255" customWidth="1"/>
    <col min="2841" max="2841" width="7.25" style="255" customWidth="1"/>
    <col min="2842" max="2842" width="9.125" style="255" customWidth="1"/>
    <col min="2843" max="2843" width="15.125" style="255" customWidth="1"/>
    <col min="2844" max="2844" width="7.75" style="255" customWidth="1"/>
    <col min="2845" max="2845" width="7.125" style="255" customWidth="1"/>
    <col min="2846" max="2846" width="12.125" style="255" customWidth="1"/>
    <col min="2847" max="2847" width="8.25" style="255" customWidth="1"/>
    <col min="2848" max="2849" width="10.375" style="255" customWidth="1"/>
    <col min="2850" max="2850" width="15.625" style="255" customWidth="1"/>
    <col min="2851" max="2851" width="15.875" style="255" customWidth="1"/>
    <col min="2852" max="2852" width="8.125" style="255" customWidth="1"/>
    <col min="2853" max="2856" width="10.375" style="255" customWidth="1"/>
    <col min="2857" max="2857" width="7.25" style="255" customWidth="1"/>
    <col min="2858" max="2858" width="7.125" style="255" customWidth="1"/>
    <col min="2859" max="2859" width="9.5" style="255" customWidth="1"/>
    <col min="2860" max="2861" width="9" style="255" customWidth="1"/>
    <col min="2862" max="2862" width="16.125" style="255" customWidth="1"/>
    <col min="2863" max="2893" width="9" style="255" customWidth="1"/>
    <col min="2894" max="3053" width="25.25" style="255"/>
    <col min="3054" max="3083" width="9" style="255" customWidth="1"/>
    <col min="3084" max="3084" width="0.5" style="255" customWidth="1"/>
    <col min="3085" max="3085" width="25.25" style="255"/>
    <col min="3086" max="3086" width="0.5" style="255" customWidth="1"/>
    <col min="3087" max="3087" width="25.25" style="255"/>
    <col min="3088" max="3088" width="14.75" style="255" customWidth="1"/>
    <col min="3089" max="3089" width="11.5" style="255" customWidth="1"/>
    <col min="3090" max="3090" width="11.25" style="255" customWidth="1"/>
    <col min="3091" max="3091" width="10.75" style="255" customWidth="1"/>
    <col min="3092" max="3092" width="10" style="255" customWidth="1"/>
    <col min="3093" max="3093" width="9.875" style="255" customWidth="1"/>
    <col min="3094" max="3094" width="26.125" style="255" customWidth="1"/>
    <col min="3095" max="3095" width="11.125" style="255" customWidth="1"/>
    <col min="3096" max="3096" width="7.875" style="255" customWidth="1"/>
    <col min="3097" max="3097" width="7.25" style="255" customWidth="1"/>
    <col min="3098" max="3098" width="9.125" style="255" customWidth="1"/>
    <col min="3099" max="3099" width="15.125" style="255" customWidth="1"/>
    <col min="3100" max="3100" width="7.75" style="255" customWidth="1"/>
    <col min="3101" max="3101" width="7.125" style="255" customWidth="1"/>
    <col min="3102" max="3102" width="12.125" style="255" customWidth="1"/>
    <col min="3103" max="3103" width="8.25" style="255" customWidth="1"/>
    <col min="3104" max="3105" width="10.375" style="255" customWidth="1"/>
    <col min="3106" max="3106" width="15.625" style="255" customWidth="1"/>
    <col min="3107" max="3107" width="15.875" style="255" customWidth="1"/>
    <col min="3108" max="3108" width="8.125" style="255" customWidth="1"/>
    <col min="3109" max="3112" width="10.375" style="255" customWidth="1"/>
    <col min="3113" max="3113" width="7.25" style="255" customWidth="1"/>
    <col min="3114" max="3114" width="7.125" style="255" customWidth="1"/>
    <col min="3115" max="3115" width="9.5" style="255" customWidth="1"/>
    <col min="3116" max="3117" width="9" style="255" customWidth="1"/>
    <col min="3118" max="3118" width="16.125" style="255" customWidth="1"/>
    <col min="3119" max="3149" width="9" style="255" customWidth="1"/>
    <col min="3150" max="3309" width="25.25" style="255"/>
    <col min="3310" max="3339" width="9" style="255" customWidth="1"/>
    <col min="3340" max="3340" width="0.5" style="255" customWidth="1"/>
    <col min="3341" max="3341" width="25.25" style="255"/>
    <col min="3342" max="3342" width="0.5" style="255" customWidth="1"/>
    <col min="3343" max="3343" width="25.25" style="255"/>
    <col min="3344" max="3344" width="14.75" style="255" customWidth="1"/>
    <col min="3345" max="3345" width="11.5" style="255" customWidth="1"/>
    <col min="3346" max="3346" width="11.25" style="255" customWidth="1"/>
    <col min="3347" max="3347" width="10.75" style="255" customWidth="1"/>
    <col min="3348" max="3348" width="10" style="255" customWidth="1"/>
    <col min="3349" max="3349" width="9.875" style="255" customWidth="1"/>
    <col min="3350" max="3350" width="26.125" style="255" customWidth="1"/>
    <col min="3351" max="3351" width="11.125" style="255" customWidth="1"/>
    <col min="3352" max="3352" width="7.875" style="255" customWidth="1"/>
    <col min="3353" max="3353" width="7.25" style="255" customWidth="1"/>
    <col min="3354" max="3354" width="9.125" style="255" customWidth="1"/>
    <col min="3355" max="3355" width="15.125" style="255" customWidth="1"/>
    <col min="3356" max="3356" width="7.75" style="255" customWidth="1"/>
    <col min="3357" max="3357" width="7.125" style="255" customWidth="1"/>
    <col min="3358" max="3358" width="12.125" style="255" customWidth="1"/>
    <col min="3359" max="3359" width="8.25" style="255" customWidth="1"/>
    <col min="3360" max="3361" width="10.375" style="255" customWidth="1"/>
    <col min="3362" max="3362" width="15.625" style="255" customWidth="1"/>
    <col min="3363" max="3363" width="15.875" style="255" customWidth="1"/>
    <col min="3364" max="3364" width="8.125" style="255" customWidth="1"/>
    <col min="3365" max="3368" width="10.375" style="255" customWidth="1"/>
    <col min="3369" max="3369" width="7.25" style="255" customWidth="1"/>
    <col min="3370" max="3370" width="7.125" style="255" customWidth="1"/>
    <col min="3371" max="3371" width="9.5" style="255" customWidth="1"/>
    <col min="3372" max="3373" width="9" style="255" customWidth="1"/>
    <col min="3374" max="3374" width="16.125" style="255" customWidth="1"/>
    <col min="3375" max="3405" width="9" style="255" customWidth="1"/>
    <col min="3406" max="3565" width="25.25" style="255"/>
    <col min="3566" max="3595" width="9" style="255" customWidth="1"/>
    <col min="3596" max="3596" width="0.5" style="255" customWidth="1"/>
    <col min="3597" max="3597" width="25.25" style="255"/>
    <col min="3598" max="3598" width="0.5" style="255" customWidth="1"/>
    <col min="3599" max="3599" width="25.25" style="255"/>
    <col min="3600" max="3600" width="14.75" style="255" customWidth="1"/>
    <col min="3601" max="3601" width="11.5" style="255" customWidth="1"/>
    <col min="3602" max="3602" width="11.25" style="255" customWidth="1"/>
    <col min="3603" max="3603" width="10.75" style="255" customWidth="1"/>
    <col min="3604" max="3604" width="10" style="255" customWidth="1"/>
    <col min="3605" max="3605" width="9.875" style="255" customWidth="1"/>
    <col min="3606" max="3606" width="26.125" style="255" customWidth="1"/>
    <col min="3607" max="3607" width="11.125" style="255" customWidth="1"/>
    <col min="3608" max="3608" width="7.875" style="255" customWidth="1"/>
    <col min="3609" max="3609" width="7.25" style="255" customWidth="1"/>
    <col min="3610" max="3610" width="9.125" style="255" customWidth="1"/>
    <col min="3611" max="3611" width="15.125" style="255" customWidth="1"/>
    <col min="3612" max="3612" width="7.75" style="255" customWidth="1"/>
    <col min="3613" max="3613" width="7.125" style="255" customWidth="1"/>
    <col min="3614" max="3614" width="12.125" style="255" customWidth="1"/>
    <col min="3615" max="3615" width="8.25" style="255" customWidth="1"/>
    <col min="3616" max="3617" width="10.375" style="255" customWidth="1"/>
    <col min="3618" max="3618" width="15.625" style="255" customWidth="1"/>
    <col min="3619" max="3619" width="15.875" style="255" customWidth="1"/>
    <col min="3620" max="3620" width="8.125" style="255" customWidth="1"/>
    <col min="3621" max="3624" width="10.375" style="255" customWidth="1"/>
    <col min="3625" max="3625" width="7.25" style="255" customWidth="1"/>
    <col min="3626" max="3626" width="7.125" style="255" customWidth="1"/>
    <col min="3627" max="3627" width="9.5" style="255" customWidth="1"/>
    <col min="3628" max="3629" width="9" style="255" customWidth="1"/>
    <col min="3630" max="3630" width="16.125" style="255" customWidth="1"/>
    <col min="3631" max="3661" width="9" style="255" customWidth="1"/>
    <col min="3662" max="3821" width="25.25" style="255"/>
    <col min="3822" max="3851" width="9" style="255" customWidth="1"/>
    <col min="3852" max="3852" width="0.5" style="255" customWidth="1"/>
    <col min="3853" max="3853" width="25.25" style="255"/>
    <col min="3854" max="3854" width="0.5" style="255" customWidth="1"/>
    <col min="3855" max="3855" width="25.25" style="255"/>
    <col min="3856" max="3856" width="14.75" style="255" customWidth="1"/>
    <col min="3857" max="3857" width="11.5" style="255" customWidth="1"/>
    <col min="3858" max="3858" width="11.25" style="255" customWidth="1"/>
    <col min="3859" max="3859" width="10.75" style="255" customWidth="1"/>
    <col min="3860" max="3860" width="10" style="255" customWidth="1"/>
    <col min="3861" max="3861" width="9.875" style="255" customWidth="1"/>
    <col min="3862" max="3862" width="26.125" style="255" customWidth="1"/>
    <col min="3863" max="3863" width="11.125" style="255" customWidth="1"/>
    <col min="3864" max="3864" width="7.875" style="255" customWidth="1"/>
    <col min="3865" max="3865" width="7.25" style="255" customWidth="1"/>
    <col min="3866" max="3866" width="9.125" style="255" customWidth="1"/>
    <col min="3867" max="3867" width="15.125" style="255" customWidth="1"/>
    <col min="3868" max="3868" width="7.75" style="255" customWidth="1"/>
    <col min="3869" max="3869" width="7.125" style="255" customWidth="1"/>
    <col min="3870" max="3870" width="12.125" style="255" customWidth="1"/>
    <col min="3871" max="3871" width="8.25" style="255" customWidth="1"/>
    <col min="3872" max="3873" width="10.375" style="255" customWidth="1"/>
    <col min="3874" max="3874" width="15.625" style="255" customWidth="1"/>
    <col min="3875" max="3875" width="15.875" style="255" customWidth="1"/>
    <col min="3876" max="3876" width="8.125" style="255" customWidth="1"/>
    <col min="3877" max="3880" width="10.375" style="255" customWidth="1"/>
    <col min="3881" max="3881" width="7.25" style="255" customWidth="1"/>
    <col min="3882" max="3882" width="7.125" style="255" customWidth="1"/>
    <col min="3883" max="3883" width="9.5" style="255" customWidth="1"/>
    <col min="3884" max="3885" width="9" style="255" customWidth="1"/>
    <col min="3886" max="3886" width="16.125" style="255" customWidth="1"/>
    <col min="3887" max="3917" width="9" style="255" customWidth="1"/>
    <col min="3918" max="4077" width="25.25" style="255"/>
    <col min="4078" max="4107" width="9" style="255" customWidth="1"/>
    <col min="4108" max="4108" width="0.5" style="255" customWidth="1"/>
    <col min="4109" max="4109" width="25.25" style="255"/>
    <col min="4110" max="4110" width="0.5" style="255" customWidth="1"/>
    <col min="4111" max="4111" width="25.25" style="255"/>
    <col min="4112" max="4112" width="14.75" style="255" customWidth="1"/>
    <col min="4113" max="4113" width="11.5" style="255" customWidth="1"/>
    <col min="4114" max="4114" width="11.25" style="255" customWidth="1"/>
    <col min="4115" max="4115" width="10.75" style="255" customWidth="1"/>
    <col min="4116" max="4116" width="10" style="255" customWidth="1"/>
    <col min="4117" max="4117" width="9.875" style="255" customWidth="1"/>
    <col min="4118" max="4118" width="26.125" style="255" customWidth="1"/>
    <col min="4119" max="4119" width="11.125" style="255" customWidth="1"/>
    <col min="4120" max="4120" width="7.875" style="255" customWidth="1"/>
    <col min="4121" max="4121" width="7.25" style="255" customWidth="1"/>
    <col min="4122" max="4122" width="9.125" style="255" customWidth="1"/>
    <col min="4123" max="4123" width="15.125" style="255" customWidth="1"/>
    <col min="4124" max="4124" width="7.75" style="255" customWidth="1"/>
    <col min="4125" max="4125" width="7.125" style="255" customWidth="1"/>
    <col min="4126" max="4126" width="12.125" style="255" customWidth="1"/>
    <col min="4127" max="4127" width="8.25" style="255" customWidth="1"/>
    <col min="4128" max="4129" width="10.375" style="255" customWidth="1"/>
    <col min="4130" max="4130" width="15.625" style="255" customWidth="1"/>
    <col min="4131" max="4131" width="15.875" style="255" customWidth="1"/>
    <col min="4132" max="4132" width="8.125" style="255" customWidth="1"/>
    <col min="4133" max="4136" width="10.375" style="255" customWidth="1"/>
    <col min="4137" max="4137" width="7.25" style="255" customWidth="1"/>
    <col min="4138" max="4138" width="7.125" style="255" customWidth="1"/>
    <col min="4139" max="4139" width="9.5" style="255" customWidth="1"/>
    <col min="4140" max="4141" width="9" style="255" customWidth="1"/>
    <col min="4142" max="4142" width="16.125" style="255" customWidth="1"/>
    <col min="4143" max="4173" width="9" style="255" customWidth="1"/>
    <col min="4174" max="4333" width="25.25" style="255"/>
    <col min="4334" max="4363" width="9" style="255" customWidth="1"/>
    <col min="4364" max="4364" width="0.5" style="255" customWidth="1"/>
    <col min="4365" max="4365" width="25.25" style="255"/>
    <col min="4366" max="4366" width="0.5" style="255" customWidth="1"/>
    <col min="4367" max="4367" width="25.25" style="255"/>
    <col min="4368" max="4368" width="14.75" style="255" customWidth="1"/>
    <col min="4369" max="4369" width="11.5" style="255" customWidth="1"/>
    <col min="4370" max="4370" width="11.25" style="255" customWidth="1"/>
    <col min="4371" max="4371" width="10.75" style="255" customWidth="1"/>
    <col min="4372" max="4372" width="10" style="255" customWidth="1"/>
    <col min="4373" max="4373" width="9.875" style="255" customWidth="1"/>
    <col min="4374" max="4374" width="26.125" style="255" customWidth="1"/>
    <col min="4375" max="4375" width="11.125" style="255" customWidth="1"/>
    <col min="4376" max="4376" width="7.875" style="255" customWidth="1"/>
    <col min="4377" max="4377" width="7.25" style="255" customWidth="1"/>
    <col min="4378" max="4378" width="9.125" style="255" customWidth="1"/>
    <col min="4379" max="4379" width="15.125" style="255" customWidth="1"/>
    <col min="4380" max="4380" width="7.75" style="255" customWidth="1"/>
    <col min="4381" max="4381" width="7.125" style="255" customWidth="1"/>
    <col min="4382" max="4382" width="12.125" style="255" customWidth="1"/>
    <col min="4383" max="4383" width="8.25" style="255" customWidth="1"/>
    <col min="4384" max="4385" width="10.375" style="255" customWidth="1"/>
    <col min="4386" max="4386" width="15.625" style="255" customWidth="1"/>
    <col min="4387" max="4387" width="15.875" style="255" customWidth="1"/>
    <col min="4388" max="4388" width="8.125" style="255" customWidth="1"/>
    <col min="4389" max="4392" width="10.375" style="255" customWidth="1"/>
    <col min="4393" max="4393" width="7.25" style="255" customWidth="1"/>
    <col min="4394" max="4394" width="7.125" style="255" customWidth="1"/>
    <col min="4395" max="4395" width="9.5" style="255" customWidth="1"/>
    <col min="4396" max="4397" width="9" style="255" customWidth="1"/>
    <col min="4398" max="4398" width="16.125" style="255" customWidth="1"/>
    <col min="4399" max="4429" width="9" style="255" customWidth="1"/>
    <col min="4430" max="4589" width="25.25" style="255"/>
    <col min="4590" max="4619" width="9" style="255" customWidth="1"/>
    <col min="4620" max="4620" width="0.5" style="255" customWidth="1"/>
    <col min="4621" max="4621" width="25.25" style="255"/>
    <col min="4622" max="4622" width="0.5" style="255" customWidth="1"/>
    <col min="4623" max="4623" width="25.25" style="255"/>
    <col min="4624" max="4624" width="14.75" style="255" customWidth="1"/>
    <col min="4625" max="4625" width="11.5" style="255" customWidth="1"/>
    <col min="4626" max="4626" width="11.25" style="255" customWidth="1"/>
    <col min="4627" max="4627" width="10.75" style="255" customWidth="1"/>
    <col min="4628" max="4628" width="10" style="255" customWidth="1"/>
    <col min="4629" max="4629" width="9.875" style="255" customWidth="1"/>
    <col min="4630" max="4630" width="26.125" style="255" customWidth="1"/>
    <col min="4631" max="4631" width="11.125" style="255" customWidth="1"/>
    <col min="4632" max="4632" width="7.875" style="255" customWidth="1"/>
    <col min="4633" max="4633" width="7.25" style="255" customWidth="1"/>
    <col min="4634" max="4634" width="9.125" style="255" customWidth="1"/>
    <col min="4635" max="4635" width="15.125" style="255" customWidth="1"/>
    <col min="4636" max="4636" width="7.75" style="255" customWidth="1"/>
    <col min="4637" max="4637" width="7.125" style="255" customWidth="1"/>
    <col min="4638" max="4638" width="12.125" style="255" customWidth="1"/>
    <col min="4639" max="4639" width="8.25" style="255" customWidth="1"/>
    <col min="4640" max="4641" width="10.375" style="255" customWidth="1"/>
    <col min="4642" max="4642" width="15.625" style="255" customWidth="1"/>
    <col min="4643" max="4643" width="15.875" style="255" customWidth="1"/>
    <col min="4644" max="4644" width="8.125" style="255" customWidth="1"/>
    <col min="4645" max="4648" width="10.375" style="255" customWidth="1"/>
    <col min="4649" max="4649" width="7.25" style="255" customWidth="1"/>
    <col min="4650" max="4650" width="7.125" style="255" customWidth="1"/>
    <col min="4651" max="4651" width="9.5" style="255" customWidth="1"/>
    <col min="4652" max="4653" width="9" style="255" customWidth="1"/>
    <col min="4654" max="4654" width="16.125" style="255" customWidth="1"/>
    <col min="4655" max="4685" width="9" style="255" customWidth="1"/>
    <col min="4686" max="4845" width="25.25" style="255"/>
    <col min="4846" max="4875" width="9" style="255" customWidth="1"/>
    <col min="4876" max="4876" width="0.5" style="255" customWidth="1"/>
    <col min="4877" max="4877" width="25.25" style="255"/>
    <col min="4878" max="4878" width="0.5" style="255" customWidth="1"/>
    <col min="4879" max="4879" width="25.25" style="255"/>
    <col min="4880" max="4880" width="14.75" style="255" customWidth="1"/>
    <col min="4881" max="4881" width="11.5" style="255" customWidth="1"/>
    <col min="4882" max="4882" width="11.25" style="255" customWidth="1"/>
    <col min="4883" max="4883" width="10.75" style="255" customWidth="1"/>
    <col min="4884" max="4884" width="10" style="255" customWidth="1"/>
    <col min="4885" max="4885" width="9.875" style="255" customWidth="1"/>
    <col min="4886" max="4886" width="26.125" style="255" customWidth="1"/>
    <col min="4887" max="4887" width="11.125" style="255" customWidth="1"/>
    <col min="4888" max="4888" width="7.875" style="255" customWidth="1"/>
    <col min="4889" max="4889" width="7.25" style="255" customWidth="1"/>
    <col min="4890" max="4890" width="9.125" style="255" customWidth="1"/>
    <col min="4891" max="4891" width="15.125" style="255" customWidth="1"/>
    <col min="4892" max="4892" width="7.75" style="255" customWidth="1"/>
    <col min="4893" max="4893" width="7.125" style="255" customWidth="1"/>
    <col min="4894" max="4894" width="12.125" style="255" customWidth="1"/>
    <col min="4895" max="4895" width="8.25" style="255" customWidth="1"/>
    <col min="4896" max="4897" width="10.375" style="255" customWidth="1"/>
    <col min="4898" max="4898" width="15.625" style="255" customWidth="1"/>
    <col min="4899" max="4899" width="15.875" style="255" customWidth="1"/>
    <col min="4900" max="4900" width="8.125" style="255" customWidth="1"/>
    <col min="4901" max="4904" width="10.375" style="255" customWidth="1"/>
    <col min="4905" max="4905" width="7.25" style="255" customWidth="1"/>
    <col min="4906" max="4906" width="7.125" style="255" customWidth="1"/>
    <col min="4907" max="4907" width="9.5" style="255" customWidth="1"/>
    <col min="4908" max="4909" width="9" style="255" customWidth="1"/>
    <col min="4910" max="4910" width="16.125" style="255" customWidth="1"/>
    <col min="4911" max="4941" width="9" style="255" customWidth="1"/>
    <col min="4942" max="5101" width="25.25" style="255"/>
    <col min="5102" max="5131" width="9" style="255" customWidth="1"/>
    <col min="5132" max="5132" width="0.5" style="255" customWidth="1"/>
    <col min="5133" max="5133" width="25.25" style="255"/>
    <col min="5134" max="5134" width="0.5" style="255" customWidth="1"/>
    <col min="5135" max="5135" width="25.25" style="255"/>
    <col min="5136" max="5136" width="14.75" style="255" customWidth="1"/>
    <col min="5137" max="5137" width="11.5" style="255" customWidth="1"/>
    <col min="5138" max="5138" width="11.25" style="255" customWidth="1"/>
    <col min="5139" max="5139" width="10.75" style="255" customWidth="1"/>
    <col min="5140" max="5140" width="10" style="255" customWidth="1"/>
    <col min="5141" max="5141" width="9.875" style="255" customWidth="1"/>
    <col min="5142" max="5142" width="26.125" style="255" customWidth="1"/>
    <col min="5143" max="5143" width="11.125" style="255" customWidth="1"/>
    <col min="5144" max="5144" width="7.875" style="255" customWidth="1"/>
    <col min="5145" max="5145" width="7.25" style="255" customWidth="1"/>
    <col min="5146" max="5146" width="9.125" style="255" customWidth="1"/>
    <col min="5147" max="5147" width="15.125" style="255" customWidth="1"/>
    <col min="5148" max="5148" width="7.75" style="255" customWidth="1"/>
    <col min="5149" max="5149" width="7.125" style="255" customWidth="1"/>
    <col min="5150" max="5150" width="12.125" style="255" customWidth="1"/>
    <col min="5151" max="5151" width="8.25" style="255" customWidth="1"/>
    <col min="5152" max="5153" width="10.375" style="255" customWidth="1"/>
    <col min="5154" max="5154" width="15.625" style="255" customWidth="1"/>
    <col min="5155" max="5155" width="15.875" style="255" customWidth="1"/>
    <col min="5156" max="5156" width="8.125" style="255" customWidth="1"/>
    <col min="5157" max="5160" width="10.375" style="255" customWidth="1"/>
    <col min="5161" max="5161" width="7.25" style="255" customWidth="1"/>
    <col min="5162" max="5162" width="7.125" style="255" customWidth="1"/>
    <col min="5163" max="5163" width="9.5" style="255" customWidth="1"/>
    <col min="5164" max="5165" width="9" style="255" customWidth="1"/>
    <col min="5166" max="5166" width="16.125" style="255" customWidth="1"/>
    <col min="5167" max="5197" width="9" style="255" customWidth="1"/>
    <col min="5198" max="5357" width="25.25" style="255"/>
    <col min="5358" max="5387" width="9" style="255" customWidth="1"/>
    <col min="5388" max="5388" width="0.5" style="255" customWidth="1"/>
    <col min="5389" max="5389" width="25.25" style="255"/>
    <col min="5390" max="5390" width="0.5" style="255" customWidth="1"/>
    <col min="5391" max="5391" width="25.25" style="255"/>
    <col min="5392" max="5392" width="14.75" style="255" customWidth="1"/>
    <col min="5393" max="5393" width="11.5" style="255" customWidth="1"/>
    <col min="5394" max="5394" width="11.25" style="255" customWidth="1"/>
    <col min="5395" max="5395" width="10.75" style="255" customWidth="1"/>
    <col min="5396" max="5396" width="10" style="255" customWidth="1"/>
    <col min="5397" max="5397" width="9.875" style="255" customWidth="1"/>
    <col min="5398" max="5398" width="26.125" style="255" customWidth="1"/>
    <col min="5399" max="5399" width="11.125" style="255" customWidth="1"/>
    <col min="5400" max="5400" width="7.875" style="255" customWidth="1"/>
    <col min="5401" max="5401" width="7.25" style="255" customWidth="1"/>
    <col min="5402" max="5402" width="9.125" style="255" customWidth="1"/>
    <col min="5403" max="5403" width="15.125" style="255" customWidth="1"/>
    <col min="5404" max="5404" width="7.75" style="255" customWidth="1"/>
    <col min="5405" max="5405" width="7.125" style="255" customWidth="1"/>
    <col min="5406" max="5406" width="12.125" style="255" customWidth="1"/>
    <col min="5407" max="5407" width="8.25" style="255" customWidth="1"/>
    <col min="5408" max="5409" width="10.375" style="255" customWidth="1"/>
    <col min="5410" max="5410" width="15.625" style="255" customWidth="1"/>
    <col min="5411" max="5411" width="15.875" style="255" customWidth="1"/>
    <col min="5412" max="5412" width="8.125" style="255" customWidth="1"/>
    <col min="5413" max="5416" width="10.375" style="255" customWidth="1"/>
    <col min="5417" max="5417" width="7.25" style="255" customWidth="1"/>
    <col min="5418" max="5418" width="7.125" style="255" customWidth="1"/>
    <col min="5419" max="5419" width="9.5" style="255" customWidth="1"/>
    <col min="5420" max="5421" width="9" style="255" customWidth="1"/>
    <col min="5422" max="5422" width="16.125" style="255" customWidth="1"/>
    <col min="5423" max="5453" width="9" style="255" customWidth="1"/>
    <col min="5454" max="5613" width="25.25" style="255"/>
    <col min="5614" max="5643" width="9" style="255" customWidth="1"/>
    <col min="5644" max="5644" width="0.5" style="255" customWidth="1"/>
    <col min="5645" max="5645" width="25.25" style="255"/>
    <col min="5646" max="5646" width="0.5" style="255" customWidth="1"/>
    <col min="5647" max="5647" width="25.25" style="255"/>
    <col min="5648" max="5648" width="14.75" style="255" customWidth="1"/>
    <col min="5649" max="5649" width="11.5" style="255" customWidth="1"/>
    <col min="5650" max="5650" width="11.25" style="255" customWidth="1"/>
    <col min="5651" max="5651" width="10.75" style="255" customWidth="1"/>
    <col min="5652" max="5652" width="10" style="255" customWidth="1"/>
    <col min="5653" max="5653" width="9.875" style="255" customWidth="1"/>
    <col min="5654" max="5654" width="26.125" style="255" customWidth="1"/>
    <col min="5655" max="5655" width="11.125" style="255" customWidth="1"/>
    <col min="5656" max="5656" width="7.875" style="255" customWidth="1"/>
    <col min="5657" max="5657" width="7.25" style="255" customWidth="1"/>
    <col min="5658" max="5658" width="9.125" style="255" customWidth="1"/>
    <col min="5659" max="5659" width="15.125" style="255" customWidth="1"/>
    <col min="5660" max="5660" width="7.75" style="255" customWidth="1"/>
    <col min="5661" max="5661" width="7.125" style="255" customWidth="1"/>
    <col min="5662" max="5662" width="12.125" style="255" customWidth="1"/>
    <col min="5663" max="5663" width="8.25" style="255" customWidth="1"/>
    <col min="5664" max="5665" width="10.375" style="255" customWidth="1"/>
    <col min="5666" max="5666" width="15.625" style="255" customWidth="1"/>
    <col min="5667" max="5667" width="15.875" style="255" customWidth="1"/>
    <col min="5668" max="5668" width="8.125" style="255" customWidth="1"/>
    <col min="5669" max="5672" width="10.375" style="255" customWidth="1"/>
    <col min="5673" max="5673" width="7.25" style="255" customWidth="1"/>
    <col min="5674" max="5674" width="7.125" style="255" customWidth="1"/>
    <col min="5675" max="5675" width="9.5" style="255" customWidth="1"/>
    <col min="5676" max="5677" width="9" style="255" customWidth="1"/>
    <col min="5678" max="5678" width="16.125" style="255" customWidth="1"/>
    <col min="5679" max="5709" width="9" style="255" customWidth="1"/>
    <col min="5710" max="5869" width="25.25" style="255"/>
    <col min="5870" max="5899" width="9" style="255" customWidth="1"/>
    <col min="5900" max="5900" width="0.5" style="255" customWidth="1"/>
    <col min="5901" max="5901" width="25.25" style="255"/>
    <col min="5902" max="5902" width="0.5" style="255" customWidth="1"/>
    <col min="5903" max="5903" width="25.25" style="255"/>
    <col min="5904" max="5904" width="14.75" style="255" customWidth="1"/>
    <col min="5905" max="5905" width="11.5" style="255" customWidth="1"/>
    <col min="5906" max="5906" width="11.25" style="255" customWidth="1"/>
    <col min="5907" max="5907" width="10.75" style="255" customWidth="1"/>
    <col min="5908" max="5908" width="10" style="255" customWidth="1"/>
    <col min="5909" max="5909" width="9.875" style="255" customWidth="1"/>
    <col min="5910" max="5910" width="26.125" style="255" customWidth="1"/>
    <col min="5911" max="5911" width="11.125" style="255" customWidth="1"/>
    <col min="5912" max="5912" width="7.875" style="255" customWidth="1"/>
    <col min="5913" max="5913" width="7.25" style="255" customWidth="1"/>
    <col min="5914" max="5914" width="9.125" style="255" customWidth="1"/>
    <col min="5915" max="5915" width="15.125" style="255" customWidth="1"/>
    <col min="5916" max="5916" width="7.75" style="255" customWidth="1"/>
    <col min="5917" max="5917" width="7.125" style="255" customWidth="1"/>
    <col min="5918" max="5918" width="12.125" style="255" customWidth="1"/>
    <col min="5919" max="5919" width="8.25" style="255" customWidth="1"/>
    <col min="5920" max="5921" width="10.375" style="255" customWidth="1"/>
    <col min="5922" max="5922" width="15.625" style="255" customWidth="1"/>
    <col min="5923" max="5923" width="15.875" style="255" customWidth="1"/>
    <col min="5924" max="5924" width="8.125" style="255" customWidth="1"/>
    <col min="5925" max="5928" width="10.375" style="255" customWidth="1"/>
    <col min="5929" max="5929" width="7.25" style="255" customWidth="1"/>
    <col min="5930" max="5930" width="7.125" style="255" customWidth="1"/>
    <col min="5931" max="5931" width="9.5" style="255" customWidth="1"/>
    <col min="5932" max="5933" width="9" style="255" customWidth="1"/>
    <col min="5934" max="5934" width="16.125" style="255" customWidth="1"/>
    <col min="5935" max="5965" width="9" style="255" customWidth="1"/>
    <col min="5966" max="6125" width="25.25" style="255"/>
    <col min="6126" max="6155" width="9" style="255" customWidth="1"/>
    <col min="6156" max="6156" width="0.5" style="255" customWidth="1"/>
    <col min="6157" max="6157" width="25.25" style="255"/>
    <col min="6158" max="6158" width="0.5" style="255" customWidth="1"/>
    <col min="6159" max="6159" width="25.25" style="255"/>
    <col min="6160" max="6160" width="14.75" style="255" customWidth="1"/>
    <col min="6161" max="6161" width="11.5" style="255" customWidth="1"/>
    <col min="6162" max="6162" width="11.25" style="255" customWidth="1"/>
    <col min="6163" max="6163" width="10.75" style="255" customWidth="1"/>
    <col min="6164" max="6164" width="10" style="255" customWidth="1"/>
    <col min="6165" max="6165" width="9.875" style="255" customWidth="1"/>
    <col min="6166" max="6166" width="26.125" style="255" customWidth="1"/>
    <col min="6167" max="6167" width="11.125" style="255" customWidth="1"/>
    <col min="6168" max="6168" width="7.875" style="255" customWidth="1"/>
    <col min="6169" max="6169" width="7.25" style="255" customWidth="1"/>
    <col min="6170" max="6170" width="9.125" style="255" customWidth="1"/>
    <col min="6171" max="6171" width="15.125" style="255" customWidth="1"/>
    <col min="6172" max="6172" width="7.75" style="255" customWidth="1"/>
    <col min="6173" max="6173" width="7.125" style="255" customWidth="1"/>
    <col min="6174" max="6174" width="12.125" style="255" customWidth="1"/>
    <col min="6175" max="6175" width="8.25" style="255" customWidth="1"/>
    <col min="6176" max="6177" width="10.375" style="255" customWidth="1"/>
    <col min="6178" max="6178" width="15.625" style="255" customWidth="1"/>
    <col min="6179" max="6179" width="15.875" style="255" customWidth="1"/>
    <col min="6180" max="6180" width="8.125" style="255" customWidth="1"/>
    <col min="6181" max="6184" width="10.375" style="255" customWidth="1"/>
    <col min="6185" max="6185" width="7.25" style="255" customWidth="1"/>
    <col min="6186" max="6186" width="7.125" style="255" customWidth="1"/>
    <col min="6187" max="6187" width="9.5" style="255" customWidth="1"/>
    <col min="6188" max="6189" width="9" style="255" customWidth="1"/>
    <col min="6190" max="6190" width="16.125" style="255" customWidth="1"/>
    <col min="6191" max="6221" width="9" style="255" customWidth="1"/>
    <col min="6222" max="6381" width="25.25" style="255"/>
    <col min="6382" max="6411" width="9" style="255" customWidth="1"/>
    <col min="6412" max="6412" width="0.5" style="255" customWidth="1"/>
    <col min="6413" max="6413" width="25.25" style="255"/>
    <col min="6414" max="6414" width="0.5" style="255" customWidth="1"/>
    <col min="6415" max="6415" width="25.25" style="255"/>
    <col min="6416" max="6416" width="14.75" style="255" customWidth="1"/>
    <col min="6417" max="6417" width="11.5" style="255" customWidth="1"/>
    <col min="6418" max="6418" width="11.25" style="255" customWidth="1"/>
    <col min="6419" max="6419" width="10.75" style="255" customWidth="1"/>
    <col min="6420" max="6420" width="10" style="255" customWidth="1"/>
    <col min="6421" max="6421" width="9.875" style="255" customWidth="1"/>
    <col min="6422" max="6422" width="26.125" style="255" customWidth="1"/>
    <col min="6423" max="6423" width="11.125" style="255" customWidth="1"/>
    <col min="6424" max="6424" width="7.875" style="255" customWidth="1"/>
    <col min="6425" max="6425" width="7.25" style="255" customWidth="1"/>
    <col min="6426" max="6426" width="9.125" style="255" customWidth="1"/>
    <col min="6427" max="6427" width="15.125" style="255" customWidth="1"/>
    <col min="6428" max="6428" width="7.75" style="255" customWidth="1"/>
    <col min="6429" max="6429" width="7.125" style="255" customWidth="1"/>
    <col min="6430" max="6430" width="12.125" style="255" customWidth="1"/>
    <col min="6431" max="6431" width="8.25" style="255" customWidth="1"/>
    <col min="6432" max="6433" width="10.375" style="255" customWidth="1"/>
    <col min="6434" max="6434" width="15.625" style="255" customWidth="1"/>
    <col min="6435" max="6435" width="15.875" style="255" customWidth="1"/>
    <col min="6436" max="6436" width="8.125" style="255" customWidth="1"/>
    <col min="6437" max="6440" width="10.375" style="255" customWidth="1"/>
    <col min="6441" max="6441" width="7.25" style="255" customWidth="1"/>
    <col min="6442" max="6442" width="7.125" style="255" customWidth="1"/>
    <col min="6443" max="6443" width="9.5" style="255" customWidth="1"/>
    <col min="6444" max="6445" width="9" style="255" customWidth="1"/>
    <col min="6446" max="6446" width="16.125" style="255" customWidth="1"/>
    <col min="6447" max="6477" width="9" style="255" customWidth="1"/>
    <col min="6478" max="6637" width="25.25" style="255"/>
    <col min="6638" max="6667" width="9" style="255" customWidth="1"/>
    <col min="6668" max="6668" width="0.5" style="255" customWidth="1"/>
    <col min="6669" max="6669" width="25.25" style="255"/>
    <col min="6670" max="6670" width="0.5" style="255" customWidth="1"/>
    <col min="6671" max="6671" width="25.25" style="255"/>
    <col min="6672" max="6672" width="14.75" style="255" customWidth="1"/>
    <col min="6673" max="6673" width="11.5" style="255" customWidth="1"/>
    <col min="6674" max="6674" width="11.25" style="255" customWidth="1"/>
    <col min="6675" max="6675" width="10.75" style="255" customWidth="1"/>
    <col min="6676" max="6676" width="10" style="255" customWidth="1"/>
    <col min="6677" max="6677" width="9.875" style="255" customWidth="1"/>
    <col min="6678" max="6678" width="26.125" style="255" customWidth="1"/>
    <col min="6679" max="6679" width="11.125" style="255" customWidth="1"/>
    <col min="6680" max="6680" width="7.875" style="255" customWidth="1"/>
    <col min="6681" max="6681" width="7.25" style="255" customWidth="1"/>
    <col min="6682" max="6682" width="9.125" style="255" customWidth="1"/>
    <col min="6683" max="6683" width="15.125" style="255" customWidth="1"/>
    <col min="6684" max="6684" width="7.75" style="255" customWidth="1"/>
    <col min="6685" max="6685" width="7.125" style="255" customWidth="1"/>
    <col min="6686" max="6686" width="12.125" style="255" customWidth="1"/>
    <col min="6687" max="6687" width="8.25" style="255" customWidth="1"/>
    <col min="6688" max="6689" width="10.375" style="255" customWidth="1"/>
    <col min="6690" max="6690" width="15.625" style="255" customWidth="1"/>
    <col min="6691" max="6691" width="15.875" style="255" customWidth="1"/>
    <col min="6692" max="6692" width="8.125" style="255" customWidth="1"/>
    <col min="6693" max="6696" width="10.375" style="255" customWidth="1"/>
    <col min="6697" max="6697" width="7.25" style="255" customWidth="1"/>
    <col min="6698" max="6698" width="7.125" style="255" customWidth="1"/>
    <col min="6699" max="6699" width="9.5" style="255" customWidth="1"/>
    <col min="6700" max="6701" width="9" style="255" customWidth="1"/>
    <col min="6702" max="6702" width="16.125" style="255" customWidth="1"/>
    <col min="6703" max="6733" width="9" style="255" customWidth="1"/>
    <col min="6734" max="6893" width="25.25" style="255"/>
    <col min="6894" max="6923" width="9" style="255" customWidth="1"/>
    <col min="6924" max="6924" width="0.5" style="255" customWidth="1"/>
    <col min="6925" max="6925" width="25.25" style="255"/>
    <col min="6926" max="6926" width="0.5" style="255" customWidth="1"/>
    <col min="6927" max="6927" width="25.25" style="255"/>
    <col min="6928" max="6928" width="14.75" style="255" customWidth="1"/>
    <col min="6929" max="6929" width="11.5" style="255" customWidth="1"/>
    <col min="6930" max="6930" width="11.25" style="255" customWidth="1"/>
    <col min="6931" max="6931" width="10.75" style="255" customWidth="1"/>
    <col min="6932" max="6932" width="10" style="255" customWidth="1"/>
    <col min="6933" max="6933" width="9.875" style="255" customWidth="1"/>
    <col min="6934" max="6934" width="26.125" style="255" customWidth="1"/>
    <col min="6935" max="6935" width="11.125" style="255" customWidth="1"/>
    <col min="6936" max="6936" width="7.875" style="255" customWidth="1"/>
    <col min="6937" max="6937" width="7.25" style="255" customWidth="1"/>
    <col min="6938" max="6938" width="9.125" style="255" customWidth="1"/>
    <col min="6939" max="6939" width="15.125" style="255" customWidth="1"/>
    <col min="6940" max="6940" width="7.75" style="255" customWidth="1"/>
    <col min="6941" max="6941" width="7.125" style="255" customWidth="1"/>
    <col min="6942" max="6942" width="12.125" style="255" customWidth="1"/>
    <col min="6943" max="6943" width="8.25" style="255" customWidth="1"/>
    <col min="6944" max="6945" width="10.375" style="255" customWidth="1"/>
    <col min="6946" max="6946" width="15.625" style="255" customWidth="1"/>
    <col min="6947" max="6947" width="15.875" style="255" customWidth="1"/>
    <col min="6948" max="6948" width="8.125" style="255" customWidth="1"/>
    <col min="6949" max="6952" width="10.375" style="255" customWidth="1"/>
    <col min="6953" max="6953" width="7.25" style="255" customWidth="1"/>
    <col min="6954" max="6954" width="7.125" style="255" customWidth="1"/>
    <col min="6955" max="6955" width="9.5" style="255" customWidth="1"/>
    <col min="6956" max="6957" width="9" style="255" customWidth="1"/>
    <col min="6958" max="6958" width="16.125" style="255" customWidth="1"/>
    <col min="6959" max="6989" width="9" style="255" customWidth="1"/>
    <col min="6990" max="7149" width="25.25" style="255"/>
    <col min="7150" max="7179" width="9" style="255" customWidth="1"/>
    <col min="7180" max="7180" width="0.5" style="255" customWidth="1"/>
    <col min="7181" max="7181" width="25.25" style="255"/>
    <col min="7182" max="7182" width="0.5" style="255" customWidth="1"/>
    <col min="7183" max="7183" width="25.25" style="255"/>
    <col min="7184" max="7184" width="14.75" style="255" customWidth="1"/>
    <col min="7185" max="7185" width="11.5" style="255" customWidth="1"/>
    <col min="7186" max="7186" width="11.25" style="255" customWidth="1"/>
    <col min="7187" max="7187" width="10.75" style="255" customWidth="1"/>
    <col min="7188" max="7188" width="10" style="255" customWidth="1"/>
    <col min="7189" max="7189" width="9.875" style="255" customWidth="1"/>
    <col min="7190" max="7190" width="26.125" style="255" customWidth="1"/>
    <col min="7191" max="7191" width="11.125" style="255" customWidth="1"/>
    <col min="7192" max="7192" width="7.875" style="255" customWidth="1"/>
    <col min="7193" max="7193" width="7.25" style="255" customWidth="1"/>
    <col min="7194" max="7194" width="9.125" style="255" customWidth="1"/>
    <col min="7195" max="7195" width="15.125" style="255" customWidth="1"/>
    <col min="7196" max="7196" width="7.75" style="255" customWidth="1"/>
    <col min="7197" max="7197" width="7.125" style="255" customWidth="1"/>
    <col min="7198" max="7198" width="12.125" style="255" customWidth="1"/>
    <col min="7199" max="7199" width="8.25" style="255" customWidth="1"/>
    <col min="7200" max="7201" width="10.375" style="255" customWidth="1"/>
    <col min="7202" max="7202" width="15.625" style="255" customWidth="1"/>
    <col min="7203" max="7203" width="15.875" style="255" customWidth="1"/>
    <col min="7204" max="7204" width="8.125" style="255" customWidth="1"/>
    <col min="7205" max="7208" width="10.375" style="255" customWidth="1"/>
    <col min="7209" max="7209" width="7.25" style="255" customWidth="1"/>
    <col min="7210" max="7210" width="7.125" style="255" customWidth="1"/>
    <col min="7211" max="7211" width="9.5" style="255" customWidth="1"/>
    <col min="7212" max="7213" width="9" style="255" customWidth="1"/>
    <col min="7214" max="7214" width="16.125" style="255" customWidth="1"/>
    <col min="7215" max="7245" width="9" style="255" customWidth="1"/>
    <col min="7246" max="7405" width="25.25" style="255"/>
    <col min="7406" max="7435" width="9" style="255" customWidth="1"/>
    <col min="7436" max="7436" width="0.5" style="255" customWidth="1"/>
    <col min="7437" max="7437" width="25.25" style="255"/>
    <col min="7438" max="7438" width="0.5" style="255" customWidth="1"/>
    <col min="7439" max="7439" width="25.25" style="255"/>
    <col min="7440" max="7440" width="14.75" style="255" customWidth="1"/>
    <col min="7441" max="7441" width="11.5" style="255" customWidth="1"/>
    <col min="7442" max="7442" width="11.25" style="255" customWidth="1"/>
    <col min="7443" max="7443" width="10.75" style="255" customWidth="1"/>
    <col min="7444" max="7444" width="10" style="255" customWidth="1"/>
    <col min="7445" max="7445" width="9.875" style="255" customWidth="1"/>
    <col min="7446" max="7446" width="26.125" style="255" customWidth="1"/>
    <col min="7447" max="7447" width="11.125" style="255" customWidth="1"/>
    <col min="7448" max="7448" width="7.875" style="255" customWidth="1"/>
    <col min="7449" max="7449" width="7.25" style="255" customWidth="1"/>
    <col min="7450" max="7450" width="9.125" style="255" customWidth="1"/>
    <col min="7451" max="7451" width="15.125" style="255" customWidth="1"/>
    <col min="7452" max="7452" width="7.75" style="255" customWidth="1"/>
    <col min="7453" max="7453" width="7.125" style="255" customWidth="1"/>
    <col min="7454" max="7454" width="12.125" style="255" customWidth="1"/>
    <col min="7455" max="7455" width="8.25" style="255" customWidth="1"/>
    <col min="7456" max="7457" width="10.375" style="255" customWidth="1"/>
    <col min="7458" max="7458" width="15.625" style="255" customWidth="1"/>
    <col min="7459" max="7459" width="15.875" style="255" customWidth="1"/>
    <col min="7460" max="7460" width="8.125" style="255" customWidth="1"/>
    <col min="7461" max="7464" width="10.375" style="255" customWidth="1"/>
    <col min="7465" max="7465" width="7.25" style="255" customWidth="1"/>
    <col min="7466" max="7466" width="7.125" style="255" customWidth="1"/>
    <col min="7467" max="7467" width="9.5" style="255" customWidth="1"/>
    <col min="7468" max="7469" width="9" style="255" customWidth="1"/>
    <col min="7470" max="7470" width="16.125" style="255" customWidth="1"/>
    <col min="7471" max="7501" width="9" style="255" customWidth="1"/>
    <col min="7502" max="7661" width="25.25" style="255"/>
    <col min="7662" max="7691" width="9" style="255" customWidth="1"/>
    <col min="7692" max="7692" width="0.5" style="255" customWidth="1"/>
    <col min="7693" max="7693" width="25.25" style="255"/>
    <col min="7694" max="7694" width="0.5" style="255" customWidth="1"/>
    <col min="7695" max="7695" width="25.25" style="255"/>
    <col min="7696" max="7696" width="14.75" style="255" customWidth="1"/>
    <col min="7697" max="7697" width="11.5" style="255" customWidth="1"/>
    <col min="7698" max="7698" width="11.25" style="255" customWidth="1"/>
    <col min="7699" max="7699" width="10.75" style="255" customWidth="1"/>
    <col min="7700" max="7700" width="10" style="255" customWidth="1"/>
    <col min="7701" max="7701" width="9.875" style="255" customWidth="1"/>
    <col min="7702" max="7702" width="26.125" style="255" customWidth="1"/>
    <col min="7703" max="7703" width="11.125" style="255" customWidth="1"/>
    <col min="7704" max="7704" width="7.875" style="255" customWidth="1"/>
    <col min="7705" max="7705" width="7.25" style="255" customWidth="1"/>
    <col min="7706" max="7706" width="9.125" style="255" customWidth="1"/>
    <col min="7707" max="7707" width="15.125" style="255" customWidth="1"/>
    <col min="7708" max="7708" width="7.75" style="255" customWidth="1"/>
    <col min="7709" max="7709" width="7.125" style="255" customWidth="1"/>
    <col min="7710" max="7710" width="12.125" style="255" customWidth="1"/>
    <col min="7711" max="7711" width="8.25" style="255" customWidth="1"/>
    <col min="7712" max="7713" width="10.375" style="255" customWidth="1"/>
    <col min="7714" max="7714" width="15.625" style="255" customWidth="1"/>
    <col min="7715" max="7715" width="15.875" style="255" customWidth="1"/>
    <col min="7716" max="7716" width="8.125" style="255" customWidth="1"/>
    <col min="7717" max="7720" width="10.375" style="255" customWidth="1"/>
    <col min="7721" max="7721" width="7.25" style="255" customWidth="1"/>
    <col min="7722" max="7722" width="7.125" style="255" customWidth="1"/>
    <col min="7723" max="7723" width="9.5" style="255" customWidth="1"/>
    <col min="7724" max="7725" width="9" style="255" customWidth="1"/>
    <col min="7726" max="7726" width="16.125" style="255" customWidth="1"/>
    <col min="7727" max="7757" width="9" style="255" customWidth="1"/>
    <col min="7758" max="7917" width="25.25" style="255"/>
    <col min="7918" max="7947" width="9" style="255" customWidth="1"/>
    <col min="7948" max="7948" width="0.5" style="255" customWidth="1"/>
    <col min="7949" max="7949" width="25.25" style="255"/>
    <col min="7950" max="7950" width="0.5" style="255" customWidth="1"/>
    <col min="7951" max="7951" width="25.25" style="255"/>
    <col min="7952" max="7952" width="14.75" style="255" customWidth="1"/>
    <col min="7953" max="7953" width="11.5" style="255" customWidth="1"/>
    <col min="7954" max="7954" width="11.25" style="255" customWidth="1"/>
    <col min="7955" max="7955" width="10.75" style="255" customWidth="1"/>
    <col min="7956" max="7956" width="10" style="255" customWidth="1"/>
    <col min="7957" max="7957" width="9.875" style="255" customWidth="1"/>
    <col min="7958" max="7958" width="26.125" style="255" customWidth="1"/>
    <col min="7959" max="7959" width="11.125" style="255" customWidth="1"/>
    <col min="7960" max="7960" width="7.875" style="255" customWidth="1"/>
    <col min="7961" max="7961" width="7.25" style="255" customWidth="1"/>
    <col min="7962" max="7962" width="9.125" style="255" customWidth="1"/>
    <col min="7963" max="7963" width="15.125" style="255" customWidth="1"/>
    <col min="7964" max="7964" width="7.75" style="255" customWidth="1"/>
    <col min="7965" max="7965" width="7.125" style="255" customWidth="1"/>
    <col min="7966" max="7966" width="12.125" style="255" customWidth="1"/>
    <col min="7967" max="7967" width="8.25" style="255" customWidth="1"/>
    <col min="7968" max="7969" width="10.375" style="255" customWidth="1"/>
    <col min="7970" max="7970" width="15.625" style="255" customWidth="1"/>
    <col min="7971" max="7971" width="15.875" style="255" customWidth="1"/>
    <col min="7972" max="7972" width="8.125" style="255" customWidth="1"/>
    <col min="7973" max="7976" width="10.375" style="255" customWidth="1"/>
    <col min="7977" max="7977" width="7.25" style="255" customWidth="1"/>
    <col min="7978" max="7978" width="7.125" style="255" customWidth="1"/>
    <col min="7979" max="7979" width="9.5" style="255" customWidth="1"/>
    <col min="7980" max="7981" width="9" style="255" customWidth="1"/>
    <col min="7982" max="7982" width="16.125" style="255" customWidth="1"/>
    <col min="7983" max="8013" width="9" style="255" customWidth="1"/>
    <col min="8014" max="8173" width="25.25" style="255"/>
    <col min="8174" max="8203" width="9" style="255" customWidth="1"/>
    <col min="8204" max="8204" width="0.5" style="255" customWidth="1"/>
    <col min="8205" max="8205" width="25.25" style="255"/>
    <col min="8206" max="8206" width="0.5" style="255" customWidth="1"/>
    <col min="8207" max="8207" width="25.25" style="255"/>
    <col min="8208" max="8208" width="14.75" style="255" customWidth="1"/>
    <col min="8209" max="8209" width="11.5" style="255" customWidth="1"/>
    <col min="8210" max="8210" width="11.25" style="255" customWidth="1"/>
    <col min="8211" max="8211" width="10.75" style="255" customWidth="1"/>
    <col min="8212" max="8212" width="10" style="255" customWidth="1"/>
    <col min="8213" max="8213" width="9.875" style="255" customWidth="1"/>
    <col min="8214" max="8214" width="26.125" style="255" customWidth="1"/>
    <col min="8215" max="8215" width="11.125" style="255" customWidth="1"/>
    <col min="8216" max="8216" width="7.875" style="255" customWidth="1"/>
    <col min="8217" max="8217" width="7.25" style="255" customWidth="1"/>
    <col min="8218" max="8218" width="9.125" style="255" customWidth="1"/>
    <col min="8219" max="8219" width="15.125" style="255" customWidth="1"/>
    <col min="8220" max="8220" width="7.75" style="255" customWidth="1"/>
    <col min="8221" max="8221" width="7.125" style="255" customWidth="1"/>
    <col min="8222" max="8222" width="12.125" style="255" customWidth="1"/>
    <col min="8223" max="8223" width="8.25" style="255" customWidth="1"/>
    <col min="8224" max="8225" width="10.375" style="255" customWidth="1"/>
    <col min="8226" max="8226" width="15.625" style="255" customWidth="1"/>
    <col min="8227" max="8227" width="15.875" style="255" customWidth="1"/>
    <col min="8228" max="8228" width="8.125" style="255" customWidth="1"/>
    <col min="8229" max="8232" width="10.375" style="255" customWidth="1"/>
    <col min="8233" max="8233" width="7.25" style="255" customWidth="1"/>
    <col min="8234" max="8234" width="7.125" style="255" customWidth="1"/>
    <col min="8235" max="8235" width="9.5" style="255" customWidth="1"/>
    <col min="8236" max="8237" width="9" style="255" customWidth="1"/>
    <col min="8238" max="8238" width="16.125" style="255" customWidth="1"/>
    <col min="8239" max="8269" width="9" style="255" customWidth="1"/>
    <col min="8270" max="8429" width="25.25" style="255"/>
    <col min="8430" max="8459" width="9" style="255" customWidth="1"/>
    <col min="8460" max="8460" width="0.5" style="255" customWidth="1"/>
    <col min="8461" max="8461" width="25.25" style="255"/>
    <col min="8462" max="8462" width="0.5" style="255" customWidth="1"/>
    <col min="8463" max="8463" width="25.25" style="255"/>
    <col min="8464" max="8464" width="14.75" style="255" customWidth="1"/>
    <col min="8465" max="8465" width="11.5" style="255" customWidth="1"/>
    <col min="8466" max="8466" width="11.25" style="255" customWidth="1"/>
    <col min="8467" max="8467" width="10.75" style="255" customWidth="1"/>
    <col min="8468" max="8468" width="10" style="255" customWidth="1"/>
    <col min="8469" max="8469" width="9.875" style="255" customWidth="1"/>
    <col min="8470" max="8470" width="26.125" style="255" customWidth="1"/>
    <col min="8471" max="8471" width="11.125" style="255" customWidth="1"/>
    <col min="8472" max="8472" width="7.875" style="255" customWidth="1"/>
    <col min="8473" max="8473" width="7.25" style="255" customWidth="1"/>
    <col min="8474" max="8474" width="9.125" style="255" customWidth="1"/>
    <col min="8475" max="8475" width="15.125" style="255" customWidth="1"/>
    <col min="8476" max="8476" width="7.75" style="255" customWidth="1"/>
    <col min="8477" max="8477" width="7.125" style="255" customWidth="1"/>
    <col min="8478" max="8478" width="12.125" style="255" customWidth="1"/>
    <col min="8479" max="8479" width="8.25" style="255" customWidth="1"/>
    <col min="8480" max="8481" width="10.375" style="255" customWidth="1"/>
    <col min="8482" max="8482" width="15.625" style="255" customWidth="1"/>
    <col min="8483" max="8483" width="15.875" style="255" customWidth="1"/>
    <col min="8484" max="8484" width="8.125" style="255" customWidth="1"/>
    <col min="8485" max="8488" width="10.375" style="255" customWidth="1"/>
    <col min="8489" max="8489" width="7.25" style="255" customWidth="1"/>
    <col min="8490" max="8490" width="7.125" style="255" customWidth="1"/>
    <col min="8491" max="8491" width="9.5" style="255" customWidth="1"/>
    <col min="8492" max="8493" width="9" style="255" customWidth="1"/>
    <col min="8494" max="8494" width="16.125" style="255" customWidth="1"/>
    <col min="8495" max="8525" width="9" style="255" customWidth="1"/>
    <col min="8526" max="8685" width="25.25" style="255"/>
    <col min="8686" max="8715" width="9" style="255" customWidth="1"/>
    <col min="8716" max="8716" width="0.5" style="255" customWidth="1"/>
    <col min="8717" max="8717" width="25.25" style="255"/>
    <col min="8718" max="8718" width="0.5" style="255" customWidth="1"/>
    <col min="8719" max="8719" width="25.25" style="255"/>
    <col min="8720" max="8720" width="14.75" style="255" customWidth="1"/>
    <col min="8721" max="8721" width="11.5" style="255" customWidth="1"/>
    <col min="8722" max="8722" width="11.25" style="255" customWidth="1"/>
    <col min="8723" max="8723" width="10.75" style="255" customWidth="1"/>
    <col min="8724" max="8724" width="10" style="255" customWidth="1"/>
    <col min="8725" max="8725" width="9.875" style="255" customWidth="1"/>
    <col min="8726" max="8726" width="26.125" style="255" customWidth="1"/>
    <col min="8727" max="8727" width="11.125" style="255" customWidth="1"/>
    <col min="8728" max="8728" width="7.875" style="255" customWidth="1"/>
    <col min="8729" max="8729" width="7.25" style="255" customWidth="1"/>
    <col min="8730" max="8730" width="9.125" style="255" customWidth="1"/>
    <col min="8731" max="8731" width="15.125" style="255" customWidth="1"/>
    <col min="8732" max="8732" width="7.75" style="255" customWidth="1"/>
    <col min="8733" max="8733" width="7.125" style="255" customWidth="1"/>
    <col min="8734" max="8734" width="12.125" style="255" customWidth="1"/>
    <col min="8735" max="8735" width="8.25" style="255" customWidth="1"/>
    <col min="8736" max="8737" width="10.375" style="255" customWidth="1"/>
    <col min="8738" max="8738" width="15.625" style="255" customWidth="1"/>
    <col min="8739" max="8739" width="15.875" style="255" customWidth="1"/>
    <col min="8740" max="8740" width="8.125" style="255" customWidth="1"/>
    <col min="8741" max="8744" width="10.375" style="255" customWidth="1"/>
    <col min="8745" max="8745" width="7.25" style="255" customWidth="1"/>
    <col min="8746" max="8746" width="7.125" style="255" customWidth="1"/>
    <col min="8747" max="8747" width="9.5" style="255" customWidth="1"/>
    <col min="8748" max="8749" width="9" style="255" customWidth="1"/>
    <col min="8750" max="8750" width="16.125" style="255" customWidth="1"/>
    <col min="8751" max="8781" width="9" style="255" customWidth="1"/>
    <col min="8782" max="8941" width="25.25" style="255"/>
    <col min="8942" max="8971" width="9" style="255" customWidth="1"/>
    <col min="8972" max="8972" width="0.5" style="255" customWidth="1"/>
    <col min="8973" max="8973" width="25.25" style="255"/>
    <col min="8974" max="8974" width="0.5" style="255" customWidth="1"/>
    <col min="8975" max="8975" width="25.25" style="255"/>
    <col min="8976" max="8976" width="14.75" style="255" customWidth="1"/>
    <col min="8977" max="8977" width="11.5" style="255" customWidth="1"/>
    <col min="8978" max="8978" width="11.25" style="255" customWidth="1"/>
    <col min="8979" max="8979" width="10.75" style="255" customWidth="1"/>
    <col min="8980" max="8980" width="10" style="255" customWidth="1"/>
    <col min="8981" max="8981" width="9.875" style="255" customWidth="1"/>
    <col min="8982" max="8982" width="26.125" style="255" customWidth="1"/>
    <col min="8983" max="8983" width="11.125" style="255" customWidth="1"/>
    <col min="8984" max="8984" width="7.875" style="255" customWidth="1"/>
    <col min="8985" max="8985" width="7.25" style="255" customWidth="1"/>
    <col min="8986" max="8986" width="9.125" style="255" customWidth="1"/>
    <col min="8987" max="8987" width="15.125" style="255" customWidth="1"/>
    <col min="8988" max="8988" width="7.75" style="255" customWidth="1"/>
    <col min="8989" max="8989" width="7.125" style="255" customWidth="1"/>
    <col min="8990" max="8990" width="12.125" style="255" customWidth="1"/>
    <col min="8991" max="8991" width="8.25" style="255" customWidth="1"/>
    <col min="8992" max="8993" width="10.375" style="255" customWidth="1"/>
    <col min="8994" max="8994" width="15.625" style="255" customWidth="1"/>
    <col min="8995" max="8995" width="15.875" style="255" customWidth="1"/>
    <col min="8996" max="8996" width="8.125" style="255" customWidth="1"/>
    <col min="8997" max="9000" width="10.375" style="255" customWidth="1"/>
    <col min="9001" max="9001" width="7.25" style="255" customWidth="1"/>
    <col min="9002" max="9002" width="7.125" style="255" customWidth="1"/>
    <col min="9003" max="9003" width="9.5" style="255" customWidth="1"/>
    <col min="9004" max="9005" width="9" style="255" customWidth="1"/>
    <col min="9006" max="9006" width="16.125" style="255" customWidth="1"/>
    <col min="9007" max="9037" width="9" style="255" customWidth="1"/>
    <col min="9038" max="9197" width="25.25" style="255"/>
    <col min="9198" max="9227" width="9" style="255" customWidth="1"/>
    <col min="9228" max="9228" width="0.5" style="255" customWidth="1"/>
    <col min="9229" max="9229" width="25.25" style="255"/>
    <col min="9230" max="9230" width="0.5" style="255" customWidth="1"/>
    <col min="9231" max="9231" width="25.25" style="255"/>
    <col min="9232" max="9232" width="14.75" style="255" customWidth="1"/>
    <col min="9233" max="9233" width="11.5" style="255" customWidth="1"/>
    <col min="9234" max="9234" width="11.25" style="255" customWidth="1"/>
    <col min="9235" max="9235" width="10.75" style="255" customWidth="1"/>
    <col min="9236" max="9236" width="10" style="255" customWidth="1"/>
    <col min="9237" max="9237" width="9.875" style="255" customWidth="1"/>
    <col min="9238" max="9238" width="26.125" style="255" customWidth="1"/>
    <col min="9239" max="9239" width="11.125" style="255" customWidth="1"/>
    <col min="9240" max="9240" width="7.875" style="255" customWidth="1"/>
    <col min="9241" max="9241" width="7.25" style="255" customWidth="1"/>
    <col min="9242" max="9242" width="9.125" style="255" customWidth="1"/>
    <col min="9243" max="9243" width="15.125" style="255" customWidth="1"/>
    <col min="9244" max="9244" width="7.75" style="255" customWidth="1"/>
    <col min="9245" max="9245" width="7.125" style="255" customWidth="1"/>
    <col min="9246" max="9246" width="12.125" style="255" customWidth="1"/>
    <col min="9247" max="9247" width="8.25" style="255" customWidth="1"/>
    <col min="9248" max="9249" width="10.375" style="255" customWidth="1"/>
    <col min="9250" max="9250" width="15.625" style="255" customWidth="1"/>
    <col min="9251" max="9251" width="15.875" style="255" customWidth="1"/>
    <col min="9252" max="9252" width="8.125" style="255" customWidth="1"/>
    <col min="9253" max="9256" width="10.375" style="255" customWidth="1"/>
    <col min="9257" max="9257" width="7.25" style="255" customWidth="1"/>
    <col min="9258" max="9258" width="7.125" style="255" customWidth="1"/>
    <col min="9259" max="9259" width="9.5" style="255" customWidth="1"/>
    <col min="9260" max="9261" width="9" style="255" customWidth="1"/>
    <col min="9262" max="9262" width="16.125" style="255" customWidth="1"/>
    <col min="9263" max="9293" width="9" style="255" customWidth="1"/>
    <col min="9294" max="9453" width="25.25" style="255"/>
    <col min="9454" max="9483" width="9" style="255" customWidth="1"/>
    <col min="9484" max="9484" width="0.5" style="255" customWidth="1"/>
    <col min="9485" max="9485" width="25.25" style="255"/>
    <col min="9486" max="9486" width="0.5" style="255" customWidth="1"/>
    <col min="9487" max="9487" width="25.25" style="255"/>
    <col min="9488" max="9488" width="14.75" style="255" customWidth="1"/>
    <col min="9489" max="9489" width="11.5" style="255" customWidth="1"/>
    <col min="9490" max="9490" width="11.25" style="255" customWidth="1"/>
    <col min="9491" max="9491" width="10.75" style="255" customWidth="1"/>
    <col min="9492" max="9492" width="10" style="255" customWidth="1"/>
    <col min="9493" max="9493" width="9.875" style="255" customWidth="1"/>
    <col min="9494" max="9494" width="26.125" style="255" customWidth="1"/>
    <col min="9495" max="9495" width="11.125" style="255" customWidth="1"/>
    <col min="9496" max="9496" width="7.875" style="255" customWidth="1"/>
    <col min="9497" max="9497" width="7.25" style="255" customWidth="1"/>
    <col min="9498" max="9498" width="9.125" style="255" customWidth="1"/>
    <col min="9499" max="9499" width="15.125" style="255" customWidth="1"/>
    <col min="9500" max="9500" width="7.75" style="255" customWidth="1"/>
    <col min="9501" max="9501" width="7.125" style="255" customWidth="1"/>
    <col min="9502" max="9502" width="12.125" style="255" customWidth="1"/>
    <col min="9503" max="9503" width="8.25" style="255" customWidth="1"/>
    <col min="9504" max="9505" width="10.375" style="255" customWidth="1"/>
    <col min="9506" max="9506" width="15.625" style="255" customWidth="1"/>
    <col min="9507" max="9507" width="15.875" style="255" customWidth="1"/>
    <col min="9508" max="9508" width="8.125" style="255" customWidth="1"/>
    <col min="9509" max="9512" width="10.375" style="255" customWidth="1"/>
    <col min="9513" max="9513" width="7.25" style="255" customWidth="1"/>
    <col min="9514" max="9514" width="7.125" style="255" customWidth="1"/>
    <col min="9515" max="9515" width="9.5" style="255" customWidth="1"/>
    <col min="9516" max="9517" width="9" style="255" customWidth="1"/>
    <col min="9518" max="9518" width="16.125" style="255" customWidth="1"/>
    <col min="9519" max="9549" width="9" style="255" customWidth="1"/>
    <col min="9550" max="9709" width="25.25" style="255"/>
    <col min="9710" max="9739" width="9" style="255" customWidth="1"/>
    <col min="9740" max="9740" width="0.5" style="255" customWidth="1"/>
    <col min="9741" max="9741" width="25.25" style="255"/>
    <col min="9742" max="9742" width="0.5" style="255" customWidth="1"/>
    <col min="9743" max="9743" width="25.25" style="255"/>
    <col min="9744" max="9744" width="14.75" style="255" customWidth="1"/>
    <col min="9745" max="9745" width="11.5" style="255" customWidth="1"/>
    <col min="9746" max="9746" width="11.25" style="255" customWidth="1"/>
    <col min="9747" max="9747" width="10.75" style="255" customWidth="1"/>
    <col min="9748" max="9748" width="10" style="255" customWidth="1"/>
    <col min="9749" max="9749" width="9.875" style="255" customWidth="1"/>
    <col min="9750" max="9750" width="26.125" style="255" customWidth="1"/>
    <col min="9751" max="9751" width="11.125" style="255" customWidth="1"/>
    <col min="9752" max="9752" width="7.875" style="255" customWidth="1"/>
    <col min="9753" max="9753" width="7.25" style="255" customWidth="1"/>
    <col min="9754" max="9754" width="9.125" style="255" customWidth="1"/>
    <col min="9755" max="9755" width="15.125" style="255" customWidth="1"/>
    <col min="9756" max="9756" width="7.75" style="255" customWidth="1"/>
    <col min="9757" max="9757" width="7.125" style="255" customWidth="1"/>
    <col min="9758" max="9758" width="12.125" style="255" customWidth="1"/>
    <col min="9759" max="9759" width="8.25" style="255" customWidth="1"/>
    <col min="9760" max="9761" width="10.375" style="255" customWidth="1"/>
    <col min="9762" max="9762" width="15.625" style="255" customWidth="1"/>
    <col min="9763" max="9763" width="15.875" style="255" customWidth="1"/>
    <col min="9764" max="9764" width="8.125" style="255" customWidth="1"/>
    <col min="9765" max="9768" width="10.375" style="255" customWidth="1"/>
    <col min="9769" max="9769" width="7.25" style="255" customWidth="1"/>
    <col min="9770" max="9770" width="7.125" style="255" customWidth="1"/>
    <col min="9771" max="9771" width="9.5" style="255" customWidth="1"/>
    <col min="9772" max="9773" width="9" style="255" customWidth="1"/>
    <col min="9774" max="9774" width="16.125" style="255" customWidth="1"/>
    <col min="9775" max="9805" width="9" style="255" customWidth="1"/>
    <col min="9806" max="9965" width="25.25" style="255"/>
    <col min="9966" max="9995" width="9" style="255" customWidth="1"/>
    <col min="9996" max="9996" width="0.5" style="255" customWidth="1"/>
    <col min="9997" max="9997" width="25.25" style="255"/>
    <col min="9998" max="9998" width="0.5" style="255" customWidth="1"/>
    <col min="9999" max="9999" width="25.25" style="255"/>
    <col min="10000" max="10000" width="14.75" style="255" customWidth="1"/>
    <col min="10001" max="10001" width="11.5" style="255" customWidth="1"/>
    <col min="10002" max="10002" width="11.25" style="255" customWidth="1"/>
    <col min="10003" max="10003" width="10.75" style="255" customWidth="1"/>
    <col min="10004" max="10004" width="10" style="255" customWidth="1"/>
    <col min="10005" max="10005" width="9.875" style="255" customWidth="1"/>
    <col min="10006" max="10006" width="26.125" style="255" customWidth="1"/>
    <col min="10007" max="10007" width="11.125" style="255" customWidth="1"/>
    <col min="10008" max="10008" width="7.875" style="255" customWidth="1"/>
    <col min="10009" max="10009" width="7.25" style="255" customWidth="1"/>
    <col min="10010" max="10010" width="9.125" style="255" customWidth="1"/>
    <col min="10011" max="10011" width="15.125" style="255" customWidth="1"/>
    <col min="10012" max="10012" width="7.75" style="255" customWidth="1"/>
    <col min="10013" max="10013" width="7.125" style="255" customWidth="1"/>
    <col min="10014" max="10014" width="12.125" style="255" customWidth="1"/>
    <col min="10015" max="10015" width="8.25" style="255" customWidth="1"/>
    <col min="10016" max="10017" width="10.375" style="255" customWidth="1"/>
    <col min="10018" max="10018" width="15.625" style="255" customWidth="1"/>
    <col min="10019" max="10019" width="15.875" style="255" customWidth="1"/>
    <col min="10020" max="10020" width="8.125" style="255" customWidth="1"/>
    <col min="10021" max="10024" width="10.375" style="255" customWidth="1"/>
    <col min="10025" max="10025" width="7.25" style="255" customWidth="1"/>
    <col min="10026" max="10026" width="7.125" style="255" customWidth="1"/>
    <col min="10027" max="10027" width="9.5" style="255" customWidth="1"/>
    <col min="10028" max="10029" width="9" style="255" customWidth="1"/>
    <col min="10030" max="10030" width="16.125" style="255" customWidth="1"/>
    <col min="10031" max="10061" width="9" style="255" customWidth="1"/>
    <col min="10062" max="10221" width="25.25" style="255"/>
    <col min="10222" max="10251" width="9" style="255" customWidth="1"/>
    <col min="10252" max="10252" width="0.5" style="255" customWidth="1"/>
    <col min="10253" max="10253" width="25.25" style="255"/>
    <col min="10254" max="10254" width="0.5" style="255" customWidth="1"/>
    <col min="10255" max="10255" width="25.25" style="255"/>
    <col min="10256" max="10256" width="14.75" style="255" customWidth="1"/>
    <col min="10257" max="10257" width="11.5" style="255" customWidth="1"/>
    <col min="10258" max="10258" width="11.25" style="255" customWidth="1"/>
    <col min="10259" max="10259" width="10.75" style="255" customWidth="1"/>
    <col min="10260" max="10260" width="10" style="255" customWidth="1"/>
    <col min="10261" max="10261" width="9.875" style="255" customWidth="1"/>
    <col min="10262" max="10262" width="26.125" style="255" customWidth="1"/>
    <col min="10263" max="10263" width="11.125" style="255" customWidth="1"/>
    <col min="10264" max="10264" width="7.875" style="255" customWidth="1"/>
    <col min="10265" max="10265" width="7.25" style="255" customWidth="1"/>
    <col min="10266" max="10266" width="9.125" style="255" customWidth="1"/>
    <col min="10267" max="10267" width="15.125" style="255" customWidth="1"/>
    <col min="10268" max="10268" width="7.75" style="255" customWidth="1"/>
    <col min="10269" max="10269" width="7.125" style="255" customWidth="1"/>
    <col min="10270" max="10270" width="12.125" style="255" customWidth="1"/>
    <col min="10271" max="10271" width="8.25" style="255" customWidth="1"/>
    <col min="10272" max="10273" width="10.375" style="255" customWidth="1"/>
    <col min="10274" max="10274" width="15.625" style="255" customWidth="1"/>
    <col min="10275" max="10275" width="15.875" style="255" customWidth="1"/>
    <col min="10276" max="10276" width="8.125" style="255" customWidth="1"/>
    <col min="10277" max="10280" width="10.375" style="255" customWidth="1"/>
    <col min="10281" max="10281" width="7.25" style="255" customWidth="1"/>
    <col min="10282" max="10282" width="7.125" style="255" customWidth="1"/>
    <col min="10283" max="10283" width="9.5" style="255" customWidth="1"/>
    <col min="10284" max="10285" width="9" style="255" customWidth="1"/>
    <col min="10286" max="10286" width="16.125" style="255" customWidth="1"/>
    <col min="10287" max="10317" width="9" style="255" customWidth="1"/>
    <col min="10318" max="10477" width="25.25" style="255"/>
    <col min="10478" max="10507" width="9" style="255" customWidth="1"/>
    <col min="10508" max="10508" width="0.5" style="255" customWidth="1"/>
    <col min="10509" max="10509" width="25.25" style="255"/>
    <col min="10510" max="10510" width="0.5" style="255" customWidth="1"/>
    <col min="10511" max="10511" width="25.25" style="255"/>
    <col min="10512" max="10512" width="14.75" style="255" customWidth="1"/>
    <col min="10513" max="10513" width="11.5" style="255" customWidth="1"/>
    <col min="10514" max="10514" width="11.25" style="255" customWidth="1"/>
    <col min="10515" max="10515" width="10.75" style="255" customWidth="1"/>
    <col min="10516" max="10516" width="10" style="255" customWidth="1"/>
    <col min="10517" max="10517" width="9.875" style="255" customWidth="1"/>
    <col min="10518" max="10518" width="26.125" style="255" customWidth="1"/>
    <col min="10519" max="10519" width="11.125" style="255" customWidth="1"/>
    <col min="10520" max="10520" width="7.875" style="255" customWidth="1"/>
    <col min="10521" max="10521" width="7.25" style="255" customWidth="1"/>
    <col min="10522" max="10522" width="9.125" style="255" customWidth="1"/>
    <col min="10523" max="10523" width="15.125" style="255" customWidth="1"/>
    <col min="10524" max="10524" width="7.75" style="255" customWidth="1"/>
    <col min="10525" max="10525" width="7.125" style="255" customWidth="1"/>
    <col min="10526" max="10526" width="12.125" style="255" customWidth="1"/>
    <col min="10527" max="10527" width="8.25" style="255" customWidth="1"/>
    <col min="10528" max="10529" width="10.375" style="255" customWidth="1"/>
    <col min="10530" max="10530" width="15.625" style="255" customWidth="1"/>
    <col min="10531" max="10531" width="15.875" style="255" customWidth="1"/>
    <col min="10532" max="10532" width="8.125" style="255" customWidth="1"/>
    <col min="10533" max="10536" width="10.375" style="255" customWidth="1"/>
    <col min="10537" max="10537" width="7.25" style="255" customWidth="1"/>
    <col min="10538" max="10538" width="7.125" style="255" customWidth="1"/>
    <col min="10539" max="10539" width="9.5" style="255" customWidth="1"/>
    <col min="10540" max="10541" width="9" style="255" customWidth="1"/>
    <col min="10542" max="10542" width="16.125" style="255" customWidth="1"/>
    <col min="10543" max="10573" width="9" style="255" customWidth="1"/>
    <col min="10574" max="10733" width="25.25" style="255"/>
    <col min="10734" max="10763" width="9" style="255" customWidth="1"/>
    <col min="10764" max="10764" width="0.5" style="255" customWidth="1"/>
    <col min="10765" max="10765" width="25.25" style="255"/>
    <col min="10766" max="10766" width="0.5" style="255" customWidth="1"/>
    <col min="10767" max="10767" width="25.25" style="255"/>
    <col min="10768" max="10768" width="14.75" style="255" customWidth="1"/>
    <col min="10769" max="10769" width="11.5" style="255" customWidth="1"/>
    <col min="10770" max="10770" width="11.25" style="255" customWidth="1"/>
    <col min="10771" max="10771" width="10.75" style="255" customWidth="1"/>
    <col min="10772" max="10772" width="10" style="255" customWidth="1"/>
    <col min="10773" max="10773" width="9.875" style="255" customWidth="1"/>
    <col min="10774" max="10774" width="26.125" style="255" customWidth="1"/>
    <col min="10775" max="10775" width="11.125" style="255" customWidth="1"/>
    <col min="10776" max="10776" width="7.875" style="255" customWidth="1"/>
    <col min="10777" max="10777" width="7.25" style="255" customWidth="1"/>
    <col min="10778" max="10778" width="9.125" style="255" customWidth="1"/>
    <col min="10779" max="10779" width="15.125" style="255" customWidth="1"/>
    <col min="10780" max="10780" width="7.75" style="255" customWidth="1"/>
    <col min="10781" max="10781" width="7.125" style="255" customWidth="1"/>
    <col min="10782" max="10782" width="12.125" style="255" customWidth="1"/>
    <col min="10783" max="10783" width="8.25" style="255" customWidth="1"/>
    <col min="10784" max="10785" width="10.375" style="255" customWidth="1"/>
    <col min="10786" max="10786" width="15.625" style="255" customWidth="1"/>
    <col min="10787" max="10787" width="15.875" style="255" customWidth="1"/>
    <col min="10788" max="10788" width="8.125" style="255" customWidth="1"/>
    <col min="10789" max="10792" width="10.375" style="255" customWidth="1"/>
    <col min="10793" max="10793" width="7.25" style="255" customWidth="1"/>
    <col min="10794" max="10794" width="7.125" style="255" customWidth="1"/>
    <col min="10795" max="10795" width="9.5" style="255" customWidth="1"/>
    <col min="10796" max="10797" width="9" style="255" customWidth="1"/>
    <col min="10798" max="10798" width="16.125" style="255" customWidth="1"/>
    <col min="10799" max="10829" width="9" style="255" customWidth="1"/>
    <col min="10830" max="10989" width="25.25" style="255"/>
    <col min="10990" max="11019" width="9" style="255" customWidth="1"/>
    <col min="11020" max="11020" width="0.5" style="255" customWidth="1"/>
    <col min="11021" max="11021" width="25.25" style="255"/>
    <col min="11022" max="11022" width="0.5" style="255" customWidth="1"/>
    <col min="11023" max="11023" width="25.25" style="255"/>
    <col min="11024" max="11024" width="14.75" style="255" customWidth="1"/>
    <col min="11025" max="11025" width="11.5" style="255" customWidth="1"/>
    <col min="11026" max="11026" width="11.25" style="255" customWidth="1"/>
    <col min="11027" max="11027" width="10.75" style="255" customWidth="1"/>
    <col min="11028" max="11028" width="10" style="255" customWidth="1"/>
    <col min="11029" max="11029" width="9.875" style="255" customWidth="1"/>
    <col min="11030" max="11030" width="26.125" style="255" customWidth="1"/>
    <col min="11031" max="11031" width="11.125" style="255" customWidth="1"/>
    <col min="11032" max="11032" width="7.875" style="255" customWidth="1"/>
    <col min="11033" max="11033" width="7.25" style="255" customWidth="1"/>
    <col min="11034" max="11034" width="9.125" style="255" customWidth="1"/>
    <col min="11035" max="11035" width="15.125" style="255" customWidth="1"/>
    <col min="11036" max="11036" width="7.75" style="255" customWidth="1"/>
    <col min="11037" max="11037" width="7.125" style="255" customWidth="1"/>
    <col min="11038" max="11038" width="12.125" style="255" customWidth="1"/>
    <col min="11039" max="11039" width="8.25" style="255" customWidth="1"/>
    <col min="11040" max="11041" width="10.375" style="255" customWidth="1"/>
    <col min="11042" max="11042" width="15.625" style="255" customWidth="1"/>
    <col min="11043" max="11043" width="15.875" style="255" customWidth="1"/>
    <col min="11044" max="11044" width="8.125" style="255" customWidth="1"/>
    <col min="11045" max="11048" width="10.375" style="255" customWidth="1"/>
    <col min="11049" max="11049" width="7.25" style="255" customWidth="1"/>
    <col min="11050" max="11050" width="7.125" style="255" customWidth="1"/>
    <col min="11051" max="11051" width="9.5" style="255" customWidth="1"/>
    <col min="11052" max="11053" width="9" style="255" customWidth="1"/>
    <col min="11054" max="11054" width="16.125" style="255" customWidth="1"/>
    <col min="11055" max="11085" width="9" style="255" customWidth="1"/>
    <col min="11086" max="11245" width="25.25" style="255"/>
    <col min="11246" max="11275" width="9" style="255" customWidth="1"/>
    <col min="11276" max="11276" width="0.5" style="255" customWidth="1"/>
    <col min="11277" max="11277" width="25.25" style="255"/>
    <col min="11278" max="11278" width="0.5" style="255" customWidth="1"/>
    <col min="11279" max="11279" width="25.25" style="255"/>
    <col min="11280" max="11280" width="14.75" style="255" customWidth="1"/>
    <col min="11281" max="11281" width="11.5" style="255" customWidth="1"/>
    <col min="11282" max="11282" width="11.25" style="255" customWidth="1"/>
    <col min="11283" max="11283" width="10.75" style="255" customWidth="1"/>
    <col min="11284" max="11284" width="10" style="255" customWidth="1"/>
    <col min="11285" max="11285" width="9.875" style="255" customWidth="1"/>
    <col min="11286" max="11286" width="26.125" style="255" customWidth="1"/>
    <col min="11287" max="11287" width="11.125" style="255" customWidth="1"/>
    <col min="11288" max="11288" width="7.875" style="255" customWidth="1"/>
    <col min="11289" max="11289" width="7.25" style="255" customWidth="1"/>
    <col min="11290" max="11290" width="9.125" style="255" customWidth="1"/>
    <col min="11291" max="11291" width="15.125" style="255" customWidth="1"/>
    <col min="11292" max="11292" width="7.75" style="255" customWidth="1"/>
    <col min="11293" max="11293" width="7.125" style="255" customWidth="1"/>
    <col min="11294" max="11294" width="12.125" style="255" customWidth="1"/>
    <col min="11295" max="11295" width="8.25" style="255" customWidth="1"/>
    <col min="11296" max="11297" width="10.375" style="255" customWidth="1"/>
    <col min="11298" max="11298" width="15.625" style="255" customWidth="1"/>
    <col min="11299" max="11299" width="15.875" style="255" customWidth="1"/>
    <col min="11300" max="11300" width="8.125" style="255" customWidth="1"/>
    <col min="11301" max="11304" width="10.375" style="255" customWidth="1"/>
    <col min="11305" max="11305" width="7.25" style="255" customWidth="1"/>
    <col min="11306" max="11306" width="7.125" style="255" customWidth="1"/>
    <col min="11307" max="11307" width="9.5" style="255" customWidth="1"/>
    <col min="11308" max="11309" width="9" style="255" customWidth="1"/>
    <col min="11310" max="11310" width="16.125" style="255" customWidth="1"/>
    <col min="11311" max="11341" width="9" style="255" customWidth="1"/>
    <col min="11342" max="11501" width="25.25" style="255"/>
    <col min="11502" max="11531" width="9" style="255" customWidth="1"/>
    <col min="11532" max="11532" width="0.5" style="255" customWidth="1"/>
    <col min="11533" max="11533" width="25.25" style="255"/>
    <col min="11534" max="11534" width="0.5" style="255" customWidth="1"/>
    <col min="11535" max="11535" width="25.25" style="255"/>
    <col min="11536" max="11536" width="14.75" style="255" customWidth="1"/>
    <col min="11537" max="11537" width="11.5" style="255" customWidth="1"/>
    <col min="11538" max="11538" width="11.25" style="255" customWidth="1"/>
    <col min="11539" max="11539" width="10.75" style="255" customWidth="1"/>
    <col min="11540" max="11540" width="10" style="255" customWidth="1"/>
    <col min="11541" max="11541" width="9.875" style="255" customWidth="1"/>
    <col min="11542" max="11542" width="26.125" style="255" customWidth="1"/>
    <col min="11543" max="11543" width="11.125" style="255" customWidth="1"/>
    <col min="11544" max="11544" width="7.875" style="255" customWidth="1"/>
    <col min="11545" max="11545" width="7.25" style="255" customWidth="1"/>
    <col min="11546" max="11546" width="9.125" style="255" customWidth="1"/>
    <col min="11547" max="11547" width="15.125" style="255" customWidth="1"/>
    <col min="11548" max="11548" width="7.75" style="255" customWidth="1"/>
    <col min="11549" max="11549" width="7.125" style="255" customWidth="1"/>
    <col min="11550" max="11550" width="12.125" style="255" customWidth="1"/>
    <col min="11551" max="11551" width="8.25" style="255" customWidth="1"/>
    <col min="11552" max="11553" width="10.375" style="255" customWidth="1"/>
    <col min="11554" max="11554" width="15.625" style="255" customWidth="1"/>
    <col min="11555" max="11555" width="15.875" style="255" customWidth="1"/>
    <col min="11556" max="11556" width="8.125" style="255" customWidth="1"/>
    <col min="11557" max="11560" width="10.375" style="255" customWidth="1"/>
    <col min="11561" max="11561" width="7.25" style="255" customWidth="1"/>
    <col min="11562" max="11562" width="7.125" style="255" customWidth="1"/>
    <col min="11563" max="11563" width="9.5" style="255" customWidth="1"/>
    <col min="11564" max="11565" width="9" style="255" customWidth="1"/>
    <col min="11566" max="11566" width="16.125" style="255" customWidth="1"/>
    <col min="11567" max="11597" width="9" style="255" customWidth="1"/>
    <col min="11598" max="11757" width="25.25" style="255"/>
    <col min="11758" max="11787" width="9" style="255" customWidth="1"/>
    <col min="11788" max="11788" width="0.5" style="255" customWidth="1"/>
    <col min="11789" max="11789" width="25.25" style="255"/>
    <col min="11790" max="11790" width="0.5" style="255" customWidth="1"/>
    <col min="11791" max="11791" width="25.25" style="255"/>
    <col min="11792" max="11792" width="14.75" style="255" customWidth="1"/>
    <col min="11793" max="11793" width="11.5" style="255" customWidth="1"/>
    <col min="11794" max="11794" width="11.25" style="255" customWidth="1"/>
    <col min="11795" max="11795" width="10.75" style="255" customWidth="1"/>
    <col min="11796" max="11796" width="10" style="255" customWidth="1"/>
    <col min="11797" max="11797" width="9.875" style="255" customWidth="1"/>
    <col min="11798" max="11798" width="26.125" style="255" customWidth="1"/>
    <col min="11799" max="11799" width="11.125" style="255" customWidth="1"/>
    <col min="11800" max="11800" width="7.875" style="255" customWidth="1"/>
    <col min="11801" max="11801" width="7.25" style="255" customWidth="1"/>
    <col min="11802" max="11802" width="9.125" style="255" customWidth="1"/>
    <col min="11803" max="11803" width="15.125" style="255" customWidth="1"/>
    <col min="11804" max="11804" width="7.75" style="255" customWidth="1"/>
    <col min="11805" max="11805" width="7.125" style="255" customWidth="1"/>
    <col min="11806" max="11806" width="12.125" style="255" customWidth="1"/>
    <col min="11807" max="11807" width="8.25" style="255" customWidth="1"/>
    <col min="11808" max="11809" width="10.375" style="255" customWidth="1"/>
    <col min="11810" max="11810" width="15.625" style="255" customWidth="1"/>
    <col min="11811" max="11811" width="15.875" style="255" customWidth="1"/>
    <col min="11812" max="11812" width="8.125" style="255" customWidth="1"/>
    <col min="11813" max="11816" width="10.375" style="255" customWidth="1"/>
    <col min="11817" max="11817" width="7.25" style="255" customWidth="1"/>
    <col min="11818" max="11818" width="7.125" style="255" customWidth="1"/>
    <col min="11819" max="11819" width="9.5" style="255" customWidth="1"/>
    <col min="11820" max="11821" width="9" style="255" customWidth="1"/>
    <col min="11822" max="11822" width="16.125" style="255" customWidth="1"/>
    <col min="11823" max="11853" width="9" style="255" customWidth="1"/>
    <col min="11854" max="12013" width="25.25" style="255"/>
    <col min="12014" max="12043" width="9" style="255" customWidth="1"/>
    <col min="12044" max="12044" width="0.5" style="255" customWidth="1"/>
    <col min="12045" max="12045" width="25.25" style="255"/>
    <col min="12046" max="12046" width="0.5" style="255" customWidth="1"/>
    <col min="12047" max="12047" width="25.25" style="255"/>
    <col min="12048" max="12048" width="14.75" style="255" customWidth="1"/>
    <col min="12049" max="12049" width="11.5" style="255" customWidth="1"/>
    <col min="12050" max="12050" width="11.25" style="255" customWidth="1"/>
    <col min="12051" max="12051" width="10.75" style="255" customWidth="1"/>
    <col min="12052" max="12052" width="10" style="255" customWidth="1"/>
    <col min="12053" max="12053" width="9.875" style="255" customWidth="1"/>
    <col min="12054" max="12054" width="26.125" style="255" customWidth="1"/>
    <col min="12055" max="12055" width="11.125" style="255" customWidth="1"/>
    <col min="12056" max="12056" width="7.875" style="255" customWidth="1"/>
    <col min="12057" max="12057" width="7.25" style="255" customWidth="1"/>
    <col min="12058" max="12058" width="9.125" style="255" customWidth="1"/>
    <col min="12059" max="12059" width="15.125" style="255" customWidth="1"/>
    <col min="12060" max="12060" width="7.75" style="255" customWidth="1"/>
    <col min="12061" max="12061" width="7.125" style="255" customWidth="1"/>
    <col min="12062" max="12062" width="12.125" style="255" customWidth="1"/>
    <col min="12063" max="12063" width="8.25" style="255" customWidth="1"/>
    <col min="12064" max="12065" width="10.375" style="255" customWidth="1"/>
    <col min="12066" max="12066" width="15.625" style="255" customWidth="1"/>
    <col min="12067" max="12067" width="15.875" style="255" customWidth="1"/>
    <col min="12068" max="12068" width="8.125" style="255" customWidth="1"/>
    <col min="12069" max="12072" width="10.375" style="255" customWidth="1"/>
    <col min="12073" max="12073" width="7.25" style="255" customWidth="1"/>
    <col min="12074" max="12074" width="7.125" style="255" customWidth="1"/>
    <col min="12075" max="12075" width="9.5" style="255" customWidth="1"/>
    <col min="12076" max="12077" width="9" style="255" customWidth="1"/>
    <col min="12078" max="12078" width="16.125" style="255" customWidth="1"/>
    <col min="12079" max="12109" width="9" style="255" customWidth="1"/>
    <col min="12110" max="12269" width="25.25" style="255"/>
    <col min="12270" max="12299" width="9" style="255" customWidth="1"/>
    <col min="12300" max="12300" width="0.5" style="255" customWidth="1"/>
    <col min="12301" max="12301" width="25.25" style="255"/>
    <col min="12302" max="12302" width="0.5" style="255" customWidth="1"/>
    <col min="12303" max="12303" width="25.25" style="255"/>
    <col min="12304" max="12304" width="14.75" style="255" customWidth="1"/>
    <col min="12305" max="12305" width="11.5" style="255" customWidth="1"/>
    <col min="12306" max="12306" width="11.25" style="255" customWidth="1"/>
    <col min="12307" max="12307" width="10.75" style="255" customWidth="1"/>
    <col min="12308" max="12308" width="10" style="255" customWidth="1"/>
    <col min="12309" max="12309" width="9.875" style="255" customWidth="1"/>
    <col min="12310" max="12310" width="26.125" style="255" customWidth="1"/>
    <col min="12311" max="12311" width="11.125" style="255" customWidth="1"/>
    <col min="12312" max="12312" width="7.875" style="255" customWidth="1"/>
    <col min="12313" max="12313" width="7.25" style="255" customWidth="1"/>
    <col min="12314" max="12314" width="9.125" style="255" customWidth="1"/>
    <col min="12315" max="12315" width="15.125" style="255" customWidth="1"/>
    <col min="12316" max="12316" width="7.75" style="255" customWidth="1"/>
    <col min="12317" max="12317" width="7.125" style="255" customWidth="1"/>
    <col min="12318" max="12318" width="12.125" style="255" customWidth="1"/>
    <col min="12319" max="12319" width="8.25" style="255" customWidth="1"/>
    <col min="12320" max="12321" width="10.375" style="255" customWidth="1"/>
    <col min="12322" max="12322" width="15.625" style="255" customWidth="1"/>
    <col min="12323" max="12323" width="15.875" style="255" customWidth="1"/>
    <col min="12324" max="12324" width="8.125" style="255" customWidth="1"/>
    <col min="12325" max="12328" width="10.375" style="255" customWidth="1"/>
    <col min="12329" max="12329" width="7.25" style="255" customWidth="1"/>
    <col min="12330" max="12330" width="7.125" style="255" customWidth="1"/>
    <col min="12331" max="12331" width="9.5" style="255" customWidth="1"/>
    <col min="12332" max="12333" width="9" style="255" customWidth="1"/>
    <col min="12334" max="12334" width="16.125" style="255" customWidth="1"/>
    <col min="12335" max="12365" width="9" style="255" customWidth="1"/>
    <col min="12366" max="12525" width="25.25" style="255"/>
    <col min="12526" max="12555" width="9" style="255" customWidth="1"/>
    <col min="12556" max="12556" width="0.5" style="255" customWidth="1"/>
    <col min="12557" max="12557" width="25.25" style="255"/>
    <col min="12558" max="12558" width="0.5" style="255" customWidth="1"/>
    <col min="12559" max="12559" width="25.25" style="255"/>
    <col min="12560" max="12560" width="14.75" style="255" customWidth="1"/>
    <col min="12561" max="12561" width="11.5" style="255" customWidth="1"/>
    <col min="12562" max="12562" width="11.25" style="255" customWidth="1"/>
    <col min="12563" max="12563" width="10.75" style="255" customWidth="1"/>
    <col min="12564" max="12564" width="10" style="255" customWidth="1"/>
    <col min="12565" max="12565" width="9.875" style="255" customWidth="1"/>
    <col min="12566" max="12566" width="26.125" style="255" customWidth="1"/>
    <col min="12567" max="12567" width="11.125" style="255" customWidth="1"/>
    <col min="12568" max="12568" width="7.875" style="255" customWidth="1"/>
    <col min="12569" max="12569" width="7.25" style="255" customWidth="1"/>
    <col min="12570" max="12570" width="9.125" style="255" customWidth="1"/>
    <col min="12571" max="12571" width="15.125" style="255" customWidth="1"/>
    <col min="12572" max="12572" width="7.75" style="255" customWidth="1"/>
    <col min="12573" max="12573" width="7.125" style="255" customWidth="1"/>
    <col min="12574" max="12574" width="12.125" style="255" customWidth="1"/>
    <col min="12575" max="12575" width="8.25" style="255" customWidth="1"/>
    <col min="12576" max="12577" width="10.375" style="255" customWidth="1"/>
    <col min="12578" max="12578" width="15.625" style="255" customWidth="1"/>
    <col min="12579" max="12579" width="15.875" style="255" customWidth="1"/>
    <col min="12580" max="12580" width="8.125" style="255" customWidth="1"/>
    <col min="12581" max="12584" width="10.375" style="255" customWidth="1"/>
    <col min="12585" max="12585" width="7.25" style="255" customWidth="1"/>
    <col min="12586" max="12586" width="7.125" style="255" customWidth="1"/>
    <col min="12587" max="12587" width="9.5" style="255" customWidth="1"/>
    <col min="12588" max="12589" width="9" style="255" customWidth="1"/>
    <col min="12590" max="12590" width="16.125" style="255" customWidth="1"/>
    <col min="12591" max="12621" width="9" style="255" customWidth="1"/>
    <col min="12622" max="12781" width="25.25" style="255"/>
    <col min="12782" max="12811" width="9" style="255" customWidth="1"/>
    <col min="12812" max="12812" width="0.5" style="255" customWidth="1"/>
    <col min="12813" max="12813" width="25.25" style="255"/>
    <col min="12814" max="12814" width="0.5" style="255" customWidth="1"/>
    <col min="12815" max="12815" width="25.25" style="255"/>
    <col min="12816" max="12816" width="14.75" style="255" customWidth="1"/>
    <col min="12817" max="12817" width="11.5" style="255" customWidth="1"/>
    <col min="12818" max="12818" width="11.25" style="255" customWidth="1"/>
    <col min="12819" max="12819" width="10.75" style="255" customWidth="1"/>
    <col min="12820" max="12820" width="10" style="255" customWidth="1"/>
    <col min="12821" max="12821" width="9.875" style="255" customWidth="1"/>
    <col min="12822" max="12822" width="26.125" style="255" customWidth="1"/>
    <col min="12823" max="12823" width="11.125" style="255" customWidth="1"/>
    <col min="12824" max="12824" width="7.875" style="255" customWidth="1"/>
    <col min="12825" max="12825" width="7.25" style="255" customWidth="1"/>
    <col min="12826" max="12826" width="9.125" style="255" customWidth="1"/>
    <col min="12827" max="12827" width="15.125" style="255" customWidth="1"/>
    <col min="12828" max="12828" width="7.75" style="255" customWidth="1"/>
    <col min="12829" max="12829" width="7.125" style="255" customWidth="1"/>
    <col min="12830" max="12830" width="12.125" style="255" customWidth="1"/>
    <col min="12831" max="12831" width="8.25" style="255" customWidth="1"/>
    <col min="12832" max="12833" width="10.375" style="255" customWidth="1"/>
    <col min="12834" max="12834" width="15.625" style="255" customWidth="1"/>
    <col min="12835" max="12835" width="15.875" style="255" customWidth="1"/>
    <col min="12836" max="12836" width="8.125" style="255" customWidth="1"/>
    <col min="12837" max="12840" width="10.375" style="255" customWidth="1"/>
    <col min="12841" max="12841" width="7.25" style="255" customWidth="1"/>
    <col min="12842" max="12842" width="7.125" style="255" customWidth="1"/>
    <col min="12843" max="12843" width="9.5" style="255" customWidth="1"/>
    <col min="12844" max="12845" width="9" style="255" customWidth="1"/>
    <col min="12846" max="12846" width="16.125" style="255" customWidth="1"/>
    <col min="12847" max="12877" width="9" style="255" customWidth="1"/>
    <col min="12878" max="13037" width="25.25" style="255"/>
    <col min="13038" max="13067" width="9" style="255" customWidth="1"/>
    <col min="13068" max="13068" width="0.5" style="255" customWidth="1"/>
    <col min="13069" max="13069" width="25.25" style="255"/>
    <col min="13070" max="13070" width="0.5" style="255" customWidth="1"/>
    <col min="13071" max="13071" width="25.25" style="255"/>
    <col min="13072" max="13072" width="14.75" style="255" customWidth="1"/>
    <col min="13073" max="13073" width="11.5" style="255" customWidth="1"/>
    <col min="13074" max="13074" width="11.25" style="255" customWidth="1"/>
    <col min="13075" max="13075" width="10.75" style="255" customWidth="1"/>
    <col min="13076" max="13076" width="10" style="255" customWidth="1"/>
    <col min="13077" max="13077" width="9.875" style="255" customWidth="1"/>
    <col min="13078" max="13078" width="26.125" style="255" customWidth="1"/>
    <col min="13079" max="13079" width="11.125" style="255" customWidth="1"/>
    <col min="13080" max="13080" width="7.875" style="255" customWidth="1"/>
    <col min="13081" max="13081" width="7.25" style="255" customWidth="1"/>
    <col min="13082" max="13082" width="9.125" style="255" customWidth="1"/>
    <col min="13083" max="13083" width="15.125" style="255" customWidth="1"/>
    <col min="13084" max="13084" width="7.75" style="255" customWidth="1"/>
    <col min="13085" max="13085" width="7.125" style="255" customWidth="1"/>
    <col min="13086" max="13086" width="12.125" style="255" customWidth="1"/>
    <col min="13087" max="13087" width="8.25" style="255" customWidth="1"/>
    <col min="13088" max="13089" width="10.375" style="255" customWidth="1"/>
    <col min="13090" max="13090" width="15.625" style="255" customWidth="1"/>
    <col min="13091" max="13091" width="15.875" style="255" customWidth="1"/>
    <col min="13092" max="13092" width="8.125" style="255" customWidth="1"/>
    <col min="13093" max="13096" width="10.375" style="255" customWidth="1"/>
    <col min="13097" max="13097" width="7.25" style="255" customWidth="1"/>
    <col min="13098" max="13098" width="7.125" style="255" customWidth="1"/>
    <col min="13099" max="13099" width="9.5" style="255" customWidth="1"/>
    <col min="13100" max="13101" width="9" style="255" customWidth="1"/>
    <col min="13102" max="13102" width="16.125" style="255" customWidth="1"/>
    <col min="13103" max="13133" width="9" style="255" customWidth="1"/>
    <col min="13134" max="13293" width="25.25" style="255"/>
    <col min="13294" max="13323" width="9" style="255" customWidth="1"/>
    <col min="13324" max="13324" width="0.5" style="255" customWidth="1"/>
    <col min="13325" max="13325" width="25.25" style="255"/>
    <col min="13326" max="13326" width="0.5" style="255" customWidth="1"/>
    <col min="13327" max="13327" width="25.25" style="255"/>
    <col min="13328" max="13328" width="14.75" style="255" customWidth="1"/>
    <col min="13329" max="13329" width="11.5" style="255" customWidth="1"/>
    <col min="13330" max="13330" width="11.25" style="255" customWidth="1"/>
    <col min="13331" max="13331" width="10.75" style="255" customWidth="1"/>
    <col min="13332" max="13332" width="10" style="255" customWidth="1"/>
    <col min="13333" max="13333" width="9.875" style="255" customWidth="1"/>
    <col min="13334" max="13334" width="26.125" style="255" customWidth="1"/>
    <col min="13335" max="13335" width="11.125" style="255" customWidth="1"/>
    <col min="13336" max="13336" width="7.875" style="255" customWidth="1"/>
    <col min="13337" max="13337" width="7.25" style="255" customWidth="1"/>
    <col min="13338" max="13338" width="9.125" style="255" customWidth="1"/>
    <col min="13339" max="13339" width="15.125" style="255" customWidth="1"/>
    <col min="13340" max="13340" width="7.75" style="255" customWidth="1"/>
    <col min="13341" max="13341" width="7.125" style="255" customWidth="1"/>
    <col min="13342" max="13342" width="12.125" style="255" customWidth="1"/>
    <col min="13343" max="13343" width="8.25" style="255" customWidth="1"/>
    <col min="13344" max="13345" width="10.375" style="255" customWidth="1"/>
    <col min="13346" max="13346" width="15.625" style="255" customWidth="1"/>
    <col min="13347" max="13347" width="15.875" style="255" customWidth="1"/>
    <col min="13348" max="13348" width="8.125" style="255" customWidth="1"/>
    <col min="13349" max="13352" width="10.375" style="255" customWidth="1"/>
    <col min="13353" max="13353" width="7.25" style="255" customWidth="1"/>
    <col min="13354" max="13354" width="7.125" style="255" customWidth="1"/>
    <col min="13355" max="13355" width="9.5" style="255" customWidth="1"/>
    <col min="13356" max="13357" width="9" style="255" customWidth="1"/>
    <col min="13358" max="13358" width="16.125" style="255" customWidth="1"/>
    <col min="13359" max="13389" width="9" style="255" customWidth="1"/>
    <col min="13390" max="13549" width="25.25" style="255"/>
    <col min="13550" max="13579" width="9" style="255" customWidth="1"/>
    <col min="13580" max="13580" width="0.5" style="255" customWidth="1"/>
    <col min="13581" max="13581" width="25.25" style="255"/>
    <col min="13582" max="13582" width="0.5" style="255" customWidth="1"/>
    <col min="13583" max="13583" width="25.25" style="255"/>
    <col min="13584" max="13584" width="14.75" style="255" customWidth="1"/>
    <col min="13585" max="13585" width="11.5" style="255" customWidth="1"/>
    <col min="13586" max="13586" width="11.25" style="255" customWidth="1"/>
    <col min="13587" max="13587" width="10.75" style="255" customWidth="1"/>
    <col min="13588" max="13588" width="10" style="255" customWidth="1"/>
    <col min="13589" max="13589" width="9.875" style="255" customWidth="1"/>
    <col min="13590" max="13590" width="26.125" style="255" customWidth="1"/>
    <col min="13591" max="13591" width="11.125" style="255" customWidth="1"/>
    <col min="13592" max="13592" width="7.875" style="255" customWidth="1"/>
    <col min="13593" max="13593" width="7.25" style="255" customWidth="1"/>
    <col min="13594" max="13594" width="9.125" style="255" customWidth="1"/>
    <col min="13595" max="13595" width="15.125" style="255" customWidth="1"/>
    <col min="13596" max="13596" width="7.75" style="255" customWidth="1"/>
    <col min="13597" max="13597" width="7.125" style="255" customWidth="1"/>
    <col min="13598" max="13598" width="12.125" style="255" customWidth="1"/>
    <col min="13599" max="13599" width="8.25" style="255" customWidth="1"/>
    <col min="13600" max="13601" width="10.375" style="255" customWidth="1"/>
    <col min="13602" max="13602" width="15.625" style="255" customWidth="1"/>
    <col min="13603" max="13603" width="15.875" style="255" customWidth="1"/>
    <col min="13604" max="13604" width="8.125" style="255" customWidth="1"/>
    <col min="13605" max="13608" width="10.375" style="255" customWidth="1"/>
    <col min="13609" max="13609" width="7.25" style="255" customWidth="1"/>
    <col min="13610" max="13610" width="7.125" style="255" customWidth="1"/>
    <col min="13611" max="13611" width="9.5" style="255" customWidth="1"/>
    <col min="13612" max="13613" width="9" style="255" customWidth="1"/>
    <col min="13614" max="13614" width="16.125" style="255" customWidth="1"/>
    <col min="13615" max="13645" width="9" style="255" customWidth="1"/>
    <col min="13646" max="13805" width="25.25" style="255"/>
    <col min="13806" max="13835" width="9" style="255" customWidth="1"/>
    <col min="13836" max="13836" width="0.5" style="255" customWidth="1"/>
    <col min="13837" max="13837" width="25.25" style="255"/>
    <col min="13838" max="13838" width="0.5" style="255" customWidth="1"/>
    <col min="13839" max="13839" width="25.25" style="255"/>
    <col min="13840" max="13840" width="14.75" style="255" customWidth="1"/>
    <col min="13841" max="13841" width="11.5" style="255" customWidth="1"/>
    <col min="13842" max="13842" width="11.25" style="255" customWidth="1"/>
    <col min="13843" max="13843" width="10.75" style="255" customWidth="1"/>
    <col min="13844" max="13844" width="10" style="255" customWidth="1"/>
    <col min="13845" max="13845" width="9.875" style="255" customWidth="1"/>
    <col min="13846" max="13846" width="26.125" style="255" customWidth="1"/>
    <col min="13847" max="13847" width="11.125" style="255" customWidth="1"/>
    <col min="13848" max="13848" width="7.875" style="255" customWidth="1"/>
    <col min="13849" max="13849" width="7.25" style="255" customWidth="1"/>
    <col min="13850" max="13850" width="9.125" style="255" customWidth="1"/>
    <col min="13851" max="13851" width="15.125" style="255" customWidth="1"/>
    <col min="13852" max="13852" width="7.75" style="255" customWidth="1"/>
    <col min="13853" max="13853" width="7.125" style="255" customWidth="1"/>
    <col min="13854" max="13854" width="12.125" style="255" customWidth="1"/>
    <col min="13855" max="13855" width="8.25" style="255" customWidth="1"/>
    <col min="13856" max="13857" width="10.375" style="255" customWidth="1"/>
    <col min="13858" max="13858" width="15.625" style="255" customWidth="1"/>
    <col min="13859" max="13859" width="15.875" style="255" customWidth="1"/>
    <col min="13860" max="13860" width="8.125" style="255" customWidth="1"/>
    <col min="13861" max="13864" width="10.375" style="255" customWidth="1"/>
    <col min="13865" max="13865" width="7.25" style="255" customWidth="1"/>
    <col min="13866" max="13866" width="7.125" style="255" customWidth="1"/>
    <col min="13867" max="13867" width="9.5" style="255" customWidth="1"/>
    <col min="13868" max="13869" width="9" style="255" customWidth="1"/>
    <col min="13870" max="13870" width="16.125" style="255" customWidth="1"/>
    <col min="13871" max="13901" width="9" style="255" customWidth="1"/>
    <col min="13902" max="14061" width="25.25" style="255"/>
    <col min="14062" max="14091" width="9" style="255" customWidth="1"/>
    <col min="14092" max="14092" width="0.5" style="255" customWidth="1"/>
    <col min="14093" max="14093" width="25.25" style="255"/>
    <col min="14094" max="14094" width="0.5" style="255" customWidth="1"/>
    <col min="14095" max="14095" width="25.25" style="255"/>
    <col min="14096" max="14096" width="14.75" style="255" customWidth="1"/>
    <col min="14097" max="14097" width="11.5" style="255" customWidth="1"/>
    <col min="14098" max="14098" width="11.25" style="255" customWidth="1"/>
    <col min="14099" max="14099" width="10.75" style="255" customWidth="1"/>
    <col min="14100" max="14100" width="10" style="255" customWidth="1"/>
    <col min="14101" max="14101" width="9.875" style="255" customWidth="1"/>
    <col min="14102" max="14102" width="26.125" style="255" customWidth="1"/>
    <col min="14103" max="14103" width="11.125" style="255" customWidth="1"/>
    <col min="14104" max="14104" width="7.875" style="255" customWidth="1"/>
    <col min="14105" max="14105" width="7.25" style="255" customWidth="1"/>
    <col min="14106" max="14106" width="9.125" style="255" customWidth="1"/>
    <col min="14107" max="14107" width="15.125" style="255" customWidth="1"/>
    <col min="14108" max="14108" width="7.75" style="255" customWidth="1"/>
    <col min="14109" max="14109" width="7.125" style="255" customWidth="1"/>
    <col min="14110" max="14110" width="12.125" style="255" customWidth="1"/>
    <col min="14111" max="14111" width="8.25" style="255" customWidth="1"/>
    <col min="14112" max="14113" width="10.375" style="255" customWidth="1"/>
    <col min="14114" max="14114" width="15.625" style="255" customWidth="1"/>
    <col min="14115" max="14115" width="15.875" style="255" customWidth="1"/>
    <col min="14116" max="14116" width="8.125" style="255" customWidth="1"/>
    <col min="14117" max="14120" width="10.375" style="255" customWidth="1"/>
    <col min="14121" max="14121" width="7.25" style="255" customWidth="1"/>
    <col min="14122" max="14122" width="7.125" style="255" customWidth="1"/>
    <col min="14123" max="14123" width="9.5" style="255" customWidth="1"/>
    <col min="14124" max="14125" width="9" style="255" customWidth="1"/>
    <col min="14126" max="14126" width="16.125" style="255" customWidth="1"/>
    <col min="14127" max="14157" width="9" style="255" customWidth="1"/>
    <col min="14158" max="14317" width="25.25" style="255"/>
    <col min="14318" max="14347" width="9" style="255" customWidth="1"/>
    <col min="14348" max="14348" width="0.5" style="255" customWidth="1"/>
    <col min="14349" max="14349" width="25.25" style="255"/>
    <col min="14350" max="14350" width="0.5" style="255" customWidth="1"/>
    <col min="14351" max="14351" width="25.25" style="255"/>
    <col min="14352" max="14352" width="14.75" style="255" customWidth="1"/>
    <col min="14353" max="14353" width="11.5" style="255" customWidth="1"/>
    <col min="14354" max="14354" width="11.25" style="255" customWidth="1"/>
    <col min="14355" max="14355" width="10.75" style="255" customWidth="1"/>
    <col min="14356" max="14356" width="10" style="255" customWidth="1"/>
    <col min="14357" max="14357" width="9.875" style="255" customWidth="1"/>
    <col min="14358" max="14358" width="26.125" style="255" customWidth="1"/>
    <col min="14359" max="14359" width="11.125" style="255" customWidth="1"/>
    <col min="14360" max="14360" width="7.875" style="255" customWidth="1"/>
    <col min="14361" max="14361" width="7.25" style="255" customWidth="1"/>
    <col min="14362" max="14362" width="9.125" style="255" customWidth="1"/>
    <col min="14363" max="14363" width="15.125" style="255" customWidth="1"/>
    <col min="14364" max="14364" width="7.75" style="255" customWidth="1"/>
    <col min="14365" max="14365" width="7.125" style="255" customWidth="1"/>
    <col min="14366" max="14366" width="12.125" style="255" customWidth="1"/>
    <col min="14367" max="14367" width="8.25" style="255" customWidth="1"/>
    <col min="14368" max="14369" width="10.375" style="255" customWidth="1"/>
    <col min="14370" max="14370" width="15.625" style="255" customWidth="1"/>
    <col min="14371" max="14371" width="15.875" style="255" customWidth="1"/>
    <col min="14372" max="14372" width="8.125" style="255" customWidth="1"/>
    <col min="14373" max="14376" width="10.375" style="255" customWidth="1"/>
    <col min="14377" max="14377" width="7.25" style="255" customWidth="1"/>
    <col min="14378" max="14378" width="7.125" style="255" customWidth="1"/>
    <col min="14379" max="14379" width="9.5" style="255" customWidth="1"/>
    <col min="14380" max="14381" width="9" style="255" customWidth="1"/>
    <col min="14382" max="14382" width="16.125" style="255" customWidth="1"/>
    <col min="14383" max="14413" width="9" style="255" customWidth="1"/>
    <col min="14414" max="14573" width="25.25" style="255"/>
    <col min="14574" max="14603" width="9" style="255" customWidth="1"/>
    <col min="14604" max="14604" width="0.5" style="255" customWidth="1"/>
    <col min="14605" max="14605" width="25.25" style="255"/>
    <col min="14606" max="14606" width="0.5" style="255" customWidth="1"/>
    <col min="14607" max="14607" width="25.25" style="255"/>
    <col min="14608" max="14608" width="14.75" style="255" customWidth="1"/>
    <col min="14609" max="14609" width="11.5" style="255" customWidth="1"/>
    <col min="14610" max="14610" width="11.25" style="255" customWidth="1"/>
    <col min="14611" max="14611" width="10.75" style="255" customWidth="1"/>
    <col min="14612" max="14612" width="10" style="255" customWidth="1"/>
    <col min="14613" max="14613" width="9.875" style="255" customWidth="1"/>
    <col min="14614" max="14614" width="26.125" style="255" customWidth="1"/>
    <col min="14615" max="14615" width="11.125" style="255" customWidth="1"/>
    <col min="14616" max="14616" width="7.875" style="255" customWidth="1"/>
    <col min="14617" max="14617" width="7.25" style="255" customWidth="1"/>
    <col min="14618" max="14618" width="9.125" style="255" customWidth="1"/>
    <col min="14619" max="14619" width="15.125" style="255" customWidth="1"/>
    <col min="14620" max="14620" width="7.75" style="255" customWidth="1"/>
    <col min="14621" max="14621" width="7.125" style="255" customWidth="1"/>
    <col min="14622" max="14622" width="12.125" style="255" customWidth="1"/>
    <col min="14623" max="14623" width="8.25" style="255" customWidth="1"/>
    <col min="14624" max="14625" width="10.375" style="255" customWidth="1"/>
    <col min="14626" max="14626" width="15.625" style="255" customWidth="1"/>
    <col min="14627" max="14627" width="15.875" style="255" customWidth="1"/>
    <col min="14628" max="14628" width="8.125" style="255" customWidth="1"/>
    <col min="14629" max="14632" width="10.375" style="255" customWidth="1"/>
    <col min="14633" max="14633" width="7.25" style="255" customWidth="1"/>
    <col min="14634" max="14634" width="7.125" style="255" customWidth="1"/>
    <col min="14635" max="14635" width="9.5" style="255" customWidth="1"/>
    <col min="14636" max="14637" width="9" style="255" customWidth="1"/>
    <col min="14638" max="14638" width="16.125" style="255" customWidth="1"/>
    <col min="14639" max="14669" width="9" style="255" customWidth="1"/>
    <col min="14670" max="14829" width="25.25" style="255"/>
    <col min="14830" max="14859" width="9" style="255" customWidth="1"/>
    <col min="14860" max="14860" width="0.5" style="255" customWidth="1"/>
    <col min="14861" max="14861" width="25.25" style="255"/>
    <col min="14862" max="14862" width="0.5" style="255" customWidth="1"/>
    <col min="14863" max="14863" width="25.25" style="255"/>
    <col min="14864" max="14864" width="14.75" style="255" customWidth="1"/>
    <col min="14865" max="14865" width="11.5" style="255" customWidth="1"/>
    <col min="14866" max="14866" width="11.25" style="255" customWidth="1"/>
    <col min="14867" max="14867" width="10.75" style="255" customWidth="1"/>
    <col min="14868" max="14868" width="10" style="255" customWidth="1"/>
    <col min="14869" max="14869" width="9.875" style="255" customWidth="1"/>
    <col min="14870" max="14870" width="26.125" style="255" customWidth="1"/>
    <col min="14871" max="14871" width="11.125" style="255" customWidth="1"/>
    <col min="14872" max="14872" width="7.875" style="255" customWidth="1"/>
    <col min="14873" max="14873" width="7.25" style="255" customWidth="1"/>
    <col min="14874" max="14874" width="9.125" style="255" customWidth="1"/>
    <col min="14875" max="14875" width="15.125" style="255" customWidth="1"/>
    <col min="14876" max="14876" width="7.75" style="255" customWidth="1"/>
    <col min="14877" max="14877" width="7.125" style="255" customWidth="1"/>
    <col min="14878" max="14878" width="12.125" style="255" customWidth="1"/>
    <col min="14879" max="14879" width="8.25" style="255" customWidth="1"/>
    <col min="14880" max="14881" width="10.375" style="255" customWidth="1"/>
    <col min="14882" max="14882" width="15.625" style="255" customWidth="1"/>
    <col min="14883" max="14883" width="15.875" style="255" customWidth="1"/>
    <col min="14884" max="14884" width="8.125" style="255" customWidth="1"/>
    <col min="14885" max="14888" width="10.375" style="255" customWidth="1"/>
    <col min="14889" max="14889" width="7.25" style="255" customWidth="1"/>
    <col min="14890" max="14890" width="7.125" style="255" customWidth="1"/>
    <col min="14891" max="14891" width="9.5" style="255" customWidth="1"/>
    <col min="14892" max="14893" width="9" style="255" customWidth="1"/>
    <col min="14894" max="14894" width="16.125" style="255" customWidth="1"/>
    <col min="14895" max="14925" width="9" style="255" customWidth="1"/>
    <col min="14926" max="15085" width="25.25" style="255"/>
    <col min="15086" max="15115" width="9" style="255" customWidth="1"/>
    <col min="15116" max="15116" width="0.5" style="255" customWidth="1"/>
    <col min="15117" max="15117" width="25.25" style="255"/>
    <col min="15118" max="15118" width="0.5" style="255" customWidth="1"/>
    <col min="15119" max="15119" width="25.25" style="255"/>
    <col min="15120" max="15120" width="14.75" style="255" customWidth="1"/>
    <col min="15121" max="15121" width="11.5" style="255" customWidth="1"/>
    <col min="15122" max="15122" width="11.25" style="255" customWidth="1"/>
    <col min="15123" max="15123" width="10.75" style="255" customWidth="1"/>
    <col min="15124" max="15124" width="10" style="255" customWidth="1"/>
    <col min="15125" max="15125" width="9.875" style="255" customWidth="1"/>
    <col min="15126" max="15126" width="26.125" style="255" customWidth="1"/>
    <col min="15127" max="15127" width="11.125" style="255" customWidth="1"/>
    <col min="15128" max="15128" width="7.875" style="255" customWidth="1"/>
    <col min="15129" max="15129" width="7.25" style="255" customWidth="1"/>
    <col min="15130" max="15130" width="9.125" style="255" customWidth="1"/>
    <col min="15131" max="15131" width="15.125" style="255" customWidth="1"/>
    <col min="15132" max="15132" width="7.75" style="255" customWidth="1"/>
    <col min="15133" max="15133" width="7.125" style="255" customWidth="1"/>
    <col min="15134" max="15134" width="12.125" style="255" customWidth="1"/>
    <col min="15135" max="15135" width="8.25" style="255" customWidth="1"/>
    <col min="15136" max="15137" width="10.375" style="255" customWidth="1"/>
    <col min="15138" max="15138" width="15.625" style="255" customWidth="1"/>
    <col min="15139" max="15139" width="15.875" style="255" customWidth="1"/>
    <col min="15140" max="15140" width="8.125" style="255" customWidth="1"/>
    <col min="15141" max="15144" width="10.375" style="255" customWidth="1"/>
    <col min="15145" max="15145" width="7.25" style="255" customWidth="1"/>
    <col min="15146" max="15146" width="7.125" style="255" customWidth="1"/>
    <col min="15147" max="15147" width="9.5" style="255" customWidth="1"/>
    <col min="15148" max="15149" width="9" style="255" customWidth="1"/>
    <col min="15150" max="15150" width="16.125" style="255" customWidth="1"/>
    <col min="15151" max="15181" width="9" style="255" customWidth="1"/>
    <col min="15182" max="15341" width="25.25" style="255"/>
    <col min="15342" max="15371" width="9" style="255" customWidth="1"/>
    <col min="15372" max="15372" width="0.5" style="255" customWidth="1"/>
    <col min="15373" max="15373" width="25.25" style="255"/>
    <col min="15374" max="15374" width="0.5" style="255" customWidth="1"/>
    <col min="15375" max="15375" width="25.25" style="255"/>
    <col min="15376" max="15376" width="14.75" style="255" customWidth="1"/>
    <col min="15377" max="15377" width="11.5" style="255" customWidth="1"/>
    <col min="15378" max="15378" width="11.25" style="255" customWidth="1"/>
    <col min="15379" max="15379" width="10.75" style="255" customWidth="1"/>
    <col min="15380" max="15380" width="10" style="255" customWidth="1"/>
    <col min="15381" max="15381" width="9.875" style="255" customWidth="1"/>
    <col min="15382" max="15382" width="26.125" style="255" customWidth="1"/>
    <col min="15383" max="15383" width="11.125" style="255" customWidth="1"/>
    <col min="15384" max="15384" width="7.875" style="255" customWidth="1"/>
    <col min="15385" max="15385" width="7.25" style="255" customWidth="1"/>
    <col min="15386" max="15386" width="9.125" style="255" customWidth="1"/>
    <col min="15387" max="15387" width="15.125" style="255" customWidth="1"/>
    <col min="15388" max="15388" width="7.75" style="255" customWidth="1"/>
    <col min="15389" max="15389" width="7.125" style="255" customWidth="1"/>
    <col min="15390" max="15390" width="12.125" style="255" customWidth="1"/>
    <col min="15391" max="15391" width="8.25" style="255" customWidth="1"/>
    <col min="15392" max="15393" width="10.375" style="255" customWidth="1"/>
    <col min="15394" max="15394" width="15.625" style="255" customWidth="1"/>
    <col min="15395" max="15395" width="15.875" style="255" customWidth="1"/>
    <col min="15396" max="15396" width="8.125" style="255" customWidth="1"/>
    <col min="15397" max="15400" width="10.375" style="255" customWidth="1"/>
    <col min="15401" max="15401" width="7.25" style="255" customWidth="1"/>
    <col min="15402" max="15402" width="7.125" style="255" customWidth="1"/>
    <col min="15403" max="15403" width="9.5" style="255" customWidth="1"/>
    <col min="15404" max="15405" width="9" style="255" customWidth="1"/>
    <col min="15406" max="15406" width="16.125" style="255" customWidth="1"/>
    <col min="15407" max="15437" width="9" style="255" customWidth="1"/>
    <col min="15438" max="15597" width="25.25" style="255"/>
    <col min="15598" max="15627" width="9" style="255" customWidth="1"/>
    <col min="15628" max="15628" width="0.5" style="255" customWidth="1"/>
    <col min="15629" max="15629" width="25.25" style="255"/>
    <col min="15630" max="15630" width="0.5" style="255" customWidth="1"/>
    <col min="15631" max="15631" width="25.25" style="255"/>
    <col min="15632" max="15632" width="14.75" style="255" customWidth="1"/>
    <col min="15633" max="15633" width="11.5" style="255" customWidth="1"/>
    <col min="15634" max="15634" width="11.25" style="255" customWidth="1"/>
    <col min="15635" max="15635" width="10.75" style="255" customWidth="1"/>
    <col min="15636" max="15636" width="10" style="255" customWidth="1"/>
    <col min="15637" max="15637" width="9.875" style="255" customWidth="1"/>
    <col min="15638" max="15638" width="26.125" style="255" customWidth="1"/>
    <col min="15639" max="15639" width="11.125" style="255" customWidth="1"/>
    <col min="15640" max="15640" width="7.875" style="255" customWidth="1"/>
    <col min="15641" max="15641" width="7.25" style="255" customWidth="1"/>
    <col min="15642" max="15642" width="9.125" style="255" customWidth="1"/>
    <col min="15643" max="15643" width="15.125" style="255" customWidth="1"/>
    <col min="15644" max="15644" width="7.75" style="255" customWidth="1"/>
    <col min="15645" max="15645" width="7.125" style="255" customWidth="1"/>
    <col min="15646" max="15646" width="12.125" style="255" customWidth="1"/>
    <col min="15647" max="15647" width="8.25" style="255" customWidth="1"/>
    <col min="15648" max="15649" width="10.375" style="255" customWidth="1"/>
    <col min="15650" max="15650" width="15.625" style="255" customWidth="1"/>
    <col min="15651" max="15651" width="15.875" style="255" customWidth="1"/>
    <col min="15652" max="15652" width="8.125" style="255" customWidth="1"/>
    <col min="15653" max="15656" width="10.375" style="255" customWidth="1"/>
    <col min="15657" max="15657" width="7.25" style="255" customWidth="1"/>
    <col min="15658" max="15658" width="7.125" style="255" customWidth="1"/>
    <col min="15659" max="15659" width="9.5" style="255" customWidth="1"/>
    <col min="15660" max="15661" width="9" style="255" customWidth="1"/>
    <col min="15662" max="15662" width="16.125" style="255" customWidth="1"/>
    <col min="15663" max="15693" width="9" style="255" customWidth="1"/>
    <col min="15694" max="15853" width="25.25" style="255"/>
    <col min="15854" max="15883" width="9" style="255" customWidth="1"/>
    <col min="15884" max="15884" width="0.5" style="255" customWidth="1"/>
    <col min="15885" max="15885" width="25.25" style="255"/>
    <col min="15886" max="15886" width="0.5" style="255" customWidth="1"/>
    <col min="15887" max="15887" width="25.25" style="255"/>
    <col min="15888" max="15888" width="14.75" style="255" customWidth="1"/>
    <col min="15889" max="15889" width="11.5" style="255" customWidth="1"/>
    <col min="15890" max="15890" width="11.25" style="255" customWidth="1"/>
    <col min="15891" max="15891" width="10.75" style="255" customWidth="1"/>
    <col min="15892" max="15892" width="10" style="255" customWidth="1"/>
    <col min="15893" max="15893" width="9.875" style="255" customWidth="1"/>
    <col min="15894" max="15894" width="26.125" style="255" customWidth="1"/>
    <col min="15895" max="15895" width="11.125" style="255" customWidth="1"/>
    <col min="15896" max="15896" width="7.875" style="255" customWidth="1"/>
    <col min="15897" max="15897" width="7.25" style="255" customWidth="1"/>
    <col min="15898" max="15898" width="9.125" style="255" customWidth="1"/>
    <col min="15899" max="15899" width="15.125" style="255" customWidth="1"/>
    <col min="15900" max="15900" width="7.75" style="255" customWidth="1"/>
    <col min="15901" max="15901" width="7.125" style="255" customWidth="1"/>
    <col min="15902" max="15902" width="12.125" style="255" customWidth="1"/>
    <col min="15903" max="15903" width="8.25" style="255" customWidth="1"/>
    <col min="15904" max="15905" width="10.375" style="255" customWidth="1"/>
    <col min="15906" max="15906" width="15.625" style="255" customWidth="1"/>
    <col min="15907" max="15907" width="15.875" style="255" customWidth="1"/>
    <col min="15908" max="15908" width="8.125" style="255" customWidth="1"/>
    <col min="15909" max="15912" width="10.375" style="255" customWidth="1"/>
    <col min="15913" max="15913" width="7.25" style="255" customWidth="1"/>
    <col min="15914" max="15914" width="7.125" style="255" customWidth="1"/>
    <col min="15915" max="15915" width="9.5" style="255" customWidth="1"/>
    <col min="15916" max="15917" width="9" style="255" customWidth="1"/>
    <col min="15918" max="15918" width="16.125" style="255" customWidth="1"/>
    <col min="15919" max="15949" width="9" style="255" customWidth="1"/>
    <col min="15950" max="16109" width="25.25" style="255"/>
    <col min="16110" max="16139" width="9" style="255" customWidth="1"/>
    <col min="16140" max="16140" width="0.5" style="255" customWidth="1"/>
    <col min="16141" max="16384" width="25.25" style="255"/>
  </cols>
  <sheetData>
    <row r="1" spans="1:16" ht="14.25" thickBot="1"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1"/>
      <c r="O1" s="1"/>
      <c r="P1" s="1"/>
    </row>
    <row r="2" spans="1:16" ht="18" customHeight="1">
      <c r="A2" s="5"/>
      <c r="B2" s="6" t="s">
        <v>402</v>
      </c>
      <c r="C2" s="259"/>
      <c r="D2" s="259" t="s">
        <v>9</v>
      </c>
      <c r="E2" s="259" t="s">
        <v>10</v>
      </c>
      <c r="F2" s="661" t="s">
        <v>11</v>
      </c>
      <c r="G2" s="661"/>
      <c r="H2" s="661"/>
      <c r="I2" s="662" t="s">
        <v>12</v>
      </c>
      <c r="J2" s="664" t="s">
        <v>13</v>
      </c>
      <c r="K2" s="665"/>
      <c r="L2" s="665"/>
      <c r="M2" s="666"/>
      <c r="N2" s="8"/>
      <c r="O2" s="8"/>
      <c r="P2" s="8"/>
    </row>
    <row r="3" spans="1:16" ht="18" customHeight="1">
      <c r="B3" s="9" t="s">
        <v>14</v>
      </c>
      <c r="C3" s="10" t="s">
        <v>15</v>
      </c>
      <c r="D3" s="10" t="s">
        <v>16</v>
      </c>
      <c r="E3" s="10" t="s">
        <v>17</v>
      </c>
      <c r="F3" s="10" t="s">
        <v>7</v>
      </c>
      <c r="G3" s="10" t="s">
        <v>5</v>
      </c>
      <c r="H3" s="10" t="s">
        <v>18</v>
      </c>
      <c r="I3" s="663"/>
      <c r="J3" s="11" t="s">
        <v>19</v>
      </c>
      <c r="K3" s="12" t="s">
        <v>20</v>
      </c>
      <c r="L3" s="12" t="s">
        <v>21</v>
      </c>
      <c r="M3" s="13" t="s">
        <v>22</v>
      </c>
      <c r="N3" s="14"/>
      <c r="P3" s="15"/>
    </row>
    <row r="4" spans="1:16" ht="18" customHeight="1">
      <c r="B4" s="667" t="str">
        <f ca="1">MID(CELL("filename",Q13),FIND("]",CELL("filename",Q13))+1,30)</f>
        <v>MLC2124</v>
      </c>
      <c r="C4" s="17" t="s">
        <v>23</v>
      </c>
      <c r="D4" s="17">
        <v>2100</v>
      </c>
      <c r="E4" s="17">
        <v>2400</v>
      </c>
      <c r="F4" s="222">
        <f>D4*E4/10^6</f>
        <v>5.04</v>
      </c>
      <c r="G4" s="17">
        <v>1</v>
      </c>
      <c r="H4" s="17">
        <f>F4*G4</f>
        <v>5.04</v>
      </c>
      <c r="I4" s="663"/>
      <c r="J4" s="19">
        <v>40</v>
      </c>
      <c r="K4" s="20">
        <v>20</v>
      </c>
      <c r="L4" s="21">
        <v>1.5</v>
      </c>
      <c r="M4" s="22">
        <f t="shared" ref="M4:M11" si="0">ROUND(((J4*K4)-(J4-2*L4)*(K4-2*L4))*7.8/1000,3)</f>
        <v>1.3340000000000001</v>
      </c>
    </row>
    <row r="5" spans="1:16" ht="18" customHeight="1">
      <c r="B5" s="668"/>
      <c r="C5" s="221" t="s">
        <v>299</v>
      </c>
      <c r="D5" s="221">
        <f>D4-70</f>
        <v>2030</v>
      </c>
      <c r="E5" s="221">
        <f>E4-70</f>
        <v>2330</v>
      </c>
      <c r="F5" s="222">
        <f>D5*E5/10^6</f>
        <v>4.7298999999999998</v>
      </c>
      <c r="G5" s="221">
        <v>1</v>
      </c>
      <c r="H5" s="222">
        <f>F5*G5</f>
        <v>4.7298999999999998</v>
      </c>
      <c r="I5" s="663"/>
      <c r="J5" s="19">
        <v>40</v>
      </c>
      <c r="K5" s="20">
        <v>20</v>
      </c>
      <c r="L5" s="21">
        <v>2</v>
      </c>
      <c r="M5" s="22">
        <f t="shared" si="0"/>
        <v>1.7470000000000001</v>
      </c>
    </row>
    <row r="6" spans="1:16" ht="18" customHeight="1">
      <c r="B6" s="669"/>
      <c r="C6" s="17" t="s">
        <v>24</v>
      </c>
      <c r="D6" s="17">
        <f>D4-80</f>
        <v>2020</v>
      </c>
      <c r="E6" s="17">
        <f>E4-80</f>
        <v>2320</v>
      </c>
      <c r="F6" s="18">
        <f>D6*E6/10^6</f>
        <v>4.6863999999999999</v>
      </c>
      <c r="G6" s="17">
        <v>1</v>
      </c>
      <c r="H6" s="18">
        <f>F6*G6</f>
        <v>4.6863999999999999</v>
      </c>
      <c r="I6" s="663"/>
      <c r="J6" s="19">
        <v>40</v>
      </c>
      <c r="K6" s="20">
        <v>20</v>
      </c>
      <c r="L6" s="21">
        <v>2</v>
      </c>
      <c r="M6" s="22">
        <f t="shared" si="0"/>
        <v>1.7470000000000001</v>
      </c>
    </row>
    <row r="7" spans="1:16" ht="18" customHeight="1">
      <c r="B7" s="23" t="s">
        <v>25</v>
      </c>
      <c r="C7" s="261" t="s">
        <v>16</v>
      </c>
      <c r="D7" s="261" t="s">
        <v>26</v>
      </c>
      <c r="E7" s="261" t="s">
        <v>17</v>
      </c>
      <c r="F7" s="261" t="s">
        <v>27</v>
      </c>
      <c r="G7" s="261" t="s">
        <v>22</v>
      </c>
      <c r="H7" s="261" t="s">
        <v>28</v>
      </c>
      <c r="I7" s="25" t="s">
        <v>29</v>
      </c>
      <c r="J7" s="19">
        <v>80</v>
      </c>
      <c r="K7" s="20">
        <v>40</v>
      </c>
      <c r="L7" s="21">
        <v>2</v>
      </c>
      <c r="M7" s="22">
        <f t="shared" si="0"/>
        <v>3.6190000000000002</v>
      </c>
    </row>
    <row r="8" spans="1:16" ht="18" customHeight="1">
      <c r="B8" s="260" t="s">
        <v>30</v>
      </c>
      <c r="C8" s="27">
        <f>D4-30</f>
        <v>2070</v>
      </c>
      <c r="D8" s="27">
        <v>2</v>
      </c>
      <c r="E8" s="27">
        <f>E4-30</f>
        <v>2370</v>
      </c>
      <c r="F8" s="27">
        <v>2</v>
      </c>
      <c r="G8" s="28">
        <v>1.7470000000000001</v>
      </c>
      <c r="H8" s="29">
        <f>材料价格!B3</f>
        <v>7.5</v>
      </c>
      <c r="I8" s="30">
        <f>ROUND((C8*D8+E8*F8)*G8*H8/1000*1.1,2)</f>
        <v>127.99</v>
      </c>
      <c r="J8" s="19">
        <v>40</v>
      </c>
      <c r="K8" s="20">
        <v>20</v>
      </c>
      <c r="L8" s="21">
        <v>1.4</v>
      </c>
      <c r="M8" s="22">
        <f>ROUND(((J8*K8)-(J8-2*L8)*(K8-2*L8))*2.71/1000,3)</f>
        <v>0.434</v>
      </c>
    </row>
    <row r="9" spans="1:16" ht="18" customHeight="1">
      <c r="B9" s="260" t="s">
        <v>30</v>
      </c>
      <c r="C9" s="262"/>
      <c r="D9" s="262"/>
      <c r="E9" s="262"/>
      <c r="F9" s="262"/>
      <c r="G9" s="28">
        <v>1.7470000000000001</v>
      </c>
      <c r="H9" s="32">
        <f>H8</f>
        <v>7.5</v>
      </c>
      <c r="I9" s="30">
        <f>ROUND((C9*D9+E9*F9)*G9*H9/1000*1.1,2)</f>
        <v>0</v>
      </c>
      <c r="J9" s="19"/>
      <c r="K9" s="20"/>
      <c r="L9" s="21"/>
      <c r="M9" s="22">
        <f t="shared" si="0"/>
        <v>0</v>
      </c>
    </row>
    <row r="10" spans="1:16" ht="18" customHeight="1">
      <c r="B10" s="260" t="s">
        <v>31</v>
      </c>
      <c r="C10" s="262"/>
      <c r="D10" s="262"/>
      <c r="E10" s="262"/>
      <c r="F10" s="262"/>
      <c r="G10" s="28">
        <v>3.6190000000000002</v>
      </c>
      <c r="H10" s="32">
        <f>H9</f>
        <v>7.5</v>
      </c>
      <c r="I10" s="30">
        <f>ROUND((C10*D10+E10*F10)*G10*H10/1000*1.1,2)</f>
        <v>0</v>
      </c>
      <c r="J10" s="19"/>
      <c r="K10" s="20"/>
      <c r="L10" s="12"/>
      <c r="M10" s="22">
        <f t="shared" si="0"/>
        <v>0</v>
      </c>
    </row>
    <row r="11" spans="1:16" ht="18" customHeight="1" thickBot="1">
      <c r="B11" s="260" t="s">
        <v>32</v>
      </c>
      <c r="C11" s="262"/>
      <c r="D11" s="262"/>
      <c r="E11" s="262"/>
      <c r="F11" s="262"/>
      <c r="G11" s="28">
        <v>2.9950000000000001</v>
      </c>
      <c r="H11" s="32">
        <f>H10</f>
        <v>7.5</v>
      </c>
      <c r="I11" s="30">
        <f>ROUND((C11*D11+E11*F11)*G11*H11/1000*1.1,2)</f>
        <v>0</v>
      </c>
      <c r="J11" s="33"/>
      <c r="K11" s="34"/>
      <c r="L11" s="35"/>
      <c r="M11" s="36">
        <f t="shared" si="0"/>
        <v>0</v>
      </c>
    </row>
    <row r="12" spans="1:16" ht="18" customHeight="1">
      <c r="B12" s="37" t="s">
        <v>33</v>
      </c>
      <c r="C12" s="38">
        <f>((I9+I10+I8+I11)/H8)/F4</f>
        <v>3.3859788359788356</v>
      </c>
      <c r="D12" s="39" t="s">
        <v>34</v>
      </c>
      <c r="E12" s="38">
        <f>(I9+I10+I8+I11)/F4</f>
        <v>25.394841269841269</v>
      </c>
      <c r="F12" s="40" t="s">
        <v>35</v>
      </c>
      <c r="G12" s="39"/>
      <c r="H12" s="39">
        <f>ROUND(SUM(I8:I11)/H8,2)</f>
        <v>17.07</v>
      </c>
      <c r="I12" s="41">
        <f>SUM(I8:I11)</f>
        <v>127.99</v>
      </c>
      <c r="J12" s="42"/>
    </row>
    <row r="13" spans="1:16" ht="18" customHeight="1">
      <c r="B13" s="23" t="s">
        <v>36</v>
      </c>
      <c r="C13" s="261" t="s">
        <v>14</v>
      </c>
      <c r="D13" s="261" t="s">
        <v>37</v>
      </c>
      <c r="E13" s="261" t="s">
        <v>38</v>
      </c>
      <c r="F13" s="261" t="s">
        <v>39</v>
      </c>
      <c r="G13" s="261" t="s">
        <v>8</v>
      </c>
      <c r="H13" s="261" t="s">
        <v>22</v>
      </c>
      <c r="I13" s="25" t="s">
        <v>40</v>
      </c>
    </row>
    <row r="14" spans="1:16" ht="18" customHeight="1">
      <c r="B14" s="648" t="s">
        <v>41</v>
      </c>
      <c r="C14" s="649" t="s">
        <v>404</v>
      </c>
      <c r="D14" s="262">
        <f>D6-D108</f>
        <v>1020</v>
      </c>
      <c r="E14" s="262">
        <f>E6</f>
        <v>2320</v>
      </c>
      <c r="F14" s="44">
        <f>ROUND((D14+E14)*2/1000,4)</f>
        <v>6.68</v>
      </c>
      <c r="G14" s="262">
        <v>1</v>
      </c>
      <c r="H14" s="262">
        <v>1.47</v>
      </c>
      <c r="I14" s="284">
        <f>ROUND(F14*G14*H14,3)*1.5</f>
        <v>14.73</v>
      </c>
      <c r="J14" s="42"/>
      <c r="K14" s="46"/>
      <c r="L14" s="46"/>
      <c r="M14" s="42"/>
    </row>
    <row r="15" spans="1:16" ht="18" customHeight="1">
      <c r="B15" s="648"/>
      <c r="C15" s="650"/>
      <c r="D15" s="262"/>
      <c r="E15" s="262"/>
      <c r="F15" s="44">
        <f t="shared" ref="F15:F21" si="1">ROUND((D15+E15)*2/1000,4)</f>
        <v>0</v>
      </c>
      <c r="G15" s="262"/>
      <c r="H15" s="262">
        <f t="shared" ref="H15:H21" si="2">H14</f>
        <v>1.47</v>
      </c>
      <c r="I15" s="267">
        <f t="shared" ref="I15:I21" si="3">ROUND(F15*G15*H15,3)</f>
        <v>0</v>
      </c>
      <c r="K15" s="47"/>
      <c r="M15" s="255"/>
    </row>
    <row r="16" spans="1:16" ht="18" customHeight="1">
      <c r="B16" s="648"/>
      <c r="C16" s="650"/>
      <c r="D16" s="262"/>
      <c r="E16" s="262"/>
      <c r="F16" s="44">
        <f t="shared" si="1"/>
        <v>0</v>
      </c>
      <c r="G16" s="262"/>
      <c r="H16" s="262">
        <f t="shared" si="2"/>
        <v>1.47</v>
      </c>
      <c r="I16" s="267">
        <f t="shared" si="3"/>
        <v>0</v>
      </c>
      <c r="K16" s="47"/>
      <c r="L16" s="46"/>
      <c r="M16" s="42"/>
    </row>
    <row r="17" spans="2:15" ht="18" customHeight="1">
      <c r="B17" s="648"/>
      <c r="C17" s="650"/>
      <c r="D17" s="262"/>
      <c r="E17" s="262"/>
      <c r="F17" s="44">
        <f t="shared" si="1"/>
        <v>0</v>
      </c>
      <c r="G17" s="262"/>
      <c r="H17" s="262">
        <f t="shared" si="2"/>
        <v>1.47</v>
      </c>
      <c r="I17" s="267">
        <f t="shared" si="3"/>
        <v>0</v>
      </c>
      <c r="K17" s="47"/>
      <c r="M17" s="42"/>
    </row>
    <row r="18" spans="2:15" ht="18" customHeight="1">
      <c r="B18" s="648"/>
      <c r="C18" s="650"/>
      <c r="D18" s="262"/>
      <c r="E18" s="262"/>
      <c r="F18" s="44">
        <f t="shared" si="1"/>
        <v>0</v>
      </c>
      <c r="G18" s="262"/>
      <c r="H18" s="262">
        <f t="shared" si="2"/>
        <v>1.47</v>
      </c>
      <c r="I18" s="267">
        <f t="shared" si="3"/>
        <v>0</v>
      </c>
      <c r="M18" s="42"/>
    </row>
    <row r="19" spans="2:15" ht="18" customHeight="1">
      <c r="B19" s="648"/>
      <c r="C19" s="650"/>
      <c r="D19" s="262"/>
      <c r="E19" s="262"/>
      <c r="F19" s="44">
        <f t="shared" si="1"/>
        <v>0</v>
      </c>
      <c r="G19" s="262"/>
      <c r="H19" s="262">
        <f t="shared" si="2"/>
        <v>1.47</v>
      </c>
      <c r="I19" s="267">
        <f t="shared" si="3"/>
        <v>0</v>
      </c>
      <c r="M19" s="42"/>
    </row>
    <row r="20" spans="2:15" ht="18" customHeight="1">
      <c r="B20" s="648"/>
      <c r="C20" s="650"/>
      <c r="D20" s="262"/>
      <c r="E20" s="262"/>
      <c r="F20" s="44">
        <f t="shared" si="1"/>
        <v>0</v>
      </c>
      <c r="G20" s="262"/>
      <c r="H20" s="262">
        <f t="shared" si="2"/>
        <v>1.47</v>
      </c>
      <c r="I20" s="267">
        <f t="shared" si="3"/>
        <v>0</v>
      </c>
      <c r="K20" s="47"/>
      <c r="M20" s="42"/>
    </row>
    <row r="21" spans="2:15" ht="18" customHeight="1">
      <c r="B21" s="648"/>
      <c r="C21" s="651"/>
      <c r="D21" s="262"/>
      <c r="E21" s="262"/>
      <c r="F21" s="44">
        <f t="shared" si="1"/>
        <v>0</v>
      </c>
      <c r="G21" s="262"/>
      <c r="H21" s="262">
        <f t="shared" si="2"/>
        <v>1.47</v>
      </c>
      <c r="I21" s="267">
        <f t="shared" si="3"/>
        <v>0</v>
      </c>
    </row>
    <row r="22" spans="2:15" ht="18" customHeight="1">
      <c r="B22" s="48" t="s">
        <v>42</v>
      </c>
      <c r="C22" s="49">
        <f>SUMPRODUCT(F14:F21*G14:G21)</f>
        <v>6.68</v>
      </c>
      <c r="D22" s="50" t="s">
        <v>43</v>
      </c>
      <c r="E22" s="49">
        <f>SUM(I14:I21)*1.1</f>
        <v>16.203000000000003</v>
      </c>
      <c r="F22" s="50" t="s">
        <v>44</v>
      </c>
      <c r="G22" s="51">
        <f>(C$218+C$219)/1000</f>
        <v>46.081499999999998</v>
      </c>
      <c r="H22" s="52" t="s">
        <v>45</v>
      </c>
      <c r="I22" s="53">
        <f>ROUND(E22*G22,2)</f>
        <v>746.66</v>
      </c>
      <c r="J22" s="243">
        <f>SUM(G14:G21)</f>
        <v>1</v>
      </c>
    </row>
    <row r="23" spans="2:15" ht="18" customHeight="1">
      <c r="B23" s="48" t="s">
        <v>46</v>
      </c>
      <c r="C23" s="50">
        <v>207.36</v>
      </c>
      <c r="D23" s="50" t="s">
        <v>47</v>
      </c>
      <c r="E23" s="49">
        <f>ROUND(C22*(C23/1000),2)</f>
        <v>1.39</v>
      </c>
      <c r="F23" s="50" t="s">
        <v>48</v>
      </c>
      <c r="G23" s="50">
        <v>10</v>
      </c>
      <c r="H23" s="52" t="s">
        <v>49</v>
      </c>
      <c r="I23" s="53">
        <f>E23*G23</f>
        <v>13.899999999999999</v>
      </c>
    </row>
    <row r="24" spans="2:15" ht="18" customHeight="1" thickBot="1">
      <c r="B24" s="48" t="s">
        <v>50</v>
      </c>
      <c r="C24" s="50">
        <v>169.96</v>
      </c>
      <c r="D24" s="50" t="s">
        <v>51</v>
      </c>
      <c r="E24" s="49">
        <f>ROUND(C22*(C24/1000),2)</f>
        <v>1.1399999999999999</v>
      </c>
      <c r="F24" s="50" t="s">
        <v>48</v>
      </c>
      <c r="G24" s="50">
        <v>10</v>
      </c>
      <c r="H24" s="52" t="s">
        <v>49</v>
      </c>
      <c r="I24" s="53">
        <f>E24*G24</f>
        <v>11.399999999999999</v>
      </c>
    </row>
    <row r="25" spans="2:15" ht="18" customHeight="1">
      <c r="B25" s="23" t="s">
        <v>36</v>
      </c>
      <c r="C25" s="261" t="s">
        <v>14</v>
      </c>
      <c r="D25" s="261" t="s">
        <v>37</v>
      </c>
      <c r="E25" s="261" t="s">
        <v>38</v>
      </c>
      <c r="F25" s="261" t="s">
        <v>39</v>
      </c>
      <c r="G25" s="261" t="s">
        <v>8</v>
      </c>
      <c r="H25" s="261" t="s">
        <v>22</v>
      </c>
      <c r="I25" s="25" t="s">
        <v>40</v>
      </c>
      <c r="J25" s="54" t="s">
        <v>2</v>
      </c>
      <c r="K25" s="55" t="s">
        <v>3</v>
      </c>
      <c r="L25" s="55" t="s">
        <v>52</v>
      </c>
      <c r="M25" s="55" t="s">
        <v>53</v>
      </c>
      <c r="N25" s="56" t="s">
        <v>14</v>
      </c>
    </row>
    <row r="26" spans="2:15" ht="18" customHeight="1">
      <c r="B26" s="648" t="s">
        <v>54</v>
      </c>
      <c r="C26" s="649" t="s">
        <v>55</v>
      </c>
      <c r="D26" s="263">
        <f>J26-IF(L26=1,44,IF(L26=2,30,IF(L26=3,16,0)))</f>
        <v>0</v>
      </c>
      <c r="E26" s="263">
        <f>K26-IF(M26=1,44,IF(M26=2,30,IF(M26=3,16,0)))</f>
        <v>0</v>
      </c>
      <c r="F26" s="44">
        <f>ROUND((D26+E26)*2/1000,4)</f>
        <v>0</v>
      </c>
      <c r="G26" s="262"/>
      <c r="H26" s="58">
        <v>1.62</v>
      </c>
      <c r="I26" s="59">
        <f>IF(AND(D26&gt;0,E26&gt;0,F26&gt;0),F26*G26*H26,0)</f>
        <v>0</v>
      </c>
      <c r="J26" s="60"/>
      <c r="K26" s="61"/>
      <c r="L26" s="61"/>
      <c r="M26" s="61"/>
      <c r="N26" s="62" t="s">
        <v>56</v>
      </c>
      <c r="O26" s="63" t="s">
        <v>57</v>
      </c>
    </row>
    <row r="27" spans="2:15" ht="18" customHeight="1">
      <c r="B27" s="648"/>
      <c r="C27" s="650"/>
      <c r="D27" s="263">
        <f t="shared" ref="D27:E30" si="4">J27-IF(L27=1,44,IF(L27=2,30,IF(L27=3,16,0)))</f>
        <v>0</v>
      </c>
      <c r="E27" s="263">
        <f t="shared" si="4"/>
        <v>0</v>
      </c>
      <c r="F27" s="44">
        <f>ROUND((D27+E27)*2/1000,4)</f>
        <v>0</v>
      </c>
      <c r="G27" s="262"/>
      <c r="H27" s="58">
        <f>H26</f>
        <v>1.62</v>
      </c>
      <c r="I27" s="59">
        <f>IF(AND(D27&gt;0,E27&gt;0,F27&gt;0),F27*G27*H27,0)</f>
        <v>0</v>
      </c>
      <c r="J27" s="60"/>
      <c r="K27" s="61"/>
      <c r="L27" s="61"/>
      <c r="M27" s="61"/>
      <c r="N27" s="62" t="s">
        <v>58</v>
      </c>
      <c r="O27" s="63" t="s">
        <v>59</v>
      </c>
    </row>
    <row r="28" spans="2:15" ht="18" customHeight="1">
      <c r="B28" s="648"/>
      <c r="C28" s="650"/>
      <c r="D28" s="263">
        <f t="shared" si="4"/>
        <v>0</v>
      </c>
      <c r="E28" s="263">
        <f t="shared" si="4"/>
        <v>0</v>
      </c>
      <c r="F28" s="44">
        <f>ROUND((D28+E28)*2/1000,4)</f>
        <v>0</v>
      </c>
      <c r="G28" s="262"/>
      <c r="H28" s="58">
        <f>H27</f>
        <v>1.62</v>
      </c>
      <c r="I28" s="59">
        <f>IF(AND(D28&gt;0,E28&gt;0,F28&gt;0),F28*G28*H28,0)</f>
        <v>0</v>
      </c>
      <c r="J28" s="60"/>
      <c r="K28" s="61"/>
      <c r="L28" s="61"/>
      <c r="M28" s="61"/>
      <c r="N28" s="62" t="s">
        <v>60</v>
      </c>
      <c r="O28" s="63" t="s">
        <v>59</v>
      </c>
    </row>
    <row r="29" spans="2:15" ht="18" customHeight="1">
      <c r="B29" s="648"/>
      <c r="C29" s="650"/>
      <c r="D29" s="263">
        <f t="shared" si="4"/>
        <v>0</v>
      </c>
      <c r="E29" s="263">
        <f t="shared" si="4"/>
        <v>0</v>
      </c>
      <c r="F29" s="44">
        <f>ROUND((D29+E29)*2/1000,4)</f>
        <v>0</v>
      </c>
      <c r="G29" s="262"/>
      <c r="H29" s="58">
        <f>H28</f>
        <v>1.62</v>
      </c>
      <c r="I29" s="59">
        <f>IF(AND(D29&gt;0,E29&gt;0,F29&gt;0),F29*G29*H29,0)</f>
        <v>0</v>
      </c>
      <c r="J29" s="60"/>
      <c r="K29" s="61"/>
      <c r="L29" s="61"/>
      <c r="M29" s="61"/>
      <c r="N29" s="62"/>
    </row>
    <row r="30" spans="2:15" ht="18" customHeight="1" thickBot="1">
      <c r="B30" s="648"/>
      <c r="C30" s="651"/>
      <c r="D30" s="263">
        <f t="shared" si="4"/>
        <v>0</v>
      </c>
      <c r="E30" s="263">
        <f t="shared" si="4"/>
        <v>0</v>
      </c>
      <c r="F30" s="44">
        <f>ROUND((D30+E30)*2/1000,4)</f>
        <v>0</v>
      </c>
      <c r="G30" s="262"/>
      <c r="H30" s="58">
        <f>H29</f>
        <v>1.62</v>
      </c>
      <c r="I30" s="59">
        <f>IF(AND(D30&gt;0,E30&gt;0,F30&gt;0),F30*G30*H30,0)</f>
        <v>0</v>
      </c>
      <c r="J30" s="64"/>
      <c r="K30" s="65"/>
      <c r="L30" s="65"/>
      <c r="M30" s="65"/>
      <c r="N30" s="66"/>
    </row>
    <row r="31" spans="2:15" ht="18" customHeight="1">
      <c r="B31" s="48" t="s">
        <v>42</v>
      </c>
      <c r="C31" s="49">
        <f>SUMPRODUCT(F26:F30*G26:G30)</f>
        <v>0</v>
      </c>
      <c r="D31" s="50" t="s">
        <v>43</v>
      </c>
      <c r="E31" s="49">
        <f>SUM(I26:I30)*1.1</f>
        <v>0</v>
      </c>
      <c r="F31" s="50" t="s">
        <v>44</v>
      </c>
      <c r="G31" s="51">
        <f>(C$218+C$221)/1000</f>
        <v>46.081499999999998</v>
      </c>
      <c r="H31" s="52" t="s">
        <v>45</v>
      </c>
      <c r="I31" s="53">
        <f>ROUND(E31*G31,2)</f>
        <v>0</v>
      </c>
      <c r="J31" s="243">
        <f>SUM(G26:G30)</f>
        <v>0</v>
      </c>
    </row>
    <row r="32" spans="2:15" ht="18" customHeight="1">
      <c r="B32" s="48" t="s">
        <v>46</v>
      </c>
      <c r="C32" s="50">
        <v>183.32</v>
      </c>
      <c r="D32" s="50" t="s">
        <v>47</v>
      </c>
      <c r="E32" s="49">
        <f>ROUND(C31*(C32/1000),2)</f>
        <v>0</v>
      </c>
      <c r="F32" s="50" t="s">
        <v>48</v>
      </c>
      <c r="G32" s="50">
        <f>G$23</f>
        <v>10</v>
      </c>
      <c r="H32" s="52" t="s">
        <v>49</v>
      </c>
      <c r="I32" s="53">
        <f>E32*G32</f>
        <v>0</v>
      </c>
    </row>
    <row r="33" spans="2:14" ht="18" customHeight="1" thickBot="1">
      <c r="B33" s="48" t="s">
        <v>50</v>
      </c>
      <c r="C33" s="50">
        <v>257.82</v>
      </c>
      <c r="D33" s="50" t="s">
        <v>51</v>
      </c>
      <c r="E33" s="49">
        <f>ROUND(C31*(C33/1000),2)</f>
        <v>0</v>
      </c>
      <c r="F33" s="50" t="s">
        <v>48</v>
      </c>
      <c r="G33" s="50">
        <f>G$24</f>
        <v>10</v>
      </c>
      <c r="H33" s="52" t="s">
        <v>49</v>
      </c>
      <c r="I33" s="53">
        <f>E33*G33</f>
        <v>0</v>
      </c>
    </row>
    <row r="34" spans="2:14" ht="18" customHeight="1" thickBot="1">
      <c r="B34" s="67" t="s">
        <v>36</v>
      </c>
      <c r="C34" s="68" t="s">
        <v>14</v>
      </c>
      <c r="D34" s="68" t="s">
        <v>37</v>
      </c>
      <c r="E34" s="68" t="s">
        <v>38</v>
      </c>
      <c r="F34" s="68" t="s">
        <v>39</v>
      </c>
      <c r="G34" s="68" t="s">
        <v>8</v>
      </c>
      <c r="H34" s="68" t="s">
        <v>22</v>
      </c>
      <c r="I34" s="69" t="s">
        <v>40</v>
      </c>
      <c r="J34" s="54" t="s">
        <v>2</v>
      </c>
      <c r="K34" s="55" t="s">
        <v>3</v>
      </c>
      <c r="L34" s="55" t="s">
        <v>61</v>
      </c>
      <c r="M34" s="55" t="s">
        <v>62</v>
      </c>
      <c r="N34" s="70" t="s">
        <v>14</v>
      </c>
    </row>
    <row r="35" spans="2:14" ht="18" customHeight="1">
      <c r="B35" s="648" t="s">
        <v>63</v>
      </c>
      <c r="C35" s="649" t="s">
        <v>64</v>
      </c>
      <c r="D35" s="263">
        <f t="shared" ref="D35:E37" si="5">J35-IF(L35=1,44,IF(L35=2,30,IF(L35=3,16,IF(L35=11,118,IF(L35=12,100,IF(L35=13,76.8,0))))))</f>
        <v>410</v>
      </c>
      <c r="E35" s="263">
        <f t="shared" si="5"/>
        <v>723.2</v>
      </c>
      <c r="F35" s="262">
        <f>ROUND((D35+E35)*2/1000,4)</f>
        <v>2.2664</v>
      </c>
      <c r="G35" s="262">
        <v>2</v>
      </c>
      <c r="H35" s="58">
        <v>1.8140000000000001</v>
      </c>
      <c r="I35" s="59">
        <f>ROUND(F35*G35*H35,3)</f>
        <v>8.2219999999999995</v>
      </c>
      <c r="J35" s="60">
        <f>D14/2</f>
        <v>510</v>
      </c>
      <c r="K35" s="61">
        <v>800</v>
      </c>
      <c r="L35" s="61">
        <v>12</v>
      </c>
      <c r="M35" s="61">
        <v>13</v>
      </c>
      <c r="N35" s="71" t="s">
        <v>56</v>
      </c>
    </row>
    <row r="36" spans="2:14" ht="18" customHeight="1">
      <c r="B36" s="660"/>
      <c r="C36" s="650"/>
      <c r="D36" s="263">
        <f t="shared" si="5"/>
        <v>0</v>
      </c>
      <c r="E36" s="263">
        <f t="shared" si="5"/>
        <v>0</v>
      </c>
      <c r="F36" s="262">
        <f>ROUND((D36+E36)*2/1000,4)</f>
        <v>0</v>
      </c>
      <c r="G36" s="262"/>
      <c r="H36" s="58">
        <f>H35</f>
        <v>1.8140000000000001</v>
      </c>
      <c r="I36" s="59">
        <f>ROUND(F36*G36*H36,3)</f>
        <v>0</v>
      </c>
      <c r="J36" s="60"/>
      <c r="K36" s="61"/>
      <c r="L36" s="61"/>
      <c r="M36" s="61"/>
      <c r="N36" s="72" t="s">
        <v>58</v>
      </c>
    </row>
    <row r="37" spans="2:14" ht="18" customHeight="1">
      <c r="B37" s="660"/>
      <c r="C37" s="651"/>
      <c r="D37" s="263">
        <f t="shared" si="5"/>
        <v>0</v>
      </c>
      <c r="E37" s="263">
        <f t="shared" si="5"/>
        <v>0</v>
      </c>
      <c r="F37" s="262">
        <f>ROUND((D37+E37)*2/1000,4)</f>
        <v>0</v>
      </c>
      <c r="G37" s="262"/>
      <c r="H37" s="58">
        <f>H36</f>
        <v>1.8140000000000001</v>
      </c>
      <c r="I37" s="59">
        <f>ROUND(F37*G37*H37,3)</f>
        <v>0</v>
      </c>
      <c r="J37" s="60"/>
      <c r="K37" s="61"/>
      <c r="L37" s="61"/>
      <c r="M37" s="61"/>
      <c r="N37" s="72" t="s">
        <v>60</v>
      </c>
    </row>
    <row r="38" spans="2:14" ht="18" customHeight="1">
      <c r="B38" s="48" t="s">
        <v>42</v>
      </c>
      <c r="C38" s="49">
        <f>SUMPRODUCT(F35:F37*G35:G37)</f>
        <v>4.5327999999999999</v>
      </c>
      <c r="D38" s="50" t="s">
        <v>43</v>
      </c>
      <c r="E38" s="49">
        <f>SUM(I35:I37)*1.1</f>
        <v>9.0442</v>
      </c>
      <c r="F38" s="50" t="s">
        <v>44</v>
      </c>
      <c r="G38" s="51">
        <f>(C$218+C$219)/1000</f>
        <v>46.081499999999998</v>
      </c>
      <c r="H38" s="52" t="s">
        <v>45</v>
      </c>
      <c r="I38" s="53">
        <f>ROUND(E38*G38,2)</f>
        <v>416.77</v>
      </c>
      <c r="J38" s="243">
        <f>SUM(G35:G37)</f>
        <v>2</v>
      </c>
      <c r="K38" s="255"/>
      <c r="L38" s="255"/>
      <c r="M38" s="255"/>
      <c r="N38" s="73" t="s">
        <v>65</v>
      </c>
    </row>
    <row r="39" spans="2:14" ht="18" customHeight="1">
      <c r="B39" s="48" t="s">
        <v>46</v>
      </c>
      <c r="C39" s="50">
        <v>320.14</v>
      </c>
      <c r="D39" s="50" t="s">
        <v>47</v>
      </c>
      <c r="E39" s="49">
        <f>ROUND(C38*(C39/1000),2)</f>
        <v>1.45</v>
      </c>
      <c r="F39" s="50" t="s">
        <v>48</v>
      </c>
      <c r="G39" s="50">
        <f>G$23</f>
        <v>10</v>
      </c>
      <c r="H39" s="52" t="s">
        <v>49</v>
      </c>
      <c r="I39" s="53">
        <f>E39*G39</f>
        <v>14.5</v>
      </c>
      <c r="J39" s="255"/>
      <c r="K39" s="255"/>
      <c r="L39" s="255"/>
      <c r="M39" s="255"/>
      <c r="N39" s="73" t="s">
        <v>66</v>
      </c>
    </row>
    <row r="40" spans="2:14" ht="18" customHeight="1" thickBot="1">
      <c r="B40" s="48" t="s">
        <v>50</v>
      </c>
      <c r="C40" s="50">
        <v>156.99</v>
      </c>
      <c r="D40" s="50" t="s">
        <v>51</v>
      </c>
      <c r="E40" s="49">
        <f>ROUND(C38*(C40/1000),2)</f>
        <v>0.71</v>
      </c>
      <c r="F40" s="50" t="s">
        <v>48</v>
      </c>
      <c r="G40" s="50">
        <f>G$24</f>
        <v>10</v>
      </c>
      <c r="H40" s="52" t="s">
        <v>49</v>
      </c>
      <c r="I40" s="53">
        <f>E40*G40</f>
        <v>7.1</v>
      </c>
      <c r="J40" s="255"/>
      <c r="K40" s="255"/>
      <c r="L40" s="255"/>
      <c r="M40" s="255"/>
      <c r="N40" s="74" t="s">
        <v>67</v>
      </c>
    </row>
    <row r="41" spans="2:14" ht="18" customHeight="1" thickBot="1">
      <c r="B41" s="23" t="s">
        <v>36</v>
      </c>
      <c r="C41" s="261" t="s">
        <v>14</v>
      </c>
      <c r="D41" s="261" t="s">
        <v>37</v>
      </c>
      <c r="E41" s="261" t="s">
        <v>38</v>
      </c>
      <c r="F41" s="261" t="s">
        <v>39</v>
      </c>
      <c r="G41" s="261" t="s">
        <v>8</v>
      </c>
      <c r="H41" s="261" t="s">
        <v>22</v>
      </c>
      <c r="I41" s="25" t="s">
        <v>40</v>
      </c>
      <c r="J41" s="54" t="s">
        <v>2</v>
      </c>
      <c r="K41" s="55" t="s">
        <v>3</v>
      </c>
      <c r="L41" s="55" t="s">
        <v>61</v>
      </c>
      <c r="M41" s="55" t="s">
        <v>62</v>
      </c>
      <c r="N41" s="70" t="s">
        <v>14</v>
      </c>
    </row>
    <row r="42" spans="2:14" ht="18" customHeight="1">
      <c r="B42" s="648" t="s">
        <v>68</v>
      </c>
      <c r="C42" s="649" t="s">
        <v>69</v>
      </c>
      <c r="D42" s="263">
        <f>J42-IF(L42=1,46,IF(L42=2,34.5,IF(L42=3,23)))</f>
        <v>475.5</v>
      </c>
      <c r="E42" s="263">
        <f>K42-IF(M42=1,46,IF(M42=2,34.5,IF(M42=3,23)))</f>
        <v>777</v>
      </c>
      <c r="F42" s="262">
        <f t="shared" ref="F42:F47" si="6">ROUND((D42+E42)*2/1000,4)</f>
        <v>2.5049999999999999</v>
      </c>
      <c r="G42" s="262">
        <f>G35</f>
        <v>2</v>
      </c>
      <c r="H42" s="262">
        <v>1.26</v>
      </c>
      <c r="I42" s="59">
        <f t="shared" ref="I42:I47" si="7">ROUND(F42*G42*H42,3)</f>
        <v>6.3129999999999997</v>
      </c>
      <c r="J42" s="60">
        <f>J35</f>
        <v>510</v>
      </c>
      <c r="K42" s="61">
        <f>K35</f>
        <v>800</v>
      </c>
      <c r="L42" s="61">
        <v>2</v>
      </c>
      <c r="M42" s="61">
        <v>3</v>
      </c>
      <c r="N42" s="71" t="s">
        <v>56</v>
      </c>
    </row>
    <row r="43" spans="2:14" ht="18" customHeight="1">
      <c r="B43" s="648"/>
      <c r="C43" s="650"/>
      <c r="D43" s="263">
        <f t="shared" ref="D43:E47" si="8">J43-IF(L43=1,46,IF(L43=2,34.5,IF(L43=3,23)))</f>
        <v>0</v>
      </c>
      <c r="E43" s="263">
        <f t="shared" si="8"/>
        <v>0</v>
      </c>
      <c r="F43" s="262">
        <f t="shared" si="6"/>
        <v>0</v>
      </c>
      <c r="G43" s="262"/>
      <c r="H43" s="262">
        <f>H42</f>
        <v>1.26</v>
      </c>
      <c r="I43" s="59">
        <f t="shared" si="7"/>
        <v>0</v>
      </c>
      <c r="J43" s="60"/>
      <c r="K43" s="61"/>
      <c r="L43" s="61"/>
      <c r="M43" s="61"/>
      <c r="N43" s="72" t="s">
        <v>58</v>
      </c>
    </row>
    <row r="44" spans="2:14" ht="18" customHeight="1">
      <c r="B44" s="648"/>
      <c r="C44" s="651"/>
      <c r="D44" s="263">
        <f t="shared" si="8"/>
        <v>0</v>
      </c>
      <c r="E44" s="263">
        <f t="shared" si="8"/>
        <v>0</v>
      </c>
      <c r="F44" s="262">
        <f t="shared" si="6"/>
        <v>0</v>
      </c>
      <c r="G44" s="262"/>
      <c r="H44" s="262">
        <f>H43</f>
        <v>1.26</v>
      </c>
      <c r="I44" s="59">
        <f t="shared" si="7"/>
        <v>0</v>
      </c>
      <c r="J44" s="60"/>
      <c r="K44" s="61"/>
      <c r="L44" s="61"/>
      <c r="M44" s="61"/>
      <c r="N44" s="72" t="s">
        <v>60</v>
      </c>
    </row>
    <row r="45" spans="2:14" ht="18" customHeight="1">
      <c r="B45" s="648"/>
      <c r="C45" s="649" t="s">
        <v>70</v>
      </c>
      <c r="D45" s="263">
        <f t="shared" si="8"/>
        <v>0</v>
      </c>
      <c r="E45" s="263">
        <f t="shared" si="8"/>
        <v>0</v>
      </c>
      <c r="F45" s="262">
        <f t="shared" si="6"/>
        <v>0</v>
      </c>
      <c r="G45" s="262"/>
      <c r="H45" s="262">
        <f>H44</f>
        <v>1.26</v>
      </c>
      <c r="I45" s="59">
        <f t="shared" si="7"/>
        <v>0</v>
      </c>
      <c r="J45" s="60"/>
      <c r="K45" s="61"/>
      <c r="L45" s="61"/>
      <c r="M45" s="61"/>
      <c r="N45" s="71" t="s">
        <v>56</v>
      </c>
    </row>
    <row r="46" spans="2:14" ht="18" customHeight="1">
      <c r="B46" s="648"/>
      <c r="C46" s="650"/>
      <c r="D46" s="263">
        <f t="shared" si="8"/>
        <v>0</v>
      </c>
      <c r="E46" s="263">
        <f t="shared" si="8"/>
        <v>0</v>
      </c>
      <c r="F46" s="262">
        <f t="shared" si="6"/>
        <v>0</v>
      </c>
      <c r="G46" s="262"/>
      <c r="H46" s="262">
        <f>H45</f>
        <v>1.26</v>
      </c>
      <c r="I46" s="59">
        <f t="shared" si="7"/>
        <v>0</v>
      </c>
      <c r="J46" s="60"/>
      <c r="K46" s="61"/>
      <c r="L46" s="61"/>
      <c r="M46" s="61"/>
      <c r="N46" s="72" t="s">
        <v>58</v>
      </c>
    </row>
    <row r="47" spans="2:14" ht="18" customHeight="1" thickBot="1">
      <c r="B47" s="648"/>
      <c r="C47" s="651"/>
      <c r="D47" s="263">
        <f t="shared" si="8"/>
        <v>0</v>
      </c>
      <c r="E47" s="263">
        <f t="shared" si="8"/>
        <v>0</v>
      </c>
      <c r="F47" s="262">
        <f t="shared" si="6"/>
        <v>0</v>
      </c>
      <c r="G47" s="262"/>
      <c r="H47" s="262">
        <f>H46</f>
        <v>1.26</v>
      </c>
      <c r="I47" s="59">
        <f t="shared" si="7"/>
        <v>0</v>
      </c>
      <c r="J47" s="64"/>
      <c r="K47" s="65"/>
      <c r="L47" s="65"/>
      <c r="M47" s="65"/>
      <c r="N47" s="75" t="s">
        <v>60</v>
      </c>
    </row>
    <row r="48" spans="2:14" ht="18" customHeight="1">
      <c r="B48" s="48" t="s">
        <v>42</v>
      </c>
      <c r="C48" s="49">
        <f>SUMPRODUCT(F42:F47*G42:G47)</f>
        <v>5.01</v>
      </c>
      <c r="D48" s="50" t="s">
        <v>43</v>
      </c>
      <c r="E48" s="49">
        <f>SUM(I42:I47)*1.1</f>
        <v>6.9443000000000001</v>
      </c>
      <c r="F48" s="50" t="s">
        <v>44</v>
      </c>
      <c r="G48" s="51">
        <f>(C$218+C$219)/1000</f>
        <v>46.081499999999998</v>
      </c>
      <c r="H48" s="52" t="s">
        <v>45</v>
      </c>
      <c r="I48" s="53">
        <f>ROUND(E48*G48,2)</f>
        <v>320</v>
      </c>
      <c r="J48" s="243">
        <f>SUM(G42:G47)</f>
        <v>2</v>
      </c>
      <c r="K48" s="255"/>
      <c r="L48" s="255"/>
      <c r="M48" s="255"/>
    </row>
    <row r="49" spans="2:14" ht="18" customHeight="1">
      <c r="B49" s="48" t="s">
        <v>46</v>
      </c>
      <c r="C49" s="50">
        <v>132.47999999999999</v>
      </c>
      <c r="D49" s="50" t="s">
        <v>47</v>
      </c>
      <c r="E49" s="49">
        <f>ROUND(C48*(C49/1000),2)</f>
        <v>0.66</v>
      </c>
      <c r="F49" s="50" t="s">
        <v>48</v>
      </c>
      <c r="G49" s="50">
        <f>G$23</f>
        <v>10</v>
      </c>
      <c r="H49" s="52" t="s">
        <v>49</v>
      </c>
      <c r="I49" s="53">
        <f>E49*G49</f>
        <v>6.6000000000000005</v>
      </c>
      <c r="J49" s="255"/>
      <c r="K49" s="255"/>
      <c r="L49" s="255"/>
      <c r="M49" s="255"/>
    </row>
    <row r="50" spans="2:14" ht="18" customHeight="1" thickBot="1">
      <c r="B50" s="48" t="s">
        <v>50</v>
      </c>
      <c r="C50" s="50">
        <v>202.06</v>
      </c>
      <c r="D50" s="50" t="s">
        <v>51</v>
      </c>
      <c r="E50" s="49">
        <f>ROUND(C48*(C50/1000),2)</f>
        <v>1.01</v>
      </c>
      <c r="F50" s="50" t="s">
        <v>48</v>
      </c>
      <c r="G50" s="50">
        <f>G$24</f>
        <v>10</v>
      </c>
      <c r="H50" s="52" t="s">
        <v>49</v>
      </c>
      <c r="I50" s="53">
        <f>E50*G50</f>
        <v>10.1</v>
      </c>
      <c r="J50" s="255"/>
    </row>
    <row r="51" spans="2:14" ht="18" customHeight="1" thickBot="1">
      <c r="B51" s="23" t="s">
        <v>36</v>
      </c>
      <c r="C51" s="261" t="s">
        <v>14</v>
      </c>
      <c r="D51" s="261" t="s">
        <v>37</v>
      </c>
      <c r="E51" s="261" t="s">
        <v>71</v>
      </c>
      <c r="F51" s="261" t="s">
        <v>38</v>
      </c>
      <c r="G51" s="261" t="s">
        <v>72</v>
      </c>
      <c r="H51" s="261" t="s">
        <v>22</v>
      </c>
      <c r="I51" s="25" t="s">
        <v>40</v>
      </c>
      <c r="J51" s="54" t="s">
        <v>2</v>
      </c>
      <c r="K51" s="55" t="s">
        <v>3</v>
      </c>
      <c r="L51" s="55" t="s">
        <v>61</v>
      </c>
      <c r="M51" s="55" t="s">
        <v>62</v>
      </c>
      <c r="N51" s="70" t="s">
        <v>14</v>
      </c>
    </row>
    <row r="52" spans="2:14" ht="18" customHeight="1">
      <c r="B52" s="648" t="s">
        <v>73</v>
      </c>
      <c r="C52" s="649" t="s">
        <v>405</v>
      </c>
      <c r="D52" s="263">
        <f>J52-IF(L52=1,46,IF(L52=2,32,IF(L52=3,18,0)))</f>
        <v>478</v>
      </c>
      <c r="E52" s="263">
        <v>4</v>
      </c>
      <c r="F52" s="263">
        <f>K52-IF(M52=1,46,IF(M52=2,32,IF(M52=3,118,0)))</f>
        <v>0</v>
      </c>
      <c r="G52" s="262"/>
      <c r="H52" s="262">
        <v>1.6379999999999999</v>
      </c>
      <c r="I52" s="59">
        <f>ROUND((D52*E52+F52*G52)/1000*H52,3)</f>
        <v>3.1320000000000001</v>
      </c>
      <c r="J52" s="60">
        <f>J35</f>
        <v>510</v>
      </c>
      <c r="K52" s="61"/>
      <c r="L52" s="61">
        <v>2</v>
      </c>
      <c r="M52" s="61"/>
      <c r="N52" s="76" t="s">
        <v>56</v>
      </c>
    </row>
    <row r="53" spans="2:14" ht="18" customHeight="1">
      <c r="B53" s="648"/>
      <c r="C53" s="650"/>
      <c r="D53" s="263">
        <f t="shared" ref="D53:D55" si="9">J53-IF(L53=1,46,IF(L53=2,32,IF(L53=3,18,0)))</f>
        <v>0</v>
      </c>
      <c r="E53" s="263"/>
      <c r="F53" s="263">
        <f t="shared" ref="F53:F55" si="10">K53-IF(M53=1,46,IF(M53=2,32,IF(M53=3,118,0)))</f>
        <v>0</v>
      </c>
      <c r="G53" s="262"/>
      <c r="H53" s="262">
        <f>H52</f>
        <v>1.6379999999999999</v>
      </c>
      <c r="I53" s="59">
        <f>ROUND((D53*E53+F53*G53)/1000*H53,3)</f>
        <v>0</v>
      </c>
      <c r="J53" s="60"/>
      <c r="K53" s="61"/>
      <c r="L53" s="61"/>
      <c r="M53" s="61"/>
      <c r="N53" s="76" t="s">
        <v>58</v>
      </c>
    </row>
    <row r="54" spans="2:14" ht="18" customHeight="1">
      <c r="B54" s="648"/>
      <c r="C54" s="650"/>
      <c r="D54" s="263">
        <f t="shared" si="9"/>
        <v>0</v>
      </c>
      <c r="E54" s="263"/>
      <c r="F54" s="263">
        <f t="shared" si="10"/>
        <v>0</v>
      </c>
      <c r="G54" s="262"/>
      <c r="H54" s="262">
        <f>H53</f>
        <v>1.6379999999999999</v>
      </c>
      <c r="I54" s="59">
        <f>ROUND((D54*E54+F54*G54)/1000*H54,3)</f>
        <v>0</v>
      </c>
      <c r="J54" s="60"/>
      <c r="K54" s="61"/>
      <c r="L54" s="61"/>
      <c r="M54" s="61"/>
      <c r="N54" s="76" t="s">
        <v>60</v>
      </c>
    </row>
    <row r="55" spans="2:14" ht="18" customHeight="1" thickBot="1">
      <c r="B55" s="648"/>
      <c r="C55" s="651"/>
      <c r="D55" s="263">
        <f t="shared" si="9"/>
        <v>0</v>
      </c>
      <c r="E55" s="263"/>
      <c r="F55" s="263">
        <f t="shared" si="10"/>
        <v>0</v>
      </c>
      <c r="G55" s="262"/>
      <c r="H55" s="77">
        <f>H54</f>
        <v>1.6379999999999999</v>
      </c>
      <c r="I55" s="59">
        <f>ROUND((D55*E55+F55*G55)/1000*H55,3)</f>
        <v>0</v>
      </c>
      <c r="J55" s="78"/>
      <c r="K55" s="79"/>
      <c r="L55" s="79"/>
      <c r="M55" s="79"/>
      <c r="N55" s="80"/>
    </row>
    <row r="56" spans="2:14" ht="18" customHeight="1">
      <c r="B56" s="48" t="s">
        <v>42</v>
      </c>
      <c r="C56" s="49">
        <f>SUMPRODUCT(D52:D55*E52:E55+F52:F55*G52:G55)/1000</f>
        <v>1.9119999999999999</v>
      </c>
      <c r="D56" s="50" t="s">
        <v>43</v>
      </c>
      <c r="E56" s="49">
        <f>SUM(I52:I55)*1.1</f>
        <v>3.4452000000000003</v>
      </c>
      <c r="F56" s="50" t="s">
        <v>44</v>
      </c>
      <c r="G56" s="51">
        <f>(C$218+C$219)/1000</f>
        <v>46.081499999999998</v>
      </c>
      <c r="H56" s="52" t="s">
        <v>45</v>
      </c>
      <c r="I56" s="53">
        <f>ROUND(E56*G56,2)</f>
        <v>158.76</v>
      </c>
      <c r="J56" s="243">
        <f>SUM(E52:E55)+SUM(G52:G55)</f>
        <v>4</v>
      </c>
    </row>
    <row r="57" spans="2:14" ht="18" customHeight="1">
      <c r="B57" s="48" t="s">
        <v>46</v>
      </c>
      <c r="C57" s="50">
        <v>265.52999999999997</v>
      </c>
      <c r="D57" s="50" t="s">
        <v>47</v>
      </c>
      <c r="E57" s="49">
        <f>ROUND(C56*(C57/1000),2)</f>
        <v>0.51</v>
      </c>
      <c r="F57" s="50" t="s">
        <v>48</v>
      </c>
      <c r="G57" s="50">
        <f>G$23</f>
        <v>10</v>
      </c>
      <c r="H57" s="52" t="s">
        <v>49</v>
      </c>
      <c r="I57" s="53">
        <f>E57*G57</f>
        <v>5.0999999999999996</v>
      </c>
      <c r="L57" s="47"/>
    </row>
    <row r="58" spans="2:14" ht="18" customHeight="1">
      <c r="B58" s="48" t="s">
        <v>50</v>
      </c>
      <c r="C58" s="50">
        <v>173.62</v>
      </c>
      <c r="D58" s="50" t="s">
        <v>51</v>
      </c>
      <c r="E58" s="49">
        <f>ROUND(C56*(C58/1000),2)</f>
        <v>0.33</v>
      </c>
      <c r="F58" s="50" t="s">
        <v>48</v>
      </c>
      <c r="G58" s="50">
        <f>G$24</f>
        <v>10</v>
      </c>
      <c r="H58" s="52" t="s">
        <v>49</v>
      </c>
      <c r="I58" s="53">
        <f>E58*G58</f>
        <v>3.3000000000000003</v>
      </c>
      <c r="L58" s="47"/>
    </row>
    <row r="59" spans="2:14" ht="18" customHeight="1">
      <c r="B59" s="23" t="s">
        <v>36</v>
      </c>
      <c r="C59" s="261" t="s">
        <v>14</v>
      </c>
      <c r="D59" s="652" t="s">
        <v>74</v>
      </c>
      <c r="E59" s="652"/>
      <c r="F59" s="652"/>
      <c r="G59" s="261" t="s">
        <v>75</v>
      </c>
      <c r="H59" s="261" t="s">
        <v>22</v>
      </c>
      <c r="I59" s="25" t="s">
        <v>40</v>
      </c>
      <c r="L59" s="47"/>
    </row>
    <row r="60" spans="2:14" ht="18" customHeight="1">
      <c r="B60" s="648" t="s">
        <v>76</v>
      </c>
      <c r="C60" s="649" t="s">
        <v>77</v>
      </c>
      <c r="D60" s="646"/>
      <c r="E60" s="646"/>
      <c r="F60" s="646"/>
      <c r="G60" s="262"/>
      <c r="H60" s="262">
        <v>1.9339999999999999</v>
      </c>
      <c r="I60" s="59">
        <f>ROUND(D60*G60*H60/1000,3)</f>
        <v>0</v>
      </c>
      <c r="L60" s="47"/>
    </row>
    <row r="61" spans="2:14" ht="18" customHeight="1">
      <c r="B61" s="648"/>
      <c r="C61" s="651"/>
      <c r="D61" s="646"/>
      <c r="E61" s="646"/>
      <c r="F61" s="646"/>
      <c r="G61" s="262"/>
      <c r="H61" s="262">
        <v>1.9339999999999999</v>
      </c>
      <c r="I61" s="59">
        <f>ROUND(D61*G61*H61/1000,3)</f>
        <v>0</v>
      </c>
    </row>
    <row r="62" spans="2:14" ht="18" customHeight="1">
      <c r="B62" s="648"/>
      <c r="C62" s="649" t="s">
        <v>78</v>
      </c>
      <c r="D62" s="646">
        <f>E14</f>
        <v>2320</v>
      </c>
      <c r="E62" s="646"/>
      <c r="F62" s="646"/>
      <c r="G62" s="262">
        <v>1</v>
      </c>
      <c r="H62" s="262">
        <v>2.3130000000000002</v>
      </c>
      <c r="I62" s="59">
        <f>ROUND(D62*G62*H62/1000,3)</f>
        <v>5.3659999999999997</v>
      </c>
    </row>
    <row r="63" spans="2:14" ht="18" customHeight="1">
      <c r="B63" s="648"/>
      <c r="C63" s="651"/>
      <c r="D63" s="646"/>
      <c r="E63" s="646"/>
      <c r="F63" s="646"/>
      <c r="G63" s="262"/>
      <c r="H63" s="262">
        <v>2.3130000000000002</v>
      </c>
      <c r="I63" s="59">
        <f>ROUND(D63*G63*H63/1000,3)</f>
        <v>0</v>
      </c>
    </row>
    <row r="64" spans="2:14" ht="18" customHeight="1">
      <c r="B64" s="48" t="s">
        <v>42</v>
      </c>
      <c r="C64" s="49">
        <f>SUMPRODUCT(D60:F63*G60:G63)/1000</f>
        <v>2.3199999999999998</v>
      </c>
      <c r="D64" s="50" t="s">
        <v>43</v>
      </c>
      <c r="E64" s="49">
        <f>SUM(I60:I63)*1.1</f>
        <v>5.9026000000000005</v>
      </c>
      <c r="F64" s="50" t="s">
        <v>44</v>
      </c>
      <c r="G64" s="51">
        <f>(C$218+C$219)/1000</f>
        <v>46.081499999999998</v>
      </c>
      <c r="H64" s="52" t="s">
        <v>45</v>
      </c>
      <c r="I64" s="53">
        <f>ROUND(E64*G64,2)</f>
        <v>272</v>
      </c>
      <c r="J64" s="43">
        <f>SUM(G60:G63)</f>
        <v>1</v>
      </c>
    </row>
    <row r="65" spans="2:14" ht="18" customHeight="1">
      <c r="B65" s="48" t="s">
        <v>46</v>
      </c>
      <c r="C65" s="50">
        <v>337.92</v>
      </c>
      <c r="D65" s="50" t="s">
        <v>47</v>
      </c>
      <c r="E65" s="49">
        <f>ROUND(C64*(C65/1000),2)</f>
        <v>0.78</v>
      </c>
      <c r="F65" s="50" t="s">
        <v>48</v>
      </c>
      <c r="G65" s="50">
        <f>G$23</f>
        <v>10</v>
      </c>
      <c r="H65" s="52" t="s">
        <v>49</v>
      </c>
      <c r="I65" s="53">
        <f>E65*G65</f>
        <v>7.8000000000000007</v>
      </c>
    </row>
    <row r="66" spans="2:14" ht="18" customHeight="1" thickBot="1">
      <c r="B66" s="48" t="s">
        <v>50</v>
      </c>
      <c r="C66" s="50">
        <v>175.93</v>
      </c>
      <c r="D66" s="50" t="s">
        <v>51</v>
      </c>
      <c r="E66" s="49">
        <f>ROUND(C64*(C66/1000),2)</f>
        <v>0.41</v>
      </c>
      <c r="F66" s="50" t="s">
        <v>48</v>
      </c>
      <c r="G66" s="50">
        <f>G$24</f>
        <v>10</v>
      </c>
      <c r="H66" s="52" t="s">
        <v>49</v>
      </c>
      <c r="I66" s="53">
        <f>E66*G66</f>
        <v>4.0999999999999996</v>
      </c>
    </row>
    <row r="67" spans="2:14" ht="18" customHeight="1" thickBot="1">
      <c r="B67" s="23" t="s">
        <v>36</v>
      </c>
      <c r="C67" s="261" t="s">
        <v>14</v>
      </c>
      <c r="D67" s="261" t="s">
        <v>37</v>
      </c>
      <c r="E67" s="261" t="s">
        <v>38</v>
      </c>
      <c r="F67" s="261" t="s">
        <v>39</v>
      </c>
      <c r="G67" s="261" t="s">
        <v>8</v>
      </c>
      <c r="H67" s="261" t="s">
        <v>22</v>
      </c>
      <c r="I67" s="25" t="s">
        <v>40</v>
      </c>
      <c r="J67" s="54" t="s">
        <v>2</v>
      </c>
      <c r="K67" s="55" t="s">
        <v>3</v>
      </c>
      <c r="L67" s="55" t="s">
        <v>52</v>
      </c>
      <c r="M67" s="55" t="s">
        <v>53</v>
      </c>
      <c r="N67" s="70" t="s">
        <v>14</v>
      </c>
    </row>
    <row r="68" spans="2:14" ht="18" customHeight="1">
      <c r="B68" s="648" t="s">
        <v>79</v>
      </c>
      <c r="C68" s="649" t="s">
        <v>323</v>
      </c>
      <c r="D68" s="81">
        <f>J68-IF(L68=1,72,IF(L68=2,54,IF(L68=3,26,IF(L68=11,102.8,IF(L68=12,88.8,IF(L68=13,74.8,0))))))</f>
        <v>456</v>
      </c>
      <c r="E68" s="81">
        <f>K68-IF(M68=1,72,IF(M68=2,24,IF(M68=3,26,IF(M68=11,102.8,IF(M68=12,88.8,IF(M68=13,74.8,0))))))</f>
        <v>801</v>
      </c>
      <c r="F68" s="81">
        <f>2*(D68+E68)/1000</f>
        <v>2.5139999999999998</v>
      </c>
      <c r="G68" s="82">
        <v>2</v>
      </c>
      <c r="H68" s="262">
        <v>0.224</v>
      </c>
      <c r="I68" s="283">
        <f>ROUND(F68*G68*H68,3)*1.5</f>
        <v>1.6889999999999998</v>
      </c>
      <c r="J68" s="83">
        <f>D14/2</f>
        <v>510</v>
      </c>
      <c r="K68" s="83">
        <v>825</v>
      </c>
      <c r="L68" s="84">
        <v>2</v>
      </c>
      <c r="M68" s="84">
        <v>2</v>
      </c>
      <c r="N68" s="71" t="s">
        <v>56</v>
      </c>
    </row>
    <row r="69" spans="2:14" ht="18" customHeight="1">
      <c r="B69" s="648"/>
      <c r="C69" s="650"/>
      <c r="D69" s="81">
        <f t="shared" ref="D69:D87" si="11">J69-IF(L69=1,72,IF(L69=2,54,IF(L69=3,26,IF(L69=11,102.8,IF(L69=12,88.8,IF(L69=13,74.8,0))))))</f>
        <v>456</v>
      </c>
      <c r="E69" s="81">
        <f t="shared" ref="E69:E87" si="12">K69-IF(M69=1,72,IF(M69=2,24,IF(M69=3,26,IF(M69=11,102.8,IF(M69=12,88.8,IF(M69=13,74.8,0))))))</f>
        <v>671</v>
      </c>
      <c r="F69" s="81">
        <f t="shared" ref="F69:F87" si="13">2*(D69+E69)/1000</f>
        <v>2.254</v>
      </c>
      <c r="G69" s="82">
        <v>2</v>
      </c>
      <c r="H69" s="262">
        <f>H68</f>
        <v>0.224</v>
      </c>
      <c r="I69" s="59">
        <f t="shared" ref="I69:I87" si="14">ROUND(F69*G69*H69,3)</f>
        <v>1.01</v>
      </c>
      <c r="J69" s="83">
        <f>J68</f>
        <v>510</v>
      </c>
      <c r="K69" s="84">
        <f>E14-K35-K68</f>
        <v>695</v>
      </c>
      <c r="L69" s="84">
        <v>2</v>
      </c>
      <c r="M69" s="84">
        <v>2</v>
      </c>
      <c r="N69" s="72" t="s">
        <v>58</v>
      </c>
    </row>
    <row r="70" spans="2:14" ht="18" customHeight="1">
      <c r="B70" s="648"/>
      <c r="C70" s="650"/>
      <c r="D70" s="81">
        <f t="shared" si="11"/>
        <v>0</v>
      </c>
      <c r="E70" s="81">
        <f t="shared" si="12"/>
        <v>0</v>
      </c>
      <c r="F70" s="81">
        <f t="shared" si="13"/>
        <v>0</v>
      </c>
      <c r="G70" s="82"/>
      <c r="H70" s="262">
        <f>H69</f>
        <v>0.224</v>
      </c>
      <c r="I70" s="59">
        <f t="shared" si="14"/>
        <v>0</v>
      </c>
      <c r="J70" s="83"/>
      <c r="K70" s="84"/>
      <c r="L70" s="84"/>
      <c r="M70" s="84"/>
      <c r="N70" s="72" t="s">
        <v>60</v>
      </c>
    </row>
    <row r="71" spans="2:14" ht="18" customHeight="1">
      <c r="B71" s="648"/>
      <c r="C71" s="650"/>
      <c r="D71" s="81">
        <f t="shared" si="11"/>
        <v>0</v>
      </c>
      <c r="E71" s="81">
        <f t="shared" si="12"/>
        <v>0</v>
      </c>
      <c r="F71" s="81">
        <f t="shared" si="13"/>
        <v>0</v>
      </c>
      <c r="G71" s="82"/>
      <c r="H71" s="77">
        <f>H70</f>
        <v>0.224</v>
      </c>
      <c r="I71" s="59">
        <f t="shared" si="14"/>
        <v>0</v>
      </c>
      <c r="J71" s="85"/>
      <c r="K71" s="86"/>
      <c r="L71" s="86"/>
      <c r="M71" s="86"/>
      <c r="N71" s="72" t="s">
        <v>65</v>
      </c>
    </row>
    <row r="72" spans="2:14" ht="18" customHeight="1">
      <c r="B72" s="648"/>
      <c r="C72" s="650"/>
      <c r="D72" s="81">
        <f t="shared" si="11"/>
        <v>0</v>
      </c>
      <c r="E72" s="81">
        <f t="shared" si="12"/>
        <v>0</v>
      </c>
      <c r="F72" s="81">
        <f t="shared" si="13"/>
        <v>0</v>
      </c>
      <c r="G72" s="82"/>
      <c r="H72" s="77">
        <f>H71</f>
        <v>0.224</v>
      </c>
      <c r="I72" s="87">
        <f t="shared" si="14"/>
        <v>0</v>
      </c>
      <c r="J72" s="85"/>
      <c r="K72" s="86"/>
      <c r="L72" s="86"/>
      <c r="M72" s="86"/>
      <c r="N72" s="72" t="s">
        <v>66</v>
      </c>
    </row>
    <row r="73" spans="2:14" ht="18" customHeight="1">
      <c r="B73" s="648"/>
      <c r="C73" s="650"/>
      <c r="D73" s="81">
        <f t="shared" si="11"/>
        <v>0</v>
      </c>
      <c r="E73" s="81">
        <f t="shared" si="12"/>
        <v>0</v>
      </c>
      <c r="F73" s="81">
        <f t="shared" si="13"/>
        <v>0</v>
      </c>
      <c r="G73" s="82"/>
      <c r="H73" s="262">
        <f>H70</f>
        <v>0.224</v>
      </c>
      <c r="I73" s="87">
        <f t="shared" si="14"/>
        <v>0</v>
      </c>
      <c r="J73" s="83"/>
      <c r="K73" s="84"/>
      <c r="L73" s="84"/>
      <c r="M73" s="84"/>
      <c r="N73" s="72" t="s">
        <v>67</v>
      </c>
    </row>
    <row r="74" spans="2:14" ht="18" customHeight="1">
      <c r="B74" s="648"/>
      <c r="C74" s="651"/>
      <c r="D74" s="81">
        <f t="shared" si="11"/>
        <v>0</v>
      </c>
      <c r="E74" s="81">
        <f t="shared" si="12"/>
        <v>0</v>
      </c>
      <c r="F74" s="81">
        <f t="shared" si="13"/>
        <v>0</v>
      </c>
      <c r="G74" s="82"/>
      <c r="H74" s="262">
        <f>H73</f>
        <v>0.224</v>
      </c>
      <c r="I74" s="87">
        <f t="shared" si="14"/>
        <v>0</v>
      </c>
      <c r="J74" s="83"/>
      <c r="K74" s="84"/>
      <c r="L74" s="84"/>
      <c r="M74" s="84"/>
      <c r="N74" s="88"/>
    </row>
    <row r="75" spans="2:14" ht="18" customHeight="1">
      <c r="B75" s="648"/>
      <c r="C75" s="649" t="s">
        <v>324</v>
      </c>
      <c r="D75" s="89">
        <f t="shared" si="11"/>
        <v>0</v>
      </c>
      <c r="E75" s="89">
        <f t="shared" si="12"/>
        <v>0</v>
      </c>
      <c r="F75" s="89">
        <f t="shared" si="13"/>
        <v>0</v>
      </c>
      <c r="G75" s="90"/>
      <c r="H75" s="91">
        <f>H74</f>
        <v>0.224</v>
      </c>
      <c r="I75" s="92">
        <f t="shared" si="14"/>
        <v>0</v>
      </c>
      <c r="J75" s="83"/>
      <c r="K75" s="84"/>
      <c r="L75" s="84"/>
      <c r="M75" s="84"/>
      <c r="N75" s="93" t="s">
        <v>80</v>
      </c>
    </row>
    <row r="76" spans="2:14" ht="18" customHeight="1">
      <c r="B76" s="648"/>
      <c r="C76" s="650"/>
      <c r="D76" s="89">
        <f t="shared" si="11"/>
        <v>0</v>
      </c>
      <c r="E76" s="89">
        <f t="shared" si="12"/>
        <v>0</v>
      </c>
      <c r="F76" s="89">
        <f t="shared" si="13"/>
        <v>0</v>
      </c>
      <c r="G76" s="90"/>
      <c r="H76" s="91">
        <f>H72</f>
        <v>0.224</v>
      </c>
      <c r="I76" s="92">
        <f t="shared" si="14"/>
        <v>0</v>
      </c>
      <c r="J76" s="83"/>
      <c r="K76" s="84"/>
      <c r="L76" s="84"/>
      <c r="M76" s="84"/>
      <c r="N76" s="93" t="s">
        <v>80</v>
      </c>
    </row>
    <row r="77" spans="2:14" ht="18" customHeight="1">
      <c r="B77" s="648"/>
      <c r="C77" s="650"/>
      <c r="D77" s="89">
        <f t="shared" si="11"/>
        <v>0</v>
      </c>
      <c r="E77" s="89">
        <f t="shared" si="12"/>
        <v>0</v>
      </c>
      <c r="F77" s="89">
        <f t="shared" si="13"/>
        <v>0</v>
      </c>
      <c r="G77" s="90"/>
      <c r="H77" s="91">
        <f t="shared" ref="H77:H87" si="15">H76</f>
        <v>0.224</v>
      </c>
      <c r="I77" s="92">
        <f t="shared" si="14"/>
        <v>0</v>
      </c>
      <c r="J77" s="83"/>
      <c r="K77" s="84"/>
      <c r="L77" s="84"/>
      <c r="M77" s="84"/>
      <c r="N77" s="93" t="s">
        <v>80</v>
      </c>
    </row>
    <row r="78" spans="2:14" ht="18" customHeight="1">
      <c r="B78" s="648"/>
      <c r="C78" s="650"/>
      <c r="D78" s="89">
        <f t="shared" si="11"/>
        <v>0</v>
      </c>
      <c r="E78" s="89">
        <f t="shared" si="12"/>
        <v>0</v>
      </c>
      <c r="F78" s="89">
        <f t="shared" si="13"/>
        <v>0</v>
      </c>
      <c r="G78" s="90"/>
      <c r="H78" s="91">
        <f t="shared" si="15"/>
        <v>0.224</v>
      </c>
      <c r="I78" s="92">
        <f t="shared" si="14"/>
        <v>0</v>
      </c>
      <c r="J78" s="83"/>
      <c r="K78" s="84"/>
      <c r="L78" s="84"/>
      <c r="M78" s="84"/>
      <c r="N78" s="93" t="s">
        <v>80</v>
      </c>
    </row>
    <row r="79" spans="2:14" ht="18" customHeight="1">
      <c r="B79" s="648"/>
      <c r="C79" s="650"/>
      <c r="D79" s="89">
        <f t="shared" si="11"/>
        <v>0</v>
      </c>
      <c r="E79" s="89">
        <f t="shared" si="12"/>
        <v>0</v>
      </c>
      <c r="F79" s="89">
        <f t="shared" si="13"/>
        <v>0</v>
      </c>
      <c r="G79" s="90"/>
      <c r="H79" s="91">
        <f t="shared" si="15"/>
        <v>0.224</v>
      </c>
      <c r="I79" s="94">
        <f t="shared" si="14"/>
        <v>0</v>
      </c>
      <c r="J79" s="83"/>
      <c r="K79" s="84"/>
      <c r="L79" s="84"/>
      <c r="M79" s="84"/>
      <c r="N79" s="93" t="s">
        <v>80</v>
      </c>
    </row>
    <row r="80" spans="2:14" ht="18" customHeight="1">
      <c r="B80" s="648"/>
      <c r="C80" s="650"/>
      <c r="D80" s="89">
        <f t="shared" si="11"/>
        <v>0</v>
      </c>
      <c r="E80" s="89">
        <f t="shared" si="12"/>
        <v>0</v>
      </c>
      <c r="F80" s="89">
        <f t="shared" si="13"/>
        <v>0</v>
      </c>
      <c r="G80" s="90"/>
      <c r="H80" s="91">
        <f t="shared" si="15"/>
        <v>0.224</v>
      </c>
      <c r="I80" s="94">
        <f t="shared" si="14"/>
        <v>0</v>
      </c>
      <c r="J80" s="83"/>
      <c r="K80" s="84"/>
      <c r="L80" s="84"/>
      <c r="M80" s="84"/>
      <c r="N80" s="93" t="s">
        <v>80</v>
      </c>
    </row>
    <row r="81" spans="2:14" ht="18" customHeight="1">
      <c r="B81" s="648"/>
      <c r="C81" s="651"/>
      <c r="D81" s="89">
        <f t="shared" si="11"/>
        <v>0</v>
      </c>
      <c r="E81" s="89">
        <f t="shared" si="12"/>
        <v>0</v>
      </c>
      <c r="F81" s="89">
        <f t="shared" si="13"/>
        <v>0</v>
      </c>
      <c r="G81" s="90"/>
      <c r="H81" s="91">
        <f t="shared" si="15"/>
        <v>0.224</v>
      </c>
      <c r="I81" s="94">
        <f t="shared" si="14"/>
        <v>0</v>
      </c>
      <c r="J81" s="95"/>
      <c r="K81" s="96"/>
      <c r="L81" s="96"/>
      <c r="M81" s="96"/>
      <c r="N81" s="93" t="s">
        <v>81</v>
      </c>
    </row>
    <row r="82" spans="2:14" ht="18" customHeight="1">
      <c r="B82" s="648"/>
      <c r="C82" s="639" t="s">
        <v>325</v>
      </c>
      <c r="D82" s="81">
        <f t="shared" si="11"/>
        <v>0</v>
      </c>
      <c r="E82" s="81">
        <f t="shared" si="12"/>
        <v>0</v>
      </c>
      <c r="F82" s="81">
        <f t="shared" si="13"/>
        <v>0</v>
      </c>
      <c r="G82" s="82"/>
      <c r="H82" s="262">
        <f t="shared" si="15"/>
        <v>0.224</v>
      </c>
      <c r="I82" s="59">
        <f t="shared" si="14"/>
        <v>0</v>
      </c>
      <c r="J82" s="83"/>
      <c r="K82" s="84"/>
      <c r="L82" s="84"/>
      <c r="M82" s="84"/>
      <c r="N82" s="88"/>
    </row>
    <row r="83" spans="2:14" ht="18" customHeight="1">
      <c r="B83" s="648"/>
      <c r="C83" s="645"/>
      <c r="D83" s="81">
        <f t="shared" si="11"/>
        <v>0</v>
      </c>
      <c r="E83" s="81">
        <f t="shared" si="12"/>
        <v>0</v>
      </c>
      <c r="F83" s="81">
        <f t="shared" si="13"/>
        <v>0</v>
      </c>
      <c r="G83" s="82"/>
      <c r="H83" s="262">
        <f t="shared" si="15"/>
        <v>0.224</v>
      </c>
      <c r="I83" s="59">
        <f t="shared" si="14"/>
        <v>0</v>
      </c>
      <c r="J83" s="83"/>
      <c r="K83" s="84"/>
      <c r="L83" s="84"/>
      <c r="M83" s="84"/>
      <c r="N83" s="88"/>
    </row>
    <row r="84" spans="2:14" ht="18" customHeight="1">
      <c r="B84" s="648"/>
      <c r="C84" s="645"/>
      <c r="D84" s="81">
        <f t="shared" si="11"/>
        <v>0</v>
      </c>
      <c r="E84" s="81">
        <f t="shared" si="12"/>
        <v>0</v>
      </c>
      <c r="F84" s="81">
        <f t="shared" si="13"/>
        <v>0</v>
      </c>
      <c r="G84" s="82"/>
      <c r="H84" s="262">
        <f t="shared" si="15"/>
        <v>0.224</v>
      </c>
      <c r="I84" s="59">
        <f t="shared" si="14"/>
        <v>0</v>
      </c>
      <c r="J84" s="83"/>
      <c r="K84" s="84"/>
      <c r="L84" s="84"/>
      <c r="M84" s="84"/>
      <c r="N84" s="76"/>
    </row>
    <row r="85" spans="2:14" ht="18" customHeight="1">
      <c r="B85" s="648"/>
      <c r="C85" s="645"/>
      <c r="D85" s="81">
        <f t="shared" si="11"/>
        <v>0</v>
      </c>
      <c r="E85" s="81">
        <f t="shared" si="12"/>
        <v>0</v>
      </c>
      <c r="F85" s="81">
        <f t="shared" si="13"/>
        <v>0</v>
      </c>
      <c r="G85" s="82"/>
      <c r="H85" s="262">
        <f t="shared" si="15"/>
        <v>0.224</v>
      </c>
      <c r="I85" s="59">
        <f t="shared" si="14"/>
        <v>0</v>
      </c>
      <c r="J85" s="83"/>
      <c r="K85" s="84"/>
      <c r="L85" s="84"/>
      <c r="M85" s="84"/>
      <c r="N85" s="76"/>
    </row>
    <row r="86" spans="2:14" ht="18" customHeight="1">
      <c r="B86" s="648"/>
      <c r="C86" s="645"/>
      <c r="D86" s="81">
        <f t="shared" si="11"/>
        <v>0</v>
      </c>
      <c r="E86" s="81">
        <f t="shared" si="12"/>
        <v>0</v>
      </c>
      <c r="F86" s="81">
        <f t="shared" si="13"/>
        <v>0</v>
      </c>
      <c r="G86" s="82"/>
      <c r="H86" s="262">
        <f t="shared" si="15"/>
        <v>0.224</v>
      </c>
      <c r="I86" s="59">
        <f t="shared" si="14"/>
        <v>0</v>
      </c>
      <c r="J86" s="85"/>
      <c r="K86" s="86"/>
      <c r="L86" s="86"/>
      <c r="M86" s="86"/>
      <c r="N86" s="76"/>
    </row>
    <row r="87" spans="2:14" ht="18" customHeight="1" thickBot="1">
      <c r="B87" s="648"/>
      <c r="C87" s="640"/>
      <c r="D87" s="81">
        <f t="shared" si="11"/>
        <v>0</v>
      </c>
      <c r="E87" s="81">
        <f t="shared" si="12"/>
        <v>0</v>
      </c>
      <c r="F87" s="81">
        <f t="shared" si="13"/>
        <v>0</v>
      </c>
      <c r="G87" s="82"/>
      <c r="H87" s="262">
        <f t="shared" si="15"/>
        <v>0.224</v>
      </c>
      <c r="I87" s="59">
        <f t="shared" si="14"/>
        <v>0</v>
      </c>
      <c r="J87" s="97"/>
      <c r="K87" s="98"/>
      <c r="L87" s="98"/>
      <c r="M87" s="98"/>
      <c r="N87" s="80"/>
    </row>
    <row r="88" spans="2:14" ht="18" customHeight="1">
      <c r="B88" s="48" t="s">
        <v>42</v>
      </c>
      <c r="C88" s="49">
        <f>SUMPRODUCT(F68:F87*G68:G87)</f>
        <v>9.5359999999999996</v>
      </c>
      <c r="D88" s="50" t="s">
        <v>43</v>
      </c>
      <c r="E88" s="49">
        <f>SUM(I68:I87)*1.1</f>
        <v>2.9689000000000001</v>
      </c>
      <c r="F88" s="50" t="s">
        <v>44</v>
      </c>
      <c r="G88" s="51">
        <f>(C$218+C$222)/1000</f>
        <v>39.781500000000001</v>
      </c>
      <c r="H88" s="52" t="s">
        <v>45</v>
      </c>
      <c r="I88" s="53">
        <f>ROUND(E88*G88,2)</f>
        <v>118.11</v>
      </c>
      <c r="J88" s="255"/>
      <c r="K88" s="255"/>
      <c r="L88" s="255"/>
      <c r="M88" s="255"/>
    </row>
    <row r="89" spans="2:14" ht="18" customHeight="1">
      <c r="B89" s="48" t="s">
        <v>46</v>
      </c>
      <c r="C89" s="50">
        <v>181.72</v>
      </c>
      <c r="D89" s="50" t="s">
        <v>47</v>
      </c>
      <c r="E89" s="49">
        <f>ROUND(C88*(C89/1000),2)</f>
        <v>1.73</v>
      </c>
      <c r="F89" s="50" t="s">
        <v>48</v>
      </c>
      <c r="G89" s="50">
        <f>G$23</f>
        <v>10</v>
      </c>
      <c r="H89" s="52" t="s">
        <v>49</v>
      </c>
      <c r="I89" s="53">
        <f>E89*G89</f>
        <v>17.3</v>
      </c>
      <c r="J89" s="255"/>
      <c r="K89" s="255"/>
      <c r="L89" s="255"/>
      <c r="M89" s="255"/>
    </row>
    <row r="90" spans="2:14" ht="18" customHeight="1">
      <c r="B90" s="48" t="s">
        <v>50</v>
      </c>
      <c r="C90" s="50"/>
      <c r="D90" s="50" t="s">
        <v>51</v>
      </c>
      <c r="E90" s="49">
        <f>ROUND(C88*(C90/1000),2)</f>
        <v>0</v>
      </c>
      <c r="F90" s="50" t="s">
        <v>48</v>
      </c>
      <c r="G90" s="50">
        <f>G$24</f>
        <v>10</v>
      </c>
      <c r="H90" s="52" t="s">
        <v>49</v>
      </c>
      <c r="I90" s="53">
        <f>E90*G90</f>
        <v>0</v>
      </c>
      <c r="J90" s="255"/>
      <c r="K90" s="255"/>
      <c r="L90" s="255"/>
      <c r="M90" s="255"/>
    </row>
    <row r="91" spans="2:14" ht="18" customHeight="1">
      <c r="B91" s="23" t="s">
        <v>36</v>
      </c>
      <c r="C91" s="261" t="s">
        <v>14</v>
      </c>
      <c r="D91" s="261" t="s">
        <v>37</v>
      </c>
      <c r="E91" s="261" t="s">
        <v>38</v>
      </c>
      <c r="F91" s="261" t="s">
        <v>39</v>
      </c>
      <c r="G91" s="261" t="s">
        <v>8</v>
      </c>
      <c r="H91" s="261" t="s">
        <v>22</v>
      </c>
      <c r="I91" s="25" t="s">
        <v>40</v>
      </c>
      <c r="J91" s="255"/>
      <c r="K91" s="255"/>
      <c r="L91" s="255"/>
      <c r="M91" s="255"/>
    </row>
    <row r="92" spans="2:14" ht="18" customHeight="1">
      <c r="B92" s="648" t="s">
        <v>82</v>
      </c>
      <c r="C92" s="653" t="s">
        <v>326</v>
      </c>
      <c r="D92" s="263">
        <f>D26-90</f>
        <v>-90</v>
      </c>
      <c r="E92" s="263">
        <f>E26-90</f>
        <v>-90</v>
      </c>
      <c r="F92" s="263">
        <f>2*(D92+E92)/1000</f>
        <v>-0.36</v>
      </c>
      <c r="G92" s="262">
        <f>G26</f>
        <v>0</v>
      </c>
      <c r="H92" s="262">
        <v>0.27100000000000002</v>
      </c>
      <c r="I92" s="59">
        <f>ROUND(F92*G92*H92,3)</f>
        <v>0</v>
      </c>
    </row>
    <row r="93" spans="2:14" ht="18" customHeight="1">
      <c r="B93" s="648"/>
      <c r="C93" s="658"/>
      <c r="D93" s="263">
        <f t="shared" ref="D93:E96" si="16">D27-90</f>
        <v>-90</v>
      </c>
      <c r="E93" s="263">
        <f t="shared" si="16"/>
        <v>-90</v>
      </c>
      <c r="F93" s="263">
        <f>2*(D93+E93)/1000</f>
        <v>-0.36</v>
      </c>
      <c r="G93" s="262">
        <f>G27</f>
        <v>0</v>
      </c>
      <c r="H93" s="262">
        <f>H92</f>
        <v>0.27100000000000002</v>
      </c>
      <c r="I93" s="59">
        <f>ROUND(F93*G93*H93,3)</f>
        <v>0</v>
      </c>
      <c r="M93" s="42"/>
    </row>
    <row r="94" spans="2:14" ht="18" customHeight="1">
      <c r="B94" s="648"/>
      <c r="C94" s="658"/>
      <c r="D94" s="263">
        <f t="shared" si="16"/>
        <v>-90</v>
      </c>
      <c r="E94" s="263">
        <f t="shared" si="16"/>
        <v>-90</v>
      </c>
      <c r="F94" s="263">
        <f>2*(D94+E94)/1000</f>
        <v>-0.36</v>
      </c>
      <c r="G94" s="262">
        <f>G28</f>
        <v>0</v>
      </c>
      <c r="H94" s="262">
        <f>H93</f>
        <v>0.27100000000000002</v>
      </c>
      <c r="I94" s="59">
        <f>ROUND(F94*G94*H94,3)</f>
        <v>0</v>
      </c>
    </row>
    <row r="95" spans="2:14" ht="18" customHeight="1">
      <c r="B95" s="648"/>
      <c r="C95" s="658"/>
      <c r="D95" s="263">
        <f t="shared" si="16"/>
        <v>-90</v>
      </c>
      <c r="E95" s="263">
        <f t="shared" si="16"/>
        <v>-90</v>
      </c>
      <c r="F95" s="263">
        <f>2*(D95+E95)/1000</f>
        <v>-0.36</v>
      </c>
      <c r="G95" s="262">
        <f>G29</f>
        <v>0</v>
      </c>
      <c r="H95" s="262">
        <f>H94</f>
        <v>0.27100000000000002</v>
      </c>
      <c r="I95" s="59">
        <f>ROUND(F95*G95*H95,3)</f>
        <v>0</v>
      </c>
    </row>
    <row r="96" spans="2:14" ht="18" customHeight="1">
      <c r="B96" s="648"/>
      <c r="C96" s="659"/>
      <c r="D96" s="263">
        <f t="shared" si="16"/>
        <v>-90</v>
      </c>
      <c r="E96" s="263">
        <f t="shared" si="16"/>
        <v>-90</v>
      </c>
      <c r="F96" s="263">
        <f>2*(D96+E96)/1000</f>
        <v>-0.36</v>
      </c>
      <c r="G96" s="262">
        <f>G30</f>
        <v>0</v>
      </c>
      <c r="H96" s="262">
        <f>H95</f>
        <v>0.27100000000000002</v>
      </c>
      <c r="I96" s="59">
        <f>ROUND(F96*G96*H96,3)</f>
        <v>0</v>
      </c>
    </row>
    <row r="97" spans="2:13" ht="18" customHeight="1">
      <c r="B97" s="48" t="s">
        <v>42</v>
      </c>
      <c r="C97" s="49">
        <f>SUMPRODUCT(F92:F96*G92:G96)</f>
        <v>0</v>
      </c>
      <c r="D97" s="50" t="s">
        <v>43</v>
      </c>
      <c r="E97" s="49">
        <f>SUM(I92:I96)*1.1</f>
        <v>0</v>
      </c>
      <c r="F97" s="50" t="s">
        <v>44</v>
      </c>
      <c r="G97" s="51">
        <f>(C$218+C$222)/1000</f>
        <v>39.781500000000001</v>
      </c>
      <c r="H97" s="52" t="s">
        <v>45</v>
      </c>
      <c r="I97" s="53">
        <f>ROUND(E97*G97,2)</f>
        <v>0</v>
      </c>
    </row>
    <row r="98" spans="2:13" ht="18" customHeight="1">
      <c r="B98" s="48" t="s">
        <v>46</v>
      </c>
      <c r="C98" s="50">
        <v>186.72</v>
      </c>
      <c r="D98" s="50" t="s">
        <v>47</v>
      </c>
      <c r="E98" s="49">
        <f>ROUND(C97*(C98/1000),2)</f>
        <v>0</v>
      </c>
      <c r="F98" s="50" t="s">
        <v>48</v>
      </c>
      <c r="G98" s="50">
        <f>G$23</f>
        <v>10</v>
      </c>
      <c r="H98" s="52" t="s">
        <v>49</v>
      </c>
      <c r="I98" s="53">
        <f>E98*G98</f>
        <v>0</v>
      </c>
    </row>
    <row r="99" spans="2:13" ht="18" customHeight="1">
      <c r="B99" s="48" t="s">
        <v>50</v>
      </c>
      <c r="C99" s="50">
        <v>0</v>
      </c>
      <c r="D99" s="50" t="s">
        <v>51</v>
      </c>
      <c r="E99" s="49">
        <f>ROUND(C97*(C99/1000),2)</f>
        <v>0</v>
      </c>
      <c r="F99" s="50" t="s">
        <v>48</v>
      </c>
      <c r="G99" s="50">
        <f>G$24</f>
        <v>10</v>
      </c>
      <c r="H99" s="52" t="s">
        <v>49</v>
      </c>
      <c r="I99" s="53">
        <f>E99*G99</f>
        <v>0</v>
      </c>
    </row>
    <row r="100" spans="2:13" ht="18" customHeight="1">
      <c r="B100" s="23" t="s">
        <v>36</v>
      </c>
      <c r="C100" s="261" t="s">
        <v>14</v>
      </c>
      <c r="D100" s="261" t="s">
        <v>37</v>
      </c>
      <c r="E100" s="261" t="s">
        <v>38</v>
      </c>
      <c r="F100" s="261" t="s">
        <v>39</v>
      </c>
      <c r="G100" s="261" t="s">
        <v>8</v>
      </c>
      <c r="H100" s="261" t="s">
        <v>22</v>
      </c>
      <c r="I100" s="25" t="s">
        <v>40</v>
      </c>
    </row>
    <row r="101" spans="2:13" ht="18" customHeight="1">
      <c r="B101" s="648" t="s">
        <v>84</v>
      </c>
      <c r="C101" s="653" t="str">
        <f>C92</f>
        <v>SDL2281</v>
      </c>
      <c r="D101" s="263">
        <f>D35-122</f>
        <v>288</v>
      </c>
      <c r="E101" s="263">
        <f t="shared" ref="D101:E103" si="17">E35-122</f>
        <v>601.20000000000005</v>
      </c>
      <c r="F101" s="263">
        <f>2*(D101+E101)/1000</f>
        <v>1.7784</v>
      </c>
      <c r="G101" s="262">
        <f>G35</f>
        <v>2</v>
      </c>
      <c r="H101" s="262">
        <f>H96</f>
        <v>0.27100000000000002</v>
      </c>
      <c r="I101" s="59">
        <f>ROUND(F101*G101*H101,3)</f>
        <v>0.96399999999999997</v>
      </c>
    </row>
    <row r="102" spans="2:13" ht="18" customHeight="1">
      <c r="B102" s="648"/>
      <c r="C102" s="650"/>
      <c r="D102" s="263">
        <f t="shared" si="17"/>
        <v>-122</v>
      </c>
      <c r="E102" s="263">
        <f t="shared" si="17"/>
        <v>-122</v>
      </c>
      <c r="F102" s="263">
        <f>2*(D102+E102)/1000</f>
        <v>-0.48799999999999999</v>
      </c>
      <c r="G102" s="262">
        <f>G36</f>
        <v>0</v>
      </c>
      <c r="H102" s="262">
        <f>H101</f>
        <v>0.27100000000000002</v>
      </c>
      <c r="I102" s="59">
        <f>ROUND(F102*G102*H102,3)</f>
        <v>0</v>
      </c>
      <c r="K102" s="99"/>
      <c r="M102" s="99"/>
    </row>
    <row r="103" spans="2:13" ht="18" customHeight="1">
      <c r="B103" s="648"/>
      <c r="C103" s="651"/>
      <c r="D103" s="263">
        <f t="shared" si="17"/>
        <v>-122</v>
      </c>
      <c r="E103" s="263">
        <f t="shared" si="17"/>
        <v>-122</v>
      </c>
      <c r="F103" s="263">
        <f>2*(D103+E103)/1000</f>
        <v>-0.48799999999999999</v>
      </c>
      <c r="G103" s="262">
        <f>G37</f>
        <v>0</v>
      </c>
      <c r="H103" s="262">
        <f>H102</f>
        <v>0.27100000000000002</v>
      </c>
      <c r="I103" s="59">
        <f>ROUND(F103*G103*H103,3)</f>
        <v>0</v>
      </c>
      <c r="M103" s="99"/>
    </row>
    <row r="104" spans="2:13" ht="18" customHeight="1">
      <c r="B104" s="48" t="s">
        <v>42</v>
      </c>
      <c r="C104" s="49">
        <f>SUMPRODUCT(F101:F103*G101:G103)</f>
        <v>3.5568</v>
      </c>
      <c r="D104" s="50" t="s">
        <v>43</v>
      </c>
      <c r="E104" s="49">
        <f>SUM(I101:I103)*1.1</f>
        <v>1.0604</v>
      </c>
      <c r="F104" s="50" t="s">
        <v>44</v>
      </c>
      <c r="G104" s="51">
        <f>(C$218+C$222)/1000</f>
        <v>39.781500000000001</v>
      </c>
      <c r="H104" s="52" t="s">
        <v>45</v>
      </c>
      <c r="I104" s="53">
        <f>ROUND(E104*G104,2)</f>
        <v>42.18</v>
      </c>
    </row>
    <row r="105" spans="2:13" ht="18" customHeight="1">
      <c r="B105" s="48" t="s">
        <v>46</v>
      </c>
      <c r="C105" s="50">
        <v>186.72</v>
      </c>
      <c r="D105" s="50" t="s">
        <v>47</v>
      </c>
      <c r="E105" s="49">
        <f>ROUND(C104*(C105/1000),2)</f>
        <v>0.66</v>
      </c>
      <c r="F105" s="50" t="s">
        <v>48</v>
      </c>
      <c r="G105" s="50">
        <f>G$23</f>
        <v>10</v>
      </c>
      <c r="H105" s="52" t="s">
        <v>49</v>
      </c>
      <c r="I105" s="53">
        <f>ROUND(E105*G105,2)</f>
        <v>6.6</v>
      </c>
    </row>
    <row r="106" spans="2:13" ht="18" customHeight="1">
      <c r="B106" s="48" t="s">
        <v>50</v>
      </c>
      <c r="C106" s="50">
        <v>0</v>
      </c>
      <c r="D106" s="50" t="s">
        <v>51</v>
      </c>
      <c r="E106" s="49">
        <f>ROUND(C104*(C106/1000),2)</f>
        <v>0</v>
      </c>
      <c r="F106" s="50" t="s">
        <v>48</v>
      </c>
      <c r="G106" s="50">
        <f>G$24</f>
        <v>10</v>
      </c>
      <c r="H106" s="52" t="s">
        <v>49</v>
      </c>
      <c r="I106" s="53">
        <f>ROUND(E106*G106,2)</f>
        <v>0</v>
      </c>
    </row>
    <row r="107" spans="2:13" ht="18" customHeight="1">
      <c r="B107" s="23" t="s">
        <v>36</v>
      </c>
      <c r="C107" s="261" t="s">
        <v>14</v>
      </c>
      <c r="D107" s="261" t="s">
        <v>37</v>
      </c>
      <c r="E107" s="261" t="s">
        <v>38</v>
      </c>
      <c r="F107" s="261" t="s">
        <v>39</v>
      </c>
      <c r="G107" s="261" t="s">
        <v>8</v>
      </c>
      <c r="H107" s="261" t="s">
        <v>22</v>
      </c>
      <c r="I107" s="25" t="s">
        <v>40</v>
      </c>
    </row>
    <row r="108" spans="2:13" ht="18" customHeight="1">
      <c r="B108" s="648" t="s">
        <v>85</v>
      </c>
      <c r="C108" s="655" t="s">
        <v>86</v>
      </c>
      <c r="D108" s="262">
        <v>1000</v>
      </c>
      <c r="E108" s="262">
        <f>E14</f>
        <v>2320</v>
      </c>
      <c r="F108" s="262">
        <f>ROUND((D108+E108)*2/1000,4)</f>
        <v>6.64</v>
      </c>
      <c r="G108" s="262">
        <v>1</v>
      </c>
      <c r="H108" s="262">
        <v>1.857</v>
      </c>
      <c r="I108" s="59">
        <f>ROUND(F108*G108*H108,3)</f>
        <v>12.33</v>
      </c>
    </row>
    <row r="109" spans="2:13" ht="18" customHeight="1">
      <c r="B109" s="648"/>
      <c r="C109" s="656"/>
      <c r="D109" s="262"/>
      <c r="E109" s="262"/>
      <c r="F109" s="262">
        <f>ROUND((D109+E109)*2/1000,4)</f>
        <v>0</v>
      </c>
      <c r="G109" s="262"/>
      <c r="H109" s="262">
        <f>H108</f>
        <v>1.857</v>
      </c>
      <c r="I109" s="59">
        <f>ROUND(F109*G109*H109,3)</f>
        <v>0</v>
      </c>
      <c r="K109" s="42"/>
      <c r="L109" s="42"/>
      <c r="M109" s="42"/>
    </row>
    <row r="110" spans="2:13" ht="18" customHeight="1">
      <c r="B110" s="648"/>
      <c r="C110" s="656"/>
      <c r="D110" s="262"/>
      <c r="E110" s="262"/>
      <c r="F110" s="262">
        <f>ROUND((D110+E110)*2/1000,4)</f>
        <v>0</v>
      </c>
      <c r="G110" s="262"/>
      <c r="H110" s="262">
        <f>H109</f>
        <v>1.857</v>
      </c>
      <c r="I110" s="59">
        <f>ROUND(F110*G110*H110,3)</f>
        <v>0</v>
      </c>
      <c r="K110" s="42"/>
      <c r="L110" s="42"/>
      <c r="M110" s="42"/>
    </row>
    <row r="111" spans="2:13" ht="18" customHeight="1">
      <c r="B111" s="648"/>
      <c r="C111" s="657"/>
      <c r="D111" s="262"/>
      <c r="E111" s="262"/>
      <c r="F111" s="262">
        <f>ROUND((D111+E111)*2/1000,4)</f>
        <v>0</v>
      </c>
      <c r="G111" s="262"/>
      <c r="H111" s="262">
        <f>H110</f>
        <v>1.857</v>
      </c>
      <c r="I111" s="59">
        <f>ROUND(F111*G111*H111,3)</f>
        <v>0</v>
      </c>
      <c r="K111" s="42"/>
      <c r="L111" s="42"/>
      <c r="M111" s="42"/>
    </row>
    <row r="112" spans="2:13" ht="18" customHeight="1">
      <c r="B112" s="48" t="s">
        <v>42</v>
      </c>
      <c r="C112" s="49">
        <f>SUMPRODUCT(F108:F111*G108:G111)</f>
        <v>6.64</v>
      </c>
      <c r="D112" s="50" t="s">
        <v>43</v>
      </c>
      <c r="E112" s="49">
        <f>SUM(I108:I111)*1.1</f>
        <v>13.563000000000001</v>
      </c>
      <c r="F112" s="50" t="s">
        <v>44</v>
      </c>
      <c r="G112" s="51">
        <f>(C$218+C$219)/1000</f>
        <v>46.081499999999998</v>
      </c>
      <c r="H112" s="52" t="s">
        <v>45</v>
      </c>
      <c r="I112" s="53">
        <f>ROUND(E112*G112,2)</f>
        <v>625</v>
      </c>
      <c r="J112" s="243">
        <f>SUM(G108:G111)</f>
        <v>1</v>
      </c>
      <c r="K112" s="42"/>
      <c r="L112" s="42"/>
      <c r="M112" s="42"/>
    </row>
    <row r="113" spans="2:14" ht="18" customHeight="1">
      <c r="B113" s="48" t="s">
        <v>46</v>
      </c>
      <c r="C113" s="50">
        <v>241.03</v>
      </c>
      <c r="D113" s="50" t="s">
        <v>47</v>
      </c>
      <c r="E113" s="49">
        <f>ROUND(C112*(C113/1000),2)</f>
        <v>1.6</v>
      </c>
      <c r="F113" s="50" t="s">
        <v>48</v>
      </c>
      <c r="G113" s="50">
        <f>G$23</f>
        <v>10</v>
      </c>
      <c r="H113" s="52" t="s">
        <v>49</v>
      </c>
      <c r="I113" s="53">
        <f>E113*G113</f>
        <v>16</v>
      </c>
      <c r="K113" s="42"/>
      <c r="L113" s="42"/>
      <c r="M113" s="42"/>
    </row>
    <row r="114" spans="2:14" ht="18" customHeight="1" thickBot="1">
      <c r="B114" s="48" t="s">
        <v>50</v>
      </c>
      <c r="C114" s="50">
        <v>204.38</v>
      </c>
      <c r="D114" s="50" t="s">
        <v>51</v>
      </c>
      <c r="E114" s="49">
        <f>ROUND(C112*(C114/1000),2)</f>
        <v>1.36</v>
      </c>
      <c r="F114" s="50" t="s">
        <v>48</v>
      </c>
      <c r="G114" s="50">
        <f>G$24</f>
        <v>10</v>
      </c>
      <c r="H114" s="52" t="s">
        <v>49</v>
      </c>
      <c r="I114" s="53">
        <f>E114*G114</f>
        <v>13.600000000000001</v>
      </c>
    </row>
    <row r="115" spans="2:14" ht="18" customHeight="1" thickBot="1">
      <c r="B115" s="23" t="s">
        <v>36</v>
      </c>
      <c r="C115" s="261" t="s">
        <v>14</v>
      </c>
      <c r="D115" s="261" t="s">
        <v>37</v>
      </c>
      <c r="E115" s="261" t="s">
        <v>38</v>
      </c>
      <c r="F115" s="261" t="s">
        <v>39</v>
      </c>
      <c r="G115" s="261" t="s">
        <v>8</v>
      </c>
      <c r="H115" s="261" t="s">
        <v>22</v>
      </c>
      <c r="I115" s="25" t="s">
        <v>40</v>
      </c>
      <c r="J115" s="54" t="s">
        <v>2</v>
      </c>
      <c r="K115" s="55" t="s">
        <v>3</v>
      </c>
      <c r="L115" s="55" t="s">
        <v>61</v>
      </c>
      <c r="M115" s="55" t="s">
        <v>62</v>
      </c>
      <c r="N115" s="70" t="s">
        <v>14</v>
      </c>
    </row>
    <row r="116" spans="2:14" ht="18" customHeight="1">
      <c r="B116" s="648" t="s">
        <v>87</v>
      </c>
      <c r="C116" s="649" t="s">
        <v>88</v>
      </c>
      <c r="D116" s="263">
        <f t="shared" ref="D116:E118" si="18">J116-IF(L116=1,78,IF(L116=2,55.5,IF(L116=3,41,0)))</f>
        <v>922</v>
      </c>
      <c r="E116" s="263">
        <f t="shared" si="18"/>
        <v>2242</v>
      </c>
      <c r="F116" s="262">
        <f>ROUND((D116+E116)*2/1000,4)</f>
        <v>6.3280000000000003</v>
      </c>
      <c r="G116" s="262">
        <v>1</v>
      </c>
      <c r="H116" s="58">
        <v>2.456</v>
      </c>
      <c r="I116" s="59">
        <f>ROUND(F116*G116*H116,3)</f>
        <v>15.542</v>
      </c>
      <c r="J116" s="60">
        <f>D108</f>
        <v>1000</v>
      </c>
      <c r="K116" s="61">
        <f>E108</f>
        <v>2320</v>
      </c>
      <c r="L116" s="61">
        <v>1</v>
      </c>
      <c r="M116" s="61">
        <v>1</v>
      </c>
      <c r="N116" s="76" t="s">
        <v>56</v>
      </c>
    </row>
    <row r="117" spans="2:14" ht="18" customHeight="1">
      <c r="B117" s="648"/>
      <c r="C117" s="650"/>
      <c r="D117" s="263">
        <f t="shared" si="18"/>
        <v>0</v>
      </c>
      <c r="E117" s="263">
        <f t="shared" si="18"/>
        <v>0</v>
      </c>
      <c r="F117" s="262">
        <f>ROUND((D117+E117)*2/1000,4)</f>
        <v>0</v>
      </c>
      <c r="G117" s="262">
        <v>0</v>
      </c>
      <c r="H117" s="58">
        <f>H116</f>
        <v>2.456</v>
      </c>
      <c r="I117" s="59">
        <f>ROUND(F117*G117*H117,3)</f>
        <v>0</v>
      </c>
      <c r="J117" s="60"/>
      <c r="K117" s="61"/>
      <c r="L117" s="61"/>
      <c r="M117" s="61"/>
      <c r="N117" s="76" t="s">
        <v>58</v>
      </c>
    </row>
    <row r="118" spans="2:14" ht="18" customHeight="1" thickBot="1">
      <c r="B118" s="648"/>
      <c r="C118" s="651"/>
      <c r="D118" s="263">
        <f t="shared" si="18"/>
        <v>0</v>
      </c>
      <c r="E118" s="263">
        <f t="shared" si="18"/>
        <v>0</v>
      </c>
      <c r="F118" s="262">
        <f>ROUND((D118+E118)*2/1000,4)</f>
        <v>0</v>
      </c>
      <c r="G118" s="262">
        <v>0</v>
      </c>
      <c r="H118" s="58">
        <f>H117</f>
        <v>2.456</v>
      </c>
      <c r="I118" s="59">
        <f>ROUND(F118*G118*H118,3)</f>
        <v>0</v>
      </c>
      <c r="J118" s="64"/>
      <c r="K118" s="65"/>
      <c r="L118" s="65"/>
      <c r="M118" s="65"/>
      <c r="N118" s="80" t="s">
        <v>89</v>
      </c>
    </row>
    <row r="119" spans="2:14" ht="18" customHeight="1">
      <c r="B119" s="48" t="s">
        <v>42</v>
      </c>
      <c r="C119" s="49">
        <f>SUMPRODUCT(F116:F118*G116:G118)</f>
        <v>6.3280000000000003</v>
      </c>
      <c r="D119" s="100" t="s">
        <v>43</v>
      </c>
      <c r="E119" s="100">
        <f>SUM(I116:I118)*1.1</f>
        <v>17.0962</v>
      </c>
      <c r="F119" s="50" t="s">
        <v>44</v>
      </c>
      <c r="G119" s="51">
        <f>(C$218+C$219)/1000</f>
        <v>46.081499999999998</v>
      </c>
      <c r="H119" s="52" t="s">
        <v>45</v>
      </c>
      <c r="I119" s="53">
        <f>ROUND(E119*G119,2)</f>
        <v>787.82</v>
      </c>
      <c r="J119" s="243">
        <f>SUM(G116:G118)</f>
        <v>1</v>
      </c>
      <c r="K119" s="255"/>
      <c r="L119" s="255"/>
      <c r="M119" s="255"/>
    </row>
    <row r="120" spans="2:14" ht="18" customHeight="1">
      <c r="B120" s="48" t="s">
        <v>46</v>
      </c>
      <c r="C120" s="50">
        <v>350.56</v>
      </c>
      <c r="D120" s="100" t="s">
        <v>47</v>
      </c>
      <c r="E120" s="100">
        <f>ROUND(C119*(C120/1000),2)</f>
        <v>2.2200000000000002</v>
      </c>
      <c r="F120" s="50" t="s">
        <v>48</v>
      </c>
      <c r="G120" s="50">
        <f>G$23</f>
        <v>10</v>
      </c>
      <c r="H120" s="52" t="s">
        <v>49</v>
      </c>
      <c r="I120" s="53">
        <f>E120*G120</f>
        <v>22.200000000000003</v>
      </c>
      <c r="J120" s="255"/>
      <c r="K120" s="255"/>
      <c r="L120" s="255"/>
      <c r="M120" s="255"/>
    </row>
    <row r="121" spans="2:14" ht="18" customHeight="1" thickBot="1">
      <c r="B121" s="48" t="s">
        <v>50</v>
      </c>
      <c r="C121" s="50">
        <v>189.03</v>
      </c>
      <c r="D121" s="100" t="s">
        <v>51</v>
      </c>
      <c r="E121" s="100">
        <f>ROUND(C119*(C121/1000),2)</f>
        <v>1.2</v>
      </c>
      <c r="F121" s="50" t="s">
        <v>48</v>
      </c>
      <c r="G121" s="50">
        <f>G$24</f>
        <v>10</v>
      </c>
      <c r="H121" s="52" t="s">
        <v>49</v>
      </c>
      <c r="I121" s="53">
        <f>E121*G121</f>
        <v>12</v>
      </c>
      <c r="J121" s="255"/>
    </row>
    <row r="122" spans="2:14" ht="18" customHeight="1" thickBot="1">
      <c r="B122" s="23" t="s">
        <v>36</v>
      </c>
      <c r="C122" s="261" t="s">
        <v>14</v>
      </c>
      <c r="D122" s="101" t="s">
        <v>37</v>
      </c>
      <c r="E122" s="101" t="s">
        <v>38</v>
      </c>
      <c r="F122" s="261" t="s">
        <v>39</v>
      </c>
      <c r="G122" s="261" t="s">
        <v>8</v>
      </c>
      <c r="H122" s="261" t="s">
        <v>22</v>
      </c>
      <c r="I122" s="25" t="s">
        <v>40</v>
      </c>
      <c r="J122" s="54" t="s">
        <v>2</v>
      </c>
      <c r="K122" s="55" t="s">
        <v>3</v>
      </c>
      <c r="L122" s="55" t="s">
        <v>61</v>
      </c>
      <c r="M122" s="55" t="s">
        <v>62</v>
      </c>
      <c r="N122" s="70" t="s">
        <v>14</v>
      </c>
    </row>
    <row r="123" spans="2:14" ht="18" customHeight="1">
      <c r="B123" s="648" t="s">
        <v>90</v>
      </c>
      <c r="C123" s="649" t="s">
        <v>91</v>
      </c>
      <c r="D123" s="263">
        <f t="shared" ref="D123:E125" si="19">J123-IF(L123=1,78,IF(L123=2,55.5,IF(L123=3,41,0)))</f>
        <v>0</v>
      </c>
      <c r="E123" s="263">
        <f t="shared" si="19"/>
        <v>0</v>
      </c>
      <c r="F123" s="262">
        <f>ROUND((D123+E123)*2/1000,4)</f>
        <v>0</v>
      </c>
      <c r="G123" s="262"/>
      <c r="H123" s="58">
        <v>2.4710000000000001</v>
      </c>
      <c r="I123" s="59">
        <f>ROUND(F123*G123*H123,3)</f>
        <v>0</v>
      </c>
      <c r="J123" s="60"/>
      <c r="K123" s="61"/>
      <c r="L123" s="61"/>
      <c r="M123" s="61"/>
      <c r="N123" s="76" t="s">
        <v>56</v>
      </c>
    </row>
    <row r="124" spans="2:14" ht="18" customHeight="1">
      <c r="B124" s="648"/>
      <c r="C124" s="650"/>
      <c r="D124" s="263">
        <f t="shared" si="19"/>
        <v>0</v>
      </c>
      <c r="E124" s="263">
        <f t="shared" si="19"/>
        <v>0</v>
      </c>
      <c r="F124" s="262">
        <f>ROUND((D124+E124)*2/1000,4)</f>
        <v>0</v>
      </c>
      <c r="G124" s="262"/>
      <c r="H124" s="58">
        <f>H123</f>
        <v>2.4710000000000001</v>
      </c>
      <c r="I124" s="59">
        <f>ROUND(F124*G124*H124,3)</f>
        <v>0</v>
      </c>
      <c r="J124" s="60"/>
      <c r="K124" s="61"/>
      <c r="L124" s="61"/>
      <c r="M124" s="61"/>
      <c r="N124" s="76" t="s">
        <v>58</v>
      </c>
    </row>
    <row r="125" spans="2:14" ht="18" customHeight="1" thickBot="1">
      <c r="B125" s="648"/>
      <c r="C125" s="651"/>
      <c r="D125" s="263">
        <f t="shared" si="19"/>
        <v>0</v>
      </c>
      <c r="E125" s="263">
        <f t="shared" si="19"/>
        <v>0</v>
      </c>
      <c r="F125" s="262">
        <f>ROUND((D125+E125)*2/1000,4)</f>
        <v>0</v>
      </c>
      <c r="G125" s="262"/>
      <c r="H125" s="58">
        <f>H124</f>
        <v>2.4710000000000001</v>
      </c>
      <c r="I125" s="59">
        <f>ROUND(F125*G125*H125,3)</f>
        <v>0</v>
      </c>
      <c r="J125" s="64"/>
      <c r="K125" s="65"/>
      <c r="L125" s="65"/>
      <c r="M125" s="65"/>
      <c r="N125" s="80" t="s">
        <v>89</v>
      </c>
    </row>
    <row r="126" spans="2:14" ht="18" customHeight="1">
      <c r="B126" s="48" t="s">
        <v>42</v>
      </c>
      <c r="C126" s="49">
        <f>SUMPRODUCT(F123:F125*G123:G125)</f>
        <v>0</v>
      </c>
      <c r="D126" s="50" t="s">
        <v>43</v>
      </c>
      <c r="E126" s="49">
        <f>SUM(I123:I125)*1.1</f>
        <v>0</v>
      </c>
      <c r="F126" s="50" t="s">
        <v>44</v>
      </c>
      <c r="G126" s="51">
        <f>(C$218+C$221)/1000</f>
        <v>46.081499999999998</v>
      </c>
      <c r="H126" s="52" t="s">
        <v>45</v>
      </c>
      <c r="I126" s="53">
        <f>ROUND(E126*G126,2)</f>
        <v>0</v>
      </c>
      <c r="J126" s="243">
        <f>SUM(G123:G125)</f>
        <v>0</v>
      </c>
      <c r="K126" s="255"/>
      <c r="L126" s="255"/>
      <c r="M126" s="255"/>
    </row>
    <row r="127" spans="2:14" ht="18" customHeight="1">
      <c r="B127" s="48" t="s">
        <v>46</v>
      </c>
      <c r="C127" s="50">
        <v>236.53</v>
      </c>
      <c r="D127" s="50" t="s">
        <v>47</v>
      </c>
      <c r="E127" s="49">
        <f>ROUND(C126*(C127/1000),2)</f>
        <v>0</v>
      </c>
      <c r="F127" s="50" t="s">
        <v>48</v>
      </c>
      <c r="G127" s="50">
        <f>G$23</f>
        <v>10</v>
      </c>
      <c r="H127" s="52" t="s">
        <v>49</v>
      </c>
      <c r="I127" s="53">
        <f>E127*G127</f>
        <v>0</v>
      </c>
      <c r="J127" s="255"/>
      <c r="K127" s="255"/>
      <c r="L127" s="255"/>
      <c r="M127" s="255"/>
    </row>
    <row r="128" spans="2:14" ht="18" customHeight="1" thickBot="1">
      <c r="B128" s="48" t="s">
        <v>50</v>
      </c>
      <c r="C128" s="50">
        <v>311.02999999999997</v>
      </c>
      <c r="D128" s="50" t="s">
        <v>51</v>
      </c>
      <c r="E128" s="49">
        <f>ROUND(C126*(C128/1000),2)</f>
        <v>0</v>
      </c>
      <c r="F128" s="50" t="s">
        <v>48</v>
      </c>
      <c r="G128" s="50">
        <f>G$24</f>
        <v>10</v>
      </c>
      <c r="H128" s="52" t="s">
        <v>49</v>
      </c>
      <c r="I128" s="53">
        <f>E128*G128</f>
        <v>0</v>
      </c>
      <c r="J128" s="255"/>
    </row>
    <row r="129" spans="2:14" ht="18" customHeight="1" thickBot="1">
      <c r="B129" s="23" t="s">
        <v>36</v>
      </c>
      <c r="C129" s="261" t="s">
        <v>14</v>
      </c>
      <c r="D129" s="261" t="s">
        <v>37</v>
      </c>
      <c r="E129" s="261" t="s">
        <v>71</v>
      </c>
      <c r="F129" s="261" t="s">
        <v>38</v>
      </c>
      <c r="G129" s="261" t="s">
        <v>72</v>
      </c>
      <c r="H129" s="261" t="s">
        <v>22</v>
      </c>
      <c r="I129" s="25" t="s">
        <v>40</v>
      </c>
      <c r="J129" s="54" t="s">
        <v>2</v>
      </c>
      <c r="K129" s="55" t="s">
        <v>3</v>
      </c>
      <c r="L129" s="55" t="s">
        <v>61</v>
      </c>
      <c r="M129" s="55" t="s">
        <v>62</v>
      </c>
      <c r="N129" s="70" t="s">
        <v>14</v>
      </c>
    </row>
    <row r="130" spans="2:14" ht="18" customHeight="1">
      <c r="B130" s="648" t="s">
        <v>92</v>
      </c>
      <c r="C130" s="649" t="s">
        <v>93</v>
      </c>
      <c r="D130" s="263">
        <f>J130-IF(L130=1,81,IF(L130=2,58.5,IF(L130=3,36,0)))</f>
        <v>0</v>
      </c>
      <c r="E130" s="263">
        <v>0</v>
      </c>
      <c r="F130" s="263">
        <f>K130-IF(M130=1,81,IF(M130=2,58.5,IF(M130=3,36,0)))</f>
        <v>0</v>
      </c>
      <c r="G130" s="262">
        <v>0</v>
      </c>
      <c r="H130" s="262">
        <v>2.0489999999999999</v>
      </c>
      <c r="I130" s="59">
        <f>ROUND((D130*E130+F130*G130)/1000*H130,3)</f>
        <v>0</v>
      </c>
      <c r="J130" s="60"/>
      <c r="K130" s="61"/>
      <c r="L130" s="61"/>
      <c r="M130" s="61"/>
      <c r="N130" s="76" t="s">
        <v>56</v>
      </c>
    </row>
    <row r="131" spans="2:14" ht="18" customHeight="1">
      <c r="B131" s="648"/>
      <c r="C131" s="650"/>
      <c r="D131" s="263">
        <f>J131-IF(L131=1,81,IF(L131=2,58.5,IF(L131=3,36,0)))</f>
        <v>0</v>
      </c>
      <c r="E131" s="263">
        <v>0</v>
      </c>
      <c r="F131" s="263">
        <f>K131-IF(M131=1,81,IF(M131=2,58.5,IF(M131=3,36,0)))</f>
        <v>0</v>
      </c>
      <c r="G131" s="262"/>
      <c r="H131" s="262">
        <f>H130</f>
        <v>2.0489999999999999</v>
      </c>
      <c r="I131" s="59">
        <f>ROUND((D131*E131+F131*G131)/1000*H131,3)</f>
        <v>0</v>
      </c>
      <c r="J131" s="60"/>
      <c r="K131" s="61"/>
      <c r="L131" s="61"/>
      <c r="M131" s="61"/>
      <c r="N131" s="76" t="s">
        <v>58</v>
      </c>
    </row>
    <row r="132" spans="2:14" ht="18" customHeight="1" thickBot="1">
      <c r="B132" s="648"/>
      <c r="C132" s="651"/>
      <c r="D132" s="263">
        <f>J132-IF(L132=1,81,IF(L132=2,58.5,IF(L132=3,36,0)))</f>
        <v>0</v>
      </c>
      <c r="E132" s="263"/>
      <c r="F132" s="263">
        <f>K132-IF(M132=1,81,IF(M132=2,58.5,IF(M132=3,36,0)))</f>
        <v>0</v>
      </c>
      <c r="G132" s="262"/>
      <c r="H132" s="262">
        <f>H131</f>
        <v>2.0489999999999999</v>
      </c>
      <c r="I132" s="59">
        <f>ROUND((D132*E132+F132*G132)/1000*H132,3)</f>
        <v>0</v>
      </c>
      <c r="J132" s="64"/>
      <c r="K132" s="65"/>
      <c r="L132" s="65"/>
      <c r="M132" s="65"/>
      <c r="N132" s="80" t="s">
        <v>89</v>
      </c>
    </row>
    <row r="133" spans="2:14" ht="18" customHeight="1">
      <c r="B133" s="48" t="s">
        <v>42</v>
      </c>
      <c r="C133" s="49">
        <f>SUMPRODUCT(D130:D132*E130:E132+F130:F132*G130:G132)/1000</f>
        <v>0</v>
      </c>
      <c r="D133" s="50" t="s">
        <v>43</v>
      </c>
      <c r="E133" s="49">
        <f>SUM(I130:I132)*1.1</f>
        <v>0</v>
      </c>
      <c r="F133" s="50" t="s">
        <v>44</v>
      </c>
      <c r="G133" s="51">
        <f>(C$218+C$219)/1000</f>
        <v>46.081499999999998</v>
      </c>
      <c r="H133" s="52" t="s">
        <v>45</v>
      </c>
      <c r="I133" s="53">
        <f>ROUND(E133*G133,2)</f>
        <v>0</v>
      </c>
      <c r="J133" s="243">
        <f>SUM(G130:G132)+SUM(E130:E132)</f>
        <v>0</v>
      </c>
    </row>
    <row r="134" spans="2:14" ht="18" customHeight="1">
      <c r="B134" s="48" t="s">
        <v>46</v>
      </c>
      <c r="C134" s="50">
        <v>298.42</v>
      </c>
      <c r="D134" s="50" t="s">
        <v>47</v>
      </c>
      <c r="E134" s="49">
        <f>ROUND(C133*(C134/1000),2)</f>
        <v>0</v>
      </c>
      <c r="F134" s="50" t="s">
        <v>48</v>
      </c>
      <c r="G134" s="50">
        <f>G$23</f>
        <v>10</v>
      </c>
      <c r="H134" s="52" t="s">
        <v>49</v>
      </c>
      <c r="I134" s="53">
        <f>ROUND(E134*G134,2)</f>
        <v>0</v>
      </c>
    </row>
    <row r="135" spans="2:14" ht="18" customHeight="1">
      <c r="B135" s="48" t="s">
        <v>50</v>
      </c>
      <c r="C135" s="50">
        <v>208.08</v>
      </c>
      <c r="D135" s="50" t="s">
        <v>51</v>
      </c>
      <c r="E135" s="49">
        <f>ROUND(C133*(C135/1000),2)</f>
        <v>0</v>
      </c>
      <c r="F135" s="50" t="s">
        <v>48</v>
      </c>
      <c r="G135" s="50">
        <f>G$24</f>
        <v>10</v>
      </c>
      <c r="H135" s="52" t="s">
        <v>49</v>
      </c>
      <c r="I135" s="53">
        <f>ROUND(E135*G135,2)</f>
        <v>0</v>
      </c>
    </row>
    <row r="136" spans="2:14" ht="18" customHeight="1">
      <c r="B136" s="23" t="s">
        <v>36</v>
      </c>
      <c r="C136" s="261" t="s">
        <v>14</v>
      </c>
      <c r="D136" s="652" t="s">
        <v>38</v>
      </c>
      <c r="E136" s="652"/>
      <c r="F136" s="652"/>
      <c r="G136" s="261" t="s">
        <v>72</v>
      </c>
      <c r="H136" s="261" t="s">
        <v>22</v>
      </c>
      <c r="I136" s="25" t="s">
        <v>40</v>
      </c>
    </row>
    <row r="137" spans="2:14" ht="18" customHeight="1">
      <c r="B137" s="648" t="s">
        <v>94</v>
      </c>
      <c r="C137" s="649" t="s">
        <v>95</v>
      </c>
      <c r="D137" s="654">
        <f>E116</f>
        <v>2242</v>
      </c>
      <c r="E137" s="646"/>
      <c r="F137" s="646"/>
      <c r="G137" s="262"/>
      <c r="H137" s="262">
        <v>1.3360000000000001</v>
      </c>
      <c r="I137" s="59">
        <f>ROUND(D137*H137*G137/1000,3)</f>
        <v>0</v>
      </c>
    </row>
    <row r="138" spans="2:14" ht="18" customHeight="1">
      <c r="B138" s="648"/>
      <c r="C138" s="651"/>
      <c r="D138" s="654"/>
      <c r="E138" s="646"/>
      <c r="F138" s="646"/>
      <c r="G138" s="262"/>
      <c r="H138" s="262">
        <f>H137</f>
        <v>1.3360000000000001</v>
      </c>
      <c r="I138" s="59">
        <f>ROUND(D138*H138*G138/1000,3)</f>
        <v>0</v>
      </c>
    </row>
    <row r="139" spans="2:14" ht="18" customHeight="1">
      <c r="B139" s="48" t="s">
        <v>42</v>
      </c>
      <c r="C139" s="49">
        <f>SUMPRODUCT(D137:F138*G137:G138)/1000</f>
        <v>0</v>
      </c>
      <c r="D139" s="50" t="s">
        <v>43</v>
      </c>
      <c r="E139" s="49">
        <f>SUM(I137:I138)*1.1</f>
        <v>0</v>
      </c>
      <c r="F139" s="50" t="s">
        <v>44</v>
      </c>
      <c r="G139" s="51">
        <f>(C$218+C$219)/1000</f>
        <v>46.081499999999998</v>
      </c>
      <c r="H139" s="52" t="s">
        <v>45</v>
      </c>
      <c r="I139" s="53">
        <f>ROUND(E139*G139,2)</f>
        <v>0</v>
      </c>
    </row>
    <row r="140" spans="2:14" ht="18" customHeight="1">
      <c r="B140" s="48" t="s">
        <v>46</v>
      </c>
      <c r="C140" s="50">
        <v>143.24</v>
      </c>
      <c r="D140" s="50" t="s">
        <v>47</v>
      </c>
      <c r="E140" s="49">
        <f>ROUND(C139*(C140/1000),2)</f>
        <v>0</v>
      </c>
      <c r="F140" s="50" t="s">
        <v>48</v>
      </c>
      <c r="G140" s="50">
        <f>G$23</f>
        <v>10</v>
      </c>
      <c r="H140" s="52" t="s">
        <v>49</v>
      </c>
      <c r="I140" s="53">
        <f>E140*G140</f>
        <v>0</v>
      </c>
    </row>
    <row r="141" spans="2:14" ht="18" customHeight="1">
      <c r="B141" s="48" t="s">
        <v>50</v>
      </c>
      <c r="C141" s="50">
        <v>85.04</v>
      </c>
      <c r="D141" s="50" t="s">
        <v>51</v>
      </c>
      <c r="E141" s="49">
        <f>ROUND(C139*(C141/1000),2)</f>
        <v>0</v>
      </c>
      <c r="F141" s="50" t="s">
        <v>48</v>
      </c>
      <c r="G141" s="50">
        <f>G$24</f>
        <v>10</v>
      </c>
      <c r="H141" s="52" t="s">
        <v>49</v>
      </c>
      <c r="I141" s="53">
        <f>E141*G141</f>
        <v>0</v>
      </c>
    </row>
    <row r="142" spans="2:14" ht="18" customHeight="1">
      <c r="B142" s="23" t="s">
        <v>36</v>
      </c>
      <c r="C142" s="261" t="s">
        <v>14</v>
      </c>
      <c r="D142" s="261" t="s">
        <v>37</v>
      </c>
      <c r="E142" s="261" t="s">
        <v>38</v>
      </c>
      <c r="F142" s="261" t="s">
        <v>39</v>
      </c>
      <c r="G142" s="261" t="s">
        <v>8</v>
      </c>
      <c r="H142" s="261" t="s">
        <v>22</v>
      </c>
      <c r="I142" s="25" t="s">
        <v>40</v>
      </c>
    </row>
    <row r="143" spans="2:14" ht="18" customHeight="1">
      <c r="B143" s="648" t="s">
        <v>96</v>
      </c>
      <c r="C143" s="653" t="s">
        <v>83</v>
      </c>
      <c r="D143" s="263">
        <f t="shared" ref="D143:E145" si="20">D116-154</f>
        <v>768</v>
      </c>
      <c r="E143" s="263">
        <f t="shared" si="20"/>
        <v>2088</v>
      </c>
      <c r="F143" s="263">
        <f>(D143+E143)*2/1000</f>
        <v>5.7119999999999997</v>
      </c>
      <c r="G143" s="262">
        <f>G116</f>
        <v>1</v>
      </c>
      <c r="H143" s="262">
        <v>0.27100000000000002</v>
      </c>
      <c r="I143" s="59">
        <f>ROUND((F143*G143)*H143,3)</f>
        <v>1.548</v>
      </c>
    </row>
    <row r="144" spans="2:14" ht="18" customHeight="1">
      <c r="B144" s="648"/>
      <c r="C144" s="650"/>
      <c r="D144" s="263">
        <f t="shared" si="20"/>
        <v>-154</v>
      </c>
      <c r="E144" s="263">
        <f t="shared" si="20"/>
        <v>-154</v>
      </c>
      <c r="F144" s="263">
        <f>(D144+E144)*2/1000</f>
        <v>-0.61599999999999999</v>
      </c>
      <c r="G144" s="262">
        <f>G117</f>
        <v>0</v>
      </c>
      <c r="H144" s="262">
        <f>H143</f>
        <v>0.27100000000000002</v>
      </c>
      <c r="I144" s="59">
        <f>ROUND((F144*G144)*H144,3)</f>
        <v>0</v>
      </c>
    </row>
    <row r="145" spans="2:14" ht="18" customHeight="1">
      <c r="B145" s="648"/>
      <c r="C145" s="651"/>
      <c r="D145" s="263">
        <f t="shared" si="20"/>
        <v>-154</v>
      </c>
      <c r="E145" s="263">
        <f t="shared" si="20"/>
        <v>-154</v>
      </c>
      <c r="F145" s="263">
        <f>(D145+E145)*2/1000</f>
        <v>-0.61599999999999999</v>
      </c>
      <c r="G145" s="262">
        <f>G118</f>
        <v>0</v>
      </c>
      <c r="H145" s="262">
        <f>H144</f>
        <v>0.27100000000000002</v>
      </c>
      <c r="I145" s="59">
        <f>ROUND((F145*G145)*H145,3)</f>
        <v>0</v>
      </c>
    </row>
    <row r="146" spans="2:14" ht="18" customHeight="1">
      <c r="B146" s="48" t="s">
        <v>42</v>
      </c>
      <c r="C146" s="49">
        <f>SUMPRODUCT(F143:F145*G143:G145)</f>
        <v>5.7119999999999997</v>
      </c>
      <c r="D146" s="50" t="s">
        <v>43</v>
      </c>
      <c r="E146" s="49">
        <f>SUM(I143:I145)*1.1</f>
        <v>1.7028000000000001</v>
      </c>
      <c r="F146" s="50" t="s">
        <v>44</v>
      </c>
      <c r="G146" s="51">
        <f>(C$218+C$222)/1000</f>
        <v>39.781500000000001</v>
      </c>
      <c r="H146" s="52" t="s">
        <v>45</v>
      </c>
      <c r="I146" s="53">
        <f>ROUND(E146*G146,2)</f>
        <v>67.739999999999995</v>
      </c>
    </row>
    <row r="147" spans="2:14" ht="18" customHeight="1">
      <c r="B147" s="48" t="s">
        <v>46</v>
      </c>
      <c r="C147" s="50">
        <v>186.72</v>
      </c>
      <c r="D147" s="50" t="s">
        <v>47</v>
      </c>
      <c r="E147" s="49">
        <f>ROUND(C146*(C147/1000),2)</f>
        <v>1.07</v>
      </c>
      <c r="F147" s="50" t="s">
        <v>48</v>
      </c>
      <c r="G147" s="50">
        <f>G$23</f>
        <v>10</v>
      </c>
      <c r="H147" s="52" t="s">
        <v>49</v>
      </c>
      <c r="I147" s="53">
        <f>E147*G147</f>
        <v>10.700000000000001</v>
      </c>
      <c r="K147" s="42"/>
      <c r="L147" s="42"/>
      <c r="M147" s="42"/>
    </row>
    <row r="148" spans="2:14" ht="18" customHeight="1">
      <c r="B148" s="48" t="s">
        <v>50</v>
      </c>
      <c r="C148" s="50">
        <v>0</v>
      </c>
      <c r="D148" s="50" t="s">
        <v>51</v>
      </c>
      <c r="E148" s="49">
        <f>ROUND(C146*(C148/1000),2)</f>
        <v>0</v>
      </c>
      <c r="F148" s="50" t="s">
        <v>48</v>
      </c>
      <c r="G148" s="50">
        <f>G$24</f>
        <v>10</v>
      </c>
      <c r="H148" s="52" t="s">
        <v>49</v>
      </c>
      <c r="I148" s="53">
        <f>E148*G148</f>
        <v>0</v>
      </c>
      <c r="K148" s="42"/>
      <c r="L148" s="42"/>
      <c r="M148" s="42"/>
    </row>
    <row r="149" spans="2:14" ht="18" customHeight="1">
      <c r="B149" s="23" t="s">
        <v>36</v>
      </c>
      <c r="C149" s="261" t="s">
        <v>14</v>
      </c>
      <c r="D149" s="261" t="s">
        <v>37</v>
      </c>
      <c r="E149" s="261" t="s">
        <v>38</v>
      </c>
      <c r="F149" s="261" t="s">
        <v>39</v>
      </c>
      <c r="G149" s="261" t="s">
        <v>8</v>
      </c>
      <c r="H149" s="261" t="s">
        <v>22</v>
      </c>
      <c r="I149" s="25" t="s">
        <v>40</v>
      </c>
      <c r="K149" s="42"/>
      <c r="L149" s="42"/>
      <c r="M149" s="42"/>
    </row>
    <row r="150" spans="2:14" ht="18" customHeight="1">
      <c r="B150" s="648" t="s">
        <v>97</v>
      </c>
      <c r="C150" s="653" t="s">
        <v>83</v>
      </c>
      <c r="D150" s="263">
        <f t="shared" ref="D150:E152" si="21">D123-160</f>
        <v>-160</v>
      </c>
      <c r="E150" s="263">
        <f t="shared" si="21"/>
        <v>-160</v>
      </c>
      <c r="F150" s="263">
        <f>(D150+E150)*2/1000</f>
        <v>-0.64</v>
      </c>
      <c r="G150" s="262">
        <f>G123</f>
        <v>0</v>
      </c>
      <c r="H150" s="262">
        <f>H145</f>
        <v>0.27100000000000002</v>
      </c>
      <c r="I150" s="59">
        <f>ROUND((F150*G150)*H150,3)</f>
        <v>0</v>
      </c>
      <c r="K150" s="42"/>
      <c r="L150" s="42"/>
      <c r="M150" s="42"/>
    </row>
    <row r="151" spans="2:14" ht="18" customHeight="1">
      <c r="B151" s="648"/>
      <c r="C151" s="650"/>
      <c r="D151" s="263">
        <f t="shared" si="21"/>
        <v>-160</v>
      </c>
      <c r="E151" s="263">
        <f t="shared" si="21"/>
        <v>-160</v>
      </c>
      <c r="F151" s="263">
        <f>(D151+E151)*2/1000</f>
        <v>-0.64</v>
      </c>
      <c r="G151" s="262">
        <f>G124</f>
        <v>0</v>
      </c>
      <c r="H151" s="262">
        <f>H150</f>
        <v>0.27100000000000002</v>
      </c>
      <c r="I151" s="59">
        <f>ROUND((F151*G151)*H151,3)</f>
        <v>0</v>
      </c>
      <c r="K151" s="42"/>
      <c r="L151" s="42"/>
      <c r="M151" s="42"/>
    </row>
    <row r="152" spans="2:14" ht="18" customHeight="1">
      <c r="B152" s="648"/>
      <c r="C152" s="651"/>
      <c r="D152" s="263">
        <f t="shared" si="21"/>
        <v>-160</v>
      </c>
      <c r="E152" s="263">
        <f t="shared" si="21"/>
        <v>-160</v>
      </c>
      <c r="F152" s="263">
        <f>(D152+E152)*2/1000</f>
        <v>-0.64</v>
      </c>
      <c r="G152" s="262">
        <f>G125</f>
        <v>0</v>
      </c>
      <c r="H152" s="262">
        <f>H151</f>
        <v>0.27100000000000002</v>
      </c>
      <c r="I152" s="59">
        <f>ROUND((F152*G152)*H152,3)</f>
        <v>0</v>
      </c>
      <c r="K152" s="42"/>
      <c r="L152" s="42"/>
      <c r="M152" s="42"/>
    </row>
    <row r="153" spans="2:14" ht="18" customHeight="1">
      <c r="B153" s="48" t="s">
        <v>42</v>
      </c>
      <c r="C153" s="49">
        <f>SUMPRODUCT(F150:F152*G150:G152)</f>
        <v>0</v>
      </c>
      <c r="D153" s="50" t="s">
        <v>43</v>
      </c>
      <c r="E153" s="49">
        <f>SUM(I150:I152)*1.1</f>
        <v>0</v>
      </c>
      <c r="F153" s="50" t="s">
        <v>44</v>
      </c>
      <c r="G153" s="51">
        <f>(C$218+C$222)/1000</f>
        <v>39.781500000000001</v>
      </c>
      <c r="H153" s="52" t="s">
        <v>45</v>
      </c>
      <c r="I153" s="53">
        <f>ROUND(E153*G153,2)</f>
        <v>0</v>
      </c>
      <c r="K153" s="42"/>
      <c r="L153" s="42"/>
      <c r="M153" s="42"/>
    </row>
    <row r="154" spans="2:14" ht="18" customHeight="1">
      <c r="B154" s="48" t="s">
        <v>46</v>
      </c>
      <c r="C154" s="50">
        <v>186.72</v>
      </c>
      <c r="D154" s="50" t="s">
        <v>47</v>
      </c>
      <c r="E154" s="49">
        <f>ROUND(C153*(C154/1000),2)</f>
        <v>0</v>
      </c>
      <c r="F154" s="50" t="s">
        <v>48</v>
      </c>
      <c r="G154" s="50">
        <f>G$23</f>
        <v>10</v>
      </c>
      <c r="H154" s="52" t="s">
        <v>49</v>
      </c>
      <c r="I154" s="53">
        <f>E154*G154</f>
        <v>0</v>
      </c>
    </row>
    <row r="155" spans="2:14" ht="18" customHeight="1" thickBot="1">
      <c r="B155" s="48" t="s">
        <v>50</v>
      </c>
      <c r="C155" s="50">
        <v>0</v>
      </c>
      <c r="D155" s="50" t="s">
        <v>51</v>
      </c>
      <c r="E155" s="49">
        <f>ROUND(C153*(C155/1000),2)</f>
        <v>0</v>
      </c>
      <c r="F155" s="50" t="s">
        <v>48</v>
      </c>
      <c r="G155" s="50">
        <f>G$24</f>
        <v>10</v>
      </c>
      <c r="H155" s="52" t="s">
        <v>49</v>
      </c>
      <c r="I155" s="53">
        <f>E155*G155</f>
        <v>0</v>
      </c>
    </row>
    <row r="156" spans="2:14" ht="18" customHeight="1" thickBot="1">
      <c r="B156" s="23" t="s">
        <v>36</v>
      </c>
      <c r="C156" s="261" t="s">
        <v>14</v>
      </c>
      <c r="D156" s="261" t="s">
        <v>37</v>
      </c>
      <c r="E156" s="261" t="s">
        <v>38</v>
      </c>
      <c r="F156" s="261" t="s">
        <v>39</v>
      </c>
      <c r="G156" s="261" t="s">
        <v>8</v>
      </c>
      <c r="H156" s="261" t="s">
        <v>22</v>
      </c>
      <c r="I156" s="25" t="s">
        <v>40</v>
      </c>
      <c r="J156" s="54" t="s">
        <v>2</v>
      </c>
      <c r="K156" s="55" t="s">
        <v>3</v>
      </c>
      <c r="L156" s="55" t="s">
        <v>61</v>
      </c>
      <c r="M156" s="55" t="s">
        <v>62</v>
      </c>
      <c r="N156" s="70" t="s">
        <v>14</v>
      </c>
    </row>
    <row r="157" spans="2:14" ht="18" customHeight="1">
      <c r="B157" s="648" t="s">
        <v>98</v>
      </c>
      <c r="C157" s="649" t="s">
        <v>99</v>
      </c>
      <c r="D157" s="263">
        <f t="shared" ref="D157:E162" si="22">J157-IF(L157=1,90,IF(L157=2,67.5,IF(L157=3,45,0)))</f>
        <v>0</v>
      </c>
      <c r="E157" s="263">
        <f t="shared" si="22"/>
        <v>0</v>
      </c>
      <c r="F157" s="263">
        <f t="shared" ref="F157:F162" si="23">2*(D157+E157)/1000</f>
        <v>0</v>
      </c>
      <c r="G157" s="262">
        <v>0</v>
      </c>
      <c r="H157" s="262">
        <f>H68</f>
        <v>0.224</v>
      </c>
      <c r="I157" s="59">
        <f t="shared" ref="I157:I162" si="24">ROUND((F157*G157)*H157,3)</f>
        <v>0</v>
      </c>
      <c r="J157" s="60"/>
      <c r="K157" s="61"/>
      <c r="L157" s="61"/>
      <c r="M157" s="61"/>
      <c r="N157" s="76" t="s">
        <v>56</v>
      </c>
    </row>
    <row r="158" spans="2:14" ht="18" customHeight="1">
      <c r="B158" s="648"/>
      <c r="C158" s="650"/>
      <c r="D158" s="263">
        <f t="shared" si="22"/>
        <v>0</v>
      </c>
      <c r="E158" s="263">
        <f t="shared" si="22"/>
        <v>0</v>
      </c>
      <c r="F158" s="263">
        <f t="shared" si="23"/>
        <v>0</v>
      </c>
      <c r="G158" s="262"/>
      <c r="H158" s="262">
        <f>H157</f>
        <v>0.224</v>
      </c>
      <c r="I158" s="59">
        <f t="shared" si="24"/>
        <v>0</v>
      </c>
      <c r="J158" s="60"/>
      <c r="K158" s="61"/>
      <c r="L158" s="61"/>
      <c r="M158" s="61"/>
      <c r="N158" s="76" t="s">
        <v>58</v>
      </c>
    </row>
    <row r="159" spans="2:14" ht="18" customHeight="1">
      <c r="B159" s="648"/>
      <c r="C159" s="650"/>
      <c r="D159" s="263">
        <f t="shared" si="22"/>
        <v>0</v>
      </c>
      <c r="E159" s="263">
        <f t="shared" si="22"/>
        <v>0</v>
      </c>
      <c r="F159" s="263">
        <f t="shared" si="23"/>
        <v>0</v>
      </c>
      <c r="G159" s="262"/>
      <c r="H159" s="262">
        <f>H158</f>
        <v>0.224</v>
      </c>
      <c r="I159" s="59">
        <f t="shared" si="24"/>
        <v>0</v>
      </c>
      <c r="J159" s="60"/>
      <c r="K159" s="61"/>
      <c r="L159" s="61"/>
      <c r="M159" s="61"/>
      <c r="N159" s="76" t="s">
        <v>60</v>
      </c>
    </row>
    <row r="160" spans="2:14" ht="18" customHeight="1">
      <c r="B160" s="648"/>
      <c r="C160" s="650"/>
      <c r="D160" s="263">
        <f t="shared" si="22"/>
        <v>0</v>
      </c>
      <c r="E160" s="263">
        <f t="shared" si="22"/>
        <v>0</v>
      </c>
      <c r="F160" s="263">
        <f t="shared" si="23"/>
        <v>0</v>
      </c>
      <c r="G160" s="262">
        <v>0</v>
      </c>
      <c r="H160" s="77">
        <f>H159</f>
        <v>0.224</v>
      </c>
      <c r="I160" s="59">
        <f t="shared" si="24"/>
        <v>0</v>
      </c>
      <c r="J160" s="60"/>
      <c r="K160" s="61"/>
      <c r="L160" s="61"/>
      <c r="M160" s="61"/>
      <c r="N160" s="76"/>
    </row>
    <row r="161" spans="2:16" ht="18" customHeight="1">
      <c r="B161" s="648"/>
      <c r="C161" s="650"/>
      <c r="D161" s="263">
        <f t="shared" si="22"/>
        <v>0</v>
      </c>
      <c r="E161" s="263">
        <f t="shared" si="22"/>
        <v>0</v>
      </c>
      <c r="F161" s="263">
        <f t="shared" si="23"/>
        <v>0</v>
      </c>
      <c r="G161" s="262"/>
      <c r="H161" s="262">
        <f>H160</f>
        <v>0.224</v>
      </c>
      <c r="I161" s="59">
        <f t="shared" si="24"/>
        <v>0</v>
      </c>
      <c r="J161" s="60"/>
      <c r="K161" s="61"/>
      <c r="L161" s="61"/>
      <c r="M161" s="61"/>
      <c r="N161" s="76"/>
    </row>
    <row r="162" spans="2:16" ht="18" customHeight="1" thickBot="1">
      <c r="B162" s="648"/>
      <c r="C162" s="651"/>
      <c r="D162" s="263">
        <f t="shared" si="22"/>
        <v>0</v>
      </c>
      <c r="E162" s="263">
        <f t="shared" si="22"/>
        <v>0</v>
      </c>
      <c r="F162" s="263">
        <f t="shared" si="23"/>
        <v>0</v>
      </c>
      <c r="G162" s="262"/>
      <c r="H162" s="262">
        <f>H160</f>
        <v>0.224</v>
      </c>
      <c r="I162" s="59">
        <f t="shared" si="24"/>
        <v>0</v>
      </c>
      <c r="J162" s="64"/>
      <c r="K162" s="65"/>
      <c r="L162" s="65"/>
      <c r="M162" s="65"/>
      <c r="N162" s="80"/>
    </row>
    <row r="163" spans="2:16" ht="18" customHeight="1">
      <c r="B163" s="48" t="s">
        <v>42</v>
      </c>
      <c r="C163" s="49">
        <f>SUMPRODUCT(F157:F162*G157:G162)</f>
        <v>0</v>
      </c>
      <c r="D163" s="50" t="s">
        <v>43</v>
      </c>
      <c r="E163" s="49">
        <f>SUM(I157:I162)*1.1</f>
        <v>0</v>
      </c>
      <c r="F163" s="50" t="s">
        <v>44</v>
      </c>
      <c r="G163" s="51">
        <f>(C$218+C$222)/1000</f>
        <v>39.781500000000001</v>
      </c>
      <c r="H163" s="52" t="s">
        <v>45</v>
      </c>
      <c r="I163" s="53">
        <f>ROUND(E163*G163,2)</f>
        <v>0</v>
      </c>
      <c r="J163" s="102"/>
      <c r="K163" s="102"/>
      <c r="L163" s="102"/>
      <c r="M163" s="102"/>
      <c r="O163" s="102"/>
      <c r="P163" s="102"/>
    </row>
    <row r="164" spans="2:16" ht="18" customHeight="1">
      <c r="B164" s="48" t="s">
        <v>46</v>
      </c>
      <c r="C164" s="50">
        <v>181.72</v>
      </c>
      <c r="D164" s="50" t="s">
        <v>47</v>
      </c>
      <c r="E164" s="49">
        <f>ROUND(C163*(C164/1000),2)</f>
        <v>0</v>
      </c>
      <c r="F164" s="50" t="s">
        <v>48</v>
      </c>
      <c r="G164" s="50">
        <f>G$23</f>
        <v>10</v>
      </c>
      <c r="H164" s="52" t="s">
        <v>49</v>
      </c>
      <c r="I164" s="53">
        <f>E164*G164</f>
        <v>0</v>
      </c>
      <c r="J164" s="102"/>
      <c r="K164" s="102"/>
      <c r="L164" s="102"/>
      <c r="M164" s="102"/>
      <c r="O164" s="102"/>
      <c r="P164" s="102"/>
    </row>
    <row r="165" spans="2:16" ht="18" customHeight="1">
      <c r="B165" s="48" t="s">
        <v>50</v>
      </c>
      <c r="C165" s="50"/>
      <c r="D165" s="50" t="s">
        <v>51</v>
      </c>
      <c r="E165" s="49">
        <f>ROUND(C163*(C165/1000),2)</f>
        <v>0</v>
      </c>
      <c r="F165" s="50" t="s">
        <v>48</v>
      </c>
      <c r="G165" s="50">
        <f>G$24</f>
        <v>10</v>
      </c>
      <c r="H165" s="52" t="s">
        <v>49</v>
      </c>
      <c r="I165" s="53">
        <f>E165*G165</f>
        <v>0</v>
      </c>
      <c r="K165" s="43">
        <f>J165*E165</f>
        <v>0</v>
      </c>
    </row>
    <row r="166" spans="2:16" ht="18" customHeight="1">
      <c r="B166" s="23" t="s">
        <v>36</v>
      </c>
      <c r="C166" s="261" t="s">
        <v>14</v>
      </c>
      <c r="D166" s="261" t="s">
        <v>37</v>
      </c>
      <c r="E166" s="261" t="s">
        <v>71</v>
      </c>
      <c r="F166" s="261" t="s">
        <v>38</v>
      </c>
      <c r="G166" s="261" t="s">
        <v>72</v>
      </c>
      <c r="H166" s="261" t="s">
        <v>22</v>
      </c>
      <c r="I166" s="25" t="s">
        <v>40</v>
      </c>
    </row>
    <row r="167" spans="2:16" ht="18" customHeight="1">
      <c r="B167" s="648" t="s">
        <v>100</v>
      </c>
      <c r="C167" s="649" t="s">
        <v>101</v>
      </c>
      <c r="D167" s="262"/>
      <c r="E167" s="262"/>
      <c r="F167" s="262"/>
      <c r="G167" s="262"/>
      <c r="H167" s="28">
        <v>6.3E-2</v>
      </c>
      <c r="I167" s="59">
        <f>ROUND((D167*E167+F167*G167)/1000*H167,3)</f>
        <v>0</v>
      </c>
    </row>
    <row r="168" spans="2:16" ht="18" customHeight="1">
      <c r="B168" s="648"/>
      <c r="C168" s="650"/>
      <c r="D168" s="262"/>
      <c r="E168" s="262"/>
      <c r="F168" s="262"/>
      <c r="G168" s="262"/>
      <c r="H168" s="28">
        <f>H167</f>
        <v>6.3E-2</v>
      </c>
      <c r="I168" s="59">
        <f>ROUND((D168*E168+F168*G168)/1000*H168,3)</f>
        <v>0</v>
      </c>
    </row>
    <row r="169" spans="2:16" ht="18" customHeight="1">
      <c r="B169" s="648"/>
      <c r="C169" s="651"/>
      <c r="D169" s="262"/>
      <c r="E169" s="262"/>
      <c r="F169" s="262"/>
      <c r="G169" s="262"/>
      <c r="H169" s="28">
        <f>H168</f>
        <v>6.3E-2</v>
      </c>
      <c r="I169" s="59">
        <f>ROUND((D169*E169+F169*G169)/1000*H169,3)</f>
        <v>0</v>
      </c>
    </row>
    <row r="170" spans="2:16" ht="18" customHeight="1">
      <c r="B170" s="48" t="s">
        <v>42</v>
      </c>
      <c r="C170" s="49">
        <f>SUMPRODUCT(D167:D169*E167:E169+F167:F169*G167:G169)/1000</f>
        <v>0</v>
      </c>
      <c r="D170" s="50" t="s">
        <v>43</v>
      </c>
      <c r="E170" s="49">
        <f>SUM(I167:I169)*1.1</f>
        <v>0</v>
      </c>
      <c r="F170" s="50" t="s">
        <v>44</v>
      </c>
      <c r="G170" s="51">
        <f>(C$218+$C$222)/1000</f>
        <v>39.781500000000001</v>
      </c>
      <c r="H170" s="52" t="s">
        <v>45</v>
      </c>
      <c r="I170" s="53">
        <f>ROUND(E170*G170,2)</f>
        <v>0</v>
      </c>
    </row>
    <row r="171" spans="2:16" ht="18" customHeight="1">
      <c r="B171" s="48" t="s">
        <v>46</v>
      </c>
      <c r="C171" s="50">
        <v>105.66</v>
      </c>
      <c r="D171" s="50" t="s">
        <v>47</v>
      </c>
      <c r="E171" s="49">
        <f>ROUND(C170*(C171/1000),2)</f>
        <v>0</v>
      </c>
      <c r="F171" s="50" t="s">
        <v>48</v>
      </c>
      <c r="G171" s="50">
        <f>G$23</f>
        <v>10</v>
      </c>
      <c r="H171" s="52" t="s">
        <v>49</v>
      </c>
      <c r="I171" s="53">
        <f>E171*G171</f>
        <v>0</v>
      </c>
    </row>
    <row r="172" spans="2:16" ht="18" customHeight="1">
      <c r="B172" s="48" t="s">
        <v>50</v>
      </c>
      <c r="C172" s="50">
        <v>125.66</v>
      </c>
      <c r="D172" s="50" t="s">
        <v>51</v>
      </c>
      <c r="E172" s="49">
        <f>ROUND(C170*(C172/1000),2)</f>
        <v>0</v>
      </c>
      <c r="F172" s="50" t="s">
        <v>48</v>
      </c>
      <c r="G172" s="50">
        <f>G$24</f>
        <v>10</v>
      </c>
      <c r="H172" s="52" t="s">
        <v>49</v>
      </c>
      <c r="I172" s="53">
        <f>E172*G172</f>
        <v>0</v>
      </c>
    </row>
    <row r="173" spans="2:16" ht="18" customHeight="1">
      <c r="B173" s="23" t="s">
        <v>36</v>
      </c>
      <c r="C173" s="261" t="s">
        <v>14</v>
      </c>
      <c r="D173" s="261" t="s">
        <v>37</v>
      </c>
      <c r="E173" s="261" t="s">
        <v>71</v>
      </c>
      <c r="F173" s="261" t="s">
        <v>38</v>
      </c>
      <c r="G173" s="261" t="s">
        <v>72</v>
      </c>
      <c r="H173" s="261" t="s">
        <v>22</v>
      </c>
      <c r="I173" s="25" t="s">
        <v>40</v>
      </c>
    </row>
    <row r="174" spans="2:16" ht="18" customHeight="1">
      <c r="B174" s="648" t="s">
        <v>102</v>
      </c>
      <c r="C174" s="649" t="s">
        <v>103</v>
      </c>
      <c r="D174" s="262"/>
      <c r="E174" s="262"/>
      <c r="F174" s="262"/>
      <c r="G174" s="262"/>
      <c r="H174" s="28">
        <v>1.0980000000000001</v>
      </c>
      <c r="I174" s="59">
        <f>ROUND((D174*E174+F174*G174)/1000*H174,3)</f>
        <v>0</v>
      </c>
    </row>
    <row r="175" spans="2:16" ht="18" customHeight="1">
      <c r="B175" s="648"/>
      <c r="C175" s="650"/>
      <c r="D175" s="262"/>
      <c r="E175" s="262"/>
      <c r="F175" s="262"/>
      <c r="G175" s="262"/>
      <c r="H175" s="28">
        <f>H174</f>
        <v>1.0980000000000001</v>
      </c>
      <c r="I175" s="59">
        <f>ROUND((D175*E175+F175*G175)/1000*H175,3)</f>
        <v>0</v>
      </c>
    </row>
    <row r="176" spans="2:16" ht="18" customHeight="1">
      <c r="B176" s="648"/>
      <c r="C176" s="651"/>
      <c r="D176" s="262"/>
      <c r="E176" s="262"/>
      <c r="F176" s="262"/>
      <c r="G176" s="262"/>
      <c r="H176" s="28">
        <f>H175</f>
        <v>1.0980000000000001</v>
      </c>
      <c r="I176" s="59">
        <f>ROUND((D176*E176+F176*G176)/1000*H176,3)</f>
        <v>0</v>
      </c>
    </row>
    <row r="177" spans="2:9" ht="18" customHeight="1">
      <c r="B177" s="48" t="s">
        <v>42</v>
      </c>
      <c r="C177" s="49">
        <f>SUMPRODUCT(D174:D176*E174:E176+F174:F176*G174:G176)/1000</f>
        <v>0</v>
      </c>
      <c r="D177" s="50" t="s">
        <v>43</v>
      </c>
      <c r="E177" s="49">
        <f>SUM(I174:I176)*1.1</f>
        <v>0</v>
      </c>
      <c r="F177" s="50" t="s">
        <v>44</v>
      </c>
      <c r="G177" s="51">
        <f>(C$218+C$219)/1000</f>
        <v>46.081499999999998</v>
      </c>
      <c r="H177" s="52" t="s">
        <v>45</v>
      </c>
      <c r="I177" s="53">
        <f>ROUND(E177*G177,2)</f>
        <v>0</v>
      </c>
    </row>
    <row r="178" spans="2:9" ht="18" customHeight="1">
      <c r="B178" s="48" t="s">
        <v>46</v>
      </c>
      <c r="C178" s="50">
        <v>105.66</v>
      </c>
      <c r="D178" s="50" t="s">
        <v>47</v>
      </c>
      <c r="E178" s="49">
        <f>ROUND(C177*(C178/1000),2)</f>
        <v>0</v>
      </c>
      <c r="F178" s="50" t="s">
        <v>48</v>
      </c>
      <c r="G178" s="50">
        <f>G$23</f>
        <v>10</v>
      </c>
      <c r="H178" s="52" t="s">
        <v>49</v>
      </c>
      <c r="I178" s="53">
        <f>E178*G178</f>
        <v>0</v>
      </c>
    </row>
    <row r="179" spans="2:9" ht="18" customHeight="1">
      <c r="B179" s="48" t="s">
        <v>50</v>
      </c>
      <c r="C179" s="50">
        <v>125.66</v>
      </c>
      <c r="D179" s="50" t="s">
        <v>51</v>
      </c>
      <c r="E179" s="49">
        <f>ROUND(C177*(C179/1000),2)</f>
        <v>0</v>
      </c>
      <c r="F179" s="50" t="s">
        <v>48</v>
      </c>
      <c r="G179" s="50">
        <f>G$24</f>
        <v>10</v>
      </c>
      <c r="H179" s="52" t="s">
        <v>49</v>
      </c>
      <c r="I179" s="53">
        <f>E179*G179</f>
        <v>0</v>
      </c>
    </row>
    <row r="180" spans="2:9" ht="18" customHeight="1">
      <c r="B180" s="23" t="s">
        <v>36</v>
      </c>
      <c r="C180" s="261" t="s">
        <v>14</v>
      </c>
      <c r="D180" s="261" t="s">
        <v>37</v>
      </c>
      <c r="E180" s="261" t="s">
        <v>71</v>
      </c>
      <c r="F180" s="261" t="s">
        <v>38</v>
      </c>
      <c r="G180" s="261" t="s">
        <v>72</v>
      </c>
      <c r="H180" s="261" t="s">
        <v>22</v>
      </c>
      <c r="I180" s="25" t="s">
        <v>40</v>
      </c>
    </row>
    <row r="181" spans="2:9" ht="18" customHeight="1">
      <c r="B181" s="648" t="s">
        <v>104</v>
      </c>
      <c r="C181" s="649" t="s">
        <v>105</v>
      </c>
      <c r="D181" s="262"/>
      <c r="E181" s="262"/>
      <c r="F181" s="262">
        <f>E14</f>
        <v>2320</v>
      </c>
      <c r="G181" s="262">
        <v>1</v>
      </c>
      <c r="H181" s="28">
        <v>1.5629999999999999</v>
      </c>
      <c r="I181" s="59">
        <f>ROUND((D181*E181+F181*G181)/1000*H181,3)</f>
        <v>3.6259999999999999</v>
      </c>
    </row>
    <row r="182" spans="2:9" ht="18" customHeight="1">
      <c r="B182" s="648"/>
      <c r="C182" s="650"/>
      <c r="D182" s="262"/>
      <c r="E182" s="262"/>
      <c r="F182" s="262"/>
      <c r="G182" s="262"/>
      <c r="H182" s="28">
        <f>H181</f>
        <v>1.5629999999999999</v>
      </c>
      <c r="I182" s="59">
        <f>ROUND((D182*E182+F182*G182)/1000*H182,3)</f>
        <v>0</v>
      </c>
    </row>
    <row r="183" spans="2:9" ht="18" customHeight="1">
      <c r="B183" s="648"/>
      <c r="C183" s="651"/>
      <c r="D183" s="262"/>
      <c r="E183" s="262"/>
      <c r="F183" s="262"/>
      <c r="G183" s="262"/>
      <c r="H183" s="28">
        <f>H182</f>
        <v>1.5629999999999999</v>
      </c>
      <c r="I183" s="59">
        <f>ROUND((D183*E183+F183*G183)/1000*H183,3)</f>
        <v>0</v>
      </c>
    </row>
    <row r="184" spans="2:9" ht="18" customHeight="1">
      <c r="B184" s="48" t="s">
        <v>42</v>
      </c>
      <c r="C184" s="49">
        <f>SUMPRODUCT(D181:D183*E181:E183+F181:F183*G181:G183)/1000</f>
        <v>2.3199999999999998</v>
      </c>
      <c r="D184" s="50" t="s">
        <v>43</v>
      </c>
      <c r="E184" s="49">
        <f>SUM(I181:I183)*1.1</f>
        <v>3.9886000000000004</v>
      </c>
      <c r="F184" s="50" t="s">
        <v>44</v>
      </c>
      <c r="G184" s="51">
        <f>(C$218+C$219)/1000</f>
        <v>46.081499999999998</v>
      </c>
      <c r="H184" s="52" t="s">
        <v>45</v>
      </c>
      <c r="I184" s="53">
        <f>ROUND(E184*G184,2)</f>
        <v>183.8</v>
      </c>
    </row>
    <row r="185" spans="2:9" ht="18" customHeight="1">
      <c r="B185" s="48" t="s">
        <v>46</v>
      </c>
      <c r="C185" s="50">
        <v>105.66</v>
      </c>
      <c r="D185" s="50" t="s">
        <v>47</v>
      </c>
      <c r="E185" s="49">
        <f>ROUND(C184*(C185/1000),2)</f>
        <v>0.25</v>
      </c>
      <c r="F185" s="50" t="s">
        <v>48</v>
      </c>
      <c r="G185" s="50">
        <f>G$23</f>
        <v>10</v>
      </c>
      <c r="H185" s="52" t="s">
        <v>49</v>
      </c>
      <c r="I185" s="53">
        <f>E185*G185</f>
        <v>2.5</v>
      </c>
    </row>
    <row r="186" spans="2:9" ht="18" customHeight="1">
      <c r="B186" s="48" t="s">
        <v>50</v>
      </c>
      <c r="C186" s="50">
        <v>125.66</v>
      </c>
      <c r="D186" s="50" t="s">
        <v>51</v>
      </c>
      <c r="E186" s="49">
        <f>ROUND(C184*(C186/1000),2)</f>
        <v>0.28999999999999998</v>
      </c>
      <c r="F186" s="50" t="s">
        <v>48</v>
      </c>
      <c r="G186" s="50">
        <f>G$24</f>
        <v>10</v>
      </c>
      <c r="H186" s="52" t="s">
        <v>49</v>
      </c>
      <c r="I186" s="53">
        <f>E186*G186</f>
        <v>2.9</v>
      </c>
    </row>
    <row r="187" spans="2:9" ht="18" customHeight="1">
      <c r="B187" s="23" t="s">
        <v>36</v>
      </c>
      <c r="C187" s="261" t="s">
        <v>14</v>
      </c>
      <c r="D187" s="261" t="s">
        <v>37</v>
      </c>
      <c r="E187" s="261" t="s">
        <v>71</v>
      </c>
      <c r="F187" s="261" t="s">
        <v>38</v>
      </c>
      <c r="G187" s="261" t="s">
        <v>72</v>
      </c>
      <c r="H187" s="261" t="s">
        <v>22</v>
      </c>
      <c r="I187" s="25" t="s">
        <v>40</v>
      </c>
    </row>
    <row r="188" spans="2:9" ht="18" customHeight="1">
      <c r="B188" s="648" t="s">
        <v>106</v>
      </c>
      <c r="C188" s="649" t="s">
        <v>107</v>
      </c>
      <c r="D188" s="262"/>
      <c r="E188" s="262"/>
      <c r="F188" s="262"/>
      <c r="G188" s="262"/>
      <c r="H188" s="28">
        <v>1.732</v>
      </c>
      <c r="I188" s="59">
        <f>ROUND((D188*E188+F188*G188)/1000*H188,3)</f>
        <v>0</v>
      </c>
    </row>
    <row r="189" spans="2:9" ht="18" customHeight="1">
      <c r="B189" s="648"/>
      <c r="C189" s="650"/>
      <c r="D189" s="262"/>
      <c r="E189" s="262"/>
      <c r="F189" s="262"/>
      <c r="G189" s="262"/>
      <c r="H189" s="28">
        <f>H188</f>
        <v>1.732</v>
      </c>
      <c r="I189" s="59">
        <f>ROUND((D189*E189+F189*G189)/1000*H189,3)</f>
        <v>0</v>
      </c>
    </row>
    <row r="190" spans="2:9" ht="18" customHeight="1">
      <c r="B190" s="648"/>
      <c r="C190" s="651"/>
      <c r="D190" s="262"/>
      <c r="E190" s="262"/>
      <c r="F190" s="262">
        <f>E6</f>
        <v>2320</v>
      </c>
      <c r="G190" s="262"/>
      <c r="H190" s="28">
        <f>H189</f>
        <v>1.732</v>
      </c>
      <c r="I190" s="59">
        <f>ROUND((D190*E190+F190*G190)/1000*H190,3)</f>
        <v>0</v>
      </c>
    </row>
    <row r="191" spans="2:9" ht="18" customHeight="1">
      <c r="B191" s="48" t="s">
        <v>42</v>
      </c>
      <c r="C191" s="49">
        <f>SUMPRODUCT(D188:D190*E188:E190+F188:F190*G188:G190)/1000</f>
        <v>0</v>
      </c>
      <c r="D191" s="50" t="s">
        <v>43</v>
      </c>
      <c r="E191" s="49">
        <f>SUM(I188:I190)*1.1</f>
        <v>0</v>
      </c>
      <c r="F191" s="50" t="s">
        <v>44</v>
      </c>
      <c r="G191" s="51">
        <f>(C$218+C$219)/1000</f>
        <v>46.081499999999998</v>
      </c>
      <c r="H191" s="52" t="s">
        <v>45</v>
      </c>
      <c r="I191" s="53">
        <f>ROUND(E191*G191,2)</f>
        <v>0</v>
      </c>
    </row>
    <row r="192" spans="2:9" ht="18" customHeight="1">
      <c r="B192" s="48" t="s">
        <v>46</v>
      </c>
      <c r="C192" s="50">
        <v>105.66</v>
      </c>
      <c r="D192" s="50" t="s">
        <v>47</v>
      </c>
      <c r="E192" s="49">
        <f>ROUND(C191*(C192/1000),2)</f>
        <v>0</v>
      </c>
      <c r="F192" s="50" t="s">
        <v>48</v>
      </c>
      <c r="G192" s="50">
        <f>G$23</f>
        <v>10</v>
      </c>
      <c r="H192" s="52" t="s">
        <v>49</v>
      </c>
      <c r="I192" s="53">
        <f>E192*G192</f>
        <v>0</v>
      </c>
    </row>
    <row r="193" spans="2:15" ht="18" customHeight="1">
      <c r="B193" s="48" t="s">
        <v>50</v>
      </c>
      <c r="C193" s="50">
        <v>125.66</v>
      </c>
      <c r="D193" s="50" t="s">
        <v>51</v>
      </c>
      <c r="E193" s="49">
        <f>ROUND(C191*(C193/1000),2)</f>
        <v>0</v>
      </c>
      <c r="F193" s="50" t="s">
        <v>48</v>
      </c>
      <c r="G193" s="50">
        <f>G$24</f>
        <v>10</v>
      </c>
      <c r="H193" s="52" t="s">
        <v>49</v>
      </c>
      <c r="I193" s="53">
        <f>E193*G193</f>
        <v>0</v>
      </c>
    </row>
    <row r="194" spans="2:15" ht="18" customHeight="1">
      <c r="B194" s="23" t="s">
        <v>36</v>
      </c>
      <c r="C194" s="261" t="s">
        <v>14</v>
      </c>
      <c r="D194" s="652" t="s">
        <v>38</v>
      </c>
      <c r="E194" s="652"/>
      <c r="F194" s="652"/>
      <c r="G194" s="261" t="s">
        <v>72</v>
      </c>
      <c r="H194" s="261" t="s">
        <v>22</v>
      </c>
      <c r="I194" s="25" t="s">
        <v>40</v>
      </c>
    </row>
    <row r="195" spans="2:15" ht="18" customHeight="1">
      <c r="B195" s="643" t="s">
        <v>108</v>
      </c>
      <c r="C195" s="645" t="s">
        <v>109</v>
      </c>
      <c r="D195" s="646"/>
      <c r="E195" s="646"/>
      <c r="F195" s="646"/>
      <c r="G195" s="262"/>
      <c r="H195" s="262">
        <v>1.796</v>
      </c>
      <c r="I195" s="59">
        <f>ROUND((D195*G195*H195)/1000,3)</f>
        <v>0</v>
      </c>
    </row>
    <row r="196" spans="2:15" ht="18" customHeight="1">
      <c r="B196" s="644"/>
      <c r="C196" s="640"/>
      <c r="D196" s="646"/>
      <c r="E196" s="646"/>
      <c r="F196" s="646"/>
      <c r="G196" s="262"/>
      <c r="H196" s="262">
        <f>H195</f>
        <v>1.796</v>
      </c>
      <c r="I196" s="59">
        <f>ROUND((D196*G196*H196)/1000,3)</f>
        <v>0</v>
      </c>
    </row>
    <row r="197" spans="2:15" ht="18" customHeight="1">
      <c r="B197" s="643" t="s">
        <v>110</v>
      </c>
      <c r="C197" s="645" t="s">
        <v>111</v>
      </c>
      <c r="D197" s="646"/>
      <c r="E197" s="646"/>
      <c r="F197" s="646"/>
      <c r="G197" s="262"/>
      <c r="H197" s="262">
        <v>1.355</v>
      </c>
      <c r="I197" s="59"/>
    </row>
    <row r="198" spans="2:15" ht="18" customHeight="1">
      <c r="B198" s="644"/>
      <c r="C198" s="640"/>
      <c r="D198" s="646"/>
      <c r="E198" s="646"/>
      <c r="F198" s="646"/>
      <c r="G198" s="262"/>
      <c r="H198" s="262">
        <f>H197</f>
        <v>1.355</v>
      </c>
      <c r="I198" s="59"/>
    </row>
    <row r="199" spans="2:15" ht="18" customHeight="1">
      <c r="B199" s="48" t="s">
        <v>42</v>
      </c>
      <c r="C199" s="49">
        <f>SUMPRODUCT(D195:F198*G195:G198)/1000</f>
        <v>0</v>
      </c>
      <c r="D199" s="50" t="s">
        <v>43</v>
      </c>
      <c r="E199" s="49">
        <f>SUM(I195:I198)*1.1</f>
        <v>0</v>
      </c>
      <c r="F199" s="50" t="s">
        <v>44</v>
      </c>
      <c r="G199" s="51">
        <f>(C$218+C$219)/1000</f>
        <v>46.081499999999998</v>
      </c>
      <c r="H199" s="52" t="s">
        <v>45</v>
      </c>
      <c r="I199" s="53">
        <f>ROUND(E199*G199,2)</f>
        <v>0</v>
      </c>
    </row>
    <row r="200" spans="2:15" ht="18" customHeight="1">
      <c r="B200" s="48" t="s">
        <v>46</v>
      </c>
      <c r="C200" s="50">
        <v>267.77999999999997</v>
      </c>
      <c r="D200" s="50" t="s">
        <v>47</v>
      </c>
      <c r="E200" s="49">
        <f>ROUND(C199*(C200/1000),2)</f>
        <v>0</v>
      </c>
      <c r="F200" s="50" t="s">
        <v>48</v>
      </c>
      <c r="G200" s="50">
        <f>G$23</f>
        <v>10</v>
      </c>
      <c r="H200" s="52" t="s">
        <v>49</v>
      </c>
      <c r="I200" s="53">
        <f>E200*G200</f>
        <v>0</v>
      </c>
    </row>
    <row r="201" spans="2:15" ht="18" customHeight="1">
      <c r="B201" s="48" t="s">
        <v>50</v>
      </c>
      <c r="C201" s="50">
        <v>104.29</v>
      </c>
      <c r="D201" s="50" t="s">
        <v>51</v>
      </c>
      <c r="E201" s="49">
        <f>ROUND(C199*(C201/1000),2)</f>
        <v>0</v>
      </c>
      <c r="F201" s="50" t="s">
        <v>48</v>
      </c>
      <c r="G201" s="50">
        <f>G$24</f>
        <v>10</v>
      </c>
      <c r="H201" s="52" t="s">
        <v>49</v>
      </c>
      <c r="I201" s="53">
        <f>E201*G201</f>
        <v>0</v>
      </c>
    </row>
    <row r="202" spans="2:15" ht="18" customHeight="1">
      <c r="B202" s="103" t="s">
        <v>112</v>
      </c>
      <c r="C202" s="104" t="s">
        <v>113</v>
      </c>
      <c r="D202" s="104" t="s">
        <v>28</v>
      </c>
      <c r="E202" s="104" t="s">
        <v>8</v>
      </c>
      <c r="F202" s="104" t="s">
        <v>112</v>
      </c>
      <c r="G202" s="104" t="s">
        <v>113</v>
      </c>
      <c r="H202" s="104" t="s">
        <v>28</v>
      </c>
      <c r="I202" s="105" t="s">
        <v>8</v>
      </c>
      <c r="N202" s="106"/>
      <c r="O202" s="102"/>
    </row>
    <row r="203" spans="2:15" ht="18" customHeight="1">
      <c r="B203" s="260" t="s">
        <v>327</v>
      </c>
      <c r="C203" s="107" t="s">
        <v>114</v>
      </c>
      <c r="D203" s="108">
        <v>2.15</v>
      </c>
      <c r="E203" s="263">
        <f>SUM(G14:G21)*4</f>
        <v>4</v>
      </c>
      <c r="F203" s="647" t="s">
        <v>115</v>
      </c>
      <c r="G203" s="107" t="s">
        <v>116</v>
      </c>
      <c r="H203" s="108">
        <v>2.46</v>
      </c>
      <c r="I203" s="267">
        <f>SUM(G108:G111)*4</f>
        <v>4</v>
      </c>
      <c r="J203" s="42"/>
      <c r="N203" s="106"/>
      <c r="O203" s="102"/>
    </row>
    <row r="204" spans="2:15" ht="18" customHeight="1">
      <c r="B204" s="260" t="s">
        <v>328</v>
      </c>
      <c r="C204" s="107" t="s">
        <v>117</v>
      </c>
      <c r="D204" s="108">
        <v>1.72</v>
      </c>
      <c r="E204" s="263">
        <f>E203</f>
        <v>4</v>
      </c>
      <c r="F204" s="646"/>
      <c r="G204" s="107" t="s">
        <v>118</v>
      </c>
      <c r="H204" s="108">
        <v>3.11</v>
      </c>
      <c r="I204" s="267">
        <f>I203</f>
        <v>4</v>
      </c>
      <c r="J204" s="42"/>
      <c r="N204" s="106"/>
      <c r="O204" s="102"/>
    </row>
    <row r="205" spans="2:15" ht="18" customHeight="1">
      <c r="B205" s="109" t="s">
        <v>330</v>
      </c>
      <c r="C205" s="107" t="s">
        <v>119</v>
      </c>
      <c r="D205" s="108">
        <v>2.68</v>
      </c>
      <c r="E205" s="263">
        <f>SUM(G26:G30)*4</f>
        <v>0</v>
      </c>
      <c r="F205" s="110" t="s">
        <v>120</v>
      </c>
      <c r="G205" s="107" t="s">
        <v>121</v>
      </c>
      <c r="H205" s="111">
        <v>4.76</v>
      </c>
      <c r="I205" s="267">
        <f>SUM(G123:G125)*4</f>
        <v>0</v>
      </c>
      <c r="J205" s="42"/>
      <c r="N205" s="106"/>
      <c r="O205" s="102"/>
    </row>
    <row r="206" spans="2:15" ht="18" customHeight="1">
      <c r="B206" s="109" t="s">
        <v>329</v>
      </c>
      <c r="C206" s="107" t="s">
        <v>122</v>
      </c>
      <c r="D206" s="108">
        <v>1.27</v>
      </c>
      <c r="E206" s="263">
        <f>E205</f>
        <v>0</v>
      </c>
      <c r="F206" s="110" t="s">
        <v>123</v>
      </c>
      <c r="G206" s="107" t="s">
        <v>124</v>
      </c>
      <c r="H206" s="111">
        <v>3.85</v>
      </c>
      <c r="I206" s="267">
        <f>I205</f>
        <v>0</v>
      </c>
      <c r="J206" s="42"/>
      <c r="N206" s="106"/>
      <c r="O206" s="102"/>
    </row>
    <row r="207" spans="2:15" ht="18" customHeight="1">
      <c r="B207" s="109" t="s">
        <v>331</v>
      </c>
      <c r="C207" s="107" t="s">
        <v>125</v>
      </c>
      <c r="D207" s="111" t="s">
        <v>126</v>
      </c>
      <c r="E207" s="263">
        <f>SUM(G35:G37)*4</f>
        <v>8</v>
      </c>
      <c r="F207" s="110" t="s">
        <v>127</v>
      </c>
      <c r="G207" s="107" t="s">
        <v>128</v>
      </c>
      <c r="H207" s="111">
        <v>4.29</v>
      </c>
      <c r="I207" s="267">
        <f>SUM(G116:G118)*4</f>
        <v>4</v>
      </c>
      <c r="J207" s="42"/>
      <c r="N207" s="106"/>
      <c r="O207" s="102"/>
    </row>
    <row r="208" spans="2:15" ht="18" customHeight="1">
      <c r="B208" s="109" t="s">
        <v>332</v>
      </c>
      <c r="C208" s="107" t="s">
        <v>129</v>
      </c>
      <c r="D208" s="111" t="s">
        <v>130</v>
      </c>
      <c r="E208" s="263">
        <f>E207</f>
        <v>8</v>
      </c>
      <c r="F208" s="110" t="s">
        <v>131</v>
      </c>
      <c r="G208" s="107" t="s">
        <v>132</v>
      </c>
      <c r="H208" s="111">
        <v>4.5</v>
      </c>
      <c r="I208" s="267">
        <f>I207</f>
        <v>4</v>
      </c>
      <c r="J208" s="42"/>
      <c r="N208" s="106"/>
      <c r="O208" s="102"/>
    </row>
    <row r="209" spans="2:15" ht="18" customHeight="1">
      <c r="B209" s="264" t="s">
        <v>333</v>
      </c>
      <c r="C209" s="262">
        <v>12.6</v>
      </c>
      <c r="D209" s="111">
        <v>1.32</v>
      </c>
      <c r="E209" s="263">
        <f>SUM(G42:G47)*4</f>
        <v>8</v>
      </c>
      <c r="F209" s="639"/>
      <c r="G209" s="107"/>
      <c r="H209" s="28"/>
      <c r="I209" s="267"/>
      <c r="N209" s="106"/>
      <c r="O209" s="102"/>
    </row>
    <row r="210" spans="2:15" ht="18" customHeight="1">
      <c r="B210" s="264" t="s">
        <v>334</v>
      </c>
      <c r="C210" s="262">
        <v>15.8</v>
      </c>
      <c r="D210" s="111">
        <v>1.18</v>
      </c>
      <c r="E210" s="263">
        <f>E209</f>
        <v>8</v>
      </c>
      <c r="F210" s="640"/>
      <c r="G210" s="107"/>
      <c r="H210" s="28"/>
      <c r="I210" s="231"/>
      <c r="N210" s="106"/>
      <c r="O210" s="102"/>
    </row>
    <row r="211" spans="2:15" ht="18" customHeight="1">
      <c r="B211" s="260" t="s">
        <v>335</v>
      </c>
      <c r="C211" s="107" t="s">
        <v>337</v>
      </c>
      <c r="D211" s="111">
        <v>2.81</v>
      </c>
      <c r="E211" s="262">
        <f>SUM(E52+E53+E54+E55+G52+G53+G54+G55+G60+G61+G62+G63)*2</f>
        <v>10</v>
      </c>
      <c r="F211" s="641" t="s">
        <v>133</v>
      </c>
      <c r="G211" s="111">
        <f>SUMPRODUCT(D35:D37,G35:G37)/1000</f>
        <v>0.82</v>
      </c>
      <c r="H211" s="28">
        <v>0.16</v>
      </c>
      <c r="I211" s="232">
        <f>G211*H211</f>
        <v>0.13119999999999998</v>
      </c>
      <c r="N211" s="106"/>
      <c r="O211" s="102"/>
    </row>
    <row r="212" spans="2:15" ht="18" customHeight="1">
      <c r="B212" s="260" t="s">
        <v>336</v>
      </c>
      <c r="C212" s="107" t="s">
        <v>338</v>
      </c>
      <c r="D212" s="111">
        <v>3.51</v>
      </c>
      <c r="E212" s="262">
        <f>E211</f>
        <v>10</v>
      </c>
      <c r="F212" s="641"/>
      <c r="G212" s="111">
        <f>SUMPRODUCT(D26:D30,G26:G30)/1000</f>
        <v>0</v>
      </c>
      <c r="H212" s="28">
        <v>0.16</v>
      </c>
      <c r="I212" s="232">
        <f>G212*H212</f>
        <v>0</v>
      </c>
      <c r="N212" s="106"/>
      <c r="O212" s="102"/>
    </row>
    <row r="213" spans="2:15" ht="18" customHeight="1">
      <c r="B213" s="260" t="s">
        <v>134</v>
      </c>
      <c r="C213" s="262">
        <v>30.6</v>
      </c>
      <c r="D213" s="111">
        <v>2.81</v>
      </c>
      <c r="E213" s="263">
        <f>SUM(+E130+E131+E132+G130+G131+G132)*2</f>
        <v>0</v>
      </c>
      <c r="F213" s="641" t="s">
        <v>135</v>
      </c>
      <c r="G213" s="111">
        <f>SUMPRODUCT(E26:E30,G26:G30)/1000</f>
        <v>0</v>
      </c>
      <c r="H213" s="28">
        <v>0.16</v>
      </c>
      <c r="I213" s="232">
        <f>G213*H213</f>
        <v>0</v>
      </c>
      <c r="N213" s="106"/>
      <c r="O213" s="102"/>
    </row>
    <row r="214" spans="2:15" ht="18" customHeight="1">
      <c r="B214" s="260" t="s">
        <v>136</v>
      </c>
      <c r="C214" s="262">
        <v>30.6</v>
      </c>
      <c r="D214" s="111">
        <v>3.51</v>
      </c>
      <c r="E214" s="263">
        <f>E213</f>
        <v>0</v>
      </c>
      <c r="F214" s="641"/>
      <c r="G214" s="111">
        <f>SUMPRODUCT(E35:E37,G35:G37)/1000</f>
        <v>1.4464000000000001</v>
      </c>
      <c r="H214" s="28">
        <v>0.16</v>
      </c>
      <c r="I214" s="232">
        <f>G214*H214</f>
        <v>0.23142400000000002</v>
      </c>
      <c r="N214" s="106"/>
      <c r="O214" s="102"/>
    </row>
    <row r="215" spans="2:15" ht="18" customHeight="1">
      <c r="B215" s="52" t="s">
        <v>137</v>
      </c>
      <c r="C215" s="112" cm="1">
        <f t="array" ref="C215">SUMPRODUCT(D203:D214*E203:E214)+SUMPRODUCT(H203:H210*I203:I210)</f>
        <v>196.44</v>
      </c>
      <c r="D215" s="52"/>
      <c r="E215" s="52"/>
      <c r="F215" s="52"/>
      <c r="G215" s="52" t="s">
        <v>138</v>
      </c>
      <c r="H215" s="52" cm="1">
        <f t="array" ref="H215">SUMPRODUCT(G211:G214*H211:H214)</f>
        <v>0.362624</v>
      </c>
      <c r="I215" s="233">
        <f>H215*1.08</f>
        <v>0.39163392000000002</v>
      </c>
      <c r="N215" s="106"/>
      <c r="O215" s="102"/>
    </row>
    <row r="216" spans="2:15" ht="18" customHeight="1">
      <c r="B216" s="23" t="s">
        <v>139</v>
      </c>
      <c r="C216" s="261" t="s">
        <v>14</v>
      </c>
      <c r="D216" s="261" t="s">
        <v>22</v>
      </c>
      <c r="E216" s="261" t="s">
        <v>8</v>
      </c>
      <c r="F216" s="261" t="s">
        <v>113</v>
      </c>
      <c r="G216" s="261" t="s">
        <v>40</v>
      </c>
      <c r="H216" s="261" t="s">
        <v>28</v>
      </c>
      <c r="I216" s="25" t="s">
        <v>29</v>
      </c>
      <c r="N216" s="106"/>
      <c r="O216" s="102"/>
    </row>
    <row r="217" spans="2:15" ht="18" customHeight="1">
      <c r="B217" s="48" t="s">
        <v>140</v>
      </c>
      <c r="C217" s="52" t="s">
        <v>141</v>
      </c>
      <c r="D217" s="50">
        <v>0.14199999999999999</v>
      </c>
      <c r="E217" s="50">
        <v>1</v>
      </c>
      <c r="F217" s="50">
        <f>D6</f>
        <v>2020</v>
      </c>
      <c r="G217" s="128">
        <f>D217*F217*E217/1000*1.1</f>
        <v>0.31552400000000003</v>
      </c>
      <c r="H217" s="52">
        <f>(C218+C222)/1000</f>
        <v>39.781500000000001</v>
      </c>
      <c r="I217" s="193">
        <f>G217*H217</f>
        <v>12.552018006000001</v>
      </c>
      <c r="N217" s="106"/>
      <c r="O217" s="102"/>
    </row>
    <row r="218" spans="2:15" ht="18" customHeight="1">
      <c r="B218" s="37" t="s">
        <v>142</v>
      </c>
      <c r="C218" s="113">
        <f>材料价格!B4</f>
        <v>22081.5</v>
      </c>
      <c r="D218" s="39" t="s">
        <v>143</v>
      </c>
      <c r="E218" s="114">
        <f>E139+E133+E126+E119+E112+E199+E177+E64+E56+E48+E38+E31+E22+E184+E191</f>
        <v>76.187100000000001</v>
      </c>
      <c r="F218" s="39" t="s">
        <v>144</v>
      </c>
      <c r="G218" s="115">
        <f>I218/E218-C218/1000</f>
        <v>23.999923233067015</v>
      </c>
      <c r="H218" s="39" t="s">
        <v>145</v>
      </c>
      <c r="I218" s="116">
        <f>I22+I31+I38+I48+I56+I64+I199+I112+I119+I126+I133+I139+I177+I184+I191</f>
        <v>3510.81</v>
      </c>
      <c r="N218" s="106"/>
      <c r="O218" s="102"/>
    </row>
    <row r="219" spans="2:15" ht="18" customHeight="1">
      <c r="B219" s="117" t="s">
        <v>146</v>
      </c>
      <c r="C219" s="118">
        <f>材料价格!B5</f>
        <v>24000</v>
      </c>
      <c r="D219" s="39" t="s">
        <v>147</v>
      </c>
      <c r="E219" s="114">
        <f>E163+E153+E146+E104+E97+E88+G217+E170</f>
        <v>6.0476240000000008</v>
      </c>
      <c r="F219" s="39" t="s">
        <v>148</v>
      </c>
      <c r="G219" s="119">
        <f>I219/E219-C218/1000</f>
        <v>17.699745991152881</v>
      </c>
      <c r="H219" s="39" t="s">
        <v>149</v>
      </c>
      <c r="I219" s="116">
        <f>I88+I97+I104+I146+I153+I163+I217+I170</f>
        <v>240.58201800599997</v>
      </c>
      <c r="N219" s="106"/>
      <c r="O219" s="102"/>
    </row>
    <row r="220" spans="2:15" ht="18" customHeight="1">
      <c r="B220" s="117" t="s">
        <v>150</v>
      </c>
      <c r="C220" s="118">
        <f>C219</f>
        <v>24000</v>
      </c>
      <c r="D220" s="39" t="s">
        <v>151</v>
      </c>
      <c r="E220" s="120">
        <f>I215</f>
        <v>0.39163392000000002</v>
      </c>
      <c r="F220" s="39" t="s">
        <v>152</v>
      </c>
      <c r="G220" s="119">
        <f>I220/E220-C218/1000</f>
        <v>2.8908006628230751</v>
      </c>
      <c r="H220" s="39" t="s">
        <v>153</v>
      </c>
      <c r="I220" s="116">
        <f>ROUND(E220*(C218+C223)/1000,2)</f>
        <v>9.7799999999999994</v>
      </c>
      <c r="N220" s="106"/>
      <c r="O220" s="102"/>
    </row>
    <row r="221" spans="2:15" ht="18" customHeight="1">
      <c r="B221" s="117" t="s">
        <v>154</v>
      </c>
      <c r="C221" s="121">
        <f>C220</f>
        <v>24000</v>
      </c>
      <c r="D221" s="39" t="s">
        <v>155</v>
      </c>
      <c r="E221" s="39"/>
      <c r="F221" s="39" t="s">
        <v>156</v>
      </c>
      <c r="G221" s="39"/>
      <c r="H221" s="39" t="s">
        <v>49</v>
      </c>
      <c r="I221" s="116">
        <f>E221*G221</f>
        <v>0</v>
      </c>
      <c r="J221" s="42"/>
      <c r="K221" s="255"/>
    </row>
    <row r="222" spans="2:15" ht="18" customHeight="1">
      <c r="B222" s="117" t="s">
        <v>148</v>
      </c>
      <c r="C222" s="122">
        <f>材料价格!B6</f>
        <v>17700</v>
      </c>
      <c r="D222" s="39" t="s">
        <v>157</v>
      </c>
      <c r="E222" s="39"/>
      <c r="F222" s="39" t="s">
        <v>156</v>
      </c>
      <c r="G222" s="39"/>
      <c r="H222" s="39" t="s">
        <v>49</v>
      </c>
      <c r="I222" s="116">
        <f>E222*G222</f>
        <v>0</v>
      </c>
      <c r="J222" s="123"/>
      <c r="K222" s="123"/>
      <c r="L222" s="123"/>
    </row>
    <row r="223" spans="2:15" ht="18" customHeight="1">
      <c r="B223" s="117" t="s">
        <v>152</v>
      </c>
      <c r="C223" s="122">
        <f>材料价格!B9</f>
        <v>2900</v>
      </c>
      <c r="D223" s="39" t="s">
        <v>158</v>
      </c>
      <c r="E223" s="114">
        <f>SUM(E218:E220)</f>
        <v>82.626357920000004</v>
      </c>
      <c r="F223" s="39"/>
      <c r="G223" s="39" t="s">
        <v>339</v>
      </c>
      <c r="H223" s="39"/>
      <c r="I223" s="234">
        <f>SUM(I218:I222)+C215</f>
        <v>3957.6120180060002</v>
      </c>
      <c r="J223" s="123"/>
      <c r="K223" s="123"/>
      <c r="L223" s="123"/>
    </row>
    <row r="224" spans="2:15" ht="18" customHeight="1">
      <c r="B224" s="23" t="s">
        <v>159</v>
      </c>
      <c r="C224" s="261" t="s">
        <v>113</v>
      </c>
      <c r="D224" s="261" t="s">
        <v>16</v>
      </c>
      <c r="E224" s="261" t="s">
        <v>7</v>
      </c>
      <c r="F224" s="261" t="s">
        <v>8</v>
      </c>
      <c r="G224" s="261" t="s">
        <v>28</v>
      </c>
      <c r="H224" s="261" t="s">
        <v>160</v>
      </c>
      <c r="I224" s="25" t="s">
        <v>1</v>
      </c>
      <c r="J224" s="255"/>
      <c r="K224" s="255"/>
      <c r="L224" s="255"/>
      <c r="M224" s="255"/>
    </row>
    <row r="225" spans="2:13" ht="18" customHeight="1">
      <c r="B225" s="124" t="str">
        <f>材料价格!A10</f>
        <v>6单银Low-E+12A+6</v>
      </c>
      <c r="C225" s="263">
        <f t="shared" ref="C225:D229" si="25">D92</f>
        <v>-90</v>
      </c>
      <c r="D225" s="263">
        <f t="shared" si="25"/>
        <v>-90</v>
      </c>
      <c r="E225" s="32">
        <f>C225*D225/10^6</f>
        <v>8.0999999999999996E-3</v>
      </c>
      <c r="F225" s="262">
        <f>G26</f>
        <v>0</v>
      </c>
      <c r="G225" s="125">
        <f>材料价格!B10</f>
        <v>148</v>
      </c>
      <c r="H225" s="262">
        <f>ROUND(E225*G225*F225,2)</f>
        <v>0</v>
      </c>
      <c r="I225" s="267" t="s">
        <v>161</v>
      </c>
      <c r="J225" s="255"/>
      <c r="K225" s="255"/>
      <c r="L225" s="255"/>
      <c r="M225" s="255"/>
    </row>
    <row r="226" spans="2:13" ht="18" customHeight="1">
      <c r="B226" s="124" t="str">
        <f t="shared" ref="B226:B232" si="26">B225</f>
        <v>6单银Low-E+12A+6</v>
      </c>
      <c r="C226" s="263">
        <f t="shared" si="25"/>
        <v>-90</v>
      </c>
      <c r="D226" s="263">
        <f t="shared" si="25"/>
        <v>-90</v>
      </c>
      <c r="E226" s="32">
        <f t="shared" ref="E226:E284" si="27">C226*D226/10^6</f>
        <v>8.0999999999999996E-3</v>
      </c>
      <c r="F226" s="262">
        <f>G27</f>
        <v>0</v>
      </c>
      <c r="G226" s="126">
        <f t="shared" ref="G226:G232" si="28">G225</f>
        <v>148</v>
      </c>
      <c r="H226" s="262">
        <f t="shared" ref="H226:H241" si="29">ROUND(E226*G226*F226,2)</f>
        <v>0</v>
      </c>
      <c r="I226" s="267" t="s">
        <v>162</v>
      </c>
      <c r="J226" s="255"/>
      <c r="K226" s="255"/>
      <c r="L226" s="255"/>
      <c r="M226" s="255"/>
    </row>
    <row r="227" spans="2:13" ht="18" customHeight="1">
      <c r="B227" s="124" t="str">
        <f t="shared" si="26"/>
        <v>6单银Low-E+12A+6</v>
      </c>
      <c r="C227" s="263">
        <f t="shared" si="25"/>
        <v>-90</v>
      </c>
      <c r="D227" s="263">
        <f t="shared" si="25"/>
        <v>-90</v>
      </c>
      <c r="E227" s="32">
        <f t="shared" si="27"/>
        <v>8.0999999999999996E-3</v>
      </c>
      <c r="F227" s="262">
        <f>G28</f>
        <v>0</v>
      </c>
      <c r="G227" s="126">
        <f t="shared" si="28"/>
        <v>148</v>
      </c>
      <c r="H227" s="262">
        <f t="shared" si="29"/>
        <v>0</v>
      </c>
      <c r="I227" s="267" t="s">
        <v>162</v>
      </c>
      <c r="J227" s="255"/>
      <c r="K227" s="255"/>
      <c r="L227" s="255"/>
      <c r="M227" s="255"/>
    </row>
    <row r="228" spans="2:13" ht="18" customHeight="1">
      <c r="B228" s="124" t="str">
        <f t="shared" si="26"/>
        <v>6单银Low-E+12A+6</v>
      </c>
      <c r="C228" s="263">
        <f t="shared" si="25"/>
        <v>-90</v>
      </c>
      <c r="D228" s="263">
        <f t="shared" si="25"/>
        <v>-90</v>
      </c>
      <c r="E228" s="32">
        <f t="shared" si="27"/>
        <v>8.0999999999999996E-3</v>
      </c>
      <c r="F228" s="262">
        <f>G29</f>
        <v>0</v>
      </c>
      <c r="G228" s="126">
        <f t="shared" si="28"/>
        <v>148</v>
      </c>
      <c r="H228" s="262">
        <f t="shared" si="29"/>
        <v>0</v>
      </c>
      <c r="I228" s="267" t="s">
        <v>162</v>
      </c>
      <c r="J228" s="255"/>
      <c r="K228" s="255"/>
      <c r="L228" s="255"/>
      <c r="M228" s="255"/>
    </row>
    <row r="229" spans="2:13" ht="18" customHeight="1">
      <c r="B229" s="124" t="str">
        <f t="shared" si="26"/>
        <v>6单银Low-E+12A+6</v>
      </c>
      <c r="C229" s="263">
        <f t="shared" si="25"/>
        <v>-90</v>
      </c>
      <c r="D229" s="263">
        <f t="shared" si="25"/>
        <v>-90</v>
      </c>
      <c r="E229" s="32">
        <f t="shared" si="27"/>
        <v>8.0999999999999996E-3</v>
      </c>
      <c r="F229" s="262">
        <f>G30</f>
        <v>0</v>
      </c>
      <c r="G229" s="126">
        <f t="shared" si="28"/>
        <v>148</v>
      </c>
      <c r="H229" s="262">
        <f t="shared" si="29"/>
        <v>0</v>
      </c>
      <c r="I229" s="267" t="s">
        <v>162</v>
      </c>
      <c r="J229" s="123"/>
      <c r="K229" s="123"/>
      <c r="L229" s="123"/>
    </row>
    <row r="230" spans="2:13" ht="18" customHeight="1">
      <c r="B230" s="124" t="str">
        <f t="shared" si="26"/>
        <v>6单银Low-E+12A+6</v>
      </c>
      <c r="C230" s="263">
        <f t="shared" ref="C230:D232" si="30">D101</f>
        <v>288</v>
      </c>
      <c r="D230" s="263">
        <f t="shared" si="30"/>
        <v>601.20000000000005</v>
      </c>
      <c r="E230" s="32">
        <f t="shared" si="27"/>
        <v>0.17314560000000001</v>
      </c>
      <c r="F230" s="262">
        <f>G101</f>
        <v>2</v>
      </c>
      <c r="G230" s="126">
        <f t="shared" si="28"/>
        <v>148</v>
      </c>
      <c r="H230" s="262">
        <f t="shared" si="29"/>
        <v>51.25</v>
      </c>
      <c r="I230" s="127" t="s">
        <v>163</v>
      </c>
      <c r="J230" s="123"/>
      <c r="K230" s="123"/>
      <c r="L230" s="123"/>
    </row>
    <row r="231" spans="2:13" ht="18" customHeight="1">
      <c r="B231" s="124" t="str">
        <f t="shared" si="26"/>
        <v>6单银Low-E+12A+6</v>
      </c>
      <c r="C231" s="263">
        <f t="shared" si="30"/>
        <v>-122</v>
      </c>
      <c r="D231" s="263">
        <f t="shared" si="30"/>
        <v>-122</v>
      </c>
      <c r="E231" s="32">
        <f t="shared" si="27"/>
        <v>1.4884E-2</v>
      </c>
      <c r="F231" s="262">
        <f>G102</f>
        <v>0</v>
      </c>
      <c r="G231" s="126">
        <f t="shared" si="28"/>
        <v>148</v>
      </c>
      <c r="H231" s="262">
        <f t="shared" si="29"/>
        <v>0</v>
      </c>
      <c r="I231" s="127" t="s">
        <v>163</v>
      </c>
    </row>
    <row r="232" spans="2:13" ht="18" customHeight="1">
      <c r="B232" s="124" t="str">
        <f t="shared" si="26"/>
        <v>6单银Low-E+12A+6</v>
      </c>
      <c r="C232" s="263">
        <f t="shared" si="30"/>
        <v>-122</v>
      </c>
      <c r="D232" s="263">
        <f t="shared" si="30"/>
        <v>-122</v>
      </c>
      <c r="E232" s="32">
        <f t="shared" si="27"/>
        <v>1.4884E-2</v>
      </c>
      <c r="F232" s="262">
        <f>G103</f>
        <v>0</v>
      </c>
      <c r="G232" s="126">
        <f t="shared" si="28"/>
        <v>148</v>
      </c>
      <c r="H232" s="262">
        <f t="shared" si="29"/>
        <v>0</v>
      </c>
      <c r="I232" s="127" t="s">
        <v>163</v>
      </c>
    </row>
    <row r="233" spans="2:13" ht="18" customHeight="1">
      <c r="B233" s="48" t="s">
        <v>164</v>
      </c>
      <c r="C233" s="52"/>
      <c r="D233" s="50"/>
      <c r="E233" s="128"/>
      <c r="F233" s="50">
        <f>SUM(F225:F232)</f>
        <v>2</v>
      </c>
      <c r="G233" s="50"/>
      <c r="H233" s="52">
        <f>SUM(H225:H232)</f>
        <v>51.25</v>
      </c>
      <c r="I233" s="53">
        <f>ROUND((E225*F225+E226*F226+E227*F227+E228*F228+E229*F229+E230*F230+E231*F231+E232*F232),2)</f>
        <v>0.35</v>
      </c>
    </row>
    <row r="234" spans="2:13" ht="18" customHeight="1">
      <c r="B234" s="124" t="str">
        <f>B232</f>
        <v>6单银Low-E+12A+6</v>
      </c>
      <c r="C234" s="263">
        <f>C225</f>
        <v>-90</v>
      </c>
      <c r="D234" s="263">
        <f>D225</f>
        <v>-90</v>
      </c>
      <c r="E234" s="32">
        <f t="shared" si="27"/>
        <v>8.0999999999999996E-3</v>
      </c>
      <c r="F234" s="262">
        <f>IF(F225=0,G26,0)</f>
        <v>0</v>
      </c>
      <c r="G234" s="126">
        <f>G232</f>
        <v>148</v>
      </c>
      <c r="H234" s="262">
        <f t="shared" si="29"/>
        <v>0</v>
      </c>
      <c r="I234" s="267" t="s">
        <v>165</v>
      </c>
      <c r="J234" s="129"/>
    </row>
    <row r="235" spans="2:13" ht="18" customHeight="1">
      <c r="B235" s="124" t="str">
        <f t="shared" ref="B235:B241" si="31">B234</f>
        <v>6单银Low-E+12A+6</v>
      </c>
      <c r="C235" s="263">
        <f t="shared" ref="C235:D241" si="32">C226</f>
        <v>-90</v>
      </c>
      <c r="D235" s="263">
        <f t="shared" si="32"/>
        <v>-90</v>
      </c>
      <c r="E235" s="32">
        <f t="shared" si="27"/>
        <v>8.0999999999999996E-3</v>
      </c>
      <c r="F235" s="262">
        <f>IF(F226=0,G27,0)</f>
        <v>0</v>
      </c>
      <c r="G235" s="126">
        <f>G234</f>
        <v>148</v>
      </c>
      <c r="H235" s="262">
        <f t="shared" si="29"/>
        <v>0</v>
      </c>
      <c r="I235" s="267" t="s">
        <v>165</v>
      </c>
      <c r="J235" s="129"/>
    </row>
    <row r="236" spans="2:13" ht="18" customHeight="1">
      <c r="B236" s="124" t="str">
        <f t="shared" si="31"/>
        <v>6单银Low-E+12A+6</v>
      </c>
      <c r="C236" s="263">
        <f t="shared" si="32"/>
        <v>-90</v>
      </c>
      <c r="D236" s="263">
        <f t="shared" si="32"/>
        <v>-90</v>
      </c>
      <c r="E236" s="32">
        <f t="shared" si="27"/>
        <v>8.0999999999999996E-3</v>
      </c>
      <c r="F236" s="262">
        <f>IF(F227=0,G28,0)</f>
        <v>0</v>
      </c>
      <c r="G236" s="126">
        <f t="shared" ref="G236:G241" si="33">G234</f>
        <v>148</v>
      </c>
      <c r="H236" s="262">
        <f t="shared" si="29"/>
        <v>0</v>
      </c>
      <c r="I236" s="267" t="s">
        <v>165</v>
      </c>
      <c r="J236" s="129"/>
    </row>
    <row r="237" spans="2:13" ht="18" customHeight="1">
      <c r="B237" s="124" t="str">
        <f t="shared" si="31"/>
        <v>6单银Low-E+12A+6</v>
      </c>
      <c r="C237" s="263">
        <f t="shared" si="32"/>
        <v>-90</v>
      </c>
      <c r="D237" s="263">
        <f t="shared" si="32"/>
        <v>-90</v>
      </c>
      <c r="E237" s="32">
        <f t="shared" si="27"/>
        <v>8.0999999999999996E-3</v>
      </c>
      <c r="F237" s="262">
        <f>IF(F228=0,G29,0)</f>
        <v>0</v>
      </c>
      <c r="G237" s="126">
        <f t="shared" si="33"/>
        <v>148</v>
      </c>
      <c r="H237" s="262">
        <f t="shared" si="29"/>
        <v>0</v>
      </c>
      <c r="I237" s="267" t="s">
        <v>165</v>
      </c>
      <c r="J237" s="129"/>
    </row>
    <row r="238" spans="2:13" ht="18" customHeight="1">
      <c r="B238" s="124" t="str">
        <f t="shared" si="31"/>
        <v>6单银Low-E+12A+6</v>
      </c>
      <c r="C238" s="263">
        <f t="shared" si="32"/>
        <v>-90</v>
      </c>
      <c r="D238" s="263">
        <f t="shared" si="32"/>
        <v>-90</v>
      </c>
      <c r="E238" s="32">
        <f t="shared" si="27"/>
        <v>8.0999999999999996E-3</v>
      </c>
      <c r="F238" s="262">
        <f>IF(F229=0,G30,0)</f>
        <v>0</v>
      </c>
      <c r="G238" s="126">
        <f t="shared" si="33"/>
        <v>148</v>
      </c>
      <c r="H238" s="262">
        <f t="shared" si="29"/>
        <v>0</v>
      </c>
      <c r="I238" s="267" t="s">
        <v>165</v>
      </c>
      <c r="J238" s="129"/>
    </row>
    <row r="239" spans="2:13" ht="18" customHeight="1">
      <c r="B239" s="124" t="str">
        <f t="shared" si="31"/>
        <v>6单银Low-E+12A+6</v>
      </c>
      <c r="C239" s="263">
        <f t="shared" si="32"/>
        <v>288</v>
      </c>
      <c r="D239" s="263">
        <f t="shared" si="32"/>
        <v>601.20000000000005</v>
      </c>
      <c r="E239" s="32">
        <f t="shared" si="27"/>
        <v>0.17314560000000001</v>
      </c>
      <c r="F239" s="262">
        <f>IF(F230=0,G35,0)</f>
        <v>0</v>
      </c>
      <c r="G239" s="126">
        <f t="shared" si="33"/>
        <v>148</v>
      </c>
      <c r="H239" s="262">
        <f t="shared" si="29"/>
        <v>0</v>
      </c>
      <c r="I239" s="127" t="s">
        <v>166</v>
      </c>
      <c r="J239" s="129"/>
    </row>
    <row r="240" spans="2:13" ht="18" customHeight="1">
      <c r="B240" s="124" t="str">
        <f t="shared" si="31"/>
        <v>6单银Low-E+12A+6</v>
      </c>
      <c r="C240" s="263">
        <f t="shared" si="32"/>
        <v>-122</v>
      </c>
      <c r="D240" s="263">
        <f t="shared" si="32"/>
        <v>-122</v>
      </c>
      <c r="E240" s="32">
        <f t="shared" si="27"/>
        <v>1.4884E-2</v>
      </c>
      <c r="F240" s="262">
        <f>IF(F231=0,G36,0)</f>
        <v>0</v>
      </c>
      <c r="G240" s="126">
        <f t="shared" si="33"/>
        <v>148</v>
      </c>
      <c r="H240" s="262">
        <f t="shared" si="29"/>
        <v>0</v>
      </c>
      <c r="I240" s="127" t="s">
        <v>166</v>
      </c>
      <c r="J240" s="129"/>
    </row>
    <row r="241" spans="1:16" ht="18" customHeight="1">
      <c r="B241" s="124" t="str">
        <f t="shared" si="31"/>
        <v>6单银Low-E+12A+6</v>
      </c>
      <c r="C241" s="263">
        <f t="shared" si="32"/>
        <v>-122</v>
      </c>
      <c r="D241" s="263">
        <f t="shared" si="32"/>
        <v>-122</v>
      </c>
      <c r="E241" s="32">
        <f t="shared" si="27"/>
        <v>1.4884E-2</v>
      </c>
      <c r="F241" s="262">
        <f>IF(F232=0,G37,0)</f>
        <v>0</v>
      </c>
      <c r="G241" s="126">
        <f t="shared" si="33"/>
        <v>148</v>
      </c>
      <c r="H241" s="262">
        <f t="shared" si="29"/>
        <v>0</v>
      </c>
      <c r="I241" s="127" t="s">
        <v>166</v>
      </c>
      <c r="J241" s="129"/>
    </row>
    <row r="242" spans="1:16" s="43" customFormat="1" ht="18" customHeight="1">
      <c r="A242" s="1"/>
      <c r="B242" s="48" t="s">
        <v>167</v>
      </c>
      <c r="C242" s="52"/>
      <c r="D242" s="50"/>
      <c r="E242" s="128"/>
      <c r="F242" s="50">
        <f>SUM(F234:F241)</f>
        <v>0</v>
      </c>
      <c r="G242" s="50"/>
      <c r="H242" s="52">
        <f>SUM(H234:H241)</f>
        <v>0</v>
      </c>
      <c r="I242" s="53">
        <f>ROUND(SUMPRODUCT(E234:E241*F234:F241),2)</f>
        <v>0</v>
      </c>
      <c r="J242" s="129"/>
      <c r="N242" s="255"/>
      <c r="O242" s="255"/>
      <c r="P242" s="255"/>
    </row>
    <row r="243" spans="1:16" s="43" customFormat="1" ht="18" customHeight="1">
      <c r="A243" s="1"/>
      <c r="B243" s="124" t="str">
        <f>B240</f>
        <v>6单银Low-E+12A+6</v>
      </c>
      <c r="C243" s="263">
        <f t="shared" ref="C243:D249" si="34">D68-12</f>
        <v>444</v>
      </c>
      <c r="D243" s="263">
        <f t="shared" si="34"/>
        <v>789</v>
      </c>
      <c r="E243" s="32">
        <f t="shared" si="27"/>
        <v>0.35031600000000002</v>
      </c>
      <c r="F243" s="82">
        <f t="shared" ref="F243:F249" si="35">G68</f>
        <v>2</v>
      </c>
      <c r="G243" s="130">
        <f>G241</f>
        <v>148</v>
      </c>
      <c r="H243" s="262">
        <f t="shared" ref="H243:H249" si="36">ROUND(E243*G243*F243,2)</f>
        <v>103.69</v>
      </c>
      <c r="I243" s="267" t="s">
        <v>168</v>
      </c>
      <c r="J243" s="129"/>
      <c r="N243" s="255"/>
      <c r="O243" s="255"/>
      <c r="P243" s="255"/>
    </row>
    <row r="244" spans="1:16" s="43" customFormat="1" ht="18" customHeight="1">
      <c r="A244" s="1"/>
      <c r="B244" s="124" t="str">
        <f t="shared" ref="B244:B249" si="37">B243</f>
        <v>6单银Low-E+12A+6</v>
      </c>
      <c r="C244" s="263">
        <f t="shared" si="34"/>
        <v>444</v>
      </c>
      <c r="D244" s="263">
        <f t="shared" si="34"/>
        <v>659</v>
      </c>
      <c r="E244" s="32">
        <f t="shared" si="27"/>
        <v>0.29259600000000002</v>
      </c>
      <c r="F244" s="82">
        <f t="shared" si="35"/>
        <v>2</v>
      </c>
      <c r="G244" s="130">
        <f t="shared" ref="G244:G249" si="38">G243</f>
        <v>148</v>
      </c>
      <c r="H244" s="262">
        <f t="shared" si="36"/>
        <v>86.61</v>
      </c>
      <c r="I244" s="267" t="s">
        <v>168</v>
      </c>
      <c r="J244" s="129"/>
      <c r="N244" s="255"/>
      <c r="O244" s="255"/>
      <c r="P244" s="255"/>
    </row>
    <row r="245" spans="1:16" s="43" customFormat="1" ht="18" customHeight="1">
      <c r="A245" s="1"/>
      <c r="B245" s="124" t="str">
        <f t="shared" si="37"/>
        <v>6单银Low-E+12A+6</v>
      </c>
      <c r="C245" s="263">
        <f t="shared" si="34"/>
        <v>-12</v>
      </c>
      <c r="D245" s="263">
        <f t="shared" si="34"/>
        <v>-12</v>
      </c>
      <c r="E245" s="32">
        <f t="shared" si="27"/>
        <v>1.44E-4</v>
      </c>
      <c r="F245" s="82">
        <f t="shared" si="35"/>
        <v>0</v>
      </c>
      <c r="G245" s="130">
        <f t="shared" si="38"/>
        <v>148</v>
      </c>
      <c r="H245" s="262">
        <f t="shared" si="36"/>
        <v>0</v>
      </c>
      <c r="I245" s="267" t="s">
        <v>168</v>
      </c>
      <c r="J245" s="129"/>
      <c r="N245" s="255"/>
      <c r="O245" s="255"/>
      <c r="P245" s="255"/>
    </row>
    <row r="246" spans="1:16" s="43" customFormat="1" ht="18" customHeight="1">
      <c r="A246" s="1"/>
      <c r="B246" s="124" t="str">
        <f t="shared" si="37"/>
        <v>6单银Low-E+12A+6</v>
      </c>
      <c r="C246" s="263">
        <f t="shared" si="34"/>
        <v>-12</v>
      </c>
      <c r="D246" s="263">
        <f t="shared" si="34"/>
        <v>-12</v>
      </c>
      <c r="E246" s="32">
        <f t="shared" si="27"/>
        <v>1.44E-4</v>
      </c>
      <c r="F246" s="82">
        <f t="shared" si="35"/>
        <v>0</v>
      </c>
      <c r="G246" s="130">
        <f t="shared" si="38"/>
        <v>148</v>
      </c>
      <c r="H246" s="262">
        <f t="shared" si="36"/>
        <v>0</v>
      </c>
      <c r="I246" s="267" t="s">
        <v>168</v>
      </c>
      <c r="J246" s="129"/>
      <c r="N246" s="255"/>
      <c r="O246" s="255"/>
      <c r="P246" s="255"/>
    </row>
    <row r="247" spans="1:16" s="43" customFormat="1" ht="18" customHeight="1">
      <c r="A247" s="1"/>
      <c r="B247" s="124" t="str">
        <f t="shared" si="37"/>
        <v>6单银Low-E+12A+6</v>
      </c>
      <c r="C247" s="263">
        <f t="shared" si="34"/>
        <v>-12</v>
      </c>
      <c r="D247" s="263">
        <f t="shared" si="34"/>
        <v>-12</v>
      </c>
      <c r="E247" s="32">
        <f t="shared" si="27"/>
        <v>1.44E-4</v>
      </c>
      <c r="F247" s="82">
        <f t="shared" si="35"/>
        <v>0</v>
      </c>
      <c r="G247" s="130">
        <f t="shared" si="38"/>
        <v>148</v>
      </c>
      <c r="H247" s="262">
        <f t="shared" si="36"/>
        <v>0</v>
      </c>
      <c r="I247" s="267" t="s">
        <v>168</v>
      </c>
      <c r="J247" s="129"/>
      <c r="N247" s="255"/>
      <c r="O247" s="255"/>
      <c r="P247" s="255"/>
    </row>
    <row r="248" spans="1:16" s="43" customFormat="1" ht="18" customHeight="1">
      <c r="A248" s="1"/>
      <c r="B248" s="124" t="str">
        <f t="shared" si="37"/>
        <v>6单银Low-E+12A+6</v>
      </c>
      <c r="C248" s="263">
        <f t="shared" si="34"/>
        <v>-12</v>
      </c>
      <c r="D248" s="263">
        <f t="shared" si="34"/>
        <v>-12</v>
      </c>
      <c r="E248" s="32">
        <f t="shared" si="27"/>
        <v>1.44E-4</v>
      </c>
      <c r="F248" s="82">
        <f t="shared" si="35"/>
        <v>0</v>
      </c>
      <c r="G248" s="130">
        <f t="shared" si="38"/>
        <v>148</v>
      </c>
      <c r="H248" s="262">
        <f t="shared" si="36"/>
        <v>0</v>
      </c>
      <c r="I248" s="267" t="s">
        <v>168</v>
      </c>
      <c r="J248" s="129"/>
      <c r="N248" s="255"/>
      <c r="O248" s="255"/>
      <c r="P248" s="255"/>
    </row>
    <row r="249" spans="1:16" s="43" customFormat="1" ht="18" customHeight="1">
      <c r="A249" s="1"/>
      <c r="B249" s="124" t="str">
        <f t="shared" si="37"/>
        <v>6单银Low-E+12A+6</v>
      </c>
      <c r="C249" s="263">
        <f t="shared" si="34"/>
        <v>-12</v>
      </c>
      <c r="D249" s="263">
        <f t="shared" si="34"/>
        <v>-12</v>
      </c>
      <c r="E249" s="32">
        <f t="shared" si="27"/>
        <v>1.44E-4</v>
      </c>
      <c r="F249" s="82">
        <f t="shared" si="35"/>
        <v>0</v>
      </c>
      <c r="G249" s="130">
        <f t="shared" si="38"/>
        <v>148</v>
      </c>
      <c r="H249" s="262">
        <f t="shared" si="36"/>
        <v>0</v>
      </c>
      <c r="I249" s="267" t="s">
        <v>168</v>
      </c>
      <c r="J249" s="129"/>
      <c r="N249" s="255"/>
      <c r="O249" s="255"/>
      <c r="P249" s="255"/>
    </row>
    <row r="250" spans="1:16" s="43" customFormat="1" ht="18" customHeight="1">
      <c r="A250" s="1"/>
      <c r="B250" s="131" t="str">
        <f>B246</f>
        <v>6单银Low-E+12A+6</v>
      </c>
      <c r="C250" s="52"/>
      <c r="D250" s="50"/>
      <c r="E250" s="128"/>
      <c r="F250" s="50">
        <f>SUM(F243:F249)</f>
        <v>4</v>
      </c>
      <c r="G250" s="50"/>
      <c r="H250" s="52">
        <f>SUM(H243:H249)</f>
        <v>190.3</v>
      </c>
      <c r="I250" s="53">
        <f>ROUND((E243*F243+E244*F244+E245*F245+E246*F246+E247*F247+E248*F248+E249*F249),2)</f>
        <v>1.29</v>
      </c>
      <c r="J250" s="43">
        <f>(I242+I258+I273+I280)</f>
        <v>0</v>
      </c>
      <c r="N250" s="255"/>
      <c r="O250" s="255"/>
      <c r="P250" s="255"/>
    </row>
    <row r="251" spans="1:16" s="43" customFormat="1" ht="18" customHeight="1">
      <c r="A251" s="1"/>
      <c r="B251" s="124" t="str">
        <f>B249</f>
        <v>6单银Low-E+12A+6</v>
      </c>
      <c r="C251" s="263">
        <f t="shared" ref="C251:D257" si="39">D75-12</f>
        <v>-12</v>
      </c>
      <c r="D251" s="263">
        <f t="shared" si="39"/>
        <v>-12</v>
      </c>
      <c r="E251" s="32">
        <f t="shared" si="27"/>
        <v>1.44E-4</v>
      </c>
      <c r="F251" s="82">
        <f t="shared" ref="F251:F257" si="40">G75</f>
        <v>0</v>
      </c>
      <c r="G251" s="130">
        <f>G249</f>
        <v>148</v>
      </c>
      <c r="H251" s="262">
        <f>ROUND(E251*G251*F251,2)</f>
        <v>0</v>
      </c>
      <c r="I251" s="132" t="s">
        <v>169</v>
      </c>
      <c r="N251" s="255"/>
      <c r="O251" s="255"/>
      <c r="P251" s="255"/>
    </row>
    <row r="252" spans="1:16" s="43" customFormat="1" ht="18" customHeight="1">
      <c r="A252" s="1"/>
      <c r="B252" s="124" t="str">
        <f t="shared" ref="B252:B257" si="41">B251</f>
        <v>6单银Low-E+12A+6</v>
      </c>
      <c r="C252" s="263">
        <f t="shared" si="39"/>
        <v>-12</v>
      </c>
      <c r="D252" s="263">
        <f t="shared" si="39"/>
        <v>-12</v>
      </c>
      <c r="E252" s="32">
        <f t="shared" si="27"/>
        <v>1.44E-4</v>
      </c>
      <c r="F252" s="82">
        <f t="shared" si="40"/>
        <v>0</v>
      </c>
      <c r="G252" s="130">
        <f t="shared" ref="G252:G257" si="42">G251</f>
        <v>148</v>
      </c>
      <c r="H252" s="262">
        <f t="shared" ref="H252:H264" si="43">ROUND(E252*G252*F252,2)</f>
        <v>0</v>
      </c>
      <c r="I252" s="132" t="str">
        <f t="shared" ref="I252:I257" si="44">I251</f>
        <v>固定钢化中空</v>
      </c>
      <c r="N252" s="255"/>
      <c r="O252" s="255"/>
      <c r="P252" s="255"/>
    </row>
    <row r="253" spans="1:16" s="43" customFormat="1" ht="18" customHeight="1">
      <c r="A253" s="1"/>
      <c r="B253" s="124" t="str">
        <f t="shared" si="41"/>
        <v>6单银Low-E+12A+6</v>
      </c>
      <c r="C253" s="263">
        <f t="shared" si="39"/>
        <v>-12</v>
      </c>
      <c r="D253" s="263">
        <f t="shared" si="39"/>
        <v>-12</v>
      </c>
      <c r="E253" s="32">
        <f t="shared" si="27"/>
        <v>1.44E-4</v>
      </c>
      <c r="F253" s="82">
        <f t="shared" si="40"/>
        <v>0</v>
      </c>
      <c r="G253" s="130">
        <f t="shared" si="42"/>
        <v>148</v>
      </c>
      <c r="H253" s="262">
        <f t="shared" si="43"/>
        <v>0</v>
      </c>
      <c r="I253" s="132" t="str">
        <f t="shared" si="44"/>
        <v>固定钢化中空</v>
      </c>
      <c r="N253" s="255"/>
      <c r="O253" s="255"/>
      <c r="P253" s="255"/>
    </row>
    <row r="254" spans="1:16" s="43" customFormat="1" ht="18" customHeight="1">
      <c r="A254" s="1"/>
      <c r="B254" s="124" t="str">
        <f t="shared" si="41"/>
        <v>6单银Low-E+12A+6</v>
      </c>
      <c r="C254" s="263">
        <f t="shared" si="39"/>
        <v>-12</v>
      </c>
      <c r="D254" s="263">
        <f t="shared" si="39"/>
        <v>-12</v>
      </c>
      <c r="E254" s="32">
        <f t="shared" si="27"/>
        <v>1.44E-4</v>
      </c>
      <c r="F254" s="82">
        <f t="shared" si="40"/>
        <v>0</v>
      </c>
      <c r="G254" s="130">
        <f t="shared" si="42"/>
        <v>148</v>
      </c>
      <c r="H254" s="262">
        <f t="shared" si="43"/>
        <v>0</v>
      </c>
      <c r="I254" s="132" t="str">
        <f t="shared" si="44"/>
        <v>固定钢化中空</v>
      </c>
      <c r="J254" s="42"/>
      <c r="N254" s="255"/>
      <c r="O254" s="255"/>
      <c r="P254" s="255"/>
    </row>
    <row r="255" spans="1:16" s="43" customFormat="1" ht="18" customHeight="1">
      <c r="A255" s="1"/>
      <c r="B255" s="124" t="str">
        <f t="shared" si="41"/>
        <v>6单银Low-E+12A+6</v>
      </c>
      <c r="C255" s="263">
        <f t="shared" si="39"/>
        <v>-12</v>
      </c>
      <c r="D255" s="263">
        <f t="shared" si="39"/>
        <v>-12</v>
      </c>
      <c r="E255" s="32">
        <f t="shared" si="27"/>
        <v>1.44E-4</v>
      </c>
      <c r="F255" s="82">
        <f t="shared" si="40"/>
        <v>0</v>
      </c>
      <c r="G255" s="130">
        <f t="shared" si="42"/>
        <v>148</v>
      </c>
      <c r="H255" s="262">
        <f t="shared" si="43"/>
        <v>0</v>
      </c>
      <c r="I255" s="132" t="str">
        <f t="shared" si="44"/>
        <v>固定钢化中空</v>
      </c>
      <c r="N255" s="255"/>
      <c r="O255" s="255"/>
      <c r="P255" s="255"/>
    </row>
    <row r="256" spans="1:16" s="43" customFormat="1" ht="18" customHeight="1">
      <c r="A256" s="1"/>
      <c r="B256" s="124" t="str">
        <f t="shared" si="41"/>
        <v>6单银Low-E+12A+6</v>
      </c>
      <c r="C256" s="263">
        <f t="shared" si="39"/>
        <v>-12</v>
      </c>
      <c r="D256" s="263">
        <f t="shared" si="39"/>
        <v>-12</v>
      </c>
      <c r="E256" s="32">
        <f t="shared" si="27"/>
        <v>1.44E-4</v>
      </c>
      <c r="F256" s="82">
        <f t="shared" si="40"/>
        <v>0</v>
      </c>
      <c r="G256" s="130">
        <f t="shared" si="42"/>
        <v>148</v>
      </c>
      <c r="H256" s="262">
        <f t="shared" si="43"/>
        <v>0</v>
      </c>
      <c r="I256" s="132" t="str">
        <f t="shared" si="44"/>
        <v>固定钢化中空</v>
      </c>
      <c r="N256" s="255"/>
      <c r="O256" s="255"/>
      <c r="P256" s="255"/>
    </row>
    <row r="257" spans="1:16" s="43" customFormat="1" ht="18" customHeight="1">
      <c r="A257" s="1"/>
      <c r="B257" s="124" t="str">
        <f t="shared" si="41"/>
        <v>6单银Low-E+12A+6</v>
      </c>
      <c r="C257" s="263">
        <f t="shared" si="39"/>
        <v>-12</v>
      </c>
      <c r="D257" s="263">
        <f t="shared" si="39"/>
        <v>-12</v>
      </c>
      <c r="E257" s="32">
        <f t="shared" si="27"/>
        <v>1.44E-4</v>
      </c>
      <c r="F257" s="82">
        <f t="shared" si="40"/>
        <v>0</v>
      </c>
      <c r="G257" s="130">
        <f t="shared" si="42"/>
        <v>148</v>
      </c>
      <c r="H257" s="262">
        <f t="shared" si="43"/>
        <v>0</v>
      </c>
      <c r="I257" s="132" t="str">
        <f t="shared" si="44"/>
        <v>固定钢化中空</v>
      </c>
      <c r="N257" s="255"/>
      <c r="O257" s="255"/>
      <c r="P257" s="255"/>
    </row>
    <row r="258" spans="1:16" s="43" customFormat="1" ht="18" customHeight="1">
      <c r="A258" s="1"/>
      <c r="B258" s="48" t="s">
        <v>170</v>
      </c>
      <c r="C258" s="52"/>
      <c r="D258" s="50"/>
      <c r="E258" s="128"/>
      <c r="F258" s="50">
        <f>SUM(F251:F257)</f>
        <v>0</v>
      </c>
      <c r="G258" s="50"/>
      <c r="H258" s="52">
        <f>SUM(H251:H257)</f>
        <v>0</v>
      </c>
      <c r="I258" s="53">
        <f>ROUND((E251*F251+E252*F252+E253*F253+E254*F254+E255*F255+E256*F256+E257*F257),2)</f>
        <v>0</v>
      </c>
      <c r="N258" s="255"/>
      <c r="O258" s="255"/>
      <c r="P258" s="255"/>
    </row>
    <row r="259" spans="1:16" s="43" customFormat="1" ht="18" customHeight="1">
      <c r="A259" s="1"/>
      <c r="B259" s="124" t="str">
        <f>B257</f>
        <v>6单银Low-E+12A+6</v>
      </c>
      <c r="C259" s="263">
        <f t="shared" ref="C259:D264" si="45">D82-12</f>
        <v>-12</v>
      </c>
      <c r="D259" s="263">
        <f t="shared" si="45"/>
        <v>-12</v>
      </c>
      <c r="E259" s="32">
        <f t="shared" si="27"/>
        <v>1.44E-4</v>
      </c>
      <c r="F259" s="82">
        <f t="shared" ref="F259:F264" si="46">G82</f>
        <v>0</v>
      </c>
      <c r="G259" s="130">
        <f>G257</f>
        <v>148</v>
      </c>
      <c r="H259" s="262">
        <f t="shared" si="43"/>
        <v>0</v>
      </c>
      <c r="I259" s="267" t="s">
        <v>171</v>
      </c>
      <c r="N259" s="255"/>
      <c r="O259" s="255"/>
      <c r="P259" s="255"/>
    </row>
    <row r="260" spans="1:16" s="43" customFormat="1" ht="18" customHeight="1">
      <c r="A260" s="1"/>
      <c r="B260" s="124" t="str">
        <f>B259</f>
        <v>6单银Low-E+12A+6</v>
      </c>
      <c r="C260" s="263">
        <f t="shared" si="45"/>
        <v>-12</v>
      </c>
      <c r="D260" s="263">
        <f t="shared" si="45"/>
        <v>-12</v>
      </c>
      <c r="E260" s="32">
        <f t="shared" si="27"/>
        <v>1.44E-4</v>
      </c>
      <c r="F260" s="82">
        <f t="shared" si="46"/>
        <v>0</v>
      </c>
      <c r="G260" s="130">
        <f>G259</f>
        <v>148</v>
      </c>
      <c r="H260" s="262">
        <f t="shared" si="43"/>
        <v>0</v>
      </c>
      <c r="I260" s="267" t="s">
        <v>171</v>
      </c>
      <c r="N260" s="255"/>
      <c r="O260" s="255"/>
      <c r="P260" s="255"/>
    </row>
    <row r="261" spans="1:16" s="43" customFormat="1" ht="18" customHeight="1">
      <c r="A261" s="1"/>
      <c r="B261" s="124" t="str">
        <f>B260</f>
        <v>6单银Low-E+12A+6</v>
      </c>
      <c r="C261" s="263">
        <f t="shared" si="45"/>
        <v>-12</v>
      </c>
      <c r="D261" s="263">
        <f t="shared" si="45"/>
        <v>-12</v>
      </c>
      <c r="E261" s="32">
        <f t="shared" si="27"/>
        <v>1.44E-4</v>
      </c>
      <c r="F261" s="82">
        <f t="shared" si="46"/>
        <v>0</v>
      </c>
      <c r="G261" s="130">
        <f>G260</f>
        <v>148</v>
      </c>
      <c r="H261" s="262">
        <f t="shared" si="43"/>
        <v>0</v>
      </c>
      <c r="I261" s="267" t="s">
        <v>171</v>
      </c>
      <c r="N261" s="255"/>
      <c r="O261" s="255"/>
      <c r="P261" s="255"/>
    </row>
    <row r="262" spans="1:16" s="43" customFormat="1" ht="18" customHeight="1">
      <c r="A262" s="1"/>
      <c r="B262" s="124" t="str">
        <f>B261</f>
        <v>6单银Low-E+12A+6</v>
      </c>
      <c r="C262" s="263">
        <f t="shared" si="45"/>
        <v>-12</v>
      </c>
      <c r="D262" s="263">
        <f t="shared" si="45"/>
        <v>-12</v>
      </c>
      <c r="E262" s="32">
        <f t="shared" si="27"/>
        <v>1.44E-4</v>
      </c>
      <c r="F262" s="82">
        <f t="shared" si="46"/>
        <v>0</v>
      </c>
      <c r="G262" s="130">
        <f>G261</f>
        <v>148</v>
      </c>
      <c r="H262" s="262">
        <f t="shared" si="43"/>
        <v>0</v>
      </c>
      <c r="I262" s="267" t="s">
        <v>171</v>
      </c>
      <c r="N262" s="255"/>
      <c r="O262" s="255"/>
      <c r="P262" s="255"/>
    </row>
    <row r="263" spans="1:16" s="43" customFormat="1" ht="18" customHeight="1">
      <c r="A263" s="1"/>
      <c r="B263" s="124" t="str">
        <f>B262</f>
        <v>6单银Low-E+12A+6</v>
      </c>
      <c r="C263" s="263">
        <f t="shared" si="45"/>
        <v>-12</v>
      </c>
      <c r="D263" s="263">
        <f t="shared" si="45"/>
        <v>-12</v>
      </c>
      <c r="E263" s="32">
        <f t="shared" si="27"/>
        <v>1.44E-4</v>
      </c>
      <c r="F263" s="82">
        <f t="shared" si="46"/>
        <v>0</v>
      </c>
      <c r="G263" s="130">
        <f>G262</f>
        <v>148</v>
      </c>
      <c r="H263" s="262">
        <f t="shared" si="43"/>
        <v>0</v>
      </c>
      <c r="I263" s="267" t="s">
        <v>171</v>
      </c>
      <c r="N263" s="255"/>
      <c r="O263" s="255"/>
      <c r="P263" s="255"/>
    </row>
    <row r="264" spans="1:16" s="43" customFormat="1" ht="18" customHeight="1">
      <c r="A264" s="1"/>
      <c r="B264" s="124" t="str">
        <f>B263</f>
        <v>6单银Low-E+12A+6</v>
      </c>
      <c r="C264" s="263">
        <f t="shared" si="45"/>
        <v>-12</v>
      </c>
      <c r="D264" s="263">
        <f t="shared" si="45"/>
        <v>-12</v>
      </c>
      <c r="E264" s="32">
        <f t="shared" si="27"/>
        <v>1.44E-4</v>
      </c>
      <c r="F264" s="82">
        <f t="shared" si="46"/>
        <v>0</v>
      </c>
      <c r="G264" s="130">
        <f>G263</f>
        <v>148</v>
      </c>
      <c r="H264" s="262">
        <f t="shared" si="43"/>
        <v>0</v>
      </c>
      <c r="I264" s="267" t="s">
        <v>171</v>
      </c>
      <c r="N264" s="255"/>
      <c r="O264" s="255"/>
      <c r="P264" s="255"/>
    </row>
    <row r="265" spans="1:16" s="43" customFormat="1" ht="18" customHeight="1">
      <c r="A265" s="1"/>
      <c r="B265" s="48" t="s">
        <v>172</v>
      </c>
      <c r="C265" s="52"/>
      <c r="D265" s="50"/>
      <c r="E265" s="128"/>
      <c r="F265" s="50">
        <f>SUM(F259:F264)</f>
        <v>0</v>
      </c>
      <c r="G265" s="50"/>
      <c r="H265" s="52">
        <f>SUM(H259:H264)</f>
        <v>0</v>
      </c>
      <c r="I265" s="53">
        <f>ROUND(SUMPRODUCT(E259:E264*F259:F264),2)</f>
        <v>0</v>
      </c>
      <c r="N265" s="255"/>
      <c r="O265" s="255"/>
      <c r="P265" s="255"/>
    </row>
    <row r="266" spans="1:16" s="43" customFormat="1" ht="18" customHeight="1">
      <c r="A266" s="1"/>
      <c r="B266" s="124" t="str">
        <f>B264</f>
        <v>6单银Low-E+12A+6</v>
      </c>
      <c r="C266" s="133">
        <f t="shared" ref="C266:D268" si="47">D143</f>
        <v>768</v>
      </c>
      <c r="D266" s="133">
        <f t="shared" si="47"/>
        <v>2088</v>
      </c>
      <c r="E266" s="32">
        <f t="shared" si="27"/>
        <v>1.6035839999999999</v>
      </c>
      <c r="F266" s="134">
        <f>G143</f>
        <v>1</v>
      </c>
      <c r="G266" s="135">
        <f>G264</f>
        <v>148</v>
      </c>
      <c r="H266" s="134">
        <f>ROUND(E266*G266*F266,2)</f>
        <v>237.33</v>
      </c>
      <c r="I266" s="136" t="s">
        <v>173</v>
      </c>
      <c r="N266" s="255"/>
      <c r="O266" s="255"/>
      <c r="P266" s="255"/>
    </row>
    <row r="267" spans="1:16" s="43" customFormat="1" ht="18" customHeight="1">
      <c r="A267" s="1"/>
      <c r="B267" s="124" t="str">
        <f>B264</f>
        <v>6单银Low-E+12A+6</v>
      </c>
      <c r="C267" s="133">
        <f t="shared" si="47"/>
        <v>-154</v>
      </c>
      <c r="D267" s="133">
        <f t="shared" si="47"/>
        <v>-154</v>
      </c>
      <c r="E267" s="32">
        <f t="shared" si="27"/>
        <v>2.3716000000000001E-2</v>
      </c>
      <c r="F267" s="134">
        <f>G144</f>
        <v>0</v>
      </c>
      <c r="G267" s="135">
        <f>G266</f>
        <v>148</v>
      </c>
      <c r="H267" s="134">
        <f>ROUND(E267*G267*F267,2)</f>
        <v>0</v>
      </c>
      <c r="I267" s="136" t="s">
        <v>173</v>
      </c>
      <c r="N267" s="255"/>
      <c r="O267" s="255"/>
      <c r="P267" s="255"/>
    </row>
    <row r="268" spans="1:16" s="43" customFormat="1" ht="18" customHeight="1">
      <c r="A268" s="1"/>
      <c r="B268" s="124" t="str">
        <f>B267</f>
        <v>6单银Low-E+12A+6</v>
      </c>
      <c r="C268" s="133">
        <f t="shared" si="47"/>
        <v>-154</v>
      </c>
      <c r="D268" s="133">
        <f t="shared" si="47"/>
        <v>-154</v>
      </c>
      <c r="E268" s="32">
        <f t="shared" si="27"/>
        <v>2.3716000000000001E-2</v>
      </c>
      <c r="F268" s="134">
        <f>G145</f>
        <v>0</v>
      </c>
      <c r="G268" s="135">
        <f>G267</f>
        <v>148</v>
      </c>
      <c r="H268" s="134">
        <f>ROUND(E268*G268*F268,2)</f>
        <v>0</v>
      </c>
      <c r="I268" s="136" t="s">
        <v>173</v>
      </c>
      <c r="N268" s="255"/>
      <c r="O268" s="255"/>
      <c r="P268" s="255"/>
    </row>
    <row r="269" spans="1:16" s="43" customFormat="1" ht="18" customHeight="1">
      <c r="A269" s="1"/>
      <c r="B269" s="48" t="s">
        <v>174</v>
      </c>
      <c r="C269" s="52"/>
      <c r="D269" s="50"/>
      <c r="E269" s="128"/>
      <c r="F269" s="50">
        <f>SUM(F266:F268)</f>
        <v>1</v>
      </c>
      <c r="G269" s="50"/>
      <c r="H269" s="52">
        <f>SUM(H266:H268)</f>
        <v>237.33</v>
      </c>
      <c r="I269" s="53">
        <f>ROUND((E266*F266+E267*F267+E268*F268),2)</f>
        <v>1.6</v>
      </c>
      <c r="N269" s="255"/>
      <c r="O269" s="255"/>
      <c r="P269" s="255"/>
    </row>
    <row r="270" spans="1:16" s="43" customFormat="1" ht="18" customHeight="1">
      <c r="A270" s="1"/>
      <c r="B270" s="124" t="str">
        <f>B268</f>
        <v>6单银Low-E+12A+6</v>
      </c>
      <c r="C270" s="133">
        <f t="shared" ref="C270:D272" si="48">D150</f>
        <v>-160</v>
      </c>
      <c r="D270" s="133">
        <f t="shared" si="48"/>
        <v>-160</v>
      </c>
      <c r="E270" s="32">
        <f t="shared" si="27"/>
        <v>2.5600000000000001E-2</v>
      </c>
      <c r="F270" s="134">
        <f>G150</f>
        <v>0</v>
      </c>
      <c r="G270" s="135">
        <f>G268</f>
        <v>148</v>
      </c>
      <c r="H270" s="134">
        <f>ROUND(E270*G270*F270,2)</f>
        <v>0</v>
      </c>
      <c r="I270" s="136" t="s">
        <v>173</v>
      </c>
      <c r="N270" s="255"/>
      <c r="O270" s="255"/>
      <c r="P270" s="255"/>
    </row>
    <row r="271" spans="1:16" s="43" customFormat="1" ht="18" customHeight="1">
      <c r="A271" s="1"/>
      <c r="B271" s="124" t="str">
        <f>B270</f>
        <v>6单银Low-E+12A+6</v>
      </c>
      <c r="C271" s="133">
        <f t="shared" si="48"/>
        <v>-160</v>
      </c>
      <c r="D271" s="133">
        <f t="shared" si="48"/>
        <v>-160</v>
      </c>
      <c r="E271" s="32">
        <f t="shared" si="27"/>
        <v>2.5600000000000001E-2</v>
      </c>
      <c r="F271" s="134">
        <f>G151</f>
        <v>0</v>
      </c>
      <c r="G271" s="135">
        <f>G270</f>
        <v>148</v>
      </c>
      <c r="H271" s="134">
        <f>ROUND(E271*G271*F271,2)</f>
        <v>0</v>
      </c>
      <c r="I271" s="136" t="s">
        <v>173</v>
      </c>
      <c r="N271" s="255"/>
      <c r="O271" s="255"/>
      <c r="P271" s="255"/>
    </row>
    <row r="272" spans="1:16" s="43" customFormat="1" ht="18" customHeight="1">
      <c r="A272" s="1"/>
      <c r="B272" s="124" t="str">
        <f>B271</f>
        <v>6单银Low-E+12A+6</v>
      </c>
      <c r="C272" s="133">
        <f t="shared" si="48"/>
        <v>-160</v>
      </c>
      <c r="D272" s="133">
        <f t="shared" si="48"/>
        <v>-160</v>
      </c>
      <c r="E272" s="32">
        <f t="shared" si="27"/>
        <v>2.5600000000000001E-2</v>
      </c>
      <c r="F272" s="134">
        <f>G152</f>
        <v>0</v>
      </c>
      <c r="G272" s="135">
        <f>G271</f>
        <v>148</v>
      </c>
      <c r="H272" s="134">
        <f>ROUND(E272*G272*F272,2)</f>
        <v>0</v>
      </c>
      <c r="I272" s="136" t="s">
        <v>173</v>
      </c>
      <c r="N272" s="255"/>
      <c r="O272" s="255"/>
      <c r="P272" s="255"/>
    </row>
    <row r="273" spans="1:16" s="43" customFormat="1" ht="18" customHeight="1">
      <c r="A273" s="1"/>
      <c r="B273" s="48" t="s">
        <v>175</v>
      </c>
      <c r="C273" s="52"/>
      <c r="D273" s="50"/>
      <c r="E273" s="128"/>
      <c r="F273" s="50">
        <f>SUM(F270:F272)</f>
        <v>0</v>
      </c>
      <c r="G273" s="50"/>
      <c r="H273" s="52">
        <f>SUM(H270:H272)</f>
        <v>0</v>
      </c>
      <c r="I273" s="53">
        <f>ROUND((E270*F270+E271*F271+E272*F272),2)</f>
        <v>0</v>
      </c>
      <c r="N273" s="255"/>
      <c r="O273" s="255"/>
      <c r="P273" s="255"/>
    </row>
    <row r="274" spans="1:16" ht="18" customHeight="1">
      <c r="B274" s="124" t="str">
        <f>B272</f>
        <v>6单银Low-E+12A+6</v>
      </c>
      <c r="C274" s="133">
        <f t="shared" ref="C274:D279" si="49">D157-12</f>
        <v>-12</v>
      </c>
      <c r="D274" s="133">
        <f t="shared" si="49"/>
        <v>-12</v>
      </c>
      <c r="E274" s="32">
        <f t="shared" si="27"/>
        <v>1.44E-4</v>
      </c>
      <c r="F274" s="134">
        <f t="shared" ref="F274:F279" si="50">G157</f>
        <v>0</v>
      </c>
      <c r="G274" s="135">
        <f>G272</f>
        <v>148</v>
      </c>
      <c r="H274" s="134">
        <f t="shared" ref="H274:H279" si="51">ROUND(E274*G274*F274,2)</f>
        <v>0</v>
      </c>
      <c r="I274" s="136" t="s">
        <v>176</v>
      </c>
    </row>
    <row r="275" spans="1:16" ht="18" customHeight="1">
      <c r="B275" s="124" t="str">
        <f>B274</f>
        <v>6单银Low-E+12A+6</v>
      </c>
      <c r="C275" s="133">
        <f t="shared" si="49"/>
        <v>-12</v>
      </c>
      <c r="D275" s="133">
        <f t="shared" si="49"/>
        <v>-12</v>
      </c>
      <c r="E275" s="32">
        <f t="shared" si="27"/>
        <v>1.44E-4</v>
      </c>
      <c r="F275" s="134">
        <f t="shared" si="50"/>
        <v>0</v>
      </c>
      <c r="G275" s="135">
        <f>G274</f>
        <v>148</v>
      </c>
      <c r="H275" s="134">
        <f t="shared" si="51"/>
        <v>0</v>
      </c>
      <c r="I275" s="136" t="str">
        <f>I274</f>
        <v>门钢化中空玻璃</v>
      </c>
      <c r="K275" s="43" t="s">
        <v>177</v>
      </c>
    </row>
    <row r="276" spans="1:16" ht="18" customHeight="1">
      <c r="B276" s="124" t="str">
        <f>B275</f>
        <v>6单银Low-E+12A+6</v>
      </c>
      <c r="C276" s="133">
        <f t="shared" si="49"/>
        <v>-12</v>
      </c>
      <c r="D276" s="133">
        <f t="shared" si="49"/>
        <v>-12</v>
      </c>
      <c r="E276" s="32">
        <f t="shared" si="27"/>
        <v>1.44E-4</v>
      </c>
      <c r="F276" s="134">
        <f t="shared" si="50"/>
        <v>0</v>
      </c>
      <c r="G276" s="135">
        <f>G275</f>
        <v>148</v>
      </c>
      <c r="H276" s="134">
        <f t="shared" si="51"/>
        <v>0</v>
      </c>
      <c r="I276" s="136" t="str">
        <f>I275</f>
        <v>门钢化中空玻璃</v>
      </c>
    </row>
    <row r="277" spans="1:16" ht="18" customHeight="1">
      <c r="B277" s="124" t="str">
        <f>B276</f>
        <v>6单银Low-E+12A+6</v>
      </c>
      <c r="C277" s="133">
        <f t="shared" si="49"/>
        <v>-12</v>
      </c>
      <c r="D277" s="133">
        <f t="shared" si="49"/>
        <v>-12</v>
      </c>
      <c r="E277" s="32">
        <f t="shared" si="27"/>
        <v>1.44E-4</v>
      </c>
      <c r="F277" s="134">
        <f t="shared" si="50"/>
        <v>0</v>
      </c>
      <c r="G277" s="135">
        <f>G276</f>
        <v>148</v>
      </c>
      <c r="H277" s="134">
        <f t="shared" si="51"/>
        <v>0</v>
      </c>
      <c r="I277" s="136" t="str">
        <f>I276</f>
        <v>门钢化中空玻璃</v>
      </c>
    </row>
    <row r="278" spans="1:16" ht="18" customHeight="1">
      <c r="B278" s="124" t="str">
        <f>B277</f>
        <v>6单银Low-E+12A+6</v>
      </c>
      <c r="C278" s="133">
        <f t="shared" si="49"/>
        <v>-12</v>
      </c>
      <c r="D278" s="133">
        <f t="shared" si="49"/>
        <v>-12</v>
      </c>
      <c r="E278" s="32">
        <f t="shared" si="27"/>
        <v>1.44E-4</v>
      </c>
      <c r="F278" s="134">
        <f t="shared" si="50"/>
        <v>0</v>
      </c>
      <c r="G278" s="135">
        <f>G277</f>
        <v>148</v>
      </c>
      <c r="H278" s="134">
        <f t="shared" si="51"/>
        <v>0</v>
      </c>
      <c r="I278" s="136" t="str">
        <f>I277</f>
        <v>门钢化中空玻璃</v>
      </c>
    </row>
    <row r="279" spans="1:16" ht="18" customHeight="1">
      <c r="B279" s="124" t="str">
        <f>B278</f>
        <v>6单银Low-E+12A+6</v>
      </c>
      <c r="C279" s="133">
        <f t="shared" si="49"/>
        <v>-12</v>
      </c>
      <c r="D279" s="133">
        <f t="shared" si="49"/>
        <v>-12</v>
      </c>
      <c r="E279" s="32">
        <f t="shared" si="27"/>
        <v>1.44E-4</v>
      </c>
      <c r="F279" s="134">
        <f t="shared" si="50"/>
        <v>0</v>
      </c>
      <c r="G279" s="135">
        <f>G278</f>
        <v>148</v>
      </c>
      <c r="H279" s="134">
        <f t="shared" si="51"/>
        <v>0</v>
      </c>
      <c r="I279" s="136" t="str">
        <f>I278</f>
        <v>门钢化中空玻璃</v>
      </c>
    </row>
    <row r="280" spans="1:16" ht="18" customHeight="1">
      <c r="B280" s="48" t="s">
        <v>178</v>
      </c>
      <c r="C280" s="52"/>
      <c r="D280" s="50"/>
      <c r="E280" s="128"/>
      <c r="F280" s="50">
        <f>SUM(F274:F279)</f>
        <v>0</v>
      </c>
      <c r="G280" s="50"/>
      <c r="H280" s="52">
        <f>SUM(H274:H279)</f>
        <v>0</v>
      </c>
      <c r="I280" s="53">
        <f>ROUND(SUMPRODUCT(E274:E279*F274:F279),2)</f>
        <v>0</v>
      </c>
    </row>
    <row r="281" spans="1:16" ht="18" customHeight="1">
      <c r="B281" s="124" t="str">
        <f>材料价格!A10</f>
        <v>6单银Low-E+12A+6</v>
      </c>
      <c r="C281" s="133">
        <f>C252</f>
        <v>-12</v>
      </c>
      <c r="D281" s="133">
        <f>D252</f>
        <v>-12</v>
      </c>
      <c r="E281" s="32">
        <f t="shared" si="27"/>
        <v>1.44E-4</v>
      </c>
      <c r="F281" s="134"/>
      <c r="G281" s="137">
        <f>材料价格!B10</f>
        <v>148</v>
      </c>
      <c r="H281" s="134">
        <f>ROUND(E281*G281*F281,2)</f>
        <v>0</v>
      </c>
      <c r="I281" s="267" t="s">
        <v>179</v>
      </c>
    </row>
    <row r="282" spans="1:16" ht="18" customHeight="1">
      <c r="B282" s="124" t="str">
        <f>B281</f>
        <v>6单银Low-E+12A+6</v>
      </c>
      <c r="C282" s="133">
        <f>C253</f>
        <v>-12</v>
      </c>
      <c r="D282" s="133">
        <f>D253</f>
        <v>-12</v>
      </c>
      <c r="E282" s="32">
        <f t="shared" si="27"/>
        <v>1.44E-4</v>
      </c>
      <c r="F282" s="134"/>
      <c r="G282" s="135">
        <f>G281</f>
        <v>148</v>
      </c>
      <c r="H282" s="134">
        <f>ROUND(E282*G282*F282,2)</f>
        <v>0</v>
      </c>
      <c r="I282" s="267" t="s">
        <v>179</v>
      </c>
      <c r="J282" s="255"/>
      <c r="K282" s="255"/>
      <c r="L282" s="255"/>
      <c r="M282" s="255"/>
    </row>
    <row r="283" spans="1:16" ht="18" customHeight="1">
      <c r="B283" s="124" t="str">
        <f>B282</f>
        <v>6单银Low-E+12A+6</v>
      </c>
      <c r="C283" s="133">
        <f>D84-12</f>
        <v>-12</v>
      </c>
      <c r="D283" s="133">
        <f>E84-12</f>
        <v>-12</v>
      </c>
      <c r="E283" s="32">
        <f t="shared" si="27"/>
        <v>1.44E-4</v>
      </c>
      <c r="F283" s="134">
        <f>G84</f>
        <v>0</v>
      </c>
      <c r="G283" s="135">
        <f>G282</f>
        <v>148</v>
      </c>
      <c r="H283" s="134">
        <f>ROUND(E283*G283*F283,2)</f>
        <v>0</v>
      </c>
      <c r="I283" s="267" t="s">
        <v>179</v>
      </c>
      <c r="J283" s="255"/>
      <c r="K283" s="255"/>
      <c r="L283" s="255"/>
      <c r="M283" s="255"/>
    </row>
    <row r="284" spans="1:16" ht="18" customHeight="1">
      <c r="B284" s="124" t="str">
        <f>B283</f>
        <v>6单银Low-E+12A+6</v>
      </c>
      <c r="C284" s="133">
        <f>D85-12</f>
        <v>-12</v>
      </c>
      <c r="D284" s="133">
        <f>E85-12</f>
        <v>-12</v>
      </c>
      <c r="E284" s="32">
        <f t="shared" si="27"/>
        <v>1.44E-4</v>
      </c>
      <c r="F284" s="134">
        <f>G85</f>
        <v>0</v>
      </c>
      <c r="G284" s="135">
        <f>G283</f>
        <v>148</v>
      </c>
      <c r="H284" s="134">
        <f>ROUND(E284*G284*F284,2)</f>
        <v>0</v>
      </c>
      <c r="I284" s="267" t="s">
        <v>179</v>
      </c>
      <c r="J284" s="255"/>
      <c r="K284" s="255"/>
      <c r="L284" s="255"/>
      <c r="M284" s="255"/>
    </row>
    <row r="285" spans="1:16" ht="18" customHeight="1">
      <c r="B285" s="48" t="s">
        <v>180</v>
      </c>
      <c r="C285" s="52"/>
      <c r="D285" s="50"/>
      <c r="E285" s="50"/>
      <c r="F285" s="50">
        <f>SUM(F281:F284)</f>
        <v>0</v>
      </c>
      <c r="G285" s="50"/>
      <c r="H285" s="52">
        <f>SUM(H281:H284)</f>
        <v>0</v>
      </c>
      <c r="I285" s="53">
        <f>ROUND((E281*F281+E282*F282+E283*F283+E284*F284),2)</f>
        <v>0</v>
      </c>
      <c r="J285" s="255"/>
      <c r="K285" s="255"/>
      <c r="L285" s="255"/>
      <c r="M285" s="255"/>
    </row>
    <row r="286" spans="1:16" ht="18" customHeight="1">
      <c r="B286" s="124" t="str">
        <f>材料价格!A11</f>
        <v>8单银Low-E+12Ar+8+12A+8mm</v>
      </c>
      <c r="C286" s="133"/>
      <c r="D286" s="133"/>
      <c r="E286" s="32">
        <f>C286*D286/10^6</f>
        <v>0</v>
      </c>
      <c r="F286" s="134"/>
      <c r="G286" s="137">
        <f>材料价格!B11</f>
        <v>312</v>
      </c>
      <c r="H286" s="134">
        <f>ROUND(E286*G286*F286,2)</f>
        <v>0</v>
      </c>
      <c r="I286" s="267" t="s">
        <v>181</v>
      </c>
      <c r="J286" s="255"/>
      <c r="K286" s="255"/>
      <c r="L286" s="255"/>
      <c r="M286" s="255"/>
    </row>
    <row r="287" spans="1:16" ht="18" customHeight="1">
      <c r="B287" s="124" t="str">
        <f>B286</f>
        <v>8单银Low-E+12Ar+8+12A+8mm</v>
      </c>
      <c r="C287" s="133"/>
      <c r="D287" s="133"/>
      <c r="E287" s="32">
        <f>C287*D287/10^6</f>
        <v>0</v>
      </c>
      <c r="F287" s="134"/>
      <c r="G287" s="135">
        <f>G286</f>
        <v>312</v>
      </c>
      <c r="H287" s="134">
        <f>ROUND(E287*G287*F287,2)</f>
        <v>0</v>
      </c>
      <c r="I287" s="267" t="s">
        <v>181</v>
      </c>
      <c r="J287" s="255"/>
      <c r="K287" s="255"/>
      <c r="L287" s="255"/>
      <c r="M287" s="255"/>
    </row>
    <row r="288" spans="1:16" ht="18" customHeight="1">
      <c r="B288" s="138" t="str">
        <f>材料价格!A12</f>
        <v>10单银Low-E+12Ar+10+12A+10mm</v>
      </c>
      <c r="C288" s="139"/>
      <c r="D288" s="139"/>
      <c r="E288" s="140">
        <f>C288*D288/10^6</f>
        <v>0</v>
      </c>
      <c r="F288" s="141"/>
      <c r="G288" s="142">
        <f>材料价格!B12</f>
        <v>395</v>
      </c>
      <c r="H288" s="141">
        <f>ROUND(E288*G288*F288,2)</f>
        <v>0</v>
      </c>
      <c r="I288" s="143" t="s">
        <v>181</v>
      </c>
      <c r="J288" s="255"/>
      <c r="K288" s="255"/>
      <c r="L288" s="255"/>
      <c r="M288" s="255"/>
    </row>
    <row r="289" spans="2:13" ht="18" customHeight="1">
      <c r="B289" s="138" t="str">
        <f>B288</f>
        <v>10单银Low-E+12Ar+10+12A+10mm</v>
      </c>
      <c r="C289" s="139"/>
      <c r="D289" s="139"/>
      <c r="E289" s="140">
        <f>C289*D289/10^6</f>
        <v>0</v>
      </c>
      <c r="F289" s="141"/>
      <c r="G289" s="142">
        <f>G288</f>
        <v>395</v>
      </c>
      <c r="H289" s="141">
        <f>ROUND(E289*G289*F289,2)</f>
        <v>0</v>
      </c>
      <c r="I289" s="143" t="s">
        <v>181</v>
      </c>
      <c r="J289" s="255"/>
      <c r="K289" s="255"/>
      <c r="L289" s="255"/>
      <c r="M289" s="255"/>
    </row>
    <row r="290" spans="2:13" ht="18" customHeight="1">
      <c r="B290" s="48" t="s">
        <v>180</v>
      </c>
      <c r="C290" s="52"/>
      <c r="D290" s="50"/>
      <c r="E290" s="50"/>
      <c r="F290" s="50">
        <f>SUM(F286:F289)</f>
        <v>0</v>
      </c>
      <c r="G290" s="50"/>
      <c r="H290" s="52">
        <f>SUM(H286:H289)</f>
        <v>0</v>
      </c>
      <c r="I290" s="53">
        <f>ROUND((E286*F286+E287*F287+E288*F288+E289*F289),2)</f>
        <v>0</v>
      </c>
      <c r="J290" s="255"/>
      <c r="K290" s="255"/>
      <c r="L290" s="255"/>
      <c r="M290" s="255"/>
    </row>
    <row r="291" spans="2:13" ht="18" customHeight="1">
      <c r="B291" s="642" t="s">
        <v>182</v>
      </c>
      <c r="C291" s="144" t="s">
        <v>183</v>
      </c>
      <c r="D291" s="144" cm="1">
        <f t="array" ref="D291">SUMPRODUCT(E225:E232*F225:F232)+SUMPRODUCT(E243:E249*F243:F249)</f>
        <v>1.6321152000000001</v>
      </c>
      <c r="E291" s="144" t="s">
        <v>184</v>
      </c>
      <c r="F291" s="145">
        <f>F233+F250</f>
        <v>6</v>
      </c>
      <c r="G291" s="145" t="s">
        <v>185</v>
      </c>
      <c r="H291" s="144">
        <f>H233+H250</f>
        <v>241.55</v>
      </c>
      <c r="I291" s="146">
        <f>H291/F366</f>
        <v>51.06873295418508</v>
      </c>
      <c r="J291" s="255"/>
      <c r="K291" s="255"/>
      <c r="L291" s="255"/>
      <c r="M291" s="255"/>
    </row>
    <row r="292" spans="2:13" ht="18" customHeight="1">
      <c r="B292" s="642"/>
      <c r="C292" s="144" t="s">
        <v>186</v>
      </c>
      <c r="D292" s="144">
        <f>SUMPRODUCT(E234:E241*F234:F241)+SUMPRODUCT(E251:E257*F251:F257)+SUMPRODUCT(E259:E264*F259:F264)+SUMPRODUCT(E266:E268*F266:F268)+SUMPRODUCT(E270:E272*F270:F272)+SUMPRODUCT(E281:E284*F281:F284)+SUMPRODUCT(E286:E289*F286:F289)+SUMPRODUCT(E274:E279*F274:F279)</f>
        <v>1.6035839999999999</v>
      </c>
      <c r="E292" s="144" t="s">
        <v>186</v>
      </c>
      <c r="F292" s="145">
        <f>F242+F258+F265+F269+F273+F285+F290+F280</f>
        <v>1</v>
      </c>
      <c r="G292" s="145" t="s">
        <v>185</v>
      </c>
      <c r="H292" s="144">
        <f>H242+H258+H265+H269+H273+H280+H285+H290</f>
        <v>237.33</v>
      </c>
      <c r="I292" s="146">
        <f>H292/F366</f>
        <v>50.176536501828799</v>
      </c>
      <c r="J292" s="255"/>
      <c r="K292" s="255"/>
      <c r="L292" s="255"/>
      <c r="M292" s="255"/>
    </row>
    <row r="293" spans="2:13" ht="18" customHeight="1">
      <c r="B293" s="23" t="s">
        <v>187</v>
      </c>
      <c r="C293" s="261" t="s">
        <v>188</v>
      </c>
      <c r="D293" s="68" t="s">
        <v>189</v>
      </c>
      <c r="E293" s="261" t="s">
        <v>8</v>
      </c>
      <c r="F293" s="261" t="s">
        <v>190</v>
      </c>
      <c r="G293" s="261" t="s">
        <v>191</v>
      </c>
      <c r="H293" s="261" t="s">
        <v>160</v>
      </c>
      <c r="I293" s="25" t="s">
        <v>1</v>
      </c>
      <c r="J293" s="255"/>
      <c r="K293" s="255"/>
      <c r="L293" s="255"/>
      <c r="M293" s="255"/>
    </row>
    <row r="294" spans="2:13" ht="18" customHeight="1">
      <c r="B294" s="629" t="s">
        <v>192</v>
      </c>
      <c r="C294" s="263">
        <f>D26</f>
        <v>0</v>
      </c>
      <c r="D294" s="262"/>
      <c r="E294" s="262"/>
      <c r="F294" s="262" t="s">
        <v>193</v>
      </c>
      <c r="G294" s="108">
        <f>材料价格!B14</f>
        <v>153</v>
      </c>
      <c r="H294" s="147">
        <f>E294*G294</f>
        <v>0</v>
      </c>
      <c r="I294" s="632" t="s">
        <v>194</v>
      </c>
      <c r="J294" s="255"/>
      <c r="K294" s="255"/>
      <c r="L294" s="255"/>
      <c r="M294" s="255"/>
    </row>
    <row r="295" spans="2:13" ht="18" customHeight="1">
      <c r="B295" s="629"/>
      <c r="C295" s="263"/>
      <c r="D295" s="262"/>
      <c r="E295" s="262"/>
      <c r="F295" s="262"/>
      <c r="G295" s="108"/>
      <c r="H295" s="147">
        <f t="shared" ref="H295:H303" si="52">E295*G295</f>
        <v>0</v>
      </c>
      <c r="I295" s="633"/>
      <c r="J295" s="255"/>
      <c r="K295" s="255"/>
      <c r="L295" s="255"/>
      <c r="M295" s="255"/>
    </row>
    <row r="296" spans="2:13" ht="18" customHeight="1">
      <c r="B296" s="629" t="s">
        <v>195</v>
      </c>
      <c r="C296" s="263"/>
      <c r="D296" s="148"/>
      <c r="E296" s="262"/>
      <c r="F296" s="262" t="str">
        <f>F294</f>
        <v>坚朗</v>
      </c>
      <c r="G296" s="108">
        <f>材料价格!B15</f>
        <v>80</v>
      </c>
      <c r="H296" s="147">
        <f t="shared" si="52"/>
        <v>0</v>
      </c>
      <c r="I296" s="632" t="s">
        <v>196</v>
      </c>
      <c r="J296" s="255"/>
      <c r="K296" s="255"/>
      <c r="L296" s="255"/>
      <c r="M296" s="255"/>
    </row>
    <row r="297" spans="2:13" ht="18" customHeight="1">
      <c r="B297" s="629"/>
      <c r="C297" s="263"/>
      <c r="D297" s="148"/>
      <c r="E297" s="262"/>
      <c r="F297" s="262"/>
      <c r="G297" s="108"/>
      <c r="H297" s="147">
        <f t="shared" si="52"/>
        <v>0</v>
      </c>
      <c r="I297" s="633"/>
      <c r="J297" s="255"/>
      <c r="K297" s="255"/>
      <c r="L297" s="255"/>
      <c r="M297" s="255"/>
    </row>
    <row r="298" spans="2:13" ht="18" customHeight="1">
      <c r="B298" s="629" t="s">
        <v>197</v>
      </c>
      <c r="C298" s="263"/>
      <c r="D298" s="148"/>
      <c r="E298" s="262">
        <v>2</v>
      </c>
      <c r="F298" s="262" t="str">
        <f>F296</f>
        <v>坚朗</v>
      </c>
      <c r="G298" s="108">
        <f>材料价格!B16</f>
        <v>88</v>
      </c>
      <c r="H298" s="147">
        <f t="shared" si="52"/>
        <v>176</v>
      </c>
      <c r="I298" s="633"/>
      <c r="J298" s="255"/>
      <c r="K298" s="255"/>
      <c r="L298" s="255"/>
      <c r="M298" s="255"/>
    </row>
    <row r="299" spans="2:13" ht="18" customHeight="1">
      <c r="B299" s="629"/>
      <c r="C299" s="263"/>
      <c r="D299" s="148"/>
      <c r="E299" s="262"/>
      <c r="F299" s="262"/>
      <c r="G299" s="108"/>
      <c r="H299" s="147">
        <f t="shared" si="52"/>
        <v>0</v>
      </c>
      <c r="I299" s="633"/>
      <c r="J299" s="255"/>
      <c r="K299" s="255"/>
      <c r="L299" s="255"/>
      <c r="M299" s="255"/>
    </row>
    <row r="300" spans="2:13" ht="18" customHeight="1">
      <c r="B300" s="629" t="s">
        <v>198</v>
      </c>
      <c r="C300" s="263">
        <f>D35</f>
        <v>410</v>
      </c>
      <c r="D300" s="148"/>
      <c r="E300" s="262"/>
      <c r="F300" s="262" t="str">
        <f>F298</f>
        <v>坚朗</v>
      </c>
      <c r="G300" s="108">
        <f>材料价格!B17</f>
        <v>115</v>
      </c>
      <c r="H300" s="147">
        <f t="shared" si="52"/>
        <v>0</v>
      </c>
      <c r="I300" s="149"/>
      <c r="J300" s="255"/>
      <c r="K300" s="255"/>
      <c r="L300" s="255"/>
      <c r="M300" s="255"/>
    </row>
    <row r="301" spans="2:13" ht="18" customHeight="1">
      <c r="B301" s="629"/>
      <c r="C301" s="263"/>
      <c r="D301" s="148"/>
      <c r="E301" s="262"/>
      <c r="F301" s="262"/>
      <c r="G301" s="108"/>
      <c r="H301" s="147">
        <f t="shared" si="52"/>
        <v>0</v>
      </c>
      <c r="I301" s="149"/>
      <c r="J301" s="255"/>
      <c r="K301" s="255"/>
      <c r="L301" s="255"/>
      <c r="M301" s="255"/>
    </row>
    <row r="302" spans="2:13" ht="18" customHeight="1">
      <c r="B302" s="629" t="s">
        <v>199</v>
      </c>
      <c r="C302" s="262" t="s">
        <v>200</v>
      </c>
      <c r="D302" s="148"/>
      <c r="E302" s="262">
        <v>1</v>
      </c>
      <c r="F302" s="262" t="str">
        <f>F300</f>
        <v>坚朗</v>
      </c>
      <c r="G302" s="108">
        <f>材料价格!B19</f>
        <v>230</v>
      </c>
      <c r="H302" s="147">
        <f t="shared" si="52"/>
        <v>230</v>
      </c>
      <c r="I302" s="267"/>
      <c r="J302" s="255"/>
      <c r="K302" s="255"/>
      <c r="L302" s="255"/>
      <c r="M302" s="255"/>
    </row>
    <row r="303" spans="2:13" ht="18" customHeight="1">
      <c r="B303" s="629"/>
      <c r="C303" s="262" t="s">
        <v>201</v>
      </c>
      <c r="D303" s="148"/>
      <c r="E303" s="262"/>
      <c r="F303" s="262" t="str">
        <f>F302</f>
        <v>坚朗</v>
      </c>
      <c r="G303" s="108">
        <f>材料价格!B20</f>
        <v>335</v>
      </c>
      <c r="H303" s="147">
        <f t="shared" si="52"/>
        <v>0</v>
      </c>
      <c r="I303" s="267"/>
      <c r="J303" s="255"/>
      <c r="K303" s="255"/>
      <c r="L303" s="255"/>
      <c r="M303" s="255"/>
    </row>
    <row r="304" spans="2:13" ht="18" customHeight="1">
      <c r="B304" s="150" t="s">
        <v>202</v>
      </c>
      <c r="C304" s="50"/>
      <c r="D304" s="50"/>
      <c r="E304" s="50">
        <f>SUM(E294:E303)</f>
        <v>3</v>
      </c>
      <c r="F304" s="50"/>
      <c r="G304" s="166"/>
      <c r="H304" s="151">
        <f>SUM(H294:H303)</f>
        <v>406</v>
      </c>
      <c r="I304" s="152"/>
      <c r="J304" s="42"/>
    </row>
    <row r="305" spans="1:16" ht="18" customHeight="1">
      <c r="B305" s="265" t="s">
        <v>300</v>
      </c>
      <c r="C305" s="262"/>
      <c r="D305" s="148"/>
      <c r="E305" s="263">
        <f>E294+E296</f>
        <v>0</v>
      </c>
      <c r="F305" s="148"/>
      <c r="G305" s="148">
        <f>材料价格!B27</f>
        <v>0</v>
      </c>
      <c r="H305" s="154">
        <f>E305*G305</f>
        <v>0</v>
      </c>
      <c r="I305" s="267" t="s">
        <v>203</v>
      </c>
    </row>
    <row r="306" spans="1:16" s="16" customFormat="1" ht="18" customHeight="1">
      <c r="A306" s="1"/>
      <c r="B306" s="265" t="s">
        <v>204</v>
      </c>
      <c r="C306" s="262"/>
      <c r="D306" s="148"/>
      <c r="E306" s="263">
        <f>E298+E299+E300+E301</f>
        <v>2</v>
      </c>
      <c r="F306" s="148"/>
      <c r="G306" s="148">
        <f>材料价格!B28</f>
        <v>118</v>
      </c>
      <c r="H306" s="154">
        <f>E306*G306</f>
        <v>236</v>
      </c>
      <c r="I306" s="267" t="s">
        <v>205</v>
      </c>
      <c r="J306" s="43"/>
      <c r="K306" s="43"/>
      <c r="L306" s="43"/>
      <c r="M306" s="43"/>
      <c r="N306" s="255"/>
      <c r="O306" s="255"/>
      <c r="P306" s="255"/>
    </row>
    <row r="307" spans="1:16" s="16" customFormat="1" ht="18" customHeight="1">
      <c r="A307" s="1"/>
      <c r="B307" s="265" t="s">
        <v>206</v>
      </c>
      <c r="C307" s="262"/>
      <c r="D307" s="148"/>
      <c r="E307" s="263"/>
      <c r="F307" s="148"/>
      <c r="G307" s="148"/>
      <c r="H307" s="154">
        <f>E307*G307</f>
        <v>0</v>
      </c>
      <c r="I307" s="267" t="s">
        <v>207</v>
      </c>
      <c r="J307" s="43"/>
      <c r="K307" s="43"/>
      <c r="L307" s="43"/>
      <c r="M307" s="43"/>
      <c r="N307" s="255"/>
      <c r="O307" s="255"/>
      <c r="P307" s="255"/>
    </row>
    <row r="308" spans="1:16" s="16" customFormat="1" ht="18" customHeight="1">
      <c r="A308" s="1"/>
      <c r="B308" s="150" t="s">
        <v>208</v>
      </c>
      <c r="C308" s="50"/>
      <c r="D308" s="50"/>
      <c r="E308" s="100">
        <f>SUM(E305:E307)</f>
        <v>2</v>
      </c>
      <c r="F308" s="50"/>
      <c r="G308" s="166"/>
      <c r="H308" s="155">
        <f>SUM(H305:H307)</f>
        <v>236</v>
      </c>
      <c r="I308" s="152"/>
      <c r="J308" s="43"/>
      <c r="K308" s="43"/>
      <c r="L308" s="43"/>
      <c r="M308" s="43"/>
      <c r="N308" s="255"/>
      <c r="O308" s="255"/>
      <c r="P308" s="255"/>
    </row>
    <row r="309" spans="1:16" s="16" customFormat="1" ht="18" customHeight="1">
      <c r="A309" s="1"/>
      <c r="B309" s="156" t="s">
        <v>209</v>
      </c>
      <c r="C309" s="157">
        <f>ROUND(IF(D4&lt;=200,4,0)+IF(D4&gt;200,(D4/200+1))+IF(E4&lt;=200,4,0)+IF(E4&gt;200,(E4/200+1)),0)</f>
        <v>25</v>
      </c>
      <c r="D309" s="148"/>
      <c r="E309" s="148"/>
      <c r="F309" s="148"/>
      <c r="G309" s="158">
        <v>0.5</v>
      </c>
      <c r="H309" s="159">
        <f>ROUND(C309*G309,2)</f>
        <v>12.5</v>
      </c>
      <c r="I309" s="267" t="s">
        <v>210</v>
      </c>
      <c r="J309" s="43"/>
      <c r="K309" s="43"/>
      <c r="L309" s="43"/>
      <c r="M309" s="43"/>
      <c r="N309" s="255"/>
      <c r="O309" s="255"/>
      <c r="P309" s="255"/>
    </row>
    <row r="310" spans="1:16" s="16" customFormat="1" ht="18" customHeight="1">
      <c r="A310" s="1"/>
      <c r="B310" s="156" t="s">
        <v>211</v>
      </c>
      <c r="C310" s="157">
        <f>C309*2</f>
        <v>50</v>
      </c>
      <c r="D310" s="148">
        <f>D309*2</f>
        <v>0</v>
      </c>
      <c r="E310" s="148"/>
      <c r="F310" s="148"/>
      <c r="G310" s="158">
        <v>0.3</v>
      </c>
      <c r="H310" s="159">
        <f>ROUND(C310*G310,2)</f>
        <v>15</v>
      </c>
      <c r="I310" s="267" t="s">
        <v>212</v>
      </c>
      <c r="J310" s="43"/>
      <c r="K310" s="43"/>
      <c r="L310" s="255"/>
      <c r="M310" s="255"/>
      <c r="N310" s="255"/>
      <c r="O310" s="255"/>
      <c r="P310" s="255"/>
    </row>
    <row r="311" spans="1:16" s="16" customFormat="1" ht="18" customHeight="1">
      <c r="A311" s="1"/>
      <c r="B311" s="160" t="s">
        <v>213</v>
      </c>
      <c r="C311" s="161">
        <f>F6</f>
        <v>4.6863999999999999</v>
      </c>
      <c r="D311" s="162"/>
      <c r="E311" s="162"/>
      <c r="F311" s="162"/>
      <c r="G311" s="163">
        <v>5</v>
      </c>
      <c r="H311" s="159">
        <f>ROUND(C311*G311,2)</f>
        <v>23.43</v>
      </c>
      <c r="I311" s="267"/>
      <c r="J311" s="43"/>
      <c r="K311" s="43"/>
      <c r="L311" s="255"/>
      <c r="M311" s="255"/>
      <c r="N311" s="255"/>
      <c r="O311" s="255"/>
      <c r="P311" s="255"/>
    </row>
    <row r="312" spans="1:16" s="16" customFormat="1" ht="18" customHeight="1">
      <c r="A312" s="1"/>
      <c r="B312" s="160" t="s">
        <v>214</v>
      </c>
      <c r="C312" s="161"/>
      <c r="D312" s="162"/>
      <c r="E312" s="162"/>
      <c r="F312" s="162"/>
      <c r="G312" s="163"/>
      <c r="H312" s="159">
        <f>ROUND(C312*G312,2)</f>
        <v>0</v>
      </c>
      <c r="I312" s="267"/>
      <c r="J312" s="43"/>
      <c r="K312" s="43"/>
      <c r="L312" s="255"/>
      <c r="M312" s="255"/>
      <c r="N312" s="255"/>
      <c r="O312" s="255"/>
      <c r="P312" s="255"/>
    </row>
    <row r="313" spans="1:16" s="16" customFormat="1" ht="18" customHeight="1">
      <c r="A313" s="1"/>
      <c r="B313" s="164" t="s">
        <v>397</v>
      </c>
      <c r="C313" s="161">
        <f>D291+D292</f>
        <v>3.2356992</v>
      </c>
      <c r="D313" s="162"/>
      <c r="E313" s="162"/>
      <c r="F313" s="162"/>
      <c r="G313" s="163">
        <f>10+5</f>
        <v>15</v>
      </c>
      <c r="H313" s="159">
        <f>ROUND(C313*G313,2)</f>
        <v>48.54</v>
      </c>
      <c r="I313" s="267"/>
      <c r="J313" s="43"/>
      <c r="K313" s="43"/>
      <c r="L313" s="255"/>
      <c r="M313" s="255"/>
      <c r="N313" s="255"/>
      <c r="O313" s="255"/>
      <c r="P313" s="255"/>
    </row>
    <row r="314" spans="1:16" s="16" customFormat="1" ht="18" customHeight="1">
      <c r="A314" s="1"/>
      <c r="B314" s="150" t="s">
        <v>215</v>
      </c>
      <c r="C314" s="165"/>
      <c r="D314" s="50"/>
      <c r="E314" s="50"/>
      <c r="F314" s="50"/>
      <c r="G314" s="166"/>
      <c r="H314" s="155">
        <f>SUM(H309:H313)</f>
        <v>99.47</v>
      </c>
      <c r="I314" s="152"/>
      <c r="J314" s="43"/>
      <c r="K314" s="43"/>
      <c r="L314" s="255"/>
      <c r="M314" s="255"/>
      <c r="N314" s="255"/>
      <c r="O314" s="255"/>
      <c r="P314" s="255"/>
    </row>
    <row r="315" spans="1:16" s="16" customFormat="1" ht="18" customHeight="1">
      <c r="A315" s="1"/>
      <c r="B315" s="156" t="s">
        <v>216</v>
      </c>
      <c r="C315" s="167">
        <f>E203+E205+E207+I203+I205+E209+I207</f>
        <v>28</v>
      </c>
      <c r="D315" s="148"/>
      <c r="E315" s="148"/>
      <c r="F315" s="148"/>
      <c r="G315" s="168">
        <v>1.9</v>
      </c>
      <c r="H315" s="154">
        <f t="shared" ref="H315:H318" si="53">ROUND(C315*G315,2)</f>
        <v>53.2</v>
      </c>
      <c r="I315" s="224" t="s">
        <v>340</v>
      </c>
      <c r="J315" s="255"/>
      <c r="K315" s="43"/>
      <c r="L315" s="255"/>
      <c r="M315" s="255"/>
      <c r="N315" s="255"/>
      <c r="O315" s="255"/>
      <c r="P315" s="255"/>
    </row>
    <row r="316" spans="1:16" s="16" customFormat="1" ht="18" customHeight="1">
      <c r="A316" s="1"/>
      <c r="B316" s="156" t="s">
        <v>217</v>
      </c>
      <c r="C316" s="167">
        <f>ROUND((D4+E4)*2/1000,2)</f>
        <v>9</v>
      </c>
      <c r="D316" s="148"/>
      <c r="E316" s="238">
        <v>4</v>
      </c>
      <c r="F316" s="235">
        <f>材料价格!B25</f>
        <v>8.52</v>
      </c>
      <c r="G316" s="168">
        <f t="shared" ref="G316:G321" si="54">F316/E316</f>
        <v>2.13</v>
      </c>
      <c r="H316" s="154">
        <f t="shared" si="53"/>
        <v>19.170000000000002</v>
      </c>
      <c r="I316" s="169" t="s">
        <v>218</v>
      </c>
      <c r="J316" s="255"/>
      <c r="K316" s="43"/>
      <c r="L316" s="255"/>
      <c r="M316" s="255"/>
      <c r="N316" s="255"/>
      <c r="O316" s="255"/>
      <c r="P316" s="255"/>
    </row>
    <row r="317" spans="1:16" s="16" customFormat="1" ht="18" customHeight="1">
      <c r="A317" s="1"/>
      <c r="B317" s="156" t="s">
        <v>219</v>
      </c>
      <c r="C317" s="167">
        <f>C316</f>
        <v>9</v>
      </c>
      <c r="D317" s="148"/>
      <c r="E317" s="238">
        <v>3</v>
      </c>
      <c r="F317" s="235">
        <f>F316</f>
        <v>8.52</v>
      </c>
      <c r="G317" s="168">
        <f t="shared" si="54"/>
        <v>2.84</v>
      </c>
      <c r="H317" s="154">
        <f t="shared" si="53"/>
        <v>25.56</v>
      </c>
      <c r="I317" s="169" t="s">
        <v>220</v>
      </c>
      <c r="J317" s="255"/>
      <c r="K317" s="43"/>
      <c r="L317" s="255"/>
      <c r="M317" s="255"/>
      <c r="N317" s="255"/>
      <c r="O317" s="255"/>
      <c r="P317" s="255"/>
    </row>
    <row r="318" spans="1:16" s="16" customFormat="1" ht="18" customHeight="1">
      <c r="A318" s="1"/>
      <c r="B318" s="156" t="s">
        <v>221</v>
      </c>
      <c r="C318" s="167">
        <f>C316</f>
        <v>9</v>
      </c>
      <c r="D318" s="148"/>
      <c r="E318" s="238">
        <v>6.5</v>
      </c>
      <c r="F318" s="235">
        <f>材料价格!B26</f>
        <v>23</v>
      </c>
      <c r="G318" s="168">
        <f t="shared" si="54"/>
        <v>3.5384615384615383</v>
      </c>
      <c r="H318" s="154">
        <f t="shared" si="53"/>
        <v>31.85</v>
      </c>
      <c r="I318" s="224" t="s">
        <v>222</v>
      </c>
      <c r="J318" s="255"/>
      <c r="K318" s="43"/>
      <c r="L318" s="255"/>
      <c r="M318" s="255"/>
      <c r="N318" s="255"/>
      <c r="O318" s="255"/>
      <c r="P318" s="255"/>
    </row>
    <row r="319" spans="1:16" s="16" customFormat="1" ht="18" customHeight="1">
      <c r="A319" s="1"/>
      <c r="B319" s="156" t="s">
        <v>341</v>
      </c>
      <c r="C319" s="167">
        <f>ROUND((C97+C104+C88+C146+C153+C163)*1,2)</f>
        <v>18.8</v>
      </c>
      <c r="D319" s="77">
        <v>1</v>
      </c>
      <c r="E319" s="238">
        <f>10</f>
        <v>10</v>
      </c>
      <c r="F319" s="235">
        <f>F317</f>
        <v>8.52</v>
      </c>
      <c r="G319" s="168">
        <f>F319/E319</f>
        <v>0.85199999999999998</v>
      </c>
      <c r="H319" s="154">
        <f>ROUND(C319*G319,2)</f>
        <v>16.02</v>
      </c>
      <c r="I319" s="267" t="s">
        <v>223</v>
      </c>
      <c r="J319" s="255"/>
      <c r="K319" s="43"/>
      <c r="L319" s="255"/>
      <c r="M319" s="255"/>
      <c r="N319" s="255"/>
      <c r="O319" s="255"/>
      <c r="P319" s="255"/>
    </row>
    <row r="320" spans="1:16" s="16" customFormat="1" ht="18" customHeight="1">
      <c r="A320" s="1"/>
      <c r="B320" s="156" t="s">
        <v>342</v>
      </c>
      <c r="C320" s="167">
        <f>C319</f>
        <v>18.8</v>
      </c>
      <c r="D320" s="77">
        <v>1</v>
      </c>
      <c r="E320" s="238">
        <v>6</v>
      </c>
      <c r="F320" s="235">
        <f>F319</f>
        <v>8.52</v>
      </c>
      <c r="G320" s="168">
        <f t="shared" si="54"/>
        <v>1.42</v>
      </c>
      <c r="H320" s="154">
        <f>ROUND(C320*G320,2)</f>
        <v>26.7</v>
      </c>
      <c r="I320" s="267" t="s">
        <v>224</v>
      </c>
      <c r="J320" s="255"/>
      <c r="K320" s="170"/>
      <c r="L320" s="170"/>
      <c r="M320" s="170"/>
      <c r="N320" s="170"/>
      <c r="O320" s="170"/>
      <c r="P320" s="170"/>
    </row>
    <row r="321" spans="1:16" s="16" customFormat="1" ht="18" customHeight="1">
      <c r="A321" s="1"/>
      <c r="B321" s="156" t="s">
        <v>225</v>
      </c>
      <c r="C321" s="167">
        <f>C334*D334+C324*D324+C327*D327</f>
        <v>3.024</v>
      </c>
      <c r="D321" s="77">
        <v>1</v>
      </c>
      <c r="E321" s="238">
        <f>10</f>
        <v>10</v>
      </c>
      <c r="F321" s="235">
        <f>F317</f>
        <v>8.52</v>
      </c>
      <c r="G321" s="168">
        <f t="shared" si="54"/>
        <v>0.85199999999999998</v>
      </c>
      <c r="H321" s="154">
        <f>ROUND(C321*G321,2)</f>
        <v>2.58</v>
      </c>
      <c r="I321" s="267" t="s">
        <v>226</v>
      </c>
      <c r="J321" s="255"/>
      <c r="K321" s="170"/>
      <c r="L321" s="170"/>
      <c r="M321" s="170"/>
      <c r="N321" s="170"/>
      <c r="O321" s="170"/>
      <c r="P321" s="170"/>
    </row>
    <row r="322" spans="1:16" s="16" customFormat="1" ht="18" customHeight="1">
      <c r="A322" s="1"/>
      <c r="B322" s="150" t="s">
        <v>227</v>
      </c>
      <c r="C322" s="165"/>
      <c r="D322" s="50"/>
      <c r="E322" s="50"/>
      <c r="F322" s="50"/>
      <c r="G322" s="166" t="s">
        <v>396</v>
      </c>
      <c r="H322" s="155">
        <f>SUM(H315:H321)</f>
        <v>175.08</v>
      </c>
      <c r="I322" s="152"/>
      <c r="J322" s="244" t="s">
        <v>399</v>
      </c>
      <c r="K322" s="245" t="s">
        <v>379</v>
      </c>
      <c r="L322" s="170"/>
      <c r="M322" s="170"/>
      <c r="N322" s="170"/>
      <c r="O322" s="170"/>
      <c r="P322" s="170"/>
    </row>
    <row r="323" spans="1:16" s="16" customFormat="1" ht="18" customHeight="1">
      <c r="A323" s="1"/>
      <c r="B323" s="156" t="s">
        <v>356</v>
      </c>
      <c r="C323" s="167">
        <f>C31</f>
        <v>0</v>
      </c>
      <c r="D323" s="239">
        <v>1</v>
      </c>
      <c r="E323" s="148"/>
      <c r="F323" s="148"/>
      <c r="G323" s="236">
        <f>0.45+0.85</f>
        <v>1.3</v>
      </c>
      <c r="H323" s="154">
        <f>ROUND(C323*D323*G323,2)</f>
        <v>0</v>
      </c>
      <c r="I323" s="267" t="s">
        <v>345</v>
      </c>
      <c r="J323" s="244">
        <v>1.76</v>
      </c>
      <c r="K323" s="245" t="s">
        <v>400</v>
      </c>
      <c r="L323" s="170"/>
      <c r="M323" s="171"/>
      <c r="N323" s="170"/>
      <c r="O323" s="170"/>
      <c r="P323" s="170"/>
    </row>
    <row r="324" spans="1:16" s="16" customFormat="1" ht="18" customHeight="1">
      <c r="A324" s="1"/>
      <c r="B324" s="156" t="s">
        <v>347</v>
      </c>
      <c r="C324" s="167">
        <f>C323</f>
        <v>0</v>
      </c>
      <c r="D324" s="239">
        <v>1</v>
      </c>
      <c r="E324" s="148"/>
      <c r="F324" s="148"/>
      <c r="G324" s="236">
        <v>6.89</v>
      </c>
      <c r="H324" s="154">
        <f t="shared" ref="H324:H329" si="55">ROUND(C324*D324*G324,2)</f>
        <v>0</v>
      </c>
      <c r="I324" s="267" t="s">
        <v>346</v>
      </c>
      <c r="J324" s="244">
        <v>12.25</v>
      </c>
      <c r="K324" s="245" t="s">
        <v>376</v>
      </c>
      <c r="L324" s="170"/>
      <c r="M324" s="171"/>
      <c r="N324" s="170"/>
      <c r="O324" s="170"/>
      <c r="P324" s="170"/>
    </row>
    <row r="325" spans="1:16" s="16" customFormat="1" ht="18" customHeight="1">
      <c r="A325" s="1"/>
      <c r="B325" s="156" t="s">
        <v>357</v>
      </c>
      <c r="C325" s="167">
        <f>C38</f>
        <v>4.5327999999999999</v>
      </c>
      <c r="D325" s="239">
        <v>1</v>
      </c>
      <c r="E325" s="148"/>
      <c r="F325" s="148"/>
      <c r="G325" s="236">
        <f>0.85+0.61</f>
        <v>1.46</v>
      </c>
      <c r="H325" s="154">
        <f t="shared" si="55"/>
        <v>6.62</v>
      </c>
      <c r="I325" s="267" t="s">
        <v>354</v>
      </c>
      <c r="J325" s="244">
        <v>1.76</v>
      </c>
      <c r="K325" s="245" t="s">
        <v>378</v>
      </c>
      <c r="L325" s="170"/>
      <c r="M325" s="171"/>
      <c r="N325" s="170"/>
      <c r="O325" s="170"/>
      <c r="P325" s="170"/>
    </row>
    <row r="326" spans="1:16" s="16" customFormat="1" ht="18" customHeight="1">
      <c r="A326" s="1"/>
      <c r="B326" s="156" t="s">
        <v>355</v>
      </c>
      <c r="C326" s="167">
        <f>C325</f>
        <v>4.5327999999999999</v>
      </c>
      <c r="D326" s="239">
        <v>1</v>
      </c>
      <c r="E326" s="148"/>
      <c r="F326" s="148"/>
      <c r="G326" s="236">
        <v>3.27</v>
      </c>
      <c r="H326" s="154">
        <f>ROUND(C326*D326*G326,2)</f>
        <v>14.82</v>
      </c>
      <c r="I326" s="267" t="s">
        <v>358</v>
      </c>
      <c r="J326" s="244">
        <v>3.27</v>
      </c>
      <c r="K326" s="245" t="s">
        <v>358</v>
      </c>
      <c r="L326" s="170"/>
      <c r="M326" s="171"/>
      <c r="N326" s="170"/>
      <c r="O326" s="170"/>
      <c r="P326" s="170"/>
    </row>
    <row r="327" spans="1:16" s="16" customFormat="1" ht="18" customHeight="1">
      <c r="A327" s="1"/>
      <c r="B327" s="156" t="s">
        <v>228</v>
      </c>
      <c r="C327" s="167">
        <f>C126</f>
        <v>0</v>
      </c>
      <c r="D327" s="239">
        <v>1</v>
      </c>
      <c r="E327" s="110"/>
      <c r="F327" s="148"/>
      <c r="G327" s="236">
        <v>6.89</v>
      </c>
      <c r="H327" s="154">
        <f t="shared" si="55"/>
        <v>0</v>
      </c>
      <c r="I327" s="267" t="s">
        <v>346</v>
      </c>
      <c r="J327" s="244">
        <v>12.25</v>
      </c>
      <c r="K327" s="245" t="s">
        <v>346</v>
      </c>
      <c r="L327" s="170"/>
      <c r="M327" s="171"/>
      <c r="N327" s="170"/>
      <c r="O327" s="170"/>
      <c r="P327" s="170"/>
    </row>
    <row r="328" spans="1:16" s="16" customFormat="1" ht="18" customHeight="1">
      <c r="A328" s="1"/>
      <c r="B328" s="156" t="s">
        <v>229</v>
      </c>
      <c r="C328" s="167">
        <f>C327</f>
        <v>0</v>
      </c>
      <c r="D328" s="239">
        <v>1</v>
      </c>
      <c r="E328" s="110"/>
      <c r="F328" s="148"/>
      <c r="G328" s="236">
        <f>G3233</f>
        <v>0</v>
      </c>
      <c r="H328" s="154">
        <f t="shared" si="55"/>
        <v>0</v>
      </c>
      <c r="I328" s="267" t="s">
        <v>345</v>
      </c>
      <c r="J328" s="244">
        <v>0</v>
      </c>
      <c r="K328" s="245" t="s">
        <v>400</v>
      </c>
      <c r="L328" s="170"/>
      <c r="M328" s="171"/>
      <c r="N328" s="170"/>
      <c r="O328" s="170"/>
      <c r="P328" s="170"/>
    </row>
    <row r="329" spans="1:16" s="16" customFormat="1" ht="18" customHeight="1">
      <c r="A329" s="1"/>
      <c r="B329" s="156" t="s">
        <v>230</v>
      </c>
      <c r="C329" s="167">
        <f>C119</f>
        <v>6.3280000000000003</v>
      </c>
      <c r="D329" s="239">
        <v>1</v>
      </c>
      <c r="E329" s="148"/>
      <c r="F329" s="148"/>
      <c r="G329" s="236">
        <f>G3253</f>
        <v>0</v>
      </c>
      <c r="H329" s="154">
        <f t="shared" si="55"/>
        <v>0</v>
      </c>
      <c r="I329" s="267" t="s">
        <v>354</v>
      </c>
      <c r="J329" s="244">
        <v>0</v>
      </c>
      <c r="K329" s="245" t="s">
        <v>378</v>
      </c>
      <c r="L329" s="170"/>
      <c r="M329" s="171"/>
      <c r="N329" s="170"/>
      <c r="O329" s="170"/>
      <c r="P329" s="170"/>
    </row>
    <row r="330" spans="1:16" s="16" customFormat="1" ht="18" customHeight="1">
      <c r="A330" s="1"/>
      <c r="B330" s="156" t="s">
        <v>362</v>
      </c>
      <c r="C330" s="167">
        <f>C329</f>
        <v>6.3280000000000003</v>
      </c>
      <c r="D330" s="239">
        <v>1</v>
      </c>
      <c r="E330" s="148"/>
      <c r="F330" s="148"/>
      <c r="G330" s="236">
        <v>3.27</v>
      </c>
      <c r="H330" s="154">
        <f>ROUND(C330*D330*G330,2)</f>
        <v>20.69</v>
      </c>
      <c r="I330" s="267" t="s">
        <v>358</v>
      </c>
      <c r="J330" s="244">
        <v>3.27</v>
      </c>
      <c r="K330" s="245" t="s">
        <v>358</v>
      </c>
      <c r="L330" s="170"/>
      <c r="M330" s="171"/>
      <c r="N330" s="170"/>
      <c r="O330" s="170"/>
      <c r="P330" s="170"/>
    </row>
    <row r="331" spans="1:16" s="16" customFormat="1" ht="18" customHeight="1">
      <c r="A331" s="1"/>
      <c r="B331" s="156" t="s">
        <v>343</v>
      </c>
      <c r="C331" s="167">
        <f>C319</f>
        <v>18.8</v>
      </c>
      <c r="D331" s="239">
        <v>1</v>
      </c>
      <c r="E331" s="148"/>
      <c r="F331" s="148"/>
      <c r="G331" s="236">
        <v>1.25</v>
      </c>
      <c r="H331" s="154">
        <f>C331*D331*G331</f>
        <v>23.5</v>
      </c>
      <c r="I331" s="267" t="s">
        <v>344</v>
      </c>
      <c r="J331" s="244">
        <v>1.25</v>
      </c>
      <c r="K331" s="245" t="s">
        <v>344</v>
      </c>
      <c r="L331" s="170"/>
      <c r="M331" s="171"/>
      <c r="N331" s="170"/>
      <c r="O331" s="170"/>
      <c r="P331" s="170"/>
    </row>
    <row r="332" spans="1:16" s="16" customFormat="1" ht="18" customHeight="1">
      <c r="A332" s="1"/>
      <c r="B332" s="156" t="s">
        <v>350</v>
      </c>
      <c r="C332" s="167" cm="1">
        <f t="array" ref="C332">SUMPRODUCT(D26:D30*G26:G30)/1000</f>
        <v>0</v>
      </c>
      <c r="D332" s="239">
        <v>1</v>
      </c>
      <c r="E332" s="148"/>
      <c r="F332" s="148"/>
      <c r="G332" s="236">
        <v>0.41</v>
      </c>
      <c r="H332" s="154">
        <f>C332*D332*G332</f>
        <v>0</v>
      </c>
      <c r="I332" s="267" t="s">
        <v>348</v>
      </c>
      <c r="J332" s="244">
        <v>0.41</v>
      </c>
      <c r="K332" s="245" t="s">
        <v>348</v>
      </c>
      <c r="L332" s="170"/>
      <c r="M332" s="171"/>
      <c r="N332" s="170"/>
      <c r="O332" s="170"/>
      <c r="P332" s="170"/>
    </row>
    <row r="333" spans="1:16" s="16" customFormat="1" ht="18" customHeight="1">
      <c r="A333" s="1"/>
      <c r="B333" s="156" t="s">
        <v>349</v>
      </c>
      <c r="C333" s="167">
        <f>C88+C97+C104+C153+C163+C146</f>
        <v>18.8048</v>
      </c>
      <c r="D333" s="239">
        <v>1</v>
      </c>
      <c r="E333" s="148"/>
      <c r="F333" s="148"/>
      <c r="G333" s="236">
        <v>0.49</v>
      </c>
      <c r="H333" s="154">
        <f>C333*D333*G333</f>
        <v>9.2143519999999999</v>
      </c>
      <c r="I333" s="267" t="s">
        <v>351</v>
      </c>
      <c r="J333" s="244">
        <v>0.49</v>
      </c>
      <c r="K333" s="245" t="s">
        <v>351</v>
      </c>
      <c r="L333" s="170"/>
      <c r="M333" s="171"/>
      <c r="N333" s="170"/>
      <c r="O333" s="170"/>
      <c r="P333" s="170"/>
    </row>
    <row r="334" spans="1:16" s="16" customFormat="1" ht="18" customHeight="1">
      <c r="A334" s="1"/>
      <c r="B334" s="156" t="s">
        <v>353</v>
      </c>
      <c r="C334" s="167">
        <f t="array" ref="C334">SUMPRODUCT(D157:D162*G157:G162)/1000+SUM(G157:G162)*0.3+SUMPRODUCT(D68:D87*G68:G87)/1000+SUM(G68:G87)*0.3</f>
        <v>3.024</v>
      </c>
      <c r="D334" s="239">
        <v>1</v>
      </c>
      <c r="E334" s="148"/>
      <c r="F334" s="148"/>
      <c r="G334" s="237">
        <v>5.36</v>
      </c>
      <c r="H334" s="154">
        <f>C334*G334</f>
        <v>16.208640000000003</v>
      </c>
      <c r="I334" s="267" t="s">
        <v>352</v>
      </c>
      <c r="J334" s="244">
        <v>9.5500000000000007</v>
      </c>
      <c r="K334" s="245" t="s">
        <v>377</v>
      </c>
      <c r="L334" s="170"/>
      <c r="M334" s="171"/>
      <c r="N334" s="170"/>
      <c r="O334" s="170"/>
      <c r="P334" s="170"/>
    </row>
    <row r="335" spans="1:16" s="16" customFormat="1" ht="18" customHeight="1">
      <c r="A335" s="1"/>
      <c r="B335" s="156" t="s">
        <v>364</v>
      </c>
      <c r="C335" s="167">
        <f>C319</f>
        <v>18.8</v>
      </c>
      <c r="D335" s="239">
        <v>1</v>
      </c>
      <c r="E335" s="148"/>
      <c r="F335" s="148"/>
      <c r="G335" s="237">
        <v>1.25</v>
      </c>
      <c r="H335" s="154"/>
      <c r="I335" s="149" t="s">
        <v>363</v>
      </c>
      <c r="J335" s="244">
        <v>1.25</v>
      </c>
      <c r="K335" s="245" t="s">
        <v>363</v>
      </c>
      <c r="L335" s="170"/>
      <c r="M335" s="171"/>
      <c r="N335" s="170"/>
      <c r="O335" s="170"/>
      <c r="P335" s="170"/>
    </row>
    <row r="336" spans="1:16" s="16" customFormat="1" ht="18" customHeight="1">
      <c r="A336" s="1"/>
      <c r="B336" s="156" t="s">
        <v>365</v>
      </c>
      <c r="C336" s="167">
        <f>C320</f>
        <v>18.8</v>
      </c>
      <c r="D336" s="239">
        <v>1</v>
      </c>
      <c r="E336" s="148"/>
      <c r="F336" s="148"/>
      <c r="G336" s="237">
        <v>1.63</v>
      </c>
      <c r="H336" s="154"/>
      <c r="I336" s="149" t="s">
        <v>363</v>
      </c>
      <c r="J336" s="244">
        <v>1.63</v>
      </c>
      <c r="K336" s="245" t="s">
        <v>363</v>
      </c>
      <c r="L336" s="170"/>
      <c r="M336" s="171"/>
      <c r="N336" s="170"/>
      <c r="O336" s="170"/>
      <c r="P336" s="170"/>
    </row>
    <row r="337" spans="1:16" s="16" customFormat="1" ht="18" customHeight="1">
      <c r="A337" s="1"/>
      <c r="B337" s="150" t="s">
        <v>231</v>
      </c>
      <c r="C337" s="165"/>
      <c r="D337" s="50"/>
      <c r="E337" s="50"/>
      <c r="F337" s="50"/>
      <c r="G337" s="166"/>
      <c r="H337" s="155">
        <f>SUM(H323:H336)*1.05</f>
        <v>95.605641600000013</v>
      </c>
      <c r="I337" s="152"/>
      <c r="J337" s="172"/>
      <c r="K337" s="170"/>
      <c r="L337" s="170"/>
      <c r="M337" s="170"/>
      <c r="N337" s="170"/>
      <c r="O337" s="170"/>
      <c r="P337" s="170"/>
    </row>
    <row r="338" spans="1:16" s="16" customFormat="1" ht="18" customHeight="1">
      <c r="A338" s="1"/>
      <c r="B338" s="173" t="s">
        <v>366</v>
      </c>
      <c r="C338" s="174">
        <f>F250+F258+F265+F280+F285+F290</f>
        <v>4</v>
      </c>
      <c r="D338" s="175">
        <v>2</v>
      </c>
      <c r="E338" s="176"/>
      <c r="F338" s="176"/>
      <c r="G338" s="240">
        <v>0.5</v>
      </c>
      <c r="H338" s="177">
        <f t="shared" ref="H338:H343" si="56">D338*G338*C338</f>
        <v>4</v>
      </c>
      <c r="I338" s="178" t="s">
        <v>233</v>
      </c>
      <c r="J338" s="172"/>
      <c r="K338" s="170"/>
      <c r="L338" s="170"/>
      <c r="M338" s="170"/>
      <c r="N338" s="170"/>
      <c r="O338" s="170"/>
      <c r="P338" s="170"/>
    </row>
    <row r="339" spans="1:16" s="16" customFormat="1" ht="18" customHeight="1">
      <c r="A339" s="1"/>
      <c r="B339" s="173" t="s">
        <v>367</v>
      </c>
      <c r="C339" s="174">
        <f>F233+F242+F269+F273</f>
        <v>3</v>
      </c>
      <c r="D339" s="175">
        <v>4</v>
      </c>
      <c r="E339" s="176"/>
      <c r="F339" s="176"/>
      <c r="G339" s="240">
        <v>0.63</v>
      </c>
      <c r="H339" s="177">
        <f t="shared" si="56"/>
        <v>7.5600000000000005</v>
      </c>
      <c r="I339" s="178" t="s">
        <v>234</v>
      </c>
      <c r="J339" s="172"/>
      <c r="K339" s="170"/>
      <c r="L339" s="170"/>
      <c r="M339" s="170"/>
      <c r="N339" s="170"/>
      <c r="O339" s="170"/>
      <c r="P339" s="170"/>
    </row>
    <row r="340" spans="1:16" s="16" customFormat="1" ht="18" customHeight="1">
      <c r="A340" s="1"/>
      <c r="B340" s="173" t="s">
        <v>366</v>
      </c>
      <c r="C340" s="174">
        <f>SUM(G157:G162)</f>
        <v>0</v>
      </c>
      <c r="D340" s="175">
        <f>IF(E113&gt;2200,2,0)</f>
        <v>0</v>
      </c>
      <c r="E340" s="176"/>
      <c r="F340" s="176"/>
      <c r="G340" s="240">
        <v>0.5</v>
      </c>
      <c r="H340" s="177">
        <f t="shared" si="56"/>
        <v>0</v>
      </c>
      <c r="I340" s="178" t="s">
        <v>235</v>
      </c>
      <c r="J340" s="172"/>
      <c r="K340" s="170"/>
      <c r="L340" s="170"/>
      <c r="M340" s="170"/>
      <c r="N340" s="170"/>
      <c r="O340" s="170"/>
      <c r="P340" s="170"/>
    </row>
    <row r="341" spans="1:16" s="16" customFormat="1" ht="18" customHeight="1">
      <c r="A341" s="1"/>
      <c r="B341" s="173" t="s">
        <v>367</v>
      </c>
      <c r="C341" s="174">
        <f>SUM(G116:G118)</f>
        <v>1</v>
      </c>
      <c r="D341" s="175">
        <v>4</v>
      </c>
      <c r="E341" s="176"/>
      <c r="F341" s="176"/>
      <c r="G341" s="240">
        <v>0.63</v>
      </c>
      <c r="H341" s="177">
        <f t="shared" si="56"/>
        <v>2.52</v>
      </c>
      <c r="I341" s="178" t="s">
        <v>236</v>
      </c>
      <c r="J341" s="172"/>
      <c r="K341" s="170"/>
      <c r="L341" s="170"/>
      <c r="M341" s="170"/>
      <c r="N341" s="170"/>
      <c r="O341" s="170"/>
      <c r="P341" s="170"/>
    </row>
    <row r="342" spans="1:16" ht="18" customHeight="1">
      <c r="B342" s="173" t="s">
        <v>237</v>
      </c>
      <c r="C342" s="174">
        <v>1</v>
      </c>
      <c r="D342" s="175">
        <f>(F291+F292)*10</f>
        <v>70</v>
      </c>
      <c r="E342" s="176"/>
      <c r="F342" s="176"/>
      <c r="G342" s="240">
        <v>0.37</v>
      </c>
      <c r="H342" s="177">
        <f t="shared" si="56"/>
        <v>25.9</v>
      </c>
      <c r="I342" s="178"/>
      <c r="J342" s="172"/>
      <c r="K342" s="172"/>
      <c r="L342" s="172"/>
      <c r="N342" s="43"/>
    </row>
    <row r="343" spans="1:16" ht="18" customHeight="1">
      <c r="B343" s="173" t="s">
        <v>232</v>
      </c>
      <c r="C343" s="174">
        <f>C338</f>
        <v>4</v>
      </c>
      <c r="D343" s="175">
        <v>0</v>
      </c>
      <c r="E343" s="176"/>
      <c r="F343" s="176"/>
      <c r="G343" s="240">
        <v>0.49</v>
      </c>
      <c r="H343" s="177">
        <f t="shared" si="56"/>
        <v>0</v>
      </c>
      <c r="I343" s="178" t="s">
        <v>238</v>
      </c>
      <c r="J343" s="172"/>
      <c r="K343" s="172"/>
      <c r="L343" s="172"/>
      <c r="N343" s="43"/>
    </row>
    <row r="344" spans="1:16" ht="18" customHeight="1">
      <c r="B344" s="156" t="s">
        <v>239</v>
      </c>
      <c r="C344" s="157"/>
      <c r="D344" s="262">
        <f>E203+E205*2+E207*2+I203+I205*2+I207*2</f>
        <v>32</v>
      </c>
      <c r="E344" s="148"/>
      <c r="F344" s="148"/>
      <c r="G344" s="148">
        <v>0.2</v>
      </c>
      <c r="H344" s="179">
        <f>D344*G344</f>
        <v>6.4</v>
      </c>
      <c r="I344" s="267" t="s">
        <v>368</v>
      </c>
      <c r="J344" s="172"/>
      <c r="K344" s="172"/>
      <c r="L344" s="172"/>
    </row>
    <row r="345" spans="1:16" ht="18" customHeight="1">
      <c r="B345" s="156" t="s">
        <v>240</v>
      </c>
      <c r="C345" s="157"/>
      <c r="D345" s="262">
        <f>4*(E52+E53+E54+E55+G52+G53+G54+G55+G60+G61+G62+G63+E130+E131+E132+G130+G131+G132+G137+G138)</f>
        <v>20</v>
      </c>
      <c r="E345" s="148"/>
      <c r="F345" s="148"/>
      <c r="G345" s="148">
        <v>0.22</v>
      </c>
      <c r="H345" s="179">
        <f>D345*G345</f>
        <v>4.4000000000000004</v>
      </c>
      <c r="I345" s="267" t="s">
        <v>241</v>
      </c>
      <c r="J345" s="172"/>
      <c r="K345" s="172"/>
      <c r="L345" s="172"/>
    </row>
    <row r="346" spans="1:16" ht="18" customHeight="1">
      <c r="B346" s="156" t="s">
        <v>242</v>
      </c>
      <c r="C346" s="157"/>
      <c r="D346" s="262">
        <f>D345/2</f>
        <v>10</v>
      </c>
      <c r="E346" s="148"/>
      <c r="F346" s="148"/>
      <c r="G346" s="148">
        <v>0.22</v>
      </c>
      <c r="H346" s="179">
        <f>ROUND(D346*G346,2)</f>
        <v>2.2000000000000002</v>
      </c>
      <c r="I346" s="267" t="s">
        <v>243</v>
      </c>
      <c r="J346" s="172"/>
      <c r="K346" s="172"/>
      <c r="L346" s="172"/>
    </row>
    <row r="347" spans="1:16" ht="18" customHeight="1">
      <c r="B347" s="156" t="s">
        <v>369</v>
      </c>
      <c r="C347" s="157"/>
      <c r="D347" s="262">
        <f>D346</f>
        <v>10</v>
      </c>
      <c r="E347" s="148"/>
      <c r="F347" s="148"/>
      <c r="G347" s="148">
        <v>1.37</v>
      </c>
      <c r="H347" s="179">
        <f>ROUND(D347*G347,2)</f>
        <v>13.7</v>
      </c>
      <c r="I347" s="267" t="s">
        <v>370</v>
      </c>
      <c r="J347" s="172"/>
      <c r="K347" s="172"/>
      <c r="L347" s="172"/>
    </row>
    <row r="348" spans="1:16" ht="18" customHeight="1">
      <c r="B348" s="156" t="s">
        <v>244</v>
      </c>
      <c r="C348" s="157"/>
      <c r="D348" s="262">
        <f>(F291+F292)*2</f>
        <v>14</v>
      </c>
      <c r="E348" s="148"/>
      <c r="F348" s="148"/>
      <c r="G348" s="148">
        <v>0.48</v>
      </c>
      <c r="H348" s="179">
        <f>ROUND(D348*G348,2)</f>
        <v>6.72</v>
      </c>
      <c r="I348" s="267" t="s">
        <v>245</v>
      </c>
      <c r="J348" s="255"/>
    </row>
    <row r="349" spans="1:16" ht="18" customHeight="1">
      <c r="B349" s="156" t="s">
        <v>246</v>
      </c>
      <c r="C349" s="157"/>
      <c r="D349" s="262">
        <f>ROUND((D4+E4-240)*2/200+E217*F217/200,0)</f>
        <v>53</v>
      </c>
      <c r="E349" s="148"/>
      <c r="F349" s="148"/>
      <c r="G349" s="148">
        <v>0.05</v>
      </c>
      <c r="H349" s="179">
        <f>ROUND(D349*G349,2)</f>
        <v>2.65</v>
      </c>
      <c r="I349" s="267" t="s">
        <v>247</v>
      </c>
      <c r="J349" s="255"/>
    </row>
    <row r="350" spans="1:16" ht="18" customHeight="1">
      <c r="B350" s="150" t="s">
        <v>248</v>
      </c>
      <c r="C350" s="165"/>
      <c r="D350" s="50"/>
      <c r="E350" s="50"/>
      <c r="F350" s="50"/>
      <c r="G350" s="166"/>
      <c r="H350" s="155">
        <f>SUM(H338:H349)</f>
        <v>76.05</v>
      </c>
      <c r="I350" s="152"/>
    </row>
    <row r="351" spans="1:16" ht="18" customHeight="1">
      <c r="B351" s="156" t="s">
        <v>359</v>
      </c>
      <c r="C351" s="157"/>
      <c r="D351" s="262">
        <f>SUMPRODUCT(G26:G30)*8+SUMPRODUCT(G35:G37)*8+SUMPRODUCT(G116:G118)*8+SUMPRODUCT(G123:G125)*8</f>
        <v>24</v>
      </c>
      <c r="E351" s="148"/>
      <c r="F351" s="148"/>
      <c r="G351" s="148">
        <v>1.26</v>
      </c>
      <c r="H351" s="154">
        <f>ROUND(D351*G351,2)</f>
        <v>30.24</v>
      </c>
      <c r="I351" s="267" t="s">
        <v>386</v>
      </c>
    </row>
    <row r="352" spans="1:16" ht="18" customHeight="1">
      <c r="B352" s="156" t="s">
        <v>360</v>
      </c>
      <c r="C352" s="157"/>
      <c r="D352" s="262">
        <f>G26*4+G27*4+G28*4+G29*4+G30*4</f>
        <v>0</v>
      </c>
      <c r="E352" s="148"/>
      <c r="F352" s="148"/>
      <c r="G352" s="148">
        <v>2</v>
      </c>
      <c r="H352" s="154">
        <f>ROUND(D352*G352,2)</f>
        <v>0</v>
      </c>
      <c r="I352" s="267" t="s">
        <v>361</v>
      </c>
    </row>
    <row r="353" spans="1:22" ht="18" customHeight="1">
      <c r="B353" s="156" t="s">
        <v>249</v>
      </c>
      <c r="C353" s="157"/>
      <c r="D353" s="262"/>
      <c r="E353" s="148"/>
      <c r="F353" s="148"/>
      <c r="G353" s="148">
        <v>1.6</v>
      </c>
      <c r="H353" s="154"/>
      <c r="I353" s="267"/>
    </row>
    <row r="354" spans="1:22" ht="18" customHeight="1">
      <c r="B354" s="156" t="s">
        <v>250</v>
      </c>
      <c r="C354" s="157"/>
      <c r="D354" s="44">
        <f>C22+C31+C38+C48+C56+C64+C112+C119+C126+C133+C139+C199</f>
        <v>33.422800000000002</v>
      </c>
      <c r="E354" s="148"/>
      <c r="F354" s="148"/>
      <c r="G354" s="179">
        <v>4</v>
      </c>
      <c r="H354" s="154">
        <f t="shared" ref="H354:H356" si="57">ROUND(D354*G354,2)</f>
        <v>133.69</v>
      </c>
      <c r="I354" s="267"/>
    </row>
    <row r="355" spans="1:22" ht="18" customHeight="1">
      <c r="B355" s="156" t="s">
        <v>251</v>
      </c>
      <c r="C355" s="157" t="s">
        <v>252</v>
      </c>
      <c r="D355" s="44">
        <f>C88+C163</f>
        <v>9.5359999999999996</v>
      </c>
      <c r="E355" s="148"/>
      <c r="F355" s="148"/>
      <c r="G355" s="179">
        <v>3.15</v>
      </c>
      <c r="H355" s="154">
        <f t="shared" si="57"/>
        <v>30.04</v>
      </c>
      <c r="I355" s="267"/>
    </row>
    <row r="356" spans="1:22" ht="18" customHeight="1">
      <c r="B356" s="156" t="s">
        <v>253</v>
      </c>
      <c r="C356" s="157" t="s">
        <v>254</v>
      </c>
      <c r="D356" s="44">
        <f>C97+C104+C146+C153</f>
        <v>9.2687999999999988</v>
      </c>
      <c r="E356" s="148"/>
      <c r="F356" s="148"/>
      <c r="G356" s="179">
        <v>3.65</v>
      </c>
      <c r="H356" s="154">
        <f t="shared" si="57"/>
        <v>33.83</v>
      </c>
      <c r="I356" s="267"/>
    </row>
    <row r="357" spans="1:22" ht="18" customHeight="1">
      <c r="B357" s="156" t="s">
        <v>387</v>
      </c>
      <c r="C357" s="157"/>
      <c r="D357" s="44">
        <f>F291+F292</f>
        <v>7</v>
      </c>
      <c r="E357" s="148"/>
      <c r="F357" s="148"/>
      <c r="G357" s="179">
        <v>6</v>
      </c>
      <c r="H357" s="154"/>
      <c r="I357" s="267"/>
    </row>
    <row r="358" spans="1:22" ht="18" customHeight="1">
      <c r="B358" s="156" t="s">
        <v>255</v>
      </c>
      <c r="C358" s="157"/>
      <c r="D358" s="180"/>
      <c r="E358" s="148"/>
      <c r="F358" s="148"/>
      <c r="G358" s="148">
        <v>70</v>
      </c>
      <c r="H358" s="154">
        <f>D358*G358</f>
        <v>0</v>
      </c>
      <c r="I358" s="267"/>
    </row>
    <row r="359" spans="1:22" ht="18" customHeight="1">
      <c r="B359" s="156" t="s">
        <v>858</v>
      </c>
      <c r="C359" s="157"/>
      <c r="D359" s="180">
        <f>(D4*2+E4)/1000</f>
        <v>6.6</v>
      </c>
      <c r="E359" s="148"/>
      <c r="F359" s="148"/>
      <c r="G359" s="148">
        <v>180</v>
      </c>
      <c r="H359" s="154">
        <f>D359*G359</f>
        <v>1188</v>
      </c>
      <c r="I359" s="267"/>
    </row>
    <row r="360" spans="1:22" ht="18" customHeight="1">
      <c r="B360" s="156" t="s">
        <v>388</v>
      </c>
      <c r="C360" s="157"/>
      <c r="D360" s="262">
        <v>1</v>
      </c>
      <c r="E360" s="148"/>
      <c r="F360" s="148"/>
      <c r="G360" s="148">
        <v>9.6</v>
      </c>
      <c r="H360" s="154">
        <f>ROUND(D360*G360,2)</f>
        <v>9.6</v>
      </c>
      <c r="I360" s="267"/>
    </row>
    <row r="361" spans="1:22" ht="18" customHeight="1">
      <c r="B361" s="156" t="s">
        <v>901</v>
      </c>
      <c r="C361" s="157"/>
      <c r="D361" s="463">
        <f>(D4+E4)*2/1000</f>
        <v>9</v>
      </c>
      <c r="E361" s="148"/>
      <c r="F361" s="148"/>
      <c r="G361" s="148">
        <v>45</v>
      </c>
      <c r="H361" s="154">
        <f>ROUND(D361*G361,2)</f>
        <v>405</v>
      </c>
      <c r="I361" s="468"/>
    </row>
    <row r="362" spans="1:22" ht="18" customHeight="1">
      <c r="B362" s="181" t="s">
        <v>398</v>
      </c>
      <c r="C362" s="157"/>
      <c r="D362" s="182">
        <f>F366</f>
        <v>4.7298999999999998</v>
      </c>
      <c r="E362" s="148"/>
      <c r="F362" s="148"/>
      <c r="G362" s="148">
        <v>3</v>
      </c>
      <c r="H362" s="154">
        <f>D362*G362</f>
        <v>14.189699999999998</v>
      </c>
      <c r="I362" s="267"/>
    </row>
    <row r="363" spans="1:22" ht="18" customHeight="1">
      <c r="B363" s="150" t="s">
        <v>256</v>
      </c>
      <c r="C363" s="50"/>
      <c r="D363" s="50"/>
      <c r="E363" s="50"/>
      <c r="F363" s="50"/>
      <c r="G363" s="166"/>
      <c r="H363" s="155">
        <f>SUM(H351:H362)</f>
        <v>1844.5896999999998</v>
      </c>
      <c r="I363" s="183"/>
    </row>
    <row r="364" spans="1:22" ht="18" customHeight="1">
      <c r="B364" s="266" t="s">
        <v>257</v>
      </c>
      <c r="C364" s="185"/>
      <c r="D364" s="186"/>
      <c r="E364" s="185"/>
      <c r="F364" s="186"/>
      <c r="G364" s="186"/>
      <c r="H364" s="187">
        <f>SUM(H363,H350,H337,H322,H314,H308,H304)</f>
        <v>2932.7953415999996</v>
      </c>
      <c r="I364" s="188"/>
    </row>
    <row r="365" spans="1:22" ht="18" customHeight="1">
      <c r="A365" s="189"/>
      <c r="B365" s="190" t="s">
        <v>258</v>
      </c>
      <c r="C365" s="10" t="s">
        <v>14</v>
      </c>
      <c r="D365" s="10" t="s">
        <v>16</v>
      </c>
      <c r="E365" s="10" t="s">
        <v>17</v>
      </c>
      <c r="F365" s="10" t="s">
        <v>7</v>
      </c>
      <c r="G365" s="10" t="s">
        <v>5</v>
      </c>
      <c r="H365" s="10" t="s">
        <v>18</v>
      </c>
      <c r="I365" s="191" t="s">
        <v>259</v>
      </c>
      <c r="L365" s="192"/>
      <c r="M365" s="192"/>
    </row>
    <row r="366" spans="1:22" ht="18" customHeight="1">
      <c r="B366" s="48">
        <f>ROUND(I366/F366,2)</f>
        <v>1585.08</v>
      </c>
      <c r="C366" s="50" t="s">
        <v>299</v>
      </c>
      <c r="D366" s="50">
        <f>D5</f>
        <v>2030</v>
      </c>
      <c r="E366" s="50">
        <f>E5</f>
        <v>2330</v>
      </c>
      <c r="F366" s="49">
        <f>E366*D366/1000000</f>
        <v>4.7298999999999998</v>
      </c>
      <c r="G366" s="50">
        <f>G4</f>
        <v>1</v>
      </c>
      <c r="H366" s="49">
        <f>F366</f>
        <v>4.7298999999999998</v>
      </c>
      <c r="I366" s="193">
        <f>H364+H291+H292+I223+I12</f>
        <v>7497.2773596059997</v>
      </c>
      <c r="K366" s="192"/>
    </row>
    <row r="367" spans="1:22" ht="18" customHeight="1">
      <c r="B367" s="194" t="s">
        <v>258</v>
      </c>
      <c r="C367" s="195" t="s">
        <v>260</v>
      </c>
      <c r="D367" s="195" t="s">
        <v>261</v>
      </c>
      <c r="E367" s="195" t="s">
        <v>262</v>
      </c>
      <c r="F367" s="195" t="s">
        <v>263</v>
      </c>
      <c r="G367" s="195" t="s">
        <v>264</v>
      </c>
      <c r="H367" s="195" t="s">
        <v>265</v>
      </c>
      <c r="I367" s="196" t="s">
        <v>266</v>
      </c>
    </row>
    <row r="368" spans="1:22" ht="30" customHeight="1" thickBot="1">
      <c r="B368" s="197">
        <f>ROUND(I366/H366,2)</f>
        <v>1585.08</v>
      </c>
      <c r="C368" s="198">
        <f>E294+E296+E298+E300+E302+E303+E297+E299</f>
        <v>3</v>
      </c>
      <c r="D368" s="199"/>
      <c r="E368" s="199"/>
      <c r="F368" s="200"/>
      <c r="G368" s="200"/>
      <c r="H368" s="200"/>
      <c r="I368" s="201"/>
      <c r="O368" s="631" t="s">
        <v>603</v>
      </c>
      <c r="P368" s="631"/>
      <c r="Q368" s="631"/>
      <c r="R368" s="631"/>
      <c r="S368" s="631"/>
      <c r="T368" s="631"/>
      <c r="U368" s="631"/>
      <c r="V368" s="631"/>
    </row>
    <row r="369" spans="2:22" ht="20.100000000000001" customHeight="1">
      <c r="B369" s="42"/>
      <c r="L369" s="202"/>
      <c r="M369" s="202"/>
      <c r="N369" s="202"/>
      <c r="O369" s="634" t="s">
        <v>604</v>
      </c>
      <c r="P369" s="634"/>
      <c r="Q369" s="634"/>
      <c r="R369" s="634"/>
      <c r="S369" s="634"/>
      <c r="T369" s="634"/>
      <c r="U369" s="634"/>
      <c r="V369" s="634"/>
    </row>
    <row r="370" spans="2:22" ht="20.100000000000001" customHeight="1">
      <c r="B370" s="102" t="s">
        <v>862</v>
      </c>
      <c r="C370" s="203"/>
      <c r="D370" s="203" t="s">
        <v>267</v>
      </c>
      <c r="E370" s="203"/>
      <c r="J370" s="102"/>
      <c r="O370" s="285" t="s">
        <v>279</v>
      </c>
      <c r="P370" s="624" t="s">
        <v>629</v>
      </c>
      <c r="Q370" s="625"/>
      <c r="R370" s="312" t="str">
        <f ca="1">B4</f>
        <v>MLC2124</v>
      </c>
      <c r="S370" s="312"/>
      <c r="T370" s="313"/>
      <c r="U370" s="287" t="s">
        <v>605</v>
      </c>
      <c r="V370" s="288"/>
    </row>
    <row r="371" spans="2:22" ht="24.95" customHeight="1">
      <c r="B371" s="102">
        <f>ROUND(I366/F6,2)</f>
        <v>1599.79</v>
      </c>
      <c r="C371" s="203">
        <f>U392</f>
        <v>1817.7359145728574</v>
      </c>
      <c r="D371" s="203">
        <f>E304</f>
        <v>3</v>
      </c>
      <c r="E371" s="203"/>
      <c r="J371" s="102"/>
      <c r="O371" s="635" t="s">
        <v>606</v>
      </c>
      <c r="P371" s="623" t="s">
        <v>626</v>
      </c>
      <c r="Q371" s="623"/>
      <c r="R371" s="623"/>
      <c r="S371" s="623"/>
      <c r="T371" s="637"/>
      <c r="U371" s="291" t="s">
        <v>607</v>
      </c>
      <c r="V371" s="292" t="s">
        <v>313</v>
      </c>
    </row>
    <row r="372" spans="2:22" ht="24.95" customHeight="1">
      <c r="L372" s="102"/>
      <c r="M372" s="102"/>
      <c r="N372" s="102"/>
      <c r="O372" s="636"/>
      <c r="P372" s="638"/>
      <c r="Q372" s="638"/>
      <c r="R372" s="638"/>
      <c r="S372" s="638"/>
      <c r="T372" s="638"/>
      <c r="U372" s="291" t="s">
        <v>268</v>
      </c>
      <c r="V372" s="293">
        <f>F4</f>
        <v>5.04</v>
      </c>
    </row>
    <row r="373" spans="2:22" ht="24.95" customHeight="1">
      <c r="J373" s="102"/>
      <c r="K373" s="102"/>
      <c r="L373" s="102"/>
      <c r="M373" s="102"/>
      <c r="N373" s="102"/>
      <c r="O373" s="311" t="s">
        <v>0</v>
      </c>
      <c r="P373" s="289" t="s">
        <v>608</v>
      </c>
      <c r="Q373" s="289" t="s">
        <v>627</v>
      </c>
      <c r="R373" s="289" t="s">
        <v>269</v>
      </c>
      <c r="S373" s="294" t="s">
        <v>8</v>
      </c>
      <c r="T373" s="295" t="s">
        <v>609</v>
      </c>
      <c r="U373" s="296" t="s">
        <v>270</v>
      </c>
      <c r="V373" s="295" t="s">
        <v>610</v>
      </c>
    </row>
    <row r="374" spans="2:22" ht="20.100000000000001" customHeight="1">
      <c r="J374" s="102"/>
      <c r="K374" s="102"/>
      <c r="L374" s="102"/>
      <c r="M374" s="102"/>
      <c r="N374" s="102"/>
      <c r="O374" s="297" t="s">
        <v>305</v>
      </c>
      <c r="P374" s="298" t="s">
        <v>611</v>
      </c>
      <c r="Q374" s="298"/>
      <c r="R374" s="286"/>
      <c r="S374" s="299"/>
      <c r="T374" s="300"/>
      <c r="U374" s="301">
        <f>SUM(U375:U383)</f>
        <v>6727.2908412060006</v>
      </c>
      <c r="V374" s="286"/>
    </row>
    <row r="375" spans="2:22" ht="20.100000000000001" customHeight="1">
      <c r="J375" s="102"/>
      <c r="K375" s="102"/>
      <c r="L375" s="102"/>
      <c r="M375" s="102"/>
      <c r="N375" s="102"/>
      <c r="O375" s="286">
        <v>1</v>
      </c>
      <c r="P375" s="302" t="s">
        <v>612</v>
      </c>
      <c r="Q375" s="307"/>
      <c r="R375" s="286" t="s">
        <v>271</v>
      </c>
      <c r="S375" s="303">
        <f>E223</f>
        <v>82.626357920000004</v>
      </c>
      <c r="T375" s="304">
        <f>I223/E223</f>
        <v>47.897694121261104</v>
      </c>
      <c r="U375" s="305">
        <f t="shared" ref="U375:U383" si="58">T375*S375</f>
        <v>3957.6120180060002</v>
      </c>
      <c r="V375" s="306"/>
    </row>
    <row r="376" spans="2:22" ht="20.100000000000001" customHeight="1">
      <c r="J376" s="102"/>
      <c r="K376" s="102"/>
      <c r="L376" s="102"/>
      <c r="M376" s="102"/>
      <c r="N376" s="102"/>
      <c r="O376" s="286">
        <v>2</v>
      </c>
      <c r="P376" s="290" t="s">
        <v>613</v>
      </c>
      <c r="Q376" s="307"/>
      <c r="R376" s="286" t="s">
        <v>276</v>
      </c>
      <c r="S376" s="303">
        <f>D358</f>
        <v>0</v>
      </c>
      <c r="T376" s="304">
        <f>G358</f>
        <v>70</v>
      </c>
      <c r="U376" s="305">
        <f t="shared" si="58"/>
        <v>0</v>
      </c>
      <c r="V376" s="306"/>
    </row>
    <row r="377" spans="2:22" ht="20.100000000000001" customHeight="1">
      <c r="J377" s="102"/>
      <c r="K377" s="102"/>
      <c r="L377" s="102"/>
      <c r="M377" s="102"/>
      <c r="N377" s="102"/>
      <c r="O377" s="286">
        <v>3</v>
      </c>
      <c r="P377" s="302" t="s">
        <v>614</v>
      </c>
      <c r="Q377" s="302"/>
      <c r="R377" s="286" t="s">
        <v>312</v>
      </c>
      <c r="S377" s="303">
        <f>D291+D292</f>
        <v>3.2356992</v>
      </c>
      <c r="T377" s="304">
        <f>材料价格!B10</f>
        <v>148</v>
      </c>
      <c r="U377" s="305">
        <f t="shared" si="58"/>
        <v>478.88348159999998</v>
      </c>
      <c r="V377" s="306"/>
    </row>
    <row r="378" spans="2:22" ht="20.100000000000001" customHeight="1">
      <c r="B378" s="630" t="s">
        <v>277</v>
      </c>
      <c r="C378" s="630"/>
      <c r="D378" s="630"/>
      <c r="E378" s="630"/>
      <c r="F378" s="630"/>
      <c r="G378" s="630"/>
      <c r="H378" s="630"/>
      <c r="I378" s="630"/>
      <c r="J378" s="102"/>
      <c r="K378" s="102"/>
      <c r="L378" s="102"/>
      <c r="M378" s="102"/>
      <c r="N378" s="102"/>
      <c r="O378" s="286">
        <v>4</v>
      </c>
      <c r="P378" s="302" t="s">
        <v>615</v>
      </c>
      <c r="Q378" s="306"/>
      <c r="R378" s="286" t="s">
        <v>278</v>
      </c>
      <c r="S378" s="303">
        <f>(H316+H317+H319+H320+H321)/F316</f>
        <v>10.566901408450704</v>
      </c>
      <c r="T378" s="304">
        <f>材料价格!B25</f>
        <v>8.52</v>
      </c>
      <c r="U378" s="305">
        <f t="shared" si="58"/>
        <v>90.029999999999987</v>
      </c>
      <c r="V378" s="306"/>
    </row>
    <row r="379" spans="2:22" ht="20.100000000000001" customHeight="1">
      <c r="B379" s="204" t="s">
        <v>279</v>
      </c>
      <c r="C379" s="205" t="s">
        <v>280</v>
      </c>
      <c r="D379" s="205" t="s">
        <v>281</v>
      </c>
      <c r="E379" s="205" t="s">
        <v>282</v>
      </c>
      <c r="F379" s="205" t="s">
        <v>379</v>
      </c>
      <c r="G379" s="205"/>
      <c r="H379" s="205" t="s">
        <v>28</v>
      </c>
      <c r="I379" s="205" t="s">
        <v>259</v>
      </c>
      <c r="J379" s="102"/>
      <c r="K379" s="102"/>
      <c r="L379" s="102"/>
      <c r="M379" s="102"/>
      <c r="N379" s="102"/>
      <c r="O379" s="286">
        <v>5</v>
      </c>
      <c r="P379" s="306" t="s">
        <v>616</v>
      </c>
      <c r="Q379" s="302"/>
      <c r="R379" s="286" t="s">
        <v>628</v>
      </c>
      <c r="S379" s="303">
        <f>H337/21</f>
        <v>4.5526496000000005</v>
      </c>
      <c r="T379" s="304">
        <v>21</v>
      </c>
      <c r="U379" s="305">
        <f t="shared" si="58"/>
        <v>95.605641600000013</v>
      </c>
      <c r="V379" s="306"/>
    </row>
    <row r="380" spans="2:22" ht="20.100000000000001" customHeight="1">
      <c r="B380" s="206" t="s">
        <v>284</v>
      </c>
      <c r="C380" s="208" t="s">
        <v>384</v>
      </c>
      <c r="D380" s="207">
        <f>C22+C31+C38+C48+C56+C112+C119+C126+C133+C139+C177+C184+C191+C199</f>
        <v>33.422799999999995</v>
      </c>
      <c r="E380" s="207" t="s">
        <v>383</v>
      </c>
      <c r="F380" s="206"/>
      <c r="G380" s="206"/>
      <c r="H380" s="241">
        <v>2.4</v>
      </c>
      <c r="I380" s="207"/>
      <c r="J380" s="102"/>
      <c r="K380" s="102"/>
      <c r="L380" s="102"/>
      <c r="M380" s="102"/>
      <c r="N380" s="102"/>
      <c r="O380" s="286">
        <v>6</v>
      </c>
      <c r="P380" s="302" t="s">
        <v>319</v>
      </c>
      <c r="Q380" s="302"/>
      <c r="R380" s="286" t="s">
        <v>273</v>
      </c>
      <c r="S380" s="303"/>
      <c r="T380" s="304"/>
      <c r="U380" s="305">
        <f t="shared" si="58"/>
        <v>0</v>
      </c>
      <c r="V380" s="306"/>
    </row>
    <row r="381" spans="2:22" ht="20.100000000000001" customHeight="1">
      <c r="B381" s="206" t="s">
        <v>286</v>
      </c>
      <c r="C381" s="206" t="s">
        <v>287</v>
      </c>
      <c r="D381" s="209">
        <f>(J22+J31+J38+J48+J112+J119+J126)*4+(J56+J133)*2</f>
        <v>36</v>
      </c>
      <c r="E381" s="207" t="s">
        <v>285</v>
      </c>
      <c r="F381" s="206"/>
      <c r="G381" s="206"/>
      <c r="H381" s="241">
        <v>0.5</v>
      </c>
      <c r="I381" s="207">
        <f>H381*D381</f>
        <v>18</v>
      </c>
      <c r="J381" s="102"/>
      <c r="K381" s="102"/>
      <c r="L381" s="102"/>
      <c r="M381" s="102"/>
      <c r="N381" s="102"/>
      <c r="O381" s="286">
        <v>7</v>
      </c>
      <c r="P381" s="302" t="s">
        <v>295</v>
      </c>
      <c r="Q381" s="302"/>
      <c r="R381" s="286" t="s">
        <v>273</v>
      </c>
      <c r="S381" s="303"/>
      <c r="T381" s="304">
        <f>材料价格!B19</f>
        <v>230</v>
      </c>
      <c r="U381" s="305">
        <f t="shared" si="58"/>
        <v>0</v>
      </c>
      <c r="V381" s="306"/>
    </row>
    <row r="382" spans="2:22" ht="20.100000000000001" customHeight="1">
      <c r="B382" s="206" t="s">
        <v>289</v>
      </c>
      <c r="C382" s="206"/>
      <c r="D382" s="210">
        <f>ROUND((C22+C56*2+C64*2+C112+C133*2+C139*2)/0.3,0)+2</f>
        <v>75</v>
      </c>
      <c r="E382" s="207" t="s">
        <v>285</v>
      </c>
      <c r="F382" s="206"/>
      <c r="G382" s="206"/>
      <c r="H382" s="241">
        <v>0.3</v>
      </c>
      <c r="I382" s="207">
        <f t="shared" ref="I382:I387" si="59">H382*D382</f>
        <v>22.5</v>
      </c>
      <c r="J382" s="102"/>
      <c r="K382" s="102"/>
      <c r="L382" s="102"/>
      <c r="M382" s="102"/>
      <c r="N382" s="102"/>
      <c r="O382" s="286">
        <v>8</v>
      </c>
      <c r="P382" s="302" t="s">
        <v>296</v>
      </c>
      <c r="Q382" s="302"/>
      <c r="R382" s="286" t="s">
        <v>273</v>
      </c>
      <c r="S382" s="303">
        <f>E303</f>
        <v>0</v>
      </c>
      <c r="T382" s="304">
        <f>材料价格!B20</f>
        <v>335</v>
      </c>
      <c r="U382" s="305">
        <f t="shared" si="58"/>
        <v>0</v>
      </c>
      <c r="V382" s="306"/>
    </row>
    <row r="383" spans="2:22" ht="20.100000000000001" customHeight="1">
      <c r="B383" s="206" t="s">
        <v>381</v>
      </c>
      <c r="C383" s="206" t="s">
        <v>389</v>
      </c>
      <c r="D383" s="211">
        <f>C22+C31+C38+C56*2+C64*2+C112+C119+C126+C133*2</f>
        <v>32.644800000000004</v>
      </c>
      <c r="E383" s="207" t="s">
        <v>285</v>
      </c>
      <c r="F383" s="206" t="s">
        <v>380</v>
      </c>
      <c r="G383" s="206"/>
      <c r="H383" s="241">
        <v>2.81</v>
      </c>
      <c r="I383" s="207">
        <f>H383*D383</f>
        <v>91.731888000000012</v>
      </c>
      <c r="J383" s="102"/>
      <c r="K383" s="102"/>
      <c r="L383" s="102"/>
      <c r="M383" s="102"/>
      <c r="N383" s="102"/>
      <c r="O383" s="286">
        <v>9</v>
      </c>
      <c r="P383" s="302" t="s">
        <v>617</v>
      </c>
      <c r="Q383" s="302"/>
      <c r="R383" s="286" t="s">
        <v>618</v>
      </c>
      <c r="S383" s="296">
        <v>1</v>
      </c>
      <c r="T383" s="304">
        <f>H363-H358+H350+H318+H315+H314</f>
        <v>2105.1596999999997</v>
      </c>
      <c r="U383" s="305">
        <f t="shared" si="58"/>
        <v>2105.1596999999997</v>
      </c>
      <c r="V383" s="306"/>
    </row>
    <row r="384" spans="2:22" ht="20.100000000000001" customHeight="1">
      <c r="B384" s="206" t="s">
        <v>390</v>
      </c>
      <c r="C384" s="206" t="s">
        <v>392</v>
      </c>
      <c r="D384" s="211">
        <f>C22+C88+C112+C163</f>
        <v>22.856000000000002</v>
      </c>
      <c r="E384" s="207" t="s">
        <v>285</v>
      </c>
      <c r="F384" s="206" t="s">
        <v>394</v>
      </c>
      <c r="G384" s="206"/>
      <c r="H384" s="241">
        <v>3.27</v>
      </c>
      <c r="I384" s="207">
        <f t="shared" ref="I384" si="60">H384*D384</f>
        <v>74.73912</v>
      </c>
      <c r="J384" s="102"/>
      <c r="K384" s="102"/>
      <c r="L384" s="102"/>
      <c r="M384" s="102"/>
      <c r="N384" s="102"/>
      <c r="O384" s="297" t="s">
        <v>306</v>
      </c>
      <c r="P384" s="308" t="s">
        <v>314</v>
      </c>
      <c r="Q384" s="298"/>
      <c r="R384" s="286"/>
      <c r="S384" s="296"/>
      <c r="T384" s="309"/>
      <c r="U384" s="301">
        <f>SUM(U385:U386)</f>
        <v>806.4</v>
      </c>
      <c r="V384" s="286"/>
    </row>
    <row r="385" spans="2:22" ht="20.100000000000001" customHeight="1">
      <c r="B385" s="206" t="s">
        <v>391</v>
      </c>
      <c r="C385" s="206" t="s">
        <v>393</v>
      </c>
      <c r="D385" s="211">
        <f>(C97+C104+C119+C126)*2</f>
        <v>19.769600000000001</v>
      </c>
      <c r="E385" s="207" t="s">
        <v>285</v>
      </c>
      <c r="F385" s="206" t="s">
        <v>395</v>
      </c>
      <c r="G385" s="206"/>
      <c r="H385" s="241">
        <v>1.74</v>
      </c>
      <c r="I385" s="207">
        <f t="shared" si="59"/>
        <v>34.399104000000001</v>
      </c>
      <c r="J385" s="102"/>
      <c r="K385" s="102"/>
      <c r="L385" s="102"/>
      <c r="M385" s="102"/>
      <c r="N385" s="102"/>
      <c r="O385" s="286">
        <v>1</v>
      </c>
      <c r="P385" s="307" t="s">
        <v>619</v>
      </c>
      <c r="Q385" s="307"/>
      <c r="R385" s="300" t="s">
        <v>312</v>
      </c>
      <c r="S385" s="296">
        <f>V372</f>
        <v>5.04</v>
      </c>
      <c r="T385" s="310">
        <v>60</v>
      </c>
      <c r="U385" s="305">
        <f>T385*S385</f>
        <v>302.39999999999998</v>
      </c>
      <c r="V385" s="286"/>
    </row>
    <row r="386" spans="2:22" ht="20.100000000000001" customHeight="1">
      <c r="B386" s="208" t="s">
        <v>382</v>
      </c>
      <c r="C386" s="206" t="s">
        <v>291</v>
      </c>
      <c r="D386" s="211">
        <f>D338+D339+D341</f>
        <v>10</v>
      </c>
      <c r="E386" s="207" t="s">
        <v>285</v>
      </c>
      <c r="F386" s="206"/>
      <c r="G386" s="206"/>
      <c r="H386" s="241">
        <v>0.56999999999999995</v>
      </c>
      <c r="I386" s="207">
        <f>H386*D386</f>
        <v>5.6999999999999993</v>
      </c>
      <c r="J386" s="102"/>
      <c r="K386" s="102"/>
      <c r="L386" s="102"/>
      <c r="M386" s="102"/>
      <c r="N386" s="102"/>
      <c r="O386" s="286">
        <v>2</v>
      </c>
      <c r="P386" s="307" t="s">
        <v>288</v>
      </c>
      <c r="Q386" s="307"/>
      <c r="R386" s="300" t="s">
        <v>312</v>
      </c>
      <c r="S386" s="296">
        <f>V372</f>
        <v>5.04</v>
      </c>
      <c r="T386" s="310">
        <v>100</v>
      </c>
      <c r="U386" s="305">
        <f>T386*S386</f>
        <v>504</v>
      </c>
      <c r="V386" s="286"/>
    </row>
    <row r="387" spans="2:22" ht="20.100000000000001" customHeight="1">
      <c r="B387" s="206" t="s">
        <v>292</v>
      </c>
      <c r="C387" s="206"/>
      <c r="D387" s="211">
        <f>H366</f>
        <v>4.7298999999999998</v>
      </c>
      <c r="E387" s="207" t="s">
        <v>285</v>
      </c>
      <c r="F387" s="206"/>
      <c r="G387" s="206"/>
      <c r="H387" s="241">
        <v>20</v>
      </c>
      <c r="I387" s="207">
        <f t="shared" si="59"/>
        <v>94.597999999999999</v>
      </c>
      <c r="J387" s="102"/>
      <c r="K387" s="102"/>
      <c r="L387" s="102"/>
      <c r="M387" s="102"/>
      <c r="N387" s="102"/>
      <c r="O387" s="297" t="s">
        <v>307</v>
      </c>
      <c r="P387" s="308" t="s">
        <v>290</v>
      </c>
      <c r="Q387" s="298"/>
      <c r="R387" s="286"/>
      <c r="S387" s="296"/>
      <c r="T387" s="309"/>
      <c r="U387" s="301">
        <f>SUM(U388)</f>
        <v>100.8</v>
      </c>
      <c r="V387" s="286"/>
    </row>
    <row r="388" spans="2:22" ht="20.100000000000001" customHeight="1">
      <c r="B388" s="212" t="s">
        <v>4</v>
      </c>
      <c r="C388" s="213"/>
      <c r="D388" s="212"/>
      <c r="E388" s="212"/>
      <c r="F388" s="212"/>
      <c r="G388" s="212"/>
      <c r="H388" s="212"/>
      <c r="I388" s="213">
        <f>SUM(I380:I387)</f>
        <v>341.66811200000001</v>
      </c>
      <c r="J388" s="242"/>
      <c r="K388" s="102"/>
      <c r="L388" s="102"/>
      <c r="M388" s="102"/>
      <c r="N388" s="102"/>
      <c r="O388" s="286">
        <v>1</v>
      </c>
      <c r="P388" s="307" t="s">
        <v>290</v>
      </c>
      <c r="Q388" s="307"/>
      <c r="R388" s="300" t="s">
        <v>312</v>
      </c>
      <c r="S388" s="296">
        <f>V372</f>
        <v>5.04</v>
      </c>
      <c r="T388" s="310">
        <v>20</v>
      </c>
      <c r="U388" s="305">
        <f>T388*S388</f>
        <v>100.8</v>
      </c>
      <c r="V388" s="286"/>
    </row>
    <row r="389" spans="2:22" ht="20.100000000000001" customHeight="1">
      <c r="J389" s="102"/>
      <c r="K389" s="102"/>
      <c r="L389" s="102"/>
      <c r="M389" s="102"/>
      <c r="N389" s="102"/>
      <c r="O389" s="286" t="s">
        <v>308</v>
      </c>
      <c r="P389" s="618" t="s">
        <v>620</v>
      </c>
      <c r="Q389" s="619"/>
      <c r="R389" s="620"/>
      <c r="S389" s="621"/>
      <c r="T389" s="622"/>
      <c r="U389" s="301">
        <f>U374+U384+U387</f>
        <v>7634.4908412060004</v>
      </c>
      <c r="V389" s="286"/>
    </row>
    <row r="390" spans="2:22" ht="20.100000000000001" customHeight="1">
      <c r="J390" s="102"/>
      <c r="K390" s="102"/>
      <c r="L390" s="102"/>
      <c r="M390" s="102"/>
      <c r="N390" s="102"/>
      <c r="O390" s="286" t="s">
        <v>309</v>
      </c>
      <c r="P390" s="618" t="s">
        <v>621</v>
      </c>
      <c r="Q390" s="619"/>
      <c r="R390" s="626">
        <v>0.2</v>
      </c>
      <c r="S390" s="627"/>
      <c r="T390" s="628"/>
      <c r="U390" s="301">
        <f>U389*R390</f>
        <v>1526.8981682412002</v>
      </c>
      <c r="V390" s="286"/>
    </row>
    <row r="391" spans="2:22" ht="20.100000000000001" customHeight="1">
      <c r="J391" s="102"/>
      <c r="K391" s="102"/>
      <c r="L391" s="102"/>
      <c r="M391" s="102"/>
      <c r="N391" s="102"/>
      <c r="O391" s="286" t="s">
        <v>310</v>
      </c>
      <c r="P391" s="618" t="s">
        <v>622</v>
      </c>
      <c r="Q391" s="619"/>
      <c r="R391" s="620"/>
      <c r="S391" s="621"/>
      <c r="T391" s="622"/>
      <c r="U391" s="301">
        <f>U389+U390</f>
        <v>9161.3890094472008</v>
      </c>
      <c r="V391" s="286"/>
    </row>
    <row r="392" spans="2:22" ht="30" customHeight="1">
      <c r="L392" s="102"/>
      <c r="M392" s="102"/>
      <c r="N392" s="102"/>
      <c r="O392" s="297" t="s">
        <v>311</v>
      </c>
      <c r="P392" s="618" t="s">
        <v>623</v>
      </c>
      <c r="Q392" s="619"/>
      <c r="R392" s="620"/>
      <c r="S392" s="621"/>
      <c r="T392" s="622"/>
      <c r="U392" s="301">
        <f>U391/V372</f>
        <v>1817.7359145728574</v>
      </c>
      <c r="V392" s="286" t="s">
        <v>624</v>
      </c>
    </row>
    <row r="393" spans="2:22" ht="45" customHeight="1">
      <c r="L393" s="102"/>
      <c r="M393" s="102"/>
      <c r="N393" s="102"/>
      <c r="O393" s="623" t="s">
        <v>625</v>
      </c>
      <c r="P393" s="623"/>
      <c r="Q393" s="623"/>
      <c r="R393" s="623"/>
      <c r="S393" s="623"/>
      <c r="T393" s="623"/>
      <c r="U393" s="623"/>
      <c r="V393" s="623"/>
    </row>
    <row r="394" spans="2:22" ht="18" customHeight="1">
      <c r="L394" s="102"/>
      <c r="M394" s="102"/>
      <c r="N394" s="102"/>
      <c r="O394" s="102"/>
      <c r="P394" s="102"/>
    </row>
    <row r="395" spans="2:22">
      <c r="L395" s="102"/>
      <c r="M395" s="102"/>
      <c r="N395" s="102"/>
      <c r="O395" s="102"/>
      <c r="P395" s="102"/>
    </row>
    <row r="396" spans="2:22">
      <c r="L396" s="102"/>
      <c r="M396" s="102"/>
      <c r="N396" s="102"/>
      <c r="O396" s="102"/>
      <c r="P396" s="102"/>
    </row>
    <row r="397" spans="2:22">
      <c r="L397" s="102"/>
      <c r="M397" s="102"/>
      <c r="N397" s="102"/>
      <c r="O397" s="102"/>
      <c r="P397" s="102"/>
    </row>
    <row r="398" spans="2:22">
      <c r="L398" s="102"/>
      <c r="M398" s="102"/>
      <c r="N398" s="102"/>
      <c r="O398" s="102"/>
      <c r="P398" s="102"/>
    </row>
    <row r="399" spans="2:22">
      <c r="L399" s="102"/>
      <c r="M399" s="102"/>
      <c r="N399" s="102"/>
      <c r="O399" s="102"/>
      <c r="P399" s="102"/>
    </row>
    <row r="400" spans="2:22">
      <c r="L400" s="102"/>
      <c r="M400" s="102"/>
      <c r="N400" s="102"/>
      <c r="O400" s="102"/>
      <c r="P400" s="102"/>
    </row>
    <row r="401" spans="12:16">
      <c r="L401" s="102"/>
      <c r="M401" s="102"/>
      <c r="N401" s="102"/>
      <c r="O401" s="102"/>
      <c r="P401" s="102"/>
    </row>
    <row r="402" spans="12:16">
      <c r="L402" s="102"/>
      <c r="M402" s="102"/>
      <c r="N402" s="102"/>
      <c r="O402" s="102"/>
      <c r="P402" s="102"/>
    </row>
    <row r="403" spans="12:16">
      <c r="L403" s="102"/>
      <c r="M403" s="102"/>
      <c r="N403" s="102"/>
      <c r="O403" s="102"/>
      <c r="P403" s="102"/>
    </row>
    <row r="404" spans="12:16">
      <c r="L404" s="102"/>
      <c r="M404" s="102"/>
      <c r="N404" s="102"/>
      <c r="O404" s="102"/>
      <c r="P404" s="102"/>
    </row>
    <row r="405" spans="12:16">
      <c r="L405" s="102"/>
      <c r="M405" s="102"/>
      <c r="N405" s="102"/>
      <c r="O405" s="102"/>
      <c r="P405" s="102"/>
    </row>
    <row r="406" spans="12:16">
      <c r="L406" s="102"/>
      <c r="M406" s="102"/>
      <c r="N406" s="102"/>
      <c r="O406" s="102"/>
      <c r="P406" s="102"/>
    </row>
    <row r="407" spans="12:16">
      <c r="L407" s="102"/>
      <c r="M407" s="102"/>
      <c r="N407" s="102"/>
      <c r="O407" s="102"/>
      <c r="P407" s="102"/>
    </row>
    <row r="408" spans="12:16">
      <c r="L408" s="102"/>
      <c r="M408" s="102"/>
      <c r="N408" s="102"/>
      <c r="O408" s="102"/>
      <c r="P408" s="102"/>
    </row>
    <row r="409" spans="12:16">
      <c r="L409" s="102"/>
      <c r="M409" s="102"/>
      <c r="N409" s="102"/>
      <c r="O409" s="102"/>
      <c r="P409" s="102"/>
    </row>
    <row r="410" spans="12:16">
      <c r="L410" s="102"/>
      <c r="M410" s="102"/>
      <c r="N410" s="102"/>
      <c r="O410" s="102"/>
      <c r="P410" s="102"/>
    </row>
    <row r="411" spans="12:16">
      <c r="L411" s="102"/>
      <c r="M411" s="102"/>
      <c r="N411" s="102"/>
      <c r="O411" s="102"/>
      <c r="P411" s="102"/>
    </row>
    <row r="412" spans="12:16">
      <c r="L412" s="102"/>
      <c r="M412" s="102"/>
      <c r="N412" s="102"/>
      <c r="O412" s="102"/>
      <c r="P412" s="102"/>
    </row>
    <row r="413" spans="12:16">
      <c r="L413" s="102"/>
      <c r="M413" s="102"/>
      <c r="N413" s="102"/>
      <c r="O413" s="102"/>
      <c r="P413" s="102"/>
    </row>
    <row r="414" spans="12:16">
      <c r="L414" s="102"/>
      <c r="M414" s="102"/>
      <c r="N414" s="102"/>
      <c r="O414" s="102"/>
      <c r="P414" s="102"/>
    </row>
    <row r="415" spans="12:16">
      <c r="L415" s="102"/>
      <c r="M415" s="102"/>
      <c r="N415" s="102"/>
      <c r="O415" s="102"/>
      <c r="P415" s="102"/>
    </row>
    <row r="416" spans="12:16">
      <c r="L416" s="102"/>
      <c r="M416" s="102"/>
      <c r="N416" s="102"/>
      <c r="O416" s="102"/>
      <c r="P416" s="102"/>
    </row>
    <row r="417" spans="10:16">
      <c r="L417" s="102"/>
      <c r="M417" s="102"/>
      <c r="N417" s="102"/>
      <c r="O417" s="102"/>
      <c r="P417" s="102"/>
    </row>
    <row r="418" spans="10:16">
      <c r="L418" s="102"/>
      <c r="M418" s="102"/>
      <c r="N418" s="102"/>
      <c r="O418" s="102"/>
      <c r="P418" s="102"/>
    </row>
    <row r="419" spans="10:16">
      <c r="L419" s="102"/>
      <c r="M419" s="102"/>
      <c r="N419" s="102"/>
      <c r="O419" s="102"/>
      <c r="P419" s="102"/>
    </row>
    <row r="420" spans="10:16">
      <c r="L420" s="102"/>
      <c r="M420" s="102"/>
      <c r="N420" s="102"/>
      <c r="O420" s="102"/>
      <c r="P420" s="102"/>
    </row>
    <row r="421" spans="10:16">
      <c r="L421" s="102"/>
      <c r="M421" s="102"/>
      <c r="N421" s="102"/>
      <c r="O421" s="102"/>
      <c r="P421" s="102"/>
    </row>
    <row r="422" spans="10:16">
      <c r="L422" s="102"/>
      <c r="M422" s="102"/>
      <c r="N422" s="102"/>
      <c r="O422" s="102"/>
      <c r="P422" s="102"/>
    </row>
    <row r="423" spans="10:16">
      <c r="L423" s="102"/>
      <c r="M423" s="102"/>
      <c r="N423" s="102"/>
      <c r="O423" s="102"/>
      <c r="P423" s="102"/>
    </row>
    <row r="424" spans="10:16">
      <c r="L424" s="102"/>
      <c r="M424" s="102"/>
      <c r="N424" s="102"/>
      <c r="O424" s="102"/>
      <c r="P424" s="102"/>
    </row>
    <row r="425" spans="10:16">
      <c r="L425" s="102"/>
      <c r="M425" s="102"/>
      <c r="N425" s="102"/>
      <c r="O425" s="102"/>
      <c r="P425" s="102"/>
    </row>
    <row r="426" spans="10:16">
      <c r="L426" s="102"/>
      <c r="M426" s="102"/>
      <c r="N426" s="102"/>
      <c r="O426" s="102"/>
      <c r="P426" s="102"/>
    </row>
    <row r="427" spans="10:16">
      <c r="J427" s="102"/>
      <c r="K427" s="102"/>
      <c r="L427" s="102"/>
      <c r="M427" s="102"/>
      <c r="N427" s="102"/>
      <c r="O427" s="102"/>
      <c r="P427" s="102"/>
    </row>
    <row r="428" spans="10:16">
      <c r="J428" s="102"/>
      <c r="K428" s="102"/>
      <c r="L428" s="102"/>
      <c r="M428" s="102"/>
      <c r="N428" s="102"/>
      <c r="O428" s="102"/>
      <c r="P428" s="102"/>
    </row>
    <row r="429" spans="10:16">
      <c r="J429" s="102"/>
      <c r="K429" s="102"/>
      <c r="L429" s="102"/>
      <c r="M429" s="102"/>
      <c r="N429" s="102"/>
      <c r="O429" s="102"/>
      <c r="P429" s="102"/>
    </row>
    <row r="430" spans="10:16">
      <c r="J430" s="102"/>
      <c r="K430" s="102"/>
      <c r="L430" s="102"/>
      <c r="M430" s="102"/>
      <c r="N430" s="102"/>
      <c r="O430" s="102"/>
      <c r="P430" s="102"/>
    </row>
    <row r="431" spans="10:16">
      <c r="J431" s="102"/>
      <c r="K431" s="102"/>
      <c r="L431" s="102"/>
      <c r="M431" s="102"/>
      <c r="N431" s="102"/>
      <c r="O431" s="102"/>
      <c r="P431" s="102"/>
    </row>
    <row r="432" spans="10:16">
      <c r="J432" s="102"/>
      <c r="K432" s="102"/>
      <c r="L432" s="102"/>
      <c r="M432" s="102"/>
      <c r="N432" s="102"/>
      <c r="O432" s="102"/>
      <c r="P432" s="102"/>
    </row>
    <row r="433" spans="10:16">
      <c r="J433" s="102"/>
      <c r="K433" s="102"/>
      <c r="L433" s="102"/>
      <c r="M433" s="102"/>
      <c r="N433" s="102"/>
      <c r="O433" s="102"/>
      <c r="P433" s="102"/>
    </row>
    <row r="434" spans="10:16">
      <c r="J434" s="102"/>
      <c r="K434" s="102"/>
      <c r="L434" s="102"/>
      <c r="M434" s="102"/>
      <c r="N434" s="102"/>
      <c r="O434" s="102"/>
      <c r="P434" s="102"/>
    </row>
    <row r="435" spans="10:16">
      <c r="J435" s="102"/>
      <c r="K435" s="102"/>
      <c r="L435" s="102"/>
      <c r="M435" s="102"/>
      <c r="N435" s="102"/>
      <c r="O435" s="102"/>
      <c r="P435" s="102"/>
    </row>
    <row r="436" spans="10:16">
      <c r="J436" s="102"/>
      <c r="K436" s="102"/>
      <c r="L436" s="102"/>
      <c r="M436" s="102"/>
      <c r="N436" s="102"/>
      <c r="O436" s="102"/>
      <c r="P436" s="102"/>
    </row>
    <row r="437" spans="10:16">
      <c r="J437" s="102"/>
      <c r="K437" s="102"/>
      <c r="L437" s="102"/>
      <c r="M437" s="102"/>
      <c r="N437" s="102"/>
      <c r="O437" s="102"/>
      <c r="P437" s="102"/>
    </row>
    <row r="438" spans="10:16">
      <c r="J438" s="102"/>
      <c r="K438" s="102"/>
      <c r="L438" s="102"/>
      <c r="M438" s="102"/>
      <c r="N438" s="102"/>
      <c r="O438" s="102"/>
      <c r="P438" s="102"/>
    </row>
    <row r="439" spans="10:16">
      <c r="J439" s="102"/>
      <c r="K439" s="102"/>
      <c r="L439" s="102"/>
      <c r="M439" s="102"/>
      <c r="N439" s="102"/>
      <c r="O439" s="102"/>
      <c r="P439" s="102"/>
    </row>
    <row r="440" spans="10:16">
      <c r="J440" s="102"/>
      <c r="K440" s="102"/>
      <c r="L440" s="102"/>
      <c r="M440" s="102"/>
      <c r="N440" s="102"/>
      <c r="O440" s="102"/>
      <c r="P440" s="102"/>
    </row>
    <row r="441" spans="10:16">
      <c r="J441" s="102"/>
      <c r="K441" s="102"/>
      <c r="L441" s="102"/>
      <c r="M441" s="102"/>
      <c r="N441" s="102"/>
      <c r="O441" s="102"/>
      <c r="P441" s="102"/>
    </row>
    <row r="442" spans="10:16">
      <c r="J442" s="102"/>
      <c r="K442" s="102"/>
      <c r="L442" s="102"/>
      <c r="M442" s="102"/>
      <c r="N442" s="102"/>
      <c r="O442" s="102"/>
      <c r="P442" s="102"/>
    </row>
    <row r="443" spans="10:16">
      <c r="J443" s="102"/>
      <c r="K443" s="102"/>
      <c r="L443" s="102"/>
      <c r="M443" s="102"/>
      <c r="N443" s="102"/>
      <c r="O443" s="102"/>
      <c r="P443" s="102"/>
    </row>
    <row r="444" spans="10:16">
      <c r="J444" s="102"/>
      <c r="K444" s="102"/>
      <c r="L444" s="102"/>
      <c r="M444" s="102"/>
      <c r="N444" s="102"/>
      <c r="O444" s="102"/>
      <c r="P444" s="102"/>
    </row>
    <row r="445" spans="10:16">
      <c r="J445" s="102"/>
      <c r="K445" s="102"/>
      <c r="L445" s="102"/>
      <c r="M445" s="102"/>
      <c r="N445" s="102"/>
      <c r="O445" s="102"/>
      <c r="P445" s="102"/>
    </row>
    <row r="446" spans="10:16">
      <c r="J446" s="102"/>
      <c r="K446" s="102"/>
      <c r="L446" s="102"/>
      <c r="M446" s="102"/>
      <c r="N446" s="102"/>
      <c r="O446" s="102"/>
      <c r="P446" s="102"/>
    </row>
    <row r="447" spans="10:16">
      <c r="J447" s="102"/>
      <c r="K447" s="102"/>
      <c r="L447" s="102"/>
      <c r="M447" s="102"/>
      <c r="N447" s="102"/>
      <c r="O447" s="102"/>
      <c r="P447" s="102"/>
    </row>
    <row r="448" spans="10:16">
      <c r="J448" s="102"/>
      <c r="K448" s="102"/>
      <c r="L448" s="102"/>
      <c r="M448" s="102"/>
      <c r="N448" s="102"/>
      <c r="O448" s="102"/>
      <c r="P448" s="102"/>
    </row>
    <row r="449" spans="10:16">
      <c r="J449" s="102"/>
      <c r="K449" s="102"/>
      <c r="L449" s="102"/>
      <c r="M449" s="102"/>
      <c r="N449" s="102"/>
      <c r="O449" s="102"/>
      <c r="P449" s="102"/>
    </row>
    <row r="450" spans="10:16">
      <c r="J450" s="102"/>
      <c r="K450" s="102"/>
      <c r="L450" s="102"/>
      <c r="M450" s="102"/>
      <c r="N450" s="102"/>
      <c r="O450" s="102"/>
      <c r="P450" s="102"/>
    </row>
    <row r="451" spans="10:16">
      <c r="J451" s="102"/>
      <c r="K451" s="102"/>
      <c r="L451" s="102"/>
      <c r="M451" s="102"/>
      <c r="N451" s="102"/>
      <c r="O451" s="102"/>
      <c r="P451" s="102"/>
    </row>
    <row r="452" spans="10:16">
      <c r="J452" s="102"/>
      <c r="K452" s="102"/>
      <c r="L452" s="102"/>
      <c r="M452" s="102"/>
      <c r="N452" s="102"/>
      <c r="O452" s="102"/>
      <c r="P452" s="102"/>
    </row>
    <row r="453" spans="10:16">
      <c r="J453" s="102"/>
      <c r="K453" s="102"/>
      <c r="L453" s="102"/>
      <c r="M453" s="102"/>
      <c r="N453" s="102"/>
      <c r="O453" s="102"/>
      <c r="P453" s="102"/>
    </row>
    <row r="454" spans="10:16">
      <c r="J454" s="102"/>
      <c r="K454" s="102"/>
      <c r="L454" s="102"/>
      <c r="M454" s="102"/>
      <c r="N454" s="102"/>
      <c r="O454" s="102"/>
      <c r="P454" s="102"/>
    </row>
    <row r="455" spans="10:16">
      <c r="J455" s="102"/>
      <c r="K455" s="102"/>
      <c r="L455" s="102"/>
      <c r="M455" s="102"/>
      <c r="N455" s="102"/>
      <c r="O455" s="102"/>
      <c r="P455" s="102"/>
    </row>
    <row r="456" spans="10:16">
      <c r="J456" s="102"/>
      <c r="K456" s="102"/>
      <c r="L456" s="102"/>
      <c r="M456" s="102"/>
      <c r="N456" s="102"/>
      <c r="O456" s="102"/>
      <c r="P456" s="102"/>
    </row>
    <row r="457" spans="10:16">
      <c r="J457" s="102"/>
      <c r="K457" s="102"/>
      <c r="L457" s="102"/>
      <c r="M457" s="102"/>
      <c r="N457" s="102"/>
      <c r="O457" s="102"/>
      <c r="P457" s="102"/>
    </row>
    <row r="458" spans="10:16">
      <c r="J458" s="102"/>
      <c r="K458" s="102"/>
      <c r="L458" s="102"/>
      <c r="M458" s="102"/>
      <c r="N458" s="102"/>
      <c r="O458" s="102"/>
      <c r="P458" s="102"/>
    </row>
    <row r="459" spans="10:16">
      <c r="J459" s="102"/>
      <c r="K459" s="102"/>
      <c r="L459" s="102"/>
      <c r="M459" s="102"/>
      <c r="N459" s="102"/>
      <c r="O459" s="102"/>
      <c r="P459" s="102"/>
    </row>
    <row r="460" spans="10:16">
      <c r="J460" s="102"/>
      <c r="K460" s="102"/>
      <c r="L460" s="102"/>
      <c r="M460" s="102"/>
      <c r="N460" s="102"/>
      <c r="O460" s="102"/>
      <c r="P460" s="102"/>
    </row>
    <row r="461" spans="10:16">
      <c r="J461" s="102"/>
      <c r="K461" s="102"/>
      <c r="L461" s="102"/>
      <c r="M461" s="102"/>
      <c r="N461" s="102"/>
      <c r="O461" s="102"/>
      <c r="P461" s="102"/>
    </row>
    <row r="462" spans="10:16">
      <c r="J462" s="102"/>
      <c r="K462" s="102"/>
      <c r="L462" s="102"/>
      <c r="M462" s="102"/>
      <c r="N462" s="102"/>
      <c r="O462" s="102"/>
      <c r="P462" s="102"/>
    </row>
    <row r="463" spans="10:16">
      <c r="J463" s="102"/>
      <c r="K463" s="102"/>
      <c r="L463" s="102"/>
      <c r="M463" s="102"/>
      <c r="N463" s="102"/>
      <c r="O463" s="102"/>
      <c r="P463" s="102"/>
    </row>
    <row r="464" spans="10:16">
      <c r="J464" s="102"/>
      <c r="K464" s="102"/>
      <c r="L464" s="102"/>
      <c r="M464" s="102"/>
      <c r="N464" s="102"/>
      <c r="O464" s="102"/>
      <c r="P464" s="102"/>
    </row>
  </sheetData>
  <mergeCells count="95">
    <mergeCell ref="O393:V393"/>
    <mergeCell ref="P390:Q390"/>
    <mergeCell ref="R390:T390"/>
    <mergeCell ref="P391:Q391"/>
    <mergeCell ref="R391:T391"/>
    <mergeCell ref="P392:Q392"/>
    <mergeCell ref="R392:T392"/>
    <mergeCell ref="P370:Q370"/>
    <mergeCell ref="O371:O372"/>
    <mergeCell ref="P371:T372"/>
    <mergeCell ref="B378:I378"/>
    <mergeCell ref="P389:Q389"/>
    <mergeCell ref="R389:T389"/>
    <mergeCell ref="O369:V369"/>
    <mergeCell ref="F211:F212"/>
    <mergeCell ref="F213:F214"/>
    <mergeCell ref="B291:B292"/>
    <mergeCell ref="B294:B295"/>
    <mergeCell ref="I294:I295"/>
    <mergeCell ref="B296:B297"/>
    <mergeCell ref="I296:I297"/>
    <mergeCell ref="B298:B299"/>
    <mergeCell ref="I298:I299"/>
    <mergeCell ref="B300:B301"/>
    <mergeCell ref="B302:B303"/>
    <mergeCell ref="O368:V368"/>
    <mergeCell ref="F209:F210"/>
    <mergeCell ref="B188:B190"/>
    <mergeCell ref="C188:C190"/>
    <mergeCell ref="D194:F194"/>
    <mergeCell ref="B195:B196"/>
    <mergeCell ref="C195:C196"/>
    <mergeCell ref="D195:F195"/>
    <mergeCell ref="D196:F196"/>
    <mergeCell ref="B197:B198"/>
    <mergeCell ref="C197:C198"/>
    <mergeCell ref="D197:F197"/>
    <mergeCell ref="D198:F198"/>
    <mergeCell ref="F203:F204"/>
    <mergeCell ref="B167:B169"/>
    <mergeCell ref="C167:C169"/>
    <mergeCell ref="B174:B176"/>
    <mergeCell ref="C174:C176"/>
    <mergeCell ref="B181:B183"/>
    <mergeCell ref="C181:C183"/>
    <mergeCell ref="B143:B145"/>
    <mergeCell ref="C143:C145"/>
    <mergeCell ref="B150:B152"/>
    <mergeCell ref="C150:C152"/>
    <mergeCell ref="B157:B162"/>
    <mergeCell ref="C157:C162"/>
    <mergeCell ref="B137:B138"/>
    <mergeCell ref="C137:C138"/>
    <mergeCell ref="D137:F137"/>
    <mergeCell ref="D138:F138"/>
    <mergeCell ref="B101:B103"/>
    <mergeCell ref="C101:C103"/>
    <mergeCell ref="B108:B111"/>
    <mergeCell ref="C108:C111"/>
    <mergeCell ref="B116:B118"/>
    <mergeCell ref="C116:C118"/>
    <mergeCell ref="B123:B125"/>
    <mergeCell ref="C123:C125"/>
    <mergeCell ref="B130:B132"/>
    <mergeCell ref="C130:C132"/>
    <mergeCell ref="D136:F136"/>
    <mergeCell ref="B68:B87"/>
    <mergeCell ref="C68:C74"/>
    <mergeCell ref="C75:C81"/>
    <mergeCell ref="C82:C87"/>
    <mergeCell ref="B92:B96"/>
    <mergeCell ref="C92:C96"/>
    <mergeCell ref="B52:B55"/>
    <mergeCell ref="C52:C55"/>
    <mergeCell ref="D59:F59"/>
    <mergeCell ref="B60:B63"/>
    <mergeCell ref="C60:C61"/>
    <mergeCell ref="D60:F60"/>
    <mergeCell ref="D61:F61"/>
    <mergeCell ref="C62:C63"/>
    <mergeCell ref="D62:F62"/>
    <mergeCell ref="D63:F63"/>
    <mergeCell ref="B26:B30"/>
    <mergeCell ref="C26:C30"/>
    <mergeCell ref="B35:B37"/>
    <mergeCell ref="C35:C37"/>
    <mergeCell ref="B42:B47"/>
    <mergeCell ref="C42:C44"/>
    <mergeCell ref="C45:C47"/>
    <mergeCell ref="F2:H2"/>
    <mergeCell ref="I2:I6"/>
    <mergeCell ref="J2:M2"/>
    <mergeCell ref="B4:B6"/>
    <mergeCell ref="B14:B21"/>
    <mergeCell ref="C14:C21"/>
  </mergeCells>
  <phoneticPr fontId="5" type="noConversion"/>
  <pageMargins left="0.19685039370078741" right="0.19685039370078741" top="0.74803149606299213" bottom="0.74803149606299213" header="0.31496062992125984" footer="0.31496062992125984"/>
  <pageSetup paperSize="9" scale="78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15952-FB20-465E-A078-5C0477B4E94E}">
  <sheetPr>
    <tabColor rgb="FF7030A0"/>
    <pageSetUpPr fitToPage="1"/>
  </sheetPr>
  <dimension ref="A1:V464"/>
  <sheetViews>
    <sheetView showZeros="0" topLeftCell="A344" zoomScaleNormal="100" workbookViewId="0">
      <selection activeCell="C372" sqref="C372"/>
    </sheetView>
  </sheetViews>
  <sheetFormatPr defaultColWidth="25.25" defaultRowHeight="13.5"/>
  <cols>
    <col min="1" max="1" width="0.5" style="1" customWidth="1"/>
    <col min="2" max="2" width="25.25" style="102" customWidth="1"/>
    <col min="3" max="3" width="14.75" style="102" customWidth="1"/>
    <col min="4" max="4" width="11.5" style="102" customWidth="1"/>
    <col min="5" max="5" width="11.25" style="102" customWidth="1"/>
    <col min="6" max="6" width="12.25" style="102" customWidth="1"/>
    <col min="7" max="7" width="10" style="102" customWidth="1"/>
    <col min="8" max="8" width="9.875" style="102" customWidth="1"/>
    <col min="9" max="9" width="26.875" style="102" customWidth="1"/>
    <col min="10" max="10" width="11.125" style="43" customWidth="1"/>
    <col min="11" max="11" width="7.875" style="43" customWidth="1"/>
    <col min="12" max="12" width="7.25" style="43" customWidth="1"/>
    <col min="13" max="13" width="9.125" style="43" customWidth="1"/>
    <col min="14" max="14" width="15.125" style="255" customWidth="1"/>
    <col min="15" max="15" width="13.125" style="255" customWidth="1"/>
    <col min="16" max="16" width="24.375" style="255" customWidth="1"/>
    <col min="17" max="17" width="13.75" style="255" customWidth="1"/>
    <col min="18" max="18" width="11.25" style="255" customWidth="1"/>
    <col min="19" max="19" width="10.75" style="255" customWidth="1"/>
    <col min="20" max="20" width="10" style="255" customWidth="1"/>
    <col min="21" max="21" width="9.875" style="255" customWidth="1"/>
    <col min="22" max="22" width="26.125" style="255" customWidth="1"/>
    <col min="23" max="23" width="11.125" style="255" customWidth="1"/>
    <col min="24" max="24" width="7.875" style="255" customWidth="1"/>
    <col min="25" max="25" width="7.25" style="255" customWidth="1"/>
    <col min="26" max="26" width="9.125" style="255" customWidth="1"/>
    <col min="27" max="27" width="15.125" style="255" customWidth="1"/>
    <col min="28" max="28" width="7.75" style="255" customWidth="1"/>
    <col min="29" max="29" width="7.125" style="255" customWidth="1"/>
    <col min="30" max="30" width="12.125" style="255" customWidth="1"/>
    <col min="31" max="31" width="8.25" style="255" customWidth="1"/>
    <col min="32" max="33" width="10.375" style="255" customWidth="1"/>
    <col min="34" max="34" width="15.625" style="255" customWidth="1"/>
    <col min="35" max="35" width="15.875" style="255" customWidth="1"/>
    <col min="36" max="36" width="8.125" style="255" customWidth="1"/>
    <col min="37" max="40" width="10.375" style="255" customWidth="1"/>
    <col min="41" max="41" width="7.25" style="255" customWidth="1"/>
    <col min="42" max="42" width="7.125" style="255" customWidth="1"/>
    <col min="43" max="43" width="9.5" style="255" customWidth="1"/>
    <col min="44" max="45" width="9" style="255" customWidth="1"/>
    <col min="46" max="46" width="16.125" style="255" customWidth="1"/>
    <col min="47" max="77" width="9" style="255" customWidth="1"/>
    <col min="78" max="237" width="25.25" style="255"/>
    <col min="238" max="267" width="9" style="255" customWidth="1"/>
    <col min="268" max="268" width="0.5" style="255" customWidth="1"/>
    <col min="269" max="269" width="25.25" style="255"/>
    <col min="270" max="270" width="0.5" style="255" customWidth="1"/>
    <col min="271" max="271" width="25.25" style="255"/>
    <col min="272" max="272" width="14.75" style="255" customWidth="1"/>
    <col min="273" max="273" width="11.5" style="255" customWidth="1"/>
    <col min="274" max="274" width="11.25" style="255" customWidth="1"/>
    <col min="275" max="275" width="10.75" style="255" customWidth="1"/>
    <col min="276" max="276" width="10" style="255" customWidth="1"/>
    <col min="277" max="277" width="9.875" style="255" customWidth="1"/>
    <col min="278" max="278" width="26.125" style="255" customWidth="1"/>
    <col min="279" max="279" width="11.125" style="255" customWidth="1"/>
    <col min="280" max="280" width="7.875" style="255" customWidth="1"/>
    <col min="281" max="281" width="7.25" style="255" customWidth="1"/>
    <col min="282" max="282" width="9.125" style="255" customWidth="1"/>
    <col min="283" max="283" width="15.125" style="255" customWidth="1"/>
    <col min="284" max="284" width="7.75" style="255" customWidth="1"/>
    <col min="285" max="285" width="7.125" style="255" customWidth="1"/>
    <col min="286" max="286" width="12.125" style="255" customWidth="1"/>
    <col min="287" max="287" width="8.25" style="255" customWidth="1"/>
    <col min="288" max="289" width="10.375" style="255" customWidth="1"/>
    <col min="290" max="290" width="15.625" style="255" customWidth="1"/>
    <col min="291" max="291" width="15.875" style="255" customWidth="1"/>
    <col min="292" max="292" width="8.125" style="255" customWidth="1"/>
    <col min="293" max="296" width="10.375" style="255" customWidth="1"/>
    <col min="297" max="297" width="7.25" style="255" customWidth="1"/>
    <col min="298" max="298" width="7.125" style="255" customWidth="1"/>
    <col min="299" max="299" width="9.5" style="255" customWidth="1"/>
    <col min="300" max="301" width="9" style="255" customWidth="1"/>
    <col min="302" max="302" width="16.125" style="255" customWidth="1"/>
    <col min="303" max="333" width="9" style="255" customWidth="1"/>
    <col min="334" max="493" width="25.25" style="255"/>
    <col min="494" max="523" width="9" style="255" customWidth="1"/>
    <col min="524" max="524" width="0.5" style="255" customWidth="1"/>
    <col min="525" max="525" width="25.25" style="255"/>
    <col min="526" max="526" width="0.5" style="255" customWidth="1"/>
    <col min="527" max="527" width="25.25" style="255"/>
    <col min="528" max="528" width="14.75" style="255" customWidth="1"/>
    <col min="529" max="529" width="11.5" style="255" customWidth="1"/>
    <col min="530" max="530" width="11.25" style="255" customWidth="1"/>
    <col min="531" max="531" width="10.75" style="255" customWidth="1"/>
    <col min="532" max="532" width="10" style="255" customWidth="1"/>
    <col min="533" max="533" width="9.875" style="255" customWidth="1"/>
    <col min="534" max="534" width="26.125" style="255" customWidth="1"/>
    <col min="535" max="535" width="11.125" style="255" customWidth="1"/>
    <col min="536" max="536" width="7.875" style="255" customWidth="1"/>
    <col min="537" max="537" width="7.25" style="255" customWidth="1"/>
    <col min="538" max="538" width="9.125" style="255" customWidth="1"/>
    <col min="539" max="539" width="15.125" style="255" customWidth="1"/>
    <col min="540" max="540" width="7.75" style="255" customWidth="1"/>
    <col min="541" max="541" width="7.125" style="255" customWidth="1"/>
    <col min="542" max="542" width="12.125" style="255" customWidth="1"/>
    <col min="543" max="543" width="8.25" style="255" customWidth="1"/>
    <col min="544" max="545" width="10.375" style="255" customWidth="1"/>
    <col min="546" max="546" width="15.625" style="255" customWidth="1"/>
    <col min="547" max="547" width="15.875" style="255" customWidth="1"/>
    <col min="548" max="548" width="8.125" style="255" customWidth="1"/>
    <col min="549" max="552" width="10.375" style="255" customWidth="1"/>
    <col min="553" max="553" width="7.25" style="255" customWidth="1"/>
    <col min="554" max="554" width="7.125" style="255" customWidth="1"/>
    <col min="555" max="555" width="9.5" style="255" customWidth="1"/>
    <col min="556" max="557" width="9" style="255" customWidth="1"/>
    <col min="558" max="558" width="16.125" style="255" customWidth="1"/>
    <col min="559" max="589" width="9" style="255" customWidth="1"/>
    <col min="590" max="749" width="25.25" style="255"/>
    <col min="750" max="779" width="9" style="255" customWidth="1"/>
    <col min="780" max="780" width="0.5" style="255" customWidth="1"/>
    <col min="781" max="781" width="25.25" style="255"/>
    <col min="782" max="782" width="0.5" style="255" customWidth="1"/>
    <col min="783" max="783" width="25.25" style="255"/>
    <col min="784" max="784" width="14.75" style="255" customWidth="1"/>
    <col min="785" max="785" width="11.5" style="255" customWidth="1"/>
    <col min="786" max="786" width="11.25" style="255" customWidth="1"/>
    <col min="787" max="787" width="10.75" style="255" customWidth="1"/>
    <col min="788" max="788" width="10" style="255" customWidth="1"/>
    <col min="789" max="789" width="9.875" style="255" customWidth="1"/>
    <col min="790" max="790" width="26.125" style="255" customWidth="1"/>
    <col min="791" max="791" width="11.125" style="255" customWidth="1"/>
    <col min="792" max="792" width="7.875" style="255" customWidth="1"/>
    <col min="793" max="793" width="7.25" style="255" customWidth="1"/>
    <col min="794" max="794" width="9.125" style="255" customWidth="1"/>
    <col min="795" max="795" width="15.125" style="255" customWidth="1"/>
    <col min="796" max="796" width="7.75" style="255" customWidth="1"/>
    <col min="797" max="797" width="7.125" style="255" customWidth="1"/>
    <col min="798" max="798" width="12.125" style="255" customWidth="1"/>
    <col min="799" max="799" width="8.25" style="255" customWidth="1"/>
    <col min="800" max="801" width="10.375" style="255" customWidth="1"/>
    <col min="802" max="802" width="15.625" style="255" customWidth="1"/>
    <col min="803" max="803" width="15.875" style="255" customWidth="1"/>
    <col min="804" max="804" width="8.125" style="255" customWidth="1"/>
    <col min="805" max="808" width="10.375" style="255" customWidth="1"/>
    <col min="809" max="809" width="7.25" style="255" customWidth="1"/>
    <col min="810" max="810" width="7.125" style="255" customWidth="1"/>
    <col min="811" max="811" width="9.5" style="255" customWidth="1"/>
    <col min="812" max="813" width="9" style="255" customWidth="1"/>
    <col min="814" max="814" width="16.125" style="255" customWidth="1"/>
    <col min="815" max="845" width="9" style="255" customWidth="1"/>
    <col min="846" max="1005" width="25.25" style="255"/>
    <col min="1006" max="1035" width="9" style="255" customWidth="1"/>
    <col min="1036" max="1036" width="0.5" style="255" customWidth="1"/>
    <col min="1037" max="1037" width="25.25" style="255"/>
    <col min="1038" max="1038" width="0.5" style="255" customWidth="1"/>
    <col min="1039" max="1039" width="25.25" style="255"/>
    <col min="1040" max="1040" width="14.75" style="255" customWidth="1"/>
    <col min="1041" max="1041" width="11.5" style="255" customWidth="1"/>
    <col min="1042" max="1042" width="11.25" style="255" customWidth="1"/>
    <col min="1043" max="1043" width="10.75" style="255" customWidth="1"/>
    <col min="1044" max="1044" width="10" style="255" customWidth="1"/>
    <col min="1045" max="1045" width="9.875" style="255" customWidth="1"/>
    <col min="1046" max="1046" width="26.125" style="255" customWidth="1"/>
    <col min="1047" max="1047" width="11.125" style="255" customWidth="1"/>
    <col min="1048" max="1048" width="7.875" style="255" customWidth="1"/>
    <col min="1049" max="1049" width="7.25" style="255" customWidth="1"/>
    <col min="1050" max="1050" width="9.125" style="255" customWidth="1"/>
    <col min="1051" max="1051" width="15.125" style="255" customWidth="1"/>
    <col min="1052" max="1052" width="7.75" style="255" customWidth="1"/>
    <col min="1053" max="1053" width="7.125" style="255" customWidth="1"/>
    <col min="1054" max="1054" width="12.125" style="255" customWidth="1"/>
    <col min="1055" max="1055" width="8.25" style="255" customWidth="1"/>
    <col min="1056" max="1057" width="10.375" style="255" customWidth="1"/>
    <col min="1058" max="1058" width="15.625" style="255" customWidth="1"/>
    <col min="1059" max="1059" width="15.875" style="255" customWidth="1"/>
    <col min="1060" max="1060" width="8.125" style="255" customWidth="1"/>
    <col min="1061" max="1064" width="10.375" style="255" customWidth="1"/>
    <col min="1065" max="1065" width="7.25" style="255" customWidth="1"/>
    <col min="1066" max="1066" width="7.125" style="255" customWidth="1"/>
    <col min="1067" max="1067" width="9.5" style="255" customWidth="1"/>
    <col min="1068" max="1069" width="9" style="255" customWidth="1"/>
    <col min="1070" max="1070" width="16.125" style="255" customWidth="1"/>
    <col min="1071" max="1101" width="9" style="255" customWidth="1"/>
    <col min="1102" max="1261" width="25.25" style="255"/>
    <col min="1262" max="1291" width="9" style="255" customWidth="1"/>
    <col min="1292" max="1292" width="0.5" style="255" customWidth="1"/>
    <col min="1293" max="1293" width="25.25" style="255"/>
    <col min="1294" max="1294" width="0.5" style="255" customWidth="1"/>
    <col min="1295" max="1295" width="25.25" style="255"/>
    <col min="1296" max="1296" width="14.75" style="255" customWidth="1"/>
    <col min="1297" max="1297" width="11.5" style="255" customWidth="1"/>
    <col min="1298" max="1298" width="11.25" style="255" customWidth="1"/>
    <col min="1299" max="1299" width="10.75" style="255" customWidth="1"/>
    <col min="1300" max="1300" width="10" style="255" customWidth="1"/>
    <col min="1301" max="1301" width="9.875" style="255" customWidth="1"/>
    <col min="1302" max="1302" width="26.125" style="255" customWidth="1"/>
    <col min="1303" max="1303" width="11.125" style="255" customWidth="1"/>
    <col min="1304" max="1304" width="7.875" style="255" customWidth="1"/>
    <col min="1305" max="1305" width="7.25" style="255" customWidth="1"/>
    <col min="1306" max="1306" width="9.125" style="255" customWidth="1"/>
    <col min="1307" max="1307" width="15.125" style="255" customWidth="1"/>
    <col min="1308" max="1308" width="7.75" style="255" customWidth="1"/>
    <col min="1309" max="1309" width="7.125" style="255" customWidth="1"/>
    <col min="1310" max="1310" width="12.125" style="255" customWidth="1"/>
    <col min="1311" max="1311" width="8.25" style="255" customWidth="1"/>
    <col min="1312" max="1313" width="10.375" style="255" customWidth="1"/>
    <col min="1314" max="1314" width="15.625" style="255" customWidth="1"/>
    <col min="1315" max="1315" width="15.875" style="255" customWidth="1"/>
    <col min="1316" max="1316" width="8.125" style="255" customWidth="1"/>
    <col min="1317" max="1320" width="10.375" style="255" customWidth="1"/>
    <col min="1321" max="1321" width="7.25" style="255" customWidth="1"/>
    <col min="1322" max="1322" width="7.125" style="255" customWidth="1"/>
    <col min="1323" max="1323" width="9.5" style="255" customWidth="1"/>
    <col min="1324" max="1325" width="9" style="255" customWidth="1"/>
    <col min="1326" max="1326" width="16.125" style="255" customWidth="1"/>
    <col min="1327" max="1357" width="9" style="255" customWidth="1"/>
    <col min="1358" max="1517" width="25.25" style="255"/>
    <col min="1518" max="1547" width="9" style="255" customWidth="1"/>
    <col min="1548" max="1548" width="0.5" style="255" customWidth="1"/>
    <col min="1549" max="1549" width="25.25" style="255"/>
    <col min="1550" max="1550" width="0.5" style="255" customWidth="1"/>
    <col min="1551" max="1551" width="25.25" style="255"/>
    <col min="1552" max="1552" width="14.75" style="255" customWidth="1"/>
    <col min="1553" max="1553" width="11.5" style="255" customWidth="1"/>
    <col min="1554" max="1554" width="11.25" style="255" customWidth="1"/>
    <col min="1555" max="1555" width="10.75" style="255" customWidth="1"/>
    <col min="1556" max="1556" width="10" style="255" customWidth="1"/>
    <col min="1557" max="1557" width="9.875" style="255" customWidth="1"/>
    <col min="1558" max="1558" width="26.125" style="255" customWidth="1"/>
    <col min="1559" max="1559" width="11.125" style="255" customWidth="1"/>
    <col min="1560" max="1560" width="7.875" style="255" customWidth="1"/>
    <col min="1561" max="1561" width="7.25" style="255" customWidth="1"/>
    <col min="1562" max="1562" width="9.125" style="255" customWidth="1"/>
    <col min="1563" max="1563" width="15.125" style="255" customWidth="1"/>
    <col min="1564" max="1564" width="7.75" style="255" customWidth="1"/>
    <col min="1565" max="1565" width="7.125" style="255" customWidth="1"/>
    <col min="1566" max="1566" width="12.125" style="255" customWidth="1"/>
    <col min="1567" max="1567" width="8.25" style="255" customWidth="1"/>
    <col min="1568" max="1569" width="10.375" style="255" customWidth="1"/>
    <col min="1570" max="1570" width="15.625" style="255" customWidth="1"/>
    <col min="1571" max="1571" width="15.875" style="255" customWidth="1"/>
    <col min="1572" max="1572" width="8.125" style="255" customWidth="1"/>
    <col min="1573" max="1576" width="10.375" style="255" customWidth="1"/>
    <col min="1577" max="1577" width="7.25" style="255" customWidth="1"/>
    <col min="1578" max="1578" width="7.125" style="255" customWidth="1"/>
    <col min="1579" max="1579" width="9.5" style="255" customWidth="1"/>
    <col min="1580" max="1581" width="9" style="255" customWidth="1"/>
    <col min="1582" max="1582" width="16.125" style="255" customWidth="1"/>
    <col min="1583" max="1613" width="9" style="255" customWidth="1"/>
    <col min="1614" max="1773" width="25.25" style="255"/>
    <col min="1774" max="1803" width="9" style="255" customWidth="1"/>
    <col min="1804" max="1804" width="0.5" style="255" customWidth="1"/>
    <col min="1805" max="1805" width="25.25" style="255"/>
    <col min="1806" max="1806" width="0.5" style="255" customWidth="1"/>
    <col min="1807" max="1807" width="25.25" style="255"/>
    <col min="1808" max="1808" width="14.75" style="255" customWidth="1"/>
    <col min="1809" max="1809" width="11.5" style="255" customWidth="1"/>
    <col min="1810" max="1810" width="11.25" style="255" customWidth="1"/>
    <col min="1811" max="1811" width="10.75" style="255" customWidth="1"/>
    <col min="1812" max="1812" width="10" style="255" customWidth="1"/>
    <col min="1813" max="1813" width="9.875" style="255" customWidth="1"/>
    <col min="1814" max="1814" width="26.125" style="255" customWidth="1"/>
    <col min="1815" max="1815" width="11.125" style="255" customWidth="1"/>
    <col min="1816" max="1816" width="7.875" style="255" customWidth="1"/>
    <col min="1817" max="1817" width="7.25" style="255" customWidth="1"/>
    <col min="1818" max="1818" width="9.125" style="255" customWidth="1"/>
    <col min="1819" max="1819" width="15.125" style="255" customWidth="1"/>
    <col min="1820" max="1820" width="7.75" style="255" customWidth="1"/>
    <col min="1821" max="1821" width="7.125" style="255" customWidth="1"/>
    <col min="1822" max="1822" width="12.125" style="255" customWidth="1"/>
    <col min="1823" max="1823" width="8.25" style="255" customWidth="1"/>
    <col min="1824" max="1825" width="10.375" style="255" customWidth="1"/>
    <col min="1826" max="1826" width="15.625" style="255" customWidth="1"/>
    <col min="1827" max="1827" width="15.875" style="255" customWidth="1"/>
    <col min="1828" max="1828" width="8.125" style="255" customWidth="1"/>
    <col min="1829" max="1832" width="10.375" style="255" customWidth="1"/>
    <col min="1833" max="1833" width="7.25" style="255" customWidth="1"/>
    <col min="1834" max="1834" width="7.125" style="255" customWidth="1"/>
    <col min="1835" max="1835" width="9.5" style="255" customWidth="1"/>
    <col min="1836" max="1837" width="9" style="255" customWidth="1"/>
    <col min="1838" max="1838" width="16.125" style="255" customWidth="1"/>
    <col min="1839" max="1869" width="9" style="255" customWidth="1"/>
    <col min="1870" max="2029" width="25.25" style="255"/>
    <col min="2030" max="2059" width="9" style="255" customWidth="1"/>
    <col min="2060" max="2060" width="0.5" style="255" customWidth="1"/>
    <col min="2061" max="2061" width="25.25" style="255"/>
    <col min="2062" max="2062" width="0.5" style="255" customWidth="1"/>
    <col min="2063" max="2063" width="25.25" style="255"/>
    <col min="2064" max="2064" width="14.75" style="255" customWidth="1"/>
    <col min="2065" max="2065" width="11.5" style="255" customWidth="1"/>
    <col min="2066" max="2066" width="11.25" style="255" customWidth="1"/>
    <col min="2067" max="2067" width="10.75" style="255" customWidth="1"/>
    <col min="2068" max="2068" width="10" style="255" customWidth="1"/>
    <col min="2069" max="2069" width="9.875" style="255" customWidth="1"/>
    <col min="2070" max="2070" width="26.125" style="255" customWidth="1"/>
    <col min="2071" max="2071" width="11.125" style="255" customWidth="1"/>
    <col min="2072" max="2072" width="7.875" style="255" customWidth="1"/>
    <col min="2073" max="2073" width="7.25" style="255" customWidth="1"/>
    <col min="2074" max="2074" width="9.125" style="255" customWidth="1"/>
    <col min="2075" max="2075" width="15.125" style="255" customWidth="1"/>
    <col min="2076" max="2076" width="7.75" style="255" customWidth="1"/>
    <col min="2077" max="2077" width="7.125" style="255" customWidth="1"/>
    <col min="2078" max="2078" width="12.125" style="255" customWidth="1"/>
    <col min="2079" max="2079" width="8.25" style="255" customWidth="1"/>
    <col min="2080" max="2081" width="10.375" style="255" customWidth="1"/>
    <col min="2082" max="2082" width="15.625" style="255" customWidth="1"/>
    <col min="2083" max="2083" width="15.875" style="255" customWidth="1"/>
    <col min="2084" max="2084" width="8.125" style="255" customWidth="1"/>
    <col min="2085" max="2088" width="10.375" style="255" customWidth="1"/>
    <col min="2089" max="2089" width="7.25" style="255" customWidth="1"/>
    <col min="2090" max="2090" width="7.125" style="255" customWidth="1"/>
    <col min="2091" max="2091" width="9.5" style="255" customWidth="1"/>
    <col min="2092" max="2093" width="9" style="255" customWidth="1"/>
    <col min="2094" max="2094" width="16.125" style="255" customWidth="1"/>
    <col min="2095" max="2125" width="9" style="255" customWidth="1"/>
    <col min="2126" max="2285" width="25.25" style="255"/>
    <col min="2286" max="2315" width="9" style="255" customWidth="1"/>
    <col min="2316" max="2316" width="0.5" style="255" customWidth="1"/>
    <col min="2317" max="2317" width="25.25" style="255"/>
    <col min="2318" max="2318" width="0.5" style="255" customWidth="1"/>
    <col min="2319" max="2319" width="25.25" style="255"/>
    <col min="2320" max="2320" width="14.75" style="255" customWidth="1"/>
    <col min="2321" max="2321" width="11.5" style="255" customWidth="1"/>
    <col min="2322" max="2322" width="11.25" style="255" customWidth="1"/>
    <col min="2323" max="2323" width="10.75" style="255" customWidth="1"/>
    <col min="2324" max="2324" width="10" style="255" customWidth="1"/>
    <col min="2325" max="2325" width="9.875" style="255" customWidth="1"/>
    <col min="2326" max="2326" width="26.125" style="255" customWidth="1"/>
    <col min="2327" max="2327" width="11.125" style="255" customWidth="1"/>
    <col min="2328" max="2328" width="7.875" style="255" customWidth="1"/>
    <col min="2329" max="2329" width="7.25" style="255" customWidth="1"/>
    <col min="2330" max="2330" width="9.125" style="255" customWidth="1"/>
    <col min="2331" max="2331" width="15.125" style="255" customWidth="1"/>
    <col min="2332" max="2332" width="7.75" style="255" customWidth="1"/>
    <col min="2333" max="2333" width="7.125" style="255" customWidth="1"/>
    <col min="2334" max="2334" width="12.125" style="255" customWidth="1"/>
    <col min="2335" max="2335" width="8.25" style="255" customWidth="1"/>
    <col min="2336" max="2337" width="10.375" style="255" customWidth="1"/>
    <col min="2338" max="2338" width="15.625" style="255" customWidth="1"/>
    <col min="2339" max="2339" width="15.875" style="255" customWidth="1"/>
    <col min="2340" max="2340" width="8.125" style="255" customWidth="1"/>
    <col min="2341" max="2344" width="10.375" style="255" customWidth="1"/>
    <col min="2345" max="2345" width="7.25" style="255" customWidth="1"/>
    <col min="2346" max="2346" width="7.125" style="255" customWidth="1"/>
    <col min="2347" max="2347" width="9.5" style="255" customWidth="1"/>
    <col min="2348" max="2349" width="9" style="255" customWidth="1"/>
    <col min="2350" max="2350" width="16.125" style="255" customWidth="1"/>
    <col min="2351" max="2381" width="9" style="255" customWidth="1"/>
    <col min="2382" max="2541" width="25.25" style="255"/>
    <col min="2542" max="2571" width="9" style="255" customWidth="1"/>
    <col min="2572" max="2572" width="0.5" style="255" customWidth="1"/>
    <col min="2573" max="2573" width="25.25" style="255"/>
    <col min="2574" max="2574" width="0.5" style="255" customWidth="1"/>
    <col min="2575" max="2575" width="25.25" style="255"/>
    <col min="2576" max="2576" width="14.75" style="255" customWidth="1"/>
    <col min="2577" max="2577" width="11.5" style="255" customWidth="1"/>
    <col min="2578" max="2578" width="11.25" style="255" customWidth="1"/>
    <col min="2579" max="2579" width="10.75" style="255" customWidth="1"/>
    <col min="2580" max="2580" width="10" style="255" customWidth="1"/>
    <col min="2581" max="2581" width="9.875" style="255" customWidth="1"/>
    <col min="2582" max="2582" width="26.125" style="255" customWidth="1"/>
    <col min="2583" max="2583" width="11.125" style="255" customWidth="1"/>
    <col min="2584" max="2584" width="7.875" style="255" customWidth="1"/>
    <col min="2585" max="2585" width="7.25" style="255" customWidth="1"/>
    <col min="2586" max="2586" width="9.125" style="255" customWidth="1"/>
    <col min="2587" max="2587" width="15.125" style="255" customWidth="1"/>
    <col min="2588" max="2588" width="7.75" style="255" customWidth="1"/>
    <col min="2589" max="2589" width="7.125" style="255" customWidth="1"/>
    <col min="2590" max="2590" width="12.125" style="255" customWidth="1"/>
    <col min="2591" max="2591" width="8.25" style="255" customWidth="1"/>
    <col min="2592" max="2593" width="10.375" style="255" customWidth="1"/>
    <col min="2594" max="2594" width="15.625" style="255" customWidth="1"/>
    <col min="2595" max="2595" width="15.875" style="255" customWidth="1"/>
    <col min="2596" max="2596" width="8.125" style="255" customWidth="1"/>
    <col min="2597" max="2600" width="10.375" style="255" customWidth="1"/>
    <col min="2601" max="2601" width="7.25" style="255" customWidth="1"/>
    <col min="2602" max="2602" width="7.125" style="255" customWidth="1"/>
    <col min="2603" max="2603" width="9.5" style="255" customWidth="1"/>
    <col min="2604" max="2605" width="9" style="255" customWidth="1"/>
    <col min="2606" max="2606" width="16.125" style="255" customWidth="1"/>
    <col min="2607" max="2637" width="9" style="255" customWidth="1"/>
    <col min="2638" max="2797" width="25.25" style="255"/>
    <col min="2798" max="2827" width="9" style="255" customWidth="1"/>
    <col min="2828" max="2828" width="0.5" style="255" customWidth="1"/>
    <col min="2829" max="2829" width="25.25" style="255"/>
    <col min="2830" max="2830" width="0.5" style="255" customWidth="1"/>
    <col min="2831" max="2831" width="25.25" style="255"/>
    <col min="2832" max="2832" width="14.75" style="255" customWidth="1"/>
    <col min="2833" max="2833" width="11.5" style="255" customWidth="1"/>
    <col min="2834" max="2834" width="11.25" style="255" customWidth="1"/>
    <col min="2835" max="2835" width="10.75" style="255" customWidth="1"/>
    <col min="2836" max="2836" width="10" style="255" customWidth="1"/>
    <col min="2837" max="2837" width="9.875" style="255" customWidth="1"/>
    <col min="2838" max="2838" width="26.125" style="255" customWidth="1"/>
    <col min="2839" max="2839" width="11.125" style="255" customWidth="1"/>
    <col min="2840" max="2840" width="7.875" style="255" customWidth="1"/>
    <col min="2841" max="2841" width="7.25" style="255" customWidth="1"/>
    <col min="2842" max="2842" width="9.125" style="255" customWidth="1"/>
    <col min="2843" max="2843" width="15.125" style="255" customWidth="1"/>
    <col min="2844" max="2844" width="7.75" style="255" customWidth="1"/>
    <col min="2845" max="2845" width="7.125" style="255" customWidth="1"/>
    <col min="2846" max="2846" width="12.125" style="255" customWidth="1"/>
    <col min="2847" max="2847" width="8.25" style="255" customWidth="1"/>
    <col min="2848" max="2849" width="10.375" style="255" customWidth="1"/>
    <col min="2850" max="2850" width="15.625" style="255" customWidth="1"/>
    <col min="2851" max="2851" width="15.875" style="255" customWidth="1"/>
    <col min="2852" max="2852" width="8.125" style="255" customWidth="1"/>
    <col min="2853" max="2856" width="10.375" style="255" customWidth="1"/>
    <col min="2857" max="2857" width="7.25" style="255" customWidth="1"/>
    <col min="2858" max="2858" width="7.125" style="255" customWidth="1"/>
    <col min="2859" max="2859" width="9.5" style="255" customWidth="1"/>
    <col min="2860" max="2861" width="9" style="255" customWidth="1"/>
    <col min="2862" max="2862" width="16.125" style="255" customWidth="1"/>
    <col min="2863" max="2893" width="9" style="255" customWidth="1"/>
    <col min="2894" max="3053" width="25.25" style="255"/>
    <col min="3054" max="3083" width="9" style="255" customWidth="1"/>
    <col min="3084" max="3084" width="0.5" style="255" customWidth="1"/>
    <col min="3085" max="3085" width="25.25" style="255"/>
    <col min="3086" max="3086" width="0.5" style="255" customWidth="1"/>
    <col min="3087" max="3087" width="25.25" style="255"/>
    <col min="3088" max="3088" width="14.75" style="255" customWidth="1"/>
    <col min="3089" max="3089" width="11.5" style="255" customWidth="1"/>
    <col min="3090" max="3090" width="11.25" style="255" customWidth="1"/>
    <col min="3091" max="3091" width="10.75" style="255" customWidth="1"/>
    <col min="3092" max="3092" width="10" style="255" customWidth="1"/>
    <col min="3093" max="3093" width="9.875" style="255" customWidth="1"/>
    <col min="3094" max="3094" width="26.125" style="255" customWidth="1"/>
    <col min="3095" max="3095" width="11.125" style="255" customWidth="1"/>
    <col min="3096" max="3096" width="7.875" style="255" customWidth="1"/>
    <col min="3097" max="3097" width="7.25" style="255" customWidth="1"/>
    <col min="3098" max="3098" width="9.125" style="255" customWidth="1"/>
    <col min="3099" max="3099" width="15.125" style="255" customWidth="1"/>
    <col min="3100" max="3100" width="7.75" style="255" customWidth="1"/>
    <col min="3101" max="3101" width="7.125" style="255" customWidth="1"/>
    <col min="3102" max="3102" width="12.125" style="255" customWidth="1"/>
    <col min="3103" max="3103" width="8.25" style="255" customWidth="1"/>
    <col min="3104" max="3105" width="10.375" style="255" customWidth="1"/>
    <col min="3106" max="3106" width="15.625" style="255" customWidth="1"/>
    <col min="3107" max="3107" width="15.875" style="255" customWidth="1"/>
    <col min="3108" max="3108" width="8.125" style="255" customWidth="1"/>
    <col min="3109" max="3112" width="10.375" style="255" customWidth="1"/>
    <col min="3113" max="3113" width="7.25" style="255" customWidth="1"/>
    <col min="3114" max="3114" width="7.125" style="255" customWidth="1"/>
    <col min="3115" max="3115" width="9.5" style="255" customWidth="1"/>
    <col min="3116" max="3117" width="9" style="255" customWidth="1"/>
    <col min="3118" max="3118" width="16.125" style="255" customWidth="1"/>
    <col min="3119" max="3149" width="9" style="255" customWidth="1"/>
    <col min="3150" max="3309" width="25.25" style="255"/>
    <col min="3310" max="3339" width="9" style="255" customWidth="1"/>
    <col min="3340" max="3340" width="0.5" style="255" customWidth="1"/>
    <col min="3341" max="3341" width="25.25" style="255"/>
    <col min="3342" max="3342" width="0.5" style="255" customWidth="1"/>
    <col min="3343" max="3343" width="25.25" style="255"/>
    <col min="3344" max="3344" width="14.75" style="255" customWidth="1"/>
    <col min="3345" max="3345" width="11.5" style="255" customWidth="1"/>
    <col min="3346" max="3346" width="11.25" style="255" customWidth="1"/>
    <col min="3347" max="3347" width="10.75" style="255" customWidth="1"/>
    <col min="3348" max="3348" width="10" style="255" customWidth="1"/>
    <col min="3349" max="3349" width="9.875" style="255" customWidth="1"/>
    <col min="3350" max="3350" width="26.125" style="255" customWidth="1"/>
    <col min="3351" max="3351" width="11.125" style="255" customWidth="1"/>
    <col min="3352" max="3352" width="7.875" style="255" customWidth="1"/>
    <col min="3353" max="3353" width="7.25" style="255" customWidth="1"/>
    <col min="3354" max="3354" width="9.125" style="255" customWidth="1"/>
    <col min="3355" max="3355" width="15.125" style="255" customWidth="1"/>
    <col min="3356" max="3356" width="7.75" style="255" customWidth="1"/>
    <col min="3357" max="3357" width="7.125" style="255" customWidth="1"/>
    <col min="3358" max="3358" width="12.125" style="255" customWidth="1"/>
    <col min="3359" max="3359" width="8.25" style="255" customWidth="1"/>
    <col min="3360" max="3361" width="10.375" style="255" customWidth="1"/>
    <col min="3362" max="3362" width="15.625" style="255" customWidth="1"/>
    <col min="3363" max="3363" width="15.875" style="255" customWidth="1"/>
    <col min="3364" max="3364" width="8.125" style="255" customWidth="1"/>
    <col min="3365" max="3368" width="10.375" style="255" customWidth="1"/>
    <col min="3369" max="3369" width="7.25" style="255" customWidth="1"/>
    <col min="3370" max="3370" width="7.125" style="255" customWidth="1"/>
    <col min="3371" max="3371" width="9.5" style="255" customWidth="1"/>
    <col min="3372" max="3373" width="9" style="255" customWidth="1"/>
    <col min="3374" max="3374" width="16.125" style="255" customWidth="1"/>
    <col min="3375" max="3405" width="9" style="255" customWidth="1"/>
    <col min="3406" max="3565" width="25.25" style="255"/>
    <col min="3566" max="3595" width="9" style="255" customWidth="1"/>
    <col min="3596" max="3596" width="0.5" style="255" customWidth="1"/>
    <col min="3597" max="3597" width="25.25" style="255"/>
    <col min="3598" max="3598" width="0.5" style="255" customWidth="1"/>
    <col min="3599" max="3599" width="25.25" style="255"/>
    <col min="3600" max="3600" width="14.75" style="255" customWidth="1"/>
    <col min="3601" max="3601" width="11.5" style="255" customWidth="1"/>
    <col min="3602" max="3602" width="11.25" style="255" customWidth="1"/>
    <col min="3603" max="3603" width="10.75" style="255" customWidth="1"/>
    <col min="3604" max="3604" width="10" style="255" customWidth="1"/>
    <col min="3605" max="3605" width="9.875" style="255" customWidth="1"/>
    <col min="3606" max="3606" width="26.125" style="255" customWidth="1"/>
    <col min="3607" max="3607" width="11.125" style="255" customWidth="1"/>
    <col min="3608" max="3608" width="7.875" style="255" customWidth="1"/>
    <col min="3609" max="3609" width="7.25" style="255" customWidth="1"/>
    <col min="3610" max="3610" width="9.125" style="255" customWidth="1"/>
    <col min="3611" max="3611" width="15.125" style="255" customWidth="1"/>
    <col min="3612" max="3612" width="7.75" style="255" customWidth="1"/>
    <col min="3613" max="3613" width="7.125" style="255" customWidth="1"/>
    <col min="3614" max="3614" width="12.125" style="255" customWidth="1"/>
    <col min="3615" max="3615" width="8.25" style="255" customWidth="1"/>
    <col min="3616" max="3617" width="10.375" style="255" customWidth="1"/>
    <col min="3618" max="3618" width="15.625" style="255" customWidth="1"/>
    <col min="3619" max="3619" width="15.875" style="255" customWidth="1"/>
    <col min="3620" max="3620" width="8.125" style="255" customWidth="1"/>
    <col min="3621" max="3624" width="10.375" style="255" customWidth="1"/>
    <col min="3625" max="3625" width="7.25" style="255" customWidth="1"/>
    <col min="3626" max="3626" width="7.125" style="255" customWidth="1"/>
    <col min="3627" max="3627" width="9.5" style="255" customWidth="1"/>
    <col min="3628" max="3629" width="9" style="255" customWidth="1"/>
    <col min="3630" max="3630" width="16.125" style="255" customWidth="1"/>
    <col min="3631" max="3661" width="9" style="255" customWidth="1"/>
    <col min="3662" max="3821" width="25.25" style="255"/>
    <col min="3822" max="3851" width="9" style="255" customWidth="1"/>
    <col min="3852" max="3852" width="0.5" style="255" customWidth="1"/>
    <col min="3853" max="3853" width="25.25" style="255"/>
    <col min="3854" max="3854" width="0.5" style="255" customWidth="1"/>
    <col min="3855" max="3855" width="25.25" style="255"/>
    <col min="3856" max="3856" width="14.75" style="255" customWidth="1"/>
    <col min="3857" max="3857" width="11.5" style="255" customWidth="1"/>
    <col min="3858" max="3858" width="11.25" style="255" customWidth="1"/>
    <col min="3859" max="3859" width="10.75" style="255" customWidth="1"/>
    <col min="3860" max="3860" width="10" style="255" customWidth="1"/>
    <col min="3861" max="3861" width="9.875" style="255" customWidth="1"/>
    <col min="3862" max="3862" width="26.125" style="255" customWidth="1"/>
    <col min="3863" max="3863" width="11.125" style="255" customWidth="1"/>
    <col min="3864" max="3864" width="7.875" style="255" customWidth="1"/>
    <col min="3865" max="3865" width="7.25" style="255" customWidth="1"/>
    <col min="3866" max="3866" width="9.125" style="255" customWidth="1"/>
    <col min="3867" max="3867" width="15.125" style="255" customWidth="1"/>
    <col min="3868" max="3868" width="7.75" style="255" customWidth="1"/>
    <col min="3869" max="3869" width="7.125" style="255" customWidth="1"/>
    <col min="3870" max="3870" width="12.125" style="255" customWidth="1"/>
    <col min="3871" max="3871" width="8.25" style="255" customWidth="1"/>
    <col min="3872" max="3873" width="10.375" style="255" customWidth="1"/>
    <col min="3874" max="3874" width="15.625" style="255" customWidth="1"/>
    <col min="3875" max="3875" width="15.875" style="255" customWidth="1"/>
    <col min="3876" max="3876" width="8.125" style="255" customWidth="1"/>
    <col min="3877" max="3880" width="10.375" style="255" customWidth="1"/>
    <col min="3881" max="3881" width="7.25" style="255" customWidth="1"/>
    <col min="3882" max="3882" width="7.125" style="255" customWidth="1"/>
    <col min="3883" max="3883" width="9.5" style="255" customWidth="1"/>
    <col min="3884" max="3885" width="9" style="255" customWidth="1"/>
    <col min="3886" max="3886" width="16.125" style="255" customWidth="1"/>
    <col min="3887" max="3917" width="9" style="255" customWidth="1"/>
    <col min="3918" max="4077" width="25.25" style="255"/>
    <col min="4078" max="4107" width="9" style="255" customWidth="1"/>
    <col min="4108" max="4108" width="0.5" style="255" customWidth="1"/>
    <col min="4109" max="4109" width="25.25" style="255"/>
    <col min="4110" max="4110" width="0.5" style="255" customWidth="1"/>
    <col min="4111" max="4111" width="25.25" style="255"/>
    <col min="4112" max="4112" width="14.75" style="255" customWidth="1"/>
    <col min="4113" max="4113" width="11.5" style="255" customWidth="1"/>
    <col min="4114" max="4114" width="11.25" style="255" customWidth="1"/>
    <col min="4115" max="4115" width="10.75" style="255" customWidth="1"/>
    <col min="4116" max="4116" width="10" style="255" customWidth="1"/>
    <col min="4117" max="4117" width="9.875" style="255" customWidth="1"/>
    <col min="4118" max="4118" width="26.125" style="255" customWidth="1"/>
    <col min="4119" max="4119" width="11.125" style="255" customWidth="1"/>
    <col min="4120" max="4120" width="7.875" style="255" customWidth="1"/>
    <col min="4121" max="4121" width="7.25" style="255" customWidth="1"/>
    <col min="4122" max="4122" width="9.125" style="255" customWidth="1"/>
    <col min="4123" max="4123" width="15.125" style="255" customWidth="1"/>
    <col min="4124" max="4124" width="7.75" style="255" customWidth="1"/>
    <col min="4125" max="4125" width="7.125" style="255" customWidth="1"/>
    <col min="4126" max="4126" width="12.125" style="255" customWidth="1"/>
    <col min="4127" max="4127" width="8.25" style="255" customWidth="1"/>
    <col min="4128" max="4129" width="10.375" style="255" customWidth="1"/>
    <col min="4130" max="4130" width="15.625" style="255" customWidth="1"/>
    <col min="4131" max="4131" width="15.875" style="255" customWidth="1"/>
    <col min="4132" max="4132" width="8.125" style="255" customWidth="1"/>
    <col min="4133" max="4136" width="10.375" style="255" customWidth="1"/>
    <col min="4137" max="4137" width="7.25" style="255" customWidth="1"/>
    <col min="4138" max="4138" width="7.125" style="255" customWidth="1"/>
    <col min="4139" max="4139" width="9.5" style="255" customWidth="1"/>
    <col min="4140" max="4141" width="9" style="255" customWidth="1"/>
    <col min="4142" max="4142" width="16.125" style="255" customWidth="1"/>
    <col min="4143" max="4173" width="9" style="255" customWidth="1"/>
    <col min="4174" max="4333" width="25.25" style="255"/>
    <col min="4334" max="4363" width="9" style="255" customWidth="1"/>
    <col min="4364" max="4364" width="0.5" style="255" customWidth="1"/>
    <col min="4365" max="4365" width="25.25" style="255"/>
    <col min="4366" max="4366" width="0.5" style="255" customWidth="1"/>
    <col min="4367" max="4367" width="25.25" style="255"/>
    <col min="4368" max="4368" width="14.75" style="255" customWidth="1"/>
    <col min="4369" max="4369" width="11.5" style="255" customWidth="1"/>
    <col min="4370" max="4370" width="11.25" style="255" customWidth="1"/>
    <col min="4371" max="4371" width="10.75" style="255" customWidth="1"/>
    <col min="4372" max="4372" width="10" style="255" customWidth="1"/>
    <col min="4373" max="4373" width="9.875" style="255" customWidth="1"/>
    <col min="4374" max="4374" width="26.125" style="255" customWidth="1"/>
    <col min="4375" max="4375" width="11.125" style="255" customWidth="1"/>
    <col min="4376" max="4376" width="7.875" style="255" customWidth="1"/>
    <col min="4377" max="4377" width="7.25" style="255" customWidth="1"/>
    <col min="4378" max="4378" width="9.125" style="255" customWidth="1"/>
    <col min="4379" max="4379" width="15.125" style="255" customWidth="1"/>
    <col min="4380" max="4380" width="7.75" style="255" customWidth="1"/>
    <col min="4381" max="4381" width="7.125" style="255" customWidth="1"/>
    <col min="4382" max="4382" width="12.125" style="255" customWidth="1"/>
    <col min="4383" max="4383" width="8.25" style="255" customWidth="1"/>
    <col min="4384" max="4385" width="10.375" style="255" customWidth="1"/>
    <col min="4386" max="4386" width="15.625" style="255" customWidth="1"/>
    <col min="4387" max="4387" width="15.875" style="255" customWidth="1"/>
    <col min="4388" max="4388" width="8.125" style="255" customWidth="1"/>
    <col min="4389" max="4392" width="10.375" style="255" customWidth="1"/>
    <col min="4393" max="4393" width="7.25" style="255" customWidth="1"/>
    <col min="4394" max="4394" width="7.125" style="255" customWidth="1"/>
    <col min="4395" max="4395" width="9.5" style="255" customWidth="1"/>
    <col min="4396" max="4397" width="9" style="255" customWidth="1"/>
    <col min="4398" max="4398" width="16.125" style="255" customWidth="1"/>
    <col min="4399" max="4429" width="9" style="255" customWidth="1"/>
    <col min="4430" max="4589" width="25.25" style="255"/>
    <col min="4590" max="4619" width="9" style="255" customWidth="1"/>
    <col min="4620" max="4620" width="0.5" style="255" customWidth="1"/>
    <col min="4621" max="4621" width="25.25" style="255"/>
    <col min="4622" max="4622" width="0.5" style="255" customWidth="1"/>
    <col min="4623" max="4623" width="25.25" style="255"/>
    <col min="4624" max="4624" width="14.75" style="255" customWidth="1"/>
    <col min="4625" max="4625" width="11.5" style="255" customWidth="1"/>
    <col min="4626" max="4626" width="11.25" style="255" customWidth="1"/>
    <col min="4627" max="4627" width="10.75" style="255" customWidth="1"/>
    <col min="4628" max="4628" width="10" style="255" customWidth="1"/>
    <col min="4629" max="4629" width="9.875" style="255" customWidth="1"/>
    <col min="4630" max="4630" width="26.125" style="255" customWidth="1"/>
    <col min="4631" max="4631" width="11.125" style="255" customWidth="1"/>
    <col min="4632" max="4632" width="7.875" style="255" customWidth="1"/>
    <col min="4633" max="4633" width="7.25" style="255" customWidth="1"/>
    <col min="4634" max="4634" width="9.125" style="255" customWidth="1"/>
    <col min="4635" max="4635" width="15.125" style="255" customWidth="1"/>
    <col min="4636" max="4636" width="7.75" style="255" customWidth="1"/>
    <col min="4637" max="4637" width="7.125" style="255" customWidth="1"/>
    <col min="4638" max="4638" width="12.125" style="255" customWidth="1"/>
    <col min="4639" max="4639" width="8.25" style="255" customWidth="1"/>
    <col min="4640" max="4641" width="10.375" style="255" customWidth="1"/>
    <col min="4642" max="4642" width="15.625" style="255" customWidth="1"/>
    <col min="4643" max="4643" width="15.875" style="255" customWidth="1"/>
    <col min="4644" max="4644" width="8.125" style="255" customWidth="1"/>
    <col min="4645" max="4648" width="10.375" style="255" customWidth="1"/>
    <col min="4649" max="4649" width="7.25" style="255" customWidth="1"/>
    <col min="4650" max="4650" width="7.125" style="255" customWidth="1"/>
    <col min="4651" max="4651" width="9.5" style="255" customWidth="1"/>
    <col min="4652" max="4653" width="9" style="255" customWidth="1"/>
    <col min="4654" max="4654" width="16.125" style="255" customWidth="1"/>
    <col min="4655" max="4685" width="9" style="255" customWidth="1"/>
    <col min="4686" max="4845" width="25.25" style="255"/>
    <col min="4846" max="4875" width="9" style="255" customWidth="1"/>
    <col min="4876" max="4876" width="0.5" style="255" customWidth="1"/>
    <col min="4877" max="4877" width="25.25" style="255"/>
    <col min="4878" max="4878" width="0.5" style="255" customWidth="1"/>
    <col min="4879" max="4879" width="25.25" style="255"/>
    <col min="4880" max="4880" width="14.75" style="255" customWidth="1"/>
    <col min="4881" max="4881" width="11.5" style="255" customWidth="1"/>
    <col min="4882" max="4882" width="11.25" style="255" customWidth="1"/>
    <col min="4883" max="4883" width="10.75" style="255" customWidth="1"/>
    <col min="4884" max="4884" width="10" style="255" customWidth="1"/>
    <col min="4885" max="4885" width="9.875" style="255" customWidth="1"/>
    <col min="4886" max="4886" width="26.125" style="255" customWidth="1"/>
    <col min="4887" max="4887" width="11.125" style="255" customWidth="1"/>
    <col min="4888" max="4888" width="7.875" style="255" customWidth="1"/>
    <col min="4889" max="4889" width="7.25" style="255" customWidth="1"/>
    <col min="4890" max="4890" width="9.125" style="255" customWidth="1"/>
    <col min="4891" max="4891" width="15.125" style="255" customWidth="1"/>
    <col min="4892" max="4892" width="7.75" style="255" customWidth="1"/>
    <col min="4893" max="4893" width="7.125" style="255" customWidth="1"/>
    <col min="4894" max="4894" width="12.125" style="255" customWidth="1"/>
    <col min="4895" max="4895" width="8.25" style="255" customWidth="1"/>
    <col min="4896" max="4897" width="10.375" style="255" customWidth="1"/>
    <col min="4898" max="4898" width="15.625" style="255" customWidth="1"/>
    <col min="4899" max="4899" width="15.875" style="255" customWidth="1"/>
    <col min="4900" max="4900" width="8.125" style="255" customWidth="1"/>
    <col min="4901" max="4904" width="10.375" style="255" customWidth="1"/>
    <col min="4905" max="4905" width="7.25" style="255" customWidth="1"/>
    <col min="4906" max="4906" width="7.125" style="255" customWidth="1"/>
    <col min="4907" max="4907" width="9.5" style="255" customWidth="1"/>
    <col min="4908" max="4909" width="9" style="255" customWidth="1"/>
    <col min="4910" max="4910" width="16.125" style="255" customWidth="1"/>
    <col min="4911" max="4941" width="9" style="255" customWidth="1"/>
    <col min="4942" max="5101" width="25.25" style="255"/>
    <col min="5102" max="5131" width="9" style="255" customWidth="1"/>
    <col min="5132" max="5132" width="0.5" style="255" customWidth="1"/>
    <col min="5133" max="5133" width="25.25" style="255"/>
    <col min="5134" max="5134" width="0.5" style="255" customWidth="1"/>
    <col min="5135" max="5135" width="25.25" style="255"/>
    <col min="5136" max="5136" width="14.75" style="255" customWidth="1"/>
    <col min="5137" max="5137" width="11.5" style="255" customWidth="1"/>
    <col min="5138" max="5138" width="11.25" style="255" customWidth="1"/>
    <col min="5139" max="5139" width="10.75" style="255" customWidth="1"/>
    <col min="5140" max="5140" width="10" style="255" customWidth="1"/>
    <col min="5141" max="5141" width="9.875" style="255" customWidth="1"/>
    <col min="5142" max="5142" width="26.125" style="255" customWidth="1"/>
    <col min="5143" max="5143" width="11.125" style="255" customWidth="1"/>
    <col min="5144" max="5144" width="7.875" style="255" customWidth="1"/>
    <col min="5145" max="5145" width="7.25" style="255" customWidth="1"/>
    <col min="5146" max="5146" width="9.125" style="255" customWidth="1"/>
    <col min="5147" max="5147" width="15.125" style="255" customWidth="1"/>
    <col min="5148" max="5148" width="7.75" style="255" customWidth="1"/>
    <col min="5149" max="5149" width="7.125" style="255" customWidth="1"/>
    <col min="5150" max="5150" width="12.125" style="255" customWidth="1"/>
    <col min="5151" max="5151" width="8.25" style="255" customWidth="1"/>
    <col min="5152" max="5153" width="10.375" style="255" customWidth="1"/>
    <col min="5154" max="5154" width="15.625" style="255" customWidth="1"/>
    <col min="5155" max="5155" width="15.875" style="255" customWidth="1"/>
    <col min="5156" max="5156" width="8.125" style="255" customWidth="1"/>
    <col min="5157" max="5160" width="10.375" style="255" customWidth="1"/>
    <col min="5161" max="5161" width="7.25" style="255" customWidth="1"/>
    <col min="5162" max="5162" width="7.125" style="255" customWidth="1"/>
    <col min="5163" max="5163" width="9.5" style="255" customWidth="1"/>
    <col min="5164" max="5165" width="9" style="255" customWidth="1"/>
    <col min="5166" max="5166" width="16.125" style="255" customWidth="1"/>
    <col min="5167" max="5197" width="9" style="255" customWidth="1"/>
    <col min="5198" max="5357" width="25.25" style="255"/>
    <col min="5358" max="5387" width="9" style="255" customWidth="1"/>
    <col min="5388" max="5388" width="0.5" style="255" customWidth="1"/>
    <col min="5389" max="5389" width="25.25" style="255"/>
    <col min="5390" max="5390" width="0.5" style="255" customWidth="1"/>
    <col min="5391" max="5391" width="25.25" style="255"/>
    <col min="5392" max="5392" width="14.75" style="255" customWidth="1"/>
    <col min="5393" max="5393" width="11.5" style="255" customWidth="1"/>
    <col min="5394" max="5394" width="11.25" style="255" customWidth="1"/>
    <col min="5395" max="5395" width="10.75" style="255" customWidth="1"/>
    <col min="5396" max="5396" width="10" style="255" customWidth="1"/>
    <col min="5397" max="5397" width="9.875" style="255" customWidth="1"/>
    <col min="5398" max="5398" width="26.125" style="255" customWidth="1"/>
    <col min="5399" max="5399" width="11.125" style="255" customWidth="1"/>
    <col min="5400" max="5400" width="7.875" style="255" customWidth="1"/>
    <col min="5401" max="5401" width="7.25" style="255" customWidth="1"/>
    <col min="5402" max="5402" width="9.125" style="255" customWidth="1"/>
    <col min="5403" max="5403" width="15.125" style="255" customWidth="1"/>
    <col min="5404" max="5404" width="7.75" style="255" customWidth="1"/>
    <col min="5405" max="5405" width="7.125" style="255" customWidth="1"/>
    <col min="5406" max="5406" width="12.125" style="255" customWidth="1"/>
    <col min="5407" max="5407" width="8.25" style="255" customWidth="1"/>
    <col min="5408" max="5409" width="10.375" style="255" customWidth="1"/>
    <col min="5410" max="5410" width="15.625" style="255" customWidth="1"/>
    <col min="5411" max="5411" width="15.875" style="255" customWidth="1"/>
    <col min="5412" max="5412" width="8.125" style="255" customWidth="1"/>
    <col min="5413" max="5416" width="10.375" style="255" customWidth="1"/>
    <col min="5417" max="5417" width="7.25" style="255" customWidth="1"/>
    <col min="5418" max="5418" width="7.125" style="255" customWidth="1"/>
    <col min="5419" max="5419" width="9.5" style="255" customWidth="1"/>
    <col min="5420" max="5421" width="9" style="255" customWidth="1"/>
    <col min="5422" max="5422" width="16.125" style="255" customWidth="1"/>
    <col min="5423" max="5453" width="9" style="255" customWidth="1"/>
    <col min="5454" max="5613" width="25.25" style="255"/>
    <col min="5614" max="5643" width="9" style="255" customWidth="1"/>
    <col min="5644" max="5644" width="0.5" style="255" customWidth="1"/>
    <col min="5645" max="5645" width="25.25" style="255"/>
    <col min="5646" max="5646" width="0.5" style="255" customWidth="1"/>
    <col min="5647" max="5647" width="25.25" style="255"/>
    <col min="5648" max="5648" width="14.75" style="255" customWidth="1"/>
    <col min="5649" max="5649" width="11.5" style="255" customWidth="1"/>
    <col min="5650" max="5650" width="11.25" style="255" customWidth="1"/>
    <col min="5651" max="5651" width="10.75" style="255" customWidth="1"/>
    <col min="5652" max="5652" width="10" style="255" customWidth="1"/>
    <col min="5653" max="5653" width="9.875" style="255" customWidth="1"/>
    <col min="5654" max="5654" width="26.125" style="255" customWidth="1"/>
    <col min="5655" max="5655" width="11.125" style="255" customWidth="1"/>
    <col min="5656" max="5656" width="7.875" style="255" customWidth="1"/>
    <col min="5657" max="5657" width="7.25" style="255" customWidth="1"/>
    <col min="5658" max="5658" width="9.125" style="255" customWidth="1"/>
    <col min="5659" max="5659" width="15.125" style="255" customWidth="1"/>
    <col min="5660" max="5660" width="7.75" style="255" customWidth="1"/>
    <col min="5661" max="5661" width="7.125" style="255" customWidth="1"/>
    <col min="5662" max="5662" width="12.125" style="255" customWidth="1"/>
    <col min="5663" max="5663" width="8.25" style="255" customWidth="1"/>
    <col min="5664" max="5665" width="10.375" style="255" customWidth="1"/>
    <col min="5666" max="5666" width="15.625" style="255" customWidth="1"/>
    <col min="5667" max="5667" width="15.875" style="255" customWidth="1"/>
    <col min="5668" max="5668" width="8.125" style="255" customWidth="1"/>
    <col min="5669" max="5672" width="10.375" style="255" customWidth="1"/>
    <col min="5673" max="5673" width="7.25" style="255" customWidth="1"/>
    <col min="5674" max="5674" width="7.125" style="255" customWidth="1"/>
    <col min="5675" max="5675" width="9.5" style="255" customWidth="1"/>
    <col min="5676" max="5677" width="9" style="255" customWidth="1"/>
    <col min="5678" max="5678" width="16.125" style="255" customWidth="1"/>
    <col min="5679" max="5709" width="9" style="255" customWidth="1"/>
    <col min="5710" max="5869" width="25.25" style="255"/>
    <col min="5870" max="5899" width="9" style="255" customWidth="1"/>
    <col min="5900" max="5900" width="0.5" style="255" customWidth="1"/>
    <col min="5901" max="5901" width="25.25" style="255"/>
    <col min="5902" max="5902" width="0.5" style="255" customWidth="1"/>
    <col min="5903" max="5903" width="25.25" style="255"/>
    <col min="5904" max="5904" width="14.75" style="255" customWidth="1"/>
    <col min="5905" max="5905" width="11.5" style="255" customWidth="1"/>
    <col min="5906" max="5906" width="11.25" style="255" customWidth="1"/>
    <col min="5907" max="5907" width="10.75" style="255" customWidth="1"/>
    <col min="5908" max="5908" width="10" style="255" customWidth="1"/>
    <col min="5909" max="5909" width="9.875" style="255" customWidth="1"/>
    <col min="5910" max="5910" width="26.125" style="255" customWidth="1"/>
    <col min="5911" max="5911" width="11.125" style="255" customWidth="1"/>
    <col min="5912" max="5912" width="7.875" style="255" customWidth="1"/>
    <col min="5913" max="5913" width="7.25" style="255" customWidth="1"/>
    <col min="5914" max="5914" width="9.125" style="255" customWidth="1"/>
    <col min="5915" max="5915" width="15.125" style="255" customWidth="1"/>
    <col min="5916" max="5916" width="7.75" style="255" customWidth="1"/>
    <col min="5917" max="5917" width="7.125" style="255" customWidth="1"/>
    <col min="5918" max="5918" width="12.125" style="255" customWidth="1"/>
    <col min="5919" max="5919" width="8.25" style="255" customWidth="1"/>
    <col min="5920" max="5921" width="10.375" style="255" customWidth="1"/>
    <col min="5922" max="5922" width="15.625" style="255" customWidth="1"/>
    <col min="5923" max="5923" width="15.875" style="255" customWidth="1"/>
    <col min="5924" max="5924" width="8.125" style="255" customWidth="1"/>
    <col min="5925" max="5928" width="10.375" style="255" customWidth="1"/>
    <col min="5929" max="5929" width="7.25" style="255" customWidth="1"/>
    <col min="5930" max="5930" width="7.125" style="255" customWidth="1"/>
    <col min="5931" max="5931" width="9.5" style="255" customWidth="1"/>
    <col min="5932" max="5933" width="9" style="255" customWidth="1"/>
    <col min="5934" max="5934" width="16.125" style="255" customWidth="1"/>
    <col min="5935" max="5965" width="9" style="255" customWidth="1"/>
    <col min="5966" max="6125" width="25.25" style="255"/>
    <col min="6126" max="6155" width="9" style="255" customWidth="1"/>
    <col min="6156" max="6156" width="0.5" style="255" customWidth="1"/>
    <col min="6157" max="6157" width="25.25" style="255"/>
    <col min="6158" max="6158" width="0.5" style="255" customWidth="1"/>
    <col min="6159" max="6159" width="25.25" style="255"/>
    <col min="6160" max="6160" width="14.75" style="255" customWidth="1"/>
    <col min="6161" max="6161" width="11.5" style="255" customWidth="1"/>
    <col min="6162" max="6162" width="11.25" style="255" customWidth="1"/>
    <col min="6163" max="6163" width="10.75" style="255" customWidth="1"/>
    <col min="6164" max="6164" width="10" style="255" customWidth="1"/>
    <col min="6165" max="6165" width="9.875" style="255" customWidth="1"/>
    <col min="6166" max="6166" width="26.125" style="255" customWidth="1"/>
    <col min="6167" max="6167" width="11.125" style="255" customWidth="1"/>
    <col min="6168" max="6168" width="7.875" style="255" customWidth="1"/>
    <col min="6169" max="6169" width="7.25" style="255" customWidth="1"/>
    <col min="6170" max="6170" width="9.125" style="255" customWidth="1"/>
    <col min="6171" max="6171" width="15.125" style="255" customWidth="1"/>
    <col min="6172" max="6172" width="7.75" style="255" customWidth="1"/>
    <col min="6173" max="6173" width="7.125" style="255" customWidth="1"/>
    <col min="6174" max="6174" width="12.125" style="255" customWidth="1"/>
    <col min="6175" max="6175" width="8.25" style="255" customWidth="1"/>
    <col min="6176" max="6177" width="10.375" style="255" customWidth="1"/>
    <col min="6178" max="6178" width="15.625" style="255" customWidth="1"/>
    <col min="6179" max="6179" width="15.875" style="255" customWidth="1"/>
    <col min="6180" max="6180" width="8.125" style="255" customWidth="1"/>
    <col min="6181" max="6184" width="10.375" style="255" customWidth="1"/>
    <col min="6185" max="6185" width="7.25" style="255" customWidth="1"/>
    <col min="6186" max="6186" width="7.125" style="255" customWidth="1"/>
    <col min="6187" max="6187" width="9.5" style="255" customWidth="1"/>
    <col min="6188" max="6189" width="9" style="255" customWidth="1"/>
    <col min="6190" max="6190" width="16.125" style="255" customWidth="1"/>
    <col min="6191" max="6221" width="9" style="255" customWidth="1"/>
    <col min="6222" max="6381" width="25.25" style="255"/>
    <col min="6382" max="6411" width="9" style="255" customWidth="1"/>
    <col min="6412" max="6412" width="0.5" style="255" customWidth="1"/>
    <col min="6413" max="6413" width="25.25" style="255"/>
    <col min="6414" max="6414" width="0.5" style="255" customWidth="1"/>
    <col min="6415" max="6415" width="25.25" style="255"/>
    <col min="6416" max="6416" width="14.75" style="255" customWidth="1"/>
    <col min="6417" max="6417" width="11.5" style="255" customWidth="1"/>
    <col min="6418" max="6418" width="11.25" style="255" customWidth="1"/>
    <col min="6419" max="6419" width="10.75" style="255" customWidth="1"/>
    <col min="6420" max="6420" width="10" style="255" customWidth="1"/>
    <col min="6421" max="6421" width="9.875" style="255" customWidth="1"/>
    <col min="6422" max="6422" width="26.125" style="255" customWidth="1"/>
    <col min="6423" max="6423" width="11.125" style="255" customWidth="1"/>
    <col min="6424" max="6424" width="7.875" style="255" customWidth="1"/>
    <col min="6425" max="6425" width="7.25" style="255" customWidth="1"/>
    <col min="6426" max="6426" width="9.125" style="255" customWidth="1"/>
    <col min="6427" max="6427" width="15.125" style="255" customWidth="1"/>
    <col min="6428" max="6428" width="7.75" style="255" customWidth="1"/>
    <col min="6429" max="6429" width="7.125" style="255" customWidth="1"/>
    <col min="6430" max="6430" width="12.125" style="255" customWidth="1"/>
    <col min="6431" max="6431" width="8.25" style="255" customWidth="1"/>
    <col min="6432" max="6433" width="10.375" style="255" customWidth="1"/>
    <col min="6434" max="6434" width="15.625" style="255" customWidth="1"/>
    <col min="6435" max="6435" width="15.875" style="255" customWidth="1"/>
    <col min="6436" max="6436" width="8.125" style="255" customWidth="1"/>
    <col min="6437" max="6440" width="10.375" style="255" customWidth="1"/>
    <col min="6441" max="6441" width="7.25" style="255" customWidth="1"/>
    <col min="6442" max="6442" width="7.125" style="255" customWidth="1"/>
    <col min="6443" max="6443" width="9.5" style="255" customWidth="1"/>
    <col min="6444" max="6445" width="9" style="255" customWidth="1"/>
    <col min="6446" max="6446" width="16.125" style="255" customWidth="1"/>
    <col min="6447" max="6477" width="9" style="255" customWidth="1"/>
    <col min="6478" max="6637" width="25.25" style="255"/>
    <col min="6638" max="6667" width="9" style="255" customWidth="1"/>
    <col min="6668" max="6668" width="0.5" style="255" customWidth="1"/>
    <col min="6669" max="6669" width="25.25" style="255"/>
    <col min="6670" max="6670" width="0.5" style="255" customWidth="1"/>
    <col min="6671" max="6671" width="25.25" style="255"/>
    <col min="6672" max="6672" width="14.75" style="255" customWidth="1"/>
    <col min="6673" max="6673" width="11.5" style="255" customWidth="1"/>
    <col min="6674" max="6674" width="11.25" style="255" customWidth="1"/>
    <col min="6675" max="6675" width="10.75" style="255" customWidth="1"/>
    <col min="6676" max="6676" width="10" style="255" customWidth="1"/>
    <col min="6677" max="6677" width="9.875" style="255" customWidth="1"/>
    <col min="6678" max="6678" width="26.125" style="255" customWidth="1"/>
    <col min="6679" max="6679" width="11.125" style="255" customWidth="1"/>
    <col min="6680" max="6680" width="7.875" style="255" customWidth="1"/>
    <col min="6681" max="6681" width="7.25" style="255" customWidth="1"/>
    <col min="6682" max="6682" width="9.125" style="255" customWidth="1"/>
    <col min="6683" max="6683" width="15.125" style="255" customWidth="1"/>
    <col min="6684" max="6684" width="7.75" style="255" customWidth="1"/>
    <col min="6685" max="6685" width="7.125" style="255" customWidth="1"/>
    <col min="6686" max="6686" width="12.125" style="255" customWidth="1"/>
    <col min="6687" max="6687" width="8.25" style="255" customWidth="1"/>
    <col min="6688" max="6689" width="10.375" style="255" customWidth="1"/>
    <col min="6690" max="6690" width="15.625" style="255" customWidth="1"/>
    <col min="6691" max="6691" width="15.875" style="255" customWidth="1"/>
    <col min="6692" max="6692" width="8.125" style="255" customWidth="1"/>
    <col min="6693" max="6696" width="10.375" style="255" customWidth="1"/>
    <col min="6697" max="6697" width="7.25" style="255" customWidth="1"/>
    <col min="6698" max="6698" width="7.125" style="255" customWidth="1"/>
    <col min="6699" max="6699" width="9.5" style="255" customWidth="1"/>
    <col min="6700" max="6701" width="9" style="255" customWidth="1"/>
    <col min="6702" max="6702" width="16.125" style="255" customWidth="1"/>
    <col min="6703" max="6733" width="9" style="255" customWidth="1"/>
    <col min="6734" max="6893" width="25.25" style="255"/>
    <col min="6894" max="6923" width="9" style="255" customWidth="1"/>
    <col min="6924" max="6924" width="0.5" style="255" customWidth="1"/>
    <col min="6925" max="6925" width="25.25" style="255"/>
    <col min="6926" max="6926" width="0.5" style="255" customWidth="1"/>
    <col min="6927" max="6927" width="25.25" style="255"/>
    <col min="6928" max="6928" width="14.75" style="255" customWidth="1"/>
    <col min="6929" max="6929" width="11.5" style="255" customWidth="1"/>
    <col min="6930" max="6930" width="11.25" style="255" customWidth="1"/>
    <col min="6931" max="6931" width="10.75" style="255" customWidth="1"/>
    <col min="6932" max="6932" width="10" style="255" customWidth="1"/>
    <col min="6933" max="6933" width="9.875" style="255" customWidth="1"/>
    <col min="6934" max="6934" width="26.125" style="255" customWidth="1"/>
    <col min="6935" max="6935" width="11.125" style="255" customWidth="1"/>
    <col min="6936" max="6936" width="7.875" style="255" customWidth="1"/>
    <col min="6937" max="6937" width="7.25" style="255" customWidth="1"/>
    <col min="6938" max="6938" width="9.125" style="255" customWidth="1"/>
    <col min="6939" max="6939" width="15.125" style="255" customWidth="1"/>
    <col min="6940" max="6940" width="7.75" style="255" customWidth="1"/>
    <col min="6941" max="6941" width="7.125" style="255" customWidth="1"/>
    <col min="6942" max="6942" width="12.125" style="255" customWidth="1"/>
    <col min="6943" max="6943" width="8.25" style="255" customWidth="1"/>
    <col min="6944" max="6945" width="10.375" style="255" customWidth="1"/>
    <col min="6946" max="6946" width="15.625" style="255" customWidth="1"/>
    <col min="6947" max="6947" width="15.875" style="255" customWidth="1"/>
    <col min="6948" max="6948" width="8.125" style="255" customWidth="1"/>
    <col min="6949" max="6952" width="10.375" style="255" customWidth="1"/>
    <col min="6953" max="6953" width="7.25" style="255" customWidth="1"/>
    <col min="6954" max="6954" width="7.125" style="255" customWidth="1"/>
    <col min="6955" max="6955" width="9.5" style="255" customWidth="1"/>
    <col min="6956" max="6957" width="9" style="255" customWidth="1"/>
    <col min="6958" max="6958" width="16.125" style="255" customWidth="1"/>
    <col min="6959" max="6989" width="9" style="255" customWidth="1"/>
    <col min="6990" max="7149" width="25.25" style="255"/>
    <col min="7150" max="7179" width="9" style="255" customWidth="1"/>
    <col min="7180" max="7180" width="0.5" style="255" customWidth="1"/>
    <col min="7181" max="7181" width="25.25" style="255"/>
    <col min="7182" max="7182" width="0.5" style="255" customWidth="1"/>
    <col min="7183" max="7183" width="25.25" style="255"/>
    <col min="7184" max="7184" width="14.75" style="255" customWidth="1"/>
    <col min="7185" max="7185" width="11.5" style="255" customWidth="1"/>
    <col min="7186" max="7186" width="11.25" style="255" customWidth="1"/>
    <col min="7187" max="7187" width="10.75" style="255" customWidth="1"/>
    <col min="7188" max="7188" width="10" style="255" customWidth="1"/>
    <col min="7189" max="7189" width="9.875" style="255" customWidth="1"/>
    <col min="7190" max="7190" width="26.125" style="255" customWidth="1"/>
    <col min="7191" max="7191" width="11.125" style="255" customWidth="1"/>
    <col min="7192" max="7192" width="7.875" style="255" customWidth="1"/>
    <col min="7193" max="7193" width="7.25" style="255" customWidth="1"/>
    <col min="7194" max="7194" width="9.125" style="255" customWidth="1"/>
    <col min="7195" max="7195" width="15.125" style="255" customWidth="1"/>
    <col min="7196" max="7196" width="7.75" style="255" customWidth="1"/>
    <col min="7197" max="7197" width="7.125" style="255" customWidth="1"/>
    <col min="7198" max="7198" width="12.125" style="255" customWidth="1"/>
    <col min="7199" max="7199" width="8.25" style="255" customWidth="1"/>
    <col min="7200" max="7201" width="10.375" style="255" customWidth="1"/>
    <col min="7202" max="7202" width="15.625" style="255" customWidth="1"/>
    <col min="7203" max="7203" width="15.875" style="255" customWidth="1"/>
    <col min="7204" max="7204" width="8.125" style="255" customWidth="1"/>
    <col min="7205" max="7208" width="10.375" style="255" customWidth="1"/>
    <col min="7209" max="7209" width="7.25" style="255" customWidth="1"/>
    <col min="7210" max="7210" width="7.125" style="255" customWidth="1"/>
    <col min="7211" max="7211" width="9.5" style="255" customWidth="1"/>
    <col min="7212" max="7213" width="9" style="255" customWidth="1"/>
    <col min="7214" max="7214" width="16.125" style="255" customWidth="1"/>
    <col min="7215" max="7245" width="9" style="255" customWidth="1"/>
    <col min="7246" max="7405" width="25.25" style="255"/>
    <col min="7406" max="7435" width="9" style="255" customWidth="1"/>
    <col min="7436" max="7436" width="0.5" style="255" customWidth="1"/>
    <col min="7437" max="7437" width="25.25" style="255"/>
    <col min="7438" max="7438" width="0.5" style="255" customWidth="1"/>
    <col min="7439" max="7439" width="25.25" style="255"/>
    <col min="7440" max="7440" width="14.75" style="255" customWidth="1"/>
    <col min="7441" max="7441" width="11.5" style="255" customWidth="1"/>
    <col min="7442" max="7442" width="11.25" style="255" customWidth="1"/>
    <col min="7443" max="7443" width="10.75" style="255" customWidth="1"/>
    <col min="7444" max="7444" width="10" style="255" customWidth="1"/>
    <col min="7445" max="7445" width="9.875" style="255" customWidth="1"/>
    <col min="7446" max="7446" width="26.125" style="255" customWidth="1"/>
    <col min="7447" max="7447" width="11.125" style="255" customWidth="1"/>
    <col min="7448" max="7448" width="7.875" style="255" customWidth="1"/>
    <col min="7449" max="7449" width="7.25" style="255" customWidth="1"/>
    <col min="7450" max="7450" width="9.125" style="255" customWidth="1"/>
    <col min="7451" max="7451" width="15.125" style="255" customWidth="1"/>
    <col min="7452" max="7452" width="7.75" style="255" customWidth="1"/>
    <col min="7453" max="7453" width="7.125" style="255" customWidth="1"/>
    <col min="7454" max="7454" width="12.125" style="255" customWidth="1"/>
    <col min="7455" max="7455" width="8.25" style="255" customWidth="1"/>
    <col min="7456" max="7457" width="10.375" style="255" customWidth="1"/>
    <col min="7458" max="7458" width="15.625" style="255" customWidth="1"/>
    <col min="7459" max="7459" width="15.875" style="255" customWidth="1"/>
    <col min="7460" max="7460" width="8.125" style="255" customWidth="1"/>
    <col min="7461" max="7464" width="10.375" style="255" customWidth="1"/>
    <col min="7465" max="7465" width="7.25" style="255" customWidth="1"/>
    <col min="7466" max="7466" width="7.125" style="255" customWidth="1"/>
    <col min="7467" max="7467" width="9.5" style="255" customWidth="1"/>
    <col min="7468" max="7469" width="9" style="255" customWidth="1"/>
    <col min="7470" max="7470" width="16.125" style="255" customWidth="1"/>
    <col min="7471" max="7501" width="9" style="255" customWidth="1"/>
    <col min="7502" max="7661" width="25.25" style="255"/>
    <col min="7662" max="7691" width="9" style="255" customWidth="1"/>
    <col min="7692" max="7692" width="0.5" style="255" customWidth="1"/>
    <col min="7693" max="7693" width="25.25" style="255"/>
    <col min="7694" max="7694" width="0.5" style="255" customWidth="1"/>
    <col min="7695" max="7695" width="25.25" style="255"/>
    <col min="7696" max="7696" width="14.75" style="255" customWidth="1"/>
    <col min="7697" max="7697" width="11.5" style="255" customWidth="1"/>
    <col min="7698" max="7698" width="11.25" style="255" customWidth="1"/>
    <col min="7699" max="7699" width="10.75" style="255" customWidth="1"/>
    <col min="7700" max="7700" width="10" style="255" customWidth="1"/>
    <col min="7701" max="7701" width="9.875" style="255" customWidth="1"/>
    <col min="7702" max="7702" width="26.125" style="255" customWidth="1"/>
    <col min="7703" max="7703" width="11.125" style="255" customWidth="1"/>
    <col min="7704" max="7704" width="7.875" style="255" customWidth="1"/>
    <col min="7705" max="7705" width="7.25" style="255" customWidth="1"/>
    <col min="7706" max="7706" width="9.125" style="255" customWidth="1"/>
    <col min="7707" max="7707" width="15.125" style="255" customWidth="1"/>
    <col min="7708" max="7708" width="7.75" style="255" customWidth="1"/>
    <col min="7709" max="7709" width="7.125" style="255" customWidth="1"/>
    <col min="7710" max="7710" width="12.125" style="255" customWidth="1"/>
    <col min="7711" max="7711" width="8.25" style="255" customWidth="1"/>
    <col min="7712" max="7713" width="10.375" style="255" customWidth="1"/>
    <col min="7714" max="7714" width="15.625" style="255" customWidth="1"/>
    <col min="7715" max="7715" width="15.875" style="255" customWidth="1"/>
    <col min="7716" max="7716" width="8.125" style="255" customWidth="1"/>
    <col min="7717" max="7720" width="10.375" style="255" customWidth="1"/>
    <col min="7721" max="7721" width="7.25" style="255" customWidth="1"/>
    <col min="7722" max="7722" width="7.125" style="255" customWidth="1"/>
    <col min="7723" max="7723" width="9.5" style="255" customWidth="1"/>
    <col min="7724" max="7725" width="9" style="255" customWidth="1"/>
    <col min="7726" max="7726" width="16.125" style="255" customWidth="1"/>
    <col min="7727" max="7757" width="9" style="255" customWidth="1"/>
    <col min="7758" max="7917" width="25.25" style="255"/>
    <col min="7918" max="7947" width="9" style="255" customWidth="1"/>
    <col min="7948" max="7948" width="0.5" style="255" customWidth="1"/>
    <col min="7949" max="7949" width="25.25" style="255"/>
    <col min="7950" max="7950" width="0.5" style="255" customWidth="1"/>
    <col min="7951" max="7951" width="25.25" style="255"/>
    <col min="7952" max="7952" width="14.75" style="255" customWidth="1"/>
    <col min="7953" max="7953" width="11.5" style="255" customWidth="1"/>
    <col min="7954" max="7954" width="11.25" style="255" customWidth="1"/>
    <col min="7955" max="7955" width="10.75" style="255" customWidth="1"/>
    <col min="7956" max="7956" width="10" style="255" customWidth="1"/>
    <col min="7957" max="7957" width="9.875" style="255" customWidth="1"/>
    <col min="7958" max="7958" width="26.125" style="255" customWidth="1"/>
    <col min="7959" max="7959" width="11.125" style="255" customWidth="1"/>
    <col min="7960" max="7960" width="7.875" style="255" customWidth="1"/>
    <col min="7961" max="7961" width="7.25" style="255" customWidth="1"/>
    <col min="7962" max="7962" width="9.125" style="255" customWidth="1"/>
    <col min="7963" max="7963" width="15.125" style="255" customWidth="1"/>
    <col min="7964" max="7964" width="7.75" style="255" customWidth="1"/>
    <col min="7965" max="7965" width="7.125" style="255" customWidth="1"/>
    <col min="7966" max="7966" width="12.125" style="255" customWidth="1"/>
    <col min="7967" max="7967" width="8.25" style="255" customWidth="1"/>
    <col min="7968" max="7969" width="10.375" style="255" customWidth="1"/>
    <col min="7970" max="7970" width="15.625" style="255" customWidth="1"/>
    <col min="7971" max="7971" width="15.875" style="255" customWidth="1"/>
    <col min="7972" max="7972" width="8.125" style="255" customWidth="1"/>
    <col min="7973" max="7976" width="10.375" style="255" customWidth="1"/>
    <col min="7977" max="7977" width="7.25" style="255" customWidth="1"/>
    <col min="7978" max="7978" width="7.125" style="255" customWidth="1"/>
    <col min="7979" max="7979" width="9.5" style="255" customWidth="1"/>
    <col min="7980" max="7981" width="9" style="255" customWidth="1"/>
    <col min="7982" max="7982" width="16.125" style="255" customWidth="1"/>
    <col min="7983" max="8013" width="9" style="255" customWidth="1"/>
    <col min="8014" max="8173" width="25.25" style="255"/>
    <col min="8174" max="8203" width="9" style="255" customWidth="1"/>
    <col min="8204" max="8204" width="0.5" style="255" customWidth="1"/>
    <col min="8205" max="8205" width="25.25" style="255"/>
    <col min="8206" max="8206" width="0.5" style="255" customWidth="1"/>
    <col min="8207" max="8207" width="25.25" style="255"/>
    <col min="8208" max="8208" width="14.75" style="255" customWidth="1"/>
    <col min="8209" max="8209" width="11.5" style="255" customWidth="1"/>
    <col min="8210" max="8210" width="11.25" style="255" customWidth="1"/>
    <col min="8211" max="8211" width="10.75" style="255" customWidth="1"/>
    <col min="8212" max="8212" width="10" style="255" customWidth="1"/>
    <col min="8213" max="8213" width="9.875" style="255" customWidth="1"/>
    <col min="8214" max="8214" width="26.125" style="255" customWidth="1"/>
    <col min="8215" max="8215" width="11.125" style="255" customWidth="1"/>
    <col min="8216" max="8216" width="7.875" style="255" customWidth="1"/>
    <col min="8217" max="8217" width="7.25" style="255" customWidth="1"/>
    <col min="8218" max="8218" width="9.125" style="255" customWidth="1"/>
    <col min="8219" max="8219" width="15.125" style="255" customWidth="1"/>
    <col min="8220" max="8220" width="7.75" style="255" customWidth="1"/>
    <col min="8221" max="8221" width="7.125" style="255" customWidth="1"/>
    <col min="8222" max="8222" width="12.125" style="255" customWidth="1"/>
    <col min="8223" max="8223" width="8.25" style="255" customWidth="1"/>
    <col min="8224" max="8225" width="10.375" style="255" customWidth="1"/>
    <col min="8226" max="8226" width="15.625" style="255" customWidth="1"/>
    <col min="8227" max="8227" width="15.875" style="255" customWidth="1"/>
    <col min="8228" max="8228" width="8.125" style="255" customWidth="1"/>
    <col min="8229" max="8232" width="10.375" style="255" customWidth="1"/>
    <col min="8233" max="8233" width="7.25" style="255" customWidth="1"/>
    <col min="8234" max="8234" width="7.125" style="255" customWidth="1"/>
    <col min="8235" max="8235" width="9.5" style="255" customWidth="1"/>
    <col min="8236" max="8237" width="9" style="255" customWidth="1"/>
    <col min="8238" max="8238" width="16.125" style="255" customWidth="1"/>
    <col min="8239" max="8269" width="9" style="255" customWidth="1"/>
    <col min="8270" max="8429" width="25.25" style="255"/>
    <col min="8430" max="8459" width="9" style="255" customWidth="1"/>
    <col min="8460" max="8460" width="0.5" style="255" customWidth="1"/>
    <col min="8461" max="8461" width="25.25" style="255"/>
    <col min="8462" max="8462" width="0.5" style="255" customWidth="1"/>
    <col min="8463" max="8463" width="25.25" style="255"/>
    <col min="8464" max="8464" width="14.75" style="255" customWidth="1"/>
    <col min="8465" max="8465" width="11.5" style="255" customWidth="1"/>
    <col min="8466" max="8466" width="11.25" style="255" customWidth="1"/>
    <col min="8467" max="8467" width="10.75" style="255" customWidth="1"/>
    <col min="8468" max="8468" width="10" style="255" customWidth="1"/>
    <col min="8469" max="8469" width="9.875" style="255" customWidth="1"/>
    <col min="8470" max="8470" width="26.125" style="255" customWidth="1"/>
    <col min="8471" max="8471" width="11.125" style="255" customWidth="1"/>
    <col min="8472" max="8472" width="7.875" style="255" customWidth="1"/>
    <col min="8473" max="8473" width="7.25" style="255" customWidth="1"/>
    <col min="8474" max="8474" width="9.125" style="255" customWidth="1"/>
    <col min="8475" max="8475" width="15.125" style="255" customWidth="1"/>
    <col min="8476" max="8476" width="7.75" style="255" customWidth="1"/>
    <col min="8477" max="8477" width="7.125" style="255" customWidth="1"/>
    <col min="8478" max="8478" width="12.125" style="255" customWidth="1"/>
    <col min="8479" max="8479" width="8.25" style="255" customWidth="1"/>
    <col min="8480" max="8481" width="10.375" style="255" customWidth="1"/>
    <col min="8482" max="8482" width="15.625" style="255" customWidth="1"/>
    <col min="8483" max="8483" width="15.875" style="255" customWidth="1"/>
    <col min="8484" max="8484" width="8.125" style="255" customWidth="1"/>
    <col min="8485" max="8488" width="10.375" style="255" customWidth="1"/>
    <col min="8489" max="8489" width="7.25" style="255" customWidth="1"/>
    <col min="8490" max="8490" width="7.125" style="255" customWidth="1"/>
    <col min="8491" max="8491" width="9.5" style="255" customWidth="1"/>
    <col min="8492" max="8493" width="9" style="255" customWidth="1"/>
    <col min="8494" max="8494" width="16.125" style="255" customWidth="1"/>
    <col min="8495" max="8525" width="9" style="255" customWidth="1"/>
    <col min="8526" max="8685" width="25.25" style="255"/>
    <col min="8686" max="8715" width="9" style="255" customWidth="1"/>
    <col min="8716" max="8716" width="0.5" style="255" customWidth="1"/>
    <col min="8717" max="8717" width="25.25" style="255"/>
    <col min="8718" max="8718" width="0.5" style="255" customWidth="1"/>
    <col min="8719" max="8719" width="25.25" style="255"/>
    <col min="8720" max="8720" width="14.75" style="255" customWidth="1"/>
    <col min="8721" max="8721" width="11.5" style="255" customWidth="1"/>
    <col min="8722" max="8722" width="11.25" style="255" customWidth="1"/>
    <col min="8723" max="8723" width="10.75" style="255" customWidth="1"/>
    <col min="8724" max="8724" width="10" style="255" customWidth="1"/>
    <col min="8725" max="8725" width="9.875" style="255" customWidth="1"/>
    <col min="8726" max="8726" width="26.125" style="255" customWidth="1"/>
    <col min="8727" max="8727" width="11.125" style="255" customWidth="1"/>
    <col min="8728" max="8728" width="7.875" style="255" customWidth="1"/>
    <col min="8729" max="8729" width="7.25" style="255" customWidth="1"/>
    <col min="8730" max="8730" width="9.125" style="255" customWidth="1"/>
    <col min="8731" max="8731" width="15.125" style="255" customWidth="1"/>
    <col min="8732" max="8732" width="7.75" style="255" customWidth="1"/>
    <col min="8733" max="8733" width="7.125" style="255" customWidth="1"/>
    <col min="8734" max="8734" width="12.125" style="255" customWidth="1"/>
    <col min="8735" max="8735" width="8.25" style="255" customWidth="1"/>
    <col min="8736" max="8737" width="10.375" style="255" customWidth="1"/>
    <col min="8738" max="8738" width="15.625" style="255" customWidth="1"/>
    <col min="8739" max="8739" width="15.875" style="255" customWidth="1"/>
    <col min="8740" max="8740" width="8.125" style="255" customWidth="1"/>
    <col min="8741" max="8744" width="10.375" style="255" customWidth="1"/>
    <col min="8745" max="8745" width="7.25" style="255" customWidth="1"/>
    <col min="8746" max="8746" width="7.125" style="255" customWidth="1"/>
    <col min="8747" max="8747" width="9.5" style="255" customWidth="1"/>
    <col min="8748" max="8749" width="9" style="255" customWidth="1"/>
    <col min="8750" max="8750" width="16.125" style="255" customWidth="1"/>
    <col min="8751" max="8781" width="9" style="255" customWidth="1"/>
    <col min="8782" max="8941" width="25.25" style="255"/>
    <col min="8942" max="8971" width="9" style="255" customWidth="1"/>
    <col min="8972" max="8972" width="0.5" style="255" customWidth="1"/>
    <col min="8973" max="8973" width="25.25" style="255"/>
    <col min="8974" max="8974" width="0.5" style="255" customWidth="1"/>
    <col min="8975" max="8975" width="25.25" style="255"/>
    <col min="8976" max="8976" width="14.75" style="255" customWidth="1"/>
    <col min="8977" max="8977" width="11.5" style="255" customWidth="1"/>
    <col min="8978" max="8978" width="11.25" style="255" customWidth="1"/>
    <col min="8979" max="8979" width="10.75" style="255" customWidth="1"/>
    <col min="8980" max="8980" width="10" style="255" customWidth="1"/>
    <col min="8981" max="8981" width="9.875" style="255" customWidth="1"/>
    <col min="8982" max="8982" width="26.125" style="255" customWidth="1"/>
    <col min="8983" max="8983" width="11.125" style="255" customWidth="1"/>
    <col min="8984" max="8984" width="7.875" style="255" customWidth="1"/>
    <col min="8985" max="8985" width="7.25" style="255" customWidth="1"/>
    <col min="8986" max="8986" width="9.125" style="255" customWidth="1"/>
    <col min="8987" max="8987" width="15.125" style="255" customWidth="1"/>
    <col min="8988" max="8988" width="7.75" style="255" customWidth="1"/>
    <col min="8989" max="8989" width="7.125" style="255" customWidth="1"/>
    <col min="8990" max="8990" width="12.125" style="255" customWidth="1"/>
    <col min="8991" max="8991" width="8.25" style="255" customWidth="1"/>
    <col min="8992" max="8993" width="10.375" style="255" customWidth="1"/>
    <col min="8994" max="8994" width="15.625" style="255" customWidth="1"/>
    <col min="8995" max="8995" width="15.875" style="255" customWidth="1"/>
    <col min="8996" max="8996" width="8.125" style="255" customWidth="1"/>
    <col min="8997" max="9000" width="10.375" style="255" customWidth="1"/>
    <col min="9001" max="9001" width="7.25" style="255" customWidth="1"/>
    <col min="9002" max="9002" width="7.125" style="255" customWidth="1"/>
    <col min="9003" max="9003" width="9.5" style="255" customWidth="1"/>
    <col min="9004" max="9005" width="9" style="255" customWidth="1"/>
    <col min="9006" max="9006" width="16.125" style="255" customWidth="1"/>
    <col min="9007" max="9037" width="9" style="255" customWidth="1"/>
    <col min="9038" max="9197" width="25.25" style="255"/>
    <col min="9198" max="9227" width="9" style="255" customWidth="1"/>
    <col min="9228" max="9228" width="0.5" style="255" customWidth="1"/>
    <col min="9229" max="9229" width="25.25" style="255"/>
    <col min="9230" max="9230" width="0.5" style="255" customWidth="1"/>
    <col min="9231" max="9231" width="25.25" style="255"/>
    <col min="9232" max="9232" width="14.75" style="255" customWidth="1"/>
    <col min="9233" max="9233" width="11.5" style="255" customWidth="1"/>
    <col min="9234" max="9234" width="11.25" style="255" customWidth="1"/>
    <col min="9235" max="9235" width="10.75" style="255" customWidth="1"/>
    <col min="9236" max="9236" width="10" style="255" customWidth="1"/>
    <col min="9237" max="9237" width="9.875" style="255" customWidth="1"/>
    <col min="9238" max="9238" width="26.125" style="255" customWidth="1"/>
    <col min="9239" max="9239" width="11.125" style="255" customWidth="1"/>
    <col min="9240" max="9240" width="7.875" style="255" customWidth="1"/>
    <col min="9241" max="9241" width="7.25" style="255" customWidth="1"/>
    <col min="9242" max="9242" width="9.125" style="255" customWidth="1"/>
    <col min="9243" max="9243" width="15.125" style="255" customWidth="1"/>
    <col min="9244" max="9244" width="7.75" style="255" customWidth="1"/>
    <col min="9245" max="9245" width="7.125" style="255" customWidth="1"/>
    <col min="9246" max="9246" width="12.125" style="255" customWidth="1"/>
    <col min="9247" max="9247" width="8.25" style="255" customWidth="1"/>
    <col min="9248" max="9249" width="10.375" style="255" customWidth="1"/>
    <col min="9250" max="9250" width="15.625" style="255" customWidth="1"/>
    <col min="9251" max="9251" width="15.875" style="255" customWidth="1"/>
    <col min="9252" max="9252" width="8.125" style="255" customWidth="1"/>
    <col min="9253" max="9256" width="10.375" style="255" customWidth="1"/>
    <col min="9257" max="9257" width="7.25" style="255" customWidth="1"/>
    <col min="9258" max="9258" width="7.125" style="255" customWidth="1"/>
    <col min="9259" max="9259" width="9.5" style="255" customWidth="1"/>
    <col min="9260" max="9261" width="9" style="255" customWidth="1"/>
    <col min="9262" max="9262" width="16.125" style="255" customWidth="1"/>
    <col min="9263" max="9293" width="9" style="255" customWidth="1"/>
    <col min="9294" max="9453" width="25.25" style="255"/>
    <col min="9454" max="9483" width="9" style="255" customWidth="1"/>
    <col min="9484" max="9484" width="0.5" style="255" customWidth="1"/>
    <col min="9485" max="9485" width="25.25" style="255"/>
    <col min="9486" max="9486" width="0.5" style="255" customWidth="1"/>
    <col min="9487" max="9487" width="25.25" style="255"/>
    <col min="9488" max="9488" width="14.75" style="255" customWidth="1"/>
    <col min="9489" max="9489" width="11.5" style="255" customWidth="1"/>
    <col min="9490" max="9490" width="11.25" style="255" customWidth="1"/>
    <col min="9491" max="9491" width="10.75" style="255" customWidth="1"/>
    <col min="9492" max="9492" width="10" style="255" customWidth="1"/>
    <col min="9493" max="9493" width="9.875" style="255" customWidth="1"/>
    <col min="9494" max="9494" width="26.125" style="255" customWidth="1"/>
    <col min="9495" max="9495" width="11.125" style="255" customWidth="1"/>
    <col min="9496" max="9496" width="7.875" style="255" customWidth="1"/>
    <col min="9497" max="9497" width="7.25" style="255" customWidth="1"/>
    <col min="9498" max="9498" width="9.125" style="255" customWidth="1"/>
    <col min="9499" max="9499" width="15.125" style="255" customWidth="1"/>
    <col min="9500" max="9500" width="7.75" style="255" customWidth="1"/>
    <col min="9501" max="9501" width="7.125" style="255" customWidth="1"/>
    <col min="9502" max="9502" width="12.125" style="255" customWidth="1"/>
    <col min="9503" max="9503" width="8.25" style="255" customWidth="1"/>
    <col min="9504" max="9505" width="10.375" style="255" customWidth="1"/>
    <col min="9506" max="9506" width="15.625" style="255" customWidth="1"/>
    <col min="9507" max="9507" width="15.875" style="255" customWidth="1"/>
    <col min="9508" max="9508" width="8.125" style="255" customWidth="1"/>
    <col min="9509" max="9512" width="10.375" style="255" customWidth="1"/>
    <col min="9513" max="9513" width="7.25" style="255" customWidth="1"/>
    <col min="9514" max="9514" width="7.125" style="255" customWidth="1"/>
    <col min="9515" max="9515" width="9.5" style="255" customWidth="1"/>
    <col min="9516" max="9517" width="9" style="255" customWidth="1"/>
    <col min="9518" max="9518" width="16.125" style="255" customWidth="1"/>
    <col min="9519" max="9549" width="9" style="255" customWidth="1"/>
    <col min="9550" max="9709" width="25.25" style="255"/>
    <col min="9710" max="9739" width="9" style="255" customWidth="1"/>
    <col min="9740" max="9740" width="0.5" style="255" customWidth="1"/>
    <col min="9741" max="9741" width="25.25" style="255"/>
    <col min="9742" max="9742" width="0.5" style="255" customWidth="1"/>
    <col min="9743" max="9743" width="25.25" style="255"/>
    <col min="9744" max="9744" width="14.75" style="255" customWidth="1"/>
    <col min="9745" max="9745" width="11.5" style="255" customWidth="1"/>
    <col min="9746" max="9746" width="11.25" style="255" customWidth="1"/>
    <col min="9747" max="9747" width="10.75" style="255" customWidth="1"/>
    <col min="9748" max="9748" width="10" style="255" customWidth="1"/>
    <col min="9749" max="9749" width="9.875" style="255" customWidth="1"/>
    <col min="9750" max="9750" width="26.125" style="255" customWidth="1"/>
    <col min="9751" max="9751" width="11.125" style="255" customWidth="1"/>
    <col min="9752" max="9752" width="7.875" style="255" customWidth="1"/>
    <col min="9753" max="9753" width="7.25" style="255" customWidth="1"/>
    <col min="9754" max="9754" width="9.125" style="255" customWidth="1"/>
    <col min="9755" max="9755" width="15.125" style="255" customWidth="1"/>
    <col min="9756" max="9756" width="7.75" style="255" customWidth="1"/>
    <col min="9757" max="9757" width="7.125" style="255" customWidth="1"/>
    <col min="9758" max="9758" width="12.125" style="255" customWidth="1"/>
    <col min="9759" max="9759" width="8.25" style="255" customWidth="1"/>
    <col min="9760" max="9761" width="10.375" style="255" customWidth="1"/>
    <col min="9762" max="9762" width="15.625" style="255" customWidth="1"/>
    <col min="9763" max="9763" width="15.875" style="255" customWidth="1"/>
    <col min="9764" max="9764" width="8.125" style="255" customWidth="1"/>
    <col min="9765" max="9768" width="10.375" style="255" customWidth="1"/>
    <col min="9769" max="9769" width="7.25" style="255" customWidth="1"/>
    <col min="9770" max="9770" width="7.125" style="255" customWidth="1"/>
    <col min="9771" max="9771" width="9.5" style="255" customWidth="1"/>
    <col min="9772" max="9773" width="9" style="255" customWidth="1"/>
    <col min="9774" max="9774" width="16.125" style="255" customWidth="1"/>
    <col min="9775" max="9805" width="9" style="255" customWidth="1"/>
    <col min="9806" max="9965" width="25.25" style="255"/>
    <col min="9966" max="9995" width="9" style="255" customWidth="1"/>
    <col min="9996" max="9996" width="0.5" style="255" customWidth="1"/>
    <col min="9997" max="9997" width="25.25" style="255"/>
    <col min="9998" max="9998" width="0.5" style="255" customWidth="1"/>
    <col min="9999" max="9999" width="25.25" style="255"/>
    <col min="10000" max="10000" width="14.75" style="255" customWidth="1"/>
    <col min="10001" max="10001" width="11.5" style="255" customWidth="1"/>
    <col min="10002" max="10002" width="11.25" style="255" customWidth="1"/>
    <col min="10003" max="10003" width="10.75" style="255" customWidth="1"/>
    <col min="10004" max="10004" width="10" style="255" customWidth="1"/>
    <col min="10005" max="10005" width="9.875" style="255" customWidth="1"/>
    <col min="10006" max="10006" width="26.125" style="255" customWidth="1"/>
    <col min="10007" max="10007" width="11.125" style="255" customWidth="1"/>
    <col min="10008" max="10008" width="7.875" style="255" customWidth="1"/>
    <col min="10009" max="10009" width="7.25" style="255" customWidth="1"/>
    <col min="10010" max="10010" width="9.125" style="255" customWidth="1"/>
    <col min="10011" max="10011" width="15.125" style="255" customWidth="1"/>
    <col min="10012" max="10012" width="7.75" style="255" customWidth="1"/>
    <col min="10013" max="10013" width="7.125" style="255" customWidth="1"/>
    <col min="10014" max="10014" width="12.125" style="255" customWidth="1"/>
    <col min="10015" max="10015" width="8.25" style="255" customWidth="1"/>
    <col min="10016" max="10017" width="10.375" style="255" customWidth="1"/>
    <col min="10018" max="10018" width="15.625" style="255" customWidth="1"/>
    <col min="10019" max="10019" width="15.875" style="255" customWidth="1"/>
    <col min="10020" max="10020" width="8.125" style="255" customWidth="1"/>
    <col min="10021" max="10024" width="10.375" style="255" customWidth="1"/>
    <col min="10025" max="10025" width="7.25" style="255" customWidth="1"/>
    <col min="10026" max="10026" width="7.125" style="255" customWidth="1"/>
    <col min="10027" max="10027" width="9.5" style="255" customWidth="1"/>
    <col min="10028" max="10029" width="9" style="255" customWidth="1"/>
    <col min="10030" max="10030" width="16.125" style="255" customWidth="1"/>
    <col min="10031" max="10061" width="9" style="255" customWidth="1"/>
    <col min="10062" max="10221" width="25.25" style="255"/>
    <col min="10222" max="10251" width="9" style="255" customWidth="1"/>
    <col min="10252" max="10252" width="0.5" style="255" customWidth="1"/>
    <col min="10253" max="10253" width="25.25" style="255"/>
    <col min="10254" max="10254" width="0.5" style="255" customWidth="1"/>
    <col min="10255" max="10255" width="25.25" style="255"/>
    <col min="10256" max="10256" width="14.75" style="255" customWidth="1"/>
    <col min="10257" max="10257" width="11.5" style="255" customWidth="1"/>
    <col min="10258" max="10258" width="11.25" style="255" customWidth="1"/>
    <col min="10259" max="10259" width="10.75" style="255" customWidth="1"/>
    <col min="10260" max="10260" width="10" style="255" customWidth="1"/>
    <col min="10261" max="10261" width="9.875" style="255" customWidth="1"/>
    <col min="10262" max="10262" width="26.125" style="255" customWidth="1"/>
    <col min="10263" max="10263" width="11.125" style="255" customWidth="1"/>
    <col min="10264" max="10264" width="7.875" style="255" customWidth="1"/>
    <col min="10265" max="10265" width="7.25" style="255" customWidth="1"/>
    <col min="10266" max="10266" width="9.125" style="255" customWidth="1"/>
    <col min="10267" max="10267" width="15.125" style="255" customWidth="1"/>
    <col min="10268" max="10268" width="7.75" style="255" customWidth="1"/>
    <col min="10269" max="10269" width="7.125" style="255" customWidth="1"/>
    <col min="10270" max="10270" width="12.125" style="255" customWidth="1"/>
    <col min="10271" max="10271" width="8.25" style="255" customWidth="1"/>
    <col min="10272" max="10273" width="10.375" style="255" customWidth="1"/>
    <col min="10274" max="10274" width="15.625" style="255" customWidth="1"/>
    <col min="10275" max="10275" width="15.875" style="255" customWidth="1"/>
    <col min="10276" max="10276" width="8.125" style="255" customWidth="1"/>
    <col min="10277" max="10280" width="10.375" style="255" customWidth="1"/>
    <col min="10281" max="10281" width="7.25" style="255" customWidth="1"/>
    <col min="10282" max="10282" width="7.125" style="255" customWidth="1"/>
    <col min="10283" max="10283" width="9.5" style="255" customWidth="1"/>
    <col min="10284" max="10285" width="9" style="255" customWidth="1"/>
    <col min="10286" max="10286" width="16.125" style="255" customWidth="1"/>
    <col min="10287" max="10317" width="9" style="255" customWidth="1"/>
    <col min="10318" max="10477" width="25.25" style="255"/>
    <col min="10478" max="10507" width="9" style="255" customWidth="1"/>
    <col min="10508" max="10508" width="0.5" style="255" customWidth="1"/>
    <col min="10509" max="10509" width="25.25" style="255"/>
    <col min="10510" max="10510" width="0.5" style="255" customWidth="1"/>
    <col min="10511" max="10511" width="25.25" style="255"/>
    <col min="10512" max="10512" width="14.75" style="255" customWidth="1"/>
    <col min="10513" max="10513" width="11.5" style="255" customWidth="1"/>
    <col min="10514" max="10514" width="11.25" style="255" customWidth="1"/>
    <col min="10515" max="10515" width="10.75" style="255" customWidth="1"/>
    <col min="10516" max="10516" width="10" style="255" customWidth="1"/>
    <col min="10517" max="10517" width="9.875" style="255" customWidth="1"/>
    <col min="10518" max="10518" width="26.125" style="255" customWidth="1"/>
    <col min="10519" max="10519" width="11.125" style="255" customWidth="1"/>
    <col min="10520" max="10520" width="7.875" style="255" customWidth="1"/>
    <col min="10521" max="10521" width="7.25" style="255" customWidth="1"/>
    <col min="10522" max="10522" width="9.125" style="255" customWidth="1"/>
    <col min="10523" max="10523" width="15.125" style="255" customWidth="1"/>
    <col min="10524" max="10524" width="7.75" style="255" customWidth="1"/>
    <col min="10525" max="10525" width="7.125" style="255" customWidth="1"/>
    <col min="10526" max="10526" width="12.125" style="255" customWidth="1"/>
    <col min="10527" max="10527" width="8.25" style="255" customWidth="1"/>
    <col min="10528" max="10529" width="10.375" style="255" customWidth="1"/>
    <col min="10530" max="10530" width="15.625" style="255" customWidth="1"/>
    <col min="10531" max="10531" width="15.875" style="255" customWidth="1"/>
    <col min="10532" max="10532" width="8.125" style="255" customWidth="1"/>
    <col min="10533" max="10536" width="10.375" style="255" customWidth="1"/>
    <col min="10537" max="10537" width="7.25" style="255" customWidth="1"/>
    <col min="10538" max="10538" width="7.125" style="255" customWidth="1"/>
    <col min="10539" max="10539" width="9.5" style="255" customWidth="1"/>
    <col min="10540" max="10541" width="9" style="255" customWidth="1"/>
    <col min="10542" max="10542" width="16.125" style="255" customWidth="1"/>
    <col min="10543" max="10573" width="9" style="255" customWidth="1"/>
    <col min="10574" max="10733" width="25.25" style="255"/>
    <col min="10734" max="10763" width="9" style="255" customWidth="1"/>
    <col min="10764" max="10764" width="0.5" style="255" customWidth="1"/>
    <col min="10765" max="10765" width="25.25" style="255"/>
    <col min="10766" max="10766" width="0.5" style="255" customWidth="1"/>
    <col min="10767" max="10767" width="25.25" style="255"/>
    <col min="10768" max="10768" width="14.75" style="255" customWidth="1"/>
    <col min="10769" max="10769" width="11.5" style="255" customWidth="1"/>
    <col min="10770" max="10770" width="11.25" style="255" customWidth="1"/>
    <col min="10771" max="10771" width="10.75" style="255" customWidth="1"/>
    <col min="10772" max="10772" width="10" style="255" customWidth="1"/>
    <col min="10773" max="10773" width="9.875" style="255" customWidth="1"/>
    <col min="10774" max="10774" width="26.125" style="255" customWidth="1"/>
    <col min="10775" max="10775" width="11.125" style="255" customWidth="1"/>
    <col min="10776" max="10776" width="7.875" style="255" customWidth="1"/>
    <col min="10777" max="10777" width="7.25" style="255" customWidth="1"/>
    <col min="10778" max="10778" width="9.125" style="255" customWidth="1"/>
    <col min="10779" max="10779" width="15.125" style="255" customWidth="1"/>
    <col min="10780" max="10780" width="7.75" style="255" customWidth="1"/>
    <col min="10781" max="10781" width="7.125" style="255" customWidth="1"/>
    <col min="10782" max="10782" width="12.125" style="255" customWidth="1"/>
    <col min="10783" max="10783" width="8.25" style="255" customWidth="1"/>
    <col min="10784" max="10785" width="10.375" style="255" customWidth="1"/>
    <col min="10786" max="10786" width="15.625" style="255" customWidth="1"/>
    <col min="10787" max="10787" width="15.875" style="255" customWidth="1"/>
    <col min="10788" max="10788" width="8.125" style="255" customWidth="1"/>
    <col min="10789" max="10792" width="10.375" style="255" customWidth="1"/>
    <col min="10793" max="10793" width="7.25" style="255" customWidth="1"/>
    <col min="10794" max="10794" width="7.125" style="255" customWidth="1"/>
    <col min="10795" max="10795" width="9.5" style="255" customWidth="1"/>
    <col min="10796" max="10797" width="9" style="255" customWidth="1"/>
    <col min="10798" max="10798" width="16.125" style="255" customWidth="1"/>
    <col min="10799" max="10829" width="9" style="255" customWidth="1"/>
    <col min="10830" max="10989" width="25.25" style="255"/>
    <col min="10990" max="11019" width="9" style="255" customWidth="1"/>
    <col min="11020" max="11020" width="0.5" style="255" customWidth="1"/>
    <col min="11021" max="11021" width="25.25" style="255"/>
    <col min="11022" max="11022" width="0.5" style="255" customWidth="1"/>
    <col min="11023" max="11023" width="25.25" style="255"/>
    <col min="11024" max="11024" width="14.75" style="255" customWidth="1"/>
    <col min="11025" max="11025" width="11.5" style="255" customWidth="1"/>
    <col min="11026" max="11026" width="11.25" style="255" customWidth="1"/>
    <col min="11027" max="11027" width="10.75" style="255" customWidth="1"/>
    <col min="11028" max="11028" width="10" style="255" customWidth="1"/>
    <col min="11029" max="11029" width="9.875" style="255" customWidth="1"/>
    <col min="11030" max="11030" width="26.125" style="255" customWidth="1"/>
    <col min="11031" max="11031" width="11.125" style="255" customWidth="1"/>
    <col min="11032" max="11032" width="7.875" style="255" customWidth="1"/>
    <col min="11033" max="11033" width="7.25" style="255" customWidth="1"/>
    <col min="11034" max="11034" width="9.125" style="255" customWidth="1"/>
    <col min="11035" max="11035" width="15.125" style="255" customWidth="1"/>
    <col min="11036" max="11036" width="7.75" style="255" customWidth="1"/>
    <col min="11037" max="11037" width="7.125" style="255" customWidth="1"/>
    <col min="11038" max="11038" width="12.125" style="255" customWidth="1"/>
    <col min="11039" max="11039" width="8.25" style="255" customWidth="1"/>
    <col min="11040" max="11041" width="10.375" style="255" customWidth="1"/>
    <col min="11042" max="11042" width="15.625" style="255" customWidth="1"/>
    <col min="11043" max="11043" width="15.875" style="255" customWidth="1"/>
    <col min="11044" max="11044" width="8.125" style="255" customWidth="1"/>
    <col min="11045" max="11048" width="10.375" style="255" customWidth="1"/>
    <col min="11049" max="11049" width="7.25" style="255" customWidth="1"/>
    <col min="11050" max="11050" width="7.125" style="255" customWidth="1"/>
    <col min="11051" max="11051" width="9.5" style="255" customWidth="1"/>
    <col min="11052" max="11053" width="9" style="255" customWidth="1"/>
    <col min="11054" max="11054" width="16.125" style="255" customWidth="1"/>
    <col min="11055" max="11085" width="9" style="255" customWidth="1"/>
    <col min="11086" max="11245" width="25.25" style="255"/>
    <col min="11246" max="11275" width="9" style="255" customWidth="1"/>
    <col min="11276" max="11276" width="0.5" style="255" customWidth="1"/>
    <col min="11277" max="11277" width="25.25" style="255"/>
    <col min="11278" max="11278" width="0.5" style="255" customWidth="1"/>
    <col min="11279" max="11279" width="25.25" style="255"/>
    <col min="11280" max="11280" width="14.75" style="255" customWidth="1"/>
    <col min="11281" max="11281" width="11.5" style="255" customWidth="1"/>
    <col min="11282" max="11282" width="11.25" style="255" customWidth="1"/>
    <col min="11283" max="11283" width="10.75" style="255" customWidth="1"/>
    <col min="11284" max="11284" width="10" style="255" customWidth="1"/>
    <col min="11285" max="11285" width="9.875" style="255" customWidth="1"/>
    <col min="11286" max="11286" width="26.125" style="255" customWidth="1"/>
    <col min="11287" max="11287" width="11.125" style="255" customWidth="1"/>
    <col min="11288" max="11288" width="7.875" style="255" customWidth="1"/>
    <col min="11289" max="11289" width="7.25" style="255" customWidth="1"/>
    <col min="11290" max="11290" width="9.125" style="255" customWidth="1"/>
    <col min="11291" max="11291" width="15.125" style="255" customWidth="1"/>
    <col min="11292" max="11292" width="7.75" style="255" customWidth="1"/>
    <col min="11293" max="11293" width="7.125" style="255" customWidth="1"/>
    <col min="11294" max="11294" width="12.125" style="255" customWidth="1"/>
    <col min="11295" max="11295" width="8.25" style="255" customWidth="1"/>
    <col min="11296" max="11297" width="10.375" style="255" customWidth="1"/>
    <col min="11298" max="11298" width="15.625" style="255" customWidth="1"/>
    <col min="11299" max="11299" width="15.875" style="255" customWidth="1"/>
    <col min="11300" max="11300" width="8.125" style="255" customWidth="1"/>
    <col min="11301" max="11304" width="10.375" style="255" customWidth="1"/>
    <col min="11305" max="11305" width="7.25" style="255" customWidth="1"/>
    <col min="11306" max="11306" width="7.125" style="255" customWidth="1"/>
    <col min="11307" max="11307" width="9.5" style="255" customWidth="1"/>
    <col min="11308" max="11309" width="9" style="255" customWidth="1"/>
    <col min="11310" max="11310" width="16.125" style="255" customWidth="1"/>
    <col min="11311" max="11341" width="9" style="255" customWidth="1"/>
    <col min="11342" max="11501" width="25.25" style="255"/>
    <col min="11502" max="11531" width="9" style="255" customWidth="1"/>
    <col min="11532" max="11532" width="0.5" style="255" customWidth="1"/>
    <col min="11533" max="11533" width="25.25" style="255"/>
    <col min="11534" max="11534" width="0.5" style="255" customWidth="1"/>
    <col min="11535" max="11535" width="25.25" style="255"/>
    <col min="11536" max="11536" width="14.75" style="255" customWidth="1"/>
    <col min="11537" max="11537" width="11.5" style="255" customWidth="1"/>
    <col min="11538" max="11538" width="11.25" style="255" customWidth="1"/>
    <col min="11539" max="11539" width="10.75" style="255" customWidth="1"/>
    <col min="11540" max="11540" width="10" style="255" customWidth="1"/>
    <col min="11541" max="11541" width="9.875" style="255" customWidth="1"/>
    <col min="11542" max="11542" width="26.125" style="255" customWidth="1"/>
    <col min="11543" max="11543" width="11.125" style="255" customWidth="1"/>
    <col min="11544" max="11544" width="7.875" style="255" customWidth="1"/>
    <col min="11545" max="11545" width="7.25" style="255" customWidth="1"/>
    <col min="11546" max="11546" width="9.125" style="255" customWidth="1"/>
    <col min="11547" max="11547" width="15.125" style="255" customWidth="1"/>
    <col min="11548" max="11548" width="7.75" style="255" customWidth="1"/>
    <col min="11549" max="11549" width="7.125" style="255" customWidth="1"/>
    <col min="11550" max="11550" width="12.125" style="255" customWidth="1"/>
    <col min="11551" max="11551" width="8.25" style="255" customWidth="1"/>
    <col min="11552" max="11553" width="10.375" style="255" customWidth="1"/>
    <col min="11554" max="11554" width="15.625" style="255" customWidth="1"/>
    <col min="11555" max="11555" width="15.875" style="255" customWidth="1"/>
    <col min="11556" max="11556" width="8.125" style="255" customWidth="1"/>
    <col min="11557" max="11560" width="10.375" style="255" customWidth="1"/>
    <col min="11561" max="11561" width="7.25" style="255" customWidth="1"/>
    <col min="11562" max="11562" width="7.125" style="255" customWidth="1"/>
    <col min="11563" max="11563" width="9.5" style="255" customWidth="1"/>
    <col min="11564" max="11565" width="9" style="255" customWidth="1"/>
    <col min="11566" max="11566" width="16.125" style="255" customWidth="1"/>
    <col min="11567" max="11597" width="9" style="255" customWidth="1"/>
    <col min="11598" max="11757" width="25.25" style="255"/>
    <col min="11758" max="11787" width="9" style="255" customWidth="1"/>
    <col min="11788" max="11788" width="0.5" style="255" customWidth="1"/>
    <col min="11789" max="11789" width="25.25" style="255"/>
    <col min="11790" max="11790" width="0.5" style="255" customWidth="1"/>
    <col min="11791" max="11791" width="25.25" style="255"/>
    <col min="11792" max="11792" width="14.75" style="255" customWidth="1"/>
    <col min="11793" max="11793" width="11.5" style="255" customWidth="1"/>
    <col min="11794" max="11794" width="11.25" style="255" customWidth="1"/>
    <col min="11795" max="11795" width="10.75" style="255" customWidth="1"/>
    <col min="11796" max="11796" width="10" style="255" customWidth="1"/>
    <col min="11797" max="11797" width="9.875" style="255" customWidth="1"/>
    <col min="11798" max="11798" width="26.125" style="255" customWidth="1"/>
    <col min="11799" max="11799" width="11.125" style="255" customWidth="1"/>
    <col min="11800" max="11800" width="7.875" style="255" customWidth="1"/>
    <col min="11801" max="11801" width="7.25" style="255" customWidth="1"/>
    <col min="11802" max="11802" width="9.125" style="255" customWidth="1"/>
    <col min="11803" max="11803" width="15.125" style="255" customWidth="1"/>
    <col min="11804" max="11804" width="7.75" style="255" customWidth="1"/>
    <col min="11805" max="11805" width="7.125" style="255" customWidth="1"/>
    <col min="11806" max="11806" width="12.125" style="255" customWidth="1"/>
    <col min="11807" max="11807" width="8.25" style="255" customWidth="1"/>
    <col min="11808" max="11809" width="10.375" style="255" customWidth="1"/>
    <col min="11810" max="11810" width="15.625" style="255" customWidth="1"/>
    <col min="11811" max="11811" width="15.875" style="255" customWidth="1"/>
    <col min="11812" max="11812" width="8.125" style="255" customWidth="1"/>
    <col min="11813" max="11816" width="10.375" style="255" customWidth="1"/>
    <col min="11817" max="11817" width="7.25" style="255" customWidth="1"/>
    <col min="11818" max="11818" width="7.125" style="255" customWidth="1"/>
    <col min="11819" max="11819" width="9.5" style="255" customWidth="1"/>
    <col min="11820" max="11821" width="9" style="255" customWidth="1"/>
    <col min="11822" max="11822" width="16.125" style="255" customWidth="1"/>
    <col min="11823" max="11853" width="9" style="255" customWidth="1"/>
    <col min="11854" max="12013" width="25.25" style="255"/>
    <col min="12014" max="12043" width="9" style="255" customWidth="1"/>
    <col min="12044" max="12044" width="0.5" style="255" customWidth="1"/>
    <col min="12045" max="12045" width="25.25" style="255"/>
    <col min="12046" max="12046" width="0.5" style="255" customWidth="1"/>
    <col min="12047" max="12047" width="25.25" style="255"/>
    <col min="12048" max="12048" width="14.75" style="255" customWidth="1"/>
    <col min="12049" max="12049" width="11.5" style="255" customWidth="1"/>
    <col min="12050" max="12050" width="11.25" style="255" customWidth="1"/>
    <col min="12051" max="12051" width="10.75" style="255" customWidth="1"/>
    <col min="12052" max="12052" width="10" style="255" customWidth="1"/>
    <col min="12053" max="12053" width="9.875" style="255" customWidth="1"/>
    <col min="12054" max="12054" width="26.125" style="255" customWidth="1"/>
    <col min="12055" max="12055" width="11.125" style="255" customWidth="1"/>
    <col min="12056" max="12056" width="7.875" style="255" customWidth="1"/>
    <col min="12057" max="12057" width="7.25" style="255" customWidth="1"/>
    <col min="12058" max="12058" width="9.125" style="255" customWidth="1"/>
    <col min="12059" max="12059" width="15.125" style="255" customWidth="1"/>
    <col min="12060" max="12060" width="7.75" style="255" customWidth="1"/>
    <col min="12061" max="12061" width="7.125" style="255" customWidth="1"/>
    <col min="12062" max="12062" width="12.125" style="255" customWidth="1"/>
    <col min="12063" max="12063" width="8.25" style="255" customWidth="1"/>
    <col min="12064" max="12065" width="10.375" style="255" customWidth="1"/>
    <col min="12066" max="12066" width="15.625" style="255" customWidth="1"/>
    <col min="12067" max="12067" width="15.875" style="255" customWidth="1"/>
    <col min="12068" max="12068" width="8.125" style="255" customWidth="1"/>
    <col min="12069" max="12072" width="10.375" style="255" customWidth="1"/>
    <col min="12073" max="12073" width="7.25" style="255" customWidth="1"/>
    <col min="12074" max="12074" width="7.125" style="255" customWidth="1"/>
    <col min="12075" max="12075" width="9.5" style="255" customWidth="1"/>
    <col min="12076" max="12077" width="9" style="255" customWidth="1"/>
    <col min="12078" max="12078" width="16.125" style="255" customWidth="1"/>
    <col min="12079" max="12109" width="9" style="255" customWidth="1"/>
    <col min="12110" max="12269" width="25.25" style="255"/>
    <col min="12270" max="12299" width="9" style="255" customWidth="1"/>
    <col min="12300" max="12300" width="0.5" style="255" customWidth="1"/>
    <col min="12301" max="12301" width="25.25" style="255"/>
    <col min="12302" max="12302" width="0.5" style="255" customWidth="1"/>
    <col min="12303" max="12303" width="25.25" style="255"/>
    <col min="12304" max="12304" width="14.75" style="255" customWidth="1"/>
    <col min="12305" max="12305" width="11.5" style="255" customWidth="1"/>
    <col min="12306" max="12306" width="11.25" style="255" customWidth="1"/>
    <col min="12307" max="12307" width="10.75" style="255" customWidth="1"/>
    <col min="12308" max="12308" width="10" style="255" customWidth="1"/>
    <col min="12309" max="12309" width="9.875" style="255" customWidth="1"/>
    <col min="12310" max="12310" width="26.125" style="255" customWidth="1"/>
    <col min="12311" max="12311" width="11.125" style="255" customWidth="1"/>
    <col min="12312" max="12312" width="7.875" style="255" customWidth="1"/>
    <col min="12313" max="12313" width="7.25" style="255" customWidth="1"/>
    <col min="12314" max="12314" width="9.125" style="255" customWidth="1"/>
    <col min="12315" max="12315" width="15.125" style="255" customWidth="1"/>
    <col min="12316" max="12316" width="7.75" style="255" customWidth="1"/>
    <col min="12317" max="12317" width="7.125" style="255" customWidth="1"/>
    <col min="12318" max="12318" width="12.125" style="255" customWidth="1"/>
    <col min="12319" max="12319" width="8.25" style="255" customWidth="1"/>
    <col min="12320" max="12321" width="10.375" style="255" customWidth="1"/>
    <col min="12322" max="12322" width="15.625" style="255" customWidth="1"/>
    <col min="12323" max="12323" width="15.875" style="255" customWidth="1"/>
    <col min="12324" max="12324" width="8.125" style="255" customWidth="1"/>
    <col min="12325" max="12328" width="10.375" style="255" customWidth="1"/>
    <col min="12329" max="12329" width="7.25" style="255" customWidth="1"/>
    <col min="12330" max="12330" width="7.125" style="255" customWidth="1"/>
    <col min="12331" max="12331" width="9.5" style="255" customWidth="1"/>
    <col min="12332" max="12333" width="9" style="255" customWidth="1"/>
    <col min="12334" max="12334" width="16.125" style="255" customWidth="1"/>
    <col min="12335" max="12365" width="9" style="255" customWidth="1"/>
    <col min="12366" max="12525" width="25.25" style="255"/>
    <col min="12526" max="12555" width="9" style="255" customWidth="1"/>
    <col min="12556" max="12556" width="0.5" style="255" customWidth="1"/>
    <col min="12557" max="12557" width="25.25" style="255"/>
    <col min="12558" max="12558" width="0.5" style="255" customWidth="1"/>
    <col min="12559" max="12559" width="25.25" style="255"/>
    <col min="12560" max="12560" width="14.75" style="255" customWidth="1"/>
    <col min="12561" max="12561" width="11.5" style="255" customWidth="1"/>
    <col min="12562" max="12562" width="11.25" style="255" customWidth="1"/>
    <col min="12563" max="12563" width="10.75" style="255" customWidth="1"/>
    <col min="12564" max="12564" width="10" style="255" customWidth="1"/>
    <col min="12565" max="12565" width="9.875" style="255" customWidth="1"/>
    <col min="12566" max="12566" width="26.125" style="255" customWidth="1"/>
    <col min="12567" max="12567" width="11.125" style="255" customWidth="1"/>
    <col min="12568" max="12568" width="7.875" style="255" customWidth="1"/>
    <col min="12569" max="12569" width="7.25" style="255" customWidth="1"/>
    <col min="12570" max="12570" width="9.125" style="255" customWidth="1"/>
    <col min="12571" max="12571" width="15.125" style="255" customWidth="1"/>
    <col min="12572" max="12572" width="7.75" style="255" customWidth="1"/>
    <col min="12573" max="12573" width="7.125" style="255" customWidth="1"/>
    <col min="12574" max="12574" width="12.125" style="255" customWidth="1"/>
    <col min="12575" max="12575" width="8.25" style="255" customWidth="1"/>
    <col min="12576" max="12577" width="10.375" style="255" customWidth="1"/>
    <col min="12578" max="12578" width="15.625" style="255" customWidth="1"/>
    <col min="12579" max="12579" width="15.875" style="255" customWidth="1"/>
    <col min="12580" max="12580" width="8.125" style="255" customWidth="1"/>
    <col min="12581" max="12584" width="10.375" style="255" customWidth="1"/>
    <col min="12585" max="12585" width="7.25" style="255" customWidth="1"/>
    <col min="12586" max="12586" width="7.125" style="255" customWidth="1"/>
    <col min="12587" max="12587" width="9.5" style="255" customWidth="1"/>
    <col min="12588" max="12589" width="9" style="255" customWidth="1"/>
    <col min="12590" max="12590" width="16.125" style="255" customWidth="1"/>
    <col min="12591" max="12621" width="9" style="255" customWidth="1"/>
    <col min="12622" max="12781" width="25.25" style="255"/>
    <col min="12782" max="12811" width="9" style="255" customWidth="1"/>
    <col min="12812" max="12812" width="0.5" style="255" customWidth="1"/>
    <col min="12813" max="12813" width="25.25" style="255"/>
    <col min="12814" max="12814" width="0.5" style="255" customWidth="1"/>
    <col min="12815" max="12815" width="25.25" style="255"/>
    <col min="12816" max="12816" width="14.75" style="255" customWidth="1"/>
    <col min="12817" max="12817" width="11.5" style="255" customWidth="1"/>
    <col min="12818" max="12818" width="11.25" style="255" customWidth="1"/>
    <col min="12819" max="12819" width="10.75" style="255" customWidth="1"/>
    <col min="12820" max="12820" width="10" style="255" customWidth="1"/>
    <col min="12821" max="12821" width="9.875" style="255" customWidth="1"/>
    <col min="12822" max="12822" width="26.125" style="255" customWidth="1"/>
    <col min="12823" max="12823" width="11.125" style="255" customWidth="1"/>
    <col min="12824" max="12824" width="7.875" style="255" customWidth="1"/>
    <col min="12825" max="12825" width="7.25" style="255" customWidth="1"/>
    <col min="12826" max="12826" width="9.125" style="255" customWidth="1"/>
    <col min="12827" max="12827" width="15.125" style="255" customWidth="1"/>
    <col min="12828" max="12828" width="7.75" style="255" customWidth="1"/>
    <col min="12829" max="12829" width="7.125" style="255" customWidth="1"/>
    <col min="12830" max="12830" width="12.125" style="255" customWidth="1"/>
    <col min="12831" max="12831" width="8.25" style="255" customWidth="1"/>
    <col min="12832" max="12833" width="10.375" style="255" customWidth="1"/>
    <col min="12834" max="12834" width="15.625" style="255" customWidth="1"/>
    <col min="12835" max="12835" width="15.875" style="255" customWidth="1"/>
    <col min="12836" max="12836" width="8.125" style="255" customWidth="1"/>
    <col min="12837" max="12840" width="10.375" style="255" customWidth="1"/>
    <col min="12841" max="12841" width="7.25" style="255" customWidth="1"/>
    <col min="12842" max="12842" width="7.125" style="255" customWidth="1"/>
    <col min="12843" max="12843" width="9.5" style="255" customWidth="1"/>
    <col min="12844" max="12845" width="9" style="255" customWidth="1"/>
    <col min="12846" max="12846" width="16.125" style="255" customWidth="1"/>
    <col min="12847" max="12877" width="9" style="255" customWidth="1"/>
    <col min="12878" max="13037" width="25.25" style="255"/>
    <col min="13038" max="13067" width="9" style="255" customWidth="1"/>
    <col min="13068" max="13068" width="0.5" style="255" customWidth="1"/>
    <col min="13069" max="13069" width="25.25" style="255"/>
    <col min="13070" max="13070" width="0.5" style="255" customWidth="1"/>
    <col min="13071" max="13071" width="25.25" style="255"/>
    <col min="13072" max="13072" width="14.75" style="255" customWidth="1"/>
    <col min="13073" max="13073" width="11.5" style="255" customWidth="1"/>
    <col min="13074" max="13074" width="11.25" style="255" customWidth="1"/>
    <col min="13075" max="13075" width="10.75" style="255" customWidth="1"/>
    <col min="13076" max="13076" width="10" style="255" customWidth="1"/>
    <col min="13077" max="13077" width="9.875" style="255" customWidth="1"/>
    <col min="13078" max="13078" width="26.125" style="255" customWidth="1"/>
    <col min="13079" max="13079" width="11.125" style="255" customWidth="1"/>
    <col min="13080" max="13080" width="7.875" style="255" customWidth="1"/>
    <col min="13081" max="13081" width="7.25" style="255" customWidth="1"/>
    <col min="13082" max="13082" width="9.125" style="255" customWidth="1"/>
    <col min="13083" max="13083" width="15.125" style="255" customWidth="1"/>
    <col min="13084" max="13084" width="7.75" style="255" customWidth="1"/>
    <col min="13085" max="13085" width="7.125" style="255" customWidth="1"/>
    <col min="13086" max="13086" width="12.125" style="255" customWidth="1"/>
    <col min="13087" max="13087" width="8.25" style="255" customWidth="1"/>
    <col min="13088" max="13089" width="10.375" style="255" customWidth="1"/>
    <col min="13090" max="13090" width="15.625" style="255" customWidth="1"/>
    <col min="13091" max="13091" width="15.875" style="255" customWidth="1"/>
    <col min="13092" max="13092" width="8.125" style="255" customWidth="1"/>
    <col min="13093" max="13096" width="10.375" style="255" customWidth="1"/>
    <col min="13097" max="13097" width="7.25" style="255" customWidth="1"/>
    <col min="13098" max="13098" width="7.125" style="255" customWidth="1"/>
    <col min="13099" max="13099" width="9.5" style="255" customWidth="1"/>
    <col min="13100" max="13101" width="9" style="255" customWidth="1"/>
    <col min="13102" max="13102" width="16.125" style="255" customWidth="1"/>
    <col min="13103" max="13133" width="9" style="255" customWidth="1"/>
    <col min="13134" max="13293" width="25.25" style="255"/>
    <col min="13294" max="13323" width="9" style="255" customWidth="1"/>
    <col min="13324" max="13324" width="0.5" style="255" customWidth="1"/>
    <col min="13325" max="13325" width="25.25" style="255"/>
    <col min="13326" max="13326" width="0.5" style="255" customWidth="1"/>
    <col min="13327" max="13327" width="25.25" style="255"/>
    <col min="13328" max="13328" width="14.75" style="255" customWidth="1"/>
    <col min="13329" max="13329" width="11.5" style="255" customWidth="1"/>
    <col min="13330" max="13330" width="11.25" style="255" customWidth="1"/>
    <col min="13331" max="13331" width="10.75" style="255" customWidth="1"/>
    <col min="13332" max="13332" width="10" style="255" customWidth="1"/>
    <col min="13333" max="13333" width="9.875" style="255" customWidth="1"/>
    <col min="13334" max="13334" width="26.125" style="255" customWidth="1"/>
    <col min="13335" max="13335" width="11.125" style="255" customWidth="1"/>
    <col min="13336" max="13336" width="7.875" style="255" customWidth="1"/>
    <col min="13337" max="13337" width="7.25" style="255" customWidth="1"/>
    <col min="13338" max="13338" width="9.125" style="255" customWidth="1"/>
    <col min="13339" max="13339" width="15.125" style="255" customWidth="1"/>
    <col min="13340" max="13340" width="7.75" style="255" customWidth="1"/>
    <col min="13341" max="13341" width="7.125" style="255" customWidth="1"/>
    <col min="13342" max="13342" width="12.125" style="255" customWidth="1"/>
    <col min="13343" max="13343" width="8.25" style="255" customWidth="1"/>
    <col min="13344" max="13345" width="10.375" style="255" customWidth="1"/>
    <col min="13346" max="13346" width="15.625" style="255" customWidth="1"/>
    <col min="13347" max="13347" width="15.875" style="255" customWidth="1"/>
    <col min="13348" max="13348" width="8.125" style="255" customWidth="1"/>
    <col min="13349" max="13352" width="10.375" style="255" customWidth="1"/>
    <col min="13353" max="13353" width="7.25" style="255" customWidth="1"/>
    <col min="13354" max="13354" width="7.125" style="255" customWidth="1"/>
    <col min="13355" max="13355" width="9.5" style="255" customWidth="1"/>
    <col min="13356" max="13357" width="9" style="255" customWidth="1"/>
    <col min="13358" max="13358" width="16.125" style="255" customWidth="1"/>
    <col min="13359" max="13389" width="9" style="255" customWidth="1"/>
    <col min="13390" max="13549" width="25.25" style="255"/>
    <col min="13550" max="13579" width="9" style="255" customWidth="1"/>
    <col min="13580" max="13580" width="0.5" style="255" customWidth="1"/>
    <col min="13581" max="13581" width="25.25" style="255"/>
    <col min="13582" max="13582" width="0.5" style="255" customWidth="1"/>
    <col min="13583" max="13583" width="25.25" style="255"/>
    <col min="13584" max="13584" width="14.75" style="255" customWidth="1"/>
    <col min="13585" max="13585" width="11.5" style="255" customWidth="1"/>
    <col min="13586" max="13586" width="11.25" style="255" customWidth="1"/>
    <col min="13587" max="13587" width="10.75" style="255" customWidth="1"/>
    <col min="13588" max="13588" width="10" style="255" customWidth="1"/>
    <col min="13589" max="13589" width="9.875" style="255" customWidth="1"/>
    <col min="13590" max="13590" width="26.125" style="255" customWidth="1"/>
    <col min="13591" max="13591" width="11.125" style="255" customWidth="1"/>
    <col min="13592" max="13592" width="7.875" style="255" customWidth="1"/>
    <col min="13593" max="13593" width="7.25" style="255" customWidth="1"/>
    <col min="13594" max="13594" width="9.125" style="255" customWidth="1"/>
    <col min="13595" max="13595" width="15.125" style="255" customWidth="1"/>
    <col min="13596" max="13596" width="7.75" style="255" customWidth="1"/>
    <col min="13597" max="13597" width="7.125" style="255" customWidth="1"/>
    <col min="13598" max="13598" width="12.125" style="255" customWidth="1"/>
    <col min="13599" max="13599" width="8.25" style="255" customWidth="1"/>
    <col min="13600" max="13601" width="10.375" style="255" customWidth="1"/>
    <col min="13602" max="13602" width="15.625" style="255" customWidth="1"/>
    <col min="13603" max="13603" width="15.875" style="255" customWidth="1"/>
    <col min="13604" max="13604" width="8.125" style="255" customWidth="1"/>
    <col min="13605" max="13608" width="10.375" style="255" customWidth="1"/>
    <col min="13609" max="13609" width="7.25" style="255" customWidth="1"/>
    <col min="13610" max="13610" width="7.125" style="255" customWidth="1"/>
    <col min="13611" max="13611" width="9.5" style="255" customWidth="1"/>
    <col min="13612" max="13613" width="9" style="255" customWidth="1"/>
    <col min="13614" max="13614" width="16.125" style="255" customWidth="1"/>
    <col min="13615" max="13645" width="9" style="255" customWidth="1"/>
    <col min="13646" max="13805" width="25.25" style="255"/>
    <col min="13806" max="13835" width="9" style="255" customWidth="1"/>
    <col min="13836" max="13836" width="0.5" style="255" customWidth="1"/>
    <col min="13837" max="13837" width="25.25" style="255"/>
    <col min="13838" max="13838" width="0.5" style="255" customWidth="1"/>
    <col min="13839" max="13839" width="25.25" style="255"/>
    <col min="13840" max="13840" width="14.75" style="255" customWidth="1"/>
    <col min="13841" max="13841" width="11.5" style="255" customWidth="1"/>
    <col min="13842" max="13842" width="11.25" style="255" customWidth="1"/>
    <col min="13843" max="13843" width="10.75" style="255" customWidth="1"/>
    <col min="13844" max="13844" width="10" style="255" customWidth="1"/>
    <col min="13845" max="13845" width="9.875" style="255" customWidth="1"/>
    <col min="13846" max="13846" width="26.125" style="255" customWidth="1"/>
    <col min="13847" max="13847" width="11.125" style="255" customWidth="1"/>
    <col min="13848" max="13848" width="7.875" style="255" customWidth="1"/>
    <col min="13849" max="13849" width="7.25" style="255" customWidth="1"/>
    <col min="13850" max="13850" width="9.125" style="255" customWidth="1"/>
    <col min="13851" max="13851" width="15.125" style="255" customWidth="1"/>
    <col min="13852" max="13852" width="7.75" style="255" customWidth="1"/>
    <col min="13853" max="13853" width="7.125" style="255" customWidth="1"/>
    <col min="13854" max="13854" width="12.125" style="255" customWidth="1"/>
    <col min="13855" max="13855" width="8.25" style="255" customWidth="1"/>
    <col min="13856" max="13857" width="10.375" style="255" customWidth="1"/>
    <col min="13858" max="13858" width="15.625" style="255" customWidth="1"/>
    <col min="13859" max="13859" width="15.875" style="255" customWidth="1"/>
    <col min="13860" max="13860" width="8.125" style="255" customWidth="1"/>
    <col min="13861" max="13864" width="10.375" style="255" customWidth="1"/>
    <col min="13865" max="13865" width="7.25" style="255" customWidth="1"/>
    <col min="13866" max="13866" width="7.125" style="255" customWidth="1"/>
    <col min="13867" max="13867" width="9.5" style="255" customWidth="1"/>
    <col min="13868" max="13869" width="9" style="255" customWidth="1"/>
    <col min="13870" max="13870" width="16.125" style="255" customWidth="1"/>
    <col min="13871" max="13901" width="9" style="255" customWidth="1"/>
    <col min="13902" max="14061" width="25.25" style="255"/>
    <col min="14062" max="14091" width="9" style="255" customWidth="1"/>
    <col min="14092" max="14092" width="0.5" style="255" customWidth="1"/>
    <col min="14093" max="14093" width="25.25" style="255"/>
    <col min="14094" max="14094" width="0.5" style="255" customWidth="1"/>
    <col min="14095" max="14095" width="25.25" style="255"/>
    <col min="14096" max="14096" width="14.75" style="255" customWidth="1"/>
    <col min="14097" max="14097" width="11.5" style="255" customWidth="1"/>
    <col min="14098" max="14098" width="11.25" style="255" customWidth="1"/>
    <col min="14099" max="14099" width="10.75" style="255" customWidth="1"/>
    <col min="14100" max="14100" width="10" style="255" customWidth="1"/>
    <col min="14101" max="14101" width="9.875" style="255" customWidth="1"/>
    <col min="14102" max="14102" width="26.125" style="255" customWidth="1"/>
    <col min="14103" max="14103" width="11.125" style="255" customWidth="1"/>
    <col min="14104" max="14104" width="7.875" style="255" customWidth="1"/>
    <col min="14105" max="14105" width="7.25" style="255" customWidth="1"/>
    <col min="14106" max="14106" width="9.125" style="255" customWidth="1"/>
    <col min="14107" max="14107" width="15.125" style="255" customWidth="1"/>
    <col min="14108" max="14108" width="7.75" style="255" customWidth="1"/>
    <col min="14109" max="14109" width="7.125" style="255" customWidth="1"/>
    <col min="14110" max="14110" width="12.125" style="255" customWidth="1"/>
    <col min="14111" max="14111" width="8.25" style="255" customWidth="1"/>
    <col min="14112" max="14113" width="10.375" style="255" customWidth="1"/>
    <col min="14114" max="14114" width="15.625" style="255" customWidth="1"/>
    <col min="14115" max="14115" width="15.875" style="255" customWidth="1"/>
    <col min="14116" max="14116" width="8.125" style="255" customWidth="1"/>
    <col min="14117" max="14120" width="10.375" style="255" customWidth="1"/>
    <col min="14121" max="14121" width="7.25" style="255" customWidth="1"/>
    <col min="14122" max="14122" width="7.125" style="255" customWidth="1"/>
    <col min="14123" max="14123" width="9.5" style="255" customWidth="1"/>
    <col min="14124" max="14125" width="9" style="255" customWidth="1"/>
    <col min="14126" max="14126" width="16.125" style="255" customWidth="1"/>
    <col min="14127" max="14157" width="9" style="255" customWidth="1"/>
    <col min="14158" max="14317" width="25.25" style="255"/>
    <col min="14318" max="14347" width="9" style="255" customWidth="1"/>
    <col min="14348" max="14348" width="0.5" style="255" customWidth="1"/>
    <col min="14349" max="14349" width="25.25" style="255"/>
    <col min="14350" max="14350" width="0.5" style="255" customWidth="1"/>
    <col min="14351" max="14351" width="25.25" style="255"/>
    <col min="14352" max="14352" width="14.75" style="255" customWidth="1"/>
    <col min="14353" max="14353" width="11.5" style="255" customWidth="1"/>
    <col min="14354" max="14354" width="11.25" style="255" customWidth="1"/>
    <col min="14355" max="14355" width="10.75" style="255" customWidth="1"/>
    <col min="14356" max="14356" width="10" style="255" customWidth="1"/>
    <col min="14357" max="14357" width="9.875" style="255" customWidth="1"/>
    <col min="14358" max="14358" width="26.125" style="255" customWidth="1"/>
    <col min="14359" max="14359" width="11.125" style="255" customWidth="1"/>
    <col min="14360" max="14360" width="7.875" style="255" customWidth="1"/>
    <col min="14361" max="14361" width="7.25" style="255" customWidth="1"/>
    <col min="14362" max="14362" width="9.125" style="255" customWidth="1"/>
    <col min="14363" max="14363" width="15.125" style="255" customWidth="1"/>
    <col min="14364" max="14364" width="7.75" style="255" customWidth="1"/>
    <col min="14365" max="14365" width="7.125" style="255" customWidth="1"/>
    <col min="14366" max="14366" width="12.125" style="255" customWidth="1"/>
    <col min="14367" max="14367" width="8.25" style="255" customWidth="1"/>
    <col min="14368" max="14369" width="10.375" style="255" customWidth="1"/>
    <col min="14370" max="14370" width="15.625" style="255" customWidth="1"/>
    <col min="14371" max="14371" width="15.875" style="255" customWidth="1"/>
    <col min="14372" max="14372" width="8.125" style="255" customWidth="1"/>
    <col min="14373" max="14376" width="10.375" style="255" customWidth="1"/>
    <col min="14377" max="14377" width="7.25" style="255" customWidth="1"/>
    <col min="14378" max="14378" width="7.125" style="255" customWidth="1"/>
    <col min="14379" max="14379" width="9.5" style="255" customWidth="1"/>
    <col min="14380" max="14381" width="9" style="255" customWidth="1"/>
    <col min="14382" max="14382" width="16.125" style="255" customWidth="1"/>
    <col min="14383" max="14413" width="9" style="255" customWidth="1"/>
    <col min="14414" max="14573" width="25.25" style="255"/>
    <col min="14574" max="14603" width="9" style="255" customWidth="1"/>
    <col min="14604" max="14604" width="0.5" style="255" customWidth="1"/>
    <col min="14605" max="14605" width="25.25" style="255"/>
    <col min="14606" max="14606" width="0.5" style="255" customWidth="1"/>
    <col min="14607" max="14607" width="25.25" style="255"/>
    <col min="14608" max="14608" width="14.75" style="255" customWidth="1"/>
    <col min="14609" max="14609" width="11.5" style="255" customWidth="1"/>
    <col min="14610" max="14610" width="11.25" style="255" customWidth="1"/>
    <col min="14611" max="14611" width="10.75" style="255" customWidth="1"/>
    <col min="14612" max="14612" width="10" style="255" customWidth="1"/>
    <col min="14613" max="14613" width="9.875" style="255" customWidth="1"/>
    <col min="14614" max="14614" width="26.125" style="255" customWidth="1"/>
    <col min="14615" max="14615" width="11.125" style="255" customWidth="1"/>
    <col min="14616" max="14616" width="7.875" style="255" customWidth="1"/>
    <col min="14617" max="14617" width="7.25" style="255" customWidth="1"/>
    <col min="14618" max="14618" width="9.125" style="255" customWidth="1"/>
    <col min="14619" max="14619" width="15.125" style="255" customWidth="1"/>
    <col min="14620" max="14620" width="7.75" style="255" customWidth="1"/>
    <col min="14621" max="14621" width="7.125" style="255" customWidth="1"/>
    <col min="14622" max="14622" width="12.125" style="255" customWidth="1"/>
    <col min="14623" max="14623" width="8.25" style="255" customWidth="1"/>
    <col min="14624" max="14625" width="10.375" style="255" customWidth="1"/>
    <col min="14626" max="14626" width="15.625" style="255" customWidth="1"/>
    <col min="14627" max="14627" width="15.875" style="255" customWidth="1"/>
    <col min="14628" max="14628" width="8.125" style="255" customWidth="1"/>
    <col min="14629" max="14632" width="10.375" style="255" customWidth="1"/>
    <col min="14633" max="14633" width="7.25" style="255" customWidth="1"/>
    <col min="14634" max="14634" width="7.125" style="255" customWidth="1"/>
    <col min="14635" max="14635" width="9.5" style="255" customWidth="1"/>
    <col min="14636" max="14637" width="9" style="255" customWidth="1"/>
    <col min="14638" max="14638" width="16.125" style="255" customWidth="1"/>
    <col min="14639" max="14669" width="9" style="255" customWidth="1"/>
    <col min="14670" max="14829" width="25.25" style="255"/>
    <col min="14830" max="14859" width="9" style="255" customWidth="1"/>
    <col min="14860" max="14860" width="0.5" style="255" customWidth="1"/>
    <col min="14861" max="14861" width="25.25" style="255"/>
    <col min="14862" max="14862" width="0.5" style="255" customWidth="1"/>
    <col min="14863" max="14863" width="25.25" style="255"/>
    <col min="14864" max="14864" width="14.75" style="255" customWidth="1"/>
    <col min="14865" max="14865" width="11.5" style="255" customWidth="1"/>
    <col min="14866" max="14866" width="11.25" style="255" customWidth="1"/>
    <col min="14867" max="14867" width="10.75" style="255" customWidth="1"/>
    <col min="14868" max="14868" width="10" style="255" customWidth="1"/>
    <col min="14869" max="14869" width="9.875" style="255" customWidth="1"/>
    <col min="14870" max="14870" width="26.125" style="255" customWidth="1"/>
    <col min="14871" max="14871" width="11.125" style="255" customWidth="1"/>
    <col min="14872" max="14872" width="7.875" style="255" customWidth="1"/>
    <col min="14873" max="14873" width="7.25" style="255" customWidth="1"/>
    <col min="14874" max="14874" width="9.125" style="255" customWidth="1"/>
    <col min="14875" max="14875" width="15.125" style="255" customWidth="1"/>
    <col min="14876" max="14876" width="7.75" style="255" customWidth="1"/>
    <col min="14877" max="14877" width="7.125" style="255" customWidth="1"/>
    <col min="14878" max="14878" width="12.125" style="255" customWidth="1"/>
    <col min="14879" max="14879" width="8.25" style="255" customWidth="1"/>
    <col min="14880" max="14881" width="10.375" style="255" customWidth="1"/>
    <col min="14882" max="14882" width="15.625" style="255" customWidth="1"/>
    <col min="14883" max="14883" width="15.875" style="255" customWidth="1"/>
    <col min="14884" max="14884" width="8.125" style="255" customWidth="1"/>
    <col min="14885" max="14888" width="10.375" style="255" customWidth="1"/>
    <col min="14889" max="14889" width="7.25" style="255" customWidth="1"/>
    <col min="14890" max="14890" width="7.125" style="255" customWidth="1"/>
    <col min="14891" max="14891" width="9.5" style="255" customWidth="1"/>
    <col min="14892" max="14893" width="9" style="255" customWidth="1"/>
    <col min="14894" max="14894" width="16.125" style="255" customWidth="1"/>
    <col min="14895" max="14925" width="9" style="255" customWidth="1"/>
    <col min="14926" max="15085" width="25.25" style="255"/>
    <col min="15086" max="15115" width="9" style="255" customWidth="1"/>
    <col min="15116" max="15116" width="0.5" style="255" customWidth="1"/>
    <col min="15117" max="15117" width="25.25" style="255"/>
    <col min="15118" max="15118" width="0.5" style="255" customWidth="1"/>
    <col min="15119" max="15119" width="25.25" style="255"/>
    <col min="15120" max="15120" width="14.75" style="255" customWidth="1"/>
    <col min="15121" max="15121" width="11.5" style="255" customWidth="1"/>
    <col min="15122" max="15122" width="11.25" style="255" customWidth="1"/>
    <col min="15123" max="15123" width="10.75" style="255" customWidth="1"/>
    <col min="15124" max="15124" width="10" style="255" customWidth="1"/>
    <col min="15125" max="15125" width="9.875" style="255" customWidth="1"/>
    <col min="15126" max="15126" width="26.125" style="255" customWidth="1"/>
    <col min="15127" max="15127" width="11.125" style="255" customWidth="1"/>
    <col min="15128" max="15128" width="7.875" style="255" customWidth="1"/>
    <col min="15129" max="15129" width="7.25" style="255" customWidth="1"/>
    <col min="15130" max="15130" width="9.125" style="255" customWidth="1"/>
    <col min="15131" max="15131" width="15.125" style="255" customWidth="1"/>
    <col min="15132" max="15132" width="7.75" style="255" customWidth="1"/>
    <col min="15133" max="15133" width="7.125" style="255" customWidth="1"/>
    <col min="15134" max="15134" width="12.125" style="255" customWidth="1"/>
    <col min="15135" max="15135" width="8.25" style="255" customWidth="1"/>
    <col min="15136" max="15137" width="10.375" style="255" customWidth="1"/>
    <col min="15138" max="15138" width="15.625" style="255" customWidth="1"/>
    <col min="15139" max="15139" width="15.875" style="255" customWidth="1"/>
    <col min="15140" max="15140" width="8.125" style="255" customWidth="1"/>
    <col min="15141" max="15144" width="10.375" style="255" customWidth="1"/>
    <col min="15145" max="15145" width="7.25" style="255" customWidth="1"/>
    <col min="15146" max="15146" width="7.125" style="255" customWidth="1"/>
    <col min="15147" max="15147" width="9.5" style="255" customWidth="1"/>
    <col min="15148" max="15149" width="9" style="255" customWidth="1"/>
    <col min="15150" max="15150" width="16.125" style="255" customWidth="1"/>
    <col min="15151" max="15181" width="9" style="255" customWidth="1"/>
    <col min="15182" max="15341" width="25.25" style="255"/>
    <col min="15342" max="15371" width="9" style="255" customWidth="1"/>
    <col min="15372" max="15372" width="0.5" style="255" customWidth="1"/>
    <col min="15373" max="15373" width="25.25" style="255"/>
    <col min="15374" max="15374" width="0.5" style="255" customWidth="1"/>
    <col min="15375" max="15375" width="25.25" style="255"/>
    <col min="15376" max="15376" width="14.75" style="255" customWidth="1"/>
    <col min="15377" max="15377" width="11.5" style="255" customWidth="1"/>
    <col min="15378" max="15378" width="11.25" style="255" customWidth="1"/>
    <col min="15379" max="15379" width="10.75" style="255" customWidth="1"/>
    <col min="15380" max="15380" width="10" style="255" customWidth="1"/>
    <col min="15381" max="15381" width="9.875" style="255" customWidth="1"/>
    <col min="15382" max="15382" width="26.125" style="255" customWidth="1"/>
    <col min="15383" max="15383" width="11.125" style="255" customWidth="1"/>
    <col min="15384" max="15384" width="7.875" style="255" customWidth="1"/>
    <col min="15385" max="15385" width="7.25" style="255" customWidth="1"/>
    <col min="15386" max="15386" width="9.125" style="255" customWidth="1"/>
    <col min="15387" max="15387" width="15.125" style="255" customWidth="1"/>
    <col min="15388" max="15388" width="7.75" style="255" customWidth="1"/>
    <col min="15389" max="15389" width="7.125" style="255" customWidth="1"/>
    <col min="15390" max="15390" width="12.125" style="255" customWidth="1"/>
    <col min="15391" max="15391" width="8.25" style="255" customWidth="1"/>
    <col min="15392" max="15393" width="10.375" style="255" customWidth="1"/>
    <col min="15394" max="15394" width="15.625" style="255" customWidth="1"/>
    <col min="15395" max="15395" width="15.875" style="255" customWidth="1"/>
    <col min="15396" max="15396" width="8.125" style="255" customWidth="1"/>
    <col min="15397" max="15400" width="10.375" style="255" customWidth="1"/>
    <col min="15401" max="15401" width="7.25" style="255" customWidth="1"/>
    <col min="15402" max="15402" width="7.125" style="255" customWidth="1"/>
    <col min="15403" max="15403" width="9.5" style="255" customWidth="1"/>
    <col min="15404" max="15405" width="9" style="255" customWidth="1"/>
    <col min="15406" max="15406" width="16.125" style="255" customWidth="1"/>
    <col min="15407" max="15437" width="9" style="255" customWidth="1"/>
    <col min="15438" max="15597" width="25.25" style="255"/>
    <col min="15598" max="15627" width="9" style="255" customWidth="1"/>
    <col min="15628" max="15628" width="0.5" style="255" customWidth="1"/>
    <col min="15629" max="15629" width="25.25" style="255"/>
    <col min="15630" max="15630" width="0.5" style="255" customWidth="1"/>
    <col min="15631" max="15631" width="25.25" style="255"/>
    <col min="15632" max="15632" width="14.75" style="255" customWidth="1"/>
    <col min="15633" max="15633" width="11.5" style="255" customWidth="1"/>
    <col min="15634" max="15634" width="11.25" style="255" customWidth="1"/>
    <col min="15635" max="15635" width="10.75" style="255" customWidth="1"/>
    <col min="15636" max="15636" width="10" style="255" customWidth="1"/>
    <col min="15637" max="15637" width="9.875" style="255" customWidth="1"/>
    <col min="15638" max="15638" width="26.125" style="255" customWidth="1"/>
    <col min="15639" max="15639" width="11.125" style="255" customWidth="1"/>
    <col min="15640" max="15640" width="7.875" style="255" customWidth="1"/>
    <col min="15641" max="15641" width="7.25" style="255" customWidth="1"/>
    <col min="15642" max="15642" width="9.125" style="255" customWidth="1"/>
    <col min="15643" max="15643" width="15.125" style="255" customWidth="1"/>
    <col min="15644" max="15644" width="7.75" style="255" customWidth="1"/>
    <col min="15645" max="15645" width="7.125" style="255" customWidth="1"/>
    <col min="15646" max="15646" width="12.125" style="255" customWidth="1"/>
    <col min="15647" max="15647" width="8.25" style="255" customWidth="1"/>
    <col min="15648" max="15649" width="10.375" style="255" customWidth="1"/>
    <col min="15650" max="15650" width="15.625" style="255" customWidth="1"/>
    <col min="15651" max="15651" width="15.875" style="255" customWidth="1"/>
    <col min="15652" max="15652" width="8.125" style="255" customWidth="1"/>
    <col min="15653" max="15656" width="10.375" style="255" customWidth="1"/>
    <col min="15657" max="15657" width="7.25" style="255" customWidth="1"/>
    <col min="15658" max="15658" width="7.125" style="255" customWidth="1"/>
    <col min="15659" max="15659" width="9.5" style="255" customWidth="1"/>
    <col min="15660" max="15661" width="9" style="255" customWidth="1"/>
    <col min="15662" max="15662" width="16.125" style="255" customWidth="1"/>
    <col min="15663" max="15693" width="9" style="255" customWidth="1"/>
    <col min="15694" max="15853" width="25.25" style="255"/>
    <col min="15854" max="15883" width="9" style="255" customWidth="1"/>
    <col min="15884" max="15884" width="0.5" style="255" customWidth="1"/>
    <col min="15885" max="15885" width="25.25" style="255"/>
    <col min="15886" max="15886" width="0.5" style="255" customWidth="1"/>
    <col min="15887" max="15887" width="25.25" style="255"/>
    <col min="15888" max="15888" width="14.75" style="255" customWidth="1"/>
    <col min="15889" max="15889" width="11.5" style="255" customWidth="1"/>
    <col min="15890" max="15890" width="11.25" style="255" customWidth="1"/>
    <col min="15891" max="15891" width="10.75" style="255" customWidth="1"/>
    <col min="15892" max="15892" width="10" style="255" customWidth="1"/>
    <col min="15893" max="15893" width="9.875" style="255" customWidth="1"/>
    <col min="15894" max="15894" width="26.125" style="255" customWidth="1"/>
    <col min="15895" max="15895" width="11.125" style="255" customWidth="1"/>
    <col min="15896" max="15896" width="7.875" style="255" customWidth="1"/>
    <col min="15897" max="15897" width="7.25" style="255" customWidth="1"/>
    <col min="15898" max="15898" width="9.125" style="255" customWidth="1"/>
    <col min="15899" max="15899" width="15.125" style="255" customWidth="1"/>
    <col min="15900" max="15900" width="7.75" style="255" customWidth="1"/>
    <col min="15901" max="15901" width="7.125" style="255" customWidth="1"/>
    <col min="15902" max="15902" width="12.125" style="255" customWidth="1"/>
    <col min="15903" max="15903" width="8.25" style="255" customWidth="1"/>
    <col min="15904" max="15905" width="10.375" style="255" customWidth="1"/>
    <col min="15906" max="15906" width="15.625" style="255" customWidth="1"/>
    <col min="15907" max="15907" width="15.875" style="255" customWidth="1"/>
    <col min="15908" max="15908" width="8.125" style="255" customWidth="1"/>
    <col min="15909" max="15912" width="10.375" style="255" customWidth="1"/>
    <col min="15913" max="15913" width="7.25" style="255" customWidth="1"/>
    <col min="15914" max="15914" width="7.125" style="255" customWidth="1"/>
    <col min="15915" max="15915" width="9.5" style="255" customWidth="1"/>
    <col min="15916" max="15917" width="9" style="255" customWidth="1"/>
    <col min="15918" max="15918" width="16.125" style="255" customWidth="1"/>
    <col min="15919" max="15949" width="9" style="255" customWidth="1"/>
    <col min="15950" max="16109" width="25.25" style="255"/>
    <col min="16110" max="16139" width="9" style="255" customWidth="1"/>
    <col min="16140" max="16140" width="0.5" style="255" customWidth="1"/>
    <col min="16141" max="16384" width="25.25" style="255"/>
  </cols>
  <sheetData>
    <row r="1" spans="1:16" ht="14.25" thickBot="1"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1"/>
      <c r="O1" s="1"/>
      <c r="P1" s="1"/>
    </row>
    <row r="2" spans="1:16" ht="18" customHeight="1">
      <c r="A2" s="5"/>
      <c r="B2" s="6" t="s">
        <v>402</v>
      </c>
      <c r="C2" s="444"/>
      <c r="D2" s="444" t="s">
        <v>9</v>
      </c>
      <c r="E2" s="444" t="s">
        <v>10</v>
      </c>
      <c r="F2" s="661" t="s">
        <v>11</v>
      </c>
      <c r="G2" s="661"/>
      <c r="H2" s="661"/>
      <c r="I2" s="662" t="s">
        <v>12</v>
      </c>
      <c r="J2" s="664" t="s">
        <v>13</v>
      </c>
      <c r="K2" s="665"/>
      <c r="L2" s="665"/>
      <c r="M2" s="666"/>
      <c r="N2" s="8"/>
      <c r="O2" s="8"/>
      <c r="P2" s="8"/>
    </row>
    <row r="3" spans="1:16" ht="18" customHeight="1">
      <c r="B3" s="9" t="s">
        <v>14</v>
      </c>
      <c r="C3" s="10" t="s">
        <v>15</v>
      </c>
      <c r="D3" s="10" t="s">
        <v>16</v>
      </c>
      <c r="E3" s="10" t="s">
        <v>17</v>
      </c>
      <c r="F3" s="10" t="s">
        <v>7</v>
      </c>
      <c r="G3" s="10" t="s">
        <v>5</v>
      </c>
      <c r="H3" s="10" t="s">
        <v>18</v>
      </c>
      <c r="I3" s="663"/>
      <c r="J3" s="11" t="s">
        <v>19</v>
      </c>
      <c r="K3" s="12" t="s">
        <v>20</v>
      </c>
      <c r="L3" s="12" t="s">
        <v>21</v>
      </c>
      <c r="M3" s="13" t="s">
        <v>22</v>
      </c>
      <c r="N3" s="14"/>
      <c r="P3" s="15"/>
    </row>
    <row r="4" spans="1:16" ht="18" customHeight="1">
      <c r="B4" s="667" t="str">
        <f ca="1">MID(CELL("filename",Q13),FIND("]",CELL("filename",Q13))+1,30)</f>
        <v>MLC2324A</v>
      </c>
      <c r="C4" s="17" t="s">
        <v>23</v>
      </c>
      <c r="D4" s="17">
        <v>2300</v>
      </c>
      <c r="E4" s="17">
        <v>2400</v>
      </c>
      <c r="F4" s="222">
        <f>D4*E4/10^6</f>
        <v>5.52</v>
      </c>
      <c r="G4" s="17">
        <v>1</v>
      </c>
      <c r="H4" s="17">
        <f>F4*G4</f>
        <v>5.52</v>
      </c>
      <c r="I4" s="663"/>
      <c r="J4" s="19">
        <v>40</v>
      </c>
      <c r="K4" s="20">
        <v>20</v>
      </c>
      <c r="L4" s="21">
        <v>1.5</v>
      </c>
      <c r="M4" s="22">
        <f t="shared" ref="M4:M11" si="0">ROUND(((J4*K4)-(J4-2*L4)*(K4-2*L4))*7.8/1000,3)</f>
        <v>1.3340000000000001</v>
      </c>
    </row>
    <row r="5" spans="1:16" ht="18" customHeight="1">
      <c r="B5" s="668"/>
      <c r="C5" s="221" t="s">
        <v>299</v>
      </c>
      <c r="D5" s="221">
        <f>D4-70</f>
        <v>2230</v>
      </c>
      <c r="E5" s="221">
        <f>E4-70</f>
        <v>2330</v>
      </c>
      <c r="F5" s="222">
        <f>D5*E5/10^6</f>
        <v>5.1959</v>
      </c>
      <c r="G5" s="221">
        <v>1</v>
      </c>
      <c r="H5" s="222">
        <f>F5*G5</f>
        <v>5.1959</v>
      </c>
      <c r="I5" s="663"/>
      <c r="J5" s="19">
        <v>40</v>
      </c>
      <c r="K5" s="20">
        <v>20</v>
      </c>
      <c r="L5" s="21">
        <v>2</v>
      </c>
      <c r="M5" s="22">
        <f t="shared" si="0"/>
        <v>1.7470000000000001</v>
      </c>
    </row>
    <row r="6" spans="1:16" ht="18" customHeight="1">
      <c r="B6" s="669"/>
      <c r="C6" s="17" t="s">
        <v>24</v>
      </c>
      <c r="D6" s="17">
        <f>D4-80</f>
        <v>2220</v>
      </c>
      <c r="E6" s="17">
        <f>E4-80</f>
        <v>2320</v>
      </c>
      <c r="F6" s="18">
        <f>D6*E6/10^6</f>
        <v>5.1504000000000003</v>
      </c>
      <c r="G6" s="17">
        <v>1</v>
      </c>
      <c r="H6" s="18">
        <f>F6*G6</f>
        <v>5.1504000000000003</v>
      </c>
      <c r="I6" s="663"/>
      <c r="J6" s="19">
        <v>40</v>
      </c>
      <c r="K6" s="20">
        <v>20</v>
      </c>
      <c r="L6" s="21">
        <v>2</v>
      </c>
      <c r="M6" s="22">
        <f t="shared" si="0"/>
        <v>1.7470000000000001</v>
      </c>
    </row>
    <row r="7" spans="1:16" ht="18" customHeight="1">
      <c r="B7" s="23" t="s">
        <v>25</v>
      </c>
      <c r="C7" s="442" t="s">
        <v>16</v>
      </c>
      <c r="D7" s="442" t="s">
        <v>26</v>
      </c>
      <c r="E7" s="442" t="s">
        <v>17</v>
      </c>
      <c r="F7" s="442" t="s">
        <v>27</v>
      </c>
      <c r="G7" s="442" t="s">
        <v>22</v>
      </c>
      <c r="H7" s="442" t="s">
        <v>28</v>
      </c>
      <c r="I7" s="25" t="s">
        <v>29</v>
      </c>
      <c r="J7" s="19">
        <v>80</v>
      </c>
      <c r="K7" s="20">
        <v>40</v>
      </c>
      <c r="L7" s="21">
        <v>2</v>
      </c>
      <c r="M7" s="22">
        <f t="shared" si="0"/>
        <v>3.6190000000000002</v>
      </c>
    </row>
    <row r="8" spans="1:16" ht="18" customHeight="1">
      <c r="B8" s="441" t="s">
        <v>30</v>
      </c>
      <c r="C8" s="27">
        <f>D4-30</f>
        <v>2270</v>
      </c>
      <c r="D8" s="27">
        <v>2</v>
      </c>
      <c r="E8" s="27">
        <f>E4-30</f>
        <v>2370</v>
      </c>
      <c r="F8" s="27">
        <v>2</v>
      </c>
      <c r="G8" s="28">
        <v>1.7470000000000001</v>
      </c>
      <c r="H8" s="29">
        <f>材料价格!B3</f>
        <v>7.5</v>
      </c>
      <c r="I8" s="30">
        <f>ROUND((C8*D8+E8*F8)*G8*H8/1000*1.1,2)</f>
        <v>133.75</v>
      </c>
      <c r="J8" s="19">
        <v>40</v>
      </c>
      <c r="K8" s="20">
        <v>20</v>
      </c>
      <c r="L8" s="21">
        <v>1.4</v>
      </c>
      <c r="M8" s="22">
        <f>ROUND(((J8*K8)-(J8-2*L8)*(K8-2*L8))*2.71/1000,3)</f>
        <v>0.434</v>
      </c>
    </row>
    <row r="9" spans="1:16" ht="18" customHeight="1">
      <c r="B9" s="441" t="s">
        <v>30</v>
      </c>
      <c r="C9" s="440"/>
      <c r="D9" s="440"/>
      <c r="E9" s="440"/>
      <c r="F9" s="440"/>
      <c r="G9" s="28">
        <v>1.7470000000000001</v>
      </c>
      <c r="H9" s="32">
        <f>H8</f>
        <v>7.5</v>
      </c>
      <c r="I9" s="30">
        <f>ROUND((C9*D9+E9*F9)*G9*H9/1000*1.1,2)</f>
        <v>0</v>
      </c>
      <c r="J9" s="19"/>
      <c r="K9" s="20"/>
      <c r="L9" s="21"/>
      <c r="M9" s="22">
        <f t="shared" si="0"/>
        <v>0</v>
      </c>
    </row>
    <row r="10" spans="1:16" ht="18" customHeight="1">
      <c r="B10" s="441" t="s">
        <v>31</v>
      </c>
      <c r="C10" s="440"/>
      <c r="D10" s="440"/>
      <c r="E10" s="440"/>
      <c r="F10" s="440"/>
      <c r="G10" s="28">
        <v>3.6190000000000002</v>
      </c>
      <c r="H10" s="32">
        <f>H9</f>
        <v>7.5</v>
      </c>
      <c r="I10" s="30">
        <f>ROUND((C10*D10+E10*F10)*G10*H10/1000*1.1,2)</f>
        <v>0</v>
      </c>
      <c r="J10" s="19"/>
      <c r="K10" s="20"/>
      <c r="L10" s="12"/>
      <c r="M10" s="22">
        <f t="shared" si="0"/>
        <v>0</v>
      </c>
    </row>
    <row r="11" spans="1:16" ht="18" customHeight="1" thickBot="1">
      <c r="B11" s="441" t="s">
        <v>32</v>
      </c>
      <c r="C11" s="440"/>
      <c r="D11" s="440"/>
      <c r="E11" s="440"/>
      <c r="F11" s="440"/>
      <c r="G11" s="28">
        <v>2.9950000000000001</v>
      </c>
      <c r="H11" s="32">
        <f>H10</f>
        <v>7.5</v>
      </c>
      <c r="I11" s="30">
        <f>ROUND((C11*D11+E11*F11)*G11*H11/1000*1.1,2)</f>
        <v>0</v>
      </c>
      <c r="J11" s="33"/>
      <c r="K11" s="34"/>
      <c r="L11" s="35"/>
      <c r="M11" s="36">
        <f t="shared" si="0"/>
        <v>0</v>
      </c>
    </row>
    <row r="12" spans="1:16" ht="18" customHeight="1">
      <c r="B12" s="37" t="s">
        <v>33</v>
      </c>
      <c r="C12" s="38">
        <f>((I9+I10+I8+I11)/H8)/F4</f>
        <v>3.2306763285024154</v>
      </c>
      <c r="D12" s="39" t="s">
        <v>34</v>
      </c>
      <c r="E12" s="38">
        <f>(I9+I10+I8+I11)/F4</f>
        <v>24.230072463768117</v>
      </c>
      <c r="F12" s="40" t="s">
        <v>35</v>
      </c>
      <c r="G12" s="39"/>
      <c r="H12" s="39">
        <f>ROUND(SUM(I8:I11)/H8,2)</f>
        <v>17.829999999999998</v>
      </c>
      <c r="I12" s="41">
        <f>SUM(I8:I11)</f>
        <v>133.75</v>
      </c>
      <c r="J12" s="42"/>
    </row>
    <row r="13" spans="1:16" ht="18" customHeight="1">
      <c r="B13" s="23" t="s">
        <v>36</v>
      </c>
      <c r="C13" s="442" t="s">
        <v>14</v>
      </c>
      <c r="D13" s="442" t="s">
        <v>37</v>
      </c>
      <c r="E13" s="442" t="s">
        <v>38</v>
      </c>
      <c r="F13" s="442" t="s">
        <v>39</v>
      </c>
      <c r="G13" s="442" t="s">
        <v>8</v>
      </c>
      <c r="H13" s="442" t="s">
        <v>22</v>
      </c>
      <c r="I13" s="25" t="s">
        <v>40</v>
      </c>
    </row>
    <row r="14" spans="1:16" ht="18" customHeight="1">
      <c r="B14" s="648" t="s">
        <v>41</v>
      </c>
      <c r="C14" s="649" t="s">
        <v>404</v>
      </c>
      <c r="D14" s="440">
        <f>D6-D108</f>
        <v>420</v>
      </c>
      <c r="E14" s="440">
        <f>E6</f>
        <v>2320</v>
      </c>
      <c r="F14" s="44">
        <f>ROUND((D14+E14)*2/1000,4)</f>
        <v>5.48</v>
      </c>
      <c r="G14" s="440">
        <v>1</v>
      </c>
      <c r="H14" s="440">
        <v>1.47</v>
      </c>
      <c r="I14" s="284">
        <f>ROUND(F14*G14*H14,3)*1.5</f>
        <v>12.084</v>
      </c>
      <c r="J14" s="42"/>
      <c r="K14" s="46"/>
      <c r="L14" s="46"/>
      <c r="M14" s="42"/>
    </row>
    <row r="15" spans="1:16" ht="18" customHeight="1">
      <c r="B15" s="648"/>
      <c r="C15" s="650"/>
      <c r="D15" s="440"/>
      <c r="E15" s="440"/>
      <c r="F15" s="44">
        <f t="shared" ref="F15:F21" si="1">ROUND((D15+E15)*2/1000,4)</f>
        <v>0</v>
      </c>
      <c r="G15" s="440"/>
      <c r="H15" s="440">
        <f t="shared" ref="H15:H21" si="2">H14</f>
        <v>1.47</v>
      </c>
      <c r="I15" s="437">
        <f t="shared" ref="I15:I21" si="3">ROUND(F15*G15*H15,3)</f>
        <v>0</v>
      </c>
      <c r="K15" s="47"/>
      <c r="M15" s="255"/>
    </row>
    <row r="16" spans="1:16" ht="18" customHeight="1">
      <c r="B16" s="648"/>
      <c r="C16" s="650"/>
      <c r="D16" s="440"/>
      <c r="E16" s="440"/>
      <c r="F16" s="44">
        <f t="shared" si="1"/>
        <v>0</v>
      </c>
      <c r="G16" s="440"/>
      <c r="H16" s="440">
        <f t="shared" si="2"/>
        <v>1.47</v>
      </c>
      <c r="I16" s="437">
        <f t="shared" si="3"/>
        <v>0</v>
      </c>
      <c r="K16" s="47"/>
      <c r="L16" s="46"/>
      <c r="M16" s="42"/>
    </row>
    <row r="17" spans="2:15" ht="18" customHeight="1">
      <c r="B17" s="648"/>
      <c r="C17" s="650"/>
      <c r="D17" s="440"/>
      <c r="E17" s="440"/>
      <c r="F17" s="44">
        <f t="shared" si="1"/>
        <v>0</v>
      </c>
      <c r="G17" s="440"/>
      <c r="H17" s="440">
        <f t="shared" si="2"/>
        <v>1.47</v>
      </c>
      <c r="I17" s="437">
        <f t="shared" si="3"/>
        <v>0</v>
      </c>
      <c r="K17" s="47"/>
      <c r="M17" s="42"/>
    </row>
    <row r="18" spans="2:15" ht="18" customHeight="1">
      <c r="B18" s="648"/>
      <c r="C18" s="650"/>
      <c r="D18" s="440"/>
      <c r="E18" s="440"/>
      <c r="F18" s="44">
        <f t="shared" si="1"/>
        <v>0</v>
      </c>
      <c r="G18" s="440"/>
      <c r="H18" s="440">
        <f t="shared" si="2"/>
        <v>1.47</v>
      </c>
      <c r="I18" s="437">
        <f t="shared" si="3"/>
        <v>0</v>
      </c>
      <c r="M18" s="42"/>
    </row>
    <row r="19" spans="2:15" ht="18" customHeight="1">
      <c r="B19" s="648"/>
      <c r="C19" s="650"/>
      <c r="D19" s="440"/>
      <c r="E19" s="440"/>
      <c r="F19" s="44">
        <f t="shared" si="1"/>
        <v>0</v>
      </c>
      <c r="G19" s="440"/>
      <c r="H19" s="440">
        <f t="shared" si="2"/>
        <v>1.47</v>
      </c>
      <c r="I19" s="437">
        <f t="shared" si="3"/>
        <v>0</v>
      </c>
      <c r="M19" s="42"/>
    </row>
    <row r="20" spans="2:15" ht="18" customHeight="1">
      <c r="B20" s="648"/>
      <c r="C20" s="650"/>
      <c r="D20" s="440"/>
      <c r="E20" s="440"/>
      <c r="F20" s="44">
        <f t="shared" si="1"/>
        <v>0</v>
      </c>
      <c r="G20" s="440"/>
      <c r="H20" s="440">
        <f t="shared" si="2"/>
        <v>1.47</v>
      </c>
      <c r="I20" s="437">
        <f t="shared" si="3"/>
        <v>0</v>
      </c>
      <c r="K20" s="47"/>
      <c r="M20" s="42"/>
    </row>
    <row r="21" spans="2:15" ht="18" customHeight="1">
      <c r="B21" s="648"/>
      <c r="C21" s="651"/>
      <c r="D21" s="440"/>
      <c r="E21" s="440"/>
      <c r="F21" s="44">
        <f t="shared" si="1"/>
        <v>0</v>
      </c>
      <c r="G21" s="440"/>
      <c r="H21" s="440">
        <f t="shared" si="2"/>
        <v>1.47</v>
      </c>
      <c r="I21" s="437">
        <f t="shared" si="3"/>
        <v>0</v>
      </c>
    </row>
    <row r="22" spans="2:15" ht="18" customHeight="1">
      <c r="B22" s="48" t="s">
        <v>42</v>
      </c>
      <c r="C22" s="49">
        <f>SUMPRODUCT(F14:F21*G14:G21)</f>
        <v>5.48</v>
      </c>
      <c r="D22" s="50" t="s">
        <v>43</v>
      </c>
      <c r="E22" s="49">
        <f>SUM(I14:I21)*1.1</f>
        <v>13.292400000000001</v>
      </c>
      <c r="F22" s="50" t="s">
        <v>44</v>
      </c>
      <c r="G22" s="51">
        <f>(C$218+C$219)/1000</f>
        <v>46.081499999999998</v>
      </c>
      <c r="H22" s="52" t="s">
        <v>45</v>
      </c>
      <c r="I22" s="53">
        <f>ROUND(E22*G22,2)</f>
        <v>612.53</v>
      </c>
      <c r="J22" s="243">
        <f>SUM(G14:G21)</f>
        <v>1</v>
      </c>
    </row>
    <row r="23" spans="2:15" ht="18" customHeight="1">
      <c r="B23" s="48" t="s">
        <v>46</v>
      </c>
      <c r="C23" s="50">
        <v>207.36</v>
      </c>
      <c r="D23" s="50" t="s">
        <v>47</v>
      </c>
      <c r="E23" s="49">
        <f>ROUND(C22*(C23/1000),2)</f>
        <v>1.1399999999999999</v>
      </c>
      <c r="F23" s="50" t="s">
        <v>48</v>
      </c>
      <c r="G23" s="50">
        <v>10</v>
      </c>
      <c r="H23" s="52" t="s">
        <v>49</v>
      </c>
      <c r="I23" s="53">
        <f>E23*G23</f>
        <v>11.399999999999999</v>
      </c>
    </row>
    <row r="24" spans="2:15" ht="18" customHeight="1" thickBot="1">
      <c r="B24" s="48" t="s">
        <v>50</v>
      </c>
      <c r="C24" s="50">
        <v>169.96</v>
      </c>
      <c r="D24" s="50" t="s">
        <v>51</v>
      </c>
      <c r="E24" s="49">
        <f>ROUND(C22*(C24/1000),2)</f>
        <v>0.93</v>
      </c>
      <c r="F24" s="50" t="s">
        <v>48</v>
      </c>
      <c r="G24" s="50">
        <v>10</v>
      </c>
      <c r="H24" s="52" t="s">
        <v>49</v>
      </c>
      <c r="I24" s="53">
        <f>E24*G24</f>
        <v>9.3000000000000007</v>
      </c>
    </row>
    <row r="25" spans="2:15" ht="18" customHeight="1">
      <c r="B25" s="23" t="s">
        <v>36</v>
      </c>
      <c r="C25" s="442" t="s">
        <v>14</v>
      </c>
      <c r="D25" s="442" t="s">
        <v>37</v>
      </c>
      <c r="E25" s="442" t="s">
        <v>38</v>
      </c>
      <c r="F25" s="442" t="s">
        <v>39</v>
      </c>
      <c r="G25" s="442" t="s">
        <v>8</v>
      </c>
      <c r="H25" s="442" t="s">
        <v>22</v>
      </c>
      <c r="I25" s="25" t="s">
        <v>40</v>
      </c>
      <c r="J25" s="54" t="s">
        <v>2</v>
      </c>
      <c r="K25" s="55" t="s">
        <v>3</v>
      </c>
      <c r="L25" s="55" t="s">
        <v>52</v>
      </c>
      <c r="M25" s="55" t="s">
        <v>53</v>
      </c>
      <c r="N25" s="56" t="s">
        <v>14</v>
      </c>
    </row>
    <row r="26" spans="2:15" ht="18" customHeight="1">
      <c r="B26" s="648" t="s">
        <v>54</v>
      </c>
      <c r="C26" s="649" t="s">
        <v>55</v>
      </c>
      <c r="D26" s="443">
        <f>J26-IF(L26=1,44,IF(L26=2,30,IF(L26=3,16,0)))</f>
        <v>0</v>
      </c>
      <c r="E26" s="443">
        <f>K26-IF(M26=1,44,IF(M26=2,30,IF(M26=3,16,0)))</f>
        <v>0</v>
      </c>
      <c r="F26" s="44">
        <f>ROUND((D26+E26)*2/1000,4)</f>
        <v>0</v>
      </c>
      <c r="G26" s="440"/>
      <c r="H26" s="58">
        <v>1.62</v>
      </c>
      <c r="I26" s="59">
        <f>IF(AND(D26&gt;0,E26&gt;0,F26&gt;0),F26*G26*H26,0)</f>
        <v>0</v>
      </c>
      <c r="J26" s="60"/>
      <c r="K26" s="61"/>
      <c r="L26" s="61"/>
      <c r="M26" s="61"/>
      <c r="N26" s="62" t="s">
        <v>56</v>
      </c>
      <c r="O26" s="63" t="s">
        <v>57</v>
      </c>
    </row>
    <row r="27" spans="2:15" ht="18" customHeight="1">
      <c r="B27" s="648"/>
      <c r="C27" s="650"/>
      <c r="D27" s="443">
        <f t="shared" ref="D27:E30" si="4">J27-IF(L27=1,44,IF(L27=2,30,IF(L27=3,16,0)))</f>
        <v>0</v>
      </c>
      <c r="E27" s="443">
        <f t="shared" si="4"/>
        <v>0</v>
      </c>
      <c r="F27" s="44">
        <f>ROUND((D27+E27)*2/1000,4)</f>
        <v>0</v>
      </c>
      <c r="G27" s="440"/>
      <c r="H27" s="58">
        <f>H26</f>
        <v>1.62</v>
      </c>
      <c r="I27" s="59">
        <f>IF(AND(D27&gt;0,E27&gt;0,F27&gt;0),F27*G27*H27,0)</f>
        <v>0</v>
      </c>
      <c r="J27" s="60"/>
      <c r="K27" s="61"/>
      <c r="L27" s="61"/>
      <c r="M27" s="61"/>
      <c r="N27" s="62" t="s">
        <v>58</v>
      </c>
      <c r="O27" s="63" t="s">
        <v>59</v>
      </c>
    </row>
    <row r="28" spans="2:15" ht="18" customHeight="1">
      <c r="B28" s="648"/>
      <c r="C28" s="650"/>
      <c r="D28" s="443">
        <f t="shared" si="4"/>
        <v>0</v>
      </c>
      <c r="E28" s="443">
        <f t="shared" si="4"/>
        <v>0</v>
      </c>
      <c r="F28" s="44">
        <f>ROUND((D28+E28)*2/1000,4)</f>
        <v>0</v>
      </c>
      <c r="G28" s="440"/>
      <c r="H28" s="58">
        <f>H27</f>
        <v>1.62</v>
      </c>
      <c r="I28" s="59">
        <f>IF(AND(D28&gt;0,E28&gt;0,F28&gt;0),F28*G28*H28,0)</f>
        <v>0</v>
      </c>
      <c r="J28" s="60"/>
      <c r="K28" s="61"/>
      <c r="L28" s="61"/>
      <c r="M28" s="61"/>
      <c r="N28" s="62" t="s">
        <v>60</v>
      </c>
      <c r="O28" s="63" t="s">
        <v>59</v>
      </c>
    </row>
    <row r="29" spans="2:15" ht="18" customHeight="1">
      <c r="B29" s="648"/>
      <c r="C29" s="650"/>
      <c r="D29" s="443">
        <f t="shared" si="4"/>
        <v>0</v>
      </c>
      <c r="E29" s="443">
        <f t="shared" si="4"/>
        <v>0</v>
      </c>
      <c r="F29" s="44">
        <f>ROUND((D29+E29)*2/1000,4)</f>
        <v>0</v>
      </c>
      <c r="G29" s="440"/>
      <c r="H29" s="58">
        <f>H28</f>
        <v>1.62</v>
      </c>
      <c r="I29" s="59">
        <f>IF(AND(D29&gt;0,E29&gt;0,F29&gt;0),F29*G29*H29,0)</f>
        <v>0</v>
      </c>
      <c r="J29" s="60"/>
      <c r="K29" s="61"/>
      <c r="L29" s="61"/>
      <c r="M29" s="61"/>
      <c r="N29" s="62"/>
    </row>
    <row r="30" spans="2:15" ht="18" customHeight="1" thickBot="1">
      <c r="B30" s="648"/>
      <c r="C30" s="651"/>
      <c r="D30" s="443">
        <f t="shared" si="4"/>
        <v>0</v>
      </c>
      <c r="E30" s="443">
        <f t="shared" si="4"/>
        <v>0</v>
      </c>
      <c r="F30" s="44">
        <f>ROUND((D30+E30)*2/1000,4)</f>
        <v>0</v>
      </c>
      <c r="G30" s="440"/>
      <c r="H30" s="58">
        <f>H29</f>
        <v>1.62</v>
      </c>
      <c r="I30" s="59">
        <f>IF(AND(D30&gt;0,E30&gt;0,F30&gt;0),F30*G30*H30,0)</f>
        <v>0</v>
      </c>
      <c r="J30" s="64"/>
      <c r="K30" s="65"/>
      <c r="L30" s="65"/>
      <c r="M30" s="65"/>
      <c r="N30" s="66"/>
    </row>
    <row r="31" spans="2:15" ht="18" customHeight="1">
      <c r="B31" s="48" t="s">
        <v>42</v>
      </c>
      <c r="C31" s="49">
        <f>SUMPRODUCT(F26:F30*G26:G30)</f>
        <v>0</v>
      </c>
      <c r="D31" s="50" t="s">
        <v>43</v>
      </c>
      <c r="E31" s="49">
        <f>SUM(I26:I30)*1.1</f>
        <v>0</v>
      </c>
      <c r="F31" s="50" t="s">
        <v>44</v>
      </c>
      <c r="G31" s="51">
        <f>(C$218+C$221)/1000</f>
        <v>46.081499999999998</v>
      </c>
      <c r="H31" s="52" t="s">
        <v>45</v>
      </c>
      <c r="I31" s="53">
        <f>ROUND(E31*G31,2)</f>
        <v>0</v>
      </c>
      <c r="J31" s="243">
        <f>SUM(G26:G30)</f>
        <v>0</v>
      </c>
    </row>
    <row r="32" spans="2:15" ht="18" customHeight="1">
      <c r="B32" s="48" t="s">
        <v>46</v>
      </c>
      <c r="C32" s="50">
        <v>183.32</v>
      </c>
      <c r="D32" s="50" t="s">
        <v>47</v>
      </c>
      <c r="E32" s="49">
        <f>ROUND(C31*(C32/1000),2)</f>
        <v>0</v>
      </c>
      <c r="F32" s="50" t="s">
        <v>48</v>
      </c>
      <c r="G32" s="50">
        <f>G$23</f>
        <v>10</v>
      </c>
      <c r="H32" s="52" t="s">
        <v>49</v>
      </c>
      <c r="I32" s="53">
        <f>E32*G32</f>
        <v>0</v>
      </c>
    </row>
    <row r="33" spans="2:14" ht="18" customHeight="1" thickBot="1">
      <c r="B33" s="48" t="s">
        <v>50</v>
      </c>
      <c r="C33" s="50">
        <v>257.82</v>
      </c>
      <c r="D33" s="50" t="s">
        <v>51</v>
      </c>
      <c r="E33" s="49">
        <f>ROUND(C31*(C33/1000),2)</f>
        <v>0</v>
      </c>
      <c r="F33" s="50" t="s">
        <v>48</v>
      </c>
      <c r="G33" s="50">
        <f>G$24</f>
        <v>10</v>
      </c>
      <c r="H33" s="52" t="s">
        <v>49</v>
      </c>
      <c r="I33" s="53">
        <f>E33*G33</f>
        <v>0</v>
      </c>
    </row>
    <row r="34" spans="2:14" ht="18" customHeight="1" thickBot="1">
      <c r="B34" s="67" t="s">
        <v>36</v>
      </c>
      <c r="C34" s="68" t="s">
        <v>14</v>
      </c>
      <c r="D34" s="68" t="s">
        <v>37</v>
      </c>
      <c r="E34" s="68" t="s">
        <v>38</v>
      </c>
      <c r="F34" s="68" t="s">
        <v>39</v>
      </c>
      <c r="G34" s="68" t="s">
        <v>8</v>
      </c>
      <c r="H34" s="68" t="s">
        <v>22</v>
      </c>
      <c r="I34" s="69" t="s">
        <v>40</v>
      </c>
      <c r="J34" s="54" t="s">
        <v>2</v>
      </c>
      <c r="K34" s="55" t="s">
        <v>3</v>
      </c>
      <c r="L34" s="55" t="s">
        <v>61</v>
      </c>
      <c r="M34" s="55" t="s">
        <v>62</v>
      </c>
      <c r="N34" s="70" t="s">
        <v>14</v>
      </c>
    </row>
    <row r="35" spans="2:14" ht="18" customHeight="1">
      <c r="B35" s="648" t="s">
        <v>63</v>
      </c>
      <c r="C35" s="649" t="s">
        <v>64</v>
      </c>
      <c r="D35" s="443">
        <f t="shared" ref="D35:E37" si="5">J35-IF(L35=1,44,IF(L35=2,30,IF(L35=3,16,IF(L35=11,118,IF(L35=12,100,IF(L35=13,76.8,0))))))</f>
        <v>0</v>
      </c>
      <c r="E35" s="443">
        <f t="shared" si="5"/>
        <v>0</v>
      </c>
      <c r="F35" s="440">
        <f>ROUND((D35+E35)*2/1000,4)</f>
        <v>0</v>
      </c>
      <c r="G35" s="440"/>
      <c r="H35" s="58">
        <v>1.8140000000000001</v>
      </c>
      <c r="I35" s="59">
        <f>ROUND(F35*G35*H35,3)</f>
        <v>0</v>
      </c>
      <c r="J35" s="60"/>
      <c r="K35" s="61"/>
      <c r="L35" s="61"/>
      <c r="M35" s="61"/>
      <c r="N35" s="71" t="s">
        <v>56</v>
      </c>
    </row>
    <row r="36" spans="2:14" ht="18" customHeight="1">
      <c r="B36" s="660"/>
      <c r="C36" s="650"/>
      <c r="D36" s="443">
        <f t="shared" si="5"/>
        <v>0</v>
      </c>
      <c r="E36" s="443">
        <f t="shared" si="5"/>
        <v>0</v>
      </c>
      <c r="F36" s="440">
        <f>ROUND((D36+E36)*2/1000,4)</f>
        <v>0</v>
      </c>
      <c r="G36" s="440"/>
      <c r="H36" s="58">
        <f>H35</f>
        <v>1.8140000000000001</v>
      </c>
      <c r="I36" s="59">
        <f>ROUND(F36*G36*H36,3)</f>
        <v>0</v>
      </c>
      <c r="J36" s="60"/>
      <c r="K36" s="61"/>
      <c r="L36" s="61"/>
      <c r="M36" s="61"/>
      <c r="N36" s="72" t="s">
        <v>58</v>
      </c>
    </row>
    <row r="37" spans="2:14" ht="18" customHeight="1">
      <c r="B37" s="660"/>
      <c r="C37" s="651"/>
      <c r="D37" s="443">
        <f t="shared" si="5"/>
        <v>0</v>
      </c>
      <c r="E37" s="443">
        <f t="shared" si="5"/>
        <v>0</v>
      </c>
      <c r="F37" s="440">
        <f>ROUND((D37+E37)*2/1000,4)</f>
        <v>0</v>
      </c>
      <c r="G37" s="440"/>
      <c r="H37" s="58">
        <f>H36</f>
        <v>1.8140000000000001</v>
      </c>
      <c r="I37" s="59">
        <f>ROUND(F37*G37*H37,3)</f>
        <v>0</v>
      </c>
      <c r="J37" s="60"/>
      <c r="K37" s="61"/>
      <c r="L37" s="61"/>
      <c r="M37" s="61"/>
      <c r="N37" s="72" t="s">
        <v>60</v>
      </c>
    </row>
    <row r="38" spans="2:14" ht="18" customHeight="1">
      <c r="B38" s="48" t="s">
        <v>42</v>
      </c>
      <c r="C38" s="49">
        <f>SUMPRODUCT(F35:F37*G35:G37)</f>
        <v>0</v>
      </c>
      <c r="D38" s="50" t="s">
        <v>43</v>
      </c>
      <c r="E38" s="49">
        <f>SUM(I35:I37)*1.1</f>
        <v>0</v>
      </c>
      <c r="F38" s="50" t="s">
        <v>44</v>
      </c>
      <c r="G38" s="51">
        <f>(C$218+C$219)/1000</f>
        <v>46.081499999999998</v>
      </c>
      <c r="H38" s="52" t="s">
        <v>45</v>
      </c>
      <c r="I38" s="53">
        <f>ROUND(E38*G38,2)</f>
        <v>0</v>
      </c>
      <c r="J38" s="243">
        <f>SUM(G35:G37)</f>
        <v>0</v>
      </c>
      <c r="K38" s="255"/>
      <c r="L38" s="255"/>
      <c r="M38" s="255"/>
      <c r="N38" s="73" t="s">
        <v>65</v>
      </c>
    </row>
    <row r="39" spans="2:14" ht="18" customHeight="1">
      <c r="B39" s="48" t="s">
        <v>46</v>
      </c>
      <c r="C39" s="50">
        <v>320.14</v>
      </c>
      <c r="D39" s="50" t="s">
        <v>47</v>
      </c>
      <c r="E39" s="49">
        <f>ROUND(C38*(C39/1000),2)</f>
        <v>0</v>
      </c>
      <c r="F39" s="50" t="s">
        <v>48</v>
      </c>
      <c r="G39" s="50">
        <f>G$23</f>
        <v>10</v>
      </c>
      <c r="H39" s="52" t="s">
        <v>49</v>
      </c>
      <c r="I39" s="53">
        <f>E39*G39</f>
        <v>0</v>
      </c>
      <c r="J39" s="255"/>
      <c r="K39" s="255"/>
      <c r="L39" s="255"/>
      <c r="M39" s="255"/>
      <c r="N39" s="73" t="s">
        <v>66</v>
      </c>
    </row>
    <row r="40" spans="2:14" ht="18" customHeight="1" thickBot="1">
      <c r="B40" s="48" t="s">
        <v>50</v>
      </c>
      <c r="C40" s="50">
        <v>156.99</v>
      </c>
      <c r="D40" s="50" t="s">
        <v>51</v>
      </c>
      <c r="E40" s="49">
        <f>ROUND(C38*(C40/1000),2)</f>
        <v>0</v>
      </c>
      <c r="F40" s="50" t="s">
        <v>48</v>
      </c>
      <c r="G40" s="50">
        <f>G$24</f>
        <v>10</v>
      </c>
      <c r="H40" s="52" t="s">
        <v>49</v>
      </c>
      <c r="I40" s="53">
        <f>E40*G40</f>
        <v>0</v>
      </c>
      <c r="J40" s="255"/>
      <c r="K40" s="255"/>
      <c r="L40" s="255"/>
      <c r="M40" s="255"/>
      <c r="N40" s="74" t="s">
        <v>67</v>
      </c>
    </row>
    <row r="41" spans="2:14" ht="18" customHeight="1" thickBot="1">
      <c r="B41" s="23" t="s">
        <v>36</v>
      </c>
      <c r="C41" s="442" t="s">
        <v>14</v>
      </c>
      <c r="D41" s="442" t="s">
        <v>37</v>
      </c>
      <c r="E41" s="442" t="s">
        <v>38</v>
      </c>
      <c r="F41" s="442" t="s">
        <v>39</v>
      </c>
      <c r="G41" s="442" t="s">
        <v>8</v>
      </c>
      <c r="H41" s="442" t="s">
        <v>22</v>
      </c>
      <c r="I41" s="25" t="s">
        <v>40</v>
      </c>
      <c r="J41" s="54" t="s">
        <v>2</v>
      </c>
      <c r="K41" s="55" t="s">
        <v>3</v>
      </c>
      <c r="L41" s="55" t="s">
        <v>61</v>
      </c>
      <c r="M41" s="55" t="s">
        <v>62</v>
      </c>
      <c r="N41" s="70" t="s">
        <v>14</v>
      </c>
    </row>
    <row r="42" spans="2:14" ht="18" customHeight="1">
      <c r="B42" s="648" t="s">
        <v>68</v>
      </c>
      <c r="C42" s="649" t="s">
        <v>69</v>
      </c>
      <c r="D42" s="443">
        <f>J42-IF(L42=1,46,IF(L42=2,34.5,IF(L42=3,23)))</f>
        <v>0</v>
      </c>
      <c r="E42" s="443">
        <f>K42-IF(M42=1,46,IF(M42=2,34.5,IF(M42=3,23)))</f>
        <v>0</v>
      </c>
      <c r="F42" s="440">
        <f t="shared" ref="F42:F47" si="6">ROUND((D42+E42)*2/1000,4)</f>
        <v>0</v>
      </c>
      <c r="G42" s="440">
        <f>G35</f>
        <v>0</v>
      </c>
      <c r="H42" s="440">
        <v>1.26</v>
      </c>
      <c r="I42" s="59">
        <f t="shared" ref="I42:I47" si="7">ROUND(F42*G42*H42,3)</f>
        <v>0</v>
      </c>
      <c r="J42" s="60"/>
      <c r="K42" s="61"/>
      <c r="L42" s="61"/>
      <c r="M42" s="61"/>
      <c r="N42" s="71" t="s">
        <v>56</v>
      </c>
    </row>
    <row r="43" spans="2:14" ht="18" customHeight="1">
      <c r="B43" s="648"/>
      <c r="C43" s="650"/>
      <c r="D43" s="443">
        <f t="shared" ref="D43:E47" si="8">J43-IF(L43=1,46,IF(L43=2,34.5,IF(L43=3,23)))</f>
        <v>0</v>
      </c>
      <c r="E43" s="443">
        <f t="shared" si="8"/>
        <v>0</v>
      </c>
      <c r="F43" s="440">
        <f t="shared" si="6"/>
        <v>0</v>
      </c>
      <c r="G43" s="440"/>
      <c r="H43" s="440">
        <f>H42</f>
        <v>1.26</v>
      </c>
      <c r="I43" s="59">
        <f t="shared" si="7"/>
        <v>0</v>
      </c>
      <c r="J43" s="60"/>
      <c r="K43" s="61"/>
      <c r="L43" s="61"/>
      <c r="M43" s="61"/>
      <c r="N43" s="72" t="s">
        <v>58</v>
      </c>
    </row>
    <row r="44" spans="2:14" ht="18" customHeight="1">
      <c r="B44" s="648"/>
      <c r="C44" s="651"/>
      <c r="D44" s="443">
        <f t="shared" si="8"/>
        <v>0</v>
      </c>
      <c r="E44" s="443">
        <f t="shared" si="8"/>
        <v>0</v>
      </c>
      <c r="F44" s="440">
        <f t="shared" si="6"/>
        <v>0</v>
      </c>
      <c r="G44" s="440"/>
      <c r="H44" s="440">
        <f>H43</f>
        <v>1.26</v>
      </c>
      <c r="I44" s="59">
        <f t="shared" si="7"/>
        <v>0</v>
      </c>
      <c r="J44" s="60"/>
      <c r="K44" s="61"/>
      <c r="L44" s="61"/>
      <c r="M44" s="61"/>
      <c r="N44" s="72" t="s">
        <v>60</v>
      </c>
    </row>
    <row r="45" spans="2:14" ht="18" customHeight="1">
      <c r="B45" s="648"/>
      <c r="C45" s="649" t="s">
        <v>70</v>
      </c>
      <c r="D45" s="443">
        <f t="shared" si="8"/>
        <v>0</v>
      </c>
      <c r="E45" s="443">
        <f t="shared" si="8"/>
        <v>0</v>
      </c>
      <c r="F45" s="440">
        <f t="shared" si="6"/>
        <v>0</v>
      </c>
      <c r="G45" s="440"/>
      <c r="H45" s="440">
        <f>H44</f>
        <v>1.26</v>
      </c>
      <c r="I45" s="59">
        <f t="shared" si="7"/>
        <v>0</v>
      </c>
      <c r="J45" s="60"/>
      <c r="K45" s="61"/>
      <c r="L45" s="61"/>
      <c r="M45" s="61"/>
      <c r="N45" s="71" t="s">
        <v>56</v>
      </c>
    </row>
    <row r="46" spans="2:14" ht="18" customHeight="1">
      <c r="B46" s="648"/>
      <c r="C46" s="650"/>
      <c r="D46" s="443">
        <f t="shared" si="8"/>
        <v>0</v>
      </c>
      <c r="E46" s="443">
        <f t="shared" si="8"/>
        <v>0</v>
      </c>
      <c r="F46" s="440">
        <f t="shared" si="6"/>
        <v>0</v>
      </c>
      <c r="G46" s="440"/>
      <c r="H46" s="440">
        <f>H45</f>
        <v>1.26</v>
      </c>
      <c r="I46" s="59">
        <f t="shared" si="7"/>
        <v>0</v>
      </c>
      <c r="J46" s="60"/>
      <c r="K46" s="61"/>
      <c r="L46" s="61"/>
      <c r="M46" s="61"/>
      <c r="N46" s="72" t="s">
        <v>58</v>
      </c>
    </row>
    <row r="47" spans="2:14" ht="18" customHeight="1" thickBot="1">
      <c r="B47" s="648"/>
      <c r="C47" s="651"/>
      <c r="D47" s="443">
        <f t="shared" si="8"/>
        <v>0</v>
      </c>
      <c r="E47" s="443">
        <f t="shared" si="8"/>
        <v>0</v>
      </c>
      <c r="F47" s="440">
        <f t="shared" si="6"/>
        <v>0</v>
      </c>
      <c r="G47" s="440"/>
      <c r="H47" s="440">
        <f>H46</f>
        <v>1.26</v>
      </c>
      <c r="I47" s="59">
        <f t="shared" si="7"/>
        <v>0</v>
      </c>
      <c r="J47" s="64"/>
      <c r="K47" s="65"/>
      <c r="L47" s="65"/>
      <c r="M47" s="65"/>
      <c r="N47" s="75" t="s">
        <v>60</v>
      </c>
    </row>
    <row r="48" spans="2:14" ht="18" customHeight="1">
      <c r="B48" s="48" t="s">
        <v>42</v>
      </c>
      <c r="C48" s="49">
        <f>SUMPRODUCT(F42:F47*G42:G47)</f>
        <v>0</v>
      </c>
      <c r="D48" s="50" t="s">
        <v>43</v>
      </c>
      <c r="E48" s="49">
        <f>SUM(I42:I47)*1.1</f>
        <v>0</v>
      </c>
      <c r="F48" s="50" t="s">
        <v>44</v>
      </c>
      <c r="G48" s="51">
        <f>(C$218+C$219)/1000</f>
        <v>46.081499999999998</v>
      </c>
      <c r="H48" s="52" t="s">
        <v>45</v>
      </c>
      <c r="I48" s="53">
        <f>ROUND(E48*G48,2)</f>
        <v>0</v>
      </c>
      <c r="J48" s="243">
        <f>SUM(G42:G47)</f>
        <v>0</v>
      </c>
      <c r="K48" s="255"/>
      <c r="L48" s="255"/>
      <c r="M48" s="255"/>
    </row>
    <row r="49" spans="2:14" ht="18" customHeight="1">
      <c r="B49" s="48" t="s">
        <v>46</v>
      </c>
      <c r="C49" s="50">
        <v>132.47999999999999</v>
      </c>
      <c r="D49" s="50" t="s">
        <v>47</v>
      </c>
      <c r="E49" s="49">
        <f>ROUND(C48*(C49/1000),2)</f>
        <v>0</v>
      </c>
      <c r="F49" s="50" t="s">
        <v>48</v>
      </c>
      <c r="G49" s="50">
        <f>G$23</f>
        <v>10</v>
      </c>
      <c r="H49" s="52" t="s">
        <v>49</v>
      </c>
      <c r="I49" s="53">
        <f>E49*G49</f>
        <v>0</v>
      </c>
      <c r="J49" s="255"/>
      <c r="K49" s="255"/>
      <c r="L49" s="255"/>
      <c r="M49" s="255"/>
    </row>
    <row r="50" spans="2:14" ht="18" customHeight="1" thickBot="1">
      <c r="B50" s="48" t="s">
        <v>50</v>
      </c>
      <c r="C50" s="50">
        <v>202.06</v>
      </c>
      <c r="D50" s="50" t="s">
        <v>51</v>
      </c>
      <c r="E50" s="49">
        <f>ROUND(C48*(C50/1000),2)</f>
        <v>0</v>
      </c>
      <c r="F50" s="50" t="s">
        <v>48</v>
      </c>
      <c r="G50" s="50">
        <f>G$24</f>
        <v>10</v>
      </c>
      <c r="H50" s="52" t="s">
        <v>49</v>
      </c>
      <c r="I50" s="53">
        <f>E50*G50</f>
        <v>0</v>
      </c>
      <c r="J50" s="255"/>
    </row>
    <row r="51" spans="2:14" ht="18" customHeight="1" thickBot="1">
      <c r="B51" s="23" t="s">
        <v>36</v>
      </c>
      <c r="C51" s="442" t="s">
        <v>14</v>
      </c>
      <c r="D51" s="442" t="s">
        <v>37</v>
      </c>
      <c r="E51" s="442" t="s">
        <v>71</v>
      </c>
      <c r="F51" s="442" t="s">
        <v>38</v>
      </c>
      <c r="G51" s="442" t="s">
        <v>72</v>
      </c>
      <c r="H51" s="442" t="s">
        <v>22</v>
      </c>
      <c r="I51" s="25" t="s">
        <v>40</v>
      </c>
      <c r="J51" s="54" t="s">
        <v>2</v>
      </c>
      <c r="K51" s="55" t="s">
        <v>3</v>
      </c>
      <c r="L51" s="55" t="s">
        <v>61</v>
      </c>
      <c r="M51" s="55" t="s">
        <v>62</v>
      </c>
      <c r="N51" s="70" t="s">
        <v>14</v>
      </c>
    </row>
    <row r="52" spans="2:14" ht="18" customHeight="1">
      <c r="B52" s="648" t="s">
        <v>73</v>
      </c>
      <c r="C52" s="649" t="s">
        <v>405</v>
      </c>
      <c r="D52" s="443">
        <f>J52-IF(L52=1,46,IF(L52=2,32,IF(L52=3,18,0)))</f>
        <v>0</v>
      </c>
      <c r="E52" s="443"/>
      <c r="F52" s="443">
        <f>K52-IF(M52=1,46,IF(M52=2,32,IF(M52=3,118,0)))</f>
        <v>0</v>
      </c>
      <c r="G52" s="440"/>
      <c r="H52" s="440">
        <v>1.6379999999999999</v>
      </c>
      <c r="I52" s="59">
        <f>ROUND((D52*E52+F52*G52)/1000*H52,3)</f>
        <v>0</v>
      </c>
      <c r="J52" s="60"/>
      <c r="K52" s="61"/>
      <c r="L52" s="61"/>
      <c r="M52" s="61"/>
      <c r="N52" s="76" t="s">
        <v>56</v>
      </c>
    </row>
    <row r="53" spans="2:14" ht="18" customHeight="1">
      <c r="B53" s="648"/>
      <c r="C53" s="650"/>
      <c r="D53" s="443">
        <f t="shared" ref="D53:D55" si="9">J53-IF(L53=1,46,IF(L53=2,32,IF(L53=3,18,0)))</f>
        <v>0</v>
      </c>
      <c r="E53" s="443"/>
      <c r="F53" s="443">
        <f t="shared" ref="F53:F55" si="10">K53-IF(M53=1,46,IF(M53=2,32,IF(M53=3,118,0)))</f>
        <v>0</v>
      </c>
      <c r="G53" s="440"/>
      <c r="H53" s="440">
        <f>H52</f>
        <v>1.6379999999999999</v>
      </c>
      <c r="I53" s="59">
        <f>ROUND((D53*E53+F53*G53)/1000*H53,3)</f>
        <v>0</v>
      </c>
      <c r="J53" s="60"/>
      <c r="K53" s="61"/>
      <c r="L53" s="61"/>
      <c r="M53" s="61"/>
      <c r="N53" s="76" t="s">
        <v>58</v>
      </c>
    </row>
    <row r="54" spans="2:14" ht="18" customHeight="1">
      <c r="B54" s="648"/>
      <c r="C54" s="650"/>
      <c r="D54" s="443">
        <f t="shared" si="9"/>
        <v>0</v>
      </c>
      <c r="E54" s="443"/>
      <c r="F54" s="443">
        <f t="shared" si="10"/>
        <v>0</v>
      </c>
      <c r="G54" s="440"/>
      <c r="H54" s="440">
        <f>H53</f>
        <v>1.6379999999999999</v>
      </c>
      <c r="I54" s="59">
        <f>ROUND((D54*E54+F54*G54)/1000*H54,3)</f>
        <v>0</v>
      </c>
      <c r="J54" s="60"/>
      <c r="K54" s="61"/>
      <c r="L54" s="61"/>
      <c r="M54" s="61"/>
      <c r="N54" s="76" t="s">
        <v>60</v>
      </c>
    </row>
    <row r="55" spans="2:14" ht="18" customHeight="1" thickBot="1">
      <c r="B55" s="648"/>
      <c r="C55" s="651"/>
      <c r="D55" s="443">
        <f t="shared" si="9"/>
        <v>0</v>
      </c>
      <c r="E55" s="443"/>
      <c r="F55" s="443">
        <f t="shared" si="10"/>
        <v>0</v>
      </c>
      <c r="G55" s="440"/>
      <c r="H55" s="77">
        <f>H54</f>
        <v>1.6379999999999999</v>
      </c>
      <c r="I55" s="59">
        <f>ROUND((D55*E55+F55*G55)/1000*H55,3)</f>
        <v>0</v>
      </c>
      <c r="J55" s="78"/>
      <c r="K55" s="79"/>
      <c r="L55" s="79"/>
      <c r="M55" s="79"/>
      <c r="N55" s="80"/>
    </row>
    <row r="56" spans="2:14" ht="18" customHeight="1">
      <c r="B56" s="48" t="s">
        <v>42</v>
      </c>
      <c r="C56" s="49">
        <f>SUMPRODUCT(D52:D55*E52:E55+F52:F55*G52:G55)/1000</f>
        <v>0</v>
      </c>
      <c r="D56" s="50" t="s">
        <v>43</v>
      </c>
      <c r="E56" s="49">
        <f>SUM(I52:I55)*1.1</f>
        <v>0</v>
      </c>
      <c r="F56" s="50" t="s">
        <v>44</v>
      </c>
      <c r="G56" s="51">
        <f>(C$218+C$219)/1000</f>
        <v>46.081499999999998</v>
      </c>
      <c r="H56" s="52" t="s">
        <v>45</v>
      </c>
      <c r="I56" s="53">
        <f>ROUND(E56*G56,2)</f>
        <v>0</v>
      </c>
      <c r="J56" s="243">
        <f>SUM(E52:E55)+SUM(G52:G55)</f>
        <v>0</v>
      </c>
    </row>
    <row r="57" spans="2:14" ht="18" customHeight="1">
      <c r="B57" s="48" t="s">
        <v>46</v>
      </c>
      <c r="C57" s="50">
        <v>265.52999999999997</v>
      </c>
      <c r="D57" s="50" t="s">
        <v>47</v>
      </c>
      <c r="E57" s="49">
        <f>ROUND(C56*(C57/1000),2)</f>
        <v>0</v>
      </c>
      <c r="F57" s="50" t="s">
        <v>48</v>
      </c>
      <c r="G57" s="50">
        <f>G$23</f>
        <v>10</v>
      </c>
      <c r="H57" s="52" t="s">
        <v>49</v>
      </c>
      <c r="I57" s="53">
        <f>E57*G57</f>
        <v>0</v>
      </c>
      <c r="L57" s="47"/>
    </row>
    <row r="58" spans="2:14" ht="18" customHeight="1">
      <c r="B58" s="48" t="s">
        <v>50</v>
      </c>
      <c r="C58" s="50">
        <v>173.62</v>
      </c>
      <c r="D58" s="50" t="s">
        <v>51</v>
      </c>
      <c r="E58" s="49">
        <f>ROUND(C56*(C58/1000),2)</f>
        <v>0</v>
      </c>
      <c r="F58" s="50" t="s">
        <v>48</v>
      </c>
      <c r="G58" s="50">
        <f>G$24</f>
        <v>10</v>
      </c>
      <c r="H58" s="52" t="s">
        <v>49</v>
      </c>
      <c r="I58" s="53">
        <f>E58*G58</f>
        <v>0</v>
      </c>
      <c r="L58" s="47"/>
    </row>
    <row r="59" spans="2:14" ht="18" customHeight="1">
      <c r="B59" s="23" t="s">
        <v>36</v>
      </c>
      <c r="C59" s="442" t="s">
        <v>14</v>
      </c>
      <c r="D59" s="652" t="s">
        <v>74</v>
      </c>
      <c r="E59" s="652"/>
      <c r="F59" s="652"/>
      <c r="G59" s="442" t="s">
        <v>75</v>
      </c>
      <c r="H59" s="442" t="s">
        <v>22</v>
      </c>
      <c r="I59" s="25" t="s">
        <v>40</v>
      </c>
      <c r="L59" s="47"/>
    </row>
    <row r="60" spans="2:14" ht="18" customHeight="1">
      <c r="B60" s="648" t="s">
        <v>76</v>
      </c>
      <c r="C60" s="649" t="s">
        <v>77</v>
      </c>
      <c r="D60" s="646"/>
      <c r="E60" s="646"/>
      <c r="F60" s="646"/>
      <c r="G60" s="440"/>
      <c r="H60" s="440">
        <v>1.9339999999999999</v>
      </c>
      <c r="I60" s="59">
        <f>ROUND(D60*G60*H60/1000,3)</f>
        <v>0</v>
      </c>
      <c r="L60" s="47"/>
    </row>
    <row r="61" spans="2:14" ht="18" customHeight="1">
      <c r="B61" s="648"/>
      <c r="C61" s="651"/>
      <c r="D61" s="646"/>
      <c r="E61" s="646"/>
      <c r="F61" s="646"/>
      <c r="G61" s="440"/>
      <c r="H61" s="440">
        <v>1.9339999999999999</v>
      </c>
      <c r="I61" s="59">
        <f>ROUND(D61*G61*H61/1000,3)</f>
        <v>0</v>
      </c>
    </row>
    <row r="62" spans="2:14" ht="18" customHeight="1">
      <c r="B62" s="648"/>
      <c r="C62" s="649" t="s">
        <v>78</v>
      </c>
      <c r="D62" s="646">
        <f>E14</f>
        <v>2320</v>
      </c>
      <c r="E62" s="646"/>
      <c r="F62" s="646"/>
      <c r="G62" s="440"/>
      <c r="H62" s="440">
        <v>2.3130000000000002</v>
      </c>
      <c r="I62" s="59">
        <f>ROUND(D62*G62*H62/1000,3)</f>
        <v>0</v>
      </c>
    </row>
    <row r="63" spans="2:14" ht="18" customHeight="1">
      <c r="B63" s="648"/>
      <c r="C63" s="651"/>
      <c r="D63" s="646"/>
      <c r="E63" s="646"/>
      <c r="F63" s="646"/>
      <c r="G63" s="440"/>
      <c r="H63" s="440">
        <v>2.3130000000000002</v>
      </c>
      <c r="I63" s="59">
        <f>ROUND(D63*G63*H63/1000,3)</f>
        <v>0</v>
      </c>
    </row>
    <row r="64" spans="2:14" ht="18" customHeight="1">
      <c r="B64" s="48" t="s">
        <v>42</v>
      </c>
      <c r="C64" s="49">
        <f>SUMPRODUCT(D60:F63*G60:G63)/1000</f>
        <v>0</v>
      </c>
      <c r="D64" s="50" t="s">
        <v>43</v>
      </c>
      <c r="E64" s="49">
        <f>SUM(I60:I63)*1.1</f>
        <v>0</v>
      </c>
      <c r="F64" s="50" t="s">
        <v>44</v>
      </c>
      <c r="G64" s="51">
        <f>(C$218+C$219)/1000</f>
        <v>46.081499999999998</v>
      </c>
      <c r="H64" s="52" t="s">
        <v>45</v>
      </c>
      <c r="I64" s="53">
        <f>ROUND(E64*G64,2)</f>
        <v>0</v>
      </c>
      <c r="J64" s="43">
        <f>SUM(G60:G63)</f>
        <v>0</v>
      </c>
    </row>
    <row r="65" spans="2:14" ht="18" customHeight="1">
      <c r="B65" s="48" t="s">
        <v>46</v>
      </c>
      <c r="C65" s="50">
        <v>337.92</v>
      </c>
      <c r="D65" s="50" t="s">
        <v>47</v>
      </c>
      <c r="E65" s="49">
        <f>ROUND(C64*(C65/1000),2)</f>
        <v>0</v>
      </c>
      <c r="F65" s="50" t="s">
        <v>48</v>
      </c>
      <c r="G65" s="50">
        <f>G$23</f>
        <v>10</v>
      </c>
      <c r="H65" s="52" t="s">
        <v>49</v>
      </c>
      <c r="I65" s="53">
        <f>E65*G65</f>
        <v>0</v>
      </c>
    </row>
    <row r="66" spans="2:14" ht="18" customHeight="1" thickBot="1">
      <c r="B66" s="48" t="s">
        <v>50</v>
      </c>
      <c r="C66" s="50">
        <v>175.93</v>
      </c>
      <c r="D66" s="50" t="s">
        <v>51</v>
      </c>
      <c r="E66" s="49">
        <f>ROUND(C64*(C66/1000),2)</f>
        <v>0</v>
      </c>
      <c r="F66" s="50" t="s">
        <v>48</v>
      </c>
      <c r="G66" s="50">
        <f>G$24</f>
        <v>10</v>
      </c>
      <c r="H66" s="52" t="s">
        <v>49</v>
      </c>
      <c r="I66" s="53">
        <f>E66*G66</f>
        <v>0</v>
      </c>
    </row>
    <row r="67" spans="2:14" ht="18" customHeight="1" thickBot="1">
      <c r="B67" s="23" t="s">
        <v>36</v>
      </c>
      <c r="C67" s="442" t="s">
        <v>14</v>
      </c>
      <c r="D67" s="442" t="s">
        <v>37</v>
      </c>
      <c r="E67" s="442" t="s">
        <v>38</v>
      </c>
      <c r="F67" s="442" t="s">
        <v>39</v>
      </c>
      <c r="G67" s="442" t="s">
        <v>8</v>
      </c>
      <c r="H67" s="442" t="s">
        <v>22</v>
      </c>
      <c r="I67" s="25" t="s">
        <v>40</v>
      </c>
      <c r="J67" s="54" t="s">
        <v>2</v>
      </c>
      <c r="K67" s="55" t="s">
        <v>3</v>
      </c>
      <c r="L67" s="55" t="s">
        <v>52</v>
      </c>
      <c r="M67" s="55" t="s">
        <v>53</v>
      </c>
      <c r="N67" s="70" t="s">
        <v>14</v>
      </c>
    </row>
    <row r="68" spans="2:14" ht="18" customHeight="1">
      <c r="B68" s="648" t="s">
        <v>79</v>
      </c>
      <c r="C68" s="649" t="s">
        <v>323</v>
      </c>
      <c r="D68" s="81">
        <f>J68-IF(L68=1,72,IF(L68=2,54,IF(L68=3,26,IF(L68=11,102.8,IF(L68=12,88.8,IF(L68=13,74.8,0))))))</f>
        <v>0</v>
      </c>
      <c r="E68" s="81">
        <f>K68-IF(M68=1,72,IF(M68=2,24,IF(M68=3,26,IF(M68=11,102.8,IF(M68=12,88.8,IF(M68=13,74.8,0))))))</f>
        <v>0</v>
      </c>
      <c r="F68" s="81">
        <f>2*(D68+E68)/1000</f>
        <v>0</v>
      </c>
      <c r="G68" s="82"/>
      <c r="H68" s="440">
        <v>0.224</v>
      </c>
      <c r="I68" s="283">
        <f>ROUND(F68*G68*H68,3)*1.5</f>
        <v>0</v>
      </c>
      <c r="J68" s="83"/>
      <c r="K68" s="83"/>
      <c r="L68" s="84"/>
      <c r="M68" s="84"/>
      <c r="N68" s="71" t="s">
        <v>56</v>
      </c>
    </row>
    <row r="69" spans="2:14" ht="18" customHeight="1">
      <c r="B69" s="648"/>
      <c r="C69" s="650"/>
      <c r="D69" s="81">
        <f t="shared" ref="D69:D87" si="11">J69-IF(L69=1,72,IF(L69=2,54,IF(L69=3,26,IF(L69=11,102.8,IF(L69=12,88.8,IF(L69=13,74.8,0))))))</f>
        <v>348</v>
      </c>
      <c r="E69" s="81">
        <f t="shared" ref="E69:E87" si="12">K69-IF(M69=1,72,IF(M69=2,24,IF(M69=3,26,IF(M69=11,102.8,IF(M69=12,88.8,IF(M69=13,74.8,0))))))</f>
        <v>2248</v>
      </c>
      <c r="F69" s="81">
        <f t="shared" ref="F69:F87" si="13">2*(D69+E69)/1000</f>
        <v>5.1920000000000002</v>
      </c>
      <c r="G69" s="82">
        <v>1</v>
      </c>
      <c r="H69" s="440">
        <f>H68</f>
        <v>0.224</v>
      </c>
      <c r="I69" s="59">
        <f t="shared" ref="I69:I87" si="14">ROUND(F69*G69*H69,3)</f>
        <v>1.163</v>
      </c>
      <c r="J69" s="83">
        <f>D14</f>
        <v>420</v>
      </c>
      <c r="K69" s="84">
        <f>E14</f>
        <v>2320</v>
      </c>
      <c r="L69" s="84">
        <v>1</v>
      </c>
      <c r="M69" s="84">
        <v>1</v>
      </c>
      <c r="N69" s="72" t="s">
        <v>58</v>
      </c>
    </row>
    <row r="70" spans="2:14" ht="18" customHeight="1">
      <c r="B70" s="648"/>
      <c r="C70" s="650"/>
      <c r="D70" s="81">
        <f t="shared" si="11"/>
        <v>0</v>
      </c>
      <c r="E70" s="81">
        <f t="shared" si="12"/>
        <v>0</v>
      </c>
      <c r="F70" s="81">
        <f t="shared" si="13"/>
        <v>0</v>
      </c>
      <c r="G70" s="82"/>
      <c r="H70" s="440">
        <f>H69</f>
        <v>0.224</v>
      </c>
      <c r="I70" s="59">
        <f t="shared" si="14"/>
        <v>0</v>
      </c>
      <c r="J70" s="83"/>
      <c r="K70" s="84"/>
      <c r="L70" s="84"/>
      <c r="M70" s="84"/>
      <c r="N70" s="72" t="s">
        <v>60</v>
      </c>
    </row>
    <row r="71" spans="2:14" ht="18" customHeight="1">
      <c r="B71" s="648"/>
      <c r="C71" s="650"/>
      <c r="D71" s="81">
        <f t="shared" si="11"/>
        <v>0</v>
      </c>
      <c r="E71" s="81">
        <f t="shared" si="12"/>
        <v>0</v>
      </c>
      <c r="F71" s="81">
        <f t="shared" si="13"/>
        <v>0</v>
      </c>
      <c r="G71" s="82"/>
      <c r="H71" s="77">
        <f>H70</f>
        <v>0.224</v>
      </c>
      <c r="I71" s="59">
        <f t="shared" si="14"/>
        <v>0</v>
      </c>
      <c r="J71" s="85"/>
      <c r="K71" s="86"/>
      <c r="L71" s="86"/>
      <c r="M71" s="86"/>
      <c r="N71" s="72" t="s">
        <v>65</v>
      </c>
    </row>
    <row r="72" spans="2:14" ht="18" customHeight="1">
      <c r="B72" s="648"/>
      <c r="C72" s="650"/>
      <c r="D72" s="81">
        <f t="shared" si="11"/>
        <v>0</v>
      </c>
      <c r="E72" s="81">
        <f t="shared" si="12"/>
        <v>0</v>
      </c>
      <c r="F72" s="81">
        <f t="shared" si="13"/>
        <v>0</v>
      </c>
      <c r="G72" s="82"/>
      <c r="H72" s="77">
        <f>H71</f>
        <v>0.224</v>
      </c>
      <c r="I72" s="87">
        <f t="shared" si="14"/>
        <v>0</v>
      </c>
      <c r="J72" s="85"/>
      <c r="K72" s="86"/>
      <c r="L72" s="86"/>
      <c r="M72" s="86"/>
      <c r="N72" s="72" t="s">
        <v>66</v>
      </c>
    </row>
    <row r="73" spans="2:14" ht="18" customHeight="1">
      <c r="B73" s="648"/>
      <c r="C73" s="650"/>
      <c r="D73" s="81">
        <f t="shared" si="11"/>
        <v>0</v>
      </c>
      <c r="E73" s="81">
        <f t="shared" si="12"/>
        <v>0</v>
      </c>
      <c r="F73" s="81">
        <f t="shared" si="13"/>
        <v>0</v>
      </c>
      <c r="G73" s="82"/>
      <c r="H73" s="440">
        <f>H70</f>
        <v>0.224</v>
      </c>
      <c r="I73" s="87">
        <f t="shared" si="14"/>
        <v>0</v>
      </c>
      <c r="J73" s="83"/>
      <c r="K73" s="84"/>
      <c r="L73" s="84"/>
      <c r="M73" s="84"/>
      <c r="N73" s="72" t="s">
        <v>67</v>
      </c>
    </row>
    <row r="74" spans="2:14" ht="18" customHeight="1">
      <c r="B74" s="648"/>
      <c r="C74" s="651"/>
      <c r="D74" s="81">
        <f t="shared" si="11"/>
        <v>0</v>
      </c>
      <c r="E74" s="81">
        <f t="shared" si="12"/>
        <v>0</v>
      </c>
      <c r="F74" s="81">
        <f t="shared" si="13"/>
        <v>0</v>
      </c>
      <c r="G74" s="82"/>
      <c r="H74" s="440">
        <f>H73</f>
        <v>0.224</v>
      </c>
      <c r="I74" s="87">
        <f t="shared" si="14"/>
        <v>0</v>
      </c>
      <c r="J74" s="83"/>
      <c r="K74" s="84"/>
      <c r="L74" s="84"/>
      <c r="M74" s="84"/>
      <c r="N74" s="88"/>
    </row>
    <row r="75" spans="2:14" ht="18" customHeight="1">
      <c r="B75" s="648"/>
      <c r="C75" s="649" t="s">
        <v>324</v>
      </c>
      <c r="D75" s="89">
        <f t="shared" si="11"/>
        <v>0</v>
      </c>
      <c r="E75" s="89">
        <f t="shared" si="12"/>
        <v>0</v>
      </c>
      <c r="F75" s="89">
        <f t="shared" si="13"/>
        <v>0</v>
      </c>
      <c r="G75" s="90"/>
      <c r="H75" s="91">
        <f>H74</f>
        <v>0.224</v>
      </c>
      <c r="I75" s="92">
        <f t="shared" si="14"/>
        <v>0</v>
      </c>
      <c r="J75" s="83"/>
      <c r="K75" s="84"/>
      <c r="L75" s="84"/>
      <c r="M75" s="84"/>
      <c r="N75" s="93" t="s">
        <v>80</v>
      </c>
    </row>
    <row r="76" spans="2:14" ht="18" customHeight="1">
      <c r="B76" s="648"/>
      <c r="C76" s="650"/>
      <c r="D76" s="89">
        <f t="shared" si="11"/>
        <v>0</v>
      </c>
      <c r="E76" s="89">
        <f t="shared" si="12"/>
        <v>0</v>
      </c>
      <c r="F76" s="89">
        <f t="shared" si="13"/>
        <v>0</v>
      </c>
      <c r="G76" s="90"/>
      <c r="H76" s="91">
        <f>H72</f>
        <v>0.224</v>
      </c>
      <c r="I76" s="92">
        <f t="shared" si="14"/>
        <v>0</v>
      </c>
      <c r="J76" s="83"/>
      <c r="K76" s="84"/>
      <c r="L76" s="84"/>
      <c r="M76" s="84"/>
      <c r="N76" s="93" t="s">
        <v>80</v>
      </c>
    </row>
    <row r="77" spans="2:14" ht="18" customHeight="1">
      <c r="B77" s="648"/>
      <c r="C77" s="650"/>
      <c r="D77" s="89">
        <f t="shared" si="11"/>
        <v>0</v>
      </c>
      <c r="E77" s="89">
        <f t="shared" si="12"/>
        <v>0</v>
      </c>
      <c r="F77" s="89">
        <f t="shared" si="13"/>
        <v>0</v>
      </c>
      <c r="G77" s="90"/>
      <c r="H77" s="91">
        <f t="shared" ref="H77:H87" si="15">H76</f>
        <v>0.224</v>
      </c>
      <c r="I77" s="92">
        <f t="shared" si="14"/>
        <v>0</v>
      </c>
      <c r="J77" s="83"/>
      <c r="K77" s="84"/>
      <c r="L77" s="84"/>
      <c r="M77" s="84"/>
      <c r="N77" s="93" t="s">
        <v>80</v>
      </c>
    </row>
    <row r="78" spans="2:14" ht="18" customHeight="1">
      <c r="B78" s="648"/>
      <c r="C78" s="650"/>
      <c r="D78" s="89">
        <f t="shared" si="11"/>
        <v>0</v>
      </c>
      <c r="E78" s="89">
        <f t="shared" si="12"/>
        <v>0</v>
      </c>
      <c r="F78" s="89">
        <f t="shared" si="13"/>
        <v>0</v>
      </c>
      <c r="G78" s="90"/>
      <c r="H78" s="91">
        <f t="shared" si="15"/>
        <v>0.224</v>
      </c>
      <c r="I78" s="92">
        <f t="shared" si="14"/>
        <v>0</v>
      </c>
      <c r="J78" s="83"/>
      <c r="K78" s="84"/>
      <c r="L78" s="84"/>
      <c r="M78" s="84"/>
      <c r="N78" s="93" t="s">
        <v>80</v>
      </c>
    </row>
    <row r="79" spans="2:14" ht="18" customHeight="1">
      <c r="B79" s="648"/>
      <c r="C79" s="650"/>
      <c r="D79" s="89">
        <f t="shared" si="11"/>
        <v>0</v>
      </c>
      <c r="E79" s="89">
        <f t="shared" si="12"/>
        <v>0</v>
      </c>
      <c r="F79" s="89">
        <f t="shared" si="13"/>
        <v>0</v>
      </c>
      <c r="G79" s="90"/>
      <c r="H79" s="91">
        <f t="shared" si="15"/>
        <v>0.224</v>
      </c>
      <c r="I79" s="94">
        <f t="shared" si="14"/>
        <v>0</v>
      </c>
      <c r="J79" s="83"/>
      <c r="K79" s="84"/>
      <c r="L79" s="84"/>
      <c r="M79" s="84"/>
      <c r="N79" s="93" t="s">
        <v>80</v>
      </c>
    </row>
    <row r="80" spans="2:14" ht="18" customHeight="1">
      <c r="B80" s="648"/>
      <c r="C80" s="650"/>
      <c r="D80" s="89">
        <f t="shared" si="11"/>
        <v>0</v>
      </c>
      <c r="E80" s="89">
        <f t="shared" si="12"/>
        <v>0</v>
      </c>
      <c r="F80" s="89">
        <f t="shared" si="13"/>
        <v>0</v>
      </c>
      <c r="G80" s="90"/>
      <c r="H80" s="91">
        <f t="shared" si="15"/>
        <v>0.224</v>
      </c>
      <c r="I80" s="94">
        <f t="shared" si="14"/>
        <v>0</v>
      </c>
      <c r="J80" s="83"/>
      <c r="K80" s="84"/>
      <c r="L80" s="84"/>
      <c r="M80" s="84"/>
      <c r="N80" s="93" t="s">
        <v>80</v>
      </c>
    </row>
    <row r="81" spans="2:14" ht="18" customHeight="1">
      <c r="B81" s="648"/>
      <c r="C81" s="651"/>
      <c r="D81" s="89">
        <f t="shared" si="11"/>
        <v>0</v>
      </c>
      <c r="E81" s="89">
        <f t="shared" si="12"/>
        <v>0</v>
      </c>
      <c r="F81" s="89">
        <f t="shared" si="13"/>
        <v>0</v>
      </c>
      <c r="G81" s="90"/>
      <c r="H81" s="91">
        <f t="shared" si="15"/>
        <v>0.224</v>
      </c>
      <c r="I81" s="94">
        <f t="shared" si="14"/>
        <v>0</v>
      </c>
      <c r="J81" s="95"/>
      <c r="K81" s="96"/>
      <c r="L81" s="96"/>
      <c r="M81" s="96"/>
      <c r="N81" s="93" t="s">
        <v>81</v>
      </c>
    </row>
    <row r="82" spans="2:14" ht="18" customHeight="1">
      <c r="B82" s="648"/>
      <c r="C82" s="639" t="s">
        <v>325</v>
      </c>
      <c r="D82" s="81">
        <f t="shared" si="11"/>
        <v>0</v>
      </c>
      <c r="E82" s="81">
        <f t="shared" si="12"/>
        <v>0</v>
      </c>
      <c r="F82" s="81">
        <f t="shared" si="13"/>
        <v>0</v>
      </c>
      <c r="G82" s="82"/>
      <c r="H82" s="440">
        <f t="shared" si="15"/>
        <v>0.224</v>
      </c>
      <c r="I82" s="59">
        <f t="shared" si="14"/>
        <v>0</v>
      </c>
      <c r="J82" s="83"/>
      <c r="K82" s="84"/>
      <c r="L82" s="84"/>
      <c r="M82" s="84"/>
      <c r="N82" s="88"/>
    </row>
    <row r="83" spans="2:14" ht="18" customHeight="1">
      <c r="B83" s="648"/>
      <c r="C83" s="645"/>
      <c r="D83" s="81">
        <f t="shared" si="11"/>
        <v>0</v>
      </c>
      <c r="E83" s="81">
        <f t="shared" si="12"/>
        <v>0</v>
      </c>
      <c r="F83" s="81">
        <f t="shared" si="13"/>
        <v>0</v>
      </c>
      <c r="G83" s="82"/>
      <c r="H83" s="440">
        <f t="shared" si="15"/>
        <v>0.224</v>
      </c>
      <c r="I83" s="59">
        <f t="shared" si="14"/>
        <v>0</v>
      </c>
      <c r="J83" s="83"/>
      <c r="K83" s="84"/>
      <c r="L83" s="84"/>
      <c r="M83" s="84"/>
      <c r="N83" s="88"/>
    </row>
    <row r="84" spans="2:14" ht="18" customHeight="1">
      <c r="B84" s="648"/>
      <c r="C84" s="645"/>
      <c r="D84" s="81">
        <f t="shared" si="11"/>
        <v>0</v>
      </c>
      <c r="E84" s="81">
        <f t="shared" si="12"/>
        <v>0</v>
      </c>
      <c r="F84" s="81">
        <f t="shared" si="13"/>
        <v>0</v>
      </c>
      <c r="G84" s="82"/>
      <c r="H84" s="440">
        <f t="shared" si="15"/>
        <v>0.224</v>
      </c>
      <c r="I84" s="59">
        <f t="shared" si="14"/>
        <v>0</v>
      </c>
      <c r="J84" s="83"/>
      <c r="K84" s="84"/>
      <c r="L84" s="84"/>
      <c r="M84" s="84"/>
      <c r="N84" s="76"/>
    </row>
    <row r="85" spans="2:14" ht="18" customHeight="1">
      <c r="B85" s="648"/>
      <c r="C85" s="645"/>
      <c r="D85" s="81">
        <f t="shared" si="11"/>
        <v>0</v>
      </c>
      <c r="E85" s="81">
        <f t="shared" si="12"/>
        <v>0</v>
      </c>
      <c r="F85" s="81">
        <f t="shared" si="13"/>
        <v>0</v>
      </c>
      <c r="G85" s="82"/>
      <c r="H85" s="440">
        <f t="shared" si="15"/>
        <v>0.224</v>
      </c>
      <c r="I85" s="59">
        <f t="shared" si="14"/>
        <v>0</v>
      </c>
      <c r="J85" s="83"/>
      <c r="K85" s="84"/>
      <c r="L85" s="84"/>
      <c r="M85" s="84"/>
      <c r="N85" s="76"/>
    </row>
    <row r="86" spans="2:14" ht="18" customHeight="1">
      <c r="B86" s="648"/>
      <c r="C86" s="645"/>
      <c r="D86" s="81">
        <f t="shared" si="11"/>
        <v>0</v>
      </c>
      <c r="E86" s="81">
        <f t="shared" si="12"/>
        <v>0</v>
      </c>
      <c r="F86" s="81">
        <f t="shared" si="13"/>
        <v>0</v>
      </c>
      <c r="G86" s="82"/>
      <c r="H86" s="440">
        <f t="shared" si="15"/>
        <v>0.224</v>
      </c>
      <c r="I86" s="59">
        <f t="shared" si="14"/>
        <v>0</v>
      </c>
      <c r="J86" s="85"/>
      <c r="K86" s="86"/>
      <c r="L86" s="86"/>
      <c r="M86" s="86"/>
      <c r="N86" s="76"/>
    </row>
    <row r="87" spans="2:14" ht="18" customHeight="1" thickBot="1">
      <c r="B87" s="648"/>
      <c r="C87" s="640"/>
      <c r="D87" s="81">
        <f t="shared" si="11"/>
        <v>0</v>
      </c>
      <c r="E87" s="81">
        <f t="shared" si="12"/>
        <v>0</v>
      </c>
      <c r="F87" s="81">
        <f t="shared" si="13"/>
        <v>0</v>
      </c>
      <c r="G87" s="82"/>
      <c r="H87" s="440">
        <f t="shared" si="15"/>
        <v>0.224</v>
      </c>
      <c r="I87" s="59">
        <f t="shared" si="14"/>
        <v>0</v>
      </c>
      <c r="J87" s="97"/>
      <c r="K87" s="98"/>
      <c r="L87" s="98"/>
      <c r="M87" s="98"/>
      <c r="N87" s="80"/>
    </row>
    <row r="88" spans="2:14" ht="18" customHeight="1">
      <c r="B88" s="48" t="s">
        <v>42</v>
      </c>
      <c r="C88" s="49">
        <f>SUMPRODUCT(F68:F87*G68:G87)</f>
        <v>5.1920000000000002</v>
      </c>
      <c r="D88" s="50" t="s">
        <v>43</v>
      </c>
      <c r="E88" s="49">
        <f>SUM(I68:I87)*1.1</f>
        <v>1.2793000000000001</v>
      </c>
      <c r="F88" s="50" t="s">
        <v>44</v>
      </c>
      <c r="G88" s="51">
        <f>(C$218+C$222)/1000</f>
        <v>39.781500000000001</v>
      </c>
      <c r="H88" s="52" t="s">
        <v>45</v>
      </c>
      <c r="I88" s="53">
        <f>ROUND(E88*G88,2)</f>
        <v>50.89</v>
      </c>
      <c r="J88" s="255"/>
      <c r="K88" s="255"/>
      <c r="L88" s="255"/>
      <c r="M88" s="255"/>
    </row>
    <row r="89" spans="2:14" ht="18" customHeight="1">
      <c r="B89" s="48" t="s">
        <v>46</v>
      </c>
      <c r="C89" s="50">
        <v>181.72</v>
      </c>
      <c r="D89" s="50" t="s">
        <v>47</v>
      </c>
      <c r="E89" s="49">
        <f>ROUND(C88*(C89/1000),2)</f>
        <v>0.94</v>
      </c>
      <c r="F89" s="50" t="s">
        <v>48</v>
      </c>
      <c r="G89" s="50">
        <f>G$23</f>
        <v>10</v>
      </c>
      <c r="H89" s="52" t="s">
        <v>49</v>
      </c>
      <c r="I89" s="53">
        <f>E89*G89</f>
        <v>9.3999999999999986</v>
      </c>
      <c r="J89" s="255"/>
      <c r="K89" s="255"/>
      <c r="L89" s="255"/>
      <c r="M89" s="255"/>
    </row>
    <row r="90" spans="2:14" ht="18" customHeight="1">
      <c r="B90" s="48" t="s">
        <v>50</v>
      </c>
      <c r="C90" s="50"/>
      <c r="D90" s="50" t="s">
        <v>51</v>
      </c>
      <c r="E90" s="49">
        <f>ROUND(C88*(C90/1000),2)</f>
        <v>0</v>
      </c>
      <c r="F90" s="50" t="s">
        <v>48</v>
      </c>
      <c r="G90" s="50">
        <f>G$24</f>
        <v>10</v>
      </c>
      <c r="H90" s="52" t="s">
        <v>49</v>
      </c>
      <c r="I90" s="53">
        <f>E90*G90</f>
        <v>0</v>
      </c>
      <c r="J90" s="255"/>
      <c r="K90" s="255"/>
      <c r="L90" s="255"/>
      <c r="M90" s="255"/>
    </row>
    <row r="91" spans="2:14" ht="18" customHeight="1">
      <c r="B91" s="23" t="s">
        <v>36</v>
      </c>
      <c r="C91" s="442" t="s">
        <v>14</v>
      </c>
      <c r="D91" s="442" t="s">
        <v>37</v>
      </c>
      <c r="E91" s="442" t="s">
        <v>38</v>
      </c>
      <c r="F91" s="442" t="s">
        <v>39</v>
      </c>
      <c r="G91" s="442" t="s">
        <v>8</v>
      </c>
      <c r="H91" s="442" t="s">
        <v>22</v>
      </c>
      <c r="I91" s="25" t="s">
        <v>40</v>
      </c>
      <c r="J91" s="255"/>
      <c r="K91" s="255"/>
      <c r="L91" s="255"/>
      <c r="M91" s="255"/>
    </row>
    <row r="92" spans="2:14" ht="18" customHeight="1">
      <c r="B92" s="648" t="s">
        <v>82</v>
      </c>
      <c r="C92" s="653" t="s">
        <v>326</v>
      </c>
      <c r="D92" s="443">
        <f>D26-90</f>
        <v>-90</v>
      </c>
      <c r="E92" s="443">
        <f>E26-90</f>
        <v>-90</v>
      </c>
      <c r="F92" s="443">
        <f>2*(D92+E92)/1000</f>
        <v>-0.36</v>
      </c>
      <c r="G92" s="440">
        <f>G26</f>
        <v>0</v>
      </c>
      <c r="H92" s="440">
        <v>0.27100000000000002</v>
      </c>
      <c r="I92" s="59">
        <f>ROUND(F92*G92*H92,3)</f>
        <v>0</v>
      </c>
    </row>
    <row r="93" spans="2:14" ht="18" customHeight="1">
      <c r="B93" s="648"/>
      <c r="C93" s="658"/>
      <c r="D93" s="443">
        <f t="shared" ref="D93:E96" si="16">D27-90</f>
        <v>-90</v>
      </c>
      <c r="E93" s="443">
        <f t="shared" si="16"/>
        <v>-90</v>
      </c>
      <c r="F93" s="443">
        <f>2*(D93+E93)/1000</f>
        <v>-0.36</v>
      </c>
      <c r="G93" s="440">
        <f>G27</f>
        <v>0</v>
      </c>
      <c r="H93" s="440">
        <f>H92</f>
        <v>0.27100000000000002</v>
      </c>
      <c r="I93" s="59">
        <f>ROUND(F93*G93*H93,3)</f>
        <v>0</v>
      </c>
      <c r="M93" s="42"/>
    </row>
    <row r="94" spans="2:14" ht="18" customHeight="1">
      <c r="B94" s="648"/>
      <c r="C94" s="658"/>
      <c r="D94" s="443">
        <f t="shared" si="16"/>
        <v>-90</v>
      </c>
      <c r="E94" s="443">
        <f t="shared" si="16"/>
        <v>-90</v>
      </c>
      <c r="F94" s="443">
        <f>2*(D94+E94)/1000</f>
        <v>-0.36</v>
      </c>
      <c r="G94" s="440">
        <f>G28</f>
        <v>0</v>
      </c>
      <c r="H94" s="440">
        <f>H93</f>
        <v>0.27100000000000002</v>
      </c>
      <c r="I94" s="59">
        <f>ROUND(F94*G94*H94,3)</f>
        <v>0</v>
      </c>
    </row>
    <row r="95" spans="2:14" ht="18" customHeight="1">
      <c r="B95" s="648"/>
      <c r="C95" s="658"/>
      <c r="D95" s="443">
        <f t="shared" si="16"/>
        <v>-90</v>
      </c>
      <c r="E95" s="443">
        <f t="shared" si="16"/>
        <v>-90</v>
      </c>
      <c r="F95" s="443">
        <f>2*(D95+E95)/1000</f>
        <v>-0.36</v>
      </c>
      <c r="G95" s="440">
        <f>G29</f>
        <v>0</v>
      </c>
      <c r="H95" s="440">
        <f>H94</f>
        <v>0.27100000000000002</v>
      </c>
      <c r="I95" s="59">
        <f>ROUND(F95*G95*H95,3)</f>
        <v>0</v>
      </c>
    </row>
    <row r="96" spans="2:14" ht="18" customHeight="1">
      <c r="B96" s="648"/>
      <c r="C96" s="659"/>
      <c r="D96" s="443">
        <f t="shared" si="16"/>
        <v>-90</v>
      </c>
      <c r="E96" s="443">
        <f t="shared" si="16"/>
        <v>-90</v>
      </c>
      <c r="F96" s="443">
        <f>2*(D96+E96)/1000</f>
        <v>-0.36</v>
      </c>
      <c r="G96" s="440">
        <f>G30</f>
        <v>0</v>
      </c>
      <c r="H96" s="440">
        <f>H95</f>
        <v>0.27100000000000002</v>
      </c>
      <c r="I96" s="59">
        <f>ROUND(F96*G96*H96,3)</f>
        <v>0</v>
      </c>
    </row>
    <row r="97" spans="2:13" ht="18" customHeight="1">
      <c r="B97" s="48" t="s">
        <v>42</v>
      </c>
      <c r="C97" s="49">
        <f>SUMPRODUCT(F92:F96*G92:G96)</f>
        <v>0</v>
      </c>
      <c r="D97" s="50" t="s">
        <v>43</v>
      </c>
      <c r="E97" s="49">
        <f>SUM(I92:I96)*1.1</f>
        <v>0</v>
      </c>
      <c r="F97" s="50" t="s">
        <v>44</v>
      </c>
      <c r="G97" s="51">
        <f>(C$218+C$222)/1000</f>
        <v>39.781500000000001</v>
      </c>
      <c r="H97" s="52" t="s">
        <v>45</v>
      </c>
      <c r="I97" s="53">
        <f>ROUND(E97*G97,2)</f>
        <v>0</v>
      </c>
    </row>
    <row r="98" spans="2:13" ht="18" customHeight="1">
      <c r="B98" s="48" t="s">
        <v>46</v>
      </c>
      <c r="C98" s="50">
        <v>186.72</v>
      </c>
      <c r="D98" s="50" t="s">
        <v>47</v>
      </c>
      <c r="E98" s="49">
        <f>ROUND(C97*(C98/1000),2)</f>
        <v>0</v>
      </c>
      <c r="F98" s="50" t="s">
        <v>48</v>
      </c>
      <c r="G98" s="50">
        <f>G$23</f>
        <v>10</v>
      </c>
      <c r="H98" s="52" t="s">
        <v>49</v>
      </c>
      <c r="I98" s="53">
        <f>E98*G98</f>
        <v>0</v>
      </c>
    </row>
    <row r="99" spans="2:13" ht="18" customHeight="1">
      <c r="B99" s="48" t="s">
        <v>50</v>
      </c>
      <c r="C99" s="50">
        <v>0</v>
      </c>
      <c r="D99" s="50" t="s">
        <v>51</v>
      </c>
      <c r="E99" s="49">
        <f>ROUND(C97*(C99/1000),2)</f>
        <v>0</v>
      </c>
      <c r="F99" s="50" t="s">
        <v>48</v>
      </c>
      <c r="G99" s="50">
        <f>G$24</f>
        <v>10</v>
      </c>
      <c r="H99" s="52" t="s">
        <v>49</v>
      </c>
      <c r="I99" s="53">
        <f>E99*G99</f>
        <v>0</v>
      </c>
    </row>
    <row r="100" spans="2:13" ht="18" customHeight="1">
      <c r="B100" s="23" t="s">
        <v>36</v>
      </c>
      <c r="C100" s="442" t="s">
        <v>14</v>
      </c>
      <c r="D100" s="442" t="s">
        <v>37</v>
      </c>
      <c r="E100" s="442" t="s">
        <v>38</v>
      </c>
      <c r="F100" s="442" t="s">
        <v>39</v>
      </c>
      <c r="G100" s="442" t="s">
        <v>8</v>
      </c>
      <c r="H100" s="442" t="s">
        <v>22</v>
      </c>
      <c r="I100" s="25" t="s">
        <v>40</v>
      </c>
    </row>
    <row r="101" spans="2:13" ht="18" customHeight="1">
      <c r="B101" s="648" t="s">
        <v>84</v>
      </c>
      <c r="C101" s="653" t="str">
        <f>C92</f>
        <v>SDL2281</v>
      </c>
      <c r="D101" s="443">
        <f>D35-122</f>
        <v>-122</v>
      </c>
      <c r="E101" s="443">
        <f t="shared" ref="D101:E103" si="17">E35-122</f>
        <v>-122</v>
      </c>
      <c r="F101" s="443">
        <f>2*(D101+E101)/1000</f>
        <v>-0.48799999999999999</v>
      </c>
      <c r="G101" s="440">
        <f>G35</f>
        <v>0</v>
      </c>
      <c r="H101" s="440">
        <f>H96</f>
        <v>0.27100000000000002</v>
      </c>
      <c r="I101" s="59">
        <f>ROUND(F101*G101*H101,3)</f>
        <v>0</v>
      </c>
    </row>
    <row r="102" spans="2:13" ht="18" customHeight="1">
      <c r="B102" s="648"/>
      <c r="C102" s="650"/>
      <c r="D102" s="443">
        <f t="shared" si="17"/>
        <v>-122</v>
      </c>
      <c r="E102" s="443">
        <f t="shared" si="17"/>
        <v>-122</v>
      </c>
      <c r="F102" s="443">
        <f>2*(D102+E102)/1000</f>
        <v>-0.48799999999999999</v>
      </c>
      <c r="G102" s="440">
        <f>G36</f>
        <v>0</v>
      </c>
      <c r="H102" s="440">
        <f>H101</f>
        <v>0.27100000000000002</v>
      </c>
      <c r="I102" s="59">
        <f>ROUND(F102*G102*H102,3)</f>
        <v>0</v>
      </c>
      <c r="K102" s="99"/>
      <c r="M102" s="99"/>
    </row>
    <row r="103" spans="2:13" ht="18" customHeight="1">
      <c r="B103" s="648"/>
      <c r="C103" s="651"/>
      <c r="D103" s="443">
        <f t="shared" si="17"/>
        <v>-122</v>
      </c>
      <c r="E103" s="443">
        <f t="shared" si="17"/>
        <v>-122</v>
      </c>
      <c r="F103" s="443">
        <f>2*(D103+E103)/1000</f>
        <v>-0.48799999999999999</v>
      </c>
      <c r="G103" s="440">
        <f>G37</f>
        <v>0</v>
      </c>
      <c r="H103" s="440">
        <f>H102</f>
        <v>0.27100000000000002</v>
      </c>
      <c r="I103" s="59">
        <f>ROUND(F103*G103*H103,3)</f>
        <v>0</v>
      </c>
      <c r="M103" s="99"/>
    </row>
    <row r="104" spans="2:13" ht="18" customHeight="1">
      <c r="B104" s="48" t="s">
        <v>42</v>
      </c>
      <c r="C104" s="49">
        <f>SUMPRODUCT(F101:F103*G101:G103)</f>
        <v>0</v>
      </c>
      <c r="D104" s="50" t="s">
        <v>43</v>
      </c>
      <c r="E104" s="49">
        <f>SUM(I101:I103)*1.1</f>
        <v>0</v>
      </c>
      <c r="F104" s="50" t="s">
        <v>44</v>
      </c>
      <c r="G104" s="51">
        <f>(C$218+C$222)/1000</f>
        <v>39.781500000000001</v>
      </c>
      <c r="H104" s="52" t="s">
        <v>45</v>
      </c>
      <c r="I104" s="53">
        <f>ROUND(E104*G104,2)</f>
        <v>0</v>
      </c>
    </row>
    <row r="105" spans="2:13" ht="18" customHeight="1">
      <c r="B105" s="48" t="s">
        <v>46</v>
      </c>
      <c r="C105" s="50">
        <v>186.72</v>
      </c>
      <c r="D105" s="50" t="s">
        <v>47</v>
      </c>
      <c r="E105" s="49">
        <f>ROUND(C104*(C105/1000),2)</f>
        <v>0</v>
      </c>
      <c r="F105" s="50" t="s">
        <v>48</v>
      </c>
      <c r="G105" s="50">
        <f>G$23</f>
        <v>10</v>
      </c>
      <c r="H105" s="52" t="s">
        <v>49</v>
      </c>
      <c r="I105" s="53">
        <f>ROUND(E105*G105,2)</f>
        <v>0</v>
      </c>
    </row>
    <row r="106" spans="2:13" ht="18" customHeight="1">
      <c r="B106" s="48" t="s">
        <v>50</v>
      </c>
      <c r="C106" s="50">
        <v>0</v>
      </c>
      <c r="D106" s="50" t="s">
        <v>51</v>
      </c>
      <c r="E106" s="49">
        <f>ROUND(C104*(C106/1000),2)</f>
        <v>0</v>
      </c>
      <c r="F106" s="50" t="s">
        <v>48</v>
      </c>
      <c r="G106" s="50">
        <f>G$24</f>
        <v>10</v>
      </c>
      <c r="H106" s="52" t="s">
        <v>49</v>
      </c>
      <c r="I106" s="53">
        <f>ROUND(E106*G106,2)</f>
        <v>0</v>
      </c>
    </row>
    <row r="107" spans="2:13" ht="18" customHeight="1">
      <c r="B107" s="23" t="s">
        <v>36</v>
      </c>
      <c r="C107" s="442" t="s">
        <v>14</v>
      </c>
      <c r="D107" s="442" t="s">
        <v>37</v>
      </c>
      <c r="E107" s="442" t="s">
        <v>38</v>
      </c>
      <c r="F107" s="442" t="s">
        <v>39</v>
      </c>
      <c r="G107" s="442" t="s">
        <v>8</v>
      </c>
      <c r="H107" s="442" t="s">
        <v>22</v>
      </c>
      <c r="I107" s="25" t="s">
        <v>40</v>
      </c>
    </row>
    <row r="108" spans="2:13" ht="18" customHeight="1">
      <c r="B108" s="648" t="s">
        <v>85</v>
      </c>
      <c r="C108" s="655" t="s">
        <v>86</v>
      </c>
      <c r="D108" s="440">
        <v>1800</v>
      </c>
      <c r="E108" s="440">
        <f>E14</f>
        <v>2320</v>
      </c>
      <c r="F108" s="440">
        <f>ROUND((D108+E108)*2/1000,4)</f>
        <v>8.24</v>
      </c>
      <c r="G108" s="440">
        <v>1</v>
      </c>
      <c r="H108" s="440">
        <v>1.857</v>
      </c>
      <c r="I108" s="59">
        <f>ROUND(F108*G108*H108,3)</f>
        <v>15.302</v>
      </c>
    </row>
    <row r="109" spans="2:13" ht="18" customHeight="1">
      <c r="B109" s="648"/>
      <c r="C109" s="656"/>
      <c r="D109" s="440"/>
      <c r="E109" s="440"/>
      <c r="F109" s="440">
        <f>ROUND((D109+E109)*2/1000,4)</f>
        <v>0</v>
      </c>
      <c r="G109" s="440"/>
      <c r="H109" s="440">
        <f>H108</f>
        <v>1.857</v>
      </c>
      <c r="I109" s="59">
        <f>ROUND(F109*G109*H109,3)</f>
        <v>0</v>
      </c>
      <c r="K109" s="42"/>
      <c r="L109" s="42"/>
      <c r="M109" s="42"/>
    </row>
    <row r="110" spans="2:13" ht="18" customHeight="1">
      <c r="B110" s="648"/>
      <c r="C110" s="656"/>
      <c r="D110" s="440"/>
      <c r="E110" s="440"/>
      <c r="F110" s="440">
        <f>ROUND((D110+E110)*2/1000,4)</f>
        <v>0</v>
      </c>
      <c r="G110" s="440"/>
      <c r="H110" s="440">
        <f>H109</f>
        <v>1.857</v>
      </c>
      <c r="I110" s="59">
        <f>ROUND(F110*G110*H110,3)</f>
        <v>0</v>
      </c>
      <c r="K110" s="42"/>
      <c r="L110" s="42"/>
      <c r="M110" s="42"/>
    </row>
    <row r="111" spans="2:13" ht="18" customHeight="1">
      <c r="B111" s="648"/>
      <c r="C111" s="657"/>
      <c r="D111" s="440"/>
      <c r="E111" s="440"/>
      <c r="F111" s="440">
        <f>ROUND((D111+E111)*2/1000,4)</f>
        <v>0</v>
      </c>
      <c r="G111" s="440"/>
      <c r="H111" s="440">
        <f>H110</f>
        <v>1.857</v>
      </c>
      <c r="I111" s="59">
        <f>ROUND(F111*G111*H111,3)</f>
        <v>0</v>
      </c>
      <c r="K111" s="42"/>
      <c r="L111" s="42"/>
      <c r="M111" s="42"/>
    </row>
    <row r="112" spans="2:13" ht="18" customHeight="1">
      <c r="B112" s="48" t="s">
        <v>42</v>
      </c>
      <c r="C112" s="49">
        <f>SUMPRODUCT(F108:F111*G108:G111)</f>
        <v>8.24</v>
      </c>
      <c r="D112" s="50" t="s">
        <v>43</v>
      </c>
      <c r="E112" s="49">
        <f>SUM(I108:I111)*1.1</f>
        <v>16.8322</v>
      </c>
      <c r="F112" s="50" t="s">
        <v>44</v>
      </c>
      <c r="G112" s="51">
        <f>(C$218+C$219)/1000</f>
        <v>46.081499999999998</v>
      </c>
      <c r="H112" s="52" t="s">
        <v>45</v>
      </c>
      <c r="I112" s="53">
        <f>ROUND(E112*G112,2)</f>
        <v>775.65</v>
      </c>
      <c r="J112" s="243">
        <f>SUM(G108:G111)</f>
        <v>1</v>
      </c>
      <c r="K112" s="42"/>
      <c r="L112" s="42"/>
      <c r="M112" s="42"/>
    </row>
    <row r="113" spans="2:14" ht="18" customHeight="1">
      <c r="B113" s="48" t="s">
        <v>46</v>
      </c>
      <c r="C113" s="50">
        <v>241.03</v>
      </c>
      <c r="D113" s="50" t="s">
        <v>47</v>
      </c>
      <c r="E113" s="49">
        <f>ROUND(C112*(C113/1000),2)</f>
        <v>1.99</v>
      </c>
      <c r="F113" s="50" t="s">
        <v>48</v>
      </c>
      <c r="G113" s="50">
        <f>G$23</f>
        <v>10</v>
      </c>
      <c r="H113" s="52" t="s">
        <v>49</v>
      </c>
      <c r="I113" s="53">
        <f>E113*G113</f>
        <v>19.899999999999999</v>
      </c>
      <c r="K113" s="42"/>
      <c r="L113" s="42"/>
      <c r="M113" s="42"/>
    </row>
    <row r="114" spans="2:14" ht="18" customHeight="1" thickBot="1">
      <c r="B114" s="48" t="s">
        <v>50</v>
      </c>
      <c r="C114" s="50">
        <v>204.38</v>
      </c>
      <c r="D114" s="50" t="s">
        <v>51</v>
      </c>
      <c r="E114" s="49">
        <f>ROUND(C112*(C114/1000),2)</f>
        <v>1.68</v>
      </c>
      <c r="F114" s="50" t="s">
        <v>48</v>
      </c>
      <c r="G114" s="50">
        <f>G$24</f>
        <v>10</v>
      </c>
      <c r="H114" s="52" t="s">
        <v>49</v>
      </c>
      <c r="I114" s="53">
        <f>E114*G114</f>
        <v>16.8</v>
      </c>
    </row>
    <row r="115" spans="2:14" ht="18" customHeight="1" thickBot="1">
      <c r="B115" s="23" t="s">
        <v>36</v>
      </c>
      <c r="C115" s="442" t="s">
        <v>14</v>
      </c>
      <c r="D115" s="442" t="s">
        <v>37</v>
      </c>
      <c r="E115" s="442" t="s">
        <v>38</v>
      </c>
      <c r="F115" s="442" t="s">
        <v>39</v>
      </c>
      <c r="G115" s="442" t="s">
        <v>8</v>
      </c>
      <c r="H115" s="442" t="s">
        <v>22</v>
      </c>
      <c r="I115" s="25" t="s">
        <v>40</v>
      </c>
      <c r="J115" s="54" t="s">
        <v>2</v>
      </c>
      <c r="K115" s="55" t="s">
        <v>3</v>
      </c>
      <c r="L115" s="55" t="s">
        <v>61</v>
      </c>
      <c r="M115" s="55" t="s">
        <v>62</v>
      </c>
      <c r="N115" s="70" t="s">
        <v>14</v>
      </c>
    </row>
    <row r="116" spans="2:14" ht="18" customHeight="1">
      <c r="B116" s="648" t="s">
        <v>87</v>
      </c>
      <c r="C116" s="649" t="s">
        <v>88</v>
      </c>
      <c r="D116" s="443">
        <f t="shared" ref="D116:E118" si="18">J116-IF(L116=1,78,IF(L116=2,55.5,IF(L116=3,41,0)))</f>
        <v>859</v>
      </c>
      <c r="E116" s="443">
        <f t="shared" si="18"/>
        <v>2242</v>
      </c>
      <c r="F116" s="440">
        <f>ROUND((D116+E116)*2/1000,4)</f>
        <v>6.202</v>
      </c>
      <c r="G116" s="440">
        <v>2</v>
      </c>
      <c r="H116" s="58">
        <v>2.456</v>
      </c>
      <c r="I116" s="59">
        <f>ROUND(F116*G116*H116,3)</f>
        <v>30.463999999999999</v>
      </c>
      <c r="J116" s="60">
        <f>D108/2</f>
        <v>900</v>
      </c>
      <c r="K116" s="61">
        <f>E108</f>
        <v>2320</v>
      </c>
      <c r="L116" s="61">
        <v>3</v>
      </c>
      <c r="M116" s="61">
        <v>1</v>
      </c>
      <c r="N116" s="76" t="s">
        <v>56</v>
      </c>
    </row>
    <row r="117" spans="2:14" ht="18" customHeight="1">
      <c r="B117" s="648"/>
      <c r="C117" s="650"/>
      <c r="D117" s="443">
        <f t="shared" si="18"/>
        <v>0</v>
      </c>
      <c r="E117" s="443">
        <f t="shared" si="18"/>
        <v>0</v>
      </c>
      <c r="F117" s="440">
        <f>ROUND((D117+E117)*2/1000,4)</f>
        <v>0</v>
      </c>
      <c r="G117" s="440">
        <v>0</v>
      </c>
      <c r="H117" s="58">
        <f>H116</f>
        <v>2.456</v>
      </c>
      <c r="I117" s="59">
        <f>ROUND(F117*G117*H117,3)</f>
        <v>0</v>
      </c>
      <c r="J117" s="60"/>
      <c r="K117" s="61"/>
      <c r="L117" s="61"/>
      <c r="M117" s="61"/>
      <c r="N117" s="76" t="s">
        <v>58</v>
      </c>
    </row>
    <row r="118" spans="2:14" ht="18" customHeight="1" thickBot="1">
      <c r="B118" s="648"/>
      <c r="C118" s="651"/>
      <c r="D118" s="443">
        <f t="shared" si="18"/>
        <v>0</v>
      </c>
      <c r="E118" s="443">
        <f t="shared" si="18"/>
        <v>0</v>
      </c>
      <c r="F118" s="440">
        <f>ROUND((D118+E118)*2/1000,4)</f>
        <v>0</v>
      </c>
      <c r="G118" s="440">
        <v>0</v>
      </c>
      <c r="H118" s="58">
        <f>H117</f>
        <v>2.456</v>
      </c>
      <c r="I118" s="59">
        <f>ROUND(F118*G118*H118,3)</f>
        <v>0</v>
      </c>
      <c r="J118" s="64"/>
      <c r="K118" s="65"/>
      <c r="L118" s="65"/>
      <c r="M118" s="65"/>
      <c r="N118" s="80" t="s">
        <v>89</v>
      </c>
    </row>
    <row r="119" spans="2:14" ht="18" customHeight="1">
      <c r="B119" s="48" t="s">
        <v>42</v>
      </c>
      <c r="C119" s="49">
        <f>SUMPRODUCT(F116:F118*G116:G118)</f>
        <v>12.404</v>
      </c>
      <c r="D119" s="100" t="s">
        <v>43</v>
      </c>
      <c r="E119" s="100">
        <f>SUM(I116:I118)*1.1</f>
        <v>33.510400000000004</v>
      </c>
      <c r="F119" s="50" t="s">
        <v>44</v>
      </c>
      <c r="G119" s="51">
        <f>(C$218+C$219)/1000</f>
        <v>46.081499999999998</v>
      </c>
      <c r="H119" s="52" t="s">
        <v>45</v>
      </c>
      <c r="I119" s="53">
        <f>ROUND(E119*G119,2)</f>
        <v>1544.21</v>
      </c>
      <c r="J119" s="243">
        <f>SUM(G116:G118)</f>
        <v>2</v>
      </c>
      <c r="K119" s="255"/>
      <c r="L119" s="255"/>
      <c r="M119" s="255"/>
    </row>
    <row r="120" spans="2:14" ht="18" customHeight="1">
      <c r="B120" s="48" t="s">
        <v>46</v>
      </c>
      <c r="C120" s="50">
        <v>350.56</v>
      </c>
      <c r="D120" s="100" t="s">
        <v>47</v>
      </c>
      <c r="E120" s="100">
        <f>ROUND(C119*(C120/1000),2)</f>
        <v>4.3499999999999996</v>
      </c>
      <c r="F120" s="50" t="s">
        <v>48</v>
      </c>
      <c r="G120" s="50">
        <f>G$23</f>
        <v>10</v>
      </c>
      <c r="H120" s="52" t="s">
        <v>49</v>
      </c>
      <c r="I120" s="53">
        <f>E120*G120</f>
        <v>43.5</v>
      </c>
      <c r="J120" s="255"/>
      <c r="K120" s="255"/>
      <c r="L120" s="255"/>
      <c r="M120" s="255"/>
    </row>
    <row r="121" spans="2:14" ht="18" customHeight="1" thickBot="1">
      <c r="B121" s="48" t="s">
        <v>50</v>
      </c>
      <c r="C121" s="50">
        <v>189.03</v>
      </c>
      <c r="D121" s="100" t="s">
        <v>51</v>
      </c>
      <c r="E121" s="100">
        <f>ROUND(C119*(C121/1000),2)</f>
        <v>2.34</v>
      </c>
      <c r="F121" s="50" t="s">
        <v>48</v>
      </c>
      <c r="G121" s="50">
        <f>G$24</f>
        <v>10</v>
      </c>
      <c r="H121" s="52" t="s">
        <v>49</v>
      </c>
      <c r="I121" s="53">
        <f>E121*G121</f>
        <v>23.4</v>
      </c>
      <c r="J121" s="255"/>
    </row>
    <row r="122" spans="2:14" ht="18" customHeight="1" thickBot="1">
      <c r="B122" s="23" t="s">
        <v>36</v>
      </c>
      <c r="C122" s="442" t="s">
        <v>14</v>
      </c>
      <c r="D122" s="101" t="s">
        <v>37</v>
      </c>
      <c r="E122" s="101" t="s">
        <v>38</v>
      </c>
      <c r="F122" s="442" t="s">
        <v>39</v>
      </c>
      <c r="G122" s="442" t="s">
        <v>8</v>
      </c>
      <c r="H122" s="442" t="s">
        <v>22</v>
      </c>
      <c r="I122" s="25" t="s">
        <v>40</v>
      </c>
      <c r="J122" s="54" t="s">
        <v>2</v>
      </c>
      <c r="K122" s="55" t="s">
        <v>3</v>
      </c>
      <c r="L122" s="55" t="s">
        <v>61</v>
      </c>
      <c r="M122" s="55" t="s">
        <v>62</v>
      </c>
      <c r="N122" s="70" t="s">
        <v>14</v>
      </c>
    </row>
    <row r="123" spans="2:14" ht="18" customHeight="1">
      <c r="B123" s="648" t="s">
        <v>90</v>
      </c>
      <c r="C123" s="649" t="s">
        <v>91</v>
      </c>
      <c r="D123" s="443">
        <f t="shared" ref="D123:E125" si="19">J123-IF(L123=1,78,IF(L123=2,55.5,IF(L123=3,41,0)))</f>
        <v>0</v>
      </c>
      <c r="E123" s="443">
        <f t="shared" si="19"/>
        <v>0</v>
      </c>
      <c r="F123" s="440">
        <f>ROUND((D123+E123)*2/1000,4)</f>
        <v>0</v>
      </c>
      <c r="G123" s="440"/>
      <c r="H123" s="58">
        <v>2.4710000000000001</v>
      </c>
      <c r="I123" s="59">
        <f>ROUND(F123*G123*H123,3)</f>
        <v>0</v>
      </c>
      <c r="J123" s="60"/>
      <c r="K123" s="61"/>
      <c r="L123" s="61"/>
      <c r="M123" s="61"/>
      <c r="N123" s="76" t="s">
        <v>56</v>
      </c>
    </row>
    <row r="124" spans="2:14" ht="18" customHeight="1">
      <c r="B124" s="648"/>
      <c r="C124" s="650"/>
      <c r="D124" s="443">
        <f t="shared" si="19"/>
        <v>0</v>
      </c>
      <c r="E124" s="443">
        <f t="shared" si="19"/>
        <v>0</v>
      </c>
      <c r="F124" s="440">
        <f>ROUND((D124+E124)*2/1000,4)</f>
        <v>0</v>
      </c>
      <c r="G124" s="440"/>
      <c r="H124" s="58">
        <f>H123</f>
        <v>2.4710000000000001</v>
      </c>
      <c r="I124" s="59">
        <f>ROUND(F124*G124*H124,3)</f>
        <v>0</v>
      </c>
      <c r="J124" s="60"/>
      <c r="K124" s="61"/>
      <c r="L124" s="61"/>
      <c r="M124" s="61"/>
      <c r="N124" s="76" t="s">
        <v>58</v>
      </c>
    </row>
    <row r="125" spans="2:14" ht="18" customHeight="1" thickBot="1">
      <c r="B125" s="648"/>
      <c r="C125" s="651"/>
      <c r="D125" s="443">
        <f t="shared" si="19"/>
        <v>0</v>
      </c>
      <c r="E125" s="443">
        <f t="shared" si="19"/>
        <v>0</v>
      </c>
      <c r="F125" s="440">
        <f>ROUND((D125+E125)*2/1000,4)</f>
        <v>0</v>
      </c>
      <c r="G125" s="440"/>
      <c r="H125" s="58">
        <f>H124</f>
        <v>2.4710000000000001</v>
      </c>
      <c r="I125" s="59">
        <f>ROUND(F125*G125*H125,3)</f>
        <v>0</v>
      </c>
      <c r="J125" s="64"/>
      <c r="K125" s="65"/>
      <c r="L125" s="65"/>
      <c r="M125" s="65"/>
      <c r="N125" s="80" t="s">
        <v>89</v>
      </c>
    </row>
    <row r="126" spans="2:14" ht="18" customHeight="1">
      <c r="B126" s="48" t="s">
        <v>42</v>
      </c>
      <c r="C126" s="49">
        <f>SUMPRODUCT(F123:F125*G123:G125)</f>
        <v>0</v>
      </c>
      <c r="D126" s="50" t="s">
        <v>43</v>
      </c>
      <c r="E126" s="49">
        <f>SUM(I123:I125)*1.1</f>
        <v>0</v>
      </c>
      <c r="F126" s="50" t="s">
        <v>44</v>
      </c>
      <c r="G126" s="51">
        <f>(C$218+C$221)/1000</f>
        <v>46.081499999999998</v>
      </c>
      <c r="H126" s="52" t="s">
        <v>45</v>
      </c>
      <c r="I126" s="53">
        <f>ROUND(E126*G126,2)</f>
        <v>0</v>
      </c>
      <c r="J126" s="243">
        <f>SUM(G123:G125)</f>
        <v>0</v>
      </c>
      <c r="K126" s="255"/>
      <c r="L126" s="255"/>
      <c r="M126" s="255"/>
    </row>
    <row r="127" spans="2:14" ht="18" customHeight="1">
      <c r="B127" s="48" t="s">
        <v>46</v>
      </c>
      <c r="C127" s="50">
        <v>236.53</v>
      </c>
      <c r="D127" s="50" t="s">
        <v>47</v>
      </c>
      <c r="E127" s="49">
        <f>ROUND(C126*(C127/1000),2)</f>
        <v>0</v>
      </c>
      <c r="F127" s="50" t="s">
        <v>48</v>
      </c>
      <c r="G127" s="50">
        <f>G$23</f>
        <v>10</v>
      </c>
      <c r="H127" s="52" t="s">
        <v>49</v>
      </c>
      <c r="I127" s="53">
        <f>E127*G127</f>
        <v>0</v>
      </c>
      <c r="J127" s="255"/>
      <c r="K127" s="255"/>
      <c r="L127" s="255"/>
      <c r="M127" s="255"/>
    </row>
    <row r="128" spans="2:14" ht="18" customHeight="1" thickBot="1">
      <c r="B128" s="48" t="s">
        <v>50</v>
      </c>
      <c r="C128" s="50">
        <v>311.02999999999997</v>
      </c>
      <c r="D128" s="50" t="s">
        <v>51</v>
      </c>
      <c r="E128" s="49">
        <f>ROUND(C126*(C128/1000),2)</f>
        <v>0</v>
      </c>
      <c r="F128" s="50" t="s">
        <v>48</v>
      </c>
      <c r="G128" s="50">
        <f>G$24</f>
        <v>10</v>
      </c>
      <c r="H128" s="52" t="s">
        <v>49</v>
      </c>
      <c r="I128" s="53">
        <f>E128*G128</f>
        <v>0</v>
      </c>
      <c r="J128" s="255"/>
    </row>
    <row r="129" spans="2:14" ht="18" customHeight="1" thickBot="1">
      <c r="B129" s="23" t="s">
        <v>36</v>
      </c>
      <c r="C129" s="442" t="s">
        <v>14</v>
      </c>
      <c r="D129" s="442" t="s">
        <v>37</v>
      </c>
      <c r="E129" s="442" t="s">
        <v>71</v>
      </c>
      <c r="F129" s="442" t="s">
        <v>38</v>
      </c>
      <c r="G129" s="442" t="s">
        <v>72</v>
      </c>
      <c r="H129" s="442" t="s">
        <v>22</v>
      </c>
      <c r="I129" s="25" t="s">
        <v>40</v>
      </c>
      <c r="J129" s="54" t="s">
        <v>2</v>
      </c>
      <c r="K129" s="55" t="s">
        <v>3</v>
      </c>
      <c r="L129" s="55" t="s">
        <v>61</v>
      </c>
      <c r="M129" s="55" t="s">
        <v>62</v>
      </c>
      <c r="N129" s="70" t="s">
        <v>14</v>
      </c>
    </row>
    <row r="130" spans="2:14" ht="18" customHeight="1">
      <c r="B130" s="648" t="s">
        <v>92</v>
      </c>
      <c r="C130" s="649" t="s">
        <v>93</v>
      </c>
      <c r="D130" s="443">
        <f>J130-IF(L130=1,81,IF(L130=2,58.5,IF(L130=3,36,0)))</f>
        <v>0</v>
      </c>
      <c r="E130" s="443">
        <v>0</v>
      </c>
      <c r="F130" s="443">
        <f>K130-IF(M130=1,81,IF(M130=2,58.5,IF(M130=3,36,0)))</f>
        <v>0</v>
      </c>
      <c r="G130" s="440">
        <v>0</v>
      </c>
      <c r="H130" s="440">
        <v>2.0489999999999999</v>
      </c>
      <c r="I130" s="59">
        <f>ROUND((D130*E130+F130*G130)/1000*H130,3)</f>
        <v>0</v>
      </c>
      <c r="J130" s="60"/>
      <c r="K130" s="61"/>
      <c r="L130" s="61"/>
      <c r="M130" s="61"/>
      <c r="N130" s="76" t="s">
        <v>56</v>
      </c>
    </row>
    <row r="131" spans="2:14" ht="18" customHeight="1">
      <c r="B131" s="648"/>
      <c r="C131" s="650"/>
      <c r="D131" s="443">
        <f>J131-IF(L131=1,81,IF(L131=2,58.5,IF(L131=3,36,0)))</f>
        <v>0</v>
      </c>
      <c r="E131" s="443">
        <v>0</v>
      </c>
      <c r="F131" s="443">
        <f>K131-IF(M131=1,81,IF(M131=2,58.5,IF(M131=3,36,0)))</f>
        <v>0</v>
      </c>
      <c r="G131" s="440"/>
      <c r="H131" s="440">
        <f>H130</f>
        <v>2.0489999999999999</v>
      </c>
      <c r="I131" s="59">
        <f>ROUND((D131*E131+F131*G131)/1000*H131,3)</f>
        <v>0</v>
      </c>
      <c r="J131" s="60"/>
      <c r="K131" s="61"/>
      <c r="L131" s="61"/>
      <c r="M131" s="61"/>
      <c r="N131" s="76" t="s">
        <v>58</v>
      </c>
    </row>
    <row r="132" spans="2:14" ht="18" customHeight="1" thickBot="1">
      <c r="B132" s="648"/>
      <c r="C132" s="651"/>
      <c r="D132" s="443">
        <f>J132-IF(L132=1,81,IF(L132=2,58.5,IF(L132=3,36,0)))</f>
        <v>0</v>
      </c>
      <c r="E132" s="443"/>
      <c r="F132" s="443">
        <f>K132-IF(M132=1,81,IF(M132=2,58.5,IF(M132=3,36,0)))</f>
        <v>0</v>
      </c>
      <c r="G132" s="440"/>
      <c r="H132" s="440">
        <f>H131</f>
        <v>2.0489999999999999</v>
      </c>
      <c r="I132" s="59">
        <f>ROUND((D132*E132+F132*G132)/1000*H132,3)</f>
        <v>0</v>
      </c>
      <c r="J132" s="64"/>
      <c r="K132" s="65"/>
      <c r="L132" s="65"/>
      <c r="M132" s="65"/>
      <c r="N132" s="80" t="s">
        <v>89</v>
      </c>
    </row>
    <row r="133" spans="2:14" ht="18" customHeight="1">
      <c r="B133" s="48" t="s">
        <v>42</v>
      </c>
      <c r="C133" s="49">
        <f>SUMPRODUCT(D130:D132*E130:E132+F130:F132*G130:G132)/1000</f>
        <v>0</v>
      </c>
      <c r="D133" s="50" t="s">
        <v>43</v>
      </c>
      <c r="E133" s="49">
        <f>SUM(I130:I132)*1.1</f>
        <v>0</v>
      </c>
      <c r="F133" s="50" t="s">
        <v>44</v>
      </c>
      <c r="G133" s="51">
        <f>(C$218+C$219)/1000</f>
        <v>46.081499999999998</v>
      </c>
      <c r="H133" s="52" t="s">
        <v>45</v>
      </c>
      <c r="I133" s="53">
        <f>ROUND(E133*G133,2)</f>
        <v>0</v>
      </c>
      <c r="J133" s="243">
        <f>SUM(G130:G132)+SUM(E130:E132)</f>
        <v>0</v>
      </c>
    </row>
    <row r="134" spans="2:14" ht="18" customHeight="1">
      <c r="B134" s="48" t="s">
        <v>46</v>
      </c>
      <c r="C134" s="50">
        <v>298.42</v>
      </c>
      <c r="D134" s="50" t="s">
        <v>47</v>
      </c>
      <c r="E134" s="49">
        <f>ROUND(C133*(C134/1000),2)</f>
        <v>0</v>
      </c>
      <c r="F134" s="50" t="s">
        <v>48</v>
      </c>
      <c r="G134" s="50">
        <f>G$23</f>
        <v>10</v>
      </c>
      <c r="H134" s="52" t="s">
        <v>49</v>
      </c>
      <c r="I134" s="53">
        <f>ROUND(E134*G134,2)</f>
        <v>0</v>
      </c>
    </row>
    <row r="135" spans="2:14" ht="18" customHeight="1">
      <c r="B135" s="48" t="s">
        <v>50</v>
      </c>
      <c r="C135" s="50">
        <v>208.08</v>
      </c>
      <c r="D135" s="50" t="s">
        <v>51</v>
      </c>
      <c r="E135" s="49">
        <f>ROUND(C133*(C135/1000),2)</f>
        <v>0</v>
      </c>
      <c r="F135" s="50" t="s">
        <v>48</v>
      </c>
      <c r="G135" s="50">
        <f>G$24</f>
        <v>10</v>
      </c>
      <c r="H135" s="52" t="s">
        <v>49</v>
      </c>
      <c r="I135" s="53">
        <f>ROUND(E135*G135,2)</f>
        <v>0</v>
      </c>
    </row>
    <row r="136" spans="2:14" ht="18" customHeight="1">
      <c r="B136" s="23" t="s">
        <v>36</v>
      </c>
      <c r="C136" s="442" t="s">
        <v>14</v>
      </c>
      <c r="D136" s="652" t="s">
        <v>38</v>
      </c>
      <c r="E136" s="652"/>
      <c r="F136" s="652"/>
      <c r="G136" s="442" t="s">
        <v>72</v>
      </c>
      <c r="H136" s="442" t="s">
        <v>22</v>
      </c>
      <c r="I136" s="25" t="s">
        <v>40</v>
      </c>
    </row>
    <row r="137" spans="2:14" ht="18" customHeight="1">
      <c r="B137" s="648" t="s">
        <v>94</v>
      </c>
      <c r="C137" s="649" t="s">
        <v>95</v>
      </c>
      <c r="D137" s="654">
        <f>E116</f>
        <v>2242</v>
      </c>
      <c r="E137" s="646"/>
      <c r="F137" s="646"/>
      <c r="G137" s="440">
        <v>1</v>
      </c>
      <c r="H137" s="440">
        <v>1.3360000000000001</v>
      </c>
      <c r="I137" s="59">
        <f>ROUND(D137*H137*G137/1000,3)</f>
        <v>2.9950000000000001</v>
      </c>
    </row>
    <row r="138" spans="2:14" ht="18" customHeight="1">
      <c r="B138" s="648"/>
      <c r="C138" s="651"/>
      <c r="D138" s="654"/>
      <c r="E138" s="646"/>
      <c r="F138" s="646"/>
      <c r="G138" s="440"/>
      <c r="H138" s="440">
        <f>H137</f>
        <v>1.3360000000000001</v>
      </c>
      <c r="I138" s="59">
        <f>ROUND(D138*H138*G138/1000,3)</f>
        <v>0</v>
      </c>
    </row>
    <row r="139" spans="2:14" ht="18" customHeight="1">
      <c r="B139" s="48" t="s">
        <v>42</v>
      </c>
      <c r="C139" s="49">
        <f>SUMPRODUCT(D137:F138*G137:G138)/1000</f>
        <v>2.242</v>
      </c>
      <c r="D139" s="50" t="s">
        <v>43</v>
      </c>
      <c r="E139" s="49">
        <f>SUM(I137:I138)*1.1</f>
        <v>3.2945000000000002</v>
      </c>
      <c r="F139" s="50" t="s">
        <v>44</v>
      </c>
      <c r="G139" s="51">
        <f>(C$218+C$219)/1000</f>
        <v>46.081499999999998</v>
      </c>
      <c r="H139" s="52" t="s">
        <v>45</v>
      </c>
      <c r="I139" s="53">
        <f>ROUND(E139*G139,2)</f>
        <v>151.82</v>
      </c>
    </row>
    <row r="140" spans="2:14" ht="18" customHeight="1">
      <c r="B140" s="48" t="s">
        <v>46</v>
      </c>
      <c r="C140" s="50">
        <v>143.24</v>
      </c>
      <c r="D140" s="50" t="s">
        <v>47</v>
      </c>
      <c r="E140" s="49">
        <f>ROUND(C139*(C140/1000),2)</f>
        <v>0.32</v>
      </c>
      <c r="F140" s="50" t="s">
        <v>48</v>
      </c>
      <c r="G140" s="50">
        <f>G$23</f>
        <v>10</v>
      </c>
      <c r="H140" s="52" t="s">
        <v>49</v>
      </c>
      <c r="I140" s="53">
        <f>E140*G140</f>
        <v>3.2</v>
      </c>
    </row>
    <row r="141" spans="2:14" ht="18" customHeight="1">
      <c r="B141" s="48" t="s">
        <v>50</v>
      </c>
      <c r="C141" s="50">
        <v>85.04</v>
      </c>
      <c r="D141" s="50" t="s">
        <v>51</v>
      </c>
      <c r="E141" s="49">
        <f>ROUND(C139*(C141/1000),2)</f>
        <v>0.19</v>
      </c>
      <c r="F141" s="50" t="s">
        <v>48</v>
      </c>
      <c r="G141" s="50">
        <f>G$24</f>
        <v>10</v>
      </c>
      <c r="H141" s="52" t="s">
        <v>49</v>
      </c>
      <c r="I141" s="53">
        <f>E141*G141</f>
        <v>1.9</v>
      </c>
    </row>
    <row r="142" spans="2:14" ht="18" customHeight="1">
      <c r="B142" s="23" t="s">
        <v>36</v>
      </c>
      <c r="C142" s="442" t="s">
        <v>14</v>
      </c>
      <c r="D142" s="442" t="s">
        <v>37</v>
      </c>
      <c r="E142" s="442" t="s">
        <v>38</v>
      </c>
      <c r="F142" s="442" t="s">
        <v>39</v>
      </c>
      <c r="G142" s="442" t="s">
        <v>8</v>
      </c>
      <c r="H142" s="442" t="s">
        <v>22</v>
      </c>
      <c r="I142" s="25" t="s">
        <v>40</v>
      </c>
    </row>
    <row r="143" spans="2:14" ht="18" customHeight="1">
      <c r="B143" s="648" t="s">
        <v>96</v>
      </c>
      <c r="C143" s="653" t="s">
        <v>83</v>
      </c>
      <c r="D143" s="443">
        <f t="shared" ref="D143:E145" si="20">D116-154</f>
        <v>705</v>
      </c>
      <c r="E143" s="443">
        <f t="shared" si="20"/>
        <v>2088</v>
      </c>
      <c r="F143" s="443">
        <f>(D143+E143)*2/1000</f>
        <v>5.5860000000000003</v>
      </c>
      <c r="G143" s="440">
        <f>G116</f>
        <v>2</v>
      </c>
      <c r="H143" s="440">
        <v>0.27100000000000002</v>
      </c>
      <c r="I143" s="59">
        <f>ROUND((F143*G143)*H143,3)</f>
        <v>3.028</v>
      </c>
    </row>
    <row r="144" spans="2:14" ht="18" customHeight="1">
      <c r="B144" s="648"/>
      <c r="C144" s="650"/>
      <c r="D144" s="443">
        <f t="shared" si="20"/>
        <v>-154</v>
      </c>
      <c r="E144" s="443">
        <f t="shared" si="20"/>
        <v>-154</v>
      </c>
      <c r="F144" s="443">
        <f>(D144+E144)*2/1000</f>
        <v>-0.61599999999999999</v>
      </c>
      <c r="G144" s="440">
        <f>G117</f>
        <v>0</v>
      </c>
      <c r="H144" s="440">
        <f>H143</f>
        <v>0.27100000000000002</v>
      </c>
      <c r="I144" s="59">
        <f>ROUND((F144*G144)*H144,3)</f>
        <v>0</v>
      </c>
    </row>
    <row r="145" spans="2:14" ht="18" customHeight="1">
      <c r="B145" s="648"/>
      <c r="C145" s="651"/>
      <c r="D145" s="443">
        <f t="shared" si="20"/>
        <v>-154</v>
      </c>
      <c r="E145" s="443">
        <f t="shared" si="20"/>
        <v>-154</v>
      </c>
      <c r="F145" s="443">
        <f>(D145+E145)*2/1000</f>
        <v>-0.61599999999999999</v>
      </c>
      <c r="G145" s="440">
        <f>G118</f>
        <v>0</v>
      </c>
      <c r="H145" s="440">
        <f>H144</f>
        <v>0.27100000000000002</v>
      </c>
      <c r="I145" s="59">
        <f>ROUND((F145*G145)*H145,3)</f>
        <v>0</v>
      </c>
    </row>
    <row r="146" spans="2:14" ht="18" customHeight="1">
      <c r="B146" s="48" t="s">
        <v>42</v>
      </c>
      <c r="C146" s="49">
        <f>SUMPRODUCT(F143:F145*G143:G145)</f>
        <v>11.172000000000001</v>
      </c>
      <c r="D146" s="50" t="s">
        <v>43</v>
      </c>
      <c r="E146" s="49">
        <f>SUM(I143:I145)*1.1</f>
        <v>3.3308000000000004</v>
      </c>
      <c r="F146" s="50" t="s">
        <v>44</v>
      </c>
      <c r="G146" s="51">
        <f>(C$218+C$222)/1000</f>
        <v>39.781500000000001</v>
      </c>
      <c r="H146" s="52" t="s">
        <v>45</v>
      </c>
      <c r="I146" s="53">
        <f>ROUND(E146*G146,2)</f>
        <v>132.5</v>
      </c>
    </row>
    <row r="147" spans="2:14" ht="18" customHeight="1">
      <c r="B147" s="48" t="s">
        <v>46</v>
      </c>
      <c r="C147" s="50">
        <v>186.72</v>
      </c>
      <c r="D147" s="50" t="s">
        <v>47</v>
      </c>
      <c r="E147" s="49">
        <f>ROUND(C146*(C147/1000),2)</f>
        <v>2.09</v>
      </c>
      <c r="F147" s="50" t="s">
        <v>48</v>
      </c>
      <c r="G147" s="50">
        <f>G$23</f>
        <v>10</v>
      </c>
      <c r="H147" s="52" t="s">
        <v>49</v>
      </c>
      <c r="I147" s="53">
        <f>E147*G147</f>
        <v>20.9</v>
      </c>
      <c r="K147" s="42"/>
      <c r="L147" s="42"/>
      <c r="M147" s="42"/>
    </row>
    <row r="148" spans="2:14" ht="18" customHeight="1">
      <c r="B148" s="48" t="s">
        <v>50</v>
      </c>
      <c r="C148" s="50">
        <v>0</v>
      </c>
      <c r="D148" s="50" t="s">
        <v>51</v>
      </c>
      <c r="E148" s="49">
        <f>ROUND(C146*(C148/1000),2)</f>
        <v>0</v>
      </c>
      <c r="F148" s="50" t="s">
        <v>48</v>
      </c>
      <c r="G148" s="50">
        <f>G$24</f>
        <v>10</v>
      </c>
      <c r="H148" s="52" t="s">
        <v>49</v>
      </c>
      <c r="I148" s="53">
        <f>E148*G148</f>
        <v>0</v>
      </c>
      <c r="K148" s="42"/>
      <c r="L148" s="42"/>
      <c r="M148" s="42"/>
    </row>
    <row r="149" spans="2:14" ht="18" customHeight="1">
      <c r="B149" s="23" t="s">
        <v>36</v>
      </c>
      <c r="C149" s="442" t="s">
        <v>14</v>
      </c>
      <c r="D149" s="442" t="s">
        <v>37</v>
      </c>
      <c r="E149" s="442" t="s">
        <v>38</v>
      </c>
      <c r="F149" s="442" t="s">
        <v>39</v>
      </c>
      <c r="G149" s="442" t="s">
        <v>8</v>
      </c>
      <c r="H149" s="442" t="s">
        <v>22</v>
      </c>
      <c r="I149" s="25" t="s">
        <v>40</v>
      </c>
      <c r="K149" s="42"/>
      <c r="L149" s="42"/>
      <c r="M149" s="42"/>
    </row>
    <row r="150" spans="2:14" ht="18" customHeight="1">
      <c r="B150" s="648" t="s">
        <v>97</v>
      </c>
      <c r="C150" s="653" t="s">
        <v>83</v>
      </c>
      <c r="D150" s="443">
        <f t="shared" ref="D150:E152" si="21">D123-160</f>
        <v>-160</v>
      </c>
      <c r="E150" s="443">
        <f t="shared" si="21"/>
        <v>-160</v>
      </c>
      <c r="F150" s="443">
        <f>(D150+E150)*2/1000</f>
        <v>-0.64</v>
      </c>
      <c r="G150" s="440">
        <f>G123</f>
        <v>0</v>
      </c>
      <c r="H150" s="440">
        <f>H145</f>
        <v>0.27100000000000002</v>
      </c>
      <c r="I150" s="59">
        <f>ROUND((F150*G150)*H150,3)</f>
        <v>0</v>
      </c>
      <c r="K150" s="42"/>
      <c r="L150" s="42"/>
      <c r="M150" s="42"/>
    </row>
    <row r="151" spans="2:14" ht="18" customHeight="1">
      <c r="B151" s="648"/>
      <c r="C151" s="650"/>
      <c r="D151" s="443">
        <f t="shared" si="21"/>
        <v>-160</v>
      </c>
      <c r="E151" s="443">
        <f t="shared" si="21"/>
        <v>-160</v>
      </c>
      <c r="F151" s="443">
        <f>(D151+E151)*2/1000</f>
        <v>-0.64</v>
      </c>
      <c r="G151" s="440">
        <f>G124</f>
        <v>0</v>
      </c>
      <c r="H151" s="440">
        <f>H150</f>
        <v>0.27100000000000002</v>
      </c>
      <c r="I151" s="59">
        <f>ROUND((F151*G151)*H151,3)</f>
        <v>0</v>
      </c>
      <c r="K151" s="42"/>
      <c r="L151" s="42"/>
      <c r="M151" s="42"/>
    </row>
    <row r="152" spans="2:14" ht="18" customHeight="1">
      <c r="B152" s="648"/>
      <c r="C152" s="651"/>
      <c r="D152" s="443">
        <f t="shared" si="21"/>
        <v>-160</v>
      </c>
      <c r="E152" s="443">
        <f t="shared" si="21"/>
        <v>-160</v>
      </c>
      <c r="F152" s="443">
        <f>(D152+E152)*2/1000</f>
        <v>-0.64</v>
      </c>
      <c r="G152" s="440">
        <f>G125</f>
        <v>0</v>
      </c>
      <c r="H152" s="440">
        <f>H151</f>
        <v>0.27100000000000002</v>
      </c>
      <c r="I152" s="59">
        <f>ROUND((F152*G152)*H152,3)</f>
        <v>0</v>
      </c>
      <c r="K152" s="42"/>
      <c r="L152" s="42"/>
      <c r="M152" s="42"/>
    </row>
    <row r="153" spans="2:14" ht="18" customHeight="1">
      <c r="B153" s="48" t="s">
        <v>42</v>
      </c>
      <c r="C153" s="49">
        <f>SUMPRODUCT(F150:F152*G150:G152)</f>
        <v>0</v>
      </c>
      <c r="D153" s="50" t="s">
        <v>43</v>
      </c>
      <c r="E153" s="49">
        <f>SUM(I150:I152)*1.1</f>
        <v>0</v>
      </c>
      <c r="F153" s="50" t="s">
        <v>44</v>
      </c>
      <c r="G153" s="51">
        <f>(C$218+C$222)/1000</f>
        <v>39.781500000000001</v>
      </c>
      <c r="H153" s="52" t="s">
        <v>45</v>
      </c>
      <c r="I153" s="53">
        <f>ROUND(E153*G153,2)</f>
        <v>0</v>
      </c>
      <c r="K153" s="42"/>
      <c r="L153" s="42"/>
      <c r="M153" s="42"/>
    </row>
    <row r="154" spans="2:14" ht="18" customHeight="1">
      <c r="B154" s="48" t="s">
        <v>46</v>
      </c>
      <c r="C154" s="50">
        <v>186.72</v>
      </c>
      <c r="D154" s="50" t="s">
        <v>47</v>
      </c>
      <c r="E154" s="49">
        <f>ROUND(C153*(C154/1000),2)</f>
        <v>0</v>
      </c>
      <c r="F154" s="50" t="s">
        <v>48</v>
      </c>
      <c r="G154" s="50">
        <f>G$23</f>
        <v>10</v>
      </c>
      <c r="H154" s="52" t="s">
        <v>49</v>
      </c>
      <c r="I154" s="53">
        <f>E154*G154</f>
        <v>0</v>
      </c>
    </row>
    <row r="155" spans="2:14" ht="18" customHeight="1" thickBot="1">
      <c r="B155" s="48" t="s">
        <v>50</v>
      </c>
      <c r="C155" s="50">
        <v>0</v>
      </c>
      <c r="D155" s="50" t="s">
        <v>51</v>
      </c>
      <c r="E155" s="49">
        <f>ROUND(C153*(C155/1000),2)</f>
        <v>0</v>
      </c>
      <c r="F155" s="50" t="s">
        <v>48</v>
      </c>
      <c r="G155" s="50">
        <f>G$24</f>
        <v>10</v>
      </c>
      <c r="H155" s="52" t="s">
        <v>49</v>
      </c>
      <c r="I155" s="53">
        <f>E155*G155</f>
        <v>0</v>
      </c>
    </row>
    <row r="156" spans="2:14" ht="18" customHeight="1" thickBot="1">
      <c r="B156" s="23" t="s">
        <v>36</v>
      </c>
      <c r="C156" s="442" t="s">
        <v>14</v>
      </c>
      <c r="D156" s="442" t="s">
        <v>37</v>
      </c>
      <c r="E156" s="442" t="s">
        <v>38</v>
      </c>
      <c r="F156" s="442" t="s">
        <v>39</v>
      </c>
      <c r="G156" s="442" t="s">
        <v>8</v>
      </c>
      <c r="H156" s="442" t="s">
        <v>22</v>
      </c>
      <c r="I156" s="25" t="s">
        <v>40</v>
      </c>
      <c r="J156" s="54" t="s">
        <v>2</v>
      </c>
      <c r="K156" s="55" t="s">
        <v>3</v>
      </c>
      <c r="L156" s="55" t="s">
        <v>61</v>
      </c>
      <c r="M156" s="55" t="s">
        <v>62</v>
      </c>
      <c r="N156" s="70" t="s">
        <v>14</v>
      </c>
    </row>
    <row r="157" spans="2:14" ht="18" customHeight="1">
      <c r="B157" s="648" t="s">
        <v>98</v>
      </c>
      <c r="C157" s="649" t="s">
        <v>99</v>
      </c>
      <c r="D157" s="443">
        <f t="shared" ref="D157:E162" si="22">J157-IF(L157=1,90,IF(L157=2,67.5,IF(L157=3,45,0)))</f>
        <v>0</v>
      </c>
      <c r="E157" s="443">
        <f t="shared" si="22"/>
        <v>0</v>
      </c>
      <c r="F157" s="443">
        <f t="shared" ref="F157:F162" si="23">2*(D157+E157)/1000</f>
        <v>0</v>
      </c>
      <c r="G157" s="440">
        <v>0</v>
      </c>
      <c r="H157" s="440">
        <f>H68</f>
        <v>0.224</v>
      </c>
      <c r="I157" s="59">
        <f t="shared" ref="I157:I162" si="24">ROUND((F157*G157)*H157,3)</f>
        <v>0</v>
      </c>
      <c r="J157" s="60"/>
      <c r="K157" s="61"/>
      <c r="L157" s="61"/>
      <c r="M157" s="61"/>
      <c r="N157" s="76" t="s">
        <v>56</v>
      </c>
    </row>
    <row r="158" spans="2:14" ht="18" customHeight="1">
      <c r="B158" s="648"/>
      <c r="C158" s="650"/>
      <c r="D158" s="443">
        <f t="shared" si="22"/>
        <v>0</v>
      </c>
      <c r="E158" s="443">
        <f t="shared" si="22"/>
        <v>0</v>
      </c>
      <c r="F158" s="443">
        <f t="shared" si="23"/>
        <v>0</v>
      </c>
      <c r="G158" s="440"/>
      <c r="H158" s="440">
        <f>H157</f>
        <v>0.224</v>
      </c>
      <c r="I158" s="59">
        <f t="shared" si="24"/>
        <v>0</v>
      </c>
      <c r="J158" s="60"/>
      <c r="K158" s="61"/>
      <c r="L158" s="61"/>
      <c r="M158" s="61"/>
      <c r="N158" s="76" t="s">
        <v>58</v>
      </c>
    </row>
    <row r="159" spans="2:14" ht="18" customHeight="1">
      <c r="B159" s="648"/>
      <c r="C159" s="650"/>
      <c r="D159" s="443">
        <f t="shared" si="22"/>
        <v>0</v>
      </c>
      <c r="E159" s="443">
        <f t="shared" si="22"/>
        <v>0</v>
      </c>
      <c r="F159" s="443">
        <f t="shared" si="23"/>
        <v>0</v>
      </c>
      <c r="G159" s="440"/>
      <c r="H159" s="440">
        <f>H158</f>
        <v>0.224</v>
      </c>
      <c r="I159" s="59">
        <f t="shared" si="24"/>
        <v>0</v>
      </c>
      <c r="J159" s="60"/>
      <c r="K159" s="61"/>
      <c r="L159" s="61"/>
      <c r="M159" s="61"/>
      <c r="N159" s="76" t="s">
        <v>60</v>
      </c>
    </row>
    <row r="160" spans="2:14" ht="18" customHeight="1">
      <c r="B160" s="648"/>
      <c r="C160" s="650"/>
      <c r="D160" s="443">
        <f t="shared" si="22"/>
        <v>0</v>
      </c>
      <c r="E160" s="443">
        <f t="shared" si="22"/>
        <v>0</v>
      </c>
      <c r="F160" s="443">
        <f t="shared" si="23"/>
        <v>0</v>
      </c>
      <c r="G160" s="440">
        <v>0</v>
      </c>
      <c r="H160" s="77">
        <f>H159</f>
        <v>0.224</v>
      </c>
      <c r="I160" s="59">
        <f t="shared" si="24"/>
        <v>0</v>
      </c>
      <c r="J160" s="60"/>
      <c r="K160" s="61"/>
      <c r="L160" s="61"/>
      <c r="M160" s="61"/>
      <c r="N160" s="76"/>
    </row>
    <row r="161" spans="2:16" ht="18" customHeight="1">
      <c r="B161" s="648"/>
      <c r="C161" s="650"/>
      <c r="D161" s="443">
        <f t="shared" si="22"/>
        <v>0</v>
      </c>
      <c r="E161" s="443">
        <f t="shared" si="22"/>
        <v>0</v>
      </c>
      <c r="F161" s="443">
        <f t="shared" si="23"/>
        <v>0</v>
      </c>
      <c r="G161" s="440"/>
      <c r="H161" s="440">
        <f>H160</f>
        <v>0.224</v>
      </c>
      <c r="I161" s="59">
        <f t="shared" si="24"/>
        <v>0</v>
      </c>
      <c r="J161" s="60"/>
      <c r="K161" s="61"/>
      <c r="L161" s="61"/>
      <c r="M161" s="61"/>
      <c r="N161" s="76"/>
    </row>
    <row r="162" spans="2:16" ht="18" customHeight="1" thickBot="1">
      <c r="B162" s="648"/>
      <c r="C162" s="651"/>
      <c r="D162" s="443">
        <f t="shared" si="22"/>
        <v>0</v>
      </c>
      <c r="E162" s="443">
        <f t="shared" si="22"/>
        <v>0</v>
      </c>
      <c r="F162" s="443">
        <f t="shared" si="23"/>
        <v>0</v>
      </c>
      <c r="G162" s="440"/>
      <c r="H162" s="440">
        <f>H160</f>
        <v>0.224</v>
      </c>
      <c r="I162" s="59">
        <f t="shared" si="24"/>
        <v>0</v>
      </c>
      <c r="J162" s="64"/>
      <c r="K162" s="65"/>
      <c r="L162" s="65"/>
      <c r="M162" s="65"/>
      <c r="N162" s="80"/>
    </row>
    <row r="163" spans="2:16" ht="18" customHeight="1">
      <c r="B163" s="48" t="s">
        <v>42</v>
      </c>
      <c r="C163" s="49">
        <f>SUMPRODUCT(F157:F162*G157:G162)</f>
        <v>0</v>
      </c>
      <c r="D163" s="50" t="s">
        <v>43</v>
      </c>
      <c r="E163" s="49">
        <f>SUM(I157:I162)*1.1</f>
        <v>0</v>
      </c>
      <c r="F163" s="50" t="s">
        <v>44</v>
      </c>
      <c r="G163" s="51">
        <f>(C$218+C$222)/1000</f>
        <v>39.781500000000001</v>
      </c>
      <c r="H163" s="52" t="s">
        <v>45</v>
      </c>
      <c r="I163" s="53">
        <f>ROUND(E163*G163,2)</f>
        <v>0</v>
      </c>
      <c r="J163" s="102"/>
      <c r="K163" s="102"/>
      <c r="L163" s="102"/>
      <c r="M163" s="102"/>
      <c r="O163" s="102"/>
      <c r="P163" s="102"/>
    </row>
    <row r="164" spans="2:16" ht="18" customHeight="1">
      <c r="B164" s="48" t="s">
        <v>46</v>
      </c>
      <c r="C164" s="50">
        <v>181.72</v>
      </c>
      <c r="D164" s="50" t="s">
        <v>47</v>
      </c>
      <c r="E164" s="49">
        <f>ROUND(C163*(C164/1000),2)</f>
        <v>0</v>
      </c>
      <c r="F164" s="50" t="s">
        <v>48</v>
      </c>
      <c r="G164" s="50">
        <f>G$23</f>
        <v>10</v>
      </c>
      <c r="H164" s="52" t="s">
        <v>49</v>
      </c>
      <c r="I164" s="53">
        <f>E164*G164</f>
        <v>0</v>
      </c>
      <c r="J164" s="102"/>
      <c r="K164" s="102"/>
      <c r="L164" s="102"/>
      <c r="M164" s="102"/>
      <c r="O164" s="102"/>
      <c r="P164" s="102"/>
    </row>
    <row r="165" spans="2:16" ht="18" customHeight="1">
      <c r="B165" s="48" t="s">
        <v>50</v>
      </c>
      <c r="C165" s="50"/>
      <c r="D165" s="50" t="s">
        <v>51</v>
      </c>
      <c r="E165" s="49">
        <f>ROUND(C163*(C165/1000),2)</f>
        <v>0</v>
      </c>
      <c r="F165" s="50" t="s">
        <v>48</v>
      </c>
      <c r="G165" s="50">
        <f>G$24</f>
        <v>10</v>
      </c>
      <c r="H165" s="52" t="s">
        <v>49</v>
      </c>
      <c r="I165" s="53">
        <f>E165*G165</f>
        <v>0</v>
      </c>
      <c r="K165" s="43">
        <f>J165*E165</f>
        <v>0</v>
      </c>
    </row>
    <row r="166" spans="2:16" ht="18" customHeight="1">
      <c r="B166" s="23" t="s">
        <v>36</v>
      </c>
      <c r="C166" s="442" t="s">
        <v>14</v>
      </c>
      <c r="D166" s="442" t="s">
        <v>37</v>
      </c>
      <c r="E166" s="442" t="s">
        <v>71</v>
      </c>
      <c r="F166" s="442" t="s">
        <v>38</v>
      </c>
      <c r="G166" s="442" t="s">
        <v>72</v>
      </c>
      <c r="H166" s="442" t="s">
        <v>22</v>
      </c>
      <c r="I166" s="25" t="s">
        <v>40</v>
      </c>
    </row>
    <row r="167" spans="2:16" ht="18" customHeight="1">
      <c r="B167" s="648" t="s">
        <v>100</v>
      </c>
      <c r="C167" s="649" t="s">
        <v>101</v>
      </c>
      <c r="D167" s="440"/>
      <c r="E167" s="440"/>
      <c r="F167" s="440"/>
      <c r="G167" s="440"/>
      <c r="H167" s="28">
        <v>6.3E-2</v>
      </c>
      <c r="I167" s="59">
        <f>ROUND((D167*E167+F167*G167)/1000*H167,3)</f>
        <v>0</v>
      </c>
    </row>
    <row r="168" spans="2:16" ht="18" customHeight="1">
      <c r="B168" s="648"/>
      <c r="C168" s="650"/>
      <c r="D168" s="440"/>
      <c r="E168" s="440"/>
      <c r="F168" s="440"/>
      <c r="G168" s="440"/>
      <c r="H168" s="28">
        <f>H167</f>
        <v>6.3E-2</v>
      </c>
      <c r="I168" s="59">
        <f>ROUND((D168*E168+F168*G168)/1000*H168,3)</f>
        <v>0</v>
      </c>
    </row>
    <row r="169" spans="2:16" ht="18" customHeight="1">
      <c r="B169" s="648"/>
      <c r="C169" s="651"/>
      <c r="D169" s="440"/>
      <c r="E169" s="440"/>
      <c r="F169" s="440"/>
      <c r="G169" s="440"/>
      <c r="H169" s="28">
        <f>H168</f>
        <v>6.3E-2</v>
      </c>
      <c r="I169" s="59">
        <f>ROUND((D169*E169+F169*G169)/1000*H169,3)</f>
        <v>0</v>
      </c>
    </row>
    <row r="170" spans="2:16" ht="18" customHeight="1">
      <c r="B170" s="48" t="s">
        <v>42</v>
      </c>
      <c r="C170" s="49">
        <f>SUMPRODUCT(D167:D169*E167:E169+F167:F169*G167:G169)/1000</f>
        <v>0</v>
      </c>
      <c r="D170" s="50" t="s">
        <v>43</v>
      </c>
      <c r="E170" s="49">
        <f>SUM(I167:I169)*1.1</f>
        <v>0</v>
      </c>
      <c r="F170" s="50" t="s">
        <v>44</v>
      </c>
      <c r="G170" s="51">
        <f>(C$218+$C$222)/1000</f>
        <v>39.781500000000001</v>
      </c>
      <c r="H170" s="52" t="s">
        <v>45</v>
      </c>
      <c r="I170" s="53">
        <f>ROUND(E170*G170,2)</f>
        <v>0</v>
      </c>
    </row>
    <row r="171" spans="2:16" ht="18" customHeight="1">
      <c r="B171" s="48" t="s">
        <v>46</v>
      </c>
      <c r="C171" s="50">
        <v>105.66</v>
      </c>
      <c r="D171" s="50" t="s">
        <v>47</v>
      </c>
      <c r="E171" s="49">
        <f>ROUND(C170*(C171/1000),2)</f>
        <v>0</v>
      </c>
      <c r="F171" s="50" t="s">
        <v>48</v>
      </c>
      <c r="G171" s="50">
        <f>G$23</f>
        <v>10</v>
      </c>
      <c r="H171" s="52" t="s">
        <v>49</v>
      </c>
      <c r="I171" s="53">
        <f>E171*G171</f>
        <v>0</v>
      </c>
    </row>
    <row r="172" spans="2:16" ht="18" customHeight="1">
      <c r="B172" s="48" t="s">
        <v>50</v>
      </c>
      <c r="C172" s="50">
        <v>125.66</v>
      </c>
      <c r="D172" s="50" t="s">
        <v>51</v>
      </c>
      <c r="E172" s="49">
        <f>ROUND(C170*(C172/1000),2)</f>
        <v>0</v>
      </c>
      <c r="F172" s="50" t="s">
        <v>48</v>
      </c>
      <c r="G172" s="50">
        <f>G$24</f>
        <v>10</v>
      </c>
      <c r="H172" s="52" t="s">
        <v>49</v>
      </c>
      <c r="I172" s="53">
        <f>E172*G172</f>
        <v>0</v>
      </c>
    </row>
    <row r="173" spans="2:16" ht="18" customHeight="1">
      <c r="B173" s="23" t="s">
        <v>36</v>
      </c>
      <c r="C173" s="442" t="s">
        <v>14</v>
      </c>
      <c r="D173" s="442" t="s">
        <v>37</v>
      </c>
      <c r="E173" s="442" t="s">
        <v>71</v>
      </c>
      <c r="F173" s="442" t="s">
        <v>38</v>
      </c>
      <c r="G173" s="442" t="s">
        <v>72</v>
      </c>
      <c r="H173" s="442" t="s">
        <v>22</v>
      </c>
      <c r="I173" s="25" t="s">
        <v>40</v>
      </c>
    </row>
    <row r="174" spans="2:16" ht="18" customHeight="1">
      <c r="B174" s="648" t="s">
        <v>102</v>
      </c>
      <c r="C174" s="649" t="s">
        <v>103</v>
      </c>
      <c r="D174" s="440"/>
      <c r="E174" s="440"/>
      <c r="F174" s="440"/>
      <c r="G174" s="440"/>
      <c r="H174" s="28">
        <v>1.0980000000000001</v>
      </c>
      <c r="I174" s="59">
        <f>ROUND((D174*E174+F174*G174)/1000*H174,3)</f>
        <v>0</v>
      </c>
    </row>
    <row r="175" spans="2:16" ht="18" customHeight="1">
      <c r="B175" s="648"/>
      <c r="C175" s="650"/>
      <c r="D175" s="440"/>
      <c r="E175" s="440"/>
      <c r="F175" s="440"/>
      <c r="G175" s="440"/>
      <c r="H175" s="28">
        <f>H174</f>
        <v>1.0980000000000001</v>
      </c>
      <c r="I175" s="59">
        <f>ROUND((D175*E175+F175*G175)/1000*H175,3)</f>
        <v>0</v>
      </c>
    </row>
    <row r="176" spans="2:16" ht="18" customHeight="1">
      <c r="B176" s="648"/>
      <c r="C176" s="651"/>
      <c r="D176" s="440"/>
      <c r="E176" s="440"/>
      <c r="F176" s="440"/>
      <c r="G176" s="440"/>
      <c r="H176" s="28">
        <f>H175</f>
        <v>1.0980000000000001</v>
      </c>
      <c r="I176" s="59">
        <f>ROUND((D176*E176+F176*G176)/1000*H176,3)</f>
        <v>0</v>
      </c>
    </row>
    <row r="177" spans="2:9" ht="18" customHeight="1">
      <c r="B177" s="48" t="s">
        <v>42</v>
      </c>
      <c r="C177" s="49">
        <f>SUMPRODUCT(D174:D176*E174:E176+F174:F176*G174:G176)/1000</f>
        <v>0</v>
      </c>
      <c r="D177" s="50" t="s">
        <v>43</v>
      </c>
      <c r="E177" s="49">
        <f>SUM(I174:I176)*1.1</f>
        <v>0</v>
      </c>
      <c r="F177" s="50" t="s">
        <v>44</v>
      </c>
      <c r="G177" s="51">
        <f>(C$218+C$219)/1000</f>
        <v>46.081499999999998</v>
      </c>
      <c r="H177" s="52" t="s">
        <v>45</v>
      </c>
      <c r="I177" s="53">
        <f>ROUND(E177*G177,2)</f>
        <v>0</v>
      </c>
    </row>
    <row r="178" spans="2:9" ht="18" customHeight="1">
      <c r="B178" s="48" t="s">
        <v>46</v>
      </c>
      <c r="C178" s="50">
        <v>105.66</v>
      </c>
      <c r="D178" s="50" t="s">
        <v>47</v>
      </c>
      <c r="E178" s="49">
        <f>ROUND(C177*(C178/1000),2)</f>
        <v>0</v>
      </c>
      <c r="F178" s="50" t="s">
        <v>48</v>
      </c>
      <c r="G178" s="50">
        <f>G$23</f>
        <v>10</v>
      </c>
      <c r="H178" s="52" t="s">
        <v>49</v>
      </c>
      <c r="I178" s="53">
        <f>E178*G178</f>
        <v>0</v>
      </c>
    </row>
    <row r="179" spans="2:9" ht="18" customHeight="1">
      <c r="B179" s="48" t="s">
        <v>50</v>
      </c>
      <c r="C179" s="50">
        <v>125.66</v>
      </c>
      <c r="D179" s="50" t="s">
        <v>51</v>
      </c>
      <c r="E179" s="49">
        <f>ROUND(C177*(C179/1000),2)</f>
        <v>0</v>
      </c>
      <c r="F179" s="50" t="s">
        <v>48</v>
      </c>
      <c r="G179" s="50">
        <f>G$24</f>
        <v>10</v>
      </c>
      <c r="H179" s="52" t="s">
        <v>49</v>
      </c>
      <c r="I179" s="53">
        <f>E179*G179</f>
        <v>0</v>
      </c>
    </row>
    <row r="180" spans="2:9" ht="18" customHeight="1">
      <c r="B180" s="23" t="s">
        <v>36</v>
      </c>
      <c r="C180" s="442" t="s">
        <v>14</v>
      </c>
      <c r="D180" s="442" t="s">
        <v>37</v>
      </c>
      <c r="E180" s="442" t="s">
        <v>71</v>
      </c>
      <c r="F180" s="442" t="s">
        <v>38</v>
      </c>
      <c r="G180" s="442" t="s">
        <v>72</v>
      </c>
      <c r="H180" s="442" t="s">
        <v>22</v>
      </c>
      <c r="I180" s="25" t="s">
        <v>40</v>
      </c>
    </row>
    <row r="181" spans="2:9" ht="18" customHeight="1">
      <c r="B181" s="648" t="s">
        <v>104</v>
      </c>
      <c r="C181" s="649" t="s">
        <v>105</v>
      </c>
      <c r="D181" s="440"/>
      <c r="E181" s="440"/>
      <c r="F181" s="440">
        <f>E14</f>
        <v>2320</v>
      </c>
      <c r="G181" s="440">
        <v>1</v>
      </c>
      <c r="H181" s="28">
        <v>1.5629999999999999</v>
      </c>
      <c r="I181" s="59">
        <f>ROUND((D181*E181+F181*G181)/1000*H181,3)</f>
        <v>3.6259999999999999</v>
      </c>
    </row>
    <row r="182" spans="2:9" ht="18" customHeight="1">
      <c r="B182" s="648"/>
      <c r="C182" s="650"/>
      <c r="D182" s="440"/>
      <c r="E182" s="440"/>
      <c r="F182" s="440"/>
      <c r="G182" s="440"/>
      <c r="H182" s="28">
        <f>H181</f>
        <v>1.5629999999999999</v>
      </c>
      <c r="I182" s="59">
        <f>ROUND((D182*E182+F182*G182)/1000*H182,3)</f>
        <v>0</v>
      </c>
    </row>
    <row r="183" spans="2:9" ht="18" customHeight="1">
      <c r="B183" s="648"/>
      <c r="C183" s="651"/>
      <c r="D183" s="440"/>
      <c r="E183" s="440"/>
      <c r="F183" s="440"/>
      <c r="G183" s="440"/>
      <c r="H183" s="28">
        <f>H182</f>
        <v>1.5629999999999999</v>
      </c>
      <c r="I183" s="59">
        <f>ROUND((D183*E183+F183*G183)/1000*H183,3)</f>
        <v>0</v>
      </c>
    </row>
    <row r="184" spans="2:9" ht="18" customHeight="1">
      <c r="B184" s="48" t="s">
        <v>42</v>
      </c>
      <c r="C184" s="49">
        <f>SUMPRODUCT(D181:D183*E181:E183+F181:F183*G181:G183)/1000</f>
        <v>2.3199999999999998</v>
      </c>
      <c r="D184" s="50" t="s">
        <v>43</v>
      </c>
      <c r="E184" s="49">
        <f>SUM(I181:I183)*1.1</f>
        <v>3.9886000000000004</v>
      </c>
      <c r="F184" s="50" t="s">
        <v>44</v>
      </c>
      <c r="G184" s="51">
        <f>(C$218+C$219)/1000</f>
        <v>46.081499999999998</v>
      </c>
      <c r="H184" s="52" t="s">
        <v>45</v>
      </c>
      <c r="I184" s="53">
        <f>ROUND(E184*G184,2)</f>
        <v>183.8</v>
      </c>
    </row>
    <row r="185" spans="2:9" ht="18" customHeight="1">
      <c r="B185" s="48" t="s">
        <v>46</v>
      </c>
      <c r="C185" s="50">
        <v>105.66</v>
      </c>
      <c r="D185" s="50" t="s">
        <v>47</v>
      </c>
      <c r="E185" s="49">
        <f>ROUND(C184*(C185/1000),2)</f>
        <v>0.25</v>
      </c>
      <c r="F185" s="50" t="s">
        <v>48</v>
      </c>
      <c r="G185" s="50">
        <f>G$23</f>
        <v>10</v>
      </c>
      <c r="H185" s="52" t="s">
        <v>49</v>
      </c>
      <c r="I185" s="53">
        <f>E185*G185</f>
        <v>2.5</v>
      </c>
    </row>
    <row r="186" spans="2:9" ht="18" customHeight="1">
      <c r="B186" s="48" t="s">
        <v>50</v>
      </c>
      <c r="C186" s="50">
        <v>125.66</v>
      </c>
      <c r="D186" s="50" t="s">
        <v>51</v>
      </c>
      <c r="E186" s="49">
        <f>ROUND(C184*(C186/1000),2)</f>
        <v>0.28999999999999998</v>
      </c>
      <c r="F186" s="50" t="s">
        <v>48</v>
      </c>
      <c r="G186" s="50">
        <f>G$24</f>
        <v>10</v>
      </c>
      <c r="H186" s="52" t="s">
        <v>49</v>
      </c>
      <c r="I186" s="53">
        <f>E186*G186</f>
        <v>2.9</v>
      </c>
    </row>
    <row r="187" spans="2:9" ht="18" customHeight="1">
      <c r="B187" s="23" t="s">
        <v>36</v>
      </c>
      <c r="C187" s="442" t="s">
        <v>14</v>
      </c>
      <c r="D187" s="442" t="s">
        <v>37</v>
      </c>
      <c r="E187" s="442" t="s">
        <v>71</v>
      </c>
      <c r="F187" s="442" t="s">
        <v>38</v>
      </c>
      <c r="G187" s="442" t="s">
        <v>72</v>
      </c>
      <c r="H187" s="442" t="s">
        <v>22</v>
      </c>
      <c r="I187" s="25" t="s">
        <v>40</v>
      </c>
    </row>
    <row r="188" spans="2:9" ht="18" customHeight="1">
      <c r="B188" s="648" t="s">
        <v>106</v>
      </c>
      <c r="C188" s="649" t="s">
        <v>107</v>
      </c>
      <c r="D188" s="440"/>
      <c r="E188" s="440"/>
      <c r="F188" s="440"/>
      <c r="G188" s="440"/>
      <c r="H188" s="28">
        <v>1.732</v>
      </c>
      <c r="I188" s="59">
        <f>ROUND((D188*E188+F188*G188)/1000*H188,3)</f>
        <v>0</v>
      </c>
    </row>
    <row r="189" spans="2:9" ht="18" customHeight="1">
      <c r="B189" s="648"/>
      <c r="C189" s="650"/>
      <c r="D189" s="440"/>
      <c r="E189" s="440"/>
      <c r="F189" s="440"/>
      <c r="G189" s="440"/>
      <c r="H189" s="28">
        <f>H188</f>
        <v>1.732</v>
      </c>
      <c r="I189" s="59">
        <f>ROUND((D189*E189+F189*G189)/1000*H189,3)</f>
        <v>0</v>
      </c>
    </row>
    <row r="190" spans="2:9" ht="18" customHeight="1">
      <c r="B190" s="648"/>
      <c r="C190" s="651"/>
      <c r="D190" s="440"/>
      <c r="E190" s="440"/>
      <c r="F190" s="440">
        <f>E6</f>
        <v>2320</v>
      </c>
      <c r="G190" s="440"/>
      <c r="H190" s="28">
        <f>H189</f>
        <v>1.732</v>
      </c>
      <c r="I190" s="59">
        <f>ROUND((D190*E190+F190*G190)/1000*H190,3)</f>
        <v>0</v>
      </c>
    </row>
    <row r="191" spans="2:9" ht="18" customHeight="1">
      <c r="B191" s="48" t="s">
        <v>42</v>
      </c>
      <c r="C191" s="49">
        <f>SUMPRODUCT(D188:D190*E188:E190+F188:F190*G188:G190)/1000</f>
        <v>0</v>
      </c>
      <c r="D191" s="50" t="s">
        <v>43</v>
      </c>
      <c r="E191" s="49">
        <f>SUM(I188:I190)*1.1</f>
        <v>0</v>
      </c>
      <c r="F191" s="50" t="s">
        <v>44</v>
      </c>
      <c r="G191" s="51">
        <f>(C$218+C$219)/1000</f>
        <v>46.081499999999998</v>
      </c>
      <c r="H191" s="52" t="s">
        <v>45</v>
      </c>
      <c r="I191" s="53">
        <f>ROUND(E191*G191,2)</f>
        <v>0</v>
      </c>
    </row>
    <row r="192" spans="2:9" ht="18" customHeight="1">
      <c r="B192" s="48" t="s">
        <v>46</v>
      </c>
      <c r="C192" s="50">
        <v>105.66</v>
      </c>
      <c r="D192" s="50" t="s">
        <v>47</v>
      </c>
      <c r="E192" s="49">
        <f>ROUND(C191*(C192/1000),2)</f>
        <v>0</v>
      </c>
      <c r="F192" s="50" t="s">
        <v>48</v>
      </c>
      <c r="G192" s="50">
        <f>G$23</f>
        <v>10</v>
      </c>
      <c r="H192" s="52" t="s">
        <v>49</v>
      </c>
      <c r="I192" s="53">
        <f>E192*G192</f>
        <v>0</v>
      </c>
    </row>
    <row r="193" spans="2:15" ht="18" customHeight="1">
      <c r="B193" s="48" t="s">
        <v>50</v>
      </c>
      <c r="C193" s="50">
        <v>125.66</v>
      </c>
      <c r="D193" s="50" t="s">
        <v>51</v>
      </c>
      <c r="E193" s="49">
        <f>ROUND(C191*(C193/1000),2)</f>
        <v>0</v>
      </c>
      <c r="F193" s="50" t="s">
        <v>48</v>
      </c>
      <c r="G193" s="50">
        <f>G$24</f>
        <v>10</v>
      </c>
      <c r="H193" s="52" t="s">
        <v>49</v>
      </c>
      <c r="I193" s="53">
        <f>E193*G193</f>
        <v>0</v>
      </c>
    </row>
    <row r="194" spans="2:15" ht="18" customHeight="1">
      <c r="B194" s="23" t="s">
        <v>36</v>
      </c>
      <c r="C194" s="442" t="s">
        <v>14</v>
      </c>
      <c r="D194" s="652" t="s">
        <v>38</v>
      </c>
      <c r="E194" s="652"/>
      <c r="F194" s="652"/>
      <c r="G194" s="442" t="s">
        <v>72</v>
      </c>
      <c r="H194" s="442" t="s">
        <v>22</v>
      </c>
      <c r="I194" s="25" t="s">
        <v>40</v>
      </c>
    </row>
    <row r="195" spans="2:15" ht="18" customHeight="1">
      <c r="B195" s="643" t="s">
        <v>108</v>
      </c>
      <c r="C195" s="645" t="s">
        <v>109</v>
      </c>
      <c r="D195" s="646"/>
      <c r="E195" s="646"/>
      <c r="F195" s="646"/>
      <c r="G195" s="440"/>
      <c r="H195" s="440">
        <v>1.796</v>
      </c>
      <c r="I195" s="59">
        <f>ROUND((D195*G195*H195)/1000,3)</f>
        <v>0</v>
      </c>
    </row>
    <row r="196" spans="2:15" ht="18" customHeight="1">
      <c r="B196" s="644"/>
      <c r="C196" s="640"/>
      <c r="D196" s="646"/>
      <c r="E196" s="646"/>
      <c r="F196" s="646"/>
      <c r="G196" s="440"/>
      <c r="H196" s="440">
        <f>H195</f>
        <v>1.796</v>
      </c>
      <c r="I196" s="59">
        <f>ROUND((D196*G196*H196)/1000,3)</f>
        <v>0</v>
      </c>
    </row>
    <row r="197" spans="2:15" ht="18" customHeight="1">
      <c r="B197" s="643" t="s">
        <v>110</v>
      </c>
      <c r="C197" s="645" t="s">
        <v>111</v>
      </c>
      <c r="D197" s="646"/>
      <c r="E197" s="646"/>
      <c r="F197" s="646"/>
      <c r="G197" s="440"/>
      <c r="H197" s="440">
        <v>1.355</v>
      </c>
      <c r="I197" s="59"/>
    </row>
    <row r="198" spans="2:15" ht="18" customHeight="1">
      <c r="B198" s="644"/>
      <c r="C198" s="640"/>
      <c r="D198" s="646"/>
      <c r="E198" s="646"/>
      <c r="F198" s="646"/>
      <c r="G198" s="440"/>
      <c r="H198" s="440">
        <f>H197</f>
        <v>1.355</v>
      </c>
      <c r="I198" s="59"/>
    </row>
    <row r="199" spans="2:15" ht="18" customHeight="1">
      <c r="B199" s="48" t="s">
        <v>42</v>
      </c>
      <c r="C199" s="49">
        <f>SUMPRODUCT(D195:F198*G195:G198)/1000</f>
        <v>0</v>
      </c>
      <c r="D199" s="50" t="s">
        <v>43</v>
      </c>
      <c r="E199" s="49">
        <f>SUM(I195:I198)*1.1</f>
        <v>0</v>
      </c>
      <c r="F199" s="50" t="s">
        <v>44</v>
      </c>
      <c r="G199" s="51">
        <f>(C$218+C$219)/1000</f>
        <v>46.081499999999998</v>
      </c>
      <c r="H199" s="52" t="s">
        <v>45</v>
      </c>
      <c r="I199" s="53">
        <f>ROUND(E199*G199,2)</f>
        <v>0</v>
      </c>
    </row>
    <row r="200" spans="2:15" ht="18" customHeight="1">
      <c r="B200" s="48" t="s">
        <v>46</v>
      </c>
      <c r="C200" s="50">
        <v>267.77999999999997</v>
      </c>
      <c r="D200" s="50" t="s">
        <v>47</v>
      </c>
      <c r="E200" s="49">
        <f>ROUND(C199*(C200/1000),2)</f>
        <v>0</v>
      </c>
      <c r="F200" s="50" t="s">
        <v>48</v>
      </c>
      <c r="G200" s="50">
        <f>G$23</f>
        <v>10</v>
      </c>
      <c r="H200" s="52" t="s">
        <v>49</v>
      </c>
      <c r="I200" s="53">
        <f>E200*G200</f>
        <v>0</v>
      </c>
    </row>
    <row r="201" spans="2:15" ht="18" customHeight="1">
      <c r="B201" s="48" t="s">
        <v>50</v>
      </c>
      <c r="C201" s="50">
        <v>104.29</v>
      </c>
      <c r="D201" s="50" t="s">
        <v>51</v>
      </c>
      <c r="E201" s="49">
        <f>ROUND(C199*(C201/1000),2)</f>
        <v>0</v>
      </c>
      <c r="F201" s="50" t="s">
        <v>48</v>
      </c>
      <c r="G201" s="50">
        <f>G$24</f>
        <v>10</v>
      </c>
      <c r="H201" s="52" t="s">
        <v>49</v>
      </c>
      <c r="I201" s="53">
        <f>E201*G201</f>
        <v>0</v>
      </c>
    </row>
    <row r="202" spans="2:15" ht="18" customHeight="1">
      <c r="B202" s="103" t="s">
        <v>112</v>
      </c>
      <c r="C202" s="104" t="s">
        <v>113</v>
      </c>
      <c r="D202" s="104" t="s">
        <v>28</v>
      </c>
      <c r="E202" s="104" t="s">
        <v>8</v>
      </c>
      <c r="F202" s="104" t="s">
        <v>112</v>
      </c>
      <c r="G202" s="104" t="s">
        <v>113</v>
      </c>
      <c r="H202" s="104" t="s">
        <v>28</v>
      </c>
      <c r="I202" s="105" t="s">
        <v>8</v>
      </c>
      <c r="N202" s="106"/>
      <c r="O202" s="102"/>
    </row>
    <row r="203" spans="2:15" ht="18" customHeight="1">
      <c r="B203" s="441" t="s">
        <v>327</v>
      </c>
      <c r="C203" s="107" t="s">
        <v>114</v>
      </c>
      <c r="D203" s="108">
        <v>2.15</v>
      </c>
      <c r="E203" s="443">
        <f>SUM(G14:G21)*4</f>
        <v>4</v>
      </c>
      <c r="F203" s="647" t="s">
        <v>115</v>
      </c>
      <c r="G203" s="107" t="s">
        <v>116</v>
      </c>
      <c r="H203" s="108">
        <v>2.46</v>
      </c>
      <c r="I203" s="437">
        <f>SUM(G108:G111)*4</f>
        <v>4</v>
      </c>
      <c r="J203" s="42"/>
      <c r="N203" s="106"/>
      <c r="O203" s="102"/>
    </row>
    <row r="204" spans="2:15" ht="18" customHeight="1">
      <c r="B204" s="441" t="s">
        <v>328</v>
      </c>
      <c r="C204" s="107" t="s">
        <v>117</v>
      </c>
      <c r="D204" s="108">
        <v>1.72</v>
      </c>
      <c r="E204" s="443">
        <f>E203</f>
        <v>4</v>
      </c>
      <c r="F204" s="646"/>
      <c r="G204" s="107" t="s">
        <v>118</v>
      </c>
      <c r="H204" s="108">
        <v>3.11</v>
      </c>
      <c r="I204" s="437">
        <f>I203</f>
        <v>4</v>
      </c>
      <c r="J204" s="42"/>
      <c r="N204" s="106"/>
      <c r="O204" s="102"/>
    </row>
    <row r="205" spans="2:15" ht="18" customHeight="1">
      <c r="B205" s="109" t="s">
        <v>330</v>
      </c>
      <c r="C205" s="107" t="s">
        <v>119</v>
      </c>
      <c r="D205" s="108">
        <v>2.68</v>
      </c>
      <c r="E205" s="443">
        <f>SUM(G26:G30)*4</f>
        <v>0</v>
      </c>
      <c r="F205" s="110" t="s">
        <v>120</v>
      </c>
      <c r="G205" s="107" t="s">
        <v>121</v>
      </c>
      <c r="H205" s="111">
        <v>4.76</v>
      </c>
      <c r="I205" s="437">
        <f>SUM(G123:G125)*4</f>
        <v>0</v>
      </c>
      <c r="J205" s="42"/>
      <c r="N205" s="106"/>
      <c r="O205" s="102"/>
    </row>
    <row r="206" spans="2:15" ht="18" customHeight="1">
      <c r="B206" s="109" t="s">
        <v>329</v>
      </c>
      <c r="C206" s="107" t="s">
        <v>122</v>
      </c>
      <c r="D206" s="108">
        <v>1.27</v>
      </c>
      <c r="E206" s="443">
        <f>E205</f>
        <v>0</v>
      </c>
      <c r="F206" s="110" t="s">
        <v>123</v>
      </c>
      <c r="G206" s="107" t="s">
        <v>124</v>
      </c>
      <c r="H206" s="111">
        <v>3.85</v>
      </c>
      <c r="I206" s="437">
        <f>I205</f>
        <v>0</v>
      </c>
      <c r="J206" s="42"/>
      <c r="N206" s="106"/>
      <c r="O206" s="102"/>
    </row>
    <row r="207" spans="2:15" ht="18" customHeight="1">
      <c r="B207" s="109" t="s">
        <v>331</v>
      </c>
      <c r="C207" s="107" t="s">
        <v>125</v>
      </c>
      <c r="D207" s="111" t="s">
        <v>126</v>
      </c>
      <c r="E207" s="443">
        <f>SUM(G35:G37)*4</f>
        <v>0</v>
      </c>
      <c r="F207" s="110" t="s">
        <v>127</v>
      </c>
      <c r="G207" s="107" t="s">
        <v>128</v>
      </c>
      <c r="H207" s="111">
        <v>4.29</v>
      </c>
      <c r="I207" s="437">
        <f>SUM(G116:G118)*4</f>
        <v>8</v>
      </c>
      <c r="J207" s="42"/>
      <c r="N207" s="106"/>
      <c r="O207" s="102"/>
    </row>
    <row r="208" spans="2:15" ht="18" customHeight="1">
      <c r="B208" s="109" t="s">
        <v>332</v>
      </c>
      <c r="C208" s="107" t="s">
        <v>129</v>
      </c>
      <c r="D208" s="111" t="s">
        <v>130</v>
      </c>
      <c r="E208" s="443">
        <f>E207</f>
        <v>0</v>
      </c>
      <c r="F208" s="110" t="s">
        <v>131</v>
      </c>
      <c r="G208" s="107" t="s">
        <v>132</v>
      </c>
      <c r="H208" s="111">
        <v>4.5</v>
      </c>
      <c r="I208" s="437">
        <f>I207</f>
        <v>8</v>
      </c>
      <c r="J208" s="42"/>
      <c r="N208" s="106"/>
      <c r="O208" s="102"/>
    </row>
    <row r="209" spans="2:15" ht="18" customHeight="1">
      <c r="B209" s="439" t="s">
        <v>333</v>
      </c>
      <c r="C209" s="440">
        <v>12.6</v>
      </c>
      <c r="D209" s="111">
        <v>1.32</v>
      </c>
      <c r="E209" s="443">
        <f>SUM(G42:G47)*4</f>
        <v>0</v>
      </c>
      <c r="F209" s="639"/>
      <c r="G209" s="107"/>
      <c r="H209" s="28"/>
      <c r="I209" s="437"/>
      <c r="N209" s="106"/>
      <c r="O209" s="102"/>
    </row>
    <row r="210" spans="2:15" ht="18" customHeight="1">
      <c r="B210" s="439" t="s">
        <v>334</v>
      </c>
      <c r="C210" s="440">
        <v>15.8</v>
      </c>
      <c r="D210" s="111">
        <v>1.18</v>
      </c>
      <c r="E210" s="443">
        <f>E209</f>
        <v>0</v>
      </c>
      <c r="F210" s="640"/>
      <c r="G210" s="107"/>
      <c r="H210" s="28"/>
      <c r="I210" s="231"/>
      <c r="N210" s="106"/>
      <c r="O210" s="102"/>
    </row>
    <row r="211" spans="2:15" ht="18" customHeight="1">
      <c r="B211" s="441" t="s">
        <v>335</v>
      </c>
      <c r="C211" s="107" t="s">
        <v>337</v>
      </c>
      <c r="D211" s="111">
        <v>2.81</v>
      </c>
      <c r="E211" s="440">
        <f>SUM(E52+E53+E54+E55+G52+G53+G54+G55+G60+G61+G62+G63)*2</f>
        <v>0</v>
      </c>
      <c r="F211" s="641" t="s">
        <v>133</v>
      </c>
      <c r="G211" s="111">
        <f>SUMPRODUCT(D35:D37,G35:G37)/1000</f>
        <v>0</v>
      </c>
      <c r="H211" s="28">
        <v>0.16</v>
      </c>
      <c r="I211" s="232">
        <f>G211*H211</f>
        <v>0</v>
      </c>
      <c r="N211" s="106"/>
      <c r="O211" s="102"/>
    </row>
    <row r="212" spans="2:15" ht="18" customHeight="1">
      <c r="B212" s="441" t="s">
        <v>336</v>
      </c>
      <c r="C212" s="107" t="s">
        <v>338</v>
      </c>
      <c r="D212" s="111">
        <v>3.51</v>
      </c>
      <c r="E212" s="440">
        <f>E211</f>
        <v>0</v>
      </c>
      <c r="F212" s="641"/>
      <c r="G212" s="111">
        <f>SUMPRODUCT(D26:D30,G26:G30)/1000</f>
        <v>0</v>
      </c>
      <c r="H212" s="28">
        <v>0.16</v>
      </c>
      <c r="I212" s="232">
        <f>G212*H212</f>
        <v>0</v>
      </c>
      <c r="N212" s="106"/>
      <c r="O212" s="102"/>
    </row>
    <row r="213" spans="2:15" ht="18" customHeight="1">
      <c r="B213" s="441" t="s">
        <v>134</v>
      </c>
      <c r="C213" s="440">
        <v>30.6</v>
      </c>
      <c r="D213" s="111">
        <v>2.81</v>
      </c>
      <c r="E213" s="443">
        <f>SUM(+E130+E131+E132+G130+G131+G132)*2</f>
        <v>0</v>
      </c>
      <c r="F213" s="641" t="s">
        <v>135</v>
      </c>
      <c r="G213" s="111">
        <f>SUMPRODUCT(E26:E30,G26:G30)/1000</f>
        <v>0</v>
      </c>
      <c r="H213" s="28">
        <v>0.16</v>
      </c>
      <c r="I213" s="232">
        <f>G213*H213</f>
        <v>0</v>
      </c>
      <c r="N213" s="106"/>
      <c r="O213" s="102"/>
    </row>
    <row r="214" spans="2:15" ht="18" customHeight="1">
      <c r="B214" s="441" t="s">
        <v>136</v>
      </c>
      <c r="C214" s="440">
        <v>30.6</v>
      </c>
      <c r="D214" s="111">
        <v>3.51</v>
      </c>
      <c r="E214" s="443">
        <f>E213</f>
        <v>0</v>
      </c>
      <c r="F214" s="641"/>
      <c r="G214" s="111">
        <f>SUMPRODUCT(E35:E37,G35:G37)/1000</f>
        <v>0</v>
      </c>
      <c r="H214" s="28">
        <v>0.16</v>
      </c>
      <c r="I214" s="232">
        <f>G214*H214</f>
        <v>0</v>
      </c>
      <c r="N214" s="106"/>
      <c r="O214" s="102"/>
    </row>
    <row r="215" spans="2:15" ht="18" customHeight="1">
      <c r="B215" s="52" t="s">
        <v>137</v>
      </c>
      <c r="C215" s="112" cm="1">
        <f t="array" ref="C215">SUMPRODUCT(D203:D214*E203:E214)+SUMPRODUCT(H203:H210*I203:I210)</f>
        <v>108.08</v>
      </c>
      <c r="D215" s="52"/>
      <c r="E215" s="52"/>
      <c r="F215" s="52"/>
      <c r="G215" s="52" t="s">
        <v>138</v>
      </c>
      <c r="H215" s="52" cm="1">
        <f t="array" ref="H215">SUMPRODUCT(G211:G214*H211:H214)</f>
        <v>0</v>
      </c>
      <c r="I215" s="233">
        <f>H215*1.08</f>
        <v>0</v>
      </c>
      <c r="N215" s="106"/>
      <c r="O215" s="102"/>
    </row>
    <row r="216" spans="2:15" ht="18" customHeight="1">
      <c r="B216" s="23" t="s">
        <v>139</v>
      </c>
      <c r="C216" s="442" t="s">
        <v>14</v>
      </c>
      <c r="D216" s="442" t="s">
        <v>22</v>
      </c>
      <c r="E216" s="442" t="s">
        <v>8</v>
      </c>
      <c r="F216" s="442" t="s">
        <v>113</v>
      </c>
      <c r="G216" s="442" t="s">
        <v>40</v>
      </c>
      <c r="H216" s="442" t="s">
        <v>28</v>
      </c>
      <c r="I216" s="25" t="s">
        <v>29</v>
      </c>
      <c r="N216" s="106"/>
      <c r="O216" s="102"/>
    </row>
    <row r="217" spans="2:15" ht="18" customHeight="1">
      <c r="B217" s="48" t="s">
        <v>140</v>
      </c>
      <c r="C217" s="52" t="s">
        <v>141</v>
      </c>
      <c r="D217" s="50">
        <v>0.14199999999999999</v>
      </c>
      <c r="E217" s="50">
        <v>1</v>
      </c>
      <c r="F217" s="50">
        <f>D6</f>
        <v>2220</v>
      </c>
      <c r="G217" s="128">
        <f>D217*F217*E217/1000*1.1</f>
        <v>0.34676400000000002</v>
      </c>
      <c r="H217" s="52">
        <f>(C218+C222)/1000</f>
        <v>39.781500000000001</v>
      </c>
      <c r="I217" s="193">
        <f>G217*H217</f>
        <v>13.794792066000001</v>
      </c>
      <c r="N217" s="106"/>
      <c r="O217" s="102"/>
    </row>
    <row r="218" spans="2:15" ht="18" customHeight="1">
      <c r="B218" s="37" t="s">
        <v>142</v>
      </c>
      <c r="C218" s="113">
        <f>材料价格!B4</f>
        <v>22081.5</v>
      </c>
      <c r="D218" s="39" t="s">
        <v>143</v>
      </c>
      <c r="E218" s="114">
        <f>E139+E133+E126+E119+E112+E199+E177+E64+E56+E48+E38+E31+E22+E184+E191</f>
        <v>70.91810000000001</v>
      </c>
      <c r="F218" s="39" t="s">
        <v>144</v>
      </c>
      <c r="G218" s="115">
        <f>I218/E218-C218/1000</f>
        <v>23.999965803511373</v>
      </c>
      <c r="H218" s="39" t="s">
        <v>145</v>
      </c>
      <c r="I218" s="116">
        <f>I22+I31+I38+I48+I56+I64+I199+I112+I119+I126+I133+I139+I177+I184+I191</f>
        <v>3268.01</v>
      </c>
      <c r="N218" s="106"/>
      <c r="O218" s="102"/>
    </row>
    <row r="219" spans="2:15" ht="18" customHeight="1">
      <c r="B219" s="117" t="s">
        <v>146</v>
      </c>
      <c r="C219" s="118">
        <f>材料价格!B5</f>
        <v>24000</v>
      </c>
      <c r="D219" s="39" t="s">
        <v>147</v>
      </c>
      <c r="E219" s="114">
        <f>E163+E153+E146+E104+E97+E88+G217+E170</f>
        <v>4.9568640000000013</v>
      </c>
      <c r="F219" s="39" t="s">
        <v>148</v>
      </c>
      <c r="G219" s="119">
        <f>I219/E219-C218/1000</f>
        <v>17.698649720871899</v>
      </c>
      <c r="H219" s="39" t="s">
        <v>149</v>
      </c>
      <c r="I219" s="116">
        <f>I88+I97+I104+I146+I153+I163+I217+I170</f>
        <v>197.184792066</v>
      </c>
      <c r="N219" s="106"/>
      <c r="O219" s="102"/>
    </row>
    <row r="220" spans="2:15" ht="18" customHeight="1">
      <c r="B220" s="117" t="s">
        <v>150</v>
      </c>
      <c r="C220" s="118">
        <f>C219</f>
        <v>24000</v>
      </c>
      <c r="D220" s="39" t="s">
        <v>151</v>
      </c>
      <c r="E220" s="120">
        <f>I215</f>
        <v>0</v>
      </c>
      <c r="F220" s="39" t="s">
        <v>152</v>
      </c>
      <c r="G220" s="119" t="e">
        <f>I220/E220-C218/1000</f>
        <v>#DIV/0!</v>
      </c>
      <c r="H220" s="39" t="s">
        <v>153</v>
      </c>
      <c r="I220" s="116">
        <f>ROUND(E220*(C218+C223)/1000,2)</f>
        <v>0</v>
      </c>
      <c r="N220" s="106"/>
      <c r="O220" s="102"/>
    </row>
    <row r="221" spans="2:15" ht="18" customHeight="1">
      <c r="B221" s="117" t="s">
        <v>154</v>
      </c>
      <c r="C221" s="121">
        <f>C220</f>
        <v>24000</v>
      </c>
      <c r="D221" s="39" t="s">
        <v>155</v>
      </c>
      <c r="E221" s="39"/>
      <c r="F221" s="39" t="s">
        <v>156</v>
      </c>
      <c r="G221" s="39"/>
      <c r="H221" s="39" t="s">
        <v>49</v>
      </c>
      <c r="I221" s="116">
        <f>E221*G221</f>
        <v>0</v>
      </c>
      <c r="J221" s="42"/>
      <c r="K221" s="255"/>
    </row>
    <row r="222" spans="2:15" ht="18" customHeight="1">
      <c r="B222" s="117" t="s">
        <v>148</v>
      </c>
      <c r="C222" s="122">
        <f>材料价格!B6</f>
        <v>17700</v>
      </c>
      <c r="D222" s="39" t="s">
        <v>157</v>
      </c>
      <c r="E222" s="39"/>
      <c r="F222" s="39" t="s">
        <v>156</v>
      </c>
      <c r="G222" s="39"/>
      <c r="H222" s="39" t="s">
        <v>49</v>
      </c>
      <c r="I222" s="116">
        <f>E222*G222</f>
        <v>0</v>
      </c>
      <c r="J222" s="123"/>
      <c r="K222" s="123"/>
      <c r="L222" s="123"/>
    </row>
    <row r="223" spans="2:15" ht="18" customHeight="1">
      <c r="B223" s="117" t="s">
        <v>152</v>
      </c>
      <c r="C223" s="122">
        <f>材料价格!B9</f>
        <v>2900</v>
      </c>
      <c r="D223" s="39" t="s">
        <v>158</v>
      </c>
      <c r="E223" s="114">
        <f>SUM(E218:E220)</f>
        <v>75.874964000000006</v>
      </c>
      <c r="F223" s="39"/>
      <c r="G223" s="39" t="s">
        <v>339</v>
      </c>
      <c r="H223" s="39"/>
      <c r="I223" s="234">
        <f>SUM(I218:I222)+C215</f>
        <v>3573.2747920660004</v>
      </c>
      <c r="J223" s="123"/>
      <c r="K223" s="123"/>
      <c r="L223" s="123"/>
    </row>
    <row r="224" spans="2:15" ht="18" customHeight="1">
      <c r="B224" s="23" t="s">
        <v>159</v>
      </c>
      <c r="C224" s="442" t="s">
        <v>113</v>
      </c>
      <c r="D224" s="442" t="s">
        <v>16</v>
      </c>
      <c r="E224" s="442" t="s">
        <v>7</v>
      </c>
      <c r="F224" s="442" t="s">
        <v>8</v>
      </c>
      <c r="G224" s="442" t="s">
        <v>28</v>
      </c>
      <c r="H224" s="442" t="s">
        <v>160</v>
      </c>
      <c r="I224" s="25" t="s">
        <v>1</v>
      </c>
      <c r="J224" s="255"/>
      <c r="K224" s="255"/>
      <c r="L224" s="255"/>
      <c r="M224" s="255"/>
    </row>
    <row r="225" spans="2:13" ht="18" customHeight="1">
      <c r="B225" s="124" t="str">
        <f>材料价格!A10</f>
        <v>6单银Low-E+12A+6</v>
      </c>
      <c r="C225" s="443">
        <f t="shared" ref="C225:D229" si="25">D92</f>
        <v>-90</v>
      </c>
      <c r="D225" s="443">
        <f t="shared" si="25"/>
        <v>-90</v>
      </c>
      <c r="E225" s="32">
        <f>C225*D225/10^6</f>
        <v>8.0999999999999996E-3</v>
      </c>
      <c r="F225" s="440">
        <f>G26</f>
        <v>0</v>
      </c>
      <c r="G225" s="125">
        <f>材料价格!B10</f>
        <v>148</v>
      </c>
      <c r="H225" s="440">
        <f>ROUND(E225*G225*F225,2)</f>
        <v>0</v>
      </c>
      <c r="I225" s="437" t="s">
        <v>161</v>
      </c>
      <c r="J225" s="255"/>
      <c r="K225" s="255"/>
      <c r="L225" s="255"/>
      <c r="M225" s="255"/>
    </row>
    <row r="226" spans="2:13" ht="18" customHeight="1">
      <c r="B226" s="124" t="str">
        <f t="shared" ref="B226:B232" si="26">B225</f>
        <v>6单银Low-E+12A+6</v>
      </c>
      <c r="C226" s="443">
        <f t="shared" si="25"/>
        <v>-90</v>
      </c>
      <c r="D226" s="443">
        <f t="shared" si="25"/>
        <v>-90</v>
      </c>
      <c r="E226" s="32">
        <f t="shared" ref="E226:E284" si="27">C226*D226/10^6</f>
        <v>8.0999999999999996E-3</v>
      </c>
      <c r="F226" s="440">
        <f>G27</f>
        <v>0</v>
      </c>
      <c r="G226" s="126">
        <f t="shared" ref="G226:G232" si="28">G225</f>
        <v>148</v>
      </c>
      <c r="H226" s="440">
        <f t="shared" ref="H226:H241" si="29">ROUND(E226*G226*F226,2)</f>
        <v>0</v>
      </c>
      <c r="I226" s="437" t="s">
        <v>162</v>
      </c>
      <c r="J226" s="255"/>
      <c r="K226" s="255"/>
      <c r="L226" s="255"/>
      <c r="M226" s="255"/>
    </row>
    <row r="227" spans="2:13" ht="18" customHeight="1">
      <c r="B227" s="124" t="str">
        <f t="shared" si="26"/>
        <v>6单银Low-E+12A+6</v>
      </c>
      <c r="C227" s="443">
        <f t="shared" si="25"/>
        <v>-90</v>
      </c>
      <c r="D227" s="443">
        <f t="shared" si="25"/>
        <v>-90</v>
      </c>
      <c r="E227" s="32">
        <f t="shared" si="27"/>
        <v>8.0999999999999996E-3</v>
      </c>
      <c r="F227" s="440">
        <f>G28</f>
        <v>0</v>
      </c>
      <c r="G227" s="126">
        <f t="shared" si="28"/>
        <v>148</v>
      </c>
      <c r="H227" s="440">
        <f t="shared" si="29"/>
        <v>0</v>
      </c>
      <c r="I227" s="437" t="s">
        <v>162</v>
      </c>
      <c r="J227" s="255"/>
      <c r="K227" s="255"/>
      <c r="L227" s="255"/>
      <c r="M227" s="255"/>
    </row>
    <row r="228" spans="2:13" ht="18" customHeight="1">
      <c r="B228" s="124" t="str">
        <f t="shared" si="26"/>
        <v>6单银Low-E+12A+6</v>
      </c>
      <c r="C228" s="443">
        <f t="shared" si="25"/>
        <v>-90</v>
      </c>
      <c r="D228" s="443">
        <f t="shared" si="25"/>
        <v>-90</v>
      </c>
      <c r="E228" s="32">
        <f t="shared" si="27"/>
        <v>8.0999999999999996E-3</v>
      </c>
      <c r="F228" s="440">
        <f>G29</f>
        <v>0</v>
      </c>
      <c r="G228" s="126">
        <f t="shared" si="28"/>
        <v>148</v>
      </c>
      <c r="H228" s="440">
        <f t="shared" si="29"/>
        <v>0</v>
      </c>
      <c r="I228" s="437" t="s">
        <v>162</v>
      </c>
      <c r="J228" s="255"/>
      <c r="K228" s="255"/>
      <c r="L228" s="255"/>
      <c r="M228" s="255"/>
    </row>
    <row r="229" spans="2:13" ht="18" customHeight="1">
      <c r="B229" s="124" t="str">
        <f t="shared" si="26"/>
        <v>6单银Low-E+12A+6</v>
      </c>
      <c r="C229" s="443">
        <f t="shared" si="25"/>
        <v>-90</v>
      </c>
      <c r="D229" s="443">
        <f t="shared" si="25"/>
        <v>-90</v>
      </c>
      <c r="E229" s="32">
        <f t="shared" si="27"/>
        <v>8.0999999999999996E-3</v>
      </c>
      <c r="F229" s="440">
        <f>G30</f>
        <v>0</v>
      </c>
      <c r="G229" s="126">
        <f t="shared" si="28"/>
        <v>148</v>
      </c>
      <c r="H229" s="440">
        <f t="shared" si="29"/>
        <v>0</v>
      </c>
      <c r="I229" s="437" t="s">
        <v>162</v>
      </c>
      <c r="J229" s="123"/>
      <c r="K229" s="123"/>
      <c r="L229" s="123"/>
    </row>
    <row r="230" spans="2:13" ht="18" customHeight="1">
      <c r="B230" s="124" t="str">
        <f t="shared" si="26"/>
        <v>6单银Low-E+12A+6</v>
      </c>
      <c r="C230" s="443">
        <f t="shared" ref="C230:D232" si="30">D101</f>
        <v>-122</v>
      </c>
      <c r="D230" s="443">
        <f t="shared" si="30"/>
        <v>-122</v>
      </c>
      <c r="E230" s="32">
        <f t="shared" si="27"/>
        <v>1.4884E-2</v>
      </c>
      <c r="F230" s="440">
        <f>G101</f>
        <v>0</v>
      </c>
      <c r="G230" s="126">
        <f t="shared" si="28"/>
        <v>148</v>
      </c>
      <c r="H230" s="440">
        <f t="shared" si="29"/>
        <v>0</v>
      </c>
      <c r="I230" s="127" t="s">
        <v>163</v>
      </c>
      <c r="J230" s="123"/>
      <c r="K230" s="123"/>
      <c r="L230" s="123"/>
    </row>
    <row r="231" spans="2:13" ht="18" customHeight="1">
      <c r="B231" s="124" t="str">
        <f t="shared" si="26"/>
        <v>6单银Low-E+12A+6</v>
      </c>
      <c r="C231" s="443">
        <f t="shared" si="30"/>
        <v>-122</v>
      </c>
      <c r="D231" s="443">
        <f t="shared" si="30"/>
        <v>-122</v>
      </c>
      <c r="E231" s="32">
        <f t="shared" si="27"/>
        <v>1.4884E-2</v>
      </c>
      <c r="F231" s="440">
        <f>G102</f>
        <v>0</v>
      </c>
      <c r="G231" s="126">
        <f t="shared" si="28"/>
        <v>148</v>
      </c>
      <c r="H231" s="440">
        <f t="shared" si="29"/>
        <v>0</v>
      </c>
      <c r="I231" s="127" t="s">
        <v>163</v>
      </c>
    </row>
    <row r="232" spans="2:13" ht="18" customHeight="1">
      <c r="B232" s="124" t="str">
        <f t="shared" si="26"/>
        <v>6单银Low-E+12A+6</v>
      </c>
      <c r="C232" s="443">
        <f t="shared" si="30"/>
        <v>-122</v>
      </c>
      <c r="D232" s="443">
        <f t="shared" si="30"/>
        <v>-122</v>
      </c>
      <c r="E232" s="32">
        <f t="shared" si="27"/>
        <v>1.4884E-2</v>
      </c>
      <c r="F232" s="440">
        <f>G103</f>
        <v>0</v>
      </c>
      <c r="G232" s="126">
        <f t="shared" si="28"/>
        <v>148</v>
      </c>
      <c r="H232" s="440">
        <f t="shared" si="29"/>
        <v>0</v>
      </c>
      <c r="I232" s="127" t="s">
        <v>163</v>
      </c>
    </row>
    <row r="233" spans="2:13" ht="18" customHeight="1">
      <c r="B233" s="48" t="s">
        <v>164</v>
      </c>
      <c r="C233" s="52"/>
      <c r="D233" s="50"/>
      <c r="E233" s="128"/>
      <c r="F233" s="50">
        <f>SUM(F225:F232)</f>
        <v>0</v>
      </c>
      <c r="G233" s="50"/>
      <c r="H233" s="52">
        <f>SUM(H225:H232)</f>
        <v>0</v>
      </c>
      <c r="I233" s="53">
        <f>ROUND((E225*F225+E226*F226+E227*F227+E228*F228+E229*F229+E230*F230+E231*F231+E232*F232),2)</f>
        <v>0</v>
      </c>
    </row>
    <row r="234" spans="2:13" ht="18" customHeight="1">
      <c r="B234" s="124" t="str">
        <f>B232</f>
        <v>6单银Low-E+12A+6</v>
      </c>
      <c r="C234" s="443">
        <f>C225</f>
        <v>-90</v>
      </c>
      <c r="D234" s="443">
        <f>D225</f>
        <v>-90</v>
      </c>
      <c r="E234" s="32">
        <f t="shared" si="27"/>
        <v>8.0999999999999996E-3</v>
      </c>
      <c r="F234" s="440">
        <f>IF(F225=0,G26,0)</f>
        <v>0</v>
      </c>
      <c r="G234" s="126">
        <f>G232</f>
        <v>148</v>
      </c>
      <c r="H234" s="440">
        <f t="shared" si="29"/>
        <v>0</v>
      </c>
      <c r="I234" s="437" t="s">
        <v>165</v>
      </c>
      <c r="J234" s="129"/>
    </row>
    <row r="235" spans="2:13" ht="18" customHeight="1">
      <c r="B235" s="124" t="str">
        <f t="shared" ref="B235:B241" si="31">B234</f>
        <v>6单银Low-E+12A+6</v>
      </c>
      <c r="C235" s="443">
        <f t="shared" ref="C235:D241" si="32">C226</f>
        <v>-90</v>
      </c>
      <c r="D235" s="443">
        <f t="shared" si="32"/>
        <v>-90</v>
      </c>
      <c r="E235" s="32">
        <f t="shared" si="27"/>
        <v>8.0999999999999996E-3</v>
      </c>
      <c r="F235" s="440">
        <f>IF(F226=0,G27,0)</f>
        <v>0</v>
      </c>
      <c r="G235" s="126">
        <f>G234</f>
        <v>148</v>
      </c>
      <c r="H235" s="440">
        <f t="shared" si="29"/>
        <v>0</v>
      </c>
      <c r="I235" s="437" t="s">
        <v>165</v>
      </c>
      <c r="J235" s="129"/>
    </row>
    <row r="236" spans="2:13" ht="18" customHeight="1">
      <c r="B236" s="124" t="str">
        <f t="shared" si="31"/>
        <v>6单银Low-E+12A+6</v>
      </c>
      <c r="C236" s="443">
        <f t="shared" si="32"/>
        <v>-90</v>
      </c>
      <c r="D236" s="443">
        <f t="shared" si="32"/>
        <v>-90</v>
      </c>
      <c r="E236" s="32">
        <f t="shared" si="27"/>
        <v>8.0999999999999996E-3</v>
      </c>
      <c r="F236" s="440">
        <f>IF(F227=0,G28,0)</f>
        <v>0</v>
      </c>
      <c r="G236" s="126">
        <f t="shared" ref="G236:G241" si="33">G234</f>
        <v>148</v>
      </c>
      <c r="H236" s="440">
        <f t="shared" si="29"/>
        <v>0</v>
      </c>
      <c r="I236" s="437" t="s">
        <v>165</v>
      </c>
      <c r="J236" s="129"/>
    </row>
    <row r="237" spans="2:13" ht="18" customHeight="1">
      <c r="B237" s="124" t="str">
        <f t="shared" si="31"/>
        <v>6单银Low-E+12A+6</v>
      </c>
      <c r="C237" s="443">
        <f t="shared" si="32"/>
        <v>-90</v>
      </c>
      <c r="D237" s="443">
        <f t="shared" si="32"/>
        <v>-90</v>
      </c>
      <c r="E237" s="32">
        <f t="shared" si="27"/>
        <v>8.0999999999999996E-3</v>
      </c>
      <c r="F237" s="440">
        <f>IF(F228=0,G29,0)</f>
        <v>0</v>
      </c>
      <c r="G237" s="126">
        <f t="shared" si="33"/>
        <v>148</v>
      </c>
      <c r="H237" s="440">
        <f t="shared" si="29"/>
        <v>0</v>
      </c>
      <c r="I237" s="437" t="s">
        <v>165</v>
      </c>
      <c r="J237" s="129"/>
    </row>
    <row r="238" spans="2:13" ht="18" customHeight="1">
      <c r="B238" s="124" t="str">
        <f t="shared" si="31"/>
        <v>6单银Low-E+12A+6</v>
      </c>
      <c r="C238" s="443">
        <f t="shared" si="32"/>
        <v>-90</v>
      </c>
      <c r="D238" s="443">
        <f t="shared" si="32"/>
        <v>-90</v>
      </c>
      <c r="E238" s="32">
        <f t="shared" si="27"/>
        <v>8.0999999999999996E-3</v>
      </c>
      <c r="F238" s="440">
        <f>IF(F229=0,G30,0)</f>
        <v>0</v>
      </c>
      <c r="G238" s="126">
        <f t="shared" si="33"/>
        <v>148</v>
      </c>
      <c r="H238" s="440">
        <f t="shared" si="29"/>
        <v>0</v>
      </c>
      <c r="I238" s="437" t="s">
        <v>165</v>
      </c>
      <c r="J238" s="129"/>
    </row>
    <row r="239" spans="2:13" ht="18" customHeight="1">
      <c r="B239" s="124" t="str">
        <f t="shared" si="31"/>
        <v>6单银Low-E+12A+6</v>
      </c>
      <c r="C239" s="443">
        <f t="shared" si="32"/>
        <v>-122</v>
      </c>
      <c r="D239" s="443">
        <f t="shared" si="32"/>
        <v>-122</v>
      </c>
      <c r="E239" s="32">
        <f t="shared" si="27"/>
        <v>1.4884E-2</v>
      </c>
      <c r="F239" s="440">
        <f>IF(F230=0,G35,0)</f>
        <v>0</v>
      </c>
      <c r="G239" s="126">
        <f t="shared" si="33"/>
        <v>148</v>
      </c>
      <c r="H239" s="440">
        <f t="shared" si="29"/>
        <v>0</v>
      </c>
      <c r="I239" s="127" t="s">
        <v>166</v>
      </c>
      <c r="J239" s="129"/>
    </row>
    <row r="240" spans="2:13" ht="18" customHeight="1">
      <c r="B240" s="124" t="str">
        <f t="shared" si="31"/>
        <v>6单银Low-E+12A+6</v>
      </c>
      <c r="C240" s="443">
        <f t="shared" si="32"/>
        <v>-122</v>
      </c>
      <c r="D240" s="443">
        <f t="shared" si="32"/>
        <v>-122</v>
      </c>
      <c r="E240" s="32">
        <f t="shared" si="27"/>
        <v>1.4884E-2</v>
      </c>
      <c r="F240" s="440">
        <f>IF(F231=0,G36,0)</f>
        <v>0</v>
      </c>
      <c r="G240" s="126">
        <f t="shared" si="33"/>
        <v>148</v>
      </c>
      <c r="H240" s="440">
        <f t="shared" si="29"/>
        <v>0</v>
      </c>
      <c r="I240" s="127" t="s">
        <v>166</v>
      </c>
      <c r="J240" s="129"/>
    </row>
    <row r="241" spans="1:16" ht="18" customHeight="1">
      <c r="B241" s="124" t="str">
        <f t="shared" si="31"/>
        <v>6单银Low-E+12A+6</v>
      </c>
      <c r="C241" s="443">
        <f t="shared" si="32"/>
        <v>-122</v>
      </c>
      <c r="D241" s="443">
        <f t="shared" si="32"/>
        <v>-122</v>
      </c>
      <c r="E241" s="32">
        <f t="shared" si="27"/>
        <v>1.4884E-2</v>
      </c>
      <c r="F241" s="440">
        <f>IF(F232=0,G37,0)</f>
        <v>0</v>
      </c>
      <c r="G241" s="126">
        <f t="shared" si="33"/>
        <v>148</v>
      </c>
      <c r="H241" s="440">
        <f t="shared" si="29"/>
        <v>0</v>
      </c>
      <c r="I241" s="127" t="s">
        <v>166</v>
      </c>
      <c r="J241" s="129"/>
    </row>
    <row r="242" spans="1:16" s="43" customFormat="1" ht="18" customHeight="1">
      <c r="A242" s="1"/>
      <c r="B242" s="48" t="s">
        <v>167</v>
      </c>
      <c r="C242" s="52"/>
      <c r="D242" s="50"/>
      <c r="E242" s="128"/>
      <c r="F242" s="50">
        <f>SUM(F234:F241)</f>
        <v>0</v>
      </c>
      <c r="G242" s="50"/>
      <c r="H242" s="52">
        <f>SUM(H234:H241)</f>
        <v>0</v>
      </c>
      <c r="I242" s="53">
        <f>ROUND(SUMPRODUCT(E234:E241*F234:F241),2)</f>
        <v>0</v>
      </c>
      <c r="J242" s="129"/>
      <c r="N242" s="255"/>
      <c r="O242" s="255"/>
      <c r="P242" s="255"/>
    </row>
    <row r="243" spans="1:16" s="43" customFormat="1" ht="18" customHeight="1">
      <c r="A243" s="1"/>
      <c r="B243" s="124" t="str">
        <f>B240</f>
        <v>6单银Low-E+12A+6</v>
      </c>
      <c r="C243" s="443">
        <f t="shared" ref="C243:D249" si="34">D68-12</f>
        <v>-12</v>
      </c>
      <c r="D243" s="443">
        <f t="shared" si="34"/>
        <v>-12</v>
      </c>
      <c r="E243" s="32">
        <f t="shared" si="27"/>
        <v>1.44E-4</v>
      </c>
      <c r="F243" s="82">
        <f t="shared" ref="F243:F249" si="35">G68</f>
        <v>0</v>
      </c>
      <c r="G243" s="130">
        <f>G241</f>
        <v>148</v>
      </c>
      <c r="H243" s="440">
        <f t="shared" ref="H243:H249" si="36">ROUND(E243*G243*F243,2)</f>
        <v>0</v>
      </c>
      <c r="I243" s="437" t="s">
        <v>168</v>
      </c>
      <c r="J243" s="129"/>
      <c r="N243" s="255"/>
      <c r="O243" s="255"/>
      <c r="P243" s="255"/>
    </row>
    <row r="244" spans="1:16" s="43" customFormat="1" ht="18" customHeight="1">
      <c r="A244" s="1"/>
      <c r="B244" s="124" t="str">
        <f t="shared" ref="B244:B249" si="37">B243</f>
        <v>6单银Low-E+12A+6</v>
      </c>
      <c r="C244" s="443">
        <f t="shared" si="34"/>
        <v>336</v>
      </c>
      <c r="D244" s="443">
        <f t="shared" si="34"/>
        <v>2236</v>
      </c>
      <c r="E244" s="32">
        <f t="shared" si="27"/>
        <v>0.75129599999999996</v>
      </c>
      <c r="F244" s="82">
        <f t="shared" si="35"/>
        <v>1</v>
      </c>
      <c r="G244" s="130">
        <f t="shared" ref="G244:G249" si="38">G243</f>
        <v>148</v>
      </c>
      <c r="H244" s="440">
        <f t="shared" si="36"/>
        <v>111.19</v>
      </c>
      <c r="I244" s="437" t="s">
        <v>168</v>
      </c>
      <c r="J244" s="129"/>
      <c r="N244" s="255"/>
      <c r="O244" s="255"/>
      <c r="P244" s="255"/>
    </row>
    <row r="245" spans="1:16" s="43" customFormat="1" ht="18" customHeight="1">
      <c r="A245" s="1"/>
      <c r="B245" s="124" t="str">
        <f t="shared" si="37"/>
        <v>6单银Low-E+12A+6</v>
      </c>
      <c r="C245" s="443">
        <f t="shared" si="34"/>
        <v>-12</v>
      </c>
      <c r="D245" s="443">
        <f t="shared" si="34"/>
        <v>-12</v>
      </c>
      <c r="E245" s="32">
        <f t="shared" si="27"/>
        <v>1.44E-4</v>
      </c>
      <c r="F245" s="82">
        <f t="shared" si="35"/>
        <v>0</v>
      </c>
      <c r="G245" s="130">
        <f t="shared" si="38"/>
        <v>148</v>
      </c>
      <c r="H245" s="440">
        <f t="shared" si="36"/>
        <v>0</v>
      </c>
      <c r="I245" s="437" t="s">
        <v>168</v>
      </c>
      <c r="J245" s="129"/>
      <c r="N245" s="255"/>
      <c r="O245" s="255"/>
      <c r="P245" s="255"/>
    </row>
    <row r="246" spans="1:16" s="43" customFormat="1" ht="18" customHeight="1">
      <c r="A246" s="1"/>
      <c r="B246" s="124" t="str">
        <f t="shared" si="37"/>
        <v>6单银Low-E+12A+6</v>
      </c>
      <c r="C246" s="443">
        <f t="shared" si="34"/>
        <v>-12</v>
      </c>
      <c r="D246" s="443">
        <f t="shared" si="34"/>
        <v>-12</v>
      </c>
      <c r="E246" s="32">
        <f t="shared" si="27"/>
        <v>1.44E-4</v>
      </c>
      <c r="F246" s="82">
        <f t="shared" si="35"/>
        <v>0</v>
      </c>
      <c r="G246" s="130">
        <f t="shared" si="38"/>
        <v>148</v>
      </c>
      <c r="H246" s="440">
        <f t="shared" si="36"/>
        <v>0</v>
      </c>
      <c r="I246" s="437" t="s">
        <v>168</v>
      </c>
      <c r="J246" s="129"/>
      <c r="N246" s="255"/>
      <c r="O246" s="255"/>
      <c r="P246" s="255"/>
    </row>
    <row r="247" spans="1:16" s="43" customFormat="1" ht="18" customHeight="1">
      <c r="A247" s="1"/>
      <c r="B247" s="124" t="str">
        <f t="shared" si="37"/>
        <v>6单银Low-E+12A+6</v>
      </c>
      <c r="C247" s="443">
        <f t="shared" si="34"/>
        <v>-12</v>
      </c>
      <c r="D247" s="443">
        <f t="shared" si="34"/>
        <v>-12</v>
      </c>
      <c r="E247" s="32">
        <f t="shared" si="27"/>
        <v>1.44E-4</v>
      </c>
      <c r="F247" s="82">
        <f t="shared" si="35"/>
        <v>0</v>
      </c>
      <c r="G247" s="130">
        <f t="shared" si="38"/>
        <v>148</v>
      </c>
      <c r="H247" s="440">
        <f t="shared" si="36"/>
        <v>0</v>
      </c>
      <c r="I247" s="437" t="s">
        <v>168</v>
      </c>
      <c r="J247" s="129"/>
      <c r="N247" s="255"/>
      <c r="O247" s="255"/>
      <c r="P247" s="255"/>
    </row>
    <row r="248" spans="1:16" s="43" customFormat="1" ht="18" customHeight="1">
      <c r="A248" s="1"/>
      <c r="B248" s="124" t="str">
        <f t="shared" si="37"/>
        <v>6单银Low-E+12A+6</v>
      </c>
      <c r="C248" s="443">
        <f t="shared" si="34"/>
        <v>-12</v>
      </c>
      <c r="D248" s="443">
        <f t="shared" si="34"/>
        <v>-12</v>
      </c>
      <c r="E248" s="32">
        <f t="shared" si="27"/>
        <v>1.44E-4</v>
      </c>
      <c r="F248" s="82">
        <f t="shared" si="35"/>
        <v>0</v>
      </c>
      <c r="G248" s="130">
        <f t="shared" si="38"/>
        <v>148</v>
      </c>
      <c r="H248" s="440">
        <f t="shared" si="36"/>
        <v>0</v>
      </c>
      <c r="I248" s="437" t="s">
        <v>168</v>
      </c>
      <c r="J248" s="129"/>
      <c r="N248" s="255"/>
      <c r="O248" s="255"/>
      <c r="P248" s="255"/>
    </row>
    <row r="249" spans="1:16" s="43" customFormat="1" ht="18" customHeight="1">
      <c r="A249" s="1"/>
      <c r="B249" s="124" t="str">
        <f t="shared" si="37"/>
        <v>6单银Low-E+12A+6</v>
      </c>
      <c r="C249" s="443">
        <f t="shared" si="34"/>
        <v>-12</v>
      </c>
      <c r="D249" s="443">
        <f t="shared" si="34"/>
        <v>-12</v>
      </c>
      <c r="E249" s="32">
        <f t="shared" si="27"/>
        <v>1.44E-4</v>
      </c>
      <c r="F249" s="82">
        <f t="shared" si="35"/>
        <v>0</v>
      </c>
      <c r="G249" s="130">
        <f t="shared" si="38"/>
        <v>148</v>
      </c>
      <c r="H249" s="440">
        <f t="shared" si="36"/>
        <v>0</v>
      </c>
      <c r="I249" s="437" t="s">
        <v>168</v>
      </c>
      <c r="J249" s="129"/>
      <c r="N249" s="255"/>
      <c r="O249" s="255"/>
      <c r="P249" s="255"/>
    </row>
    <row r="250" spans="1:16" s="43" customFormat="1" ht="18" customHeight="1">
      <c r="A250" s="1"/>
      <c r="B250" s="131" t="str">
        <f>B246</f>
        <v>6单银Low-E+12A+6</v>
      </c>
      <c r="C250" s="52"/>
      <c r="D250" s="50"/>
      <c r="E250" s="128"/>
      <c r="F250" s="50">
        <f>SUM(F243:F249)</f>
        <v>1</v>
      </c>
      <c r="G250" s="50"/>
      <c r="H250" s="52">
        <f>SUM(H243:H249)</f>
        <v>111.19</v>
      </c>
      <c r="I250" s="53">
        <f>ROUND((E243*F243+E244*F244+E245*F245+E246*F246+E247*F247+E248*F248+E249*F249),2)</f>
        <v>0.75</v>
      </c>
      <c r="J250" s="43">
        <f>(I242+I258+I273+I280)</f>
        <v>0</v>
      </c>
      <c r="N250" s="255"/>
      <c r="O250" s="255"/>
      <c r="P250" s="255"/>
    </row>
    <row r="251" spans="1:16" s="43" customFormat="1" ht="18" customHeight="1">
      <c r="A251" s="1"/>
      <c r="B251" s="124" t="str">
        <f>B249</f>
        <v>6单银Low-E+12A+6</v>
      </c>
      <c r="C251" s="443">
        <f t="shared" ref="C251:D257" si="39">D75-12</f>
        <v>-12</v>
      </c>
      <c r="D251" s="443">
        <f t="shared" si="39"/>
        <v>-12</v>
      </c>
      <c r="E251" s="32">
        <f t="shared" si="27"/>
        <v>1.44E-4</v>
      </c>
      <c r="F251" s="82">
        <f t="shared" ref="F251:F257" si="40">G75</f>
        <v>0</v>
      </c>
      <c r="G251" s="130">
        <f>G249</f>
        <v>148</v>
      </c>
      <c r="H251" s="440">
        <f>ROUND(E251*G251*F251,2)</f>
        <v>0</v>
      </c>
      <c r="I251" s="132" t="s">
        <v>169</v>
      </c>
      <c r="N251" s="255"/>
      <c r="O251" s="255"/>
      <c r="P251" s="255"/>
    </row>
    <row r="252" spans="1:16" s="43" customFormat="1" ht="18" customHeight="1">
      <c r="A252" s="1"/>
      <c r="B252" s="124" t="str">
        <f t="shared" ref="B252:B257" si="41">B251</f>
        <v>6单银Low-E+12A+6</v>
      </c>
      <c r="C252" s="443">
        <f t="shared" si="39"/>
        <v>-12</v>
      </c>
      <c r="D252" s="443">
        <f t="shared" si="39"/>
        <v>-12</v>
      </c>
      <c r="E252" s="32">
        <f t="shared" si="27"/>
        <v>1.44E-4</v>
      </c>
      <c r="F252" s="82">
        <f t="shared" si="40"/>
        <v>0</v>
      </c>
      <c r="G252" s="130">
        <f t="shared" ref="G252:G257" si="42">G251</f>
        <v>148</v>
      </c>
      <c r="H252" s="440">
        <f t="shared" ref="H252:H264" si="43">ROUND(E252*G252*F252,2)</f>
        <v>0</v>
      </c>
      <c r="I252" s="132" t="str">
        <f t="shared" ref="I252:I257" si="44">I251</f>
        <v>固定钢化中空</v>
      </c>
      <c r="N252" s="255"/>
      <c r="O252" s="255"/>
      <c r="P252" s="255"/>
    </row>
    <row r="253" spans="1:16" s="43" customFormat="1" ht="18" customHeight="1">
      <c r="A253" s="1"/>
      <c r="B253" s="124" t="str">
        <f t="shared" si="41"/>
        <v>6单银Low-E+12A+6</v>
      </c>
      <c r="C253" s="443">
        <f t="shared" si="39"/>
        <v>-12</v>
      </c>
      <c r="D253" s="443">
        <f t="shared" si="39"/>
        <v>-12</v>
      </c>
      <c r="E253" s="32">
        <f t="shared" si="27"/>
        <v>1.44E-4</v>
      </c>
      <c r="F253" s="82">
        <f t="shared" si="40"/>
        <v>0</v>
      </c>
      <c r="G253" s="130">
        <f t="shared" si="42"/>
        <v>148</v>
      </c>
      <c r="H253" s="440">
        <f t="shared" si="43"/>
        <v>0</v>
      </c>
      <c r="I253" s="132" t="str">
        <f t="shared" si="44"/>
        <v>固定钢化中空</v>
      </c>
      <c r="N253" s="255"/>
      <c r="O253" s="255"/>
      <c r="P253" s="255"/>
    </row>
    <row r="254" spans="1:16" s="43" customFormat="1" ht="18" customHeight="1">
      <c r="A254" s="1"/>
      <c r="B254" s="124" t="str">
        <f t="shared" si="41"/>
        <v>6单银Low-E+12A+6</v>
      </c>
      <c r="C254" s="443">
        <f t="shared" si="39"/>
        <v>-12</v>
      </c>
      <c r="D254" s="443">
        <f t="shared" si="39"/>
        <v>-12</v>
      </c>
      <c r="E254" s="32">
        <f t="shared" si="27"/>
        <v>1.44E-4</v>
      </c>
      <c r="F254" s="82">
        <f t="shared" si="40"/>
        <v>0</v>
      </c>
      <c r="G254" s="130">
        <f t="shared" si="42"/>
        <v>148</v>
      </c>
      <c r="H254" s="440">
        <f t="shared" si="43"/>
        <v>0</v>
      </c>
      <c r="I254" s="132" t="str">
        <f t="shared" si="44"/>
        <v>固定钢化中空</v>
      </c>
      <c r="J254" s="42"/>
      <c r="N254" s="255"/>
      <c r="O254" s="255"/>
      <c r="P254" s="255"/>
    </row>
    <row r="255" spans="1:16" s="43" customFormat="1" ht="18" customHeight="1">
      <c r="A255" s="1"/>
      <c r="B255" s="124" t="str">
        <f t="shared" si="41"/>
        <v>6单银Low-E+12A+6</v>
      </c>
      <c r="C255" s="443">
        <f t="shared" si="39"/>
        <v>-12</v>
      </c>
      <c r="D255" s="443">
        <f t="shared" si="39"/>
        <v>-12</v>
      </c>
      <c r="E255" s="32">
        <f t="shared" si="27"/>
        <v>1.44E-4</v>
      </c>
      <c r="F255" s="82">
        <f t="shared" si="40"/>
        <v>0</v>
      </c>
      <c r="G255" s="130">
        <f t="shared" si="42"/>
        <v>148</v>
      </c>
      <c r="H255" s="440">
        <f t="shared" si="43"/>
        <v>0</v>
      </c>
      <c r="I255" s="132" t="str">
        <f t="shared" si="44"/>
        <v>固定钢化中空</v>
      </c>
      <c r="N255" s="255"/>
      <c r="O255" s="255"/>
      <c r="P255" s="255"/>
    </row>
    <row r="256" spans="1:16" s="43" customFormat="1" ht="18" customHeight="1">
      <c r="A256" s="1"/>
      <c r="B256" s="124" t="str">
        <f t="shared" si="41"/>
        <v>6单银Low-E+12A+6</v>
      </c>
      <c r="C256" s="443">
        <f t="shared" si="39"/>
        <v>-12</v>
      </c>
      <c r="D256" s="443">
        <f t="shared" si="39"/>
        <v>-12</v>
      </c>
      <c r="E256" s="32">
        <f t="shared" si="27"/>
        <v>1.44E-4</v>
      </c>
      <c r="F256" s="82">
        <f t="shared" si="40"/>
        <v>0</v>
      </c>
      <c r="G256" s="130">
        <f t="shared" si="42"/>
        <v>148</v>
      </c>
      <c r="H256" s="440">
        <f t="shared" si="43"/>
        <v>0</v>
      </c>
      <c r="I256" s="132" t="str">
        <f t="shared" si="44"/>
        <v>固定钢化中空</v>
      </c>
      <c r="N256" s="255"/>
      <c r="O256" s="255"/>
      <c r="P256" s="255"/>
    </row>
    <row r="257" spans="1:16" s="43" customFormat="1" ht="18" customHeight="1">
      <c r="A257" s="1"/>
      <c r="B257" s="124" t="str">
        <f t="shared" si="41"/>
        <v>6单银Low-E+12A+6</v>
      </c>
      <c r="C257" s="443">
        <f t="shared" si="39"/>
        <v>-12</v>
      </c>
      <c r="D257" s="443">
        <f t="shared" si="39"/>
        <v>-12</v>
      </c>
      <c r="E257" s="32">
        <f t="shared" si="27"/>
        <v>1.44E-4</v>
      </c>
      <c r="F257" s="82">
        <f t="shared" si="40"/>
        <v>0</v>
      </c>
      <c r="G257" s="130">
        <f t="shared" si="42"/>
        <v>148</v>
      </c>
      <c r="H257" s="440">
        <f t="shared" si="43"/>
        <v>0</v>
      </c>
      <c r="I257" s="132" t="str">
        <f t="shared" si="44"/>
        <v>固定钢化中空</v>
      </c>
      <c r="N257" s="255"/>
      <c r="O257" s="255"/>
      <c r="P257" s="255"/>
    </row>
    <row r="258" spans="1:16" s="43" customFormat="1" ht="18" customHeight="1">
      <c r="A258" s="1"/>
      <c r="B258" s="48" t="s">
        <v>170</v>
      </c>
      <c r="C258" s="52"/>
      <c r="D258" s="50"/>
      <c r="E258" s="128"/>
      <c r="F258" s="50">
        <f>SUM(F251:F257)</f>
        <v>0</v>
      </c>
      <c r="G258" s="50"/>
      <c r="H258" s="52">
        <f>SUM(H251:H257)</f>
        <v>0</v>
      </c>
      <c r="I258" s="53">
        <f>ROUND((E251*F251+E252*F252+E253*F253+E254*F254+E255*F255+E256*F256+E257*F257),2)</f>
        <v>0</v>
      </c>
      <c r="N258" s="255"/>
      <c r="O258" s="255"/>
      <c r="P258" s="255"/>
    </row>
    <row r="259" spans="1:16" s="43" customFormat="1" ht="18" customHeight="1">
      <c r="A259" s="1"/>
      <c r="B259" s="124" t="str">
        <f>B257</f>
        <v>6单银Low-E+12A+6</v>
      </c>
      <c r="C259" s="443">
        <f t="shared" ref="C259:D264" si="45">D82-12</f>
        <v>-12</v>
      </c>
      <c r="D259" s="443">
        <f t="shared" si="45"/>
        <v>-12</v>
      </c>
      <c r="E259" s="32">
        <f t="shared" si="27"/>
        <v>1.44E-4</v>
      </c>
      <c r="F259" s="82">
        <f t="shared" ref="F259:F264" si="46">G82</f>
        <v>0</v>
      </c>
      <c r="G259" s="130">
        <f>G257</f>
        <v>148</v>
      </c>
      <c r="H259" s="440">
        <f t="shared" si="43"/>
        <v>0</v>
      </c>
      <c r="I259" s="437" t="s">
        <v>171</v>
      </c>
      <c r="N259" s="255"/>
      <c r="O259" s="255"/>
      <c r="P259" s="255"/>
    </row>
    <row r="260" spans="1:16" s="43" customFormat="1" ht="18" customHeight="1">
      <c r="A260" s="1"/>
      <c r="B260" s="124" t="str">
        <f>B259</f>
        <v>6单银Low-E+12A+6</v>
      </c>
      <c r="C260" s="443">
        <f t="shared" si="45"/>
        <v>-12</v>
      </c>
      <c r="D260" s="443">
        <f t="shared" si="45"/>
        <v>-12</v>
      </c>
      <c r="E260" s="32">
        <f t="shared" si="27"/>
        <v>1.44E-4</v>
      </c>
      <c r="F260" s="82">
        <f t="shared" si="46"/>
        <v>0</v>
      </c>
      <c r="G260" s="130">
        <f>G259</f>
        <v>148</v>
      </c>
      <c r="H260" s="440">
        <f t="shared" si="43"/>
        <v>0</v>
      </c>
      <c r="I260" s="437" t="s">
        <v>171</v>
      </c>
      <c r="N260" s="255"/>
      <c r="O260" s="255"/>
      <c r="P260" s="255"/>
    </row>
    <row r="261" spans="1:16" s="43" customFormat="1" ht="18" customHeight="1">
      <c r="A261" s="1"/>
      <c r="B261" s="124" t="str">
        <f>B260</f>
        <v>6单银Low-E+12A+6</v>
      </c>
      <c r="C261" s="443">
        <f t="shared" si="45"/>
        <v>-12</v>
      </c>
      <c r="D261" s="443">
        <f t="shared" si="45"/>
        <v>-12</v>
      </c>
      <c r="E261" s="32">
        <f t="shared" si="27"/>
        <v>1.44E-4</v>
      </c>
      <c r="F261" s="82">
        <f t="shared" si="46"/>
        <v>0</v>
      </c>
      <c r="G261" s="130">
        <f>G260</f>
        <v>148</v>
      </c>
      <c r="H261" s="440">
        <f t="shared" si="43"/>
        <v>0</v>
      </c>
      <c r="I261" s="437" t="s">
        <v>171</v>
      </c>
      <c r="N261" s="255"/>
      <c r="O261" s="255"/>
      <c r="P261" s="255"/>
    </row>
    <row r="262" spans="1:16" s="43" customFormat="1" ht="18" customHeight="1">
      <c r="A262" s="1"/>
      <c r="B262" s="124" t="str">
        <f>B261</f>
        <v>6单银Low-E+12A+6</v>
      </c>
      <c r="C262" s="443">
        <f t="shared" si="45"/>
        <v>-12</v>
      </c>
      <c r="D262" s="443">
        <f t="shared" si="45"/>
        <v>-12</v>
      </c>
      <c r="E262" s="32">
        <f t="shared" si="27"/>
        <v>1.44E-4</v>
      </c>
      <c r="F262" s="82">
        <f t="shared" si="46"/>
        <v>0</v>
      </c>
      <c r="G262" s="130">
        <f>G261</f>
        <v>148</v>
      </c>
      <c r="H262" s="440">
        <f t="shared" si="43"/>
        <v>0</v>
      </c>
      <c r="I262" s="437" t="s">
        <v>171</v>
      </c>
      <c r="N262" s="255"/>
      <c r="O262" s="255"/>
      <c r="P262" s="255"/>
    </row>
    <row r="263" spans="1:16" s="43" customFormat="1" ht="18" customHeight="1">
      <c r="A263" s="1"/>
      <c r="B263" s="124" t="str">
        <f>B262</f>
        <v>6单银Low-E+12A+6</v>
      </c>
      <c r="C263" s="443">
        <f t="shared" si="45"/>
        <v>-12</v>
      </c>
      <c r="D263" s="443">
        <f t="shared" si="45"/>
        <v>-12</v>
      </c>
      <c r="E263" s="32">
        <f t="shared" si="27"/>
        <v>1.44E-4</v>
      </c>
      <c r="F263" s="82">
        <f t="shared" si="46"/>
        <v>0</v>
      </c>
      <c r="G263" s="130">
        <f>G262</f>
        <v>148</v>
      </c>
      <c r="H263" s="440">
        <f t="shared" si="43"/>
        <v>0</v>
      </c>
      <c r="I263" s="437" t="s">
        <v>171</v>
      </c>
      <c r="N263" s="255"/>
      <c r="O263" s="255"/>
      <c r="P263" s="255"/>
    </row>
    <row r="264" spans="1:16" s="43" customFormat="1" ht="18" customHeight="1">
      <c r="A264" s="1"/>
      <c r="B264" s="124" t="str">
        <f>B263</f>
        <v>6单银Low-E+12A+6</v>
      </c>
      <c r="C264" s="443">
        <f t="shared" si="45"/>
        <v>-12</v>
      </c>
      <c r="D264" s="443">
        <f t="shared" si="45"/>
        <v>-12</v>
      </c>
      <c r="E264" s="32">
        <f t="shared" si="27"/>
        <v>1.44E-4</v>
      </c>
      <c r="F264" s="82">
        <f t="shared" si="46"/>
        <v>0</v>
      </c>
      <c r="G264" s="130">
        <f>G263</f>
        <v>148</v>
      </c>
      <c r="H264" s="440">
        <f t="shared" si="43"/>
        <v>0</v>
      </c>
      <c r="I264" s="437" t="s">
        <v>171</v>
      </c>
      <c r="N264" s="255"/>
      <c r="O264" s="255"/>
      <c r="P264" s="255"/>
    </row>
    <row r="265" spans="1:16" s="43" customFormat="1" ht="18" customHeight="1">
      <c r="A265" s="1"/>
      <c r="B265" s="48" t="s">
        <v>172</v>
      </c>
      <c r="C265" s="52"/>
      <c r="D265" s="50"/>
      <c r="E265" s="128"/>
      <c r="F265" s="50">
        <f>SUM(F259:F264)</f>
        <v>0</v>
      </c>
      <c r="G265" s="50"/>
      <c r="H265" s="52">
        <f>SUM(H259:H264)</f>
        <v>0</v>
      </c>
      <c r="I265" s="53">
        <f>ROUND(SUMPRODUCT(E259:E264*F259:F264),2)</f>
        <v>0</v>
      </c>
      <c r="N265" s="255"/>
      <c r="O265" s="255"/>
      <c r="P265" s="255"/>
    </row>
    <row r="266" spans="1:16" s="43" customFormat="1" ht="18" customHeight="1">
      <c r="A266" s="1"/>
      <c r="B266" s="124" t="str">
        <f>B264</f>
        <v>6单银Low-E+12A+6</v>
      </c>
      <c r="C266" s="133">
        <f t="shared" ref="C266:D268" si="47">D143</f>
        <v>705</v>
      </c>
      <c r="D266" s="133">
        <f t="shared" si="47"/>
        <v>2088</v>
      </c>
      <c r="E266" s="32">
        <f t="shared" si="27"/>
        <v>1.47204</v>
      </c>
      <c r="F266" s="134">
        <f>G143</f>
        <v>2</v>
      </c>
      <c r="G266" s="135">
        <f>G264</f>
        <v>148</v>
      </c>
      <c r="H266" s="134">
        <f>ROUND(E266*G266*F266,2)</f>
        <v>435.72</v>
      </c>
      <c r="I266" s="136" t="s">
        <v>173</v>
      </c>
      <c r="N266" s="255"/>
      <c r="O266" s="255"/>
      <c r="P266" s="255"/>
    </row>
    <row r="267" spans="1:16" s="43" customFormat="1" ht="18" customHeight="1">
      <c r="A267" s="1"/>
      <c r="B267" s="124" t="str">
        <f>B264</f>
        <v>6单银Low-E+12A+6</v>
      </c>
      <c r="C267" s="133">
        <f t="shared" si="47"/>
        <v>-154</v>
      </c>
      <c r="D267" s="133">
        <f t="shared" si="47"/>
        <v>-154</v>
      </c>
      <c r="E267" s="32">
        <f t="shared" si="27"/>
        <v>2.3716000000000001E-2</v>
      </c>
      <c r="F267" s="134">
        <f>G144</f>
        <v>0</v>
      </c>
      <c r="G267" s="135">
        <f>G266</f>
        <v>148</v>
      </c>
      <c r="H267" s="134">
        <f>ROUND(E267*G267*F267,2)</f>
        <v>0</v>
      </c>
      <c r="I267" s="136" t="s">
        <v>173</v>
      </c>
      <c r="N267" s="255"/>
      <c r="O267" s="255"/>
      <c r="P267" s="255"/>
    </row>
    <row r="268" spans="1:16" s="43" customFormat="1" ht="18" customHeight="1">
      <c r="A268" s="1"/>
      <c r="B268" s="124" t="str">
        <f>B267</f>
        <v>6单银Low-E+12A+6</v>
      </c>
      <c r="C268" s="133">
        <f t="shared" si="47"/>
        <v>-154</v>
      </c>
      <c r="D268" s="133">
        <f t="shared" si="47"/>
        <v>-154</v>
      </c>
      <c r="E268" s="32">
        <f t="shared" si="27"/>
        <v>2.3716000000000001E-2</v>
      </c>
      <c r="F268" s="134">
        <f>G145</f>
        <v>0</v>
      </c>
      <c r="G268" s="135">
        <f>G267</f>
        <v>148</v>
      </c>
      <c r="H268" s="134">
        <f>ROUND(E268*G268*F268,2)</f>
        <v>0</v>
      </c>
      <c r="I268" s="136" t="s">
        <v>173</v>
      </c>
      <c r="N268" s="255"/>
      <c r="O268" s="255"/>
      <c r="P268" s="255"/>
    </row>
    <row r="269" spans="1:16" s="43" customFormat="1" ht="18" customHeight="1">
      <c r="A269" s="1"/>
      <c r="B269" s="48" t="s">
        <v>174</v>
      </c>
      <c r="C269" s="52"/>
      <c r="D269" s="50"/>
      <c r="E269" s="128"/>
      <c r="F269" s="50">
        <f>SUM(F266:F268)</f>
        <v>2</v>
      </c>
      <c r="G269" s="50"/>
      <c r="H269" s="52">
        <f>SUM(H266:H268)</f>
        <v>435.72</v>
      </c>
      <c r="I269" s="53">
        <f>ROUND((E266*F266+E267*F267+E268*F268),2)</f>
        <v>2.94</v>
      </c>
      <c r="N269" s="255"/>
      <c r="O269" s="255"/>
      <c r="P269" s="255"/>
    </row>
    <row r="270" spans="1:16" s="43" customFormat="1" ht="18" customHeight="1">
      <c r="A270" s="1"/>
      <c r="B270" s="124" t="str">
        <f>B268</f>
        <v>6单银Low-E+12A+6</v>
      </c>
      <c r="C270" s="133">
        <f t="shared" ref="C270:D272" si="48">D150</f>
        <v>-160</v>
      </c>
      <c r="D270" s="133">
        <f t="shared" si="48"/>
        <v>-160</v>
      </c>
      <c r="E270" s="32">
        <f t="shared" si="27"/>
        <v>2.5600000000000001E-2</v>
      </c>
      <c r="F270" s="134">
        <f>G150</f>
        <v>0</v>
      </c>
      <c r="G270" s="135">
        <f>G268</f>
        <v>148</v>
      </c>
      <c r="H270" s="134">
        <f>ROUND(E270*G270*F270,2)</f>
        <v>0</v>
      </c>
      <c r="I270" s="136" t="s">
        <v>173</v>
      </c>
      <c r="N270" s="255"/>
      <c r="O270" s="255"/>
      <c r="P270" s="255"/>
    </row>
    <row r="271" spans="1:16" s="43" customFormat="1" ht="18" customHeight="1">
      <c r="A271" s="1"/>
      <c r="B271" s="124" t="str">
        <f>B270</f>
        <v>6单银Low-E+12A+6</v>
      </c>
      <c r="C271" s="133">
        <f t="shared" si="48"/>
        <v>-160</v>
      </c>
      <c r="D271" s="133">
        <f t="shared" si="48"/>
        <v>-160</v>
      </c>
      <c r="E271" s="32">
        <f t="shared" si="27"/>
        <v>2.5600000000000001E-2</v>
      </c>
      <c r="F271" s="134">
        <f>G151</f>
        <v>0</v>
      </c>
      <c r="G271" s="135">
        <f>G270</f>
        <v>148</v>
      </c>
      <c r="H271" s="134">
        <f>ROUND(E271*G271*F271,2)</f>
        <v>0</v>
      </c>
      <c r="I271" s="136" t="s">
        <v>173</v>
      </c>
      <c r="N271" s="255"/>
      <c r="O271" s="255"/>
      <c r="P271" s="255"/>
    </row>
    <row r="272" spans="1:16" s="43" customFormat="1" ht="18" customHeight="1">
      <c r="A272" s="1"/>
      <c r="B272" s="124" t="str">
        <f>B271</f>
        <v>6单银Low-E+12A+6</v>
      </c>
      <c r="C272" s="133">
        <f t="shared" si="48"/>
        <v>-160</v>
      </c>
      <c r="D272" s="133">
        <f t="shared" si="48"/>
        <v>-160</v>
      </c>
      <c r="E272" s="32">
        <f t="shared" si="27"/>
        <v>2.5600000000000001E-2</v>
      </c>
      <c r="F272" s="134">
        <f>G152</f>
        <v>0</v>
      </c>
      <c r="G272" s="135">
        <f>G271</f>
        <v>148</v>
      </c>
      <c r="H272" s="134">
        <f>ROUND(E272*G272*F272,2)</f>
        <v>0</v>
      </c>
      <c r="I272" s="136" t="s">
        <v>173</v>
      </c>
      <c r="N272" s="255"/>
      <c r="O272" s="255"/>
      <c r="P272" s="255"/>
    </row>
    <row r="273" spans="1:16" s="43" customFormat="1" ht="18" customHeight="1">
      <c r="A273" s="1"/>
      <c r="B273" s="48" t="s">
        <v>175</v>
      </c>
      <c r="C273" s="52"/>
      <c r="D273" s="50"/>
      <c r="E273" s="128"/>
      <c r="F273" s="50">
        <f>SUM(F270:F272)</f>
        <v>0</v>
      </c>
      <c r="G273" s="50"/>
      <c r="H273" s="52">
        <f>SUM(H270:H272)</f>
        <v>0</v>
      </c>
      <c r="I273" s="53">
        <f>ROUND((E270*F270+E271*F271+E272*F272),2)</f>
        <v>0</v>
      </c>
      <c r="N273" s="255"/>
      <c r="O273" s="255"/>
      <c r="P273" s="255"/>
    </row>
    <row r="274" spans="1:16" ht="18" customHeight="1">
      <c r="B274" s="124" t="str">
        <f>B272</f>
        <v>6单银Low-E+12A+6</v>
      </c>
      <c r="C274" s="133">
        <f t="shared" ref="C274:D279" si="49">D157-12</f>
        <v>-12</v>
      </c>
      <c r="D274" s="133">
        <f t="shared" si="49"/>
        <v>-12</v>
      </c>
      <c r="E274" s="32">
        <f t="shared" si="27"/>
        <v>1.44E-4</v>
      </c>
      <c r="F274" s="134">
        <f t="shared" ref="F274:F279" si="50">G157</f>
        <v>0</v>
      </c>
      <c r="G274" s="135">
        <f>G272</f>
        <v>148</v>
      </c>
      <c r="H274" s="134">
        <f t="shared" ref="H274:H279" si="51">ROUND(E274*G274*F274,2)</f>
        <v>0</v>
      </c>
      <c r="I274" s="136" t="s">
        <v>176</v>
      </c>
    </row>
    <row r="275" spans="1:16" ht="18" customHeight="1">
      <c r="B275" s="124" t="str">
        <f>B274</f>
        <v>6单银Low-E+12A+6</v>
      </c>
      <c r="C275" s="133">
        <f t="shared" si="49"/>
        <v>-12</v>
      </c>
      <c r="D275" s="133">
        <f t="shared" si="49"/>
        <v>-12</v>
      </c>
      <c r="E275" s="32">
        <f t="shared" si="27"/>
        <v>1.44E-4</v>
      </c>
      <c r="F275" s="134">
        <f t="shared" si="50"/>
        <v>0</v>
      </c>
      <c r="G275" s="135">
        <f>G274</f>
        <v>148</v>
      </c>
      <c r="H275" s="134">
        <f t="shared" si="51"/>
        <v>0</v>
      </c>
      <c r="I275" s="136" t="str">
        <f>I274</f>
        <v>门钢化中空玻璃</v>
      </c>
      <c r="K275" s="43" t="s">
        <v>177</v>
      </c>
    </row>
    <row r="276" spans="1:16" ht="18" customHeight="1">
      <c r="B276" s="124" t="str">
        <f>B275</f>
        <v>6单银Low-E+12A+6</v>
      </c>
      <c r="C276" s="133">
        <f t="shared" si="49"/>
        <v>-12</v>
      </c>
      <c r="D276" s="133">
        <f t="shared" si="49"/>
        <v>-12</v>
      </c>
      <c r="E276" s="32">
        <f t="shared" si="27"/>
        <v>1.44E-4</v>
      </c>
      <c r="F276" s="134">
        <f t="shared" si="50"/>
        <v>0</v>
      </c>
      <c r="G276" s="135">
        <f>G275</f>
        <v>148</v>
      </c>
      <c r="H276" s="134">
        <f t="shared" si="51"/>
        <v>0</v>
      </c>
      <c r="I276" s="136" t="str">
        <f>I275</f>
        <v>门钢化中空玻璃</v>
      </c>
    </row>
    <row r="277" spans="1:16" ht="18" customHeight="1">
      <c r="B277" s="124" t="str">
        <f>B276</f>
        <v>6单银Low-E+12A+6</v>
      </c>
      <c r="C277" s="133">
        <f t="shared" si="49"/>
        <v>-12</v>
      </c>
      <c r="D277" s="133">
        <f t="shared" si="49"/>
        <v>-12</v>
      </c>
      <c r="E277" s="32">
        <f t="shared" si="27"/>
        <v>1.44E-4</v>
      </c>
      <c r="F277" s="134">
        <f t="shared" si="50"/>
        <v>0</v>
      </c>
      <c r="G277" s="135">
        <f>G276</f>
        <v>148</v>
      </c>
      <c r="H277" s="134">
        <f t="shared" si="51"/>
        <v>0</v>
      </c>
      <c r="I277" s="136" t="str">
        <f>I276</f>
        <v>门钢化中空玻璃</v>
      </c>
    </row>
    <row r="278" spans="1:16" ht="18" customHeight="1">
      <c r="B278" s="124" t="str">
        <f>B277</f>
        <v>6单银Low-E+12A+6</v>
      </c>
      <c r="C278" s="133">
        <f t="shared" si="49"/>
        <v>-12</v>
      </c>
      <c r="D278" s="133">
        <f t="shared" si="49"/>
        <v>-12</v>
      </c>
      <c r="E278" s="32">
        <f t="shared" si="27"/>
        <v>1.44E-4</v>
      </c>
      <c r="F278" s="134">
        <f t="shared" si="50"/>
        <v>0</v>
      </c>
      <c r="G278" s="135">
        <f>G277</f>
        <v>148</v>
      </c>
      <c r="H278" s="134">
        <f t="shared" si="51"/>
        <v>0</v>
      </c>
      <c r="I278" s="136" t="str">
        <f>I277</f>
        <v>门钢化中空玻璃</v>
      </c>
    </row>
    <row r="279" spans="1:16" ht="18" customHeight="1">
      <c r="B279" s="124" t="str">
        <f>B278</f>
        <v>6单银Low-E+12A+6</v>
      </c>
      <c r="C279" s="133">
        <f t="shared" si="49"/>
        <v>-12</v>
      </c>
      <c r="D279" s="133">
        <f t="shared" si="49"/>
        <v>-12</v>
      </c>
      <c r="E279" s="32">
        <f t="shared" si="27"/>
        <v>1.44E-4</v>
      </c>
      <c r="F279" s="134">
        <f t="shared" si="50"/>
        <v>0</v>
      </c>
      <c r="G279" s="135">
        <f>G278</f>
        <v>148</v>
      </c>
      <c r="H279" s="134">
        <f t="shared" si="51"/>
        <v>0</v>
      </c>
      <c r="I279" s="136" t="str">
        <f>I278</f>
        <v>门钢化中空玻璃</v>
      </c>
    </row>
    <row r="280" spans="1:16" ht="18" customHeight="1">
      <c r="B280" s="48" t="s">
        <v>178</v>
      </c>
      <c r="C280" s="52"/>
      <c r="D280" s="50"/>
      <c r="E280" s="128"/>
      <c r="F280" s="50">
        <f>SUM(F274:F279)</f>
        <v>0</v>
      </c>
      <c r="G280" s="50"/>
      <c r="H280" s="52">
        <f>SUM(H274:H279)</f>
        <v>0</v>
      </c>
      <c r="I280" s="53">
        <f>ROUND(SUMPRODUCT(E274:E279*F274:F279),2)</f>
        <v>0</v>
      </c>
    </row>
    <row r="281" spans="1:16" ht="18" customHeight="1">
      <c r="B281" s="124" t="str">
        <f>材料价格!A10</f>
        <v>6单银Low-E+12A+6</v>
      </c>
      <c r="C281" s="133">
        <f>C252</f>
        <v>-12</v>
      </c>
      <c r="D281" s="133">
        <f>D252</f>
        <v>-12</v>
      </c>
      <c r="E281" s="32">
        <f t="shared" si="27"/>
        <v>1.44E-4</v>
      </c>
      <c r="F281" s="134"/>
      <c r="G281" s="137">
        <f>材料价格!B10</f>
        <v>148</v>
      </c>
      <c r="H281" s="134">
        <f>ROUND(E281*G281*F281,2)</f>
        <v>0</v>
      </c>
      <c r="I281" s="437" t="s">
        <v>179</v>
      </c>
    </row>
    <row r="282" spans="1:16" ht="18" customHeight="1">
      <c r="B282" s="124" t="str">
        <f>B281</f>
        <v>6单银Low-E+12A+6</v>
      </c>
      <c r="C282" s="133">
        <f>C253</f>
        <v>-12</v>
      </c>
      <c r="D282" s="133">
        <f>D253</f>
        <v>-12</v>
      </c>
      <c r="E282" s="32">
        <f t="shared" si="27"/>
        <v>1.44E-4</v>
      </c>
      <c r="F282" s="134"/>
      <c r="G282" s="135">
        <f>G281</f>
        <v>148</v>
      </c>
      <c r="H282" s="134">
        <f>ROUND(E282*G282*F282,2)</f>
        <v>0</v>
      </c>
      <c r="I282" s="437" t="s">
        <v>179</v>
      </c>
      <c r="J282" s="255"/>
      <c r="K282" s="255"/>
      <c r="L282" s="255"/>
      <c r="M282" s="255"/>
    </row>
    <row r="283" spans="1:16" ht="18" customHeight="1">
      <c r="B283" s="124" t="str">
        <f>B282</f>
        <v>6单银Low-E+12A+6</v>
      </c>
      <c r="C283" s="133">
        <f>D84-12</f>
        <v>-12</v>
      </c>
      <c r="D283" s="133">
        <f>E84-12</f>
        <v>-12</v>
      </c>
      <c r="E283" s="32">
        <f t="shared" si="27"/>
        <v>1.44E-4</v>
      </c>
      <c r="F283" s="134">
        <f>G84</f>
        <v>0</v>
      </c>
      <c r="G283" s="135">
        <f>G282</f>
        <v>148</v>
      </c>
      <c r="H283" s="134">
        <f>ROUND(E283*G283*F283,2)</f>
        <v>0</v>
      </c>
      <c r="I283" s="437" t="s">
        <v>179</v>
      </c>
      <c r="J283" s="255"/>
      <c r="K283" s="255"/>
      <c r="L283" s="255"/>
      <c r="M283" s="255"/>
    </row>
    <row r="284" spans="1:16" ht="18" customHeight="1">
      <c r="B284" s="124" t="str">
        <f>B283</f>
        <v>6单银Low-E+12A+6</v>
      </c>
      <c r="C284" s="133">
        <f>D85-12</f>
        <v>-12</v>
      </c>
      <c r="D284" s="133">
        <f>E85-12</f>
        <v>-12</v>
      </c>
      <c r="E284" s="32">
        <f t="shared" si="27"/>
        <v>1.44E-4</v>
      </c>
      <c r="F284" s="134">
        <f>G85</f>
        <v>0</v>
      </c>
      <c r="G284" s="135">
        <f>G283</f>
        <v>148</v>
      </c>
      <c r="H284" s="134">
        <f>ROUND(E284*G284*F284,2)</f>
        <v>0</v>
      </c>
      <c r="I284" s="437" t="s">
        <v>179</v>
      </c>
      <c r="J284" s="255"/>
      <c r="K284" s="255"/>
      <c r="L284" s="255"/>
      <c r="M284" s="255"/>
    </row>
    <row r="285" spans="1:16" ht="18" customHeight="1">
      <c r="B285" s="48" t="s">
        <v>180</v>
      </c>
      <c r="C285" s="52"/>
      <c r="D285" s="50"/>
      <c r="E285" s="50"/>
      <c r="F285" s="50">
        <f>SUM(F281:F284)</f>
        <v>0</v>
      </c>
      <c r="G285" s="50"/>
      <c r="H285" s="52">
        <f>SUM(H281:H284)</f>
        <v>0</v>
      </c>
      <c r="I285" s="53">
        <f>ROUND((E281*F281+E282*F282+E283*F283+E284*F284),2)</f>
        <v>0</v>
      </c>
      <c r="J285" s="255"/>
      <c r="K285" s="255"/>
      <c r="L285" s="255"/>
      <c r="M285" s="255"/>
    </row>
    <row r="286" spans="1:16" ht="18" customHeight="1">
      <c r="B286" s="124" t="str">
        <f>材料价格!A11</f>
        <v>8单银Low-E+12Ar+8+12A+8mm</v>
      </c>
      <c r="C286" s="133"/>
      <c r="D286" s="133"/>
      <c r="E286" s="32">
        <f>C286*D286/10^6</f>
        <v>0</v>
      </c>
      <c r="F286" s="134"/>
      <c r="G286" s="137">
        <f>材料价格!B11</f>
        <v>312</v>
      </c>
      <c r="H286" s="134">
        <f>ROUND(E286*G286*F286,2)</f>
        <v>0</v>
      </c>
      <c r="I286" s="437" t="s">
        <v>181</v>
      </c>
      <c r="J286" s="255"/>
      <c r="K286" s="255"/>
      <c r="L286" s="255"/>
      <c r="M286" s="255"/>
    </row>
    <row r="287" spans="1:16" ht="18" customHeight="1">
      <c r="B287" s="124" t="str">
        <f>B286</f>
        <v>8单银Low-E+12Ar+8+12A+8mm</v>
      </c>
      <c r="C287" s="133"/>
      <c r="D287" s="133"/>
      <c r="E287" s="32">
        <f>C287*D287/10^6</f>
        <v>0</v>
      </c>
      <c r="F287" s="134"/>
      <c r="G287" s="135">
        <f>G286</f>
        <v>312</v>
      </c>
      <c r="H287" s="134">
        <f>ROUND(E287*G287*F287,2)</f>
        <v>0</v>
      </c>
      <c r="I287" s="437" t="s">
        <v>181</v>
      </c>
      <c r="J287" s="255"/>
      <c r="K287" s="255"/>
      <c r="L287" s="255"/>
      <c r="M287" s="255"/>
    </row>
    <row r="288" spans="1:16" ht="18" customHeight="1">
      <c r="B288" s="138" t="str">
        <f>材料价格!A12</f>
        <v>10单银Low-E+12Ar+10+12A+10mm</v>
      </c>
      <c r="C288" s="139"/>
      <c r="D288" s="139"/>
      <c r="E288" s="140">
        <f>C288*D288/10^6</f>
        <v>0</v>
      </c>
      <c r="F288" s="141"/>
      <c r="G288" s="142">
        <f>材料价格!B12</f>
        <v>395</v>
      </c>
      <c r="H288" s="141">
        <f>ROUND(E288*G288*F288,2)</f>
        <v>0</v>
      </c>
      <c r="I288" s="143" t="s">
        <v>181</v>
      </c>
      <c r="J288" s="255"/>
      <c r="K288" s="255"/>
      <c r="L288" s="255"/>
      <c r="M288" s="255"/>
    </row>
    <row r="289" spans="2:13" ht="18" customHeight="1">
      <c r="B289" s="138" t="str">
        <f>B288</f>
        <v>10单银Low-E+12Ar+10+12A+10mm</v>
      </c>
      <c r="C289" s="139"/>
      <c r="D289" s="139"/>
      <c r="E289" s="140">
        <f>C289*D289/10^6</f>
        <v>0</v>
      </c>
      <c r="F289" s="141"/>
      <c r="G289" s="142">
        <f>G288</f>
        <v>395</v>
      </c>
      <c r="H289" s="141">
        <f>ROUND(E289*G289*F289,2)</f>
        <v>0</v>
      </c>
      <c r="I289" s="143" t="s">
        <v>181</v>
      </c>
      <c r="J289" s="255"/>
      <c r="K289" s="255"/>
      <c r="L289" s="255"/>
      <c r="M289" s="255"/>
    </row>
    <row r="290" spans="2:13" ht="18" customHeight="1">
      <c r="B290" s="48" t="s">
        <v>180</v>
      </c>
      <c r="C290" s="52"/>
      <c r="D290" s="50"/>
      <c r="E290" s="50"/>
      <c r="F290" s="50">
        <f>SUM(F286:F289)</f>
        <v>0</v>
      </c>
      <c r="G290" s="50"/>
      <c r="H290" s="52">
        <f>SUM(H286:H289)</f>
        <v>0</v>
      </c>
      <c r="I290" s="53">
        <f>ROUND((E286*F286+E287*F287+E288*F288+E289*F289),2)</f>
        <v>0</v>
      </c>
      <c r="J290" s="255"/>
      <c r="K290" s="255"/>
      <c r="L290" s="255"/>
      <c r="M290" s="255"/>
    </row>
    <row r="291" spans="2:13" ht="18" customHeight="1">
      <c r="B291" s="642" t="s">
        <v>182</v>
      </c>
      <c r="C291" s="144" t="s">
        <v>183</v>
      </c>
      <c r="D291" s="144" cm="1">
        <f t="array" ref="D291">SUMPRODUCT(E225:E232*F225:F232)+SUMPRODUCT(E243:E249*F243:F249)</f>
        <v>0.75129599999999996</v>
      </c>
      <c r="E291" s="144" t="s">
        <v>184</v>
      </c>
      <c r="F291" s="145">
        <f>F233+F250</f>
        <v>1</v>
      </c>
      <c r="G291" s="145" t="s">
        <v>185</v>
      </c>
      <c r="H291" s="144">
        <f>H233+H250</f>
        <v>111.19</v>
      </c>
      <c r="I291" s="146">
        <f>H291/F366</f>
        <v>21.399565041667469</v>
      </c>
      <c r="J291" s="255"/>
      <c r="K291" s="255"/>
      <c r="L291" s="255"/>
      <c r="M291" s="255"/>
    </row>
    <row r="292" spans="2:13" ht="18" customHeight="1">
      <c r="B292" s="642"/>
      <c r="C292" s="144" t="s">
        <v>186</v>
      </c>
      <c r="D292" s="144">
        <f>SUMPRODUCT(E234:E241*F234:F241)+SUMPRODUCT(E251:E257*F251:F257)+SUMPRODUCT(E259:E264*F259:F264)+SUMPRODUCT(E266:E268*F266:F268)+SUMPRODUCT(E270:E272*F270:F272)+SUMPRODUCT(E281:E284*F281:F284)+SUMPRODUCT(E286:E289*F286:F289)+SUMPRODUCT(E274:E279*F274:F279)</f>
        <v>2.94408</v>
      </c>
      <c r="E292" s="144" t="s">
        <v>186</v>
      </c>
      <c r="F292" s="145">
        <f>F242+F258+F265+F269+F273+F285+F290+F280</f>
        <v>2</v>
      </c>
      <c r="G292" s="145" t="s">
        <v>185</v>
      </c>
      <c r="H292" s="144">
        <f>H242+H258+H265+H269+H273+H280+H285+H290</f>
        <v>435.72</v>
      </c>
      <c r="I292" s="146">
        <f>H292/F366</f>
        <v>83.858426836544197</v>
      </c>
      <c r="J292" s="255"/>
      <c r="K292" s="255"/>
      <c r="L292" s="255"/>
      <c r="M292" s="255"/>
    </row>
    <row r="293" spans="2:13" ht="18" customHeight="1">
      <c r="B293" s="23" t="s">
        <v>187</v>
      </c>
      <c r="C293" s="442" t="s">
        <v>188</v>
      </c>
      <c r="D293" s="68" t="s">
        <v>189</v>
      </c>
      <c r="E293" s="442" t="s">
        <v>8</v>
      </c>
      <c r="F293" s="442" t="s">
        <v>190</v>
      </c>
      <c r="G293" s="442" t="s">
        <v>191</v>
      </c>
      <c r="H293" s="442" t="s">
        <v>160</v>
      </c>
      <c r="I293" s="25" t="s">
        <v>1</v>
      </c>
      <c r="J293" s="255"/>
      <c r="K293" s="255"/>
      <c r="L293" s="255"/>
      <c r="M293" s="255"/>
    </row>
    <row r="294" spans="2:13" ht="18" customHeight="1">
      <c r="B294" s="629" t="s">
        <v>192</v>
      </c>
      <c r="C294" s="443">
        <f>D26</f>
        <v>0</v>
      </c>
      <c r="D294" s="440"/>
      <c r="E294" s="440"/>
      <c r="F294" s="440" t="s">
        <v>193</v>
      </c>
      <c r="G294" s="108">
        <f>材料价格!B14</f>
        <v>153</v>
      </c>
      <c r="H294" s="147">
        <f>E294*G294</f>
        <v>0</v>
      </c>
      <c r="I294" s="632" t="s">
        <v>194</v>
      </c>
      <c r="J294" s="255"/>
      <c r="K294" s="255"/>
      <c r="L294" s="255"/>
      <c r="M294" s="255"/>
    </row>
    <row r="295" spans="2:13" ht="18" customHeight="1">
      <c r="B295" s="629"/>
      <c r="C295" s="443"/>
      <c r="D295" s="440"/>
      <c r="E295" s="440"/>
      <c r="F295" s="440"/>
      <c r="G295" s="108"/>
      <c r="H295" s="147">
        <f t="shared" ref="H295:H303" si="52">E295*G295</f>
        <v>0</v>
      </c>
      <c r="I295" s="633"/>
      <c r="J295" s="255"/>
      <c r="K295" s="255"/>
      <c r="L295" s="255"/>
      <c r="M295" s="255"/>
    </row>
    <row r="296" spans="2:13" ht="18" customHeight="1">
      <c r="B296" s="629" t="s">
        <v>195</v>
      </c>
      <c r="C296" s="443"/>
      <c r="D296" s="148"/>
      <c r="E296" s="440"/>
      <c r="F296" s="440" t="str">
        <f>F294</f>
        <v>坚朗</v>
      </c>
      <c r="G296" s="108">
        <f>材料价格!B15</f>
        <v>80</v>
      </c>
      <c r="H296" s="147">
        <f t="shared" si="52"/>
        <v>0</v>
      </c>
      <c r="I296" s="632" t="s">
        <v>196</v>
      </c>
      <c r="J296" s="255"/>
      <c r="K296" s="255"/>
      <c r="L296" s="255"/>
      <c r="M296" s="255"/>
    </row>
    <row r="297" spans="2:13" ht="18" customHeight="1">
      <c r="B297" s="629"/>
      <c r="C297" s="443"/>
      <c r="D297" s="148"/>
      <c r="E297" s="440"/>
      <c r="F297" s="440"/>
      <c r="G297" s="108"/>
      <c r="H297" s="147">
        <f t="shared" si="52"/>
        <v>0</v>
      </c>
      <c r="I297" s="633"/>
      <c r="J297" s="255"/>
      <c r="K297" s="255"/>
      <c r="L297" s="255"/>
      <c r="M297" s="255"/>
    </row>
    <row r="298" spans="2:13" ht="18" customHeight="1">
      <c r="B298" s="629" t="s">
        <v>197</v>
      </c>
      <c r="C298" s="443"/>
      <c r="D298" s="148"/>
      <c r="E298" s="440"/>
      <c r="F298" s="440" t="str">
        <f>F296</f>
        <v>坚朗</v>
      </c>
      <c r="G298" s="108">
        <f>材料价格!B16</f>
        <v>88</v>
      </c>
      <c r="H298" s="147">
        <f t="shared" si="52"/>
        <v>0</v>
      </c>
      <c r="I298" s="633"/>
      <c r="J298" s="255"/>
      <c r="K298" s="255"/>
      <c r="L298" s="255"/>
      <c r="M298" s="255"/>
    </row>
    <row r="299" spans="2:13" ht="18" customHeight="1">
      <c r="B299" s="629"/>
      <c r="C299" s="443"/>
      <c r="D299" s="148"/>
      <c r="E299" s="440"/>
      <c r="F299" s="440"/>
      <c r="G299" s="108"/>
      <c r="H299" s="147">
        <f t="shared" si="52"/>
        <v>0</v>
      </c>
      <c r="I299" s="633"/>
      <c r="J299" s="255"/>
      <c r="K299" s="255"/>
      <c r="L299" s="255"/>
      <c r="M299" s="255"/>
    </row>
    <row r="300" spans="2:13" ht="18" customHeight="1">
      <c r="B300" s="629" t="s">
        <v>198</v>
      </c>
      <c r="C300" s="443">
        <f>D35</f>
        <v>0</v>
      </c>
      <c r="D300" s="148"/>
      <c r="E300" s="440"/>
      <c r="F300" s="440" t="str">
        <f>F298</f>
        <v>坚朗</v>
      </c>
      <c r="G300" s="108">
        <f>材料价格!B17</f>
        <v>115</v>
      </c>
      <c r="H300" s="147">
        <f t="shared" si="52"/>
        <v>0</v>
      </c>
      <c r="I300" s="149"/>
      <c r="J300" s="255"/>
      <c r="K300" s="255"/>
      <c r="L300" s="255"/>
      <c r="M300" s="255"/>
    </row>
    <row r="301" spans="2:13" ht="18" customHeight="1">
      <c r="B301" s="629"/>
      <c r="C301" s="443"/>
      <c r="D301" s="148"/>
      <c r="E301" s="440"/>
      <c r="F301" s="440"/>
      <c r="G301" s="108"/>
      <c r="H301" s="147">
        <f t="shared" si="52"/>
        <v>0</v>
      </c>
      <c r="I301" s="149"/>
      <c r="J301" s="255"/>
      <c r="K301" s="255"/>
      <c r="L301" s="255"/>
      <c r="M301" s="255"/>
    </row>
    <row r="302" spans="2:13" ht="18" customHeight="1">
      <c r="B302" s="629" t="s">
        <v>199</v>
      </c>
      <c r="C302" s="440" t="s">
        <v>200</v>
      </c>
      <c r="D302" s="148"/>
      <c r="E302" s="440"/>
      <c r="F302" s="440" t="str">
        <f>F300</f>
        <v>坚朗</v>
      </c>
      <c r="G302" s="108">
        <f>材料价格!B19</f>
        <v>230</v>
      </c>
      <c r="H302" s="147">
        <f t="shared" si="52"/>
        <v>0</v>
      </c>
      <c r="I302" s="437"/>
      <c r="J302" s="255"/>
      <c r="K302" s="255"/>
      <c r="L302" s="255"/>
      <c r="M302" s="255"/>
    </row>
    <row r="303" spans="2:13" ht="18" customHeight="1">
      <c r="B303" s="629"/>
      <c r="C303" s="440" t="s">
        <v>201</v>
      </c>
      <c r="D303" s="148"/>
      <c r="E303" s="440">
        <v>1</v>
      </c>
      <c r="F303" s="440" t="str">
        <f>F302</f>
        <v>坚朗</v>
      </c>
      <c r="G303" s="108">
        <f>材料价格!B20</f>
        <v>335</v>
      </c>
      <c r="H303" s="147">
        <f t="shared" si="52"/>
        <v>335</v>
      </c>
      <c r="I303" s="437"/>
      <c r="J303" s="255"/>
      <c r="K303" s="255"/>
      <c r="L303" s="255"/>
      <c r="M303" s="255"/>
    </row>
    <row r="304" spans="2:13" ht="18" customHeight="1">
      <c r="B304" s="150" t="s">
        <v>202</v>
      </c>
      <c r="C304" s="50"/>
      <c r="D304" s="50"/>
      <c r="E304" s="50">
        <f>SUM(E294:E303)</f>
        <v>1</v>
      </c>
      <c r="F304" s="50"/>
      <c r="G304" s="166"/>
      <c r="H304" s="151">
        <f>SUM(H294:H303)</f>
        <v>335</v>
      </c>
      <c r="I304" s="152"/>
      <c r="J304" s="42"/>
    </row>
    <row r="305" spans="1:16" ht="18" customHeight="1">
      <c r="B305" s="436" t="s">
        <v>300</v>
      </c>
      <c r="C305" s="440"/>
      <c r="D305" s="148"/>
      <c r="E305" s="443">
        <f>E294+E296</f>
        <v>0</v>
      </c>
      <c r="F305" s="148"/>
      <c r="G305" s="148">
        <f>材料价格!B27</f>
        <v>0</v>
      </c>
      <c r="H305" s="154">
        <f>E305*G305</f>
        <v>0</v>
      </c>
      <c r="I305" s="437" t="s">
        <v>203</v>
      </c>
    </row>
    <row r="306" spans="1:16" s="16" customFormat="1" ht="18" customHeight="1">
      <c r="A306" s="1"/>
      <c r="B306" s="436" t="s">
        <v>204</v>
      </c>
      <c r="C306" s="440"/>
      <c r="D306" s="148"/>
      <c r="E306" s="443">
        <f>E298+E299+E300+E301</f>
        <v>0</v>
      </c>
      <c r="F306" s="148"/>
      <c r="G306" s="148">
        <f>材料价格!B28</f>
        <v>118</v>
      </c>
      <c r="H306" s="154">
        <f>E306*G306</f>
        <v>0</v>
      </c>
      <c r="I306" s="437" t="s">
        <v>205</v>
      </c>
      <c r="J306" s="43"/>
      <c r="K306" s="43"/>
      <c r="L306" s="43"/>
      <c r="M306" s="43"/>
      <c r="N306" s="255"/>
      <c r="O306" s="255"/>
      <c r="P306" s="255"/>
    </row>
    <row r="307" spans="1:16" s="16" customFormat="1" ht="18" customHeight="1">
      <c r="A307" s="1"/>
      <c r="B307" s="436" t="s">
        <v>206</v>
      </c>
      <c r="C307" s="440"/>
      <c r="D307" s="148"/>
      <c r="E307" s="443"/>
      <c r="F307" s="148"/>
      <c r="G307" s="148"/>
      <c r="H307" s="154">
        <f>E307*G307</f>
        <v>0</v>
      </c>
      <c r="I307" s="437" t="s">
        <v>207</v>
      </c>
      <c r="J307" s="43"/>
      <c r="K307" s="43"/>
      <c r="L307" s="43"/>
      <c r="M307" s="43"/>
      <c r="N307" s="255"/>
      <c r="O307" s="255"/>
      <c r="P307" s="255"/>
    </row>
    <row r="308" spans="1:16" s="16" customFormat="1" ht="18" customHeight="1">
      <c r="A308" s="1"/>
      <c r="B308" s="150" t="s">
        <v>208</v>
      </c>
      <c r="C308" s="50"/>
      <c r="D308" s="50"/>
      <c r="E308" s="100">
        <f>SUM(E305:E307)</f>
        <v>0</v>
      </c>
      <c r="F308" s="50"/>
      <c r="G308" s="166"/>
      <c r="H308" s="155">
        <f>SUM(H305:H307)</f>
        <v>0</v>
      </c>
      <c r="I308" s="152"/>
      <c r="J308" s="43"/>
      <c r="K308" s="43"/>
      <c r="L308" s="43"/>
      <c r="M308" s="43"/>
      <c r="N308" s="255"/>
      <c r="O308" s="255"/>
      <c r="P308" s="255"/>
    </row>
    <row r="309" spans="1:16" s="16" customFormat="1" ht="18" customHeight="1">
      <c r="A309" s="1"/>
      <c r="B309" s="156" t="s">
        <v>209</v>
      </c>
      <c r="C309" s="157">
        <f>ROUND(IF(D4&lt;=200,4,0)+IF(D4&gt;200,(D4/200+1))+IF(E4&lt;=200,4,0)+IF(E4&gt;200,(E4/200+1)),0)</f>
        <v>26</v>
      </c>
      <c r="D309" s="148"/>
      <c r="E309" s="148"/>
      <c r="F309" s="148"/>
      <c r="G309" s="158">
        <v>0.5</v>
      </c>
      <c r="H309" s="159">
        <f>ROUND(C309*G309,2)</f>
        <v>13</v>
      </c>
      <c r="I309" s="437" t="s">
        <v>210</v>
      </c>
      <c r="J309" s="43"/>
      <c r="K309" s="43"/>
      <c r="L309" s="43"/>
      <c r="M309" s="43"/>
      <c r="N309" s="255"/>
      <c r="O309" s="255"/>
      <c r="P309" s="255"/>
    </row>
    <row r="310" spans="1:16" s="16" customFormat="1" ht="18" customHeight="1">
      <c r="A310" s="1"/>
      <c r="B310" s="156" t="s">
        <v>211</v>
      </c>
      <c r="C310" s="157">
        <f>C309*2</f>
        <v>52</v>
      </c>
      <c r="D310" s="148">
        <f>D309*2</f>
        <v>0</v>
      </c>
      <c r="E310" s="148"/>
      <c r="F310" s="148"/>
      <c r="G310" s="158">
        <v>0.3</v>
      </c>
      <c r="H310" s="159">
        <f>ROUND(C310*G310,2)</f>
        <v>15.6</v>
      </c>
      <c r="I310" s="437" t="s">
        <v>212</v>
      </c>
      <c r="J310" s="43"/>
      <c r="K310" s="43"/>
      <c r="L310" s="255"/>
      <c r="M310" s="255"/>
      <c r="N310" s="255"/>
      <c r="O310" s="255"/>
      <c r="P310" s="255"/>
    </row>
    <row r="311" spans="1:16" s="16" customFormat="1" ht="18" customHeight="1">
      <c r="A311" s="1"/>
      <c r="B311" s="160" t="s">
        <v>213</v>
      </c>
      <c r="C311" s="161">
        <f>F6</f>
        <v>5.1504000000000003</v>
      </c>
      <c r="D311" s="162"/>
      <c r="E311" s="162"/>
      <c r="F311" s="162"/>
      <c r="G311" s="163">
        <v>5</v>
      </c>
      <c r="H311" s="159">
        <f>ROUND(C311*G311,2)</f>
        <v>25.75</v>
      </c>
      <c r="I311" s="437"/>
      <c r="J311" s="43"/>
      <c r="K311" s="43"/>
      <c r="L311" s="255"/>
      <c r="M311" s="255"/>
      <c r="N311" s="255"/>
      <c r="O311" s="255"/>
      <c r="P311" s="255"/>
    </row>
    <row r="312" spans="1:16" s="16" customFormat="1" ht="18" customHeight="1">
      <c r="A312" s="1"/>
      <c r="B312" s="160" t="s">
        <v>214</v>
      </c>
      <c r="C312" s="161"/>
      <c r="D312" s="162"/>
      <c r="E312" s="162"/>
      <c r="F312" s="162"/>
      <c r="G312" s="163"/>
      <c r="H312" s="159">
        <f>ROUND(C312*G312,2)</f>
        <v>0</v>
      </c>
      <c r="I312" s="437"/>
      <c r="J312" s="43"/>
      <c r="K312" s="43"/>
      <c r="L312" s="255"/>
      <c r="M312" s="255"/>
      <c r="N312" s="255"/>
      <c r="O312" s="255"/>
      <c r="P312" s="255"/>
    </row>
    <row r="313" spans="1:16" s="16" customFormat="1" ht="18" customHeight="1">
      <c r="A313" s="1"/>
      <c r="B313" s="164" t="s">
        <v>397</v>
      </c>
      <c r="C313" s="161">
        <f>D291+D292</f>
        <v>3.695376</v>
      </c>
      <c r="D313" s="162"/>
      <c r="E313" s="162"/>
      <c r="F313" s="162"/>
      <c r="G313" s="163">
        <f>10+5</f>
        <v>15</v>
      </c>
      <c r="H313" s="159">
        <f>ROUND(C313*G313,2)</f>
        <v>55.43</v>
      </c>
      <c r="I313" s="437"/>
      <c r="J313" s="43"/>
      <c r="K313" s="43"/>
      <c r="L313" s="255"/>
      <c r="M313" s="255"/>
      <c r="N313" s="255"/>
      <c r="O313" s="255"/>
      <c r="P313" s="255"/>
    </row>
    <row r="314" spans="1:16" s="16" customFormat="1" ht="18" customHeight="1">
      <c r="A314" s="1"/>
      <c r="B314" s="150" t="s">
        <v>215</v>
      </c>
      <c r="C314" s="165"/>
      <c r="D314" s="50"/>
      <c r="E314" s="50"/>
      <c r="F314" s="50"/>
      <c r="G314" s="166"/>
      <c r="H314" s="155">
        <f>SUM(H309:H313)</f>
        <v>109.78</v>
      </c>
      <c r="I314" s="152"/>
      <c r="J314" s="43"/>
      <c r="K314" s="43"/>
      <c r="L314" s="255"/>
      <c r="M314" s="255"/>
      <c r="N314" s="255"/>
      <c r="O314" s="255"/>
      <c r="P314" s="255"/>
    </row>
    <row r="315" spans="1:16" s="16" customFormat="1" ht="18" customHeight="1">
      <c r="A315" s="1"/>
      <c r="B315" s="156" t="s">
        <v>216</v>
      </c>
      <c r="C315" s="167">
        <f>E203+E205+E207+I203+I205+E209+I207</f>
        <v>16</v>
      </c>
      <c r="D315" s="148"/>
      <c r="E315" s="148"/>
      <c r="F315" s="148"/>
      <c r="G315" s="168">
        <v>1.9</v>
      </c>
      <c r="H315" s="154">
        <f t="shared" ref="H315:H318" si="53">ROUND(C315*G315,2)</f>
        <v>30.4</v>
      </c>
      <c r="I315" s="224" t="s">
        <v>340</v>
      </c>
      <c r="J315" s="255"/>
      <c r="K315" s="43"/>
      <c r="L315" s="255"/>
      <c r="M315" s="255"/>
      <c r="N315" s="255"/>
      <c r="O315" s="255"/>
      <c r="P315" s="255"/>
    </row>
    <row r="316" spans="1:16" s="16" customFormat="1" ht="18" customHeight="1">
      <c r="A316" s="1"/>
      <c r="B316" s="156" t="s">
        <v>217</v>
      </c>
      <c r="C316" s="167">
        <f>ROUND((D4+E4)*2/1000,2)</f>
        <v>9.4</v>
      </c>
      <c r="D316" s="148"/>
      <c r="E316" s="238">
        <v>4</v>
      </c>
      <c r="F316" s="235">
        <f>材料价格!B25</f>
        <v>8.52</v>
      </c>
      <c r="G316" s="168">
        <f t="shared" ref="G316:G321" si="54">F316/E316</f>
        <v>2.13</v>
      </c>
      <c r="H316" s="154">
        <f t="shared" si="53"/>
        <v>20.02</v>
      </c>
      <c r="I316" s="169" t="s">
        <v>218</v>
      </c>
      <c r="J316" s="255"/>
      <c r="K316" s="43"/>
      <c r="L316" s="255"/>
      <c r="M316" s="255"/>
      <c r="N316" s="255"/>
      <c r="O316" s="255"/>
      <c r="P316" s="255"/>
    </row>
    <row r="317" spans="1:16" s="16" customFormat="1" ht="18" customHeight="1">
      <c r="A317" s="1"/>
      <c r="B317" s="156" t="s">
        <v>219</v>
      </c>
      <c r="C317" s="167">
        <f>C316</f>
        <v>9.4</v>
      </c>
      <c r="D317" s="148"/>
      <c r="E317" s="238">
        <v>3</v>
      </c>
      <c r="F317" s="235">
        <f>F316</f>
        <v>8.52</v>
      </c>
      <c r="G317" s="168">
        <f t="shared" si="54"/>
        <v>2.84</v>
      </c>
      <c r="H317" s="154">
        <f t="shared" si="53"/>
        <v>26.7</v>
      </c>
      <c r="I317" s="169" t="s">
        <v>220</v>
      </c>
      <c r="J317" s="255"/>
      <c r="K317" s="43"/>
      <c r="L317" s="255"/>
      <c r="M317" s="255"/>
      <c r="N317" s="255"/>
      <c r="O317" s="255"/>
      <c r="P317" s="255"/>
    </row>
    <row r="318" spans="1:16" s="16" customFormat="1" ht="18" customHeight="1">
      <c r="A318" s="1"/>
      <c r="B318" s="156" t="s">
        <v>221</v>
      </c>
      <c r="C318" s="167">
        <f>C316</f>
        <v>9.4</v>
      </c>
      <c r="D318" s="148"/>
      <c r="E318" s="238">
        <v>6.5</v>
      </c>
      <c r="F318" s="235">
        <f>材料价格!B26</f>
        <v>23</v>
      </c>
      <c r="G318" s="168">
        <f t="shared" si="54"/>
        <v>3.5384615384615383</v>
      </c>
      <c r="H318" s="154">
        <f t="shared" si="53"/>
        <v>33.26</v>
      </c>
      <c r="I318" s="224" t="s">
        <v>222</v>
      </c>
      <c r="J318" s="255"/>
      <c r="K318" s="43"/>
      <c r="L318" s="255"/>
      <c r="M318" s="255"/>
      <c r="N318" s="255"/>
      <c r="O318" s="255"/>
      <c r="P318" s="255"/>
    </row>
    <row r="319" spans="1:16" s="16" customFormat="1" ht="18" customHeight="1">
      <c r="A319" s="1"/>
      <c r="B319" s="156" t="s">
        <v>341</v>
      </c>
      <c r="C319" s="167">
        <f>ROUND((C97+C104+C88+C146+C153+C163)*1,2)</f>
        <v>16.36</v>
      </c>
      <c r="D319" s="77">
        <v>1</v>
      </c>
      <c r="E319" s="238">
        <f>10</f>
        <v>10</v>
      </c>
      <c r="F319" s="235">
        <f>F317</f>
        <v>8.52</v>
      </c>
      <c r="G319" s="168">
        <f>F319/E319</f>
        <v>0.85199999999999998</v>
      </c>
      <c r="H319" s="154">
        <f>ROUND(C319*G319,2)</f>
        <v>13.94</v>
      </c>
      <c r="I319" s="437" t="s">
        <v>223</v>
      </c>
      <c r="J319" s="255"/>
      <c r="K319" s="43"/>
      <c r="L319" s="255"/>
      <c r="M319" s="255"/>
      <c r="N319" s="255"/>
      <c r="O319" s="255"/>
      <c r="P319" s="255"/>
    </row>
    <row r="320" spans="1:16" s="16" customFormat="1" ht="18" customHeight="1">
      <c r="A320" s="1"/>
      <c r="B320" s="156" t="s">
        <v>342</v>
      </c>
      <c r="C320" s="167">
        <f>C319</f>
        <v>16.36</v>
      </c>
      <c r="D320" s="77">
        <v>1</v>
      </c>
      <c r="E320" s="238">
        <v>6</v>
      </c>
      <c r="F320" s="235">
        <f>F319</f>
        <v>8.52</v>
      </c>
      <c r="G320" s="168">
        <f t="shared" si="54"/>
        <v>1.42</v>
      </c>
      <c r="H320" s="154">
        <f>ROUND(C320*G320,2)</f>
        <v>23.23</v>
      </c>
      <c r="I320" s="437" t="s">
        <v>224</v>
      </c>
      <c r="J320" s="255"/>
      <c r="K320" s="170"/>
      <c r="L320" s="170"/>
      <c r="M320" s="170"/>
      <c r="N320" s="170"/>
      <c r="O320" s="170"/>
      <c r="P320" s="170"/>
    </row>
    <row r="321" spans="1:16" s="16" customFormat="1" ht="18" customHeight="1">
      <c r="A321" s="1"/>
      <c r="B321" s="156" t="s">
        <v>225</v>
      </c>
      <c r="C321" s="167">
        <f>C334*D334+C324*D324+C327*D327</f>
        <v>0.64799999999999991</v>
      </c>
      <c r="D321" s="77">
        <v>1</v>
      </c>
      <c r="E321" s="238">
        <f>10</f>
        <v>10</v>
      </c>
      <c r="F321" s="235">
        <f>F317</f>
        <v>8.52</v>
      </c>
      <c r="G321" s="168">
        <f t="shared" si="54"/>
        <v>0.85199999999999998</v>
      </c>
      <c r="H321" s="154">
        <f>ROUND(C321*G321,2)</f>
        <v>0.55000000000000004</v>
      </c>
      <c r="I321" s="437" t="s">
        <v>226</v>
      </c>
      <c r="J321" s="255"/>
      <c r="K321" s="170"/>
      <c r="L321" s="170"/>
      <c r="M321" s="170"/>
      <c r="N321" s="170"/>
      <c r="O321" s="170"/>
      <c r="P321" s="170"/>
    </row>
    <row r="322" spans="1:16" s="16" customFormat="1" ht="18" customHeight="1">
      <c r="A322" s="1"/>
      <c r="B322" s="150" t="s">
        <v>227</v>
      </c>
      <c r="C322" s="165"/>
      <c r="D322" s="50"/>
      <c r="E322" s="50"/>
      <c r="F322" s="50"/>
      <c r="G322" s="166" t="s">
        <v>396</v>
      </c>
      <c r="H322" s="155">
        <f>SUM(H315:H321)</f>
        <v>148.1</v>
      </c>
      <c r="I322" s="152"/>
      <c r="J322" s="244" t="s">
        <v>399</v>
      </c>
      <c r="K322" s="245" t="s">
        <v>379</v>
      </c>
      <c r="L322" s="170"/>
      <c r="M322" s="170"/>
      <c r="N322" s="170"/>
      <c r="O322" s="170"/>
      <c r="P322" s="170"/>
    </row>
    <row r="323" spans="1:16" s="16" customFormat="1" ht="18" customHeight="1">
      <c r="A323" s="1"/>
      <c r="B323" s="156" t="s">
        <v>356</v>
      </c>
      <c r="C323" s="167">
        <f>C31</f>
        <v>0</v>
      </c>
      <c r="D323" s="239">
        <v>1</v>
      </c>
      <c r="E323" s="148"/>
      <c r="F323" s="148"/>
      <c r="G323" s="236">
        <f>0.45+0.85</f>
        <v>1.3</v>
      </c>
      <c r="H323" s="154">
        <f>ROUND(C323*D323*G323,2)</f>
        <v>0</v>
      </c>
      <c r="I323" s="437" t="s">
        <v>345</v>
      </c>
      <c r="J323" s="244">
        <v>1.76</v>
      </c>
      <c r="K323" s="245" t="s">
        <v>400</v>
      </c>
      <c r="L323" s="170"/>
      <c r="M323" s="171"/>
      <c r="N323" s="170"/>
      <c r="O323" s="170"/>
      <c r="P323" s="170"/>
    </row>
    <row r="324" spans="1:16" s="16" customFormat="1" ht="18" customHeight="1">
      <c r="A324" s="1"/>
      <c r="B324" s="156" t="s">
        <v>347</v>
      </c>
      <c r="C324" s="167">
        <f>C323</f>
        <v>0</v>
      </c>
      <c r="D324" s="239">
        <v>1</v>
      </c>
      <c r="E324" s="148"/>
      <c r="F324" s="148"/>
      <c r="G324" s="236">
        <v>6.89</v>
      </c>
      <c r="H324" s="154">
        <f t="shared" ref="H324:H329" si="55">ROUND(C324*D324*G324,2)</f>
        <v>0</v>
      </c>
      <c r="I324" s="437" t="s">
        <v>346</v>
      </c>
      <c r="J324" s="244">
        <v>12.25</v>
      </c>
      <c r="K324" s="245" t="s">
        <v>376</v>
      </c>
      <c r="L324" s="170"/>
      <c r="M324" s="171"/>
      <c r="N324" s="170"/>
      <c r="O324" s="170"/>
      <c r="P324" s="170"/>
    </row>
    <row r="325" spans="1:16" s="16" customFormat="1" ht="18" customHeight="1">
      <c r="A325" s="1"/>
      <c r="B325" s="156" t="s">
        <v>357</v>
      </c>
      <c r="C325" s="167">
        <f>C38</f>
        <v>0</v>
      </c>
      <c r="D325" s="239">
        <v>1</v>
      </c>
      <c r="E325" s="148"/>
      <c r="F325" s="148"/>
      <c r="G325" s="236">
        <f>0.85+0.61</f>
        <v>1.46</v>
      </c>
      <c r="H325" s="154">
        <f t="shared" si="55"/>
        <v>0</v>
      </c>
      <c r="I325" s="437" t="s">
        <v>354</v>
      </c>
      <c r="J325" s="244">
        <v>1.76</v>
      </c>
      <c r="K325" s="245" t="s">
        <v>378</v>
      </c>
      <c r="L325" s="170"/>
      <c r="M325" s="171"/>
      <c r="N325" s="170"/>
      <c r="O325" s="170"/>
      <c r="P325" s="170"/>
    </row>
    <row r="326" spans="1:16" s="16" customFormat="1" ht="18" customHeight="1">
      <c r="A326" s="1"/>
      <c r="B326" s="156" t="s">
        <v>355</v>
      </c>
      <c r="C326" s="167">
        <f>C325</f>
        <v>0</v>
      </c>
      <c r="D326" s="239">
        <v>1</v>
      </c>
      <c r="E326" s="148"/>
      <c r="F326" s="148"/>
      <c r="G326" s="236">
        <v>3.27</v>
      </c>
      <c r="H326" s="154">
        <f>ROUND(C326*D326*G326,2)</f>
        <v>0</v>
      </c>
      <c r="I326" s="437" t="s">
        <v>358</v>
      </c>
      <c r="J326" s="244">
        <v>3.27</v>
      </c>
      <c r="K326" s="245" t="s">
        <v>358</v>
      </c>
      <c r="L326" s="170"/>
      <c r="M326" s="171"/>
      <c r="N326" s="170"/>
      <c r="O326" s="170"/>
      <c r="P326" s="170"/>
    </row>
    <row r="327" spans="1:16" s="16" customFormat="1" ht="18" customHeight="1">
      <c r="A327" s="1"/>
      <c r="B327" s="156" t="s">
        <v>228</v>
      </c>
      <c r="C327" s="167">
        <f>C126</f>
        <v>0</v>
      </c>
      <c r="D327" s="239">
        <v>1</v>
      </c>
      <c r="E327" s="110"/>
      <c r="F327" s="148"/>
      <c r="G327" s="236">
        <v>6.89</v>
      </c>
      <c r="H327" s="154">
        <f t="shared" si="55"/>
        <v>0</v>
      </c>
      <c r="I327" s="437" t="s">
        <v>346</v>
      </c>
      <c r="J327" s="244">
        <v>12.25</v>
      </c>
      <c r="K327" s="245" t="s">
        <v>346</v>
      </c>
      <c r="L327" s="170"/>
      <c r="M327" s="171"/>
      <c r="N327" s="170"/>
      <c r="O327" s="170"/>
      <c r="P327" s="170"/>
    </row>
    <row r="328" spans="1:16" s="16" customFormat="1" ht="18" customHeight="1">
      <c r="A328" s="1"/>
      <c r="B328" s="156" t="s">
        <v>229</v>
      </c>
      <c r="C328" s="167">
        <f>C327</f>
        <v>0</v>
      </c>
      <c r="D328" s="239">
        <v>1</v>
      </c>
      <c r="E328" s="110"/>
      <c r="F328" s="148"/>
      <c r="G328" s="236">
        <f>G3233</f>
        <v>0</v>
      </c>
      <c r="H328" s="154">
        <f t="shared" si="55"/>
        <v>0</v>
      </c>
      <c r="I328" s="437" t="s">
        <v>345</v>
      </c>
      <c r="J328" s="244">
        <v>0</v>
      </c>
      <c r="K328" s="245" t="s">
        <v>400</v>
      </c>
      <c r="L328" s="170"/>
      <c r="M328" s="171"/>
      <c r="N328" s="170"/>
      <c r="O328" s="170"/>
      <c r="P328" s="170"/>
    </row>
    <row r="329" spans="1:16" s="16" customFormat="1" ht="18" customHeight="1">
      <c r="A329" s="1"/>
      <c r="B329" s="156" t="s">
        <v>230</v>
      </c>
      <c r="C329" s="167">
        <f>C119</f>
        <v>12.404</v>
      </c>
      <c r="D329" s="239">
        <v>1</v>
      </c>
      <c r="E329" s="148"/>
      <c r="F329" s="148"/>
      <c r="G329" s="236">
        <f>G3253</f>
        <v>0</v>
      </c>
      <c r="H329" s="154">
        <f t="shared" si="55"/>
        <v>0</v>
      </c>
      <c r="I329" s="437" t="s">
        <v>354</v>
      </c>
      <c r="J329" s="244">
        <v>0</v>
      </c>
      <c r="K329" s="245" t="s">
        <v>378</v>
      </c>
      <c r="L329" s="170"/>
      <c r="M329" s="171"/>
      <c r="N329" s="170"/>
      <c r="O329" s="170"/>
      <c r="P329" s="170"/>
    </row>
    <row r="330" spans="1:16" s="16" customFormat="1" ht="18" customHeight="1">
      <c r="A330" s="1"/>
      <c r="B330" s="156" t="s">
        <v>362</v>
      </c>
      <c r="C330" s="167">
        <f>C329</f>
        <v>12.404</v>
      </c>
      <c r="D330" s="239">
        <v>1</v>
      </c>
      <c r="E330" s="148"/>
      <c r="F330" s="148"/>
      <c r="G330" s="236">
        <v>3.27</v>
      </c>
      <c r="H330" s="154">
        <f>ROUND(C330*D330*G330,2)</f>
        <v>40.56</v>
      </c>
      <c r="I330" s="437" t="s">
        <v>358</v>
      </c>
      <c r="J330" s="244">
        <v>3.27</v>
      </c>
      <c r="K330" s="245" t="s">
        <v>358</v>
      </c>
      <c r="L330" s="170"/>
      <c r="M330" s="171"/>
      <c r="N330" s="170"/>
      <c r="O330" s="170"/>
      <c r="P330" s="170"/>
    </row>
    <row r="331" spans="1:16" s="16" customFormat="1" ht="18" customHeight="1">
      <c r="A331" s="1"/>
      <c r="B331" s="156" t="s">
        <v>343</v>
      </c>
      <c r="C331" s="167">
        <f>C319</f>
        <v>16.36</v>
      </c>
      <c r="D331" s="239">
        <v>1</v>
      </c>
      <c r="E331" s="148"/>
      <c r="F331" s="148"/>
      <c r="G331" s="236">
        <v>1.25</v>
      </c>
      <c r="H331" s="154">
        <f>C331*D331*G331</f>
        <v>20.45</v>
      </c>
      <c r="I331" s="437" t="s">
        <v>344</v>
      </c>
      <c r="J331" s="244">
        <v>1.25</v>
      </c>
      <c r="K331" s="245" t="s">
        <v>344</v>
      </c>
      <c r="L331" s="170"/>
      <c r="M331" s="171"/>
      <c r="N331" s="170"/>
      <c r="O331" s="170"/>
      <c r="P331" s="170"/>
    </row>
    <row r="332" spans="1:16" s="16" customFormat="1" ht="18" customHeight="1">
      <c r="A332" s="1"/>
      <c r="B332" s="156" t="s">
        <v>350</v>
      </c>
      <c r="C332" s="167" cm="1">
        <f t="array" ref="C332">SUMPRODUCT(D26:D30*G26:G30)/1000</f>
        <v>0</v>
      </c>
      <c r="D332" s="239">
        <v>1</v>
      </c>
      <c r="E332" s="148"/>
      <c r="F332" s="148"/>
      <c r="G332" s="236">
        <v>0.41</v>
      </c>
      <c r="H332" s="154">
        <f>C332*D332*G332</f>
        <v>0</v>
      </c>
      <c r="I332" s="437" t="s">
        <v>348</v>
      </c>
      <c r="J332" s="244">
        <v>0.41</v>
      </c>
      <c r="K332" s="245" t="s">
        <v>348</v>
      </c>
      <c r="L332" s="170"/>
      <c r="M332" s="171"/>
      <c r="N332" s="170"/>
      <c r="O332" s="170"/>
      <c r="P332" s="170"/>
    </row>
    <row r="333" spans="1:16" s="16" customFormat="1" ht="18" customHeight="1">
      <c r="A333" s="1"/>
      <c r="B333" s="156" t="s">
        <v>349</v>
      </c>
      <c r="C333" s="167">
        <f>C88+C97+C104+C153+C163+C146</f>
        <v>16.364000000000001</v>
      </c>
      <c r="D333" s="239">
        <v>1</v>
      </c>
      <c r="E333" s="148"/>
      <c r="F333" s="148"/>
      <c r="G333" s="236">
        <v>0.49</v>
      </c>
      <c r="H333" s="154">
        <f>C333*D333*G333</f>
        <v>8.0183599999999995</v>
      </c>
      <c r="I333" s="437" t="s">
        <v>351</v>
      </c>
      <c r="J333" s="244">
        <v>0.49</v>
      </c>
      <c r="K333" s="245" t="s">
        <v>351</v>
      </c>
      <c r="L333" s="170"/>
      <c r="M333" s="171"/>
      <c r="N333" s="170"/>
      <c r="O333" s="170"/>
      <c r="P333" s="170"/>
    </row>
    <row r="334" spans="1:16" s="16" customFormat="1" ht="18" customHeight="1">
      <c r="A334" s="1"/>
      <c r="B334" s="156" t="s">
        <v>353</v>
      </c>
      <c r="C334" s="167">
        <f t="array" ref="C334">SUMPRODUCT(D157:D162*G157:G162)/1000+SUM(G157:G162)*0.3+SUMPRODUCT(D68:D87*G68:G87)/1000+SUM(G68:G87)*0.3</f>
        <v>0.64799999999999991</v>
      </c>
      <c r="D334" s="239">
        <v>1</v>
      </c>
      <c r="E334" s="148"/>
      <c r="F334" s="148"/>
      <c r="G334" s="237">
        <v>5.36</v>
      </c>
      <c r="H334" s="154">
        <f>C334*G334</f>
        <v>3.4732799999999999</v>
      </c>
      <c r="I334" s="437" t="s">
        <v>352</v>
      </c>
      <c r="J334" s="244">
        <v>9.5500000000000007</v>
      </c>
      <c r="K334" s="245" t="s">
        <v>377</v>
      </c>
      <c r="L334" s="170"/>
      <c r="M334" s="171"/>
      <c r="N334" s="170"/>
      <c r="O334" s="170"/>
      <c r="P334" s="170"/>
    </row>
    <row r="335" spans="1:16" s="16" customFormat="1" ht="18" customHeight="1">
      <c r="A335" s="1"/>
      <c r="B335" s="156" t="s">
        <v>364</v>
      </c>
      <c r="C335" s="167">
        <f>C319</f>
        <v>16.36</v>
      </c>
      <c r="D335" s="239">
        <v>1</v>
      </c>
      <c r="E335" s="148"/>
      <c r="F335" s="148"/>
      <c r="G335" s="237">
        <v>1.25</v>
      </c>
      <c r="H335" s="154"/>
      <c r="I335" s="149" t="s">
        <v>363</v>
      </c>
      <c r="J335" s="244">
        <v>1.25</v>
      </c>
      <c r="K335" s="245" t="s">
        <v>363</v>
      </c>
      <c r="L335" s="170"/>
      <c r="M335" s="171"/>
      <c r="N335" s="170"/>
      <c r="O335" s="170"/>
      <c r="P335" s="170"/>
    </row>
    <row r="336" spans="1:16" s="16" customFormat="1" ht="18" customHeight="1">
      <c r="A336" s="1"/>
      <c r="B336" s="156" t="s">
        <v>365</v>
      </c>
      <c r="C336" s="167">
        <f>C320</f>
        <v>16.36</v>
      </c>
      <c r="D336" s="239">
        <v>1</v>
      </c>
      <c r="E336" s="148"/>
      <c r="F336" s="148"/>
      <c r="G336" s="237">
        <v>1.63</v>
      </c>
      <c r="H336" s="154"/>
      <c r="I336" s="149" t="s">
        <v>363</v>
      </c>
      <c r="J336" s="244">
        <v>1.63</v>
      </c>
      <c r="K336" s="245" t="s">
        <v>363</v>
      </c>
      <c r="L336" s="170"/>
      <c r="M336" s="171"/>
      <c r="N336" s="170"/>
      <c r="O336" s="170"/>
      <c r="P336" s="170"/>
    </row>
    <row r="337" spans="1:16" s="16" customFormat="1" ht="18" customHeight="1">
      <c r="A337" s="1"/>
      <c r="B337" s="150" t="s">
        <v>231</v>
      </c>
      <c r="C337" s="165"/>
      <c r="D337" s="50"/>
      <c r="E337" s="50"/>
      <c r="F337" s="50"/>
      <c r="G337" s="166"/>
      <c r="H337" s="155">
        <f>SUM(H323:H336)*1.05</f>
        <v>76.126722000000015</v>
      </c>
      <c r="I337" s="152"/>
      <c r="J337" s="172"/>
      <c r="K337" s="170"/>
      <c r="L337" s="170"/>
      <c r="M337" s="170"/>
      <c r="N337" s="170"/>
      <c r="O337" s="170"/>
      <c r="P337" s="170"/>
    </row>
    <row r="338" spans="1:16" s="16" customFormat="1" ht="18" customHeight="1">
      <c r="A338" s="1"/>
      <c r="B338" s="173" t="s">
        <v>366</v>
      </c>
      <c r="C338" s="174">
        <f>F250+F258+F265+F280+F285+F290</f>
        <v>1</v>
      </c>
      <c r="D338" s="175">
        <v>2</v>
      </c>
      <c r="E338" s="176"/>
      <c r="F338" s="176"/>
      <c r="G338" s="240">
        <v>0.5</v>
      </c>
      <c r="H338" s="177">
        <f t="shared" ref="H338:H343" si="56">D338*G338*C338</f>
        <v>1</v>
      </c>
      <c r="I338" s="178" t="s">
        <v>233</v>
      </c>
      <c r="J338" s="172"/>
      <c r="K338" s="170"/>
      <c r="L338" s="170"/>
      <c r="M338" s="170"/>
      <c r="N338" s="170"/>
      <c r="O338" s="170"/>
      <c r="P338" s="170"/>
    </row>
    <row r="339" spans="1:16" s="16" customFormat="1" ht="18" customHeight="1">
      <c r="A339" s="1"/>
      <c r="B339" s="173" t="s">
        <v>367</v>
      </c>
      <c r="C339" s="174">
        <f>F233+F242+F269+F273</f>
        <v>2</v>
      </c>
      <c r="D339" s="175">
        <v>4</v>
      </c>
      <c r="E339" s="176"/>
      <c r="F339" s="176"/>
      <c r="G339" s="240">
        <v>0.63</v>
      </c>
      <c r="H339" s="177">
        <f t="shared" si="56"/>
        <v>5.04</v>
      </c>
      <c r="I339" s="178" t="s">
        <v>234</v>
      </c>
      <c r="J339" s="172"/>
      <c r="K339" s="170"/>
      <c r="L339" s="170"/>
      <c r="M339" s="170"/>
      <c r="N339" s="170"/>
      <c r="O339" s="170"/>
      <c r="P339" s="170"/>
    </row>
    <row r="340" spans="1:16" s="16" customFormat="1" ht="18" customHeight="1">
      <c r="A340" s="1"/>
      <c r="B340" s="173" t="s">
        <v>366</v>
      </c>
      <c r="C340" s="174">
        <f>SUM(G157:G162)</f>
        <v>0</v>
      </c>
      <c r="D340" s="175">
        <f>IF(E113&gt;2200,2,0)</f>
        <v>0</v>
      </c>
      <c r="E340" s="176"/>
      <c r="F340" s="176"/>
      <c r="G340" s="240">
        <v>0.5</v>
      </c>
      <c r="H340" s="177">
        <f t="shared" si="56"/>
        <v>0</v>
      </c>
      <c r="I340" s="178" t="s">
        <v>235</v>
      </c>
      <c r="J340" s="172"/>
      <c r="K340" s="170"/>
      <c r="L340" s="170"/>
      <c r="M340" s="170"/>
      <c r="N340" s="170"/>
      <c r="O340" s="170"/>
      <c r="P340" s="170"/>
    </row>
    <row r="341" spans="1:16" s="16" customFormat="1" ht="18" customHeight="1">
      <c r="A341" s="1"/>
      <c r="B341" s="173" t="s">
        <v>367</v>
      </c>
      <c r="C341" s="174">
        <f>SUM(G116:G118)</f>
        <v>2</v>
      </c>
      <c r="D341" s="175">
        <v>4</v>
      </c>
      <c r="E341" s="176"/>
      <c r="F341" s="176"/>
      <c r="G341" s="240">
        <v>0.63</v>
      </c>
      <c r="H341" s="177">
        <f t="shared" si="56"/>
        <v>5.04</v>
      </c>
      <c r="I341" s="178" t="s">
        <v>236</v>
      </c>
      <c r="J341" s="172"/>
      <c r="K341" s="170"/>
      <c r="L341" s="170"/>
      <c r="M341" s="170"/>
      <c r="N341" s="170"/>
      <c r="O341" s="170"/>
      <c r="P341" s="170"/>
    </row>
    <row r="342" spans="1:16" ht="18" customHeight="1">
      <c r="B342" s="173" t="s">
        <v>237</v>
      </c>
      <c r="C342" s="174">
        <v>1</v>
      </c>
      <c r="D342" s="175">
        <f>(F291+F292)*10</f>
        <v>30</v>
      </c>
      <c r="E342" s="176"/>
      <c r="F342" s="176"/>
      <c r="G342" s="240">
        <v>0.37</v>
      </c>
      <c r="H342" s="177">
        <f t="shared" si="56"/>
        <v>11.1</v>
      </c>
      <c r="I342" s="178"/>
      <c r="J342" s="172"/>
      <c r="K342" s="172"/>
      <c r="L342" s="172"/>
      <c r="N342" s="43"/>
    </row>
    <row r="343" spans="1:16" ht="18" customHeight="1">
      <c r="B343" s="173" t="s">
        <v>232</v>
      </c>
      <c r="C343" s="174">
        <f>C338</f>
        <v>1</v>
      </c>
      <c r="D343" s="175">
        <v>0</v>
      </c>
      <c r="E343" s="176"/>
      <c r="F343" s="176"/>
      <c r="G343" s="240">
        <v>0.49</v>
      </c>
      <c r="H343" s="177">
        <f t="shared" si="56"/>
        <v>0</v>
      </c>
      <c r="I343" s="178" t="s">
        <v>238</v>
      </c>
      <c r="J343" s="172"/>
      <c r="K343" s="172"/>
      <c r="L343" s="172"/>
      <c r="N343" s="43"/>
    </row>
    <row r="344" spans="1:16" ht="18" customHeight="1">
      <c r="B344" s="156" t="s">
        <v>239</v>
      </c>
      <c r="C344" s="157"/>
      <c r="D344" s="440">
        <f>E203+E205*2+E207*2+I203+I205*2+I207*2</f>
        <v>24</v>
      </c>
      <c r="E344" s="148"/>
      <c r="F344" s="148"/>
      <c r="G344" s="148">
        <v>0.2</v>
      </c>
      <c r="H344" s="179">
        <f>D344*G344</f>
        <v>4.8000000000000007</v>
      </c>
      <c r="I344" s="437" t="s">
        <v>368</v>
      </c>
      <c r="J344" s="172"/>
      <c r="K344" s="172"/>
      <c r="L344" s="172"/>
    </row>
    <row r="345" spans="1:16" ht="18" customHeight="1">
      <c r="B345" s="156" t="s">
        <v>240</v>
      </c>
      <c r="C345" s="157"/>
      <c r="D345" s="440">
        <f>4*(E52+E53+E54+E55+G52+G53+G54+G55+G60+G61+G62+G63+E130+E131+E132+G130+G131+G132+G137+G138)</f>
        <v>4</v>
      </c>
      <c r="E345" s="148"/>
      <c r="F345" s="148"/>
      <c r="G345" s="148">
        <v>0.22</v>
      </c>
      <c r="H345" s="179">
        <f>D345*G345</f>
        <v>0.88</v>
      </c>
      <c r="I345" s="437" t="s">
        <v>241</v>
      </c>
      <c r="J345" s="172"/>
      <c r="K345" s="172"/>
      <c r="L345" s="172"/>
    </row>
    <row r="346" spans="1:16" ht="18" customHeight="1">
      <c r="B346" s="156" t="s">
        <v>242</v>
      </c>
      <c r="C346" s="157"/>
      <c r="D346" s="440">
        <f>D345/2</f>
        <v>2</v>
      </c>
      <c r="E346" s="148"/>
      <c r="F346" s="148"/>
      <c r="G346" s="148">
        <v>0.22</v>
      </c>
      <c r="H346" s="179">
        <f>ROUND(D346*G346,2)</f>
        <v>0.44</v>
      </c>
      <c r="I346" s="437" t="s">
        <v>243</v>
      </c>
      <c r="J346" s="172"/>
      <c r="K346" s="172"/>
      <c r="L346" s="172"/>
    </row>
    <row r="347" spans="1:16" ht="18" customHeight="1">
      <c r="B347" s="156" t="s">
        <v>369</v>
      </c>
      <c r="C347" s="157"/>
      <c r="D347" s="440">
        <f>D346</f>
        <v>2</v>
      </c>
      <c r="E347" s="148"/>
      <c r="F347" s="148"/>
      <c r="G347" s="148">
        <v>1.37</v>
      </c>
      <c r="H347" s="179">
        <f>ROUND(D347*G347,2)</f>
        <v>2.74</v>
      </c>
      <c r="I347" s="437" t="s">
        <v>370</v>
      </c>
      <c r="J347" s="172"/>
      <c r="K347" s="172"/>
      <c r="L347" s="172"/>
    </row>
    <row r="348" spans="1:16" ht="18" customHeight="1">
      <c r="B348" s="156" t="s">
        <v>244</v>
      </c>
      <c r="C348" s="157"/>
      <c r="D348" s="440">
        <f>(F291+F292)*2</f>
        <v>6</v>
      </c>
      <c r="E348" s="148"/>
      <c r="F348" s="148"/>
      <c r="G348" s="148">
        <v>0.48</v>
      </c>
      <c r="H348" s="179">
        <f>ROUND(D348*G348,2)</f>
        <v>2.88</v>
      </c>
      <c r="I348" s="437" t="s">
        <v>245</v>
      </c>
      <c r="J348" s="255"/>
    </row>
    <row r="349" spans="1:16" ht="18" customHeight="1">
      <c r="B349" s="156" t="s">
        <v>246</v>
      </c>
      <c r="C349" s="157"/>
      <c r="D349" s="440">
        <f>ROUND((D4+E4-240)*2/200+E217*F217/200,0)</f>
        <v>56</v>
      </c>
      <c r="E349" s="148"/>
      <c r="F349" s="148"/>
      <c r="G349" s="148">
        <v>0.05</v>
      </c>
      <c r="H349" s="179">
        <f>ROUND(D349*G349,2)</f>
        <v>2.8</v>
      </c>
      <c r="I349" s="437" t="s">
        <v>247</v>
      </c>
      <c r="J349" s="255"/>
    </row>
    <row r="350" spans="1:16" ht="18" customHeight="1">
      <c r="B350" s="150" t="s">
        <v>248</v>
      </c>
      <c r="C350" s="165"/>
      <c r="D350" s="50"/>
      <c r="E350" s="50"/>
      <c r="F350" s="50"/>
      <c r="G350" s="166"/>
      <c r="H350" s="155">
        <f>SUM(H338:H349)</f>
        <v>36.72</v>
      </c>
      <c r="I350" s="152"/>
    </row>
    <row r="351" spans="1:16" ht="18" customHeight="1">
      <c r="B351" s="156" t="s">
        <v>359</v>
      </c>
      <c r="C351" s="157"/>
      <c r="D351" s="440">
        <f>SUMPRODUCT(G26:G30)*8+SUMPRODUCT(G35:G37)*8+SUMPRODUCT(G116:G118)*8+SUMPRODUCT(G123:G125)*8</f>
        <v>16</v>
      </c>
      <c r="E351" s="148"/>
      <c r="F351" s="148"/>
      <c r="G351" s="148">
        <v>1.26</v>
      </c>
      <c r="H351" s="154">
        <f>ROUND(D351*G351,2)</f>
        <v>20.16</v>
      </c>
      <c r="I351" s="437" t="s">
        <v>386</v>
      </c>
    </row>
    <row r="352" spans="1:16" ht="18" customHeight="1">
      <c r="B352" s="156" t="s">
        <v>360</v>
      </c>
      <c r="C352" s="157"/>
      <c r="D352" s="440">
        <f>G26*4+G27*4+G28*4+G29*4+G30*4</f>
        <v>0</v>
      </c>
      <c r="E352" s="148"/>
      <c r="F352" s="148"/>
      <c r="G352" s="148">
        <v>2</v>
      </c>
      <c r="H352" s="154">
        <f>ROUND(D352*G352,2)</f>
        <v>0</v>
      </c>
      <c r="I352" s="437" t="s">
        <v>361</v>
      </c>
    </row>
    <row r="353" spans="1:22" ht="18" customHeight="1">
      <c r="B353" s="156" t="s">
        <v>249</v>
      </c>
      <c r="C353" s="157"/>
      <c r="D353" s="440"/>
      <c r="E353" s="148"/>
      <c r="F353" s="148"/>
      <c r="G353" s="148">
        <v>1.6</v>
      </c>
      <c r="H353" s="154"/>
      <c r="I353" s="437"/>
    </row>
    <row r="354" spans="1:22" ht="18" customHeight="1">
      <c r="B354" s="156" t="s">
        <v>250</v>
      </c>
      <c r="C354" s="157"/>
      <c r="D354" s="44">
        <f>C22+C31+C38+C48+C56+C64+C112+C119+C126+C133+C139+C199</f>
        <v>28.366000000000003</v>
      </c>
      <c r="E354" s="148"/>
      <c r="F354" s="148"/>
      <c r="G354" s="179">
        <v>4</v>
      </c>
      <c r="H354" s="154">
        <f t="shared" ref="H354:H356" si="57">ROUND(D354*G354,2)</f>
        <v>113.46</v>
      </c>
      <c r="I354" s="437"/>
    </row>
    <row r="355" spans="1:22" ht="18" customHeight="1">
      <c r="B355" s="156" t="s">
        <v>251</v>
      </c>
      <c r="C355" s="157" t="s">
        <v>252</v>
      </c>
      <c r="D355" s="44">
        <f>C88+C163</f>
        <v>5.1920000000000002</v>
      </c>
      <c r="E355" s="148"/>
      <c r="F355" s="148"/>
      <c r="G355" s="179">
        <v>3.15</v>
      </c>
      <c r="H355" s="154">
        <f t="shared" si="57"/>
        <v>16.350000000000001</v>
      </c>
      <c r="I355" s="437"/>
    </row>
    <row r="356" spans="1:22" ht="18" customHeight="1">
      <c r="B356" s="156" t="s">
        <v>253</v>
      </c>
      <c r="C356" s="157" t="s">
        <v>254</v>
      </c>
      <c r="D356" s="44">
        <f>C97+C104+C146+C153</f>
        <v>11.172000000000001</v>
      </c>
      <c r="E356" s="148"/>
      <c r="F356" s="148"/>
      <c r="G356" s="179">
        <v>3.65</v>
      </c>
      <c r="H356" s="154">
        <f t="shared" si="57"/>
        <v>40.78</v>
      </c>
      <c r="I356" s="437"/>
    </row>
    <row r="357" spans="1:22" ht="18" customHeight="1">
      <c r="B357" s="156" t="s">
        <v>387</v>
      </c>
      <c r="C357" s="157"/>
      <c r="D357" s="44">
        <f>F291+F292</f>
        <v>3</v>
      </c>
      <c r="E357" s="148"/>
      <c r="F357" s="148"/>
      <c r="G357" s="179">
        <v>6</v>
      </c>
      <c r="H357" s="154"/>
      <c r="I357" s="437"/>
    </row>
    <row r="358" spans="1:22" ht="18" customHeight="1">
      <c r="B358" s="156" t="s">
        <v>255</v>
      </c>
      <c r="C358" s="157"/>
      <c r="D358" s="180"/>
      <c r="E358" s="148"/>
      <c r="F358" s="148"/>
      <c r="G358" s="148">
        <v>70</v>
      </c>
      <c r="H358" s="154">
        <f>D358*G358</f>
        <v>0</v>
      </c>
      <c r="I358" s="437"/>
    </row>
    <row r="359" spans="1:22" ht="18" customHeight="1">
      <c r="B359" s="156" t="s">
        <v>858</v>
      </c>
      <c r="C359" s="157"/>
      <c r="D359" s="180">
        <f>(D4*2+E4*2)/1000</f>
        <v>9.4</v>
      </c>
      <c r="E359" s="148"/>
      <c r="F359" s="148"/>
      <c r="G359" s="148">
        <v>180</v>
      </c>
      <c r="H359" s="154">
        <f>D359*G359</f>
        <v>1692</v>
      </c>
      <c r="I359" s="437"/>
    </row>
    <row r="360" spans="1:22" ht="18" customHeight="1">
      <c r="B360" s="156" t="s">
        <v>388</v>
      </c>
      <c r="C360" s="157"/>
      <c r="D360" s="440">
        <v>1</v>
      </c>
      <c r="E360" s="148"/>
      <c r="F360" s="148"/>
      <c r="G360" s="148">
        <v>9.6</v>
      </c>
      <c r="H360" s="154">
        <f>ROUND(D360*G360,2)</f>
        <v>9.6</v>
      </c>
      <c r="I360" s="437"/>
    </row>
    <row r="361" spans="1:22" ht="18" customHeight="1">
      <c r="B361" s="156" t="s">
        <v>901</v>
      </c>
      <c r="C361" s="157"/>
      <c r="D361" s="463">
        <f>(D4+E4)*2/1000</f>
        <v>9.4</v>
      </c>
      <c r="E361" s="148"/>
      <c r="F361" s="148"/>
      <c r="G361" s="148">
        <v>45</v>
      </c>
      <c r="H361" s="154">
        <f>ROUND(D361*G361,2)</f>
        <v>423</v>
      </c>
      <c r="I361" s="468"/>
    </row>
    <row r="362" spans="1:22" ht="18" customHeight="1">
      <c r="B362" s="181" t="s">
        <v>398</v>
      </c>
      <c r="C362" s="157"/>
      <c r="D362" s="182">
        <f>F366</f>
        <v>5.1959</v>
      </c>
      <c r="E362" s="148"/>
      <c r="F362" s="148"/>
      <c r="G362" s="148">
        <v>3</v>
      </c>
      <c r="H362" s="154">
        <f>D362*G362</f>
        <v>15.5877</v>
      </c>
      <c r="I362" s="437"/>
    </row>
    <row r="363" spans="1:22" ht="18" customHeight="1">
      <c r="B363" s="150" t="s">
        <v>256</v>
      </c>
      <c r="C363" s="50"/>
      <c r="D363" s="50"/>
      <c r="E363" s="50"/>
      <c r="F363" s="50"/>
      <c r="G363" s="166"/>
      <c r="H363" s="155">
        <f>SUM(H351:H362)</f>
        <v>2330.9376999999999</v>
      </c>
      <c r="I363" s="183"/>
    </row>
    <row r="364" spans="1:22" ht="18" customHeight="1">
      <c r="B364" s="438" t="s">
        <v>257</v>
      </c>
      <c r="C364" s="185"/>
      <c r="D364" s="186"/>
      <c r="E364" s="185"/>
      <c r="F364" s="186"/>
      <c r="G364" s="186"/>
      <c r="H364" s="187">
        <f>SUM(H363,H350,H337,H322,H314,H308,H304)</f>
        <v>3036.6644219999998</v>
      </c>
      <c r="I364" s="188"/>
    </row>
    <row r="365" spans="1:22" ht="18" customHeight="1">
      <c r="A365" s="189"/>
      <c r="B365" s="190" t="s">
        <v>258</v>
      </c>
      <c r="C365" s="10" t="s">
        <v>14</v>
      </c>
      <c r="D365" s="10" t="s">
        <v>16</v>
      </c>
      <c r="E365" s="10" t="s">
        <v>17</v>
      </c>
      <c r="F365" s="10" t="s">
        <v>7</v>
      </c>
      <c r="G365" s="10" t="s">
        <v>5</v>
      </c>
      <c r="H365" s="10" t="s">
        <v>18</v>
      </c>
      <c r="I365" s="191" t="s">
        <v>259</v>
      </c>
      <c r="L365" s="192"/>
      <c r="M365" s="192"/>
    </row>
    <row r="366" spans="1:22" ht="18" customHeight="1">
      <c r="B366" s="48">
        <f>ROUND(I366/F366,2)</f>
        <v>1403.14</v>
      </c>
      <c r="C366" s="50" t="s">
        <v>299</v>
      </c>
      <c r="D366" s="50">
        <f>D5</f>
        <v>2230</v>
      </c>
      <c r="E366" s="50">
        <f>E5</f>
        <v>2330</v>
      </c>
      <c r="F366" s="49">
        <f>E366*D366/1000000</f>
        <v>5.1959</v>
      </c>
      <c r="G366" s="50">
        <f>G4</f>
        <v>1</v>
      </c>
      <c r="H366" s="49">
        <f>F366</f>
        <v>5.1959</v>
      </c>
      <c r="I366" s="193">
        <f>H364+H291+H292+I223+I12</f>
        <v>7290.5992140660001</v>
      </c>
      <c r="K366" s="192"/>
    </row>
    <row r="367" spans="1:22" ht="18" customHeight="1">
      <c r="B367" s="194" t="s">
        <v>258</v>
      </c>
      <c r="C367" s="195" t="s">
        <v>260</v>
      </c>
      <c r="D367" s="195" t="s">
        <v>261</v>
      </c>
      <c r="E367" s="195" t="s">
        <v>262</v>
      </c>
      <c r="F367" s="195" t="s">
        <v>263</v>
      </c>
      <c r="G367" s="195" t="s">
        <v>264</v>
      </c>
      <c r="H367" s="195" t="s">
        <v>265</v>
      </c>
      <c r="I367" s="196" t="s">
        <v>266</v>
      </c>
    </row>
    <row r="368" spans="1:22" ht="30" customHeight="1" thickBot="1">
      <c r="B368" s="197">
        <f>ROUND(I366/H366,2)</f>
        <v>1403.14</v>
      </c>
      <c r="C368" s="198">
        <f>E294+E296+E298+E300+E302+E303+E297+E299</f>
        <v>1</v>
      </c>
      <c r="D368" s="199"/>
      <c r="E368" s="199"/>
      <c r="F368" s="200"/>
      <c r="G368" s="200"/>
      <c r="H368" s="200"/>
      <c r="I368" s="201"/>
      <c r="O368" s="631" t="s">
        <v>603</v>
      </c>
      <c r="P368" s="631"/>
      <c r="Q368" s="631"/>
      <c r="R368" s="631"/>
      <c r="S368" s="631"/>
      <c r="T368" s="631"/>
      <c r="U368" s="631"/>
      <c r="V368" s="631"/>
    </row>
    <row r="369" spans="2:22" ht="20.100000000000001" customHeight="1">
      <c r="B369" s="42"/>
      <c r="L369" s="202"/>
      <c r="M369" s="202"/>
      <c r="N369" s="202"/>
      <c r="O369" s="634" t="s">
        <v>604</v>
      </c>
      <c r="P369" s="634"/>
      <c r="Q369" s="634"/>
      <c r="R369" s="634"/>
      <c r="S369" s="634"/>
      <c r="T369" s="634"/>
      <c r="U369" s="634"/>
      <c r="V369" s="634"/>
    </row>
    <row r="370" spans="2:22" ht="20.100000000000001" customHeight="1">
      <c r="B370" s="102" t="s">
        <v>862</v>
      </c>
      <c r="C370" s="203"/>
      <c r="D370" s="203" t="s">
        <v>267</v>
      </c>
      <c r="E370" s="203"/>
      <c r="J370" s="102"/>
      <c r="O370" s="285" t="s">
        <v>279</v>
      </c>
      <c r="P370" s="624" t="s">
        <v>629</v>
      </c>
      <c r="Q370" s="625"/>
      <c r="R370" s="312" t="str">
        <f ca="1">B4</f>
        <v>MLC2324A</v>
      </c>
      <c r="S370" s="312"/>
      <c r="T370" s="313"/>
      <c r="U370" s="287" t="s">
        <v>605</v>
      </c>
      <c r="V370" s="288"/>
    </row>
    <row r="371" spans="2:22" ht="24.95" customHeight="1">
      <c r="B371" s="102">
        <f>ROUND(I366/F6,2)</f>
        <v>1415.54</v>
      </c>
      <c r="C371" s="203">
        <f>U392</f>
        <v>1771.838013492609</v>
      </c>
      <c r="D371" s="203">
        <f>E304</f>
        <v>1</v>
      </c>
      <c r="E371" s="203"/>
      <c r="J371" s="102"/>
      <c r="O371" s="635" t="s">
        <v>606</v>
      </c>
      <c r="P371" s="623" t="s">
        <v>626</v>
      </c>
      <c r="Q371" s="623"/>
      <c r="R371" s="623"/>
      <c r="S371" s="623"/>
      <c r="T371" s="637"/>
      <c r="U371" s="291" t="s">
        <v>607</v>
      </c>
      <c r="V371" s="292" t="s">
        <v>313</v>
      </c>
    </row>
    <row r="372" spans="2:22" ht="24.95" customHeight="1">
      <c r="L372" s="102"/>
      <c r="M372" s="102"/>
      <c r="N372" s="102"/>
      <c r="O372" s="636"/>
      <c r="P372" s="638"/>
      <c r="Q372" s="638"/>
      <c r="R372" s="638"/>
      <c r="S372" s="638"/>
      <c r="T372" s="638"/>
      <c r="U372" s="291" t="s">
        <v>268</v>
      </c>
      <c r="V372" s="293">
        <f>F4</f>
        <v>5.52</v>
      </c>
    </row>
    <row r="373" spans="2:22" ht="24.95" customHeight="1">
      <c r="J373" s="102"/>
      <c r="K373" s="102"/>
      <c r="L373" s="102"/>
      <c r="M373" s="102"/>
      <c r="N373" s="102"/>
      <c r="O373" s="311" t="s">
        <v>0</v>
      </c>
      <c r="P373" s="289" t="s">
        <v>608</v>
      </c>
      <c r="Q373" s="289" t="s">
        <v>627</v>
      </c>
      <c r="R373" s="289" t="s">
        <v>269</v>
      </c>
      <c r="S373" s="294" t="s">
        <v>8</v>
      </c>
      <c r="T373" s="295" t="s">
        <v>609</v>
      </c>
      <c r="U373" s="296" t="s">
        <v>270</v>
      </c>
      <c r="V373" s="295" t="s">
        <v>610</v>
      </c>
    </row>
    <row r="374" spans="2:22" ht="20.100000000000001" customHeight="1">
      <c r="J374" s="102"/>
      <c r="K374" s="102"/>
      <c r="L374" s="102"/>
      <c r="M374" s="102"/>
      <c r="N374" s="102"/>
      <c r="O374" s="297" t="s">
        <v>305</v>
      </c>
      <c r="P374" s="298" t="s">
        <v>611</v>
      </c>
      <c r="Q374" s="298"/>
      <c r="R374" s="286"/>
      <c r="S374" s="299"/>
      <c r="T374" s="300"/>
      <c r="U374" s="301">
        <f>SUM(U375:U383)</f>
        <v>7156.8548620660004</v>
      </c>
      <c r="V374" s="286"/>
    </row>
    <row r="375" spans="2:22" ht="20.100000000000001" customHeight="1">
      <c r="J375" s="102"/>
      <c r="K375" s="102"/>
      <c r="L375" s="102"/>
      <c r="M375" s="102"/>
      <c r="N375" s="102"/>
      <c r="O375" s="286">
        <v>1</v>
      </c>
      <c r="P375" s="302" t="s">
        <v>612</v>
      </c>
      <c r="Q375" s="307"/>
      <c r="R375" s="286" t="s">
        <v>271</v>
      </c>
      <c r="S375" s="303">
        <f>E223</f>
        <v>75.874964000000006</v>
      </c>
      <c r="T375" s="304">
        <f>I223/E223</f>
        <v>47.094253541471204</v>
      </c>
      <c r="U375" s="305">
        <f t="shared" ref="U375:U383" si="58">T375*S375</f>
        <v>3573.2747920660004</v>
      </c>
      <c r="V375" s="306"/>
    </row>
    <row r="376" spans="2:22" ht="20.100000000000001" customHeight="1">
      <c r="J376" s="102"/>
      <c r="K376" s="102"/>
      <c r="L376" s="102"/>
      <c r="M376" s="102"/>
      <c r="N376" s="102"/>
      <c r="O376" s="286">
        <v>2</v>
      </c>
      <c r="P376" s="290" t="s">
        <v>613</v>
      </c>
      <c r="Q376" s="307"/>
      <c r="R376" s="286" t="s">
        <v>276</v>
      </c>
      <c r="S376" s="303">
        <f>D358</f>
        <v>0</v>
      </c>
      <c r="T376" s="304">
        <f>G358</f>
        <v>70</v>
      </c>
      <c r="U376" s="305">
        <f t="shared" si="58"/>
        <v>0</v>
      </c>
      <c r="V376" s="306"/>
    </row>
    <row r="377" spans="2:22" ht="20.100000000000001" customHeight="1">
      <c r="J377" s="102"/>
      <c r="K377" s="102"/>
      <c r="L377" s="102"/>
      <c r="M377" s="102"/>
      <c r="N377" s="102"/>
      <c r="O377" s="286">
        <v>3</v>
      </c>
      <c r="P377" s="302" t="s">
        <v>614</v>
      </c>
      <c r="Q377" s="302"/>
      <c r="R377" s="286" t="s">
        <v>312</v>
      </c>
      <c r="S377" s="303">
        <f>D291+D292</f>
        <v>3.695376</v>
      </c>
      <c r="T377" s="304">
        <f>材料价格!B10</f>
        <v>148</v>
      </c>
      <c r="U377" s="305">
        <f t="shared" si="58"/>
        <v>546.91564800000003</v>
      </c>
      <c r="V377" s="306"/>
    </row>
    <row r="378" spans="2:22" ht="20.100000000000001" customHeight="1">
      <c r="B378" s="630" t="s">
        <v>277</v>
      </c>
      <c r="C378" s="630"/>
      <c r="D378" s="630"/>
      <c r="E378" s="630"/>
      <c r="F378" s="630"/>
      <c r="G378" s="630"/>
      <c r="H378" s="630"/>
      <c r="I378" s="630"/>
      <c r="J378" s="102"/>
      <c r="K378" s="102"/>
      <c r="L378" s="102"/>
      <c r="M378" s="102"/>
      <c r="N378" s="102"/>
      <c r="O378" s="286">
        <v>4</v>
      </c>
      <c r="P378" s="302" t="s">
        <v>615</v>
      </c>
      <c r="Q378" s="306"/>
      <c r="R378" s="286" t="s">
        <v>278</v>
      </c>
      <c r="S378" s="303">
        <f>(H316+H317+H319+H320+H321)/F316</f>
        <v>9.910798122065728</v>
      </c>
      <c r="T378" s="304">
        <f>材料价格!B25</f>
        <v>8.52</v>
      </c>
      <c r="U378" s="305">
        <f t="shared" si="58"/>
        <v>84.44</v>
      </c>
      <c r="V378" s="306"/>
    </row>
    <row r="379" spans="2:22" ht="20.100000000000001" customHeight="1">
      <c r="B379" s="204" t="s">
        <v>279</v>
      </c>
      <c r="C379" s="205" t="s">
        <v>280</v>
      </c>
      <c r="D379" s="205" t="s">
        <v>281</v>
      </c>
      <c r="E379" s="205" t="s">
        <v>282</v>
      </c>
      <c r="F379" s="205" t="s">
        <v>379</v>
      </c>
      <c r="G379" s="205"/>
      <c r="H379" s="205" t="s">
        <v>28</v>
      </c>
      <c r="I379" s="205" t="s">
        <v>259</v>
      </c>
      <c r="J379" s="102"/>
      <c r="K379" s="102"/>
      <c r="L379" s="102"/>
      <c r="M379" s="102"/>
      <c r="N379" s="102"/>
      <c r="O379" s="286">
        <v>5</v>
      </c>
      <c r="P379" s="306" t="s">
        <v>616</v>
      </c>
      <c r="Q379" s="302"/>
      <c r="R379" s="286" t="s">
        <v>628</v>
      </c>
      <c r="S379" s="303">
        <f>H337/21</f>
        <v>3.6250820000000008</v>
      </c>
      <c r="T379" s="304">
        <v>21</v>
      </c>
      <c r="U379" s="305">
        <f t="shared" si="58"/>
        <v>76.126722000000015</v>
      </c>
      <c r="V379" s="306"/>
    </row>
    <row r="380" spans="2:22" ht="20.100000000000001" customHeight="1">
      <c r="B380" s="206" t="s">
        <v>284</v>
      </c>
      <c r="C380" s="208" t="s">
        <v>384</v>
      </c>
      <c r="D380" s="207">
        <f>C22+C31+C38+C48+C56+C112+C119+C126+C133+C139+C177+C184+C191+C199</f>
        <v>30.686000000000003</v>
      </c>
      <c r="E380" s="207" t="s">
        <v>383</v>
      </c>
      <c r="F380" s="206"/>
      <c r="G380" s="206"/>
      <c r="H380" s="241">
        <v>2.4</v>
      </c>
      <c r="I380" s="207"/>
      <c r="J380" s="102"/>
      <c r="K380" s="102"/>
      <c r="L380" s="102"/>
      <c r="M380" s="102"/>
      <c r="N380" s="102"/>
      <c r="O380" s="286">
        <v>6</v>
      </c>
      <c r="P380" s="302" t="s">
        <v>319</v>
      </c>
      <c r="Q380" s="302"/>
      <c r="R380" s="286" t="s">
        <v>273</v>
      </c>
      <c r="S380" s="303"/>
      <c r="T380" s="304"/>
      <c r="U380" s="305">
        <f t="shared" si="58"/>
        <v>0</v>
      </c>
      <c r="V380" s="306"/>
    </row>
    <row r="381" spans="2:22" ht="20.100000000000001" customHeight="1">
      <c r="B381" s="206" t="s">
        <v>286</v>
      </c>
      <c r="C381" s="206" t="s">
        <v>287</v>
      </c>
      <c r="D381" s="209">
        <f>(J22+J31+J38+J48+J112+J119+J126)*4+(J56+J133)*2</f>
        <v>16</v>
      </c>
      <c r="E381" s="207" t="s">
        <v>285</v>
      </c>
      <c r="F381" s="206"/>
      <c r="G381" s="206"/>
      <c r="H381" s="241">
        <v>0.5</v>
      </c>
      <c r="I381" s="207">
        <f>H381*D381</f>
        <v>8</v>
      </c>
      <c r="J381" s="102"/>
      <c r="K381" s="102"/>
      <c r="L381" s="102"/>
      <c r="M381" s="102"/>
      <c r="N381" s="102"/>
      <c r="O381" s="286">
        <v>7</v>
      </c>
      <c r="P381" s="302" t="s">
        <v>295</v>
      </c>
      <c r="Q381" s="302"/>
      <c r="R381" s="286" t="s">
        <v>273</v>
      </c>
      <c r="S381" s="303"/>
      <c r="T381" s="304">
        <f>材料价格!B19</f>
        <v>230</v>
      </c>
      <c r="U381" s="305">
        <f t="shared" si="58"/>
        <v>0</v>
      </c>
      <c r="V381" s="306"/>
    </row>
    <row r="382" spans="2:22" ht="20.100000000000001" customHeight="1">
      <c r="B382" s="206" t="s">
        <v>289</v>
      </c>
      <c r="C382" s="206"/>
      <c r="D382" s="210">
        <f>ROUND((C22+C56*2+C64*2+C112+C133*2+C139*2)/0.3,0)+2</f>
        <v>63</v>
      </c>
      <c r="E382" s="207" t="s">
        <v>285</v>
      </c>
      <c r="F382" s="206"/>
      <c r="G382" s="206"/>
      <c r="H382" s="241">
        <v>0.3</v>
      </c>
      <c r="I382" s="207">
        <f t="shared" ref="I382:I387" si="59">H382*D382</f>
        <v>18.899999999999999</v>
      </c>
      <c r="J382" s="102"/>
      <c r="K382" s="102"/>
      <c r="L382" s="102"/>
      <c r="M382" s="102"/>
      <c r="N382" s="102"/>
      <c r="O382" s="286">
        <v>8</v>
      </c>
      <c r="P382" s="302" t="s">
        <v>296</v>
      </c>
      <c r="Q382" s="302"/>
      <c r="R382" s="286" t="s">
        <v>273</v>
      </c>
      <c r="S382" s="303">
        <f>E303</f>
        <v>1</v>
      </c>
      <c r="T382" s="304">
        <f>材料价格!B20</f>
        <v>335</v>
      </c>
      <c r="U382" s="305">
        <f t="shared" si="58"/>
        <v>335</v>
      </c>
      <c r="V382" s="306"/>
    </row>
    <row r="383" spans="2:22" ht="20.100000000000001" customHeight="1">
      <c r="B383" s="206" t="s">
        <v>381</v>
      </c>
      <c r="C383" s="206" t="s">
        <v>389</v>
      </c>
      <c r="D383" s="211">
        <f>C22+C31+C38+C56*2+C64*2+C112+C119+C126+C133*2</f>
        <v>26.124000000000002</v>
      </c>
      <c r="E383" s="207" t="s">
        <v>285</v>
      </c>
      <c r="F383" s="206" t="s">
        <v>380</v>
      </c>
      <c r="G383" s="206"/>
      <c r="H383" s="241">
        <v>2.81</v>
      </c>
      <c r="I383" s="207">
        <f>H383*D383</f>
        <v>73.408440000000013</v>
      </c>
      <c r="J383" s="102"/>
      <c r="K383" s="102"/>
      <c r="L383" s="102"/>
      <c r="M383" s="102"/>
      <c r="N383" s="102"/>
      <c r="O383" s="286">
        <v>9</v>
      </c>
      <c r="P383" s="302" t="s">
        <v>617</v>
      </c>
      <c r="Q383" s="302"/>
      <c r="R383" s="286" t="s">
        <v>618</v>
      </c>
      <c r="S383" s="296">
        <v>1</v>
      </c>
      <c r="T383" s="304">
        <f>H363-H358+H350+H318+H315+H314</f>
        <v>2541.0977000000003</v>
      </c>
      <c r="U383" s="305">
        <f t="shared" si="58"/>
        <v>2541.0977000000003</v>
      </c>
      <c r="V383" s="306"/>
    </row>
    <row r="384" spans="2:22" ht="20.100000000000001" customHeight="1">
      <c r="B384" s="206" t="s">
        <v>390</v>
      </c>
      <c r="C384" s="206" t="s">
        <v>392</v>
      </c>
      <c r="D384" s="211">
        <f>C22+C88+C112+C163</f>
        <v>18.911999999999999</v>
      </c>
      <c r="E384" s="207" t="s">
        <v>285</v>
      </c>
      <c r="F384" s="206" t="s">
        <v>394</v>
      </c>
      <c r="G384" s="206"/>
      <c r="H384" s="241">
        <v>3.27</v>
      </c>
      <c r="I384" s="207">
        <f t="shared" ref="I384" si="60">H384*D384</f>
        <v>61.842239999999997</v>
      </c>
      <c r="J384" s="102"/>
      <c r="K384" s="102"/>
      <c r="L384" s="102"/>
      <c r="M384" s="102"/>
      <c r="N384" s="102"/>
      <c r="O384" s="297" t="s">
        <v>306</v>
      </c>
      <c r="P384" s="308" t="s">
        <v>314</v>
      </c>
      <c r="Q384" s="298"/>
      <c r="R384" s="286"/>
      <c r="S384" s="296"/>
      <c r="T384" s="309"/>
      <c r="U384" s="301">
        <f>SUM(U385:U386)</f>
        <v>883.2</v>
      </c>
      <c r="V384" s="286"/>
    </row>
    <row r="385" spans="2:22" ht="20.100000000000001" customHeight="1">
      <c r="B385" s="206" t="s">
        <v>391</v>
      </c>
      <c r="C385" s="206" t="s">
        <v>393</v>
      </c>
      <c r="D385" s="211">
        <f>(C97+C104+C119+C126)*2</f>
        <v>24.808</v>
      </c>
      <c r="E385" s="207" t="s">
        <v>285</v>
      </c>
      <c r="F385" s="206" t="s">
        <v>395</v>
      </c>
      <c r="G385" s="206"/>
      <c r="H385" s="241">
        <v>1.74</v>
      </c>
      <c r="I385" s="207">
        <f t="shared" si="59"/>
        <v>43.16592</v>
      </c>
      <c r="J385" s="102"/>
      <c r="K385" s="102"/>
      <c r="L385" s="102"/>
      <c r="M385" s="102"/>
      <c r="N385" s="102"/>
      <c r="O385" s="286">
        <v>1</v>
      </c>
      <c r="P385" s="307" t="s">
        <v>619</v>
      </c>
      <c r="Q385" s="307"/>
      <c r="R385" s="300" t="s">
        <v>312</v>
      </c>
      <c r="S385" s="296">
        <f>V372</f>
        <v>5.52</v>
      </c>
      <c r="T385" s="310">
        <v>60</v>
      </c>
      <c r="U385" s="305">
        <f>T385*S385</f>
        <v>331.2</v>
      </c>
      <c r="V385" s="286"/>
    </row>
    <row r="386" spans="2:22" ht="20.100000000000001" customHeight="1">
      <c r="B386" s="208" t="s">
        <v>382</v>
      </c>
      <c r="C386" s="206" t="s">
        <v>291</v>
      </c>
      <c r="D386" s="211">
        <f>D338+D339+D341</f>
        <v>10</v>
      </c>
      <c r="E386" s="207" t="s">
        <v>285</v>
      </c>
      <c r="F386" s="206"/>
      <c r="G386" s="206"/>
      <c r="H386" s="241">
        <v>0.56999999999999995</v>
      </c>
      <c r="I386" s="207">
        <f>H386*D386</f>
        <v>5.6999999999999993</v>
      </c>
      <c r="J386" s="102"/>
      <c r="K386" s="102"/>
      <c r="L386" s="102"/>
      <c r="M386" s="102"/>
      <c r="N386" s="102"/>
      <c r="O386" s="286">
        <v>2</v>
      </c>
      <c r="P386" s="307" t="s">
        <v>288</v>
      </c>
      <c r="Q386" s="307"/>
      <c r="R386" s="300" t="s">
        <v>312</v>
      </c>
      <c r="S386" s="296">
        <f>V372</f>
        <v>5.52</v>
      </c>
      <c r="T386" s="310">
        <v>100</v>
      </c>
      <c r="U386" s="305">
        <f>T386*S386</f>
        <v>552</v>
      </c>
      <c r="V386" s="286"/>
    </row>
    <row r="387" spans="2:22" ht="20.100000000000001" customHeight="1">
      <c r="B387" s="206" t="s">
        <v>292</v>
      </c>
      <c r="C387" s="206"/>
      <c r="D387" s="211">
        <f>H366</f>
        <v>5.1959</v>
      </c>
      <c r="E387" s="207" t="s">
        <v>285</v>
      </c>
      <c r="F387" s="206"/>
      <c r="G387" s="206"/>
      <c r="H387" s="241">
        <v>20</v>
      </c>
      <c r="I387" s="207">
        <f t="shared" si="59"/>
        <v>103.91800000000001</v>
      </c>
      <c r="J387" s="102"/>
      <c r="K387" s="102"/>
      <c r="L387" s="102"/>
      <c r="M387" s="102"/>
      <c r="N387" s="102"/>
      <c r="O387" s="297" t="s">
        <v>307</v>
      </c>
      <c r="P387" s="308" t="s">
        <v>290</v>
      </c>
      <c r="Q387" s="298"/>
      <c r="R387" s="286"/>
      <c r="S387" s="296"/>
      <c r="T387" s="309"/>
      <c r="U387" s="301">
        <f>SUM(U388)</f>
        <v>110.39999999999999</v>
      </c>
      <c r="V387" s="286"/>
    </row>
    <row r="388" spans="2:22" ht="20.100000000000001" customHeight="1">
      <c r="B388" s="212" t="s">
        <v>4</v>
      </c>
      <c r="C388" s="213"/>
      <c r="D388" s="212"/>
      <c r="E388" s="212"/>
      <c r="F388" s="212"/>
      <c r="G388" s="212"/>
      <c r="H388" s="212"/>
      <c r="I388" s="213">
        <f>SUM(I380:I387)</f>
        <v>314.93460000000005</v>
      </c>
      <c r="J388" s="242"/>
      <c r="K388" s="102"/>
      <c r="L388" s="102"/>
      <c r="M388" s="102"/>
      <c r="N388" s="102"/>
      <c r="O388" s="286">
        <v>1</v>
      </c>
      <c r="P388" s="307" t="s">
        <v>290</v>
      </c>
      <c r="Q388" s="307"/>
      <c r="R388" s="300" t="s">
        <v>312</v>
      </c>
      <c r="S388" s="296">
        <f>V372</f>
        <v>5.52</v>
      </c>
      <c r="T388" s="310">
        <v>20</v>
      </c>
      <c r="U388" s="305">
        <f>T388*S388</f>
        <v>110.39999999999999</v>
      </c>
      <c r="V388" s="286"/>
    </row>
    <row r="389" spans="2:22" ht="20.100000000000001" customHeight="1">
      <c r="J389" s="102"/>
      <c r="K389" s="102"/>
      <c r="L389" s="102"/>
      <c r="M389" s="102"/>
      <c r="N389" s="102"/>
      <c r="O389" s="286" t="s">
        <v>308</v>
      </c>
      <c r="P389" s="618" t="s">
        <v>620</v>
      </c>
      <c r="Q389" s="619"/>
      <c r="R389" s="620"/>
      <c r="S389" s="621"/>
      <c r="T389" s="622"/>
      <c r="U389" s="301">
        <f>U374+U384+U387</f>
        <v>8150.4548620659998</v>
      </c>
      <c r="V389" s="286"/>
    </row>
    <row r="390" spans="2:22" ht="20.100000000000001" customHeight="1">
      <c r="J390" s="102"/>
      <c r="K390" s="102"/>
      <c r="L390" s="102"/>
      <c r="M390" s="102"/>
      <c r="N390" s="102"/>
      <c r="O390" s="286" t="s">
        <v>309</v>
      </c>
      <c r="P390" s="618" t="s">
        <v>621</v>
      </c>
      <c r="Q390" s="619"/>
      <c r="R390" s="626">
        <v>0.2</v>
      </c>
      <c r="S390" s="627"/>
      <c r="T390" s="628"/>
      <c r="U390" s="301">
        <f>U389*R390</f>
        <v>1630.0909724132</v>
      </c>
      <c r="V390" s="286"/>
    </row>
    <row r="391" spans="2:22" ht="20.100000000000001" customHeight="1">
      <c r="J391" s="102"/>
      <c r="K391" s="102"/>
      <c r="L391" s="102"/>
      <c r="M391" s="102"/>
      <c r="N391" s="102"/>
      <c r="O391" s="286" t="s">
        <v>310</v>
      </c>
      <c r="P391" s="618" t="s">
        <v>622</v>
      </c>
      <c r="Q391" s="619"/>
      <c r="R391" s="620"/>
      <c r="S391" s="621"/>
      <c r="T391" s="622"/>
      <c r="U391" s="301">
        <f>U389+U390</f>
        <v>9780.5458344792005</v>
      </c>
      <c r="V391" s="286"/>
    </row>
    <row r="392" spans="2:22" ht="30" customHeight="1">
      <c r="L392" s="102"/>
      <c r="M392" s="102"/>
      <c r="N392" s="102"/>
      <c r="O392" s="297" t="s">
        <v>311</v>
      </c>
      <c r="P392" s="618" t="s">
        <v>623</v>
      </c>
      <c r="Q392" s="619"/>
      <c r="R392" s="620"/>
      <c r="S392" s="621"/>
      <c r="T392" s="622"/>
      <c r="U392" s="301">
        <f>U391/V372</f>
        <v>1771.838013492609</v>
      </c>
      <c r="V392" s="286" t="s">
        <v>624</v>
      </c>
    </row>
    <row r="393" spans="2:22" ht="45" customHeight="1">
      <c r="L393" s="102"/>
      <c r="M393" s="102"/>
      <c r="N393" s="102"/>
      <c r="O393" s="623" t="s">
        <v>625</v>
      </c>
      <c r="P393" s="623"/>
      <c r="Q393" s="623"/>
      <c r="R393" s="623"/>
      <c r="S393" s="623"/>
      <c r="T393" s="623"/>
      <c r="U393" s="623"/>
      <c r="V393" s="623"/>
    </row>
    <row r="394" spans="2:22" ht="18" customHeight="1">
      <c r="L394" s="102"/>
      <c r="M394" s="102"/>
      <c r="N394" s="102"/>
      <c r="O394" s="102"/>
      <c r="P394" s="102"/>
    </row>
    <row r="395" spans="2:22">
      <c r="L395" s="102"/>
      <c r="M395" s="102"/>
      <c r="N395" s="102"/>
      <c r="O395" s="102"/>
      <c r="P395" s="102"/>
    </row>
    <row r="396" spans="2:22">
      <c r="L396" s="102"/>
      <c r="M396" s="102"/>
      <c r="N396" s="102"/>
      <c r="O396" s="102"/>
      <c r="P396" s="102"/>
    </row>
    <row r="397" spans="2:22">
      <c r="L397" s="102"/>
      <c r="M397" s="102"/>
      <c r="N397" s="102"/>
      <c r="O397" s="102"/>
      <c r="P397" s="102"/>
    </row>
    <row r="398" spans="2:22">
      <c r="L398" s="102"/>
      <c r="M398" s="102"/>
      <c r="N398" s="102"/>
      <c r="O398" s="102"/>
      <c r="P398" s="102"/>
    </row>
    <row r="399" spans="2:22">
      <c r="L399" s="102"/>
      <c r="M399" s="102"/>
      <c r="N399" s="102"/>
      <c r="O399" s="102"/>
      <c r="P399" s="102"/>
    </row>
    <row r="400" spans="2:22">
      <c r="L400" s="102"/>
      <c r="M400" s="102"/>
      <c r="N400" s="102"/>
      <c r="O400" s="102"/>
      <c r="P400" s="102"/>
    </row>
    <row r="401" spans="12:16">
      <c r="L401" s="102"/>
      <c r="M401" s="102"/>
      <c r="N401" s="102"/>
      <c r="O401" s="102"/>
      <c r="P401" s="102"/>
    </row>
    <row r="402" spans="12:16">
      <c r="L402" s="102"/>
      <c r="M402" s="102"/>
      <c r="N402" s="102"/>
      <c r="O402" s="102"/>
      <c r="P402" s="102"/>
    </row>
    <row r="403" spans="12:16">
      <c r="L403" s="102"/>
      <c r="M403" s="102"/>
      <c r="N403" s="102"/>
      <c r="O403" s="102"/>
      <c r="P403" s="102"/>
    </row>
    <row r="404" spans="12:16">
      <c r="L404" s="102"/>
      <c r="M404" s="102"/>
      <c r="N404" s="102"/>
      <c r="O404" s="102"/>
      <c r="P404" s="102"/>
    </row>
    <row r="405" spans="12:16">
      <c r="L405" s="102"/>
      <c r="M405" s="102"/>
      <c r="N405" s="102"/>
      <c r="O405" s="102"/>
      <c r="P405" s="102"/>
    </row>
    <row r="406" spans="12:16">
      <c r="L406" s="102"/>
      <c r="M406" s="102"/>
      <c r="N406" s="102"/>
      <c r="O406" s="102"/>
      <c r="P406" s="102"/>
    </row>
    <row r="407" spans="12:16">
      <c r="L407" s="102"/>
      <c r="M407" s="102"/>
      <c r="N407" s="102"/>
      <c r="O407" s="102"/>
      <c r="P407" s="102"/>
    </row>
    <row r="408" spans="12:16">
      <c r="L408" s="102"/>
      <c r="M408" s="102"/>
      <c r="N408" s="102"/>
      <c r="O408" s="102"/>
      <c r="P408" s="102"/>
    </row>
    <row r="409" spans="12:16">
      <c r="L409" s="102"/>
      <c r="M409" s="102"/>
      <c r="N409" s="102"/>
      <c r="O409" s="102"/>
      <c r="P409" s="102"/>
    </row>
    <row r="410" spans="12:16">
      <c r="L410" s="102"/>
      <c r="M410" s="102"/>
      <c r="N410" s="102"/>
      <c r="O410" s="102"/>
      <c r="P410" s="102"/>
    </row>
    <row r="411" spans="12:16">
      <c r="L411" s="102"/>
      <c r="M411" s="102"/>
      <c r="N411" s="102"/>
      <c r="O411" s="102"/>
      <c r="P411" s="102"/>
    </row>
    <row r="412" spans="12:16">
      <c r="L412" s="102"/>
      <c r="M412" s="102"/>
      <c r="N412" s="102"/>
      <c r="O412" s="102"/>
      <c r="P412" s="102"/>
    </row>
    <row r="413" spans="12:16">
      <c r="L413" s="102"/>
      <c r="M413" s="102"/>
      <c r="N413" s="102"/>
      <c r="O413" s="102"/>
      <c r="P413" s="102"/>
    </row>
    <row r="414" spans="12:16">
      <c r="L414" s="102"/>
      <c r="M414" s="102"/>
      <c r="N414" s="102"/>
      <c r="O414" s="102"/>
      <c r="P414" s="102"/>
    </row>
    <row r="415" spans="12:16">
      <c r="L415" s="102"/>
      <c r="M415" s="102"/>
      <c r="N415" s="102"/>
      <c r="O415" s="102"/>
      <c r="P415" s="102"/>
    </row>
    <row r="416" spans="12:16">
      <c r="L416" s="102"/>
      <c r="M416" s="102"/>
      <c r="N416" s="102"/>
      <c r="O416" s="102"/>
      <c r="P416" s="102"/>
    </row>
    <row r="417" spans="10:16">
      <c r="L417" s="102"/>
      <c r="M417" s="102"/>
      <c r="N417" s="102"/>
      <c r="O417" s="102"/>
      <c r="P417" s="102"/>
    </row>
    <row r="418" spans="10:16">
      <c r="L418" s="102"/>
      <c r="M418" s="102"/>
      <c r="N418" s="102"/>
      <c r="O418" s="102"/>
      <c r="P418" s="102"/>
    </row>
    <row r="419" spans="10:16">
      <c r="L419" s="102"/>
      <c r="M419" s="102"/>
      <c r="N419" s="102"/>
      <c r="O419" s="102"/>
      <c r="P419" s="102"/>
    </row>
    <row r="420" spans="10:16">
      <c r="L420" s="102"/>
      <c r="M420" s="102"/>
      <c r="N420" s="102"/>
      <c r="O420" s="102"/>
      <c r="P420" s="102"/>
    </row>
    <row r="421" spans="10:16">
      <c r="L421" s="102"/>
      <c r="M421" s="102"/>
      <c r="N421" s="102"/>
      <c r="O421" s="102"/>
      <c r="P421" s="102"/>
    </row>
    <row r="422" spans="10:16">
      <c r="L422" s="102"/>
      <c r="M422" s="102"/>
      <c r="N422" s="102"/>
      <c r="O422" s="102"/>
      <c r="P422" s="102"/>
    </row>
    <row r="423" spans="10:16">
      <c r="L423" s="102"/>
      <c r="M423" s="102"/>
      <c r="N423" s="102"/>
      <c r="O423" s="102"/>
      <c r="P423" s="102"/>
    </row>
    <row r="424" spans="10:16">
      <c r="L424" s="102"/>
      <c r="M424" s="102"/>
      <c r="N424" s="102"/>
      <c r="O424" s="102"/>
      <c r="P424" s="102"/>
    </row>
    <row r="425" spans="10:16">
      <c r="L425" s="102"/>
      <c r="M425" s="102"/>
      <c r="N425" s="102"/>
      <c r="O425" s="102"/>
      <c r="P425" s="102"/>
    </row>
    <row r="426" spans="10:16">
      <c r="L426" s="102"/>
      <c r="M426" s="102"/>
      <c r="N426" s="102"/>
      <c r="O426" s="102"/>
      <c r="P426" s="102"/>
    </row>
    <row r="427" spans="10:16">
      <c r="J427" s="102"/>
      <c r="K427" s="102"/>
      <c r="L427" s="102"/>
      <c r="M427" s="102"/>
      <c r="N427" s="102"/>
      <c r="O427" s="102"/>
      <c r="P427" s="102"/>
    </row>
    <row r="428" spans="10:16">
      <c r="J428" s="102"/>
      <c r="K428" s="102"/>
      <c r="L428" s="102"/>
      <c r="M428" s="102"/>
      <c r="N428" s="102"/>
      <c r="O428" s="102"/>
      <c r="P428" s="102"/>
    </row>
    <row r="429" spans="10:16">
      <c r="J429" s="102"/>
      <c r="K429" s="102"/>
      <c r="L429" s="102"/>
      <c r="M429" s="102"/>
      <c r="N429" s="102"/>
      <c r="O429" s="102"/>
      <c r="P429" s="102"/>
    </row>
    <row r="430" spans="10:16">
      <c r="J430" s="102"/>
      <c r="K430" s="102"/>
      <c r="L430" s="102"/>
      <c r="M430" s="102"/>
      <c r="N430" s="102"/>
      <c r="O430" s="102"/>
      <c r="P430" s="102"/>
    </row>
    <row r="431" spans="10:16">
      <c r="J431" s="102"/>
      <c r="K431" s="102"/>
      <c r="L431" s="102"/>
      <c r="M431" s="102"/>
      <c r="N431" s="102"/>
      <c r="O431" s="102"/>
      <c r="P431" s="102"/>
    </row>
    <row r="432" spans="10:16">
      <c r="J432" s="102"/>
      <c r="K432" s="102"/>
      <c r="L432" s="102"/>
      <c r="M432" s="102"/>
      <c r="N432" s="102"/>
      <c r="O432" s="102"/>
      <c r="P432" s="102"/>
    </row>
    <row r="433" spans="10:16">
      <c r="J433" s="102"/>
      <c r="K433" s="102"/>
      <c r="L433" s="102"/>
      <c r="M433" s="102"/>
      <c r="N433" s="102"/>
      <c r="O433" s="102"/>
      <c r="P433" s="102"/>
    </row>
    <row r="434" spans="10:16">
      <c r="J434" s="102"/>
      <c r="K434" s="102"/>
      <c r="L434" s="102"/>
      <c r="M434" s="102"/>
      <c r="N434" s="102"/>
      <c r="O434" s="102"/>
      <c r="P434" s="102"/>
    </row>
    <row r="435" spans="10:16">
      <c r="J435" s="102"/>
      <c r="K435" s="102"/>
      <c r="L435" s="102"/>
      <c r="M435" s="102"/>
      <c r="N435" s="102"/>
      <c r="O435" s="102"/>
      <c r="P435" s="102"/>
    </row>
    <row r="436" spans="10:16">
      <c r="J436" s="102"/>
      <c r="K436" s="102"/>
      <c r="L436" s="102"/>
      <c r="M436" s="102"/>
      <c r="N436" s="102"/>
      <c r="O436" s="102"/>
      <c r="P436" s="102"/>
    </row>
    <row r="437" spans="10:16">
      <c r="J437" s="102"/>
      <c r="K437" s="102"/>
      <c r="L437" s="102"/>
      <c r="M437" s="102"/>
      <c r="N437" s="102"/>
      <c r="O437" s="102"/>
      <c r="P437" s="102"/>
    </row>
    <row r="438" spans="10:16">
      <c r="J438" s="102"/>
      <c r="K438" s="102"/>
      <c r="L438" s="102"/>
      <c r="M438" s="102"/>
      <c r="N438" s="102"/>
      <c r="O438" s="102"/>
      <c r="P438" s="102"/>
    </row>
    <row r="439" spans="10:16">
      <c r="J439" s="102"/>
      <c r="K439" s="102"/>
      <c r="L439" s="102"/>
      <c r="M439" s="102"/>
      <c r="N439" s="102"/>
      <c r="O439" s="102"/>
      <c r="P439" s="102"/>
    </row>
    <row r="440" spans="10:16">
      <c r="J440" s="102"/>
      <c r="K440" s="102"/>
      <c r="L440" s="102"/>
      <c r="M440" s="102"/>
      <c r="N440" s="102"/>
      <c r="O440" s="102"/>
      <c r="P440" s="102"/>
    </row>
    <row r="441" spans="10:16">
      <c r="J441" s="102"/>
      <c r="K441" s="102"/>
      <c r="L441" s="102"/>
      <c r="M441" s="102"/>
      <c r="N441" s="102"/>
      <c r="O441" s="102"/>
      <c r="P441" s="102"/>
    </row>
    <row r="442" spans="10:16">
      <c r="J442" s="102"/>
      <c r="K442" s="102"/>
      <c r="L442" s="102"/>
      <c r="M442" s="102"/>
      <c r="N442" s="102"/>
      <c r="O442" s="102"/>
      <c r="P442" s="102"/>
    </row>
    <row r="443" spans="10:16">
      <c r="J443" s="102"/>
      <c r="K443" s="102"/>
      <c r="L443" s="102"/>
      <c r="M443" s="102"/>
      <c r="N443" s="102"/>
      <c r="O443" s="102"/>
      <c r="P443" s="102"/>
    </row>
    <row r="444" spans="10:16">
      <c r="J444" s="102"/>
      <c r="K444" s="102"/>
      <c r="L444" s="102"/>
      <c r="M444" s="102"/>
      <c r="N444" s="102"/>
      <c r="O444" s="102"/>
      <c r="P444" s="102"/>
    </row>
    <row r="445" spans="10:16">
      <c r="J445" s="102"/>
      <c r="K445" s="102"/>
      <c r="L445" s="102"/>
      <c r="M445" s="102"/>
      <c r="N445" s="102"/>
      <c r="O445" s="102"/>
      <c r="P445" s="102"/>
    </row>
    <row r="446" spans="10:16">
      <c r="J446" s="102"/>
      <c r="K446" s="102"/>
      <c r="L446" s="102"/>
      <c r="M446" s="102"/>
      <c r="N446" s="102"/>
      <c r="O446" s="102"/>
      <c r="P446" s="102"/>
    </row>
    <row r="447" spans="10:16">
      <c r="J447" s="102"/>
      <c r="K447" s="102"/>
      <c r="L447" s="102"/>
      <c r="M447" s="102"/>
      <c r="N447" s="102"/>
      <c r="O447" s="102"/>
      <c r="P447" s="102"/>
    </row>
    <row r="448" spans="10:16">
      <c r="J448" s="102"/>
      <c r="K448" s="102"/>
      <c r="L448" s="102"/>
      <c r="M448" s="102"/>
      <c r="N448" s="102"/>
      <c r="O448" s="102"/>
      <c r="P448" s="102"/>
    </row>
    <row r="449" spans="10:16">
      <c r="J449" s="102"/>
      <c r="K449" s="102"/>
      <c r="L449" s="102"/>
      <c r="M449" s="102"/>
      <c r="N449" s="102"/>
      <c r="O449" s="102"/>
      <c r="P449" s="102"/>
    </row>
    <row r="450" spans="10:16">
      <c r="J450" s="102"/>
      <c r="K450" s="102"/>
      <c r="L450" s="102"/>
      <c r="M450" s="102"/>
      <c r="N450" s="102"/>
      <c r="O450" s="102"/>
      <c r="P450" s="102"/>
    </row>
    <row r="451" spans="10:16">
      <c r="J451" s="102"/>
      <c r="K451" s="102"/>
      <c r="L451" s="102"/>
      <c r="M451" s="102"/>
      <c r="N451" s="102"/>
      <c r="O451" s="102"/>
      <c r="P451" s="102"/>
    </row>
    <row r="452" spans="10:16">
      <c r="J452" s="102"/>
      <c r="K452" s="102"/>
      <c r="L452" s="102"/>
      <c r="M452" s="102"/>
      <c r="N452" s="102"/>
      <c r="O452" s="102"/>
      <c r="P452" s="102"/>
    </row>
    <row r="453" spans="10:16">
      <c r="J453" s="102"/>
      <c r="K453" s="102"/>
      <c r="L453" s="102"/>
      <c r="M453" s="102"/>
      <c r="N453" s="102"/>
      <c r="O453" s="102"/>
      <c r="P453" s="102"/>
    </row>
    <row r="454" spans="10:16">
      <c r="J454" s="102"/>
      <c r="K454" s="102"/>
      <c r="L454" s="102"/>
      <c r="M454" s="102"/>
      <c r="N454" s="102"/>
      <c r="O454" s="102"/>
      <c r="P454" s="102"/>
    </row>
    <row r="455" spans="10:16">
      <c r="J455" s="102"/>
      <c r="K455" s="102"/>
      <c r="L455" s="102"/>
      <c r="M455" s="102"/>
      <c r="N455" s="102"/>
      <c r="O455" s="102"/>
      <c r="P455" s="102"/>
    </row>
    <row r="456" spans="10:16">
      <c r="J456" s="102"/>
      <c r="K456" s="102"/>
      <c r="L456" s="102"/>
      <c r="M456" s="102"/>
      <c r="N456" s="102"/>
      <c r="O456" s="102"/>
      <c r="P456" s="102"/>
    </row>
    <row r="457" spans="10:16">
      <c r="J457" s="102"/>
      <c r="K457" s="102"/>
      <c r="L457" s="102"/>
      <c r="M457" s="102"/>
      <c r="N457" s="102"/>
      <c r="O457" s="102"/>
      <c r="P457" s="102"/>
    </row>
    <row r="458" spans="10:16">
      <c r="J458" s="102"/>
      <c r="K458" s="102"/>
      <c r="L458" s="102"/>
      <c r="M458" s="102"/>
      <c r="N458" s="102"/>
      <c r="O458" s="102"/>
      <c r="P458" s="102"/>
    </row>
    <row r="459" spans="10:16">
      <c r="J459" s="102"/>
      <c r="K459" s="102"/>
      <c r="L459" s="102"/>
      <c r="M459" s="102"/>
      <c r="N459" s="102"/>
      <c r="O459" s="102"/>
      <c r="P459" s="102"/>
    </row>
    <row r="460" spans="10:16">
      <c r="J460" s="102"/>
      <c r="K460" s="102"/>
      <c r="L460" s="102"/>
      <c r="M460" s="102"/>
      <c r="N460" s="102"/>
      <c r="O460" s="102"/>
      <c r="P460" s="102"/>
    </row>
    <row r="461" spans="10:16">
      <c r="J461" s="102"/>
      <c r="K461" s="102"/>
      <c r="L461" s="102"/>
      <c r="M461" s="102"/>
      <c r="N461" s="102"/>
      <c r="O461" s="102"/>
      <c r="P461" s="102"/>
    </row>
    <row r="462" spans="10:16">
      <c r="J462" s="102"/>
      <c r="K462" s="102"/>
      <c r="L462" s="102"/>
      <c r="M462" s="102"/>
      <c r="N462" s="102"/>
      <c r="O462" s="102"/>
      <c r="P462" s="102"/>
    </row>
    <row r="463" spans="10:16">
      <c r="J463" s="102"/>
      <c r="K463" s="102"/>
      <c r="L463" s="102"/>
      <c r="M463" s="102"/>
      <c r="N463" s="102"/>
      <c r="O463" s="102"/>
      <c r="P463" s="102"/>
    </row>
    <row r="464" spans="10:16">
      <c r="J464" s="102"/>
      <c r="K464" s="102"/>
      <c r="L464" s="102"/>
      <c r="M464" s="102"/>
      <c r="N464" s="102"/>
      <c r="O464" s="102"/>
      <c r="P464" s="102"/>
    </row>
  </sheetData>
  <mergeCells count="95">
    <mergeCell ref="F2:H2"/>
    <mergeCell ref="I2:I6"/>
    <mergeCell ref="J2:M2"/>
    <mergeCell ref="B4:B6"/>
    <mergeCell ref="B14:B21"/>
    <mergeCell ref="C14:C21"/>
    <mergeCell ref="B26:B30"/>
    <mergeCell ref="C26:C30"/>
    <mergeCell ref="B35:B37"/>
    <mergeCell ref="C35:C37"/>
    <mergeCell ref="B42:B47"/>
    <mergeCell ref="C42:C44"/>
    <mergeCell ref="C45:C47"/>
    <mergeCell ref="B52:B55"/>
    <mergeCell ref="C52:C55"/>
    <mergeCell ref="D59:F59"/>
    <mergeCell ref="B60:B63"/>
    <mergeCell ref="C60:C61"/>
    <mergeCell ref="D60:F60"/>
    <mergeCell ref="D61:F61"/>
    <mergeCell ref="C62:C63"/>
    <mergeCell ref="D62:F62"/>
    <mergeCell ref="D63:F63"/>
    <mergeCell ref="B68:B87"/>
    <mergeCell ref="C68:C74"/>
    <mergeCell ref="C75:C81"/>
    <mergeCell ref="C82:C87"/>
    <mergeCell ref="B92:B96"/>
    <mergeCell ref="C92:C96"/>
    <mergeCell ref="B137:B138"/>
    <mergeCell ref="C137:C138"/>
    <mergeCell ref="D137:F137"/>
    <mergeCell ref="D138:F138"/>
    <mergeCell ref="B101:B103"/>
    <mergeCell ref="C101:C103"/>
    <mergeCell ref="B108:B111"/>
    <mergeCell ref="C108:C111"/>
    <mergeCell ref="B116:B118"/>
    <mergeCell ref="C116:C118"/>
    <mergeCell ref="B123:B125"/>
    <mergeCell ref="C123:C125"/>
    <mergeCell ref="B130:B132"/>
    <mergeCell ref="C130:C132"/>
    <mergeCell ref="D136:F136"/>
    <mergeCell ref="B143:B145"/>
    <mergeCell ref="C143:C145"/>
    <mergeCell ref="B150:B152"/>
    <mergeCell ref="C150:C152"/>
    <mergeCell ref="B157:B162"/>
    <mergeCell ref="C157:C162"/>
    <mergeCell ref="B167:B169"/>
    <mergeCell ref="C167:C169"/>
    <mergeCell ref="B174:B176"/>
    <mergeCell ref="C174:C176"/>
    <mergeCell ref="B181:B183"/>
    <mergeCell ref="C181:C183"/>
    <mergeCell ref="F209:F210"/>
    <mergeCell ref="B188:B190"/>
    <mergeCell ref="C188:C190"/>
    <mergeCell ref="D194:F194"/>
    <mergeCell ref="B195:B196"/>
    <mergeCell ref="C195:C196"/>
    <mergeCell ref="D195:F195"/>
    <mergeCell ref="D196:F196"/>
    <mergeCell ref="B197:B198"/>
    <mergeCell ref="C197:C198"/>
    <mergeCell ref="D197:F197"/>
    <mergeCell ref="D198:F198"/>
    <mergeCell ref="F203:F204"/>
    <mergeCell ref="O369:V369"/>
    <mergeCell ref="F211:F212"/>
    <mergeCell ref="F213:F214"/>
    <mergeCell ref="B291:B292"/>
    <mergeCell ref="B294:B295"/>
    <mergeCell ref="I294:I295"/>
    <mergeCell ref="B296:B297"/>
    <mergeCell ref="I296:I297"/>
    <mergeCell ref="B298:B299"/>
    <mergeCell ref="I298:I299"/>
    <mergeCell ref="B300:B301"/>
    <mergeCell ref="B302:B303"/>
    <mergeCell ref="O368:V368"/>
    <mergeCell ref="P370:Q370"/>
    <mergeCell ref="O371:O372"/>
    <mergeCell ref="P371:T372"/>
    <mergeCell ref="B378:I378"/>
    <mergeCell ref="P389:Q389"/>
    <mergeCell ref="R389:T389"/>
    <mergeCell ref="O393:V393"/>
    <mergeCell ref="P390:Q390"/>
    <mergeCell ref="R390:T390"/>
    <mergeCell ref="P391:Q391"/>
    <mergeCell ref="R391:T391"/>
    <mergeCell ref="P392:Q392"/>
    <mergeCell ref="R392:T392"/>
  </mergeCells>
  <phoneticPr fontId="5" type="noConversion"/>
  <pageMargins left="0.19685039370078741" right="0.19685039370078741" top="0.74803149606299213" bottom="0.74803149606299213" header="0.31496062992125984" footer="0.31496062992125984"/>
  <pageSetup paperSize="9" scale="78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C7A17-2F68-4626-AB3F-3E46B2264152}">
  <sheetPr>
    <tabColor rgb="FF7030A0"/>
    <pageSetUpPr fitToPage="1"/>
  </sheetPr>
  <dimension ref="A1:V464"/>
  <sheetViews>
    <sheetView showZeros="0" topLeftCell="A350" zoomScaleNormal="100" workbookViewId="0">
      <selection activeCell="C372" sqref="C372"/>
    </sheetView>
  </sheetViews>
  <sheetFormatPr defaultColWidth="25.25" defaultRowHeight="13.5"/>
  <cols>
    <col min="1" max="1" width="0.5" style="1" customWidth="1"/>
    <col min="2" max="2" width="25.25" style="102" customWidth="1"/>
    <col min="3" max="3" width="14.75" style="102" customWidth="1"/>
    <col min="4" max="4" width="11.5" style="102" customWidth="1"/>
    <col min="5" max="5" width="11.25" style="102" customWidth="1"/>
    <col min="6" max="6" width="12.25" style="102" customWidth="1"/>
    <col min="7" max="7" width="10" style="102" customWidth="1"/>
    <col min="8" max="8" width="9.875" style="102" customWidth="1"/>
    <col min="9" max="9" width="26.875" style="102" customWidth="1"/>
    <col min="10" max="10" width="11.125" style="43" customWidth="1"/>
    <col min="11" max="11" width="7.875" style="43" customWidth="1"/>
    <col min="12" max="12" width="7.25" style="43" customWidth="1"/>
    <col min="13" max="13" width="9.125" style="43" customWidth="1"/>
    <col min="14" max="14" width="15.125" style="255" customWidth="1"/>
    <col min="15" max="15" width="13.125" style="255" customWidth="1"/>
    <col min="16" max="16" width="24.375" style="255" customWidth="1"/>
    <col min="17" max="17" width="13.75" style="255" customWidth="1"/>
    <col min="18" max="18" width="11.25" style="255" customWidth="1"/>
    <col min="19" max="19" width="10.75" style="255" customWidth="1"/>
    <col min="20" max="20" width="10" style="255" customWidth="1"/>
    <col min="21" max="21" width="9.875" style="255" customWidth="1"/>
    <col min="22" max="22" width="26.125" style="255" customWidth="1"/>
    <col min="23" max="23" width="11.125" style="255" customWidth="1"/>
    <col min="24" max="24" width="7.875" style="255" customWidth="1"/>
    <col min="25" max="25" width="7.25" style="255" customWidth="1"/>
    <col min="26" max="26" width="9.125" style="255" customWidth="1"/>
    <col min="27" max="27" width="15.125" style="255" customWidth="1"/>
    <col min="28" max="28" width="7.75" style="255" customWidth="1"/>
    <col min="29" max="29" width="7.125" style="255" customWidth="1"/>
    <col min="30" max="30" width="12.125" style="255" customWidth="1"/>
    <col min="31" max="31" width="8.25" style="255" customWidth="1"/>
    <col min="32" max="33" width="10.375" style="255" customWidth="1"/>
    <col min="34" max="34" width="15.625" style="255" customWidth="1"/>
    <col min="35" max="35" width="15.875" style="255" customWidth="1"/>
    <col min="36" max="36" width="8.125" style="255" customWidth="1"/>
    <col min="37" max="40" width="10.375" style="255" customWidth="1"/>
    <col min="41" max="41" width="7.25" style="255" customWidth="1"/>
    <col min="42" max="42" width="7.125" style="255" customWidth="1"/>
    <col min="43" max="43" width="9.5" style="255" customWidth="1"/>
    <col min="44" max="45" width="9" style="255" customWidth="1"/>
    <col min="46" max="46" width="16.125" style="255" customWidth="1"/>
    <col min="47" max="77" width="9" style="255" customWidth="1"/>
    <col min="78" max="237" width="25.25" style="255"/>
    <col min="238" max="267" width="9" style="255" customWidth="1"/>
    <col min="268" max="268" width="0.5" style="255" customWidth="1"/>
    <col min="269" max="269" width="25.25" style="255"/>
    <col min="270" max="270" width="0.5" style="255" customWidth="1"/>
    <col min="271" max="271" width="25.25" style="255"/>
    <col min="272" max="272" width="14.75" style="255" customWidth="1"/>
    <col min="273" max="273" width="11.5" style="255" customWidth="1"/>
    <col min="274" max="274" width="11.25" style="255" customWidth="1"/>
    <col min="275" max="275" width="10.75" style="255" customWidth="1"/>
    <col min="276" max="276" width="10" style="255" customWidth="1"/>
    <col min="277" max="277" width="9.875" style="255" customWidth="1"/>
    <col min="278" max="278" width="26.125" style="255" customWidth="1"/>
    <col min="279" max="279" width="11.125" style="255" customWidth="1"/>
    <col min="280" max="280" width="7.875" style="255" customWidth="1"/>
    <col min="281" max="281" width="7.25" style="255" customWidth="1"/>
    <col min="282" max="282" width="9.125" style="255" customWidth="1"/>
    <col min="283" max="283" width="15.125" style="255" customWidth="1"/>
    <col min="284" max="284" width="7.75" style="255" customWidth="1"/>
    <col min="285" max="285" width="7.125" style="255" customWidth="1"/>
    <col min="286" max="286" width="12.125" style="255" customWidth="1"/>
    <col min="287" max="287" width="8.25" style="255" customWidth="1"/>
    <col min="288" max="289" width="10.375" style="255" customWidth="1"/>
    <col min="290" max="290" width="15.625" style="255" customWidth="1"/>
    <col min="291" max="291" width="15.875" style="255" customWidth="1"/>
    <col min="292" max="292" width="8.125" style="255" customWidth="1"/>
    <col min="293" max="296" width="10.375" style="255" customWidth="1"/>
    <col min="297" max="297" width="7.25" style="255" customWidth="1"/>
    <col min="298" max="298" width="7.125" style="255" customWidth="1"/>
    <col min="299" max="299" width="9.5" style="255" customWidth="1"/>
    <col min="300" max="301" width="9" style="255" customWidth="1"/>
    <col min="302" max="302" width="16.125" style="255" customWidth="1"/>
    <col min="303" max="333" width="9" style="255" customWidth="1"/>
    <col min="334" max="493" width="25.25" style="255"/>
    <col min="494" max="523" width="9" style="255" customWidth="1"/>
    <col min="524" max="524" width="0.5" style="255" customWidth="1"/>
    <col min="525" max="525" width="25.25" style="255"/>
    <col min="526" max="526" width="0.5" style="255" customWidth="1"/>
    <col min="527" max="527" width="25.25" style="255"/>
    <col min="528" max="528" width="14.75" style="255" customWidth="1"/>
    <col min="529" max="529" width="11.5" style="255" customWidth="1"/>
    <col min="530" max="530" width="11.25" style="255" customWidth="1"/>
    <col min="531" max="531" width="10.75" style="255" customWidth="1"/>
    <col min="532" max="532" width="10" style="255" customWidth="1"/>
    <col min="533" max="533" width="9.875" style="255" customWidth="1"/>
    <col min="534" max="534" width="26.125" style="255" customWidth="1"/>
    <col min="535" max="535" width="11.125" style="255" customWidth="1"/>
    <col min="536" max="536" width="7.875" style="255" customWidth="1"/>
    <col min="537" max="537" width="7.25" style="255" customWidth="1"/>
    <col min="538" max="538" width="9.125" style="255" customWidth="1"/>
    <col min="539" max="539" width="15.125" style="255" customWidth="1"/>
    <col min="540" max="540" width="7.75" style="255" customWidth="1"/>
    <col min="541" max="541" width="7.125" style="255" customWidth="1"/>
    <col min="542" max="542" width="12.125" style="255" customWidth="1"/>
    <col min="543" max="543" width="8.25" style="255" customWidth="1"/>
    <col min="544" max="545" width="10.375" style="255" customWidth="1"/>
    <col min="546" max="546" width="15.625" style="255" customWidth="1"/>
    <col min="547" max="547" width="15.875" style="255" customWidth="1"/>
    <col min="548" max="548" width="8.125" style="255" customWidth="1"/>
    <col min="549" max="552" width="10.375" style="255" customWidth="1"/>
    <col min="553" max="553" width="7.25" style="255" customWidth="1"/>
    <col min="554" max="554" width="7.125" style="255" customWidth="1"/>
    <col min="555" max="555" width="9.5" style="255" customWidth="1"/>
    <col min="556" max="557" width="9" style="255" customWidth="1"/>
    <col min="558" max="558" width="16.125" style="255" customWidth="1"/>
    <col min="559" max="589" width="9" style="255" customWidth="1"/>
    <col min="590" max="749" width="25.25" style="255"/>
    <col min="750" max="779" width="9" style="255" customWidth="1"/>
    <col min="780" max="780" width="0.5" style="255" customWidth="1"/>
    <col min="781" max="781" width="25.25" style="255"/>
    <col min="782" max="782" width="0.5" style="255" customWidth="1"/>
    <col min="783" max="783" width="25.25" style="255"/>
    <col min="784" max="784" width="14.75" style="255" customWidth="1"/>
    <col min="785" max="785" width="11.5" style="255" customWidth="1"/>
    <col min="786" max="786" width="11.25" style="255" customWidth="1"/>
    <col min="787" max="787" width="10.75" style="255" customWidth="1"/>
    <col min="788" max="788" width="10" style="255" customWidth="1"/>
    <col min="789" max="789" width="9.875" style="255" customWidth="1"/>
    <col min="790" max="790" width="26.125" style="255" customWidth="1"/>
    <col min="791" max="791" width="11.125" style="255" customWidth="1"/>
    <col min="792" max="792" width="7.875" style="255" customWidth="1"/>
    <col min="793" max="793" width="7.25" style="255" customWidth="1"/>
    <col min="794" max="794" width="9.125" style="255" customWidth="1"/>
    <col min="795" max="795" width="15.125" style="255" customWidth="1"/>
    <col min="796" max="796" width="7.75" style="255" customWidth="1"/>
    <col min="797" max="797" width="7.125" style="255" customWidth="1"/>
    <col min="798" max="798" width="12.125" style="255" customWidth="1"/>
    <col min="799" max="799" width="8.25" style="255" customWidth="1"/>
    <col min="800" max="801" width="10.375" style="255" customWidth="1"/>
    <col min="802" max="802" width="15.625" style="255" customWidth="1"/>
    <col min="803" max="803" width="15.875" style="255" customWidth="1"/>
    <col min="804" max="804" width="8.125" style="255" customWidth="1"/>
    <col min="805" max="808" width="10.375" style="255" customWidth="1"/>
    <col min="809" max="809" width="7.25" style="255" customWidth="1"/>
    <col min="810" max="810" width="7.125" style="255" customWidth="1"/>
    <col min="811" max="811" width="9.5" style="255" customWidth="1"/>
    <col min="812" max="813" width="9" style="255" customWidth="1"/>
    <col min="814" max="814" width="16.125" style="255" customWidth="1"/>
    <col min="815" max="845" width="9" style="255" customWidth="1"/>
    <col min="846" max="1005" width="25.25" style="255"/>
    <col min="1006" max="1035" width="9" style="255" customWidth="1"/>
    <col min="1036" max="1036" width="0.5" style="255" customWidth="1"/>
    <col min="1037" max="1037" width="25.25" style="255"/>
    <col min="1038" max="1038" width="0.5" style="255" customWidth="1"/>
    <col min="1039" max="1039" width="25.25" style="255"/>
    <col min="1040" max="1040" width="14.75" style="255" customWidth="1"/>
    <col min="1041" max="1041" width="11.5" style="255" customWidth="1"/>
    <col min="1042" max="1042" width="11.25" style="255" customWidth="1"/>
    <col min="1043" max="1043" width="10.75" style="255" customWidth="1"/>
    <col min="1044" max="1044" width="10" style="255" customWidth="1"/>
    <col min="1045" max="1045" width="9.875" style="255" customWidth="1"/>
    <col min="1046" max="1046" width="26.125" style="255" customWidth="1"/>
    <col min="1047" max="1047" width="11.125" style="255" customWidth="1"/>
    <col min="1048" max="1048" width="7.875" style="255" customWidth="1"/>
    <col min="1049" max="1049" width="7.25" style="255" customWidth="1"/>
    <col min="1050" max="1050" width="9.125" style="255" customWidth="1"/>
    <col min="1051" max="1051" width="15.125" style="255" customWidth="1"/>
    <col min="1052" max="1052" width="7.75" style="255" customWidth="1"/>
    <col min="1053" max="1053" width="7.125" style="255" customWidth="1"/>
    <col min="1054" max="1054" width="12.125" style="255" customWidth="1"/>
    <col min="1055" max="1055" width="8.25" style="255" customWidth="1"/>
    <col min="1056" max="1057" width="10.375" style="255" customWidth="1"/>
    <col min="1058" max="1058" width="15.625" style="255" customWidth="1"/>
    <col min="1059" max="1059" width="15.875" style="255" customWidth="1"/>
    <col min="1060" max="1060" width="8.125" style="255" customWidth="1"/>
    <col min="1061" max="1064" width="10.375" style="255" customWidth="1"/>
    <col min="1065" max="1065" width="7.25" style="255" customWidth="1"/>
    <col min="1066" max="1066" width="7.125" style="255" customWidth="1"/>
    <col min="1067" max="1067" width="9.5" style="255" customWidth="1"/>
    <col min="1068" max="1069" width="9" style="255" customWidth="1"/>
    <col min="1070" max="1070" width="16.125" style="255" customWidth="1"/>
    <col min="1071" max="1101" width="9" style="255" customWidth="1"/>
    <col min="1102" max="1261" width="25.25" style="255"/>
    <col min="1262" max="1291" width="9" style="255" customWidth="1"/>
    <col min="1292" max="1292" width="0.5" style="255" customWidth="1"/>
    <col min="1293" max="1293" width="25.25" style="255"/>
    <col min="1294" max="1294" width="0.5" style="255" customWidth="1"/>
    <col min="1295" max="1295" width="25.25" style="255"/>
    <col min="1296" max="1296" width="14.75" style="255" customWidth="1"/>
    <col min="1297" max="1297" width="11.5" style="255" customWidth="1"/>
    <col min="1298" max="1298" width="11.25" style="255" customWidth="1"/>
    <col min="1299" max="1299" width="10.75" style="255" customWidth="1"/>
    <col min="1300" max="1300" width="10" style="255" customWidth="1"/>
    <col min="1301" max="1301" width="9.875" style="255" customWidth="1"/>
    <col min="1302" max="1302" width="26.125" style="255" customWidth="1"/>
    <col min="1303" max="1303" width="11.125" style="255" customWidth="1"/>
    <col min="1304" max="1304" width="7.875" style="255" customWidth="1"/>
    <col min="1305" max="1305" width="7.25" style="255" customWidth="1"/>
    <col min="1306" max="1306" width="9.125" style="255" customWidth="1"/>
    <col min="1307" max="1307" width="15.125" style="255" customWidth="1"/>
    <col min="1308" max="1308" width="7.75" style="255" customWidth="1"/>
    <col min="1309" max="1309" width="7.125" style="255" customWidth="1"/>
    <col min="1310" max="1310" width="12.125" style="255" customWidth="1"/>
    <col min="1311" max="1311" width="8.25" style="255" customWidth="1"/>
    <col min="1312" max="1313" width="10.375" style="255" customWidth="1"/>
    <col min="1314" max="1314" width="15.625" style="255" customWidth="1"/>
    <col min="1315" max="1315" width="15.875" style="255" customWidth="1"/>
    <col min="1316" max="1316" width="8.125" style="255" customWidth="1"/>
    <col min="1317" max="1320" width="10.375" style="255" customWidth="1"/>
    <col min="1321" max="1321" width="7.25" style="255" customWidth="1"/>
    <col min="1322" max="1322" width="7.125" style="255" customWidth="1"/>
    <col min="1323" max="1323" width="9.5" style="255" customWidth="1"/>
    <col min="1324" max="1325" width="9" style="255" customWidth="1"/>
    <col min="1326" max="1326" width="16.125" style="255" customWidth="1"/>
    <col min="1327" max="1357" width="9" style="255" customWidth="1"/>
    <col min="1358" max="1517" width="25.25" style="255"/>
    <col min="1518" max="1547" width="9" style="255" customWidth="1"/>
    <col min="1548" max="1548" width="0.5" style="255" customWidth="1"/>
    <col min="1549" max="1549" width="25.25" style="255"/>
    <col min="1550" max="1550" width="0.5" style="255" customWidth="1"/>
    <col min="1551" max="1551" width="25.25" style="255"/>
    <col min="1552" max="1552" width="14.75" style="255" customWidth="1"/>
    <col min="1553" max="1553" width="11.5" style="255" customWidth="1"/>
    <col min="1554" max="1554" width="11.25" style="255" customWidth="1"/>
    <col min="1555" max="1555" width="10.75" style="255" customWidth="1"/>
    <col min="1556" max="1556" width="10" style="255" customWidth="1"/>
    <col min="1557" max="1557" width="9.875" style="255" customWidth="1"/>
    <col min="1558" max="1558" width="26.125" style="255" customWidth="1"/>
    <col min="1559" max="1559" width="11.125" style="255" customWidth="1"/>
    <col min="1560" max="1560" width="7.875" style="255" customWidth="1"/>
    <col min="1561" max="1561" width="7.25" style="255" customWidth="1"/>
    <col min="1562" max="1562" width="9.125" style="255" customWidth="1"/>
    <col min="1563" max="1563" width="15.125" style="255" customWidth="1"/>
    <col min="1564" max="1564" width="7.75" style="255" customWidth="1"/>
    <col min="1565" max="1565" width="7.125" style="255" customWidth="1"/>
    <col min="1566" max="1566" width="12.125" style="255" customWidth="1"/>
    <col min="1567" max="1567" width="8.25" style="255" customWidth="1"/>
    <col min="1568" max="1569" width="10.375" style="255" customWidth="1"/>
    <col min="1570" max="1570" width="15.625" style="255" customWidth="1"/>
    <col min="1571" max="1571" width="15.875" style="255" customWidth="1"/>
    <col min="1572" max="1572" width="8.125" style="255" customWidth="1"/>
    <col min="1573" max="1576" width="10.375" style="255" customWidth="1"/>
    <col min="1577" max="1577" width="7.25" style="255" customWidth="1"/>
    <col min="1578" max="1578" width="7.125" style="255" customWidth="1"/>
    <col min="1579" max="1579" width="9.5" style="255" customWidth="1"/>
    <col min="1580" max="1581" width="9" style="255" customWidth="1"/>
    <col min="1582" max="1582" width="16.125" style="255" customWidth="1"/>
    <col min="1583" max="1613" width="9" style="255" customWidth="1"/>
    <col min="1614" max="1773" width="25.25" style="255"/>
    <col min="1774" max="1803" width="9" style="255" customWidth="1"/>
    <col min="1804" max="1804" width="0.5" style="255" customWidth="1"/>
    <col min="1805" max="1805" width="25.25" style="255"/>
    <col min="1806" max="1806" width="0.5" style="255" customWidth="1"/>
    <col min="1807" max="1807" width="25.25" style="255"/>
    <col min="1808" max="1808" width="14.75" style="255" customWidth="1"/>
    <col min="1809" max="1809" width="11.5" style="255" customWidth="1"/>
    <col min="1810" max="1810" width="11.25" style="255" customWidth="1"/>
    <col min="1811" max="1811" width="10.75" style="255" customWidth="1"/>
    <col min="1812" max="1812" width="10" style="255" customWidth="1"/>
    <col min="1813" max="1813" width="9.875" style="255" customWidth="1"/>
    <col min="1814" max="1814" width="26.125" style="255" customWidth="1"/>
    <col min="1815" max="1815" width="11.125" style="255" customWidth="1"/>
    <col min="1816" max="1816" width="7.875" style="255" customWidth="1"/>
    <col min="1817" max="1817" width="7.25" style="255" customWidth="1"/>
    <col min="1818" max="1818" width="9.125" style="255" customWidth="1"/>
    <col min="1819" max="1819" width="15.125" style="255" customWidth="1"/>
    <col min="1820" max="1820" width="7.75" style="255" customWidth="1"/>
    <col min="1821" max="1821" width="7.125" style="255" customWidth="1"/>
    <col min="1822" max="1822" width="12.125" style="255" customWidth="1"/>
    <col min="1823" max="1823" width="8.25" style="255" customWidth="1"/>
    <col min="1824" max="1825" width="10.375" style="255" customWidth="1"/>
    <col min="1826" max="1826" width="15.625" style="255" customWidth="1"/>
    <col min="1827" max="1827" width="15.875" style="255" customWidth="1"/>
    <col min="1828" max="1828" width="8.125" style="255" customWidth="1"/>
    <col min="1829" max="1832" width="10.375" style="255" customWidth="1"/>
    <col min="1833" max="1833" width="7.25" style="255" customWidth="1"/>
    <col min="1834" max="1834" width="7.125" style="255" customWidth="1"/>
    <col min="1835" max="1835" width="9.5" style="255" customWidth="1"/>
    <col min="1836" max="1837" width="9" style="255" customWidth="1"/>
    <col min="1838" max="1838" width="16.125" style="255" customWidth="1"/>
    <col min="1839" max="1869" width="9" style="255" customWidth="1"/>
    <col min="1870" max="2029" width="25.25" style="255"/>
    <col min="2030" max="2059" width="9" style="255" customWidth="1"/>
    <col min="2060" max="2060" width="0.5" style="255" customWidth="1"/>
    <col min="2061" max="2061" width="25.25" style="255"/>
    <col min="2062" max="2062" width="0.5" style="255" customWidth="1"/>
    <col min="2063" max="2063" width="25.25" style="255"/>
    <col min="2064" max="2064" width="14.75" style="255" customWidth="1"/>
    <col min="2065" max="2065" width="11.5" style="255" customWidth="1"/>
    <col min="2066" max="2066" width="11.25" style="255" customWidth="1"/>
    <col min="2067" max="2067" width="10.75" style="255" customWidth="1"/>
    <col min="2068" max="2068" width="10" style="255" customWidth="1"/>
    <col min="2069" max="2069" width="9.875" style="255" customWidth="1"/>
    <col min="2070" max="2070" width="26.125" style="255" customWidth="1"/>
    <col min="2071" max="2071" width="11.125" style="255" customWidth="1"/>
    <col min="2072" max="2072" width="7.875" style="255" customWidth="1"/>
    <col min="2073" max="2073" width="7.25" style="255" customWidth="1"/>
    <col min="2074" max="2074" width="9.125" style="255" customWidth="1"/>
    <col min="2075" max="2075" width="15.125" style="255" customWidth="1"/>
    <col min="2076" max="2076" width="7.75" style="255" customWidth="1"/>
    <col min="2077" max="2077" width="7.125" style="255" customWidth="1"/>
    <col min="2078" max="2078" width="12.125" style="255" customWidth="1"/>
    <col min="2079" max="2079" width="8.25" style="255" customWidth="1"/>
    <col min="2080" max="2081" width="10.375" style="255" customWidth="1"/>
    <col min="2082" max="2082" width="15.625" style="255" customWidth="1"/>
    <col min="2083" max="2083" width="15.875" style="255" customWidth="1"/>
    <col min="2084" max="2084" width="8.125" style="255" customWidth="1"/>
    <col min="2085" max="2088" width="10.375" style="255" customWidth="1"/>
    <col min="2089" max="2089" width="7.25" style="255" customWidth="1"/>
    <col min="2090" max="2090" width="7.125" style="255" customWidth="1"/>
    <col min="2091" max="2091" width="9.5" style="255" customWidth="1"/>
    <col min="2092" max="2093" width="9" style="255" customWidth="1"/>
    <col min="2094" max="2094" width="16.125" style="255" customWidth="1"/>
    <col min="2095" max="2125" width="9" style="255" customWidth="1"/>
    <col min="2126" max="2285" width="25.25" style="255"/>
    <col min="2286" max="2315" width="9" style="255" customWidth="1"/>
    <col min="2316" max="2316" width="0.5" style="255" customWidth="1"/>
    <col min="2317" max="2317" width="25.25" style="255"/>
    <col min="2318" max="2318" width="0.5" style="255" customWidth="1"/>
    <col min="2319" max="2319" width="25.25" style="255"/>
    <col min="2320" max="2320" width="14.75" style="255" customWidth="1"/>
    <col min="2321" max="2321" width="11.5" style="255" customWidth="1"/>
    <col min="2322" max="2322" width="11.25" style="255" customWidth="1"/>
    <col min="2323" max="2323" width="10.75" style="255" customWidth="1"/>
    <col min="2324" max="2324" width="10" style="255" customWidth="1"/>
    <col min="2325" max="2325" width="9.875" style="255" customWidth="1"/>
    <col min="2326" max="2326" width="26.125" style="255" customWidth="1"/>
    <col min="2327" max="2327" width="11.125" style="255" customWidth="1"/>
    <col min="2328" max="2328" width="7.875" style="255" customWidth="1"/>
    <col min="2329" max="2329" width="7.25" style="255" customWidth="1"/>
    <col min="2330" max="2330" width="9.125" style="255" customWidth="1"/>
    <col min="2331" max="2331" width="15.125" style="255" customWidth="1"/>
    <col min="2332" max="2332" width="7.75" style="255" customWidth="1"/>
    <col min="2333" max="2333" width="7.125" style="255" customWidth="1"/>
    <col min="2334" max="2334" width="12.125" style="255" customWidth="1"/>
    <col min="2335" max="2335" width="8.25" style="255" customWidth="1"/>
    <col min="2336" max="2337" width="10.375" style="255" customWidth="1"/>
    <col min="2338" max="2338" width="15.625" style="255" customWidth="1"/>
    <col min="2339" max="2339" width="15.875" style="255" customWidth="1"/>
    <col min="2340" max="2340" width="8.125" style="255" customWidth="1"/>
    <col min="2341" max="2344" width="10.375" style="255" customWidth="1"/>
    <col min="2345" max="2345" width="7.25" style="255" customWidth="1"/>
    <col min="2346" max="2346" width="7.125" style="255" customWidth="1"/>
    <col min="2347" max="2347" width="9.5" style="255" customWidth="1"/>
    <col min="2348" max="2349" width="9" style="255" customWidth="1"/>
    <col min="2350" max="2350" width="16.125" style="255" customWidth="1"/>
    <col min="2351" max="2381" width="9" style="255" customWidth="1"/>
    <col min="2382" max="2541" width="25.25" style="255"/>
    <col min="2542" max="2571" width="9" style="255" customWidth="1"/>
    <col min="2572" max="2572" width="0.5" style="255" customWidth="1"/>
    <col min="2573" max="2573" width="25.25" style="255"/>
    <col min="2574" max="2574" width="0.5" style="255" customWidth="1"/>
    <col min="2575" max="2575" width="25.25" style="255"/>
    <col min="2576" max="2576" width="14.75" style="255" customWidth="1"/>
    <col min="2577" max="2577" width="11.5" style="255" customWidth="1"/>
    <col min="2578" max="2578" width="11.25" style="255" customWidth="1"/>
    <col min="2579" max="2579" width="10.75" style="255" customWidth="1"/>
    <col min="2580" max="2580" width="10" style="255" customWidth="1"/>
    <col min="2581" max="2581" width="9.875" style="255" customWidth="1"/>
    <col min="2582" max="2582" width="26.125" style="255" customWidth="1"/>
    <col min="2583" max="2583" width="11.125" style="255" customWidth="1"/>
    <col min="2584" max="2584" width="7.875" style="255" customWidth="1"/>
    <col min="2585" max="2585" width="7.25" style="255" customWidth="1"/>
    <col min="2586" max="2586" width="9.125" style="255" customWidth="1"/>
    <col min="2587" max="2587" width="15.125" style="255" customWidth="1"/>
    <col min="2588" max="2588" width="7.75" style="255" customWidth="1"/>
    <col min="2589" max="2589" width="7.125" style="255" customWidth="1"/>
    <col min="2590" max="2590" width="12.125" style="255" customWidth="1"/>
    <col min="2591" max="2591" width="8.25" style="255" customWidth="1"/>
    <col min="2592" max="2593" width="10.375" style="255" customWidth="1"/>
    <col min="2594" max="2594" width="15.625" style="255" customWidth="1"/>
    <col min="2595" max="2595" width="15.875" style="255" customWidth="1"/>
    <col min="2596" max="2596" width="8.125" style="255" customWidth="1"/>
    <col min="2597" max="2600" width="10.375" style="255" customWidth="1"/>
    <col min="2601" max="2601" width="7.25" style="255" customWidth="1"/>
    <col min="2602" max="2602" width="7.125" style="255" customWidth="1"/>
    <col min="2603" max="2603" width="9.5" style="255" customWidth="1"/>
    <col min="2604" max="2605" width="9" style="255" customWidth="1"/>
    <col min="2606" max="2606" width="16.125" style="255" customWidth="1"/>
    <col min="2607" max="2637" width="9" style="255" customWidth="1"/>
    <col min="2638" max="2797" width="25.25" style="255"/>
    <col min="2798" max="2827" width="9" style="255" customWidth="1"/>
    <col min="2828" max="2828" width="0.5" style="255" customWidth="1"/>
    <col min="2829" max="2829" width="25.25" style="255"/>
    <col min="2830" max="2830" width="0.5" style="255" customWidth="1"/>
    <col min="2831" max="2831" width="25.25" style="255"/>
    <col min="2832" max="2832" width="14.75" style="255" customWidth="1"/>
    <col min="2833" max="2833" width="11.5" style="255" customWidth="1"/>
    <col min="2834" max="2834" width="11.25" style="255" customWidth="1"/>
    <col min="2835" max="2835" width="10.75" style="255" customWidth="1"/>
    <col min="2836" max="2836" width="10" style="255" customWidth="1"/>
    <col min="2837" max="2837" width="9.875" style="255" customWidth="1"/>
    <col min="2838" max="2838" width="26.125" style="255" customWidth="1"/>
    <col min="2839" max="2839" width="11.125" style="255" customWidth="1"/>
    <col min="2840" max="2840" width="7.875" style="255" customWidth="1"/>
    <col min="2841" max="2841" width="7.25" style="255" customWidth="1"/>
    <col min="2842" max="2842" width="9.125" style="255" customWidth="1"/>
    <col min="2843" max="2843" width="15.125" style="255" customWidth="1"/>
    <col min="2844" max="2844" width="7.75" style="255" customWidth="1"/>
    <col min="2845" max="2845" width="7.125" style="255" customWidth="1"/>
    <col min="2846" max="2846" width="12.125" style="255" customWidth="1"/>
    <col min="2847" max="2847" width="8.25" style="255" customWidth="1"/>
    <col min="2848" max="2849" width="10.375" style="255" customWidth="1"/>
    <col min="2850" max="2850" width="15.625" style="255" customWidth="1"/>
    <col min="2851" max="2851" width="15.875" style="255" customWidth="1"/>
    <col min="2852" max="2852" width="8.125" style="255" customWidth="1"/>
    <col min="2853" max="2856" width="10.375" style="255" customWidth="1"/>
    <col min="2857" max="2857" width="7.25" style="255" customWidth="1"/>
    <col min="2858" max="2858" width="7.125" style="255" customWidth="1"/>
    <col min="2859" max="2859" width="9.5" style="255" customWidth="1"/>
    <col min="2860" max="2861" width="9" style="255" customWidth="1"/>
    <col min="2862" max="2862" width="16.125" style="255" customWidth="1"/>
    <col min="2863" max="2893" width="9" style="255" customWidth="1"/>
    <col min="2894" max="3053" width="25.25" style="255"/>
    <col min="3054" max="3083" width="9" style="255" customWidth="1"/>
    <col min="3084" max="3084" width="0.5" style="255" customWidth="1"/>
    <col min="3085" max="3085" width="25.25" style="255"/>
    <col min="3086" max="3086" width="0.5" style="255" customWidth="1"/>
    <col min="3087" max="3087" width="25.25" style="255"/>
    <col min="3088" max="3088" width="14.75" style="255" customWidth="1"/>
    <col min="3089" max="3089" width="11.5" style="255" customWidth="1"/>
    <col min="3090" max="3090" width="11.25" style="255" customWidth="1"/>
    <col min="3091" max="3091" width="10.75" style="255" customWidth="1"/>
    <col min="3092" max="3092" width="10" style="255" customWidth="1"/>
    <col min="3093" max="3093" width="9.875" style="255" customWidth="1"/>
    <col min="3094" max="3094" width="26.125" style="255" customWidth="1"/>
    <col min="3095" max="3095" width="11.125" style="255" customWidth="1"/>
    <col min="3096" max="3096" width="7.875" style="255" customWidth="1"/>
    <col min="3097" max="3097" width="7.25" style="255" customWidth="1"/>
    <col min="3098" max="3098" width="9.125" style="255" customWidth="1"/>
    <col min="3099" max="3099" width="15.125" style="255" customWidth="1"/>
    <col min="3100" max="3100" width="7.75" style="255" customWidth="1"/>
    <col min="3101" max="3101" width="7.125" style="255" customWidth="1"/>
    <col min="3102" max="3102" width="12.125" style="255" customWidth="1"/>
    <col min="3103" max="3103" width="8.25" style="255" customWidth="1"/>
    <col min="3104" max="3105" width="10.375" style="255" customWidth="1"/>
    <col min="3106" max="3106" width="15.625" style="255" customWidth="1"/>
    <col min="3107" max="3107" width="15.875" style="255" customWidth="1"/>
    <col min="3108" max="3108" width="8.125" style="255" customWidth="1"/>
    <col min="3109" max="3112" width="10.375" style="255" customWidth="1"/>
    <col min="3113" max="3113" width="7.25" style="255" customWidth="1"/>
    <col min="3114" max="3114" width="7.125" style="255" customWidth="1"/>
    <col min="3115" max="3115" width="9.5" style="255" customWidth="1"/>
    <col min="3116" max="3117" width="9" style="255" customWidth="1"/>
    <col min="3118" max="3118" width="16.125" style="255" customWidth="1"/>
    <col min="3119" max="3149" width="9" style="255" customWidth="1"/>
    <col min="3150" max="3309" width="25.25" style="255"/>
    <col min="3310" max="3339" width="9" style="255" customWidth="1"/>
    <col min="3340" max="3340" width="0.5" style="255" customWidth="1"/>
    <col min="3341" max="3341" width="25.25" style="255"/>
    <col min="3342" max="3342" width="0.5" style="255" customWidth="1"/>
    <col min="3343" max="3343" width="25.25" style="255"/>
    <col min="3344" max="3344" width="14.75" style="255" customWidth="1"/>
    <col min="3345" max="3345" width="11.5" style="255" customWidth="1"/>
    <col min="3346" max="3346" width="11.25" style="255" customWidth="1"/>
    <col min="3347" max="3347" width="10.75" style="255" customWidth="1"/>
    <col min="3348" max="3348" width="10" style="255" customWidth="1"/>
    <col min="3349" max="3349" width="9.875" style="255" customWidth="1"/>
    <col min="3350" max="3350" width="26.125" style="255" customWidth="1"/>
    <col min="3351" max="3351" width="11.125" style="255" customWidth="1"/>
    <col min="3352" max="3352" width="7.875" style="255" customWidth="1"/>
    <col min="3353" max="3353" width="7.25" style="255" customWidth="1"/>
    <col min="3354" max="3354" width="9.125" style="255" customWidth="1"/>
    <col min="3355" max="3355" width="15.125" style="255" customWidth="1"/>
    <col min="3356" max="3356" width="7.75" style="255" customWidth="1"/>
    <col min="3357" max="3357" width="7.125" style="255" customWidth="1"/>
    <col min="3358" max="3358" width="12.125" style="255" customWidth="1"/>
    <col min="3359" max="3359" width="8.25" style="255" customWidth="1"/>
    <col min="3360" max="3361" width="10.375" style="255" customWidth="1"/>
    <col min="3362" max="3362" width="15.625" style="255" customWidth="1"/>
    <col min="3363" max="3363" width="15.875" style="255" customWidth="1"/>
    <col min="3364" max="3364" width="8.125" style="255" customWidth="1"/>
    <col min="3365" max="3368" width="10.375" style="255" customWidth="1"/>
    <col min="3369" max="3369" width="7.25" style="255" customWidth="1"/>
    <col min="3370" max="3370" width="7.125" style="255" customWidth="1"/>
    <col min="3371" max="3371" width="9.5" style="255" customWidth="1"/>
    <col min="3372" max="3373" width="9" style="255" customWidth="1"/>
    <col min="3374" max="3374" width="16.125" style="255" customWidth="1"/>
    <col min="3375" max="3405" width="9" style="255" customWidth="1"/>
    <col min="3406" max="3565" width="25.25" style="255"/>
    <col min="3566" max="3595" width="9" style="255" customWidth="1"/>
    <col min="3596" max="3596" width="0.5" style="255" customWidth="1"/>
    <col min="3597" max="3597" width="25.25" style="255"/>
    <col min="3598" max="3598" width="0.5" style="255" customWidth="1"/>
    <col min="3599" max="3599" width="25.25" style="255"/>
    <col min="3600" max="3600" width="14.75" style="255" customWidth="1"/>
    <col min="3601" max="3601" width="11.5" style="255" customWidth="1"/>
    <col min="3602" max="3602" width="11.25" style="255" customWidth="1"/>
    <col min="3603" max="3603" width="10.75" style="255" customWidth="1"/>
    <col min="3604" max="3604" width="10" style="255" customWidth="1"/>
    <col min="3605" max="3605" width="9.875" style="255" customWidth="1"/>
    <col min="3606" max="3606" width="26.125" style="255" customWidth="1"/>
    <col min="3607" max="3607" width="11.125" style="255" customWidth="1"/>
    <col min="3608" max="3608" width="7.875" style="255" customWidth="1"/>
    <col min="3609" max="3609" width="7.25" style="255" customWidth="1"/>
    <col min="3610" max="3610" width="9.125" style="255" customWidth="1"/>
    <col min="3611" max="3611" width="15.125" style="255" customWidth="1"/>
    <col min="3612" max="3612" width="7.75" style="255" customWidth="1"/>
    <col min="3613" max="3613" width="7.125" style="255" customWidth="1"/>
    <col min="3614" max="3614" width="12.125" style="255" customWidth="1"/>
    <col min="3615" max="3615" width="8.25" style="255" customWidth="1"/>
    <col min="3616" max="3617" width="10.375" style="255" customWidth="1"/>
    <col min="3618" max="3618" width="15.625" style="255" customWidth="1"/>
    <col min="3619" max="3619" width="15.875" style="255" customWidth="1"/>
    <col min="3620" max="3620" width="8.125" style="255" customWidth="1"/>
    <col min="3621" max="3624" width="10.375" style="255" customWidth="1"/>
    <col min="3625" max="3625" width="7.25" style="255" customWidth="1"/>
    <col min="3626" max="3626" width="7.125" style="255" customWidth="1"/>
    <col min="3627" max="3627" width="9.5" style="255" customWidth="1"/>
    <col min="3628" max="3629" width="9" style="255" customWidth="1"/>
    <col min="3630" max="3630" width="16.125" style="255" customWidth="1"/>
    <col min="3631" max="3661" width="9" style="255" customWidth="1"/>
    <col min="3662" max="3821" width="25.25" style="255"/>
    <col min="3822" max="3851" width="9" style="255" customWidth="1"/>
    <col min="3852" max="3852" width="0.5" style="255" customWidth="1"/>
    <col min="3853" max="3853" width="25.25" style="255"/>
    <col min="3854" max="3854" width="0.5" style="255" customWidth="1"/>
    <col min="3855" max="3855" width="25.25" style="255"/>
    <col min="3856" max="3856" width="14.75" style="255" customWidth="1"/>
    <col min="3857" max="3857" width="11.5" style="255" customWidth="1"/>
    <col min="3858" max="3858" width="11.25" style="255" customWidth="1"/>
    <col min="3859" max="3859" width="10.75" style="255" customWidth="1"/>
    <col min="3860" max="3860" width="10" style="255" customWidth="1"/>
    <col min="3861" max="3861" width="9.875" style="255" customWidth="1"/>
    <col min="3862" max="3862" width="26.125" style="255" customWidth="1"/>
    <col min="3863" max="3863" width="11.125" style="255" customWidth="1"/>
    <col min="3864" max="3864" width="7.875" style="255" customWidth="1"/>
    <col min="3865" max="3865" width="7.25" style="255" customWidth="1"/>
    <col min="3866" max="3866" width="9.125" style="255" customWidth="1"/>
    <col min="3867" max="3867" width="15.125" style="255" customWidth="1"/>
    <col min="3868" max="3868" width="7.75" style="255" customWidth="1"/>
    <col min="3869" max="3869" width="7.125" style="255" customWidth="1"/>
    <col min="3870" max="3870" width="12.125" style="255" customWidth="1"/>
    <col min="3871" max="3871" width="8.25" style="255" customWidth="1"/>
    <col min="3872" max="3873" width="10.375" style="255" customWidth="1"/>
    <col min="3874" max="3874" width="15.625" style="255" customWidth="1"/>
    <col min="3875" max="3875" width="15.875" style="255" customWidth="1"/>
    <col min="3876" max="3876" width="8.125" style="255" customWidth="1"/>
    <col min="3877" max="3880" width="10.375" style="255" customWidth="1"/>
    <col min="3881" max="3881" width="7.25" style="255" customWidth="1"/>
    <col min="3882" max="3882" width="7.125" style="255" customWidth="1"/>
    <col min="3883" max="3883" width="9.5" style="255" customWidth="1"/>
    <col min="3884" max="3885" width="9" style="255" customWidth="1"/>
    <col min="3886" max="3886" width="16.125" style="255" customWidth="1"/>
    <col min="3887" max="3917" width="9" style="255" customWidth="1"/>
    <col min="3918" max="4077" width="25.25" style="255"/>
    <col min="4078" max="4107" width="9" style="255" customWidth="1"/>
    <col min="4108" max="4108" width="0.5" style="255" customWidth="1"/>
    <col min="4109" max="4109" width="25.25" style="255"/>
    <col min="4110" max="4110" width="0.5" style="255" customWidth="1"/>
    <col min="4111" max="4111" width="25.25" style="255"/>
    <col min="4112" max="4112" width="14.75" style="255" customWidth="1"/>
    <col min="4113" max="4113" width="11.5" style="255" customWidth="1"/>
    <col min="4114" max="4114" width="11.25" style="255" customWidth="1"/>
    <col min="4115" max="4115" width="10.75" style="255" customWidth="1"/>
    <col min="4116" max="4116" width="10" style="255" customWidth="1"/>
    <col min="4117" max="4117" width="9.875" style="255" customWidth="1"/>
    <col min="4118" max="4118" width="26.125" style="255" customWidth="1"/>
    <col min="4119" max="4119" width="11.125" style="255" customWidth="1"/>
    <col min="4120" max="4120" width="7.875" style="255" customWidth="1"/>
    <col min="4121" max="4121" width="7.25" style="255" customWidth="1"/>
    <col min="4122" max="4122" width="9.125" style="255" customWidth="1"/>
    <col min="4123" max="4123" width="15.125" style="255" customWidth="1"/>
    <col min="4124" max="4124" width="7.75" style="255" customWidth="1"/>
    <col min="4125" max="4125" width="7.125" style="255" customWidth="1"/>
    <col min="4126" max="4126" width="12.125" style="255" customWidth="1"/>
    <col min="4127" max="4127" width="8.25" style="255" customWidth="1"/>
    <col min="4128" max="4129" width="10.375" style="255" customWidth="1"/>
    <col min="4130" max="4130" width="15.625" style="255" customWidth="1"/>
    <col min="4131" max="4131" width="15.875" style="255" customWidth="1"/>
    <col min="4132" max="4132" width="8.125" style="255" customWidth="1"/>
    <col min="4133" max="4136" width="10.375" style="255" customWidth="1"/>
    <col min="4137" max="4137" width="7.25" style="255" customWidth="1"/>
    <col min="4138" max="4138" width="7.125" style="255" customWidth="1"/>
    <col min="4139" max="4139" width="9.5" style="255" customWidth="1"/>
    <col min="4140" max="4141" width="9" style="255" customWidth="1"/>
    <col min="4142" max="4142" width="16.125" style="255" customWidth="1"/>
    <col min="4143" max="4173" width="9" style="255" customWidth="1"/>
    <col min="4174" max="4333" width="25.25" style="255"/>
    <col min="4334" max="4363" width="9" style="255" customWidth="1"/>
    <col min="4364" max="4364" width="0.5" style="255" customWidth="1"/>
    <col min="4365" max="4365" width="25.25" style="255"/>
    <col min="4366" max="4366" width="0.5" style="255" customWidth="1"/>
    <col min="4367" max="4367" width="25.25" style="255"/>
    <col min="4368" max="4368" width="14.75" style="255" customWidth="1"/>
    <col min="4369" max="4369" width="11.5" style="255" customWidth="1"/>
    <col min="4370" max="4370" width="11.25" style="255" customWidth="1"/>
    <col min="4371" max="4371" width="10.75" style="255" customWidth="1"/>
    <col min="4372" max="4372" width="10" style="255" customWidth="1"/>
    <col min="4373" max="4373" width="9.875" style="255" customWidth="1"/>
    <col min="4374" max="4374" width="26.125" style="255" customWidth="1"/>
    <col min="4375" max="4375" width="11.125" style="255" customWidth="1"/>
    <col min="4376" max="4376" width="7.875" style="255" customWidth="1"/>
    <col min="4377" max="4377" width="7.25" style="255" customWidth="1"/>
    <col min="4378" max="4378" width="9.125" style="255" customWidth="1"/>
    <col min="4379" max="4379" width="15.125" style="255" customWidth="1"/>
    <col min="4380" max="4380" width="7.75" style="255" customWidth="1"/>
    <col min="4381" max="4381" width="7.125" style="255" customWidth="1"/>
    <col min="4382" max="4382" width="12.125" style="255" customWidth="1"/>
    <col min="4383" max="4383" width="8.25" style="255" customWidth="1"/>
    <col min="4384" max="4385" width="10.375" style="255" customWidth="1"/>
    <col min="4386" max="4386" width="15.625" style="255" customWidth="1"/>
    <col min="4387" max="4387" width="15.875" style="255" customWidth="1"/>
    <col min="4388" max="4388" width="8.125" style="255" customWidth="1"/>
    <col min="4389" max="4392" width="10.375" style="255" customWidth="1"/>
    <col min="4393" max="4393" width="7.25" style="255" customWidth="1"/>
    <col min="4394" max="4394" width="7.125" style="255" customWidth="1"/>
    <col min="4395" max="4395" width="9.5" style="255" customWidth="1"/>
    <col min="4396" max="4397" width="9" style="255" customWidth="1"/>
    <col min="4398" max="4398" width="16.125" style="255" customWidth="1"/>
    <col min="4399" max="4429" width="9" style="255" customWidth="1"/>
    <col min="4430" max="4589" width="25.25" style="255"/>
    <col min="4590" max="4619" width="9" style="255" customWidth="1"/>
    <col min="4620" max="4620" width="0.5" style="255" customWidth="1"/>
    <col min="4621" max="4621" width="25.25" style="255"/>
    <col min="4622" max="4622" width="0.5" style="255" customWidth="1"/>
    <col min="4623" max="4623" width="25.25" style="255"/>
    <col min="4624" max="4624" width="14.75" style="255" customWidth="1"/>
    <col min="4625" max="4625" width="11.5" style="255" customWidth="1"/>
    <col min="4626" max="4626" width="11.25" style="255" customWidth="1"/>
    <col min="4627" max="4627" width="10.75" style="255" customWidth="1"/>
    <col min="4628" max="4628" width="10" style="255" customWidth="1"/>
    <col min="4629" max="4629" width="9.875" style="255" customWidth="1"/>
    <col min="4630" max="4630" width="26.125" style="255" customWidth="1"/>
    <col min="4631" max="4631" width="11.125" style="255" customWidth="1"/>
    <col min="4632" max="4632" width="7.875" style="255" customWidth="1"/>
    <col min="4633" max="4633" width="7.25" style="255" customWidth="1"/>
    <col min="4634" max="4634" width="9.125" style="255" customWidth="1"/>
    <col min="4635" max="4635" width="15.125" style="255" customWidth="1"/>
    <col min="4636" max="4636" width="7.75" style="255" customWidth="1"/>
    <col min="4637" max="4637" width="7.125" style="255" customWidth="1"/>
    <col min="4638" max="4638" width="12.125" style="255" customWidth="1"/>
    <col min="4639" max="4639" width="8.25" style="255" customWidth="1"/>
    <col min="4640" max="4641" width="10.375" style="255" customWidth="1"/>
    <col min="4642" max="4642" width="15.625" style="255" customWidth="1"/>
    <col min="4643" max="4643" width="15.875" style="255" customWidth="1"/>
    <col min="4644" max="4644" width="8.125" style="255" customWidth="1"/>
    <col min="4645" max="4648" width="10.375" style="255" customWidth="1"/>
    <col min="4649" max="4649" width="7.25" style="255" customWidth="1"/>
    <col min="4650" max="4650" width="7.125" style="255" customWidth="1"/>
    <col min="4651" max="4651" width="9.5" style="255" customWidth="1"/>
    <col min="4652" max="4653" width="9" style="255" customWidth="1"/>
    <col min="4654" max="4654" width="16.125" style="255" customWidth="1"/>
    <col min="4655" max="4685" width="9" style="255" customWidth="1"/>
    <col min="4686" max="4845" width="25.25" style="255"/>
    <col min="4846" max="4875" width="9" style="255" customWidth="1"/>
    <col min="4876" max="4876" width="0.5" style="255" customWidth="1"/>
    <col min="4877" max="4877" width="25.25" style="255"/>
    <col min="4878" max="4878" width="0.5" style="255" customWidth="1"/>
    <col min="4879" max="4879" width="25.25" style="255"/>
    <col min="4880" max="4880" width="14.75" style="255" customWidth="1"/>
    <col min="4881" max="4881" width="11.5" style="255" customWidth="1"/>
    <col min="4882" max="4882" width="11.25" style="255" customWidth="1"/>
    <col min="4883" max="4883" width="10.75" style="255" customWidth="1"/>
    <col min="4884" max="4884" width="10" style="255" customWidth="1"/>
    <col min="4885" max="4885" width="9.875" style="255" customWidth="1"/>
    <col min="4886" max="4886" width="26.125" style="255" customWidth="1"/>
    <col min="4887" max="4887" width="11.125" style="255" customWidth="1"/>
    <col min="4888" max="4888" width="7.875" style="255" customWidth="1"/>
    <col min="4889" max="4889" width="7.25" style="255" customWidth="1"/>
    <col min="4890" max="4890" width="9.125" style="255" customWidth="1"/>
    <col min="4891" max="4891" width="15.125" style="255" customWidth="1"/>
    <col min="4892" max="4892" width="7.75" style="255" customWidth="1"/>
    <col min="4893" max="4893" width="7.125" style="255" customWidth="1"/>
    <col min="4894" max="4894" width="12.125" style="255" customWidth="1"/>
    <col min="4895" max="4895" width="8.25" style="255" customWidth="1"/>
    <col min="4896" max="4897" width="10.375" style="255" customWidth="1"/>
    <col min="4898" max="4898" width="15.625" style="255" customWidth="1"/>
    <col min="4899" max="4899" width="15.875" style="255" customWidth="1"/>
    <col min="4900" max="4900" width="8.125" style="255" customWidth="1"/>
    <col min="4901" max="4904" width="10.375" style="255" customWidth="1"/>
    <col min="4905" max="4905" width="7.25" style="255" customWidth="1"/>
    <col min="4906" max="4906" width="7.125" style="255" customWidth="1"/>
    <col min="4907" max="4907" width="9.5" style="255" customWidth="1"/>
    <col min="4908" max="4909" width="9" style="255" customWidth="1"/>
    <col min="4910" max="4910" width="16.125" style="255" customWidth="1"/>
    <col min="4911" max="4941" width="9" style="255" customWidth="1"/>
    <col min="4942" max="5101" width="25.25" style="255"/>
    <col min="5102" max="5131" width="9" style="255" customWidth="1"/>
    <col min="5132" max="5132" width="0.5" style="255" customWidth="1"/>
    <col min="5133" max="5133" width="25.25" style="255"/>
    <col min="5134" max="5134" width="0.5" style="255" customWidth="1"/>
    <col min="5135" max="5135" width="25.25" style="255"/>
    <col min="5136" max="5136" width="14.75" style="255" customWidth="1"/>
    <col min="5137" max="5137" width="11.5" style="255" customWidth="1"/>
    <col min="5138" max="5138" width="11.25" style="255" customWidth="1"/>
    <col min="5139" max="5139" width="10.75" style="255" customWidth="1"/>
    <col min="5140" max="5140" width="10" style="255" customWidth="1"/>
    <col min="5141" max="5141" width="9.875" style="255" customWidth="1"/>
    <col min="5142" max="5142" width="26.125" style="255" customWidth="1"/>
    <col min="5143" max="5143" width="11.125" style="255" customWidth="1"/>
    <col min="5144" max="5144" width="7.875" style="255" customWidth="1"/>
    <col min="5145" max="5145" width="7.25" style="255" customWidth="1"/>
    <col min="5146" max="5146" width="9.125" style="255" customWidth="1"/>
    <col min="5147" max="5147" width="15.125" style="255" customWidth="1"/>
    <col min="5148" max="5148" width="7.75" style="255" customWidth="1"/>
    <col min="5149" max="5149" width="7.125" style="255" customWidth="1"/>
    <col min="5150" max="5150" width="12.125" style="255" customWidth="1"/>
    <col min="5151" max="5151" width="8.25" style="255" customWidth="1"/>
    <col min="5152" max="5153" width="10.375" style="255" customWidth="1"/>
    <col min="5154" max="5154" width="15.625" style="255" customWidth="1"/>
    <col min="5155" max="5155" width="15.875" style="255" customWidth="1"/>
    <col min="5156" max="5156" width="8.125" style="255" customWidth="1"/>
    <col min="5157" max="5160" width="10.375" style="255" customWidth="1"/>
    <col min="5161" max="5161" width="7.25" style="255" customWidth="1"/>
    <col min="5162" max="5162" width="7.125" style="255" customWidth="1"/>
    <col min="5163" max="5163" width="9.5" style="255" customWidth="1"/>
    <col min="5164" max="5165" width="9" style="255" customWidth="1"/>
    <col min="5166" max="5166" width="16.125" style="255" customWidth="1"/>
    <col min="5167" max="5197" width="9" style="255" customWidth="1"/>
    <col min="5198" max="5357" width="25.25" style="255"/>
    <col min="5358" max="5387" width="9" style="255" customWidth="1"/>
    <col min="5388" max="5388" width="0.5" style="255" customWidth="1"/>
    <col min="5389" max="5389" width="25.25" style="255"/>
    <col min="5390" max="5390" width="0.5" style="255" customWidth="1"/>
    <col min="5391" max="5391" width="25.25" style="255"/>
    <col min="5392" max="5392" width="14.75" style="255" customWidth="1"/>
    <col min="5393" max="5393" width="11.5" style="255" customWidth="1"/>
    <col min="5394" max="5394" width="11.25" style="255" customWidth="1"/>
    <col min="5395" max="5395" width="10.75" style="255" customWidth="1"/>
    <col min="5396" max="5396" width="10" style="255" customWidth="1"/>
    <col min="5397" max="5397" width="9.875" style="255" customWidth="1"/>
    <col min="5398" max="5398" width="26.125" style="255" customWidth="1"/>
    <col min="5399" max="5399" width="11.125" style="255" customWidth="1"/>
    <col min="5400" max="5400" width="7.875" style="255" customWidth="1"/>
    <col min="5401" max="5401" width="7.25" style="255" customWidth="1"/>
    <col min="5402" max="5402" width="9.125" style="255" customWidth="1"/>
    <col min="5403" max="5403" width="15.125" style="255" customWidth="1"/>
    <col min="5404" max="5404" width="7.75" style="255" customWidth="1"/>
    <col min="5405" max="5405" width="7.125" style="255" customWidth="1"/>
    <col min="5406" max="5406" width="12.125" style="255" customWidth="1"/>
    <col min="5407" max="5407" width="8.25" style="255" customWidth="1"/>
    <col min="5408" max="5409" width="10.375" style="255" customWidth="1"/>
    <col min="5410" max="5410" width="15.625" style="255" customWidth="1"/>
    <col min="5411" max="5411" width="15.875" style="255" customWidth="1"/>
    <col min="5412" max="5412" width="8.125" style="255" customWidth="1"/>
    <col min="5413" max="5416" width="10.375" style="255" customWidth="1"/>
    <col min="5417" max="5417" width="7.25" style="255" customWidth="1"/>
    <col min="5418" max="5418" width="7.125" style="255" customWidth="1"/>
    <col min="5419" max="5419" width="9.5" style="255" customWidth="1"/>
    <col min="5420" max="5421" width="9" style="255" customWidth="1"/>
    <col min="5422" max="5422" width="16.125" style="255" customWidth="1"/>
    <col min="5423" max="5453" width="9" style="255" customWidth="1"/>
    <col min="5454" max="5613" width="25.25" style="255"/>
    <col min="5614" max="5643" width="9" style="255" customWidth="1"/>
    <col min="5644" max="5644" width="0.5" style="255" customWidth="1"/>
    <col min="5645" max="5645" width="25.25" style="255"/>
    <col min="5646" max="5646" width="0.5" style="255" customWidth="1"/>
    <col min="5647" max="5647" width="25.25" style="255"/>
    <col min="5648" max="5648" width="14.75" style="255" customWidth="1"/>
    <col min="5649" max="5649" width="11.5" style="255" customWidth="1"/>
    <col min="5650" max="5650" width="11.25" style="255" customWidth="1"/>
    <col min="5651" max="5651" width="10.75" style="255" customWidth="1"/>
    <col min="5652" max="5652" width="10" style="255" customWidth="1"/>
    <col min="5653" max="5653" width="9.875" style="255" customWidth="1"/>
    <col min="5654" max="5654" width="26.125" style="255" customWidth="1"/>
    <col min="5655" max="5655" width="11.125" style="255" customWidth="1"/>
    <col min="5656" max="5656" width="7.875" style="255" customWidth="1"/>
    <col min="5657" max="5657" width="7.25" style="255" customWidth="1"/>
    <col min="5658" max="5658" width="9.125" style="255" customWidth="1"/>
    <col min="5659" max="5659" width="15.125" style="255" customWidth="1"/>
    <col min="5660" max="5660" width="7.75" style="255" customWidth="1"/>
    <col min="5661" max="5661" width="7.125" style="255" customWidth="1"/>
    <col min="5662" max="5662" width="12.125" style="255" customWidth="1"/>
    <col min="5663" max="5663" width="8.25" style="255" customWidth="1"/>
    <col min="5664" max="5665" width="10.375" style="255" customWidth="1"/>
    <col min="5666" max="5666" width="15.625" style="255" customWidth="1"/>
    <col min="5667" max="5667" width="15.875" style="255" customWidth="1"/>
    <col min="5668" max="5668" width="8.125" style="255" customWidth="1"/>
    <col min="5669" max="5672" width="10.375" style="255" customWidth="1"/>
    <col min="5673" max="5673" width="7.25" style="255" customWidth="1"/>
    <col min="5674" max="5674" width="7.125" style="255" customWidth="1"/>
    <col min="5675" max="5675" width="9.5" style="255" customWidth="1"/>
    <col min="5676" max="5677" width="9" style="255" customWidth="1"/>
    <col min="5678" max="5678" width="16.125" style="255" customWidth="1"/>
    <col min="5679" max="5709" width="9" style="255" customWidth="1"/>
    <col min="5710" max="5869" width="25.25" style="255"/>
    <col min="5870" max="5899" width="9" style="255" customWidth="1"/>
    <col min="5900" max="5900" width="0.5" style="255" customWidth="1"/>
    <col min="5901" max="5901" width="25.25" style="255"/>
    <col min="5902" max="5902" width="0.5" style="255" customWidth="1"/>
    <col min="5903" max="5903" width="25.25" style="255"/>
    <col min="5904" max="5904" width="14.75" style="255" customWidth="1"/>
    <col min="5905" max="5905" width="11.5" style="255" customWidth="1"/>
    <col min="5906" max="5906" width="11.25" style="255" customWidth="1"/>
    <col min="5907" max="5907" width="10.75" style="255" customWidth="1"/>
    <col min="5908" max="5908" width="10" style="255" customWidth="1"/>
    <col min="5909" max="5909" width="9.875" style="255" customWidth="1"/>
    <col min="5910" max="5910" width="26.125" style="255" customWidth="1"/>
    <col min="5911" max="5911" width="11.125" style="255" customWidth="1"/>
    <col min="5912" max="5912" width="7.875" style="255" customWidth="1"/>
    <col min="5913" max="5913" width="7.25" style="255" customWidth="1"/>
    <col min="5914" max="5914" width="9.125" style="255" customWidth="1"/>
    <col min="5915" max="5915" width="15.125" style="255" customWidth="1"/>
    <col min="5916" max="5916" width="7.75" style="255" customWidth="1"/>
    <col min="5917" max="5917" width="7.125" style="255" customWidth="1"/>
    <col min="5918" max="5918" width="12.125" style="255" customWidth="1"/>
    <col min="5919" max="5919" width="8.25" style="255" customWidth="1"/>
    <col min="5920" max="5921" width="10.375" style="255" customWidth="1"/>
    <col min="5922" max="5922" width="15.625" style="255" customWidth="1"/>
    <col min="5923" max="5923" width="15.875" style="255" customWidth="1"/>
    <col min="5924" max="5924" width="8.125" style="255" customWidth="1"/>
    <col min="5925" max="5928" width="10.375" style="255" customWidth="1"/>
    <col min="5929" max="5929" width="7.25" style="255" customWidth="1"/>
    <col min="5930" max="5930" width="7.125" style="255" customWidth="1"/>
    <col min="5931" max="5931" width="9.5" style="255" customWidth="1"/>
    <col min="5932" max="5933" width="9" style="255" customWidth="1"/>
    <col min="5934" max="5934" width="16.125" style="255" customWidth="1"/>
    <col min="5935" max="5965" width="9" style="255" customWidth="1"/>
    <col min="5966" max="6125" width="25.25" style="255"/>
    <col min="6126" max="6155" width="9" style="255" customWidth="1"/>
    <col min="6156" max="6156" width="0.5" style="255" customWidth="1"/>
    <col min="6157" max="6157" width="25.25" style="255"/>
    <col min="6158" max="6158" width="0.5" style="255" customWidth="1"/>
    <col min="6159" max="6159" width="25.25" style="255"/>
    <col min="6160" max="6160" width="14.75" style="255" customWidth="1"/>
    <col min="6161" max="6161" width="11.5" style="255" customWidth="1"/>
    <col min="6162" max="6162" width="11.25" style="255" customWidth="1"/>
    <col min="6163" max="6163" width="10.75" style="255" customWidth="1"/>
    <col min="6164" max="6164" width="10" style="255" customWidth="1"/>
    <col min="6165" max="6165" width="9.875" style="255" customWidth="1"/>
    <col min="6166" max="6166" width="26.125" style="255" customWidth="1"/>
    <col min="6167" max="6167" width="11.125" style="255" customWidth="1"/>
    <col min="6168" max="6168" width="7.875" style="255" customWidth="1"/>
    <col min="6169" max="6169" width="7.25" style="255" customWidth="1"/>
    <col min="6170" max="6170" width="9.125" style="255" customWidth="1"/>
    <col min="6171" max="6171" width="15.125" style="255" customWidth="1"/>
    <col min="6172" max="6172" width="7.75" style="255" customWidth="1"/>
    <col min="6173" max="6173" width="7.125" style="255" customWidth="1"/>
    <col min="6174" max="6174" width="12.125" style="255" customWidth="1"/>
    <col min="6175" max="6175" width="8.25" style="255" customWidth="1"/>
    <col min="6176" max="6177" width="10.375" style="255" customWidth="1"/>
    <col min="6178" max="6178" width="15.625" style="255" customWidth="1"/>
    <col min="6179" max="6179" width="15.875" style="255" customWidth="1"/>
    <col min="6180" max="6180" width="8.125" style="255" customWidth="1"/>
    <col min="6181" max="6184" width="10.375" style="255" customWidth="1"/>
    <col min="6185" max="6185" width="7.25" style="255" customWidth="1"/>
    <col min="6186" max="6186" width="7.125" style="255" customWidth="1"/>
    <col min="6187" max="6187" width="9.5" style="255" customWidth="1"/>
    <col min="6188" max="6189" width="9" style="255" customWidth="1"/>
    <col min="6190" max="6190" width="16.125" style="255" customWidth="1"/>
    <col min="6191" max="6221" width="9" style="255" customWidth="1"/>
    <col min="6222" max="6381" width="25.25" style="255"/>
    <col min="6382" max="6411" width="9" style="255" customWidth="1"/>
    <col min="6412" max="6412" width="0.5" style="255" customWidth="1"/>
    <col min="6413" max="6413" width="25.25" style="255"/>
    <col min="6414" max="6414" width="0.5" style="255" customWidth="1"/>
    <col min="6415" max="6415" width="25.25" style="255"/>
    <col min="6416" max="6416" width="14.75" style="255" customWidth="1"/>
    <col min="6417" max="6417" width="11.5" style="255" customWidth="1"/>
    <col min="6418" max="6418" width="11.25" style="255" customWidth="1"/>
    <col min="6419" max="6419" width="10.75" style="255" customWidth="1"/>
    <col min="6420" max="6420" width="10" style="255" customWidth="1"/>
    <col min="6421" max="6421" width="9.875" style="255" customWidth="1"/>
    <col min="6422" max="6422" width="26.125" style="255" customWidth="1"/>
    <col min="6423" max="6423" width="11.125" style="255" customWidth="1"/>
    <col min="6424" max="6424" width="7.875" style="255" customWidth="1"/>
    <col min="6425" max="6425" width="7.25" style="255" customWidth="1"/>
    <col min="6426" max="6426" width="9.125" style="255" customWidth="1"/>
    <col min="6427" max="6427" width="15.125" style="255" customWidth="1"/>
    <col min="6428" max="6428" width="7.75" style="255" customWidth="1"/>
    <col min="6429" max="6429" width="7.125" style="255" customWidth="1"/>
    <col min="6430" max="6430" width="12.125" style="255" customWidth="1"/>
    <col min="6431" max="6431" width="8.25" style="255" customWidth="1"/>
    <col min="6432" max="6433" width="10.375" style="255" customWidth="1"/>
    <col min="6434" max="6434" width="15.625" style="255" customWidth="1"/>
    <col min="6435" max="6435" width="15.875" style="255" customWidth="1"/>
    <col min="6436" max="6436" width="8.125" style="255" customWidth="1"/>
    <col min="6437" max="6440" width="10.375" style="255" customWidth="1"/>
    <col min="6441" max="6441" width="7.25" style="255" customWidth="1"/>
    <col min="6442" max="6442" width="7.125" style="255" customWidth="1"/>
    <col min="6443" max="6443" width="9.5" style="255" customWidth="1"/>
    <col min="6444" max="6445" width="9" style="255" customWidth="1"/>
    <col min="6446" max="6446" width="16.125" style="255" customWidth="1"/>
    <col min="6447" max="6477" width="9" style="255" customWidth="1"/>
    <col min="6478" max="6637" width="25.25" style="255"/>
    <col min="6638" max="6667" width="9" style="255" customWidth="1"/>
    <col min="6668" max="6668" width="0.5" style="255" customWidth="1"/>
    <col min="6669" max="6669" width="25.25" style="255"/>
    <col min="6670" max="6670" width="0.5" style="255" customWidth="1"/>
    <col min="6671" max="6671" width="25.25" style="255"/>
    <col min="6672" max="6672" width="14.75" style="255" customWidth="1"/>
    <col min="6673" max="6673" width="11.5" style="255" customWidth="1"/>
    <col min="6674" max="6674" width="11.25" style="255" customWidth="1"/>
    <col min="6675" max="6675" width="10.75" style="255" customWidth="1"/>
    <col min="6676" max="6676" width="10" style="255" customWidth="1"/>
    <col min="6677" max="6677" width="9.875" style="255" customWidth="1"/>
    <col min="6678" max="6678" width="26.125" style="255" customWidth="1"/>
    <col min="6679" max="6679" width="11.125" style="255" customWidth="1"/>
    <col min="6680" max="6680" width="7.875" style="255" customWidth="1"/>
    <col min="6681" max="6681" width="7.25" style="255" customWidth="1"/>
    <col min="6682" max="6682" width="9.125" style="255" customWidth="1"/>
    <col min="6683" max="6683" width="15.125" style="255" customWidth="1"/>
    <col min="6684" max="6684" width="7.75" style="255" customWidth="1"/>
    <col min="6685" max="6685" width="7.125" style="255" customWidth="1"/>
    <col min="6686" max="6686" width="12.125" style="255" customWidth="1"/>
    <col min="6687" max="6687" width="8.25" style="255" customWidth="1"/>
    <col min="6688" max="6689" width="10.375" style="255" customWidth="1"/>
    <col min="6690" max="6690" width="15.625" style="255" customWidth="1"/>
    <col min="6691" max="6691" width="15.875" style="255" customWidth="1"/>
    <col min="6692" max="6692" width="8.125" style="255" customWidth="1"/>
    <col min="6693" max="6696" width="10.375" style="255" customWidth="1"/>
    <col min="6697" max="6697" width="7.25" style="255" customWidth="1"/>
    <col min="6698" max="6698" width="7.125" style="255" customWidth="1"/>
    <col min="6699" max="6699" width="9.5" style="255" customWidth="1"/>
    <col min="6700" max="6701" width="9" style="255" customWidth="1"/>
    <col min="6702" max="6702" width="16.125" style="255" customWidth="1"/>
    <col min="6703" max="6733" width="9" style="255" customWidth="1"/>
    <col min="6734" max="6893" width="25.25" style="255"/>
    <col min="6894" max="6923" width="9" style="255" customWidth="1"/>
    <col min="6924" max="6924" width="0.5" style="255" customWidth="1"/>
    <col min="6925" max="6925" width="25.25" style="255"/>
    <col min="6926" max="6926" width="0.5" style="255" customWidth="1"/>
    <col min="6927" max="6927" width="25.25" style="255"/>
    <col min="6928" max="6928" width="14.75" style="255" customWidth="1"/>
    <col min="6929" max="6929" width="11.5" style="255" customWidth="1"/>
    <col min="6930" max="6930" width="11.25" style="255" customWidth="1"/>
    <col min="6931" max="6931" width="10.75" style="255" customWidth="1"/>
    <col min="6932" max="6932" width="10" style="255" customWidth="1"/>
    <col min="6933" max="6933" width="9.875" style="255" customWidth="1"/>
    <col min="6934" max="6934" width="26.125" style="255" customWidth="1"/>
    <col min="6935" max="6935" width="11.125" style="255" customWidth="1"/>
    <col min="6936" max="6936" width="7.875" style="255" customWidth="1"/>
    <col min="6937" max="6937" width="7.25" style="255" customWidth="1"/>
    <col min="6938" max="6938" width="9.125" style="255" customWidth="1"/>
    <col min="6939" max="6939" width="15.125" style="255" customWidth="1"/>
    <col min="6940" max="6940" width="7.75" style="255" customWidth="1"/>
    <col min="6941" max="6941" width="7.125" style="255" customWidth="1"/>
    <col min="6942" max="6942" width="12.125" style="255" customWidth="1"/>
    <col min="6943" max="6943" width="8.25" style="255" customWidth="1"/>
    <col min="6944" max="6945" width="10.375" style="255" customWidth="1"/>
    <col min="6946" max="6946" width="15.625" style="255" customWidth="1"/>
    <col min="6947" max="6947" width="15.875" style="255" customWidth="1"/>
    <col min="6948" max="6948" width="8.125" style="255" customWidth="1"/>
    <col min="6949" max="6952" width="10.375" style="255" customWidth="1"/>
    <col min="6953" max="6953" width="7.25" style="255" customWidth="1"/>
    <col min="6954" max="6954" width="7.125" style="255" customWidth="1"/>
    <col min="6955" max="6955" width="9.5" style="255" customWidth="1"/>
    <col min="6956" max="6957" width="9" style="255" customWidth="1"/>
    <col min="6958" max="6958" width="16.125" style="255" customWidth="1"/>
    <col min="6959" max="6989" width="9" style="255" customWidth="1"/>
    <col min="6990" max="7149" width="25.25" style="255"/>
    <col min="7150" max="7179" width="9" style="255" customWidth="1"/>
    <col min="7180" max="7180" width="0.5" style="255" customWidth="1"/>
    <col min="7181" max="7181" width="25.25" style="255"/>
    <col min="7182" max="7182" width="0.5" style="255" customWidth="1"/>
    <col min="7183" max="7183" width="25.25" style="255"/>
    <col min="7184" max="7184" width="14.75" style="255" customWidth="1"/>
    <col min="7185" max="7185" width="11.5" style="255" customWidth="1"/>
    <col min="7186" max="7186" width="11.25" style="255" customWidth="1"/>
    <col min="7187" max="7187" width="10.75" style="255" customWidth="1"/>
    <col min="7188" max="7188" width="10" style="255" customWidth="1"/>
    <col min="7189" max="7189" width="9.875" style="255" customWidth="1"/>
    <col min="7190" max="7190" width="26.125" style="255" customWidth="1"/>
    <col min="7191" max="7191" width="11.125" style="255" customWidth="1"/>
    <col min="7192" max="7192" width="7.875" style="255" customWidth="1"/>
    <col min="7193" max="7193" width="7.25" style="255" customWidth="1"/>
    <col min="7194" max="7194" width="9.125" style="255" customWidth="1"/>
    <col min="7195" max="7195" width="15.125" style="255" customWidth="1"/>
    <col min="7196" max="7196" width="7.75" style="255" customWidth="1"/>
    <col min="7197" max="7197" width="7.125" style="255" customWidth="1"/>
    <col min="7198" max="7198" width="12.125" style="255" customWidth="1"/>
    <col min="7199" max="7199" width="8.25" style="255" customWidth="1"/>
    <col min="7200" max="7201" width="10.375" style="255" customWidth="1"/>
    <col min="7202" max="7202" width="15.625" style="255" customWidth="1"/>
    <col min="7203" max="7203" width="15.875" style="255" customWidth="1"/>
    <col min="7204" max="7204" width="8.125" style="255" customWidth="1"/>
    <col min="7205" max="7208" width="10.375" style="255" customWidth="1"/>
    <col min="7209" max="7209" width="7.25" style="255" customWidth="1"/>
    <col min="7210" max="7210" width="7.125" style="255" customWidth="1"/>
    <col min="7211" max="7211" width="9.5" style="255" customWidth="1"/>
    <col min="7212" max="7213" width="9" style="255" customWidth="1"/>
    <col min="7214" max="7214" width="16.125" style="255" customWidth="1"/>
    <col min="7215" max="7245" width="9" style="255" customWidth="1"/>
    <col min="7246" max="7405" width="25.25" style="255"/>
    <col min="7406" max="7435" width="9" style="255" customWidth="1"/>
    <col min="7436" max="7436" width="0.5" style="255" customWidth="1"/>
    <col min="7437" max="7437" width="25.25" style="255"/>
    <col min="7438" max="7438" width="0.5" style="255" customWidth="1"/>
    <col min="7439" max="7439" width="25.25" style="255"/>
    <col min="7440" max="7440" width="14.75" style="255" customWidth="1"/>
    <col min="7441" max="7441" width="11.5" style="255" customWidth="1"/>
    <col min="7442" max="7442" width="11.25" style="255" customWidth="1"/>
    <col min="7443" max="7443" width="10.75" style="255" customWidth="1"/>
    <col min="7444" max="7444" width="10" style="255" customWidth="1"/>
    <col min="7445" max="7445" width="9.875" style="255" customWidth="1"/>
    <col min="7446" max="7446" width="26.125" style="255" customWidth="1"/>
    <col min="7447" max="7447" width="11.125" style="255" customWidth="1"/>
    <col min="7448" max="7448" width="7.875" style="255" customWidth="1"/>
    <col min="7449" max="7449" width="7.25" style="255" customWidth="1"/>
    <col min="7450" max="7450" width="9.125" style="255" customWidth="1"/>
    <col min="7451" max="7451" width="15.125" style="255" customWidth="1"/>
    <col min="7452" max="7452" width="7.75" style="255" customWidth="1"/>
    <col min="7453" max="7453" width="7.125" style="255" customWidth="1"/>
    <col min="7454" max="7454" width="12.125" style="255" customWidth="1"/>
    <col min="7455" max="7455" width="8.25" style="255" customWidth="1"/>
    <col min="7456" max="7457" width="10.375" style="255" customWidth="1"/>
    <col min="7458" max="7458" width="15.625" style="255" customWidth="1"/>
    <col min="7459" max="7459" width="15.875" style="255" customWidth="1"/>
    <col min="7460" max="7460" width="8.125" style="255" customWidth="1"/>
    <col min="7461" max="7464" width="10.375" style="255" customWidth="1"/>
    <col min="7465" max="7465" width="7.25" style="255" customWidth="1"/>
    <col min="7466" max="7466" width="7.125" style="255" customWidth="1"/>
    <col min="7467" max="7467" width="9.5" style="255" customWidth="1"/>
    <col min="7468" max="7469" width="9" style="255" customWidth="1"/>
    <col min="7470" max="7470" width="16.125" style="255" customWidth="1"/>
    <col min="7471" max="7501" width="9" style="255" customWidth="1"/>
    <col min="7502" max="7661" width="25.25" style="255"/>
    <col min="7662" max="7691" width="9" style="255" customWidth="1"/>
    <col min="7692" max="7692" width="0.5" style="255" customWidth="1"/>
    <col min="7693" max="7693" width="25.25" style="255"/>
    <col min="7694" max="7694" width="0.5" style="255" customWidth="1"/>
    <col min="7695" max="7695" width="25.25" style="255"/>
    <col min="7696" max="7696" width="14.75" style="255" customWidth="1"/>
    <col min="7697" max="7697" width="11.5" style="255" customWidth="1"/>
    <col min="7698" max="7698" width="11.25" style="255" customWidth="1"/>
    <col min="7699" max="7699" width="10.75" style="255" customWidth="1"/>
    <col min="7700" max="7700" width="10" style="255" customWidth="1"/>
    <col min="7701" max="7701" width="9.875" style="255" customWidth="1"/>
    <col min="7702" max="7702" width="26.125" style="255" customWidth="1"/>
    <col min="7703" max="7703" width="11.125" style="255" customWidth="1"/>
    <col min="7704" max="7704" width="7.875" style="255" customWidth="1"/>
    <col min="7705" max="7705" width="7.25" style="255" customWidth="1"/>
    <col min="7706" max="7706" width="9.125" style="255" customWidth="1"/>
    <col min="7707" max="7707" width="15.125" style="255" customWidth="1"/>
    <col min="7708" max="7708" width="7.75" style="255" customWidth="1"/>
    <col min="7709" max="7709" width="7.125" style="255" customWidth="1"/>
    <col min="7710" max="7710" width="12.125" style="255" customWidth="1"/>
    <col min="7711" max="7711" width="8.25" style="255" customWidth="1"/>
    <col min="7712" max="7713" width="10.375" style="255" customWidth="1"/>
    <col min="7714" max="7714" width="15.625" style="255" customWidth="1"/>
    <col min="7715" max="7715" width="15.875" style="255" customWidth="1"/>
    <col min="7716" max="7716" width="8.125" style="255" customWidth="1"/>
    <col min="7717" max="7720" width="10.375" style="255" customWidth="1"/>
    <col min="7721" max="7721" width="7.25" style="255" customWidth="1"/>
    <col min="7722" max="7722" width="7.125" style="255" customWidth="1"/>
    <col min="7723" max="7723" width="9.5" style="255" customWidth="1"/>
    <col min="7724" max="7725" width="9" style="255" customWidth="1"/>
    <col min="7726" max="7726" width="16.125" style="255" customWidth="1"/>
    <col min="7727" max="7757" width="9" style="255" customWidth="1"/>
    <col min="7758" max="7917" width="25.25" style="255"/>
    <col min="7918" max="7947" width="9" style="255" customWidth="1"/>
    <col min="7948" max="7948" width="0.5" style="255" customWidth="1"/>
    <col min="7949" max="7949" width="25.25" style="255"/>
    <col min="7950" max="7950" width="0.5" style="255" customWidth="1"/>
    <col min="7951" max="7951" width="25.25" style="255"/>
    <col min="7952" max="7952" width="14.75" style="255" customWidth="1"/>
    <col min="7953" max="7953" width="11.5" style="255" customWidth="1"/>
    <col min="7954" max="7954" width="11.25" style="255" customWidth="1"/>
    <col min="7955" max="7955" width="10.75" style="255" customWidth="1"/>
    <col min="7956" max="7956" width="10" style="255" customWidth="1"/>
    <col min="7957" max="7957" width="9.875" style="255" customWidth="1"/>
    <col min="7958" max="7958" width="26.125" style="255" customWidth="1"/>
    <col min="7959" max="7959" width="11.125" style="255" customWidth="1"/>
    <col min="7960" max="7960" width="7.875" style="255" customWidth="1"/>
    <col min="7961" max="7961" width="7.25" style="255" customWidth="1"/>
    <col min="7962" max="7962" width="9.125" style="255" customWidth="1"/>
    <col min="7963" max="7963" width="15.125" style="255" customWidth="1"/>
    <col min="7964" max="7964" width="7.75" style="255" customWidth="1"/>
    <col min="7965" max="7965" width="7.125" style="255" customWidth="1"/>
    <col min="7966" max="7966" width="12.125" style="255" customWidth="1"/>
    <col min="7967" max="7967" width="8.25" style="255" customWidth="1"/>
    <col min="7968" max="7969" width="10.375" style="255" customWidth="1"/>
    <col min="7970" max="7970" width="15.625" style="255" customWidth="1"/>
    <col min="7971" max="7971" width="15.875" style="255" customWidth="1"/>
    <col min="7972" max="7972" width="8.125" style="255" customWidth="1"/>
    <col min="7973" max="7976" width="10.375" style="255" customWidth="1"/>
    <col min="7977" max="7977" width="7.25" style="255" customWidth="1"/>
    <col min="7978" max="7978" width="7.125" style="255" customWidth="1"/>
    <col min="7979" max="7979" width="9.5" style="255" customWidth="1"/>
    <col min="7980" max="7981" width="9" style="255" customWidth="1"/>
    <col min="7982" max="7982" width="16.125" style="255" customWidth="1"/>
    <col min="7983" max="8013" width="9" style="255" customWidth="1"/>
    <col min="8014" max="8173" width="25.25" style="255"/>
    <col min="8174" max="8203" width="9" style="255" customWidth="1"/>
    <col min="8204" max="8204" width="0.5" style="255" customWidth="1"/>
    <col min="8205" max="8205" width="25.25" style="255"/>
    <col min="8206" max="8206" width="0.5" style="255" customWidth="1"/>
    <col min="8207" max="8207" width="25.25" style="255"/>
    <col min="8208" max="8208" width="14.75" style="255" customWidth="1"/>
    <col min="8209" max="8209" width="11.5" style="255" customWidth="1"/>
    <col min="8210" max="8210" width="11.25" style="255" customWidth="1"/>
    <col min="8211" max="8211" width="10.75" style="255" customWidth="1"/>
    <col min="8212" max="8212" width="10" style="255" customWidth="1"/>
    <col min="8213" max="8213" width="9.875" style="255" customWidth="1"/>
    <col min="8214" max="8214" width="26.125" style="255" customWidth="1"/>
    <col min="8215" max="8215" width="11.125" style="255" customWidth="1"/>
    <col min="8216" max="8216" width="7.875" style="255" customWidth="1"/>
    <col min="8217" max="8217" width="7.25" style="255" customWidth="1"/>
    <col min="8218" max="8218" width="9.125" style="255" customWidth="1"/>
    <col min="8219" max="8219" width="15.125" style="255" customWidth="1"/>
    <col min="8220" max="8220" width="7.75" style="255" customWidth="1"/>
    <col min="8221" max="8221" width="7.125" style="255" customWidth="1"/>
    <col min="8222" max="8222" width="12.125" style="255" customWidth="1"/>
    <col min="8223" max="8223" width="8.25" style="255" customWidth="1"/>
    <col min="8224" max="8225" width="10.375" style="255" customWidth="1"/>
    <col min="8226" max="8226" width="15.625" style="255" customWidth="1"/>
    <col min="8227" max="8227" width="15.875" style="255" customWidth="1"/>
    <col min="8228" max="8228" width="8.125" style="255" customWidth="1"/>
    <col min="8229" max="8232" width="10.375" style="255" customWidth="1"/>
    <col min="8233" max="8233" width="7.25" style="255" customWidth="1"/>
    <col min="8234" max="8234" width="7.125" style="255" customWidth="1"/>
    <col min="8235" max="8235" width="9.5" style="255" customWidth="1"/>
    <col min="8236" max="8237" width="9" style="255" customWidth="1"/>
    <col min="8238" max="8238" width="16.125" style="255" customWidth="1"/>
    <col min="8239" max="8269" width="9" style="255" customWidth="1"/>
    <col min="8270" max="8429" width="25.25" style="255"/>
    <col min="8430" max="8459" width="9" style="255" customWidth="1"/>
    <col min="8460" max="8460" width="0.5" style="255" customWidth="1"/>
    <col min="8461" max="8461" width="25.25" style="255"/>
    <col min="8462" max="8462" width="0.5" style="255" customWidth="1"/>
    <col min="8463" max="8463" width="25.25" style="255"/>
    <col min="8464" max="8464" width="14.75" style="255" customWidth="1"/>
    <col min="8465" max="8465" width="11.5" style="255" customWidth="1"/>
    <col min="8466" max="8466" width="11.25" style="255" customWidth="1"/>
    <col min="8467" max="8467" width="10.75" style="255" customWidth="1"/>
    <col min="8468" max="8468" width="10" style="255" customWidth="1"/>
    <col min="8469" max="8469" width="9.875" style="255" customWidth="1"/>
    <col min="8470" max="8470" width="26.125" style="255" customWidth="1"/>
    <col min="8471" max="8471" width="11.125" style="255" customWidth="1"/>
    <col min="8472" max="8472" width="7.875" style="255" customWidth="1"/>
    <col min="8473" max="8473" width="7.25" style="255" customWidth="1"/>
    <col min="8474" max="8474" width="9.125" style="255" customWidth="1"/>
    <col min="8475" max="8475" width="15.125" style="255" customWidth="1"/>
    <col min="8476" max="8476" width="7.75" style="255" customWidth="1"/>
    <col min="8477" max="8477" width="7.125" style="255" customWidth="1"/>
    <col min="8478" max="8478" width="12.125" style="255" customWidth="1"/>
    <col min="8479" max="8479" width="8.25" style="255" customWidth="1"/>
    <col min="8480" max="8481" width="10.375" style="255" customWidth="1"/>
    <col min="8482" max="8482" width="15.625" style="255" customWidth="1"/>
    <col min="8483" max="8483" width="15.875" style="255" customWidth="1"/>
    <col min="8484" max="8484" width="8.125" style="255" customWidth="1"/>
    <col min="8485" max="8488" width="10.375" style="255" customWidth="1"/>
    <col min="8489" max="8489" width="7.25" style="255" customWidth="1"/>
    <col min="8490" max="8490" width="7.125" style="255" customWidth="1"/>
    <col min="8491" max="8491" width="9.5" style="255" customWidth="1"/>
    <col min="8492" max="8493" width="9" style="255" customWidth="1"/>
    <col min="8494" max="8494" width="16.125" style="255" customWidth="1"/>
    <col min="8495" max="8525" width="9" style="255" customWidth="1"/>
    <col min="8526" max="8685" width="25.25" style="255"/>
    <col min="8686" max="8715" width="9" style="255" customWidth="1"/>
    <col min="8716" max="8716" width="0.5" style="255" customWidth="1"/>
    <col min="8717" max="8717" width="25.25" style="255"/>
    <col min="8718" max="8718" width="0.5" style="255" customWidth="1"/>
    <col min="8719" max="8719" width="25.25" style="255"/>
    <col min="8720" max="8720" width="14.75" style="255" customWidth="1"/>
    <col min="8721" max="8721" width="11.5" style="255" customWidth="1"/>
    <col min="8722" max="8722" width="11.25" style="255" customWidth="1"/>
    <col min="8723" max="8723" width="10.75" style="255" customWidth="1"/>
    <col min="8724" max="8724" width="10" style="255" customWidth="1"/>
    <col min="8725" max="8725" width="9.875" style="255" customWidth="1"/>
    <col min="8726" max="8726" width="26.125" style="255" customWidth="1"/>
    <col min="8727" max="8727" width="11.125" style="255" customWidth="1"/>
    <col min="8728" max="8728" width="7.875" style="255" customWidth="1"/>
    <col min="8729" max="8729" width="7.25" style="255" customWidth="1"/>
    <col min="8730" max="8730" width="9.125" style="255" customWidth="1"/>
    <col min="8731" max="8731" width="15.125" style="255" customWidth="1"/>
    <col min="8732" max="8732" width="7.75" style="255" customWidth="1"/>
    <col min="8733" max="8733" width="7.125" style="255" customWidth="1"/>
    <col min="8734" max="8734" width="12.125" style="255" customWidth="1"/>
    <col min="8735" max="8735" width="8.25" style="255" customWidth="1"/>
    <col min="8736" max="8737" width="10.375" style="255" customWidth="1"/>
    <col min="8738" max="8738" width="15.625" style="255" customWidth="1"/>
    <col min="8739" max="8739" width="15.875" style="255" customWidth="1"/>
    <col min="8740" max="8740" width="8.125" style="255" customWidth="1"/>
    <col min="8741" max="8744" width="10.375" style="255" customWidth="1"/>
    <col min="8745" max="8745" width="7.25" style="255" customWidth="1"/>
    <col min="8746" max="8746" width="7.125" style="255" customWidth="1"/>
    <col min="8747" max="8747" width="9.5" style="255" customWidth="1"/>
    <col min="8748" max="8749" width="9" style="255" customWidth="1"/>
    <col min="8750" max="8750" width="16.125" style="255" customWidth="1"/>
    <col min="8751" max="8781" width="9" style="255" customWidth="1"/>
    <col min="8782" max="8941" width="25.25" style="255"/>
    <col min="8942" max="8971" width="9" style="255" customWidth="1"/>
    <col min="8972" max="8972" width="0.5" style="255" customWidth="1"/>
    <col min="8973" max="8973" width="25.25" style="255"/>
    <col min="8974" max="8974" width="0.5" style="255" customWidth="1"/>
    <col min="8975" max="8975" width="25.25" style="255"/>
    <col min="8976" max="8976" width="14.75" style="255" customWidth="1"/>
    <col min="8977" max="8977" width="11.5" style="255" customWidth="1"/>
    <col min="8978" max="8978" width="11.25" style="255" customWidth="1"/>
    <col min="8979" max="8979" width="10.75" style="255" customWidth="1"/>
    <col min="8980" max="8980" width="10" style="255" customWidth="1"/>
    <col min="8981" max="8981" width="9.875" style="255" customWidth="1"/>
    <col min="8982" max="8982" width="26.125" style="255" customWidth="1"/>
    <col min="8983" max="8983" width="11.125" style="255" customWidth="1"/>
    <col min="8984" max="8984" width="7.875" style="255" customWidth="1"/>
    <col min="8985" max="8985" width="7.25" style="255" customWidth="1"/>
    <col min="8986" max="8986" width="9.125" style="255" customWidth="1"/>
    <col min="8987" max="8987" width="15.125" style="255" customWidth="1"/>
    <col min="8988" max="8988" width="7.75" style="255" customWidth="1"/>
    <col min="8989" max="8989" width="7.125" style="255" customWidth="1"/>
    <col min="8990" max="8990" width="12.125" style="255" customWidth="1"/>
    <col min="8991" max="8991" width="8.25" style="255" customWidth="1"/>
    <col min="8992" max="8993" width="10.375" style="255" customWidth="1"/>
    <col min="8994" max="8994" width="15.625" style="255" customWidth="1"/>
    <col min="8995" max="8995" width="15.875" style="255" customWidth="1"/>
    <col min="8996" max="8996" width="8.125" style="255" customWidth="1"/>
    <col min="8997" max="9000" width="10.375" style="255" customWidth="1"/>
    <col min="9001" max="9001" width="7.25" style="255" customWidth="1"/>
    <col min="9002" max="9002" width="7.125" style="255" customWidth="1"/>
    <col min="9003" max="9003" width="9.5" style="255" customWidth="1"/>
    <col min="9004" max="9005" width="9" style="255" customWidth="1"/>
    <col min="9006" max="9006" width="16.125" style="255" customWidth="1"/>
    <col min="9007" max="9037" width="9" style="255" customWidth="1"/>
    <col min="9038" max="9197" width="25.25" style="255"/>
    <col min="9198" max="9227" width="9" style="255" customWidth="1"/>
    <col min="9228" max="9228" width="0.5" style="255" customWidth="1"/>
    <col min="9229" max="9229" width="25.25" style="255"/>
    <col min="9230" max="9230" width="0.5" style="255" customWidth="1"/>
    <col min="9231" max="9231" width="25.25" style="255"/>
    <col min="9232" max="9232" width="14.75" style="255" customWidth="1"/>
    <col min="9233" max="9233" width="11.5" style="255" customWidth="1"/>
    <col min="9234" max="9234" width="11.25" style="255" customWidth="1"/>
    <col min="9235" max="9235" width="10.75" style="255" customWidth="1"/>
    <col min="9236" max="9236" width="10" style="255" customWidth="1"/>
    <col min="9237" max="9237" width="9.875" style="255" customWidth="1"/>
    <col min="9238" max="9238" width="26.125" style="255" customWidth="1"/>
    <col min="9239" max="9239" width="11.125" style="255" customWidth="1"/>
    <col min="9240" max="9240" width="7.875" style="255" customWidth="1"/>
    <col min="9241" max="9241" width="7.25" style="255" customWidth="1"/>
    <col min="9242" max="9242" width="9.125" style="255" customWidth="1"/>
    <col min="9243" max="9243" width="15.125" style="255" customWidth="1"/>
    <col min="9244" max="9244" width="7.75" style="255" customWidth="1"/>
    <col min="9245" max="9245" width="7.125" style="255" customWidth="1"/>
    <col min="9246" max="9246" width="12.125" style="255" customWidth="1"/>
    <col min="9247" max="9247" width="8.25" style="255" customWidth="1"/>
    <col min="9248" max="9249" width="10.375" style="255" customWidth="1"/>
    <col min="9250" max="9250" width="15.625" style="255" customWidth="1"/>
    <col min="9251" max="9251" width="15.875" style="255" customWidth="1"/>
    <col min="9252" max="9252" width="8.125" style="255" customWidth="1"/>
    <col min="9253" max="9256" width="10.375" style="255" customWidth="1"/>
    <col min="9257" max="9257" width="7.25" style="255" customWidth="1"/>
    <col min="9258" max="9258" width="7.125" style="255" customWidth="1"/>
    <col min="9259" max="9259" width="9.5" style="255" customWidth="1"/>
    <col min="9260" max="9261" width="9" style="255" customWidth="1"/>
    <col min="9262" max="9262" width="16.125" style="255" customWidth="1"/>
    <col min="9263" max="9293" width="9" style="255" customWidth="1"/>
    <col min="9294" max="9453" width="25.25" style="255"/>
    <col min="9454" max="9483" width="9" style="255" customWidth="1"/>
    <col min="9484" max="9484" width="0.5" style="255" customWidth="1"/>
    <col min="9485" max="9485" width="25.25" style="255"/>
    <col min="9486" max="9486" width="0.5" style="255" customWidth="1"/>
    <col min="9487" max="9487" width="25.25" style="255"/>
    <col min="9488" max="9488" width="14.75" style="255" customWidth="1"/>
    <col min="9489" max="9489" width="11.5" style="255" customWidth="1"/>
    <col min="9490" max="9490" width="11.25" style="255" customWidth="1"/>
    <col min="9491" max="9491" width="10.75" style="255" customWidth="1"/>
    <col min="9492" max="9492" width="10" style="255" customWidth="1"/>
    <col min="9493" max="9493" width="9.875" style="255" customWidth="1"/>
    <col min="9494" max="9494" width="26.125" style="255" customWidth="1"/>
    <col min="9495" max="9495" width="11.125" style="255" customWidth="1"/>
    <col min="9496" max="9496" width="7.875" style="255" customWidth="1"/>
    <col min="9497" max="9497" width="7.25" style="255" customWidth="1"/>
    <col min="9498" max="9498" width="9.125" style="255" customWidth="1"/>
    <col min="9499" max="9499" width="15.125" style="255" customWidth="1"/>
    <col min="9500" max="9500" width="7.75" style="255" customWidth="1"/>
    <col min="9501" max="9501" width="7.125" style="255" customWidth="1"/>
    <col min="9502" max="9502" width="12.125" style="255" customWidth="1"/>
    <col min="9503" max="9503" width="8.25" style="255" customWidth="1"/>
    <col min="9504" max="9505" width="10.375" style="255" customWidth="1"/>
    <col min="9506" max="9506" width="15.625" style="255" customWidth="1"/>
    <col min="9507" max="9507" width="15.875" style="255" customWidth="1"/>
    <col min="9508" max="9508" width="8.125" style="255" customWidth="1"/>
    <col min="9509" max="9512" width="10.375" style="255" customWidth="1"/>
    <col min="9513" max="9513" width="7.25" style="255" customWidth="1"/>
    <col min="9514" max="9514" width="7.125" style="255" customWidth="1"/>
    <col min="9515" max="9515" width="9.5" style="255" customWidth="1"/>
    <col min="9516" max="9517" width="9" style="255" customWidth="1"/>
    <col min="9518" max="9518" width="16.125" style="255" customWidth="1"/>
    <col min="9519" max="9549" width="9" style="255" customWidth="1"/>
    <col min="9550" max="9709" width="25.25" style="255"/>
    <col min="9710" max="9739" width="9" style="255" customWidth="1"/>
    <col min="9740" max="9740" width="0.5" style="255" customWidth="1"/>
    <col min="9741" max="9741" width="25.25" style="255"/>
    <col min="9742" max="9742" width="0.5" style="255" customWidth="1"/>
    <col min="9743" max="9743" width="25.25" style="255"/>
    <col min="9744" max="9744" width="14.75" style="255" customWidth="1"/>
    <col min="9745" max="9745" width="11.5" style="255" customWidth="1"/>
    <col min="9746" max="9746" width="11.25" style="255" customWidth="1"/>
    <col min="9747" max="9747" width="10.75" style="255" customWidth="1"/>
    <col min="9748" max="9748" width="10" style="255" customWidth="1"/>
    <col min="9749" max="9749" width="9.875" style="255" customWidth="1"/>
    <col min="9750" max="9750" width="26.125" style="255" customWidth="1"/>
    <col min="9751" max="9751" width="11.125" style="255" customWidth="1"/>
    <col min="9752" max="9752" width="7.875" style="255" customWidth="1"/>
    <col min="9753" max="9753" width="7.25" style="255" customWidth="1"/>
    <col min="9754" max="9754" width="9.125" style="255" customWidth="1"/>
    <col min="9755" max="9755" width="15.125" style="255" customWidth="1"/>
    <col min="9756" max="9756" width="7.75" style="255" customWidth="1"/>
    <col min="9757" max="9757" width="7.125" style="255" customWidth="1"/>
    <col min="9758" max="9758" width="12.125" style="255" customWidth="1"/>
    <col min="9759" max="9759" width="8.25" style="255" customWidth="1"/>
    <col min="9760" max="9761" width="10.375" style="255" customWidth="1"/>
    <col min="9762" max="9762" width="15.625" style="255" customWidth="1"/>
    <col min="9763" max="9763" width="15.875" style="255" customWidth="1"/>
    <col min="9764" max="9764" width="8.125" style="255" customWidth="1"/>
    <col min="9765" max="9768" width="10.375" style="255" customWidth="1"/>
    <col min="9769" max="9769" width="7.25" style="255" customWidth="1"/>
    <col min="9770" max="9770" width="7.125" style="255" customWidth="1"/>
    <col min="9771" max="9771" width="9.5" style="255" customWidth="1"/>
    <col min="9772" max="9773" width="9" style="255" customWidth="1"/>
    <col min="9774" max="9774" width="16.125" style="255" customWidth="1"/>
    <col min="9775" max="9805" width="9" style="255" customWidth="1"/>
    <col min="9806" max="9965" width="25.25" style="255"/>
    <col min="9966" max="9995" width="9" style="255" customWidth="1"/>
    <col min="9996" max="9996" width="0.5" style="255" customWidth="1"/>
    <col min="9997" max="9997" width="25.25" style="255"/>
    <col min="9998" max="9998" width="0.5" style="255" customWidth="1"/>
    <col min="9999" max="9999" width="25.25" style="255"/>
    <col min="10000" max="10000" width="14.75" style="255" customWidth="1"/>
    <col min="10001" max="10001" width="11.5" style="255" customWidth="1"/>
    <col min="10002" max="10002" width="11.25" style="255" customWidth="1"/>
    <col min="10003" max="10003" width="10.75" style="255" customWidth="1"/>
    <col min="10004" max="10004" width="10" style="255" customWidth="1"/>
    <col min="10005" max="10005" width="9.875" style="255" customWidth="1"/>
    <col min="10006" max="10006" width="26.125" style="255" customWidth="1"/>
    <col min="10007" max="10007" width="11.125" style="255" customWidth="1"/>
    <col min="10008" max="10008" width="7.875" style="255" customWidth="1"/>
    <col min="10009" max="10009" width="7.25" style="255" customWidth="1"/>
    <col min="10010" max="10010" width="9.125" style="255" customWidth="1"/>
    <col min="10011" max="10011" width="15.125" style="255" customWidth="1"/>
    <col min="10012" max="10012" width="7.75" style="255" customWidth="1"/>
    <col min="10013" max="10013" width="7.125" style="255" customWidth="1"/>
    <col min="10014" max="10014" width="12.125" style="255" customWidth="1"/>
    <col min="10015" max="10015" width="8.25" style="255" customWidth="1"/>
    <col min="10016" max="10017" width="10.375" style="255" customWidth="1"/>
    <col min="10018" max="10018" width="15.625" style="255" customWidth="1"/>
    <col min="10019" max="10019" width="15.875" style="255" customWidth="1"/>
    <col min="10020" max="10020" width="8.125" style="255" customWidth="1"/>
    <col min="10021" max="10024" width="10.375" style="255" customWidth="1"/>
    <col min="10025" max="10025" width="7.25" style="255" customWidth="1"/>
    <col min="10026" max="10026" width="7.125" style="255" customWidth="1"/>
    <col min="10027" max="10027" width="9.5" style="255" customWidth="1"/>
    <col min="10028" max="10029" width="9" style="255" customWidth="1"/>
    <col min="10030" max="10030" width="16.125" style="255" customWidth="1"/>
    <col min="10031" max="10061" width="9" style="255" customWidth="1"/>
    <col min="10062" max="10221" width="25.25" style="255"/>
    <col min="10222" max="10251" width="9" style="255" customWidth="1"/>
    <col min="10252" max="10252" width="0.5" style="255" customWidth="1"/>
    <col min="10253" max="10253" width="25.25" style="255"/>
    <col min="10254" max="10254" width="0.5" style="255" customWidth="1"/>
    <col min="10255" max="10255" width="25.25" style="255"/>
    <col min="10256" max="10256" width="14.75" style="255" customWidth="1"/>
    <col min="10257" max="10257" width="11.5" style="255" customWidth="1"/>
    <col min="10258" max="10258" width="11.25" style="255" customWidth="1"/>
    <col min="10259" max="10259" width="10.75" style="255" customWidth="1"/>
    <col min="10260" max="10260" width="10" style="255" customWidth="1"/>
    <col min="10261" max="10261" width="9.875" style="255" customWidth="1"/>
    <col min="10262" max="10262" width="26.125" style="255" customWidth="1"/>
    <col min="10263" max="10263" width="11.125" style="255" customWidth="1"/>
    <col min="10264" max="10264" width="7.875" style="255" customWidth="1"/>
    <col min="10265" max="10265" width="7.25" style="255" customWidth="1"/>
    <col min="10266" max="10266" width="9.125" style="255" customWidth="1"/>
    <col min="10267" max="10267" width="15.125" style="255" customWidth="1"/>
    <col min="10268" max="10268" width="7.75" style="255" customWidth="1"/>
    <col min="10269" max="10269" width="7.125" style="255" customWidth="1"/>
    <col min="10270" max="10270" width="12.125" style="255" customWidth="1"/>
    <col min="10271" max="10271" width="8.25" style="255" customWidth="1"/>
    <col min="10272" max="10273" width="10.375" style="255" customWidth="1"/>
    <col min="10274" max="10274" width="15.625" style="255" customWidth="1"/>
    <col min="10275" max="10275" width="15.875" style="255" customWidth="1"/>
    <col min="10276" max="10276" width="8.125" style="255" customWidth="1"/>
    <col min="10277" max="10280" width="10.375" style="255" customWidth="1"/>
    <col min="10281" max="10281" width="7.25" style="255" customWidth="1"/>
    <col min="10282" max="10282" width="7.125" style="255" customWidth="1"/>
    <col min="10283" max="10283" width="9.5" style="255" customWidth="1"/>
    <col min="10284" max="10285" width="9" style="255" customWidth="1"/>
    <col min="10286" max="10286" width="16.125" style="255" customWidth="1"/>
    <col min="10287" max="10317" width="9" style="255" customWidth="1"/>
    <col min="10318" max="10477" width="25.25" style="255"/>
    <col min="10478" max="10507" width="9" style="255" customWidth="1"/>
    <col min="10508" max="10508" width="0.5" style="255" customWidth="1"/>
    <col min="10509" max="10509" width="25.25" style="255"/>
    <col min="10510" max="10510" width="0.5" style="255" customWidth="1"/>
    <col min="10511" max="10511" width="25.25" style="255"/>
    <col min="10512" max="10512" width="14.75" style="255" customWidth="1"/>
    <col min="10513" max="10513" width="11.5" style="255" customWidth="1"/>
    <col min="10514" max="10514" width="11.25" style="255" customWidth="1"/>
    <col min="10515" max="10515" width="10.75" style="255" customWidth="1"/>
    <col min="10516" max="10516" width="10" style="255" customWidth="1"/>
    <col min="10517" max="10517" width="9.875" style="255" customWidth="1"/>
    <col min="10518" max="10518" width="26.125" style="255" customWidth="1"/>
    <col min="10519" max="10519" width="11.125" style="255" customWidth="1"/>
    <col min="10520" max="10520" width="7.875" style="255" customWidth="1"/>
    <col min="10521" max="10521" width="7.25" style="255" customWidth="1"/>
    <col min="10522" max="10522" width="9.125" style="255" customWidth="1"/>
    <col min="10523" max="10523" width="15.125" style="255" customWidth="1"/>
    <col min="10524" max="10524" width="7.75" style="255" customWidth="1"/>
    <col min="10525" max="10525" width="7.125" style="255" customWidth="1"/>
    <col min="10526" max="10526" width="12.125" style="255" customWidth="1"/>
    <col min="10527" max="10527" width="8.25" style="255" customWidth="1"/>
    <col min="10528" max="10529" width="10.375" style="255" customWidth="1"/>
    <col min="10530" max="10530" width="15.625" style="255" customWidth="1"/>
    <col min="10531" max="10531" width="15.875" style="255" customWidth="1"/>
    <col min="10532" max="10532" width="8.125" style="255" customWidth="1"/>
    <col min="10533" max="10536" width="10.375" style="255" customWidth="1"/>
    <col min="10537" max="10537" width="7.25" style="255" customWidth="1"/>
    <col min="10538" max="10538" width="7.125" style="255" customWidth="1"/>
    <col min="10539" max="10539" width="9.5" style="255" customWidth="1"/>
    <col min="10540" max="10541" width="9" style="255" customWidth="1"/>
    <col min="10542" max="10542" width="16.125" style="255" customWidth="1"/>
    <col min="10543" max="10573" width="9" style="255" customWidth="1"/>
    <col min="10574" max="10733" width="25.25" style="255"/>
    <col min="10734" max="10763" width="9" style="255" customWidth="1"/>
    <col min="10764" max="10764" width="0.5" style="255" customWidth="1"/>
    <col min="10765" max="10765" width="25.25" style="255"/>
    <col min="10766" max="10766" width="0.5" style="255" customWidth="1"/>
    <col min="10767" max="10767" width="25.25" style="255"/>
    <col min="10768" max="10768" width="14.75" style="255" customWidth="1"/>
    <col min="10769" max="10769" width="11.5" style="255" customWidth="1"/>
    <col min="10770" max="10770" width="11.25" style="255" customWidth="1"/>
    <col min="10771" max="10771" width="10.75" style="255" customWidth="1"/>
    <col min="10772" max="10772" width="10" style="255" customWidth="1"/>
    <col min="10773" max="10773" width="9.875" style="255" customWidth="1"/>
    <col min="10774" max="10774" width="26.125" style="255" customWidth="1"/>
    <col min="10775" max="10775" width="11.125" style="255" customWidth="1"/>
    <col min="10776" max="10776" width="7.875" style="255" customWidth="1"/>
    <col min="10777" max="10777" width="7.25" style="255" customWidth="1"/>
    <col min="10778" max="10778" width="9.125" style="255" customWidth="1"/>
    <col min="10779" max="10779" width="15.125" style="255" customWidth="1"/>
    <col min="10780" max="10780" width="7.75" style="255" customWidth="1"/>
    <col min="10781" max="10781" width="7.125" style="255" customWidth="1"/>
    <col min="10782" max="10782" width="12.125" style="255" customWidth="1"/>
    <col min="10783" max="10783" width="8.25" style="255" customWidth="1"/>
    <col min="10784" max="10785" width="10.375" style="255" customWidth="1"/>
    <col min="10786" max="10786" width="15.625" style="255" customWidth="1"/>
    <col min="10787" max="10787" width="15.875" style="255" customWidth="1"/>
    <col min="10788" max="10788" width="8.125" style="255" customWidth="1"/>
    <col min="10789" max="10792" width="10.375" style="255" customWidth="1"/>
    <col min="10793" max="10793" width="7.25" style="255" customWidth="1"/>
    <col min="10794" max="10794" width="7.125" style="255" customWidth="1"/>
    <col min="10795" max="10795" width="9.5" style="255" customWidth="1"/>
    <col min="10796" max="10797" width="9" style="255" customWidth="1"/>
    <col min="10798" max="10798" width="16.125" style="255" customWidth="1"/>
    <col min="10799" max="10829" width="9" style="255" customWidth="1"/>
    <col min="10830" max="10989" width="25.25" style="255"/>
    <col min="10990" max="11019" width="9" style="255" customWidth="1"/>
    <col min="11020" max="11020" width="0.5" style="255" customWidth="1"/>
    <col min="11021" max="11021" width="25.25" style="255"/>
    <col min="11022" max="11022" width="0.5" style="255" customWidth="1"/>
    <col min="11023" max="11023" width="25.25" style="255"/>
    <col min="11024" max="11024" width="14.75" style="255" customWidth="1"/>
    <col min="11025" max="11025" width="11.5" style="255" customWidth="1"/>
    <col min="11026" max="11026" width="11.25" style="255" customWidth="1"/>
    <col min="11027" max="11027" width="10.75" style="255" customWidth="1"/>
    <col min="11028" max="11028" width="10" style="255" customWidth="1"/>
    <col min="11029" max="11029" width="9.875" style="255" customWidth="1"/>
    <col min="11030" max="11030" width="26.125" style="255" customWidth="1"/>
    <col min="11031" max="11031" width="11.125" style="255" customWidth="1"/>
    <col min="11032" max="11032" width="7.875" style="255" customWidth="1"/>
    <col min="11033" max="11033" width="7.25" style="255" customWidth="1"/>
    <col min="11034" max="11034" width="9.125" style="255" customWidth="1"/>
    <col min="11035" max="11035" width="15.125" style="255" customWidth="1"/>
    <col min="11036" max="11036" width="7.75" style="255" customWidth="1"/>
    <col min="11037" max="11037" width="7.125" style="255" customWidth="1"/>
    <col min="11038" max="11038" width="12.125" style="255" customWidth="1"/>
    <col min="11039" max="11039" width="8.25" style="255" customWidth="1"/>
    <col min="11040" max="11041" width="10.375" style="255" customWidth="1"/>
    <col min="11042" max="11042" width="15.625" style="255" customWidth="1"/>
    <col min="11043" max="11043" width="15.875" style="255" customWidth="1"/>
    <col min="11044" max="11044" width="8.125" style="255" customWidth="1"/>
    <col min="11045" max="11048" width="10.375" style="255" customWidth="1"/>
    <col min="11049" max="11049" width="7.25" style="255" customWidth="1"/>
    <col min="11050" max="11050" width="7.125" style="255" customWidth="1"/>
    <col min="11051" max="11051" width="9.5" style="255" customWidth="1"/>
    <col min="11052" max="11053" width="9" style="255" customWidth="1"/>
    <col min="11054" max="11054" width="16.125" style="255" customWidth="1"/>
    <col min="11055" max="11085" width="9" style="255" customWidth="1"/>
    <col min="11086" max="11245" width="25.25" style="255"/>
    <col min="11246" max="11275" width="9" style="255" customWidth="1"/>
    <col min="11276" max="11276" width="0.5" style="255" customWidth="1"/>
    <col min="11277" max="11277" width="25.25" style="255"/>
    <col min="11278" max="11278" width="0.5" style="255" customWidth="1"/>
    <col min="11279" max="11279" width="25.25" style="255"/>
    <col min="11280" max="11280" width="14.75" style="255" customWidth="1"/>
    <col min="11281" max="11281" width="11.5" style="255" customWidth="1"/>
    <col min="11282" max="11282" width="11.25" style="255" customWidth="1"/>
    <col min="11283" max="11283" width="10.75" style="255" customWidth="1"/>
    <col min="11284" max="11284" width="10" style="255" customWidth="1"/>
    <col min="11285" max="11285" width="9.875" style="255" customWidth="1"/>
    <col min="11286" max="11286" width="26.125" style="255" customWidth="1"/>
    <col min="11287" max="11287" width="11.125" style="255" customWidth="1"/>
    <col min="11288" max="11288" width="7.875" style="255" customWidth="1"/>
    <col min="11289" max="11289" width="7.25" style="255" customWidth="1"/>
    <col min="11290" max="11290" width="9.125" style="255" customWidth="1"/>
    <col min="11291" max="11291" width="15.125" style="255" customWidth="1"/>
    <col min="11292" max="11292" width="7.75" style="255" customWidth="1"/>
    <col min="11293" max="11293" width="7.125" style="255" customWidth="1"/>
    <col min="11294" max="11294" width="12.125" style="255" customWidth="1"/>
    <col min="11295" max="11295" width="8.25" style="255" customWidth="1"/>
    <col min="11296" max="11297" width="10.375" style="255" customWidth="1"/>
    <col min="11298" max="11298" width="15.625" style="255" customWidth="1"/>
    <col min="11299" max="11299" width="15.875" style="255" customWidth="1"/>
    <col min="11300" max="11300" width="8.125" style="255" customWidth="1"/>
    <col min="11301" max="11304" width="10.375" style="255" customWidth="1"/>
    <col min="11305" max="11305" width="7.25" style="255" customWidth="1"/>
    <col min="11306" max="11306" width="7.125" style="255" customWidth="1"/>
    <col min="11307" max="11307" width="9.5" style="255" customWidth="1"/>
    <col min="11308" max="11309" width="9" style="255" customWidth="1"/>
    <col min="11310" max="11310" width="16.125" style="255" customWidth="1"/>
    <col min="11311" max="11341" width="9" style="255" customWidth="1"/>
    <col min="11342" max="11501" width="25.25" style="255"/>
    <col min="11502" max="11531" width="9" style="255" customWidth="1"/>
    <col min="11532" max="11532" width="0.5" style="255" customWidth="1"/>
    <col min="11533" max="11533" width="25.25" style="255"/>
    <col min="11534" max="11534" width="0.5" style="255" customWidth="1"/>
    <col min="11535" max="11535" width="25.25" style="255"/>
    <col min="11536" max="11536" width="14.75" style="255" customWidth="1"/>
    <col min="11537" max="11537" width="11.5" style="255" customWidth="1"/>
    <col min="11538" max="11538" width="11.25" style="255" customWidth="1"/>
    <col min="11539" max="11539" width="10.75" style="255" customWidth="1"/>
    <col min="11540" max="11540" width="10" style="255" customWidth="1"/>
    <col min="11541" max="11541" width="9.875" style="255" customWidth="1"/>
    <col min="11542" max="11542" width="26.125" style="255" customWidth="1"/>
    <col min="11543" max="11543" width="11.125" style="255" customWidth="1"/>
    <col min="11544" max="11544" width="7.875" style="255" customWidth="1"/>
    <col min="11545" max="11545" width="7.25" style="255" customWidth="1"/>
    <col min="11546" max="11546" width="9.125" style="255" customWidth="1"/>
    <col min="11547" max="11547" width="15.125" style="255" customWidth="1"/>
    <col min="11548" max="11548" width="7.75" style="255" customWidth="1"/>
    <col min="11549" max="11549" width="7.125" style="255" customWidth="1"/>
    <col min="11550" max="11550" width="12.125" style="255" customWidth="1"/>
    <col min="11551" max="11551" width="8.25" style="255" customWidth="1"/>
    <col min="11552" max="11553" width="10.375" style="255" customWidth="1"/>
    <col min="11554" max="11554" width="15.625" style="255" customWidth="1"/>
    <col min="11555" max="11555" width="15.875" style="255" customWidth="1"/>
    <col min="11556" max="11556" width="8.125" style="255" customWidth="1"/>
    <col min="11557" max="11560" width="10.375" style="255" customWidth="1"/>
    <col min="11561" max="11561" width="7.25" style="255" customWidth="1"/>
    <col min="11562" max="11562" width="7.125" style="255" customWidth="1"/>
    <col min="11563" max="11563" width="9.5" style="255" customWidth="1"/>
    <col min="11564" max="11565" width="9" style="255" customWidth="1"/>
    <col min="11566" max="11566" width="16.125" style="255" customWidth="1"/>
    <col min="11567" max="11597" width="9" style="255" customWidth="1"/>
    <col min="11598" max="11757" width="25.25" style="255"/>
    <col min="11758" max="11787" width="9" style="255" customWidth="1"/>
    <col min="11788" max="11788" width="0.5" style="255" customWidth="1"/>
    <col min="11789" max="11789" width="25.25" style="255"/>
    <col min="11790" max="11790" width="0.5" style="255" customWidth="1"/>
    <col min="11791" max="11791" width="25.25" style="255"/>
    <col min="11792" max="11792" width="14.75" style="255" customWidth="1"/>
    <col min="11793" max="11793" width="11.5" style="255" customWidth="1"/>
    <col min="11794" max="11794" width="11.25" style="255" customWidth="1"/>
    <col min="11795" max="11795" width="10.75" style="255" customWidth="1"/>
    <col min="11796" max="11796" width="10" style="255" customWidth="1"/>
    <col min="11797" max="11797" width="9.875" style="255" customWidth="1"/>
    <col min="11798" max="11798" width="26.125" style="255" customWidth="1"/>
    <col min="11799" max="11799" width="11.125" style="255" customWidth="1"/>
    <col min="11800" max="11800" width="7.875" style="255" customWidth="1"/>
    <col min="11801" max="11801" width="7.25" style="255" customWidth="1"/>
    <col min="11802" max="11802" width="9.125" style="255" customWidth="1"/>
    <col min="11803" max="11803" width="15.125" style="255" customWidth="1"/>
    <col min="11804" max="11804" width="7.75" style="255" customWidth="1"/>
    <col min="11805" max="11805" width="7.125" style="255" customWidth="1"/>
    <col min="11806" max="11806" width="12.125" style="255" customWidth="1"/>
    <col min="11807" max="11807" width="8.25" style="255" customWidth="1"/>
    <col min="11808" max="11809" width="10.375" style="255" customWidth="1"/>
    <col min="11810" max="11810" width="15.625" style="255" customWidth="1"/>
    <col min="11811" max="11811" width="15.875" style="255" customWidth="1"/>
    <col min="11812" max="11812" width="8.125" style="255" customWidth="1"/>
    <col min="11813" max="11816" width="10.375" style="255" customWidth="1"/>
    <col min="11817" max="11817" width="7.25" style="255" customWidth="1"/>
    <col min="11818" max="11818" width="7.125" style="255" customWidth="1"/>
    <col min="11819" max="11819" width="9.5" style="255" customWidth="1"/>
    <col min="11820" max="11821" width="9" style="255" customWidth="1"/>
    <col min="11822" max="11822" width="16.125" style="255" customWidth="1"/>
    <col min="11823" max="11853" width="9" style="255" customWidth="1"/>
    <col min="11854" max="12013" width="25.25" style="255"/>
    <col min="12014" max="12043" width="9" style="255" customWidth="1"/>
    <col min="12044" max="12044" width="0.5" style="255" customWidth="1"/>
    <col min="12045" max="12045" width="25.25" style="255"/>
    <col min="12046" max="12046" width="0.5" style="255" customWidth="1"/>
    <col min="12047" max="12047" width="25.25" style="255"/>
    <col min="12048" max="12048" width="14.75" style="255" customWidth="1"/>
    <col min="12049" max="12049" width="11.5" style="255" customWidth="1"/>
    <col min="12050" max="12050" width="11.25" style="255" customWidth="1"/>
    <col min="12051" max="12051" width="10.75" style="255" customWidth="1"/>
    <col min="12052" max="12052" width="10" style="255" customWidth="1"/>
    <col min="12053" max="12053" width="9.875" style="255" customWidth="1"/>
    <col min="12054" max="12054" width="26.125" style="255" customWidth="1"/>
    <col min="12055" max="12055" width="11.125" style="255" customWidth="1"/>
    <col min="12056" max="12056" width="7.875" style="255" customWidth="1"/>
    <col min="12057" max="12057" width="7.25" style="255" customWidth="1"/>
    <col min="12058" max="12058" width="9.125" style="255" customWidth="1"/>
    <col min="12059" max="12059" width="15.125" style="255" customWidth="1"/>
    <col min="12060" max="12060" width="7.75" style="255" customWidth="1"/>
    <col min="12061" max="12061" width="7.125" style="255" customWidth="1"/>
    <col min="12062" max="12062" width="12.125" style="255" customWidth="1"/>
    <col min="12063" max="12063" width="8.25" style="255" customWidth="1"/>
    <col min="12064" max="12065" width="10.375" style="255" customWidth="1"/>
    <col min="12066" max="12066" width="15.625" style="255" customWidth="1"/>
    <col min="12067" max="12067" width="15.875" style="255" customWidth="1"/>
    <col min="12068" max="12068" width="8.125" style="255" customWidth="1"/>
    <col min="12069" max="12072" width="10.375" style="255" customWidth="1"/>
    <col min="12073" max="12073" width="7.25" style="255" customWidth="1"/>
    <col min="12074" max="12074" width="7.125" style="255" customWidth="1"/>
    <col min="12075" max="12075" width="9.5" style="255" customWidth="1"/>
    <col min="12076" max="12077" width="9" style="255" customWidth="1"/>
    <col min="12078" max="12078" width="16.125" style="255" customWidth="1"/>
    <col min="12079" max="12109" width="9" style="255" customWidth="1"/>
    <col min="12110" max="12269" width="25.25" style="255"/>
    <col min="12270" max="12299" width="9" style="255" customWidth="1"/>
    <col min="12300" max="12300" width="0.5" style="255" customWidth="1"/>
    <col min="12301" max="12301" width="25.25" style="255"/>
    <col min="12302" max="12302" width="0.5" style="255" customWidth="1"/>
    <col min="12303" max="12303" width="25.25" style="255"/>
    <col min="12304" max="12304" width="14.75" style="255" customWidth="1"/>
    <col min="12305" max="12305" width="11.5" style="255" customWidth="1"/>
    <col min="12306" max="12306" width="11.25" style="255" customWidth="1"/>
    <col min="12307" max="12307" width="10.75" style="255" customWidth="1"/>
    <col min="12308" max="12308" width="10" style="255" customWidth="1"/>
    <col min="12309" max="12309" width="9.875" style="255" customWidth="1"/>
    <col min="12310" max="12310" width="26.125" style="255" customWidth="1"/>
    <col min="12311" max="12311" width="11.125" style="255" customWidth="1"/>
    <col min="12312" max="12312" width="7.875" style="255" customWidth="1"/>
    <col min="12313" max="12313" width="7.25" style="255" customWidth="1"/>
    <col min="12314" max="12314" width="9.125" style="255" customWidth="1"/>
    <col min="12315" max="12315" width="15.125" style="255" customWidth="1"/>
    <col min="12316" max="12316" width="7.75" style="255" customWidth="1"/>
    <col min="12317" max="12317" width="7.125" style="255" customWidth="1"/>
    <col min="12318" max="12318" width="12.125" style="255" customWidth="1"/>
    <col min="12319" max="12319" width="8.25" style="255" customWidth="1"/>
    <col min="12320" max="12321" width="10.375" style="255" customWidth="1"/>
    <col min="12322" max="12322" width="15.625" style="255" customWidth="1"/>
    <col min="12323" max="12323" width="15.875" style="255" customWidth="1"/>
    <col min="12324" max="12324" width="8.125" style="255" customWidth="1"/>
    <col min="12325" max="12328" width="10.375" style="255" customWidth="1"/>
    <col min="12329" max="12329" width="7.25" style="255" customWidth="1"/>
    <col min="12330" max="12330" width="7.125" style="255" customWidth="1"/>
    <col min="12331" max="12331" width="9.5" style="255" customWidth="1"/>
    <col min="12332" max="12333" width="9" style="255" customWidth="1"/>
    <col min="12334" max="12334" width="16.125" style="255" customWidth="1"/>
    <col min="12335" max="12365" width="9" style="255" customWidth="1"/>
    <col min="12366" max="12525" width="25.25" style="255"/>
    <col min="12526" max="12555" width="9" style="255" customWidth="1"/>
    <col min="12556" max="12556" width="0.5" style="255" customWidth="1"/>
    <col min="12557" max="12557" width="25.25" style="255"/>
    <col min="12558" max="12558" width="0.5" style="255" customWidth="1"/>
    <col min="12559" max="12559" width="25.25" style="255"/>
    <col min="12560" max="12560" width="14.75" style="255" customWidth="1"/>
    <col min="12561" max="12561" width="11.5" style="255" customWidth="1"/>
    <col min="12562" max="12562" width="11.25" style="255" customWidth="1"/>
    <col min="12563" max="12563" width="10.75" style="255" customWidth="1"/>
    <col min="12564" max="12564" width="10" style="255" customWidth="1"/>
    <col min="12565" max="12565" width="9.875" style="255" customWidth="1"/>
    <col min="12566" max="12566" width="26.125" style="255" customWidth="1"/>
    <col min="12567" max="12567" width="11.125" style="255" customWidth="1"/>
    <col min="12568" max="12568" width="7.875" style="255" customWidth="1"/>
    <col min="12569" max="12569" width="7.25" style="255" customWidth="1"/>
    <col min="12570" max="12570" width="9.125" style="255" customWidth="1"/>
    <col min="12571" max="12571" width="15.125" style="255" customWidth="1"/>
    <col min="12572" max="12572" width="7.75" style="255" customWidth="1"/>
    <col min="12573" max="12573" width="7.125" style="255" customWidth="1"/>
    <col min="12574" max="12574" width="12.125" style="255" customWidth="1"/>
    <col min="12575" max="12575" width="8.25" style="255" customWidth="1"/>
    <col min="12576" max="12577" width="10.375" style="255" customWidth="1"/>
    <col min="12578" max="12578" width="15.625" style="255" customWidth="1"/>
    <col min="12579" max="12579" width="15.875" style="255" customWidth="1"/>
    <col min="12580" max="12580" width="8.125" style="255" customWidth="1"/>
    <col min="12581" max="12584" width="10.375" style="255" customWidth="1"/>
    <col min="12585" max="12585" width="7.25" style="255" customWidth="1"/>
    <col min="12586" max="12586" width="7.125" style="255" customWidth="1"/>
    <col min="12587" max="12587" width="9.5" style="255" customWidth="1"/>
    <col min="12588" max="12589" width="9" style="255" customWidth="1"/>
    <col min="12590" max="12590" width="16.125" style="255" customWidth="1"/>
    <col min="12591" max="12621" width="9" style="255" customWidth="1"/>
    <col min="12622" max="12781" width="25.25" style="255"/>
    <col min="12782" max="12811" width="9" style="255" customWidth="1"/>
    <col min="12812" max="12812" width="0.5" style="255" customWidth="1"/>
    <col min="12813" max="12813" width="25.25" style="255"/>
    <col min="12814" max="12814" width="0.5" style="255" customWidth="1"/>
    <col min="12815" max="12815" width="25.25" style="255"/>
    <col min="12816" max="12816" width="14.75" style="255" customWidth="1"/>
    <col min="12817" max="12817" width="11.5" style="255" customWidth="1"/>
    <col min="12818" max="12818" width="11.25" style="255" customWidth="1"/>
    <col min="12819" max="12819" width="10.75" style="255" customWidth="1"/>
    <col min="12820" max="12820" width="10" style="255" customWidth="1"/>
    <col min="12821" max="12821" width="9.875" style="255" customWidth="1"/>
    <col min="12822" max="12822" width="26.125" style="255" customWidth="1"/>
    <col min="12823" max="12823" width="11.125" style="255" customWidth="1"/>
    <col min="12824" max="12824" width="7.875" style="255" customWidth="1"/>
    <col min="12825" max="12825" width="7.25" style="255" customWidth="1"/>
    <col min="12826" max="12826" width="9.125" style="255" customWidth="1"/>
    <col min="12827" max="12827" width="15.125" style="255" customWidth="1"/>
    <col min="12828" max="12828" width="7.75" style="255" customWidth="1"/>
    <col min="12829" max="12829" width="7.125" style="255" customWidth="1"/>
    <col min="12830" max="12830" width="12.125" style="255" customWidth="1"/>
    <col min="12831" max="12831" width="8.25" style="255" customWidth="1"/>
    <col min="12832" max="12833" width="10.375" style="255" customWidth="1"/>
    <col min="12834" max="12834" width="15.625" style="255" customWidth="1"/>
    <col min="12835" max="12835" width="15.875" style="255" customWidth="1"/>
    <col min="12836" max="12836" width="8.125" style="255" customWidth="1"/>
    <col min="12837" max="12840" width="10.375" style="255" customWidth="1"/>
    <col min="12841" max="12841" width="7.25" style="255" customWidth="1"/>
    <col min="12842" max="12842" width="7.125" style="255" customWidth="1"/>
    <col min="12843" max="12843" width="9.5" style="255" customWidth="1"/>
    <col min="12844" max="12845" width="9" style="255" customWidth="1"/>
    <col min="12846" max="12846" width="16.125" style="255" customWidth="1"/>
    <col min="12847" max="12877" width="9" style="255" customWidth="1"/>
    <col min="12878" max="13037" width="25.25" style="255"/>
    <col min="13038" max="13067" width="9" style="255" customWidth="1"/>
    <col min="13068" max="13068" width="0.5" style="255" customWidth="1"/>
    <col min="13069" max="13069" width="25.25" style="255"/>
    <col min="13070" max="13070" width="0.5" style="255" customWidth="1"/>
    <col min="13071" max="13071" width="25.25" style="255"/>
    <col min="13072" max="13072" width="14.75" style="255" customWidth="1"/>
    <col min="13073" max="13073" width="11.5" style="255" customWidth="1"/>
    <col min="13074" max="13074" width="11.25" style="255" customWidth="1"/>
    <col min="13075" max="13075" width="10.75" style="255" customWidth="1"/>
    <col min="13076" max="13076" width="10" style="255" customWidth="1"/>
    <col min="13077" max="13077" width="9.875" style="255" customWidth="1"/>
    <col min="13078" max="13078" width="26.125" style="255" customWidth="1"/>
    <col min="13079" max="13079" width="11.125" style="255" customWidth="1"/>
    <col min="13080" max="13080" width="7.875" style="255" customWidth="1"/>
    <col min="13081" max="13081" width="7.25" style="255" customWidth="1"/>
    <col min="13082" max="13082" width="9.125" style="255" customWidth="1"/>
    <col min="13083" max="13083" width="15.125" style="255" customWidth="1"/>
    <col min="13084" max="13084" width="7.75" style="255" customWidth="1"/>
    <col min="13085" max="13085" width="7.125" style="255" customWidth="1"/>
    <col min="13086" max="13086" width="12.125" style="255" customWidth="1"/>
    <col min="13087" max="13087" width="8.25" style="255" customWidth="1"/>
    <col min="13088" max="13089" width="10.375" style="255" customWidth="1"/>
    <col min="13090" max="13090" width="15.625" style="255" customWidth="1"/>
    <col min="13091" max="13091" width="15.875" style="255" customWidth="1"/>
    <col min="13092" max="13092" width="8.125" style="255" customWidth="1"/>
    <col min="13093" max="13096" width="10.375" style="255" customWidth="1"/>
    <col min="13097" max="13097" width="7.25" style="255" customWidth="1"/>
    <col min="13098" max="13098" width="7.125" style="255" customWidth="1"/>
    <col min="13099" max="13099" width="9.5" style="255" customWidth="1"/>
    <col min="13100" max="13101" width="9" style="255" customWidth="1"/>
    <col min="13102" max="13102" width="16.125" style="255" customWidth="1"/>
    <col min="13103" max="13133" width="9" style="255" customWidth="1"/>
    <col min="13134" max="13293" width="25.25" style="255"/>
    <col min="13294" max="13323" width="9" style="255" customWidth="1"/>
    <col min="13324" max="13324" width="0.5" style="255" customWidth="1"/>
    <col min="13325" max="13325" width="25.25" style="255"/>
    <col min="13326" max="13326" width="0.5" style="255" customWidth="1"/>
    <col min="13327" max="13327" width="25.25" style="255"/>
    <col min="13328" max="13328" width="14.75" style="255" customWidth="1"/>
    <col min="13329" max="13329" width="11.5" style="255" customWidth="1"/>
    <col min="13330" max="13330" width="11.25" style="255" customWidth="1"/>
    <col min="13331" max="13331" width="10.75" style="255" customWidth="1"/>
    <col min="13332" max="13332" width="10" style="255" customWidth="1"/>
    <col min="13333" max="13333" width="9.875" style="255" customWidth="1"/>
    <col min="13334" max="13334" width="26.125" style="255" customWidth="1"/>
    <col min="13335" max="13335" width="11.125" style="255" customWidth="1"/>
    <col min="13336" max="13336" width="7.875" style="255" customWidth="1"/>
    <col min="13337" max="13337" width="7.25" style="255" customWidth="1"/>
    <col min="13338" max="13338" width="9.125" style="255" customWidth="1"/>
    <col min="13339" max="13339" width="15.125" style="255" customWidth="1"/>
    <col min="13340" max="13340" width="7.75" style="255" customWidth="1"/>
    <col min="13341" max="13341" width="7.125" style="255" customWidth="1"/>
    <col min="13342" max="13342" width="12.125" style="255" customWidth="1"/>
    <col min="13343" max="13343" width="8.25" style="255" customWidth="1"/>
    <col min="13344" max="13345" width="10.375" style="255" customWidth="1"/>
    <col min="13346" max="13346" width="15.625" style="255" customWidth="1"/>
    <col min="13347" max="13347" width="15.875" style="255" customWidth="1"/>
    <col min="13348" max="13348" width="8.125" style="255" customWidth="1"/>
    <col min="13349" max="13352" width="10.375" style="255" customWidth="1"/>
    <col min="13353" max="13353" width="7.25" style="255" customWidth="1"/>
    <col min="13354" max="13354" width="7.125" style="255" customWidth="1"/>
    <col min="13355" max="13355" width="9.5" style="255" customWidth="1"/>
    <col min="13356" max="13357" width="9" style="255" customWidth="1"/>
    <col min="13358" max="13358" width="16.125" style="255" customWidth="1"/>
    <col min="13359" max="13389" width="9" style="255" customWidth="1"/>
    <col min="13390" max="13549" width="25.25" style="255"/>
    <col min="13550" max="13579" width="9" style="255" customWidth="1"/>
    <col min="13580" max="13580" width="0.5" style="255" customWidth="1"/>
    <col min="13581" max="13581" width="25.25" style="255"/>
    <col min="13582" max="13582" width="0.5" style="255" customWidth="1"/>
    <col min="13583" max="13583" width="25.25" style="255"/>
    <col min="13584" max="13584" width="14.75" style="255" customWidth="1"/>
    <col min="13585" max="13585" width="11.5" style="255" customWidth="1"/>
    <col min="13586" max="13586" width="11.25" style="255" customWidth="1"/>
    <col min="13587" max="13587" width="10.75" style="255" customWidth="1"/>
    <col min="13588" max="13588" width="10" style="255" customWidth="1"/>
    <col min="13589" max="13589" width="9.875" style="255" customWidth="1"/>
    <col min="13590" max="13590" width="26.125" style="255" customWidth="1"/>
    <col min="13591" max="13591" width="11.125" style="255" customWidth="1"/>
    <col min="13592" max="13592" width="7.875" style="255" customWidth="1"/>
    <col min="13593" max="13593" width="7.25" style="255" customWidth="1"/>
    <col min="13594" max="13594" width="9.125" style="255" customWidth="1"/>
    <col min="13595" max="13595" width="15.125" style="255" customWidth="1"/>
    <col min="13596" max="13596" width="7.75" style="255" customWidth="1"/>
    <col min="13597" max="13597" width="7.125" style="255" customWidth="1"/>
    <col min="13598" max="13598" width="12.125" style="255" customWidth="1"/>
    <col min="13599" max="13599" width="8.25" style="255" customWidth="1"/>
    <col min="13600" max="13601" width="10.375" style="255" customWidth="1"/>
    <col min="13602" max="13602" width="15.625" style="255" customWidth="1"/>
    <col min="13603" max="13603" width="15.875" style="255" customWidth="1"/>
    <col min="13604" max="13604" width="8.125" style="255" customWidth="1"/>
    <col min="13605" max="13608" width="10.375" style="255" customWidth="1"/>
    <col min="13609" max="13609" width="7.25" style="255" customWidth="1"/>
    <col min="13610" max="13610" width="7.125" style="255" customWidth="1"/>
    <col min="13611" max="13611" width="9.5" style="255" customWidth="1"/>
    <col min="13612" max="13613" width="9" style="255" customWidth="1"/>
    <col min="13614" max="13614" width="16.125" style="255" customWidth="1"/>
    <col min="13615" max="13645" width="9" style="255" customWidth="1"/>
    <col min="13646" max="13805" width="25.25" style="255"/>
    <col min="13806" max="13835" width="9" style="255" customWidth="1"/>
    <col min="13836" max="13836" width="0.5" style="255" customWidth="1"/>
    <col min="13837" max="13837" width="25.25" style="255"/>
    <col min="13838" max="13838" width="0.5" style="255" customWidth="1"/>
    <col min="13839" max="13839" width="25.25" style="255"/>
    <col min="13840" max="13840" width="14.75" style="255" customWidth="1"/>
    <col min="13841" max="13841" width="11.5" style="255" customWidth="1"/>
    <col min="13842" max="13842" width="11.25" style="255" customWidth="1"/>
    <col min="13843" max="13843" width="10.75" style="255" customWidth="1"/>
    <col min="13844" max="13844" width="10" style="255" customWidth="1"/>
    <col min="13845" max="13845" width="9.875" style="255" customWidth="1"/>
    <col min="13846" max="13846" width="26.125" style="255" customWidth="1"/>
    <col min="13847" max="13847" width="11.125" style="255" customWidth="1"/>
    <col min="13848" max="13848" width="7.875" style="255" customWidth="1"/>
    <col min="13849" max="13849" width="7.25" style="255" customWidth="1"/>
    <col min="13850" max="13850" width="9.125" style="255" customWidth="1"/>
    <col min="13851" max="13851" width="15.125" style="255" customWidth="1"/>
    <col min="13852" max="13852" width="7.75" style="255" customWidth="1"/>
    <col min="13853" max="13853" width="7.125" style="255" customWidth="1"/>
    <col min="13854" max="13854" width="12.125" style="255" customWidth="1"/>
    <col min="13855" max="13855" width="8.25" style="255" customWidth="1"/>
    <col min="13856" max="13857" width="10.375" style="255" customWidth="1"/>
    <col min="13858" max="13858" width="15.625" style="255" customWidth="1"/>
    <col min="13859" max="13859" width="15.875" style="255" customWidth="1"/>
    <col min="13860" max="13860" width="8.125" style="255" customWidth="1"/>
    <col min="13861" max="13864" width="10.375" style="255" customWidth="1"/>
    <col min="13865" max="13865" width="7.25" style="255" customWidth="1"/>
    <col min="13866" max="13866" width="7.125" style="255" customWidth="1"/>
    <col min="13867" max="13867" width="9.5" style="255" customWidth="1"/>
    <col min="13868" max="13869" width="9" style="255" customWidth="1"/>
    <col min="13870" max="13870" width="16.125" style="255" customWidth="1"/>
    <col min="13871" max="13901" width="9" style="255" customWidth="1"/>
    <col min="13902" max="14061" width="25.25" style="255"/>
    <col min="14062" max="14091" width="9" style="255" customWidth="1"/>
    <col min="14092" max="14092" width="0.5" style="255" customWidth="1"/>
    <col min="14093" max="14093" width="25.25" style="255"/>
    <col min="14094" max="14094" width="0.5" style="255" customWidth="1"/>
    <col min="14095" max="14095" width="25.25" style="255"/>
    <col min="14096" max="14096" width="14.75" style="255" customWidth="1"/>
    <col min="14097" max="14097" width="11.5" style="255" customWidth="1"/>
    <col min="14098" max="14098" width="11.25" style="255" customWidth="1"/>
    <col min="14099" max="14099" width="10.75" style="255" customWidth="1"/>
    <col min="14100" max="14100" width="10" style="255" customWidth="1"/>
    <col min="14101" max="14101" width="9.875" style="255" customWidth="1"/>
    <col min="14102" max="14102" width="26.125" style="255" customWidth="1"/>
    <col min="14103" max="14103" width="11.125" style="255" customWidth="1"/>
    <col min="14104" max="14104" width="7.875" style="255" customWidth="1"/>
    <col min="14105" max="14105" width="7.25" style="255" customWidth="1"/>
    <col min="14106" max="14106" width="9.125" style="255" customWidth="1"/>
    <col min="14107" max="14107" width="15.125" style="255" customWidth="1"/>
    <col min="14108" max="14108" width="7.75" style="255" customWidth="1"/>
    <col min="14109" max="14109" width="7.125" style="255" customWidth="1"/>
    <col min="14110" max="14110" width="12.125" style="255" customWidth="1"/>
    <col min="14111" max="14111" width="8.25" style="255" customWidth="1"/>
    <col min="14112" max="14113" width="10.375" style="255" customWidth="1"/>
    <col min="14114" max="14114" width="15.625" style="255" customWidth="1"/>
    <col min="14115" max="14115" width="15.875" style="255" customWidth="1"/>
    <col min="14116" max="14116" width="8.125" style="255" customWidth="1"/>
    <col min="14117" max="14120" width="10.375" style="255" customWidth="1"/>
    <col min="14121" max="14121" width="7.25" style="255" customWidth="1"/>
    <col min="14122" max="14122" width="7.125" style="255" customWidth="1"/>
    <col min="14123" max="14123" width="9.5" style="255" customWidth="1"/>
    <col min="14124" max="14125" width="9" style="255" customWidth="1"/>
    <col min="14126" max="14126" width="16.125" style="255" customWidth="1"/>
    <col min="14127" max="14157" width="9" style="255" customWidth="1"/>
    <col min="14158" max="14317" width="25.25" style="255"/>
    <col min="14318" max="14347" width="9" style="255" customWidth="1"/>
    <col min="14348" max="14348" width="0.5" style="255" customWidth="1"/>
    <col min="14349" max="14349" width="25.25" style="255"/>
    <col min="14350" max="14350" width="0.5" style="255" customWidth="1"/>
    <col min="14351" max="14351" width="25.25" style="255"/>
    <col min="14352" max="14352" width="14.75" style="255" customWidth="1"/>
    <col min="14353" max="14353" width="11.5" style="255" customWidth="1"/>
    <col min="14354" max="14354" width="11.25" style="255" customWidth="1"/>
    <col min="14355" max="14355" width="10.75" style="255" customWidth="1"/>
    <col min="14356" max="14356" width="10" style="255" customWidth="1"/>
    <col min="14357" max="14357" width="9.875" style="255" customWidth="1"/>
    <col min="14358" max="14358" width="26.125" style="255" customWidth="1"/>
    <col min="14359" max="14359" width="11.125" style="255" customWidth="1"/>
    <col min="14360" max="14360" width="7.875" style="255" customWidth="1"/>
    <col min="14361" max="14361" width="7.25" style="255" customWidth="1"/>
    <col min="14362" max="14362" width="9.125" style="255" customWidth="1"/>
    <col min="14363" max="14363" width="15.125" style="255" customWidth="1"/>
    <col min="14364" max="14364" width="7.75" style="255" customWidth="1"/>
    <col min="14365" max="14365" width="7.125" style="255" customWidth="1"/>
    <col min="14366" max="14366" width="12.125" style="255" customWidth="1"/>
    <col min="14367" max="14367" width="8.25" style="255" customWidth="1"/>
    <col min="14368" max="14369" width="10.375" style="255" customWidth="1"/>
    <col min="14370" max="14370" width="15.625" style="255" customWidth="1"/>
    <col min="14371" max="14371" width="15.875" style="255" customWidth="1"/>
    <col min="14372" max="14372" width="8.125" style="255" customWidth="1"/>
    <col min="14373" max="14376" width="10.375" style="255" customWidth="1"/>
    <col min="14377" max="14377" width="7.25" style="255" customWidth="1"/>
    <col min="14378" max="14378" width="7.125" style="255" customWidth="1"/>
    <col min="14379" max="14379" width="9.5" style="255" customWidth="1"/>
    <col min="14380" max="14381" width="9" style="255" customWidth="1"/>
    <col min="14382" max="14382" width="16.125" style="255" customWidth="1"/>
    <col min="14383" max="14413" width="9" style="255" customWidth="1"/>
    <col min="14414" max="14573" width="25.25" style="255"/>
    <col min="14574" max="14603" width="9" style="255" customWidth="1"/>
    <col min="14604" max="14604" width="0.5" style="255" customWidth="1"/>
    <col min="14605" max="14605" width="25.25" style="255"/>
    <col min="14606" max="14606" width="0.5" style="255" customWidth="1"/>
    <col min="14607" max="14607" width="25.25" style="255"/>
    <col min="14608" max="14608" width="14.75" style="255" customWidth="1"/>
    <col min="14609" max="14609" width="11.5" style="255" customWidth="1"/>
    <col min="14610" max="14610" width="11.25" style="255" customWidth="1"/>
    <col min="14611" max="14611" width="10.75" style="255" customWidth="1"/>
    <col min="14612" max="14612" width="10" style="255" customWidth="1"/>
    <col min="14613" max="14613" width="9.875" style="255" customWidth="1"/>
    <col min="14614" max="14614" width="26.125" style="255" customWidth="1"/>
    <col min="14615" max="14615" width="11.125" style="255" customWidth="1"/>
    <col min="14616" max="14616" width="7.875" style="255" customWidth="1"/>
    <col min="14617" max="14617" width="7.25" style="255" customWidth="1"/>
    <col min="14618" max="14618" width="9.125" style="255" customWidth="1"/>
    <col min="14619" max="14619" width="15.125" style="255" customWidth="1"/>
    <col min="14620" max="14620" width="7.75" style="255" customWidth="1"/>
    <col min="14621" max="14621" width="7.125" style="255" customWidth="1"/>
    <col min="14622" max="14622" width="12.125" style="255" customWidth="1"/>
    <col min="14623" max="14623" width="8.25" style="255" customWidth="1"/>
    <col min="14624" max="14625" width="10.375" style="255" customWidth="1"/>
    <col min="14626" max="14626" width="15.625" style="255" customWidth="1"/>
    <col min="14627" max="14627" width="15.875" style="255" customWidth="1"/>
    <col min="14628" max="14628" width="8.125" style="255" customWidth="1"/>
    <col min="14629" max="14632" width="10.375" style="255" customWidth="1"/>
    <col min="14633" max="14633" width="7.25" style="255" customWidth="1"/>
    <col min="14634" max="14634" width="7.125" style="255" customWidth="1"/>
    <col min="14635" max="14635" width="9.5" style="255" customWidth="1"/>
    <col min="14636" max="14637" width="9" style="255" customWidth="1"/>
    <col min="14638" max="14638" width="16.125" style="255" customWidth="1"/>
    <col min="14639" max="14669" width="9" style="255" customWidth="1"/>
    <col min="14670" max="14829" width="25.25" style="255"/>
    <col min="14830" max="14859" width="9" style="255" customWidth="1"/>
    <col min="14860" max="14860" width="0.5" style="255" customWidth="1"/>
    <col min="14861" max="14861" width="25.25" style="255"/>
    <col min="14862" max="14862" width="0.5" style="255" customWidth="1"/>
    <col min="14863" max="14863" width="25.25" style="255"/>
    <col min="14864" max="14864" width="14.75" style="255" customWidth="1"/>
    <col min="14865" max="14865" width="11.5" style="255" customWidth="1"/>
    <col min="14866" max="14866" width="11.25" style="255" customWidth="1"/>
    <col min="14867" max="14867" width="10.75" style="255" customWidth="1"/>
    <col min="14868" max="14868" width="10" style="255" customWidth="1"/>
    <col min="14869" max="14869" width="9.875" style="255" customWidth="1"/>
    <col min="14870" max="14870" width="26.125" style="255" customWidth="1"/>
    <col min="14871" max="14871" width="11.125" style="255" customWidth="1"/>
    <col min="14872" max="14872" width="7.875" style="255" customWidth="1"/>
    <col min="14873" max="14873" width="7.25" style="255" customWidth="1"/>
    <col min="14874" max="14874" width="9.125" style="255" customWidth="1"/>
    <col min="14875" max="14875" width="15.125" style="255" customWidth="1"/>
    <col min="14876" max="14876" width="7.75" style="255" customWidth="1"/>
    <col min="14877" max="14877" width="7.125" style="255" customWidth="1"/>
    <col min="14878" max="14878" width="12.125" style="255" customWidth="1"/>
    <col min="14879" max="14879" width="8.25" style="255" customWidth="1"/>
    <col min="14880" max="14881" width="10.375" style="255" customWidth="1"/>
    <col min="14882" max="14882" width="15.625" style="255" customWidth="1"/>
    <col min="14883" max="14883" width="15.875" style="255" customWidth="1"/>
    <col min="14884" max="14884" width="8.125" style="255" customWidth="1"/>
    <col min="14885" max="14888" width="10.375" style="255" customWidth="1"/>
    <col min="14889" max="14889" width="7.25" style="255" customWidth="1"/>
    <col min="14890" max="14890" width="7.125" style="255" customWidth="1"/>
    <col min="14891" max="14891" width="9.5" style="255" customWidth="1"/>
    <col min="14892" max="14893" width="9" style="255" customWidth="1"/>
    <col min="14894" max="14894" width="16.125" style="255" customWidth="1"/>
    <col min="14895" max="14925" width="9" style="255" customWidth="1"/>
    <col min="14926" max="15085" width="25.25" style="255"/>
    <col min="15086" max="15115" width="9" style="255" customWidth="1"/>
    <col min="15116" max="15116" width="0.5" style="255" customWidth="1"/>
    <col min="15117" max="15117" width="25.25" style="255"/>
    <col min="15118" max="15118" width="0.5" style="255" customWidth="1"/>
    <col min="15119" max="15119" width="25.25" style="255"/>
    <col min="15120" max="15120" width="14.75" style="255" customWidth="1"/>
    <col min="15121" max="15121" width="11.5" style="255" customWidth="1"/>
    <col min="15122" max="15122" width="11.25" style="255" customWidth="1"/>
    <col min="15123" max="15123" width="10.75" style="255" customWidth="1"/>
    <col min="15124" max="15124" width="10" style="255" customWidth="1"/>
    <col min="15125" max="15125" width="9.875" style="255" customWidth="1"/>
    <col min="15126" max="15126" width="26.125" style="255" customWidth="1"/>
    <col min="15127" max="15127" width="11.125" style="255" customWidth="1"/>
    <col min="15128" max="15128" width="7.875" style="255" customWidth="1"/>
    <col min="15129" max="15129" width="7.25" style="255" customWidth="1"/>
    <col min="15130" max="15130" width="9.125" style="255" customWidth="1"/>
    <col min="15131" max="15131" width="15.125" style="255" customWidth="1"/>
    <col min="15132" max="15132" width="7.75" style="255" customWidth="1"/>
    <col min="15133" max="15133" width="7.125" style="255" customWidth="1"/>
    <col min="15134" max="15134" width="12.125" style="255" customWidth="1"/>
    <col min="15135" max="15135" width="8.25" style="255" customWidth="1"/>
    <col min="15136" max="15137" width="10.375" style="255" customWidth="1"/>
    <col min="15138" max="15138" width="15.625" style="255" customWidth="1"/>
    <col min="15139" max="15139" width="15.875" style="255" customWidth="1"/>
    <col min="15140" max="15140" width="8.125" style="255" customWidth="1"/>
    <col min="15141" max="15144" width="10.375" style="255" customWidth="1"/>
    <col min="15145" max="15145" width="7.25" style="255" customWidth="1"/>
    <col min="15146" max="15146" width="7.125" style="255" customWidth="1"/>
    <col min="15147" max="15147" width="9.5" style="255" customWidth="1"/>
    <col min="15148" max="15149" width="9" style="255" customWidth="1"/>
    <col min="15150" max="15150" width="16.125" style="255" customWidth="1"/>
    <col min="15151" max="15181" width="9" style="255" customWidth="1"/>
    <col min="15182" max="15341" width="25.25" style="255"/>
    <col min="15342" max="15371" width="9" style="255" customWidth="1"/>
    <col min="15372" max="15372" width="0.5" style="255" customWidth="1"/>
    <col min="15373" max="15373" width="25.25" style="255"/>
    <col min="15374" max="15374" width="0.5" style="255" customWidth="1"/>
    <col min="15375" max="15375" width="25.25" style="255"/>
    <col min="15376" max="15376" width="14.75" style="255" customWidth="1"/>
    <col min="15377" max="15377" width="11.5" style="255" customWidth="1"/>
    <col min="15378" max="15378" width="11.25" style="255" customWidth="1"/>
    <col min="15379" max="15379" width="10.75" style="255" customWidth="1"/>
    <col min="15380" max="15380" width="10" style="255" customWidth="1"/>
    <col min="15381" max="15381" width="9.875" style="255" customWidth="1"/>
    <col min="15382" max="15382" width="26.125" style="255" customWidth="1"/>
    <col min="15383" max="15383" width="11.125" style="255" customWidth="1"/>
    <col min="15384" max="15384" width="7.875" style="255" customWidth="1"/>
    <col min="15385" max="15385" width="7.25" style="255" customWidth="1"/>
    <col min="15386" max="15386" width="9.125" style="255" customWidth="1"/>
    <col min="15387" max="15387" width="15.125" style="255" customWidth="1"/>
    <col min="15388" max="15388" width="7.75" style="255" customWidth="1"/>
    <col min="15389" max="15389" width="7.125" style="255" customWidth="1"/>
    <col min="15390" max="15390" width="12.125" style="255" customWidth="1"/>
    <col min="15391" max="15391" width="8.25" style="255" customWidth="1"/>
    <col min="15392" max="15393" width="10.375" style="255" customWidth="1"/>
    <col min="15394" max="15394" width="15.625" style="255" customWidth="1"/>
    <col min="15395" max="15395" width="15.875" style="255" customWidth="1"/>
    <col min="15396" max="15396" width="8.125" style="255" customWidth="1"/>
    <col min="15397" max="15400" width="10.375" style="255" customWidth="1"/>
    <col min="15401" max="15401" width="7.25" style="255" customWidth="1"/>
    <col min="15402" max="15402" width="7.125" style="255" customWidth="1"/>
    <col min="15403" max="15403" width="9.5" style="255" customWidth="1"/>
    <col min="15404" max="15405" width="9" style="255" customWidth="1"/>
    <col min="15406" max="15406" width="16.125" style="255" customWidth="1"/>
    <col min="15407" max="15437" width="9" style="255" customWidth="1"/>
    <col min="15438" max="15597" width="25.25" style="255"/>
    <col min="15598" max="15627" width="9" style="255" customWidth="1"/>
    <col min="15628" max="15628" width="0.5" style="255" customWidth="1"/>
    <col min="15629" max="15629" width="25.25" style="255"/>
    <col min="15630" max="15630" width="0.5" style="255" customWidth="1"/>
    <col min="15631" max="15631" width="25.25" style="255"/>
    <col min="15632" max="15632" width="14.75" style="255" customWidth="1"/>
    <col min="15633" max="15633" width="11.5" style="255" customWidth="1"/>
    <col min="15634" max="15634" width="11.25" style="255" customWidth="1"/>
    <col min="15635" max="15635" width="10.75" style="255" customWidth="1"/>
    <col min="15636" max="15636" width="10" style="255" customWidth="1"/>
    <col min="15637" max="15637" width="9.875" style="255" customWidth="1"/>
    <col min="15638" max="15638" width="26.125" style="255" customWidth="1"/>
    <col min="15639" max="15639" width="11.125" style="255" customWidth="1"/>
    <col min="15640" max="15640" width="7.875" style="255" customWidth="1"/>
    <col min="15641" max="15641" width="7.25" style="255" customWidth="1"/>
    <col min="15642" max="15642" width="9.125" style="255" customWidth="1"/>
    <col min="15643" max="15643" width="15.125" style="255" customWidth="1"/>
    <col min="15644" max="15644" width="7.75" style="255" customWidth="1"/>
    <col min="15645" max="15645" width="7.125" style="255" customWidth="1"/>
    <col min="15646" max="15646" width="12.125" style="255" customWidth="1"/>
    <col min="15647" max="15647" width="8.25" style="255" customWidth="1"/>
    <col min="15648" max="15649" width="10.375" style="255" customWidth="1"/>
    <col min="15650" max="15650" width="15.625" style="255" customWidth="1"/>
    <col min="15651" max="15651" width="15.875" style="255" customWidth="1"/>
    <col min="15652" max="15652" width="8.125" style="255" customWidth="1"/>
    <col min="15653" max="15656" width="10.375" style="255" customWidth="1"/>
    <col min="15657" max="15657" width="7.25" style="255" customWidth="1"/>
    <col min="15658" max="15658" width="7.125" style="255" customWidth="1"/>
    <col min="15659" max="15659" width="9.5" style="255" customWidth="1"/>
    <col min="15660" max="15661" width="9" style="255" customWidth="1"/>
    <col min="15662" max="15662" width="16.125" style="255" customWidth="1"/>
    <col min="15663" max="15693" width="9" style="255" customWidth="1"/>
    <col min="15694" max="15853" width="25.25" style="255"/>
    <col min="15854" max="15883" width="9" style="255" customWidth="1"/>
    <col min="15884" max="15884" width="0.5" style="255" customWidth="1"/>
    <col min="15885" max="15885" width="25.25" style="255"/>
    <col min="15886" max="15886" width="0.5" style="255" customWidth="1"/>
    <col min="15887" max="15887" width="25.25" style="255"/>
    <col min="15888" max="15888" width="14.75" style="255" customWidth="1"/>
    <col min="15889" max="15889" width="11.5" style="255" customWidth="1"/>
    <col min="15890" max="15890" width="11.25" style="255" customWidth="1"/>
    <col min="15891" max="15891" width="10.75" style="255" customWidth="1"/>
    <col min="15892" max="15892" width="10" style="255" customWidth="1"/>
    <col min="15893" max="15893" width="9.875" style="255" customWidth="1"/>
    <col min="15894" max="15894" width="26.125" style="255" customWidth="1"/>
    <col min="15895" max="15895" width="11.125" style="255" customWidth="1"/>
    <col min="15896" max="15896" width="7.875" style="255" customWidth="1"/>
    <col min="15897" max="15897" width="7.25" style="255" customWidth="1"/>
    <col min="15898" max="15898" width="9.125" style="255" customWidth="1"/>
    <col min="15899" max="15899" width="15.125" style="255" customWidth="1"/>
    <col min="15900" max="15900" width="7.75" style="255" customWidth="1"/>
    <col min="15901" max="15901" width="7.125" style="255" customWidth="1"/>
    <col min="15902" max="15902" width="12.125" style="255" customWidth="1"/>
    <col min="15903" max="15903" width="8.25" style="255" customWidth="1"/>
    <col min="15904" max="15905" width="10.375" style="255" customWidth="1"/>
    <col min="15906" max="15906" width="15.625" style="255" customWidth="1"/>
    <col min="15907" max="15907" width="15.875" style="255" customWidth="1"/>
    <col min="15908" max="15908" width="8.125" style="255" customWidth="1"/>
    <col min="15909" max="15912" width="10.375" style="255" customWidth="1"/>
    <col min="15913" max="15913" width="7.25" style="255" customWidth="1"/>
    <col min="15914" max="15914" width="7.125" style="255" customWidth="1"/>
    <col min="15915" max="15915" width="9.5" style="255" customWidth="1"/>
    <col min="15916" max="15917" width="9" style="255" customWidth="1"/>
    <col min="15918" max="15918" width="16.125" style="255" customWidth="1"/>
    <col min="15919" max="15949" width="9" style="255" customWidth="1"/>
    <col min="15950" max="16109" width="25.25" style="255"/>
    <col min="16110" max="16139" width="9" style="255" customWidth="1"/>
    <col min="16140" max="16140" width="0.5" style="255" customWidth="1"/>
    <col min="16141" max="16384" width="25.25" style="255"/>
  </cols>
  <sheetData>
    <row r="1" spans="1:16" ht="14.25" thickBot="1"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1"/>
      <c r="O1" s="1"/>
      <c r="P1" s="1"/>
    </row>
    <row r="2" spans="1:16" ht="18" customHeight="1">
      <c r="A2" s="5"/>
      <c r="B2" s="6" t="s">
        <v>402</v>
      </c>
      <c r="C2" s="444"/>
      <c r="D2" s="444" t="s">
        <v>9</v>
      </c>
      <c r="E2" s="444" t="s">
        <v>10</v>
      </c>
      <c r="F2" s="661" t="s">
        <v>11</v>
      </c>
      <c r="G2" s="661"/>
      <c r="H2" s="661"/>
      <c r="I2" s="662" t="s">
        <v>12</v>
      </c>
      <c r="J2" s="664" t="s">
        <v>13</v>
      </c>
      <c r="K2" s="665"/>
      <c r="L2" s="665"/>
      <c r="M2" s="666"/>
      <c r="N2" s="8"/>
      <c r="O2" s="8"/>
      <c r="P2" s="8"/>
    </row>
    <row r="3" spans="1:16" ht="18" customHeight="1">
      <c r="B3" s="9" t="s">
        <v>14</v>
      </c>
      <c r="C3" s="10" t="s">
        <v>15</v>
      </c>
      <c r="D3" s="10" t="s">
        <v>16</v>
      </c>
      <c r="E3" s="10" t="s">
        <v>17</v>
      </c>
      <c r="F3" s="10" t="s">
        <v>7</v>
      </c>
      <c r="G3" s="10" t="s">
        <v>5</v>
      </c>
      <c r="H3" s="10" t="s">
        <v>18</v>
      </c>
      <c r="I3" s="663"/>
      <c r="J3" s="11" t="s">
        <v>19</v>
      </c>
      <c r="K3" s="12" t="s">
        <v>20</v>
      </c>
      <c r="L3" s="12" t="s">
        <v>21</v>
      </c>
      <c r="M3" s="13" t="s">
        <v>22</v>
      </c>
      <c r="N3" s="14"/>
      <c r="P3" s="15"/>
    </row>
    <row r="4" spans="1:16" ht="18" customHeight="1">
      <c r="B4" s="667" t="str">
        <f ca="1">MID(CELL("filename",Q13),FIND("]",CELL("filename",Q13))+1,30)</f>
        <v>C1127</v>
      </c>
      <c r="C4" s="17" t="s">
        <v>23</v>
      </c>
      <c r="D4" s="17">
        <v>1100</v>
      </c>
      <c r="E4" s="17">
        <v>2650</v>
      </c>
      <c r="F4" s="18">
        <v>2.7850000000000001</v>
      </c>
      <c r="G4" s="17">
        <v>1</v>
      </c>
      <c r="H4" s="17">
        <f>F4*G4</f>
        <v>2.7850000000000001</v>
      </c>
      <c r="I4" s="663"/>
      <c r="J4" s="19">
        <v>40</v>
      </c>
      <c r="K4" s="20">
        <v>20</v>
      </c>
      <c r="L4" s="21">
        <v>1.5</v>
      </c>
      <c r="M4" s="22">
        <f t="shared" ref="M4:M11" si="0">ROUND(((J4*K4)-(J4-2*L4)*(K4-2*L4))*7.8/1000,3)</f>
        <v>1.3340000000000001</v>
      </c>
    </row>
    <row r="5" spans="1:16" ht="18" customHeight="1">
      <c r="B5" s="668"/>
      <c r="C5" s="221" t="s">
        <v>299</v>
      </c>
      <c r="D5" s="221">
        <f>D4-70</f>
        <v>1030</v>
      </c>
      <c r="E5" s="221">
        <f>E4-70</f>
        <v>2580</v>
      </c>
      <c r="F5" s="222">
        <f>D5*E5/10^6</f>
        <v>2.6574</v>
      </c>
      <c r="G5" s="221">
        <v>1</v>
      </c>
      <c r="H5" s="222">
        <f>F5*G5</f>
        <v>2.6574</v>
      </c>
      <c r="I5" s="663"/>
      <c r="J5" s="19">
        <v>40</v>
      </c>
      <c r="K5" s="20">
        <v>20</v>
      </c>
      <c r="L5" s="21">
        <v>2</v>
      </c>
      <c r="M5" s="22">
        <f t="shared" si="0"/>
        <v>1.7470000000000001</v>
      </c>
    </row>
    <row r="6" spans="1:16" ht="18" customHeight="1">
      <c r="B6" s="669"/>
      <c r="C6" s="17" t="s">
        <v>24</v>
      </c>
      <c r="D6" s="17">
        <f>D4-80</f>
        <v>1020</v>
      </c>
      <c r="E6" s="17">
        <f>E4-80</f>
        <v>2570</v>
      </c>
      <c r="F6" s="18">
        <f>D6*E6/10^6</f>
        <v>2.6214</v>
      </c>
      <c r="G6" s="17">
        <v>1</v>
      </c>
      <c r="H6" s="18">
        <f>F6*G6</f>
        <v>2.6214</v>
      </c>
      <c r="I6" s="663"/>
      <c r="J6" s="19">
        <v>40</v>
      </c>
      <c r="K6" s="20">
        <v>20</v>
      </c>
      <c r="L6" s="21">
        <v>2</v>
      </c>
      <c r="M6" s="22">
        <f t="shared" si="0"/>
        <v>1.7470000000000001</v>
      </c>
    </row>
    <row r="7" spans="1:16" ht="18" customHeight="1">
      <c r="B7" s="23" t="s">
        <v>25</v>
      </c>
      <c r="C7" s="442" t="s">
        <v>16</v>
      </c>
      <c r="D7" s="442" t="s">
        <v>26</v>
      </c>
      <c r="E7" s="442" t="s">
        <v>17</v>
      </c>
      <c r="F7" s="442" t="s">
        <v>27</v>
      </c>
      <c r="G7" s="442" t="s">
        <v>22</v>
      </c>
      <c r="H7" s="442" t="s">
        <v>28</v>
      </c>
      <c r="I7" s="25" t="s">
        <v>29</v>
      </c>
      <c r="J7" s="19">
        <v>80</v>
      </c>
      <c r="K7" s="20">
        <v>40</v>
      </c>
      <c r="L7" s="21">
        <v>2</v>
      </c>
      <c r="M7" s="22">
        <f t="shared" si="0"/>
        <v>3.6190000000000002</v>
      </c>
    </row>
    <row r="8" spans="1:16" ht="18" customHeight="1">
      <c r="B8" s="441" t="s">
        <v>30</v>
      </c>
      <c r="C8" s="27">
        <f>D4-30</f>
        <v>1070</v>
      </c>
      <c r="D8" s="27">
        <v>2</v>
      </c>
      <c r="E8" s="27">
        <f>E4-30</f>
        <v>2620</v>
      </c>
      <c r="F8" s="27">
        <v>2</v>
      </c>
      <c r="G8" s="28">
        <v>1.7470000000000001</v>
      </c>
      <c r="H8" s="29">
        <f>材料价格!B3</f>
        <v>7.5</v>
      </c>
      <c r="I8" s="30">
        <f>ROUND((C8*D8+E8*F8)*G8*H8/1000*1.1,2)</f>
        <v>106.37</v>
      </c>
      <c r="J8" s="19">
        <v>40</v>
      </c>
      <c r="K8" s="20">
        <v>20</v>
      </c>
      <c r="L8" s="21">
        <v>1.4</v>
      </c>
      <c r="M8" s="22">
        <f>ROUND(((J8*K8)-(J8-2*L8)*(K8-2*L8))*2.71/1000,3)</f>
        <v>0.434</v>
      </c>
    </row>
    <row r="9" spans="1:16" ht="18" customHeight="1">
      <c r="B9" s="441" t="s">
        <v>30</v>
      </c>
      <c r="C9" s="440"/>
      <c r="D9" s="440"/>
      <c r="E9" s="440"/>
      <c r="F9" s="440"/>
      <c r="G9" s="28">
        <v>1.7470000000000001</v>
      </c>
      <c r="H9" s="32">
        <f>H8</f>
        <v>7.5</v>
      </c>
      <c r="I9" s="30">
        <f>ROUND((C9*D9+E9*F9)*G9*H9/1000*1.1,2)</f>
        <v>0</v>
      </c>
      <c r="J9" s="19"/>
      <c r="K9" s="20"/>
      <c r="L9" s="21"/>
      <c r="M9" s="22">
        <f t="shared" si="0"/>
        <v>0</v>
      </c>
    </row>
    <row r="10" spans="1:16" ht="18" customHeight="1">
      <c r="B10" s="441" t="s">
        <v>31</v>
      </c>
      <c r="C10" s="440"/>
      <c r="D10" s="440"/>
      <c r="E10" s="440"/>
      <c r="F10" s="440"/>
      <c r="G10" s="28">
        <v>3.6190000000000002</v>
      </c>
      <c r="H10" s="32">
        <f>H9</f>
        <v>7.5</v>
      </c>
      <c r="I10" s="30">
        <f>ROUND((C10*D10+E10*F10)*G10*H10/1000*1.1,2)</f>
        <v>0</v>
      </c>
      <c r="J10" s="19"/>
      <c r="K10" s="20"/>
      <c r="L10" s="12"/>
      <c r="M10" s="22">
        <f t="shared" si="0"/>
        <v>0</v>
      </c>
    </row>
    <row r="11" spans="1:16" ht="18" customHeight="1" thickBot="1">
      <c r="B11" s="441" t="s">
        <v>32</v>
      </c>
      <c r="C11" s="440"/>
      <c r="D11" s="440"/>
      <c r="E11" s="440"/>
      <c r="F11" s="440"/>
      <c r="G11" s="28">
        <v>2.9950000000000001</v>
      </c>
      <c r="H11" s="32">
        <f>H10</f>
        <v>7.5</v>
      </c>
      <c r="I11" s="30">
        <f>ROUND((C11*D11+E11*F11)*G11*H11/1000*1.1,2)</f>
        <v>0</v>
      </c>
      <c r="J11" s="33"/>
      <c r="K11" s="34"/>
      <c r="L11" s="35"/>
      <c r="M11" s="36">
        <f t="shared" si="0"/>
        <v>0</v>
      </c>
    </row>
    <row r="12" spans="1:16" ht="18" customHeight="1">
      <c r="B12" s="37" t="s">
        <v>33</v>
      </c>
      <c r="C12" s="38">
        <f>((I9+I10+I8+I11)/H8)/F4</f>
        <v>5.0925194494314781</v>
      </c>
      <c r="D12" s="39" t="s">
        <v>34</v>
      </c>
      <c r="E12" s="38">
        <f>(I9+I10+I8+I11)/F4</f>
        <v>38.193895870736085</v>
      </c>
      <c r="F12" s="40" t="s">
        <v>35</v>
      </c>
      <c r="G12" s="39"/>
      <c r="H12" s="39">
        <f>ROUND(SUM(I8:I11)/H8,2)</f>
        <v>14.18</v>
      </c>
      <c r="I12" s="41">
        <f>SUM(I8:I11)</f>
        <v>106.37</v>
      </c>
      <c r="J12" s="42"/>
    </row>
    <row r="13" spans="1:16" ht="18" customHeight="1">
      <c r="B13" s="23" t="s">
        <v>36</v>
      </c>
      <c r="C13" s="442" t="s">
        <v>14</v>
      </c>
      <c r="D13" s="442" t="s">
        <v>37</v>
      </c>
      <c r="E13" s="442" t="s">
        <v>38</v>
      </c>
      <c r="F13" s="442" t="s">
        <v>39</v>
      </c>
      <c r="G13" s="442" t="s">
        <v>8</v>
      </c>
      <c r="H13" s="442" t="s">
        <v>22</v>
      </c>
      <c r="I13" s="25" t="s">
        <v>40</v>
      </c>
    </row>
    <row r="14" spans="1:16" ht="18" customHeight="1">
      <c r="B14" s="648" t="s">
        <v>41</v>
      </c>
      <c r="C14" s="649" t="s">
        <v>404</v>
      </c>
      <c r="D14" s="440">
        <f>D6</f>
        <v>1020</v>
      </c>
      <c r="E14" s="440">
        <v>550</v>
      </c>
      <c r="F14" s="44">
        <f>ROUND((D14+E14)*2/1000,4)</f>
        <v>3.14</v>
      </c>
      <c r="G14" s="440">
        <v>1</v>
      </c>
      <c r="H14" s="440">
        <v>1.47</v>
      </c>
      <c r="I14" s="284">
        <f>ROUND(F14*G14*H14,3)*1.5</f>
        <v>6.9239999999999995</v>
      </c>
      <c r="J14" s="42"/>
      <c r="K14" s="46"/>
      <c r="L14" s="46"/>
      <c r="M14" s="42"/>
    </row>
    <row r="15" spans="1:16" ht="18" customHeight="1">
      <c r="B15" s="648"/>
      <c r="C15" s="650"/>
      <c r="D15" s="440">
        <f>D14</f>
        <v>1020</v>
      </c>
      <c r="E15" s="440">
        <f>E6-E14</f>
        <v>2020</v>
      </c>
      <c r="F15" s="44">
        <f t="shared" ref="F15:F21" si="1">ROUND((D15+E15)*2/1000,4)</f>
        <v>6.08</v>
      </c>
      <c r="G15" s="440">
        <v>1</v>
      </c>
      <c r="H15" s="440">
        <f t="shared" ref="H15:H21" si="2">H14</f>
        <v>1.47</v>
      </c>
      <c r="I15" s="437">
        <f t="shared" ref="I15:I21" si="3">ROUND(F15*G15*H15,3)</f>
        <v>8.9380000000000006</v>
      </c>
      <c r="K15" s="47"/>
      <c r="M15" s="255"/>
    </row>
    <row r="16" spans="1:16" ht="18" customHeight="1">
      <c r="B16" s="648"/>
      <c r="C16" s="650"/>
      <c r="D16" s="440"/>
      <c r="E16" s="440"/>
      <c r="F16" s="44">
        <f t="shared" si="1"/>
        <v>0</v>
      </c>
      <c r="G16" s="440"/>
      <c r="H16" s="440">
        <f t="shared" si="2"/>
        <v>1.47</v>
      </c>
      <c r="I16" s="437">
        <f t="shared" si="3"/>
        <v>0</v>
      </c>
      <c r="K16" s="47"/>
      <c r="L16" s="46"/>
      <c r="M16" s="42"/>
    </row>
    <row r="17" spans="2:15" ht="18" customHeight="1">
      <c r="B17" s="648"/>
      <c r="C17" s="650"/>
      <c r="D17" s="440"/>
      <c r="E17" s="440"/>
      <c r="F17" s="44">
        <f t="shared" si="1"/>
        <v>0</v>
      </c>
      <c r="G17" s="440"/>
      <c r="H17" s="440">
        <f t="shared" si="2"/>
        <v>1.47</v>
      </c>
      <c r="I17" s="437">
        <f t="shared" si="3"/>
        <v>0</v>
      </c>
      <c r="K17" s="47"/>
      <c r="M17" s="42"/>
    </row>
    <row r="18" spans="2:15" ht="18" customHeight="1">
      <c r="B18" s="648"/>
      <c r="C18" s="650"/>
      <c r="D18" s="440"/>
      <c r="E18" s="440"/>
      <c r="F18" s="44">
        <f t="shared" si="1"/>
        <v>0</v>
      </c>
      <c r="G18" s="440"/>
      <c r="H18" s="440">
        <f t="shared" si="2"/>
        <v>1.47</v>
      </c>
      <c r="I18" s="437">
        <f t="shared" si="3"/>
        <v>0</v>
      </c>
      <c r="M18" s="42"/>
    </row>
    <row r="19" spans="2:15" ht="18" customHeight="1">
      <c r="B19" s="648"/>
      <c r="C19" s="650"/>
      <c r="D19" s="440"/>
      <c r="E19" s="440"/>
      <c r="F19" s="44">
        <f t="shared" si="1"/>
        <v>0</v>
      </c>
      <c r="G19" s="440"/>
      <c r="H19" s="440">
        <f t="shared" si="2"/>
        <v>1.47</v>
      </c>
      <c r="I19" s="437">
        <f t="shared" si="3"/>
        <v>0</v>
      </c>
      <c r="M19" s="42"/>
    </row>
    <row r="20" spans="2:15" ht="18" customHeight="1">
      <c r="B20" s="648"/>
      <c r="C20" s="650"/>
      <c r="D20" s="440"/>
      <c r="E20" s="440"/>
      <c r="F20" s="44">
        <f t="shared" si="1"/>
        <v>0</v>
      </c>
      <c r="G20" s="440"/>
      <c r="H20" s="440">
        <f t="shared" si="2"/>
        <v>1.47</v>
      </c>
      <c r="I20" s="437">
        <f t="shared" si="3"/>
        <v>0</v>
      </c>
      <c r="K20" s="47"/>
      <c r="M20" s="42"/>
    </row>
    <row r="21" spans="2:15" ht="18" customHeight="1">
      <c r="B21" s="648"/>
      <c r="C21" s="651"/>
      <c r="D21" s="440"/>
      <c r="E21" s="440"/>
      <c r="F21" s="44">
        <f t="shared" si="1"/>
        <v>0</v>
      </c>
      <c r="G21" s="440"/>
      <c r="H21" s="440">
        <f t="shared" si="2"/>
        <v>1.47</v>
      </c>
      <c r="I21" s="437">
        <f t="shared" si="3"/>
        <v>0</v>
      </c>
    </row>
    <row r="22" spans="2:15" ht="18" customHeight="1">
      <c r="B22" s="48" t="s">
        <v>42</v>
      </c>
      <c r="C22" s="49">
        <f>SUMPRODUCT(F14:F21*G14:G21)</f>
        <v>9.2200000000000006</v>
      </c>
      <c r="D22" s="50" t="s">
        <v>43</v>
      </c>
      <c r="E22" s="49">
        <f>SUM(I14:I21)*1.1</f>
        <v>17.4482</v>
      </c>
      <c r="F22" s="50" t="s">
        <v>44</v>
      </c>
      <c r="G22" s="51">
        <f>(C$218+C$219)/1000</f>
        <v>46.081499999999998</v>
      </c>
      <c r="H22" s="52" t="s">
        <v>45</v>
      </c>
      <c r="I22" s="53">
        <f>ROUND(E22*G22,2)</f>
        <v>804.04</v>
      </c>
      <c r="J22" s="243">
        <f>SUM(G14:G21)</f>
        <v>2</v>
      </c>
    </row>
    <row r="23" spans="2:15" ht="18" customHeight="1">
      <c r="B23" s="48" t="s">
        <v>46</v>
      </c>
      <c r="C23" s="50">
        <v>207.36</v>
      </c>
      <c r="D23" s="50" t="s">
        <v>47</v>
      </c>
      <c r="E23" s="49">
        <f>ROUND(C22*(C23/1000),2)</f>
        <v>1.91</v>
      </c>
      <c r="F23" s="50" t="s">
        <v>48</v>
      </c>
      <c r="G23" s="50">
        <v>10</v>
      </c>
      <c r="H23" s="52" t="s">
        <v>49</v>
      </c>
      <c r="I23" s="53">
        <f>E23*G23</f>
        <v>19.099999999999998</v>
      </c>
    </row>
    <row r="24" spans="2:15" ht="18" customHeight="1" thickBot="1">
      <c r="B24" s="48" t="s">
        <v>50</v>
      </c>
      <c r="C24" s="50">
        <v>169.96</v>
      </c>
      <c r="D24" s="50" t="s">
        <v>51</v>
      </c>
      <c r="E24" s="49">
        <f>ROUND(C22*(C24/1000),2)</f>
        <v>1.57</v>
      </c>
      <c r="F24" s="50" t="s">
        <v>48</v>
      </c>
      <c r="G24" s="50">
        <v>10</v>
      </c>
      <c r="H24" s="52" t="s">
        <v>49</v>
      </c>
      <c r="I24" s="53">
        <f>E24*G24</f>
        <v>15.700000000000001</v>
      </c>
    </row>
    <row r="25" spans="2:15" ht="18" hidden="1" customHeight="1">
      <c r="B25" s="23" t="s">
        <v>36</v>
      </c>
      <c r="C25" s="442" t="s">
        <v>14</v>
      </c>
      <c r="D25" s="442" t="s">
        <v>37</v>
      </c>
      <c r="E25" s="442" t="s">
        <v>38</v>
      </c>
      <c r="F25" s="442" t="s">
        <v>39</v>
      </c>
      <c r="G25" s="442" t="s">
        <v>8</v>
      </c>
      <c r="H25" s="442" t="s">
        <v>22</v>
      </c>
      <c r="I25" s="25" t="s">
        <v>40</v>
      </c>
      <c r="J25" s="54" t="s">
        <v>2</v>
      </c>
      <c r="K25" s="55" t="s">
        <v>3</v>
      </c>
      <c r="L25" s="55" t="s">
        <v>52</v>
      </c>
      <c r="M25" s="55" t="s">
        <v>53</v>
      </c>
      <c r="N25" s="56" t="s">
        <v>14</v>
      </c>
    </row>
    <row r="26" spans="2:15" ht="18" hidden="1" customHeight="1">
      <c r="B26" s="648" t="s">
        <v>54</v>
      </c>
      <c r="C26" s="649" t="s">
        <v>55</v>
      </c>
      <c r="D26" s="443">
        <f>J26-IF(L26=1,44,IF(L26=2,30,IF(L26=3,16,0)))</f>
        <v>0</v>
      </c>
      <c r="E26" s="443">
        <f>K26-IF(M26=1,44,IF(M26=2,30,IF(M26=3,16,0)))</f>
        <v>0</v>
      </c>
      <c r="F26" s="44">
        <f>ROUND((D26+E26)*2/1000,4)</f>
        <v>0</v>
      </c>
      <c r="G26" s="440"/>
      <c r="H26" s="58">
        <v>1.62</v>
      </c>
      <c r="I26" s="59">
        <f>IF(AND(D26&gt;0,E26&gt;0,F26&gt;0),F26*G26*H26,0)</f>
        <v>0</v>
      </c>
      <c r="J26" s="60"/>
      <c r="K26" s="61"/>
      <c r="L26" s="61"/>
      <c r="M26" s="61"/>
      <c r="N26" s="62" t="s">
        <v>56</v>
      </c>
      <c r="O26" s="63" t="s">
        <v>57</v>
      </c>
    </row>
    <row r="27" spans="2:15" ht="18" hidden="1" customHeight="1">
      <c r="B27" s="648"/>
      <c r="C27" s="650"/>
      <c r="D27" s="443">
        <f t="shared" ref="D27:E30" si="4">J27-IF(L27=1,44,IF(L27=2,30,IF(L27=3,16,0)))</f>
        <v>0</v>
      </c>
      <c r="E27" s="443">
        <f t="shared" si="4"/>
        <v>0</v>
      </c>
      <c r="F27" s="44">
        <f>ROUND((D27+E27)*2/1000,4)</f>
        <v>0</v>
      </c>
      <c r="G27" s="440"/>
      <c r="H27" s="58">
        <f>H26</f>
        <v>1.62</v>
      </c>
      <c r="I27" s="59">
        <f>IF(AND(D27&gt;0,E27&gt;0,F27&gt;0),F27*G27*H27,0)</f>
        <v>0</v>
      </c>
      <c r="J27" s="60"/>
      <c r="K27" s="61"/>
      <c r="L27" s="61"/>
      <c r="M27" s="61"/>
      <c r="N27" s="62" t="s">
        <v>58</v>
      </c>
      <c r="O27" s="63" t="s">
        <v>59</v>
      </c>
    </row>
    <row r="28" spans="2:15" ht="18" hidden="1" customHeight="1">
      <c r="B28" s="648"/>
      <c r="C28" s="650"/>
      <c r="D28" s="443">
        <f t="shared" si="4"/>
        <v>0</v>
      </c>
      <c r="E28" s="443">
        <f t="shared" si="4"/>
        <v>0</v>
      </c>
      <c r="F28" s="44">
        <f>ROUND((D28+E28)*2/1000,4)</f>
        <v>0</v>
      </c>
      <c r="G28" s="440"/>
      <c r="H28" s="58">
        <f>H27</f>
        <v>1.62</v>
      </c>
      <c r="I28" s="59">
        <f>IF(AND(D28&gt;0,E28&gt;0,F28&gt;0),F28*G28*H28,0)</f>
        <v>0</v>
      </c>
      <c r="J28" s="60"/>
      <c r="K28" s="61"/>
      <c r="L28" s="61"/>
      <c r="M28" s="61"/>
      <c r="N28" s="62" t="s">
        <v>60</v>
      </c>
      <c r="O28" s="63" t="s">
        <v>59</v>
      </c>
    </row>
    <row r="29" spans="2:15" ht="18" hidden="1" customHeight="1">
      <c r="B29" s="648"/>
      <c r="C29" s="650"/>
      <c r="D29" s="443">
        <f t="shared" si="4"/>
        <v>0</v>
      </c>
      <c r="E29" s="443">
        <f t="shared" si="4"/>
        <v>0</v>
      </c>
      <c r="F29" s="44">
        <f>ROUND((D29+E29)*2/1000,4)</f>
        <v>0</v>
      </c>
      <c r="G29" s="440"/>
      <c r="H29" s="58">
        <f>H28</f>
        <v>1.62</v>
      </c>
      <c r="I29" s="59">
        <f>IF(AND(D29&gt;0,E29&gt;0,F29&gt;0),F29*G29*H29,0)</f>
        <v>0</v>
      </c>
      <c r="J29" s="60"/>
      <c r="K29" s="61"/>
      <c r="L29" s="61"/>
      <c r="M29" s="61"/>
      <c r="N29" s="62"/>
    </row>
    <row r="30" spans="2:15" ht="18" hidden="1" customHeight="1" thickBot="1">
      <c r="B30" s="648"/>
      <c r="C30" s="651"/>
      <c r="D30" s="443">
        <f t="shared" si="4"/>
        <v>0</v>
      </c>
      <c r="E30" s="443">
        <f t="shared" si="4"/>
        <v>0</v>
      </c>
      <c r="F30" s="44">
        <f>ROUND((D30+E30)*2/1000,4)</f>
        <v>0</v>
      </c>
      <c r="G30" s="440"/>
      <c r="H30" s="58">
        <f>H29</f>
        <v>1.62</v>
      </c>
      <c r="I30" s="59">
        <f>IF(AND(D30&gt;0,E30&gt;0,F30&gt;0),F30*G30*H30,0)</f>
        <v>0</v>
      </c>
      <c r="J30" s="64"/>
      <c r="K30" s="65"/>
      <c r="L30" s="65"/>
      <c r="M30" s="65"/>
      <c r="N30" s="66"/>
    </row>
    <row r="31" spans="2:15" ht="18" hidden="1" customHeight="1">
      <c r="B31" s="48" t="s">
        <v>42</v>
      </c>
      <c r="C31" s="49">
        <f>SUMPRODUCT(F26:F30*G26:G30)</f>
        <v>0</v>
      </c>
      <c r="D31" s="50" t="s">
        <v>43</v>
      </c>
      <c r="E31" s="49">
        <f>SUM(I26:I30)*1.1</f>
        <v>0</v>
      </c>
      <c r="F31" s="50" t="s">
        <v>44</v>
      </c>
      <c r="G31" s="51">
        <f>(C$218+C$221)/1000</f>
        <v>46.081499999999998</v>
      </c>
      <c r="H31" s="52" t="s">
        <v>45</v>
      </c>
      <c r="I31" s="53">
        <f>ROUND(E31*G31,2)</f>
        <v>0</v>
      </c>
      <c r="J31" s="243">
        <f>SUM(G26:G30)</f>
        <v>0</v>
      </c>
    </row>
    <row r="32" spans="2:15" ht="18" hidden="1" customHeight="1">
      <c r="B32" s="48" t="s">
        <v>46</v>
      </c>
      <c r="C32" s="50">
        <v>183.32</v>
      </c>
      <c r="D32" s="50" t="s">
        <v>47</v>
      </c>
      <c r="E32" s="49">
        <f>ROUND(C31*(C32/1000),2)</f>
        <v>0</v>
      </c>
      <c r="F32" s="50" t="s">
        <v>48</v>
      </c>
      <c r="G32" s="50">
        <f>G$23</f>
        <v>10</v>
      </c>
      <c r="H32" s="52" t="s">
        <v>49</v>
      </c>
      <c r="I32" s="53">
        <f>E32*G32</f>
        <v>0</v>
      </c>
    </row>
    <row r="33" spans="2:14" ht="18" hidden="1" customHeight="1" thickBot="1">
      <c r="B33" s="48" t="s">
        <v>50</v>
      </c>
      <c r="C33" s="50">
        <v>257.82</v>
      </c>
      <c r="D33" s="50" t="s">
        <v>51</v>
      </c>
      <c r="E33" s="49">
        <f>ROUND(C31*(C33/1000),2)</f>
        <v>0</v>
      </c>
      <c r="F33" s="50" t="s">
        <v>48</v>
      </c>
      <c r="G33" s="50">
        <f>G$24</f>
        <v>10</v>
      </c>
      <c r="H33" s="52" t="s">
        <v>49</v>
      </c>
      <c r="I33" s="53">
        <f>E33*G33</f>
        <v>0</v>
      </c>
    </row>
    <row r="34" spans="2:14" ht="18" customHeight="1" thickBot="1">
      <c r="B34" s="67" t="s">
        <v>36</v>
      </c>
      <c r="C34" s="68" t="s">
        <v>14</v>
      </c>
      <c r="D34" s="68" t="s">
        <v>37</v>
      </c>
      <c r="E34" s="68" t="s">
        <v>38</v>
      </c>
      <c r="F34" s="68" t="s">
        <v>39</v>
      </c>
      <c r="G34" s="68" t="s">
        <v>8</v>
      </c>
      <c r="H34" s="68" t="s">
        <v>22</v>
      </c>
      <c r="I34" s="69" t="s">
        <v>40</v>
      </c>
      <c r="J34" s="54" t="s">
        <v>2</v>
      </c>
      <c r="K34" s="55" t="s">
        <v>3</v>
      </c>
      <c r="L34" s="55" t="s">
        <v>61</v>
      </c>
      <c r="M34" s="55" t="s">
        <v>62</v>
      </c>
      <c r="N34" s="70" t="s">
        <v>14</v>
      </c>
    </row>
    <row r="35" spans="2:14" ht="18" customHeight="1">
      <c r="B35" s="648" t="s">
        <v>63</v>
      </c>
      <c r="C35" s="649" t="s">
        <v>64</v>
      </c>
      <c r="D35" s="443">
        <f t="shared" ref="D35:E37" si="5">J35-IF(L35=1,44,IF(L35=2,30,IF(L35=3,16,IF(L35=11,118,IF(L35=12,100,IF(L35=13,76.8,0))))))</f>
        <v>410</v>
      </c>
      <c r="E35" s="443">
        <f t="shared" si="5"/>
        <v>975</v>
      </c>
      <c r="F35" s="440">
        <f>ROUND((D35+E35)*2/1000,4)</f>
        <v>2.77</v>
      </c>
      <c r="G35" s="440">
        <v>2</v>
      </c>
      <c r="H35" s="58">
        <v>1.8140000000000001</v>
      </c>
      <c r="I35" s="59">
        <f>ROUND(F35*G35*H35,3)</f>
        <v>10.050000000000001</v>
      </c>
      <c r="J35" s="60">
        <f>D14/2</f>
        <v>510</v>
      </c>
      <c r="K35" s="61">
        <v>1075</v>
      </c>
      <c r="L35" s="61">
        <v>12</v>
      </c>
      <c r="M35" s="61">
        <v>12</v>
      </c>
      <c r="N35" s="71" t="s">
        <v>56</v>
      </c>
    </row>
    <row r="36" spans="2:14" ht="18" customHeight="1">
      <c r="B36" s="660"/>
      <c r="C36" s="650"/>
      <c r="D36" s="443">
        <f t="shared" si="5"/>
        <v>0</v>
      </c>
      <c r="E36" s="443">
        <f t="shared" si="5"/>
        <v>0</v>
      </c>
      <c r="F36" s="440">
        <f>ROUND((D36+E36)*2/1000,4)</f>
        <v>0</v>
      </c>
      <c r="G36" s="440"/>
      <c r="H36" s="58">
        <f>H35</f>
        <v>1.8140000000000001</v>
      </c>
      <c r="I36" s="59">
        <f>ROUND(F36*G36*H36,3)</f>
        <v>0</v>
      </c>
      <c r="J36" s="60"/>
      <c r="K36" s="61"/>
      <c r="L36" s="61"/>
      <c r="M36" s="61"/>
      <c r="N36" s="72" t="s">
        <v>58</v>
      </c>
    </row>
    <row r="37" spans="2:14" ht="18" customHeight="1">
      <c r="B37" s="660"/>
      <c r="C37" s="651"/>
      <c r="D37" s="443">
        <f t="shared" si="5"/>
        <v>0</v>
      </c>
      <c r="E37" s="443">
        <f t="shared" si="5"/>
        <v>0</v>
      </c>
      <c r="F37" s="440">
        <f>ROUND((D37+E37)*2/1000,4)</f>
        <v>0</v>
      </c>
      <c r="G37" s="440"/>
      <c r="H37" s="58">
        <f>H36</f>
        <v>1.8140000000000001</v>
      </c>
      <c r="I37" s="59">
        <f>ROUND(F37*G37*H37,3)</f>
        <v>0</v>
      </c>
      <c r="J37" s="60"/>
      <c r="K37" s="61"/>
      <c r="L37" s="61"/>
      <c r="M37" s="61"/>
      <c r="N37" s="72" t="s">
        <v>60</v>
      </c>
    </row>
    <row r="38" spans="2:14" ht="18" customHeight="1">
      <c r="B38" s="48" t="s">
        <v>42</v>
      </c>
      <c r="C38" s="49">
        <f>SUMPRODUCT(F35:F37*G35:G37)</f>
        <v>5.54</v>
      </c>
      <c r="D38" s="50" t="s">
        <v>43</v>
      </c>
      <c r="E38" s="49">
        <f>SUM(I35:I37)*1.1</f>
        <v>11.055000000000001</v>
      </c>
      <c r="F38" s="50" t="s">
        <v>44</v>
      </c>
      <c r="G38" s="51">
        <f>(C$218+C$219)/1000</f>
        <v>46.081499999999998</v>
      </c>
      <c r="H38" s="52" t="s">
        <v>45</v>
      </c>
      <c r="I38" s="53">
        <f>ROUND(E38*G38,2)</f>
        <v>509.43</v>
      </c>
      <c r="J38" s="243">
        <f>SUM(G35:G37)</f>
        <v>2</v>
      </c>
      <c r="K38" s="255"/>
      <c r="L38" s="255"/>
      <c r="M38" s="255"/>
      <c r="N38" s="73" t="s">
        <v>65</v>
      </c>
    </row>
    <row r="39" spans="2:14" ht="18" customHeight="1">
      <c r="B39" s="48" t="s">
        <v>46</v>
      </c>
      <c r="C39" s="50">
        <v>320.14</v>
      </c>
      <c r="D39" s="50" t="s">
        <v>47</v>
      </c>
      <c r="E39" s="49">
        <f>ROUND(C38*(C39/1000),2)</f>
        <v>1.77</v>
      </c>
      <c r="F39" s="50" t="s">
        <v>48</v>
      </c>
      <c r="G39" s="50">
        <f>G$23</f>
        <v>10</v>
      </c>
      <c r="H39" s="52" t="s">
        <v>49</v>
      </c>
      <c r="I39" s="53">
        <f>E39*G39</f>
        <v>17.7</v>
      </c>
      <c r="J39" s="255"/>
      <c r="K39" s="255"/>
      <c r="L39" s="255"/>
      <c r="M39" s="255"/>
      <c r="N39" s="73" t="s">
        <v>66</v>
      </c>
    </row>
    <row r="40" spans="2:14" ht="18" customHeight="1" thickBot="1">
      <c r="B40" s="48" t="s">
        <v>50</v>
      </c>
      <c r="C40" s="50">
        <v>156.99</v>
      </c>
      <c r="D40" s="50" t="s">
        <v>51</v>
      </c>
      <c r="E40" s="49">
        <f>ROUND(C38*(C40/1000),2)</f>
        <v>0.87</v>
      </c>
      <c r="F40" s="50" t="s">
        <v>48</v>
      </c>
      <c r="G40" s="50">
        <f>G$24</f>
        <v>10</v>
      </c>
      <c r="H40" s="52" t="s">
        <v>49</v>
      </c>
      <c r="I40" s="53">
        <f>E40*G40</f>
        <v>8.6999999999999993</v>
      </c>
      <c r="J40" s="255"/>
      <c r="K40" s="255"/>
      <c r="L40" s="255"/>
      <c r="M40" s="255"/>
      <c r="N40" s="74" t="s">
        <v>67</v>
      </c>
    </row>
    <row r="41" spans="2:14" ht="18" customHeight="1" thickBot="1">
      <c r="B41" s="23" t="s">
        <v>36</v>
      </c>
      <c r="C41" s="442" t="s">
        <v>14</v>
      </c>
      <c r="D41" s="442" t="s">
        <v>37</v>
      </c>
      <c r="E41" s="442" t="s">
        <v>38</v>
      </c>
      <c r="F41" s="442" t="s">
        <v>39</v>
      </c>
      <c r="G41" s="442" t="s">
        <v>8</v>
      </c>
      <c r="H41" s="442" t="s">
        <v>22</v>
      </c>
      <c r="I41" s="25" t="s">
        <v>40</v>
      </c>
      <c r="J41" s="54" t="s">
        <v>2</v>
      </c>
      <c r="K41" s="55" t="s">
        <v>3</v>
      </c>
      <c r="L41" s="55" t="s">
        <v>61</v>
      </c>
      <c r="M41" s="55" t="s">
        <v>62</v>
      </c>
      <c r="N41" s="70" t="s">
        <v>14</v>
      </c>
    </row>
    <row r="42" spans="2:14" ht="18" customHeight="1">
      <c r="B42" s="648" t="s">
        <v>68</v>
      </c>
      <c r="C42" s="649" t="s">
        <v>69</v>
      </c>
      <c r="D42" s="443">
        <f>J42-IF(L42=1,46,IF(L42=2,34.5,IF(L42=3,23)))</f>
        <v>475.5</v>
      </c>
      <c r="E42" s="443">
        <f>K42-IF(M42=1,46,IF(M42=2,34.5,IF(M42=3,23)))</f>
        <v>1040.5</v>
      </c>
      <c r="F42" s="440">
        <f t="shared" ref="F42:F47" si="6">ROUND((D42+E42)*2/1000,4)</f>
        <v>3.032</v>
      </c>
      <c r="G42" s="440">
        <f>G35</f>
        <v>2</v>
      </c>
      <c r="H42" s="440">
        <v>1.26</v>
      </c>
      <c r="I42" s="59">
        <f t="shared" ref="I42:I47" si="7">ROUND(F42*G42*H42,3)</f>
        <v>7.641</v>
      </c>
      <c r="J42" s="60">
        <f>J35</f>
        <v>510</v>
      </c>
      <c r="K42" s="61">
        <f>K35</f>
        <v>1075</v>
      </c>
      <c r="L42" s="61">
        <v>2</v>
      </c>
      <c r="M42" s="61">
        <v>2</v>
      </c>
      <c r="N42" s="71" t="s">
        <v>56</v>
      </c>
    </row>
    <row r="43" spans="2:14" ht="18" customHeight="1">
      <c r="B43" s="648"/>
      <c r="C43" s="650"/>
      <c r="D43" s="443">
        <f t="shared" ref="D43:E47" si="8">J43-IF(L43=1,46,IF(L43=2,34.5,IF(L43=3,23)))</f>
        <v>0</v>
      </c>
      <c r="E43" s="443">
        <f t="shared" si="8"/>
        <v>0</v>
      </c>
      <c r="F43" s="440">
        <f t="shared" si="6"/>
        <v>0</v>
      </c>
      <c r="G43" s="440"/>
      <c r="H43" s="440">
        <f>H42</f>
        <v>1.26</v>
      </c>
      <c r="I43" s="59">
        <f t="shared" si="7"/>
        <v>0</v>
      </c>
      <c r="J43" s="60"/>
      <c r="K43" s="61"/>
      <c r="L43" s="61"/>
      <c r="M43" s="61"/>
      <c r="N43" s="72" t="s">
        <v>58</v>
      </c>
    </row>
    <row r="44" spans="2:14" ht="18" customHeight="1">
      <c r="B44" s="648"/>
      <c r="C44" s="651"/>
      <c r="D44" s="443">
        <f t="shared" si="8"/>
        <v>0</v>
      </c>
      <c r="E44" s="443">
        <f t="shared" si="8"/>
        <v>0</v>
      </c>
      <c r="F44" s="440">
        <f t="shared" si="6"/>
        <v>0</v>
      </c>
      <c r="G44" s="440"/>
      <c r="H44" s="440">
        <f>H43</f>
        <v>1.26</v>
      </c>
      <c r="I44" s="59">
        <f t="shared" si="7"/>
        <v>0</v>
      </c>
      <c r="J44" s="60"/>
      <c r="K44" s="61"/>
      <c r="L44" s="61"/>
      <c r="M44" s="61"/>
      <c r="N44" s="72" t="s">
        <v>60</v>
      </c>
    </row>
    <row r="45" spans="2:14" ht="18" customHeight="1">
      <c r="B45" s="648"/>
      <c r="C45" s="649" t="s">
        <v>70</v>
      </c>
      <c r="D45" s="443">
        <f t="shared" si="8"/>
        <v>0</v>
      </c>
      <c r="E45" s="443">
        <f t="shared" si="8"/>
        <v>0</v>
      </c>
      <c r="F45" s="440">
        <f t="shared" si="6"/>
        <v>0</v>
      </c>
      <c r="G45" s="440"/>
      <c r="H45" s="440">
        <f>H44</f>
        <v>1.26</v>
      </c>
      <c r="I45" s="59">
        <f t="shared" si="7"/>
        <v>0</v>
      </c>
      <c r="J45" s="60"/>
      <c r="K45" s="61"/>
      <c r="L45" s="61"/>
      <c r="M45" s="61"/>
      <c r="N45" s="71" t="s">
        <v>56</v>
      </c>
    </row>
    <row r="46" spans="2:14" ht="18" customHeight="1">
      <c r="B46" s="648"/>
      <c r="C46" s="650"/>
      <c r="D46" s="443">
        <f t="shared" si="8"/>
        <v>0</v>
      </c>
      <c r="E46" s="443">
        <f t="shared" si="8"/>
        <v>0</v>
      </c>
      <c r="F46" s="440">
        <f t="shared" si="6"/>
        <v>0</v>
      </c>
      <c r="G46" s="440"/>
      <c r="H46" s="440">
        <f>H45</f>
        <v>1.26</v>
      </c>
      <c r="I46" s="59">
        <f t="shared" si="7"/>
        <v>0</v>
      </c>
      <c r="J46" s="60"/>
      <c r="K46" s="61"/>
      <c r="L46" s="61"/>
      <c r="M46" s="61"/>
      <c r="N46" s="72" t="s">
        <v>58</v>
      </c>
    </row>
    <row r="47" spans="2:14" ht="18" customHeight="1" thickBot="1">
      <c r="B47" s="648"/>
      <c r="C47" s="651"/>
      <c r="D47" s="443">
        <f t="shared" si="8"/>
        <v>0</v>
      </c>
      <c r="E47" s="443">
        <f t="shared" si="8"/>
        <v>0</v>
      </c>
      <c r="F47" s="440">
        <f t="shared" si="6"/>
        <v>0</v>
      </c>
      <c r="G47" s="440"/>
      <c r="H47" s="440">
        <f>H46</f>
        <v>1.26</v>
      </c>
      <c r="I47" s="59">
        <f t="shared" si="7"/>
        <v>0</v>
      </c>
      <c r="J47" s="64"/>
      <c r="K47" s="65"/>
      <c r="L47" s="65"/>
      <c r="M47" s="65"/>
      <c r="N47" s="75" t="s">
        <v>60</v>
      </c>
    </row>
    <row r="48" spans="2:14" ht="18" customHeight="1">
      <c r="B48" s="48" t="s">
        <v>42</v>
      </c>
      <c r="C48" s="49">
        <f>SUMPRODUCT(F42:F47*G42:G47)</f>
        <v>6.0640000000000001</v>
      </c>
      <c r="D48" s="50" t="s">
        <v>43</v>
      </c>
      <c r="E48" s="49">
        <f>SUM(I42:I47)*1.1</f>
        <v>8.4051000000000009</v>
      </c>
      <c r="F48" s="50" t="s">
        <v>44</v>
      </c>
      <c r="G48" s="51">
        <f>(C$218+C$219)/1000</f>
        <v>46.081499999999998</v>
      </c>
      <c r="H48" s="52" t="s">
        <v>45</v>
      </c>
      <c r="I48" s="53">
        <f>ROUND(E48*G48,2)</f>
        <v>387.32</v>
      </c>
      <c r="J48" s="243">
        <f>SUM(G42:G47)</f>
        <v>2</v>
      </c>
      <c r="K48" s="255"/>
      <c r="L48" s="255"/>
      <c r="M48" s="255"/>
    </row>
    <row r="49" spans="2:14" ht="18" customHeight="1">
      <c r="B49" s="48" t="s">
        <v>46</v>
      </c>
      <c r="C49" s="50">
        <v>132.47999999999999</v>
      </c>
      <c r="D49" s="50" t="s">
        <v>47</v>
      </c>
      <c r="E49" s="49">
        <f>ROUND(C48*(C49/1000),2)</f>
        <v>0.8</v>
      </c>
      <c r="F49" s="50" t="s">
        <v>48</v>
      </c>
      <c r="G49" s="50">
        <f>G$23</f>
        <v>10</v>
      </c>
      <c r="H49" s="52" t="s">
        <v>49</v>
      </c>
      <c r="I49" s="53">
        <f>E49*G49</f>
        <v>8</v>
      </c>
      <c r="J49" s="255"/>
      <c r="K49" s="255"/>
      <c r="L49" s="255"/>
      <c r="M49" s="255"/>
    </row>
    <row r="50" spans="2:14" ht="18" customHeight="1" thickBot="1">
      <c r="B50" s="48" t="s">
        <v>50</v>
      </c>
      <c r="C50" s="50">
        <v>202.06</v>
      </c>
      <c r="D50" s="50" t="s">
        <v>51</v>
      </c>
      <c r="E50" s="49">
        <f>ROUND(C48*(C50/1000),2)</f>
        <v>1.23</v>
      </c>
      <c r="F50" s="50" t="s">
        <v>48</v>
      </c>
      <c r="G50" s="50">
        <f>G$24</f>
        <v>10</v>
      </c>
      <c r="H50" s="52" t="s">
        <v>49</v>
      </c>
      <c r="I50" s="53">
        <f>E50*G50</f>
        <v>12.3</v>
      </c>
      <c r="J50" s="255"/>
    </row>
    <row r="51" spans="2:14" ht="18" customHeight="1" thickBot="1">
      <c r="B51" s="23" t="s">
        <v>36</v>
      </c>
      <c r="C51" s="442" t="s">
        <v>14</v>
      </c>
      <c r="D51" s="442" t="s">
        <v>37</v>
      </c>
      <c r="E51" s="442" t="s">
        <v>71</v>
      </c>
      <c r="F51" s="442" t="s">
        <v>38</v>
      </c>
      <c r="G51" s="442" t="s">
        <v>72</v>
      </c>
      <c r="H51" s="442" t="s">
        <v>22</v>
      </c>
      <c r="I51" s="25" t="s">
        <v>40</v>
      </c>
      <c r="J51" s="54" t="s">
        <v>2</v>
      </c>
      <c r="K51" s="55" t="s">
        <v>3</v>
      </c>
      <c r="L51" s="55" t="s">
        <v>61</v>
      </c>
      <c r="M51" s="55" t="s">
        <v>62</v>
      </c>
      <c r="N51" s="70" t="s">
        <v>14</v>
      </c>
    </row>
    <row r="52" spans="2:14" ht="18" customHeight="1">
      <c r="B52" s="648" t="s">
        <v>73</v>
      </c>
      <c r="C52" s="649" t="s">
        <v>405</v>
      </c>
      <c r="D52" s="443">
        <f>J52-IF(L52=1,46,IF(L52=2,32,IF(L52=3,18,0)))</f>
        <v>974</v>
      </c>
      <c r="E52" s="443">
        <v>2</v>
      </c>
      <c r="F52" s="443">
        <f>K52-IF(M52=1,46,IF(M52=2,32,IF(M52=3,118,0)))</f>
        <v>0</v>
      </c>
      <c r="G52" s="440"/>
      <c r="H52" s="440">
        <v>1.6379999999999999</v>
      </c>
      <c r="I52" s="59">
        <f>ROUND((D52*E52+F52*G52)/1000*H52,3)</f>
        <v>3.1909999999999998</v>
      </c>
      <c r="J52" s="60">
        <f>D14</f>
        <v>1020</v>
      </c>
      <c r="K52" s="61"/>
      <c r="L52" s="61">
        <v>1</v>
      </c>
      <c r="M52" s="61"/>
      <c r="N52" s="76" t="s">
        <v>56</v>
      </c>
    </row>
    <row r="53" spans="2:14" ht="18" customHeight="1">
      <c r="B53" s="648"/>
      <c r="C53" s="650"/>
      <c r="D53" s="443">
        <f t="shared" ref="D53:D55" si="9">J53-IF(L53=1,46,IF(L53=2,32,IF(L53=3,18,0)))</f>
        <v>0</v>
      </c>
      <c r="E53" s="443"/>
      <c r="F53" s="443">
        <f t="shared" ref="F53:F55" si="10">K53-IF(M53=1,46,IF(M53=2,32,IF(M53=3,118,0)))</f>
        <v>0</v>
      </c>
      <c r="G53" s="440"/>
      <c r="H53" s="440">
        <f>H52</f>
        <v>1.6379999999999999</v>
      </c>
      <c r="I53" s="59">
        <f>ROUND((D53*E53+F53*G53)/1000*H53,3)</f>
        <v>0</v>
      </c>
      <c r="J53" s="60"/>
      <c r="K53" s="61"/>
      <c r="L53" s="61"/>
      <c r="M53" s="61"/>
      <c r="N53" s="76" t="s">
        <v>58</v>
      </c>
    </row>
    <row r="54" spans="2:14" ht="18" customHeight="1">
      <c r="B54" s="648"/>
      <c r="C54" s="650"/>
      <c r="D54" s="443">
        <f t="shared" si="9"/>
        <v>0</v>
      </c>
      <c r="E54" s="443"/>
      <c r="F54" s="443">
        <f t="shared" si="10"/>
        <v>0</v>
      </c>
      <c r="G54" s="440"/>
      <c r="H54" s="440">
        <f>H53</f>
        <v>1.6379999999999999</v>
      </c>
      <c r="I54" s="59">
        <f>ROUND((D54*E54+F54*G54)/1000*H54,3)</f>
        <v>0</v>
      </c>
      <c r="J54" s="60"/>
      <c r="K54" s="61"/>
      <c r="L54" s="61"/>
      <c r="M54" s="61"/>
      <c r="N54" s="76" t="s">
        <v>60</v>
      </c>
    </row>
    <row r="55" spans="2:14" ht="18" customHeight="1" thickBot="1">
      <c r="B55" s="648"/>
      <c r="C55" s="651"/>
      <c r="D55" s="443">
        <f t="shared" si="9"/>
        <v>0</v>
      </c>
      <c r="E55" s="443"/>
      <c r="F55" s="443">
        <f t="shared" si="10"/>
        <v>0</v>
      </c>
      <c r="G55" s="440"/>
      <c r="H55" s="77">
        <f>H54</f>
        <v>1.6379999999999999</v>
      </c>
      <c r="I55" s="59">
        <f>ROUND((D55*E55+F55*G55)/1000*H55,3)</f>
        <v>0</v>
      </c>
      <c r="J55" s="78"/>
      <c r="K55" s="79"/>
      <c r="L55" s="79"/>
      <c r="M55" s="79"/>
      <c r="N55" s="80"/>
    </row>
    <row r="56" spans="2:14" ht="18" customHeight="1">
      <c r="B56" s="48" t="s">
        <v>42</v>
      </c>
      <c r="C56" s="49">
        <f>SUMPRODUCT(D52:D55*E52:E55+F52:F55*G52:G55)/1000</f>
        <v>1.948</v>
      </c>
      <c r="D56" s="50" t="s">
        <v>43</v>
      </c>
      <c r="E56" s="49">
        <f>SUM(I52:I55)*1.1</f>
        <v>3.5101</v>
      </c>
      <c r="F56" s="50" t="s">
        <v>44</v>
      </c>
      <c r="G56" s="51">
        <f>(C$218+C$219)/1000</f>
        <v>46.081499999999998</v>
      </c>
      <c r="H56" s="52" t="s">
        <v>45</v>
      </c>
      <c r="I56" s="53">
        <f>ROUND(E56*G56,2)</f>
        <v>161.75</v>
      </c>
      <c r="J56" s="243">
        <f>SUM(E52:E55)+SUM(G52:G55)</f>
        <v>2</v>
      </c>
    </row>
    <row r="57" spans="2:14" ht="18" customHeight="1">
      <c r="B57" s="48" t="s">
        <v>46</v>
      </c>
      <c r="C57" s="50">
        <v>265.52999999999997</v>
      </c>
      <c r="D57" s="50" t="s">
        <v>47</v>
      </c>
      <c r="E57" s="49">
        <f>ROUND(C56*(C57/1000),2)</f>
        <v>0.52</v>
      </c>
      <c r="F57" s="50" t="s">
        <v>48</v>
      </c>
      <c r="G57" s="50">
        <f>G$23</f>
        <v>10</v>
      </c>
      <c r="H57" s="52" t="s">
        <v>49</v>
      </c>
      <c r="I57" s="53">
        <f>E57*G57</f>
        <v>5.2</v>
      </c>
      <c r="L57" s="47"/>
    </row>
    <row r="58" spans="2:14" ht="18" customHeight="1">
      <c r="B58" s="48" t="s">
        <v>50</v>
      </c>
      <c r="C58" s="50">
        <v>173.62</v>
      </c>
      <c r="D58" s="50" t="s">
        <v>51</v>
      </c>
      <c r="E58" s="49">
        <f>ROUND(C56*(C58/1000),2)</f>
        <v>0.34</v>
      </c>
      <c r="F58" s="50" t="s">
        <v>48</v>
      </c>
      <c r="G58" s="50">
        <f>G$24</f>
        <v>10</v>
      </c>
      <c r="H58" s="52" t="s">
        <v>49</v>
      </c>
      <c r="I58" s="53">
        <f>E58*G58</f>
        <v>3.4000000000000004</v>
      </c>
      <c r="L58" s="47"/>
    </row>
    <row r="59" spans="2:14" ht="18" customHeight="1">
      <c r="B59" s="23" t="s">
        <v>36</v>
      </c>
      <c r="C59" s="442" t="s">
        <v>14</v>
      </c>
      <c r="D59" s="652" t="s">
        <v>74</v>
      </c>
      <c r="E59" s="652"/>
      <c r="F59" s="652"/>
      <c r="G59" s="442" t="s">
        <v>75</v>
      </c>
      <c r="H59" s="442" t="s">
        <v>22</v>
      </c>
      <c r="I59" s="25" t="s">
        <v>40</v>
      </c>
      <c r="L59" s="47"/>
    </row>
    <row r="60" spans="2:14" ht="18" customHeight="1">
      <c r="B60" s="648" t="s">
        <v>76</v>
      </c>
      <c r="C60" s="649" t="s">
        <v>77</v>
      </c>
      <c r="D60" s="646">
        <f>E15</f>
        <v>2020</v>
      </c>
      <c r="E60" s="646"/>
      <c r="F60" s="646"/>
      <c r="G60" s="440">
        <v>1</v>
      </c>
      <c r="H60" s="440">
        <v>1.9339999999999999</v>
      </c>
      <c r="I60" s="59">
        <f>ROUND(D60*G60*H60/1000,3)</f>
        <v>3.907</v>
      </c>
      <c r="L60" s="47"/>
    </row>
    <row r="61" spans="2:14" ht="18" customHeight="1">
      <c r="B61" s="648"/>
      <c r="C61" s="651"/>
      <c r="D61" s="646"/>
      <c r="E61" s="646"/>
      <c r="F61" s="646"/>
      <c r="G61" s="440"/>
      <c r="H61" s="440">
        <v>1.9339999999999999</v>
      </c>
      <c r="I61" s="59">
        <f>ROUND(D61*G61*H61/1000,3)</f>
        <v>0</v>
      </c>
    </row>
    <row r="62" spans="2:14" ht="18" customHeight="1">
      <c r="B62" s="648"/>
      <c r="C62" s="649" t="s">
        <v>78</v>
      </c>
      <c r="D62" s="646"/>
      <c r="E62" s="646"/>
      <c r="F62" s="646"/>
      <c r="G62" s="440"/>
      <c r="H62" s="440">
        <v>2.3130000000000002</v>
      </c>
      <c r="I62" s="59">
        <f>ROUND(D62*G62*H62/1000,3)</f>
        <v>0</v>
      </c>
    </row>
    <row r="63" spans="2:14" ht="18" customHeight="1">
      <c r="B63" s="648"/>
      <c r="C63" s="651"/>
      <c r="D63" s="646"/>
      <c r="E63" s="646"/>
      <c r="F63" s="646"/>
      <c r="G63" s="440"/>
      <c r="H63" s="440">
        <v>2.3130000000000002</v>
      </c>
      <c r="I63" s="59">
        <f>ROUND(D63*G63*H63/1000,3)</f>
        <v>0</v>
      </c>
    </row>
    <row r="64" spans="2:14" ht="18" customHeight="1">
      <c r="B64" s="48" t="s">
        <v>42</v>
      </c>
      <c r="C64" s="49">
        <f>SUMPRODUCT(D60:F63*G60:G63)/1000</f>
        <v>2.02</v>
      </c>
      <c r="D64" s="50" t="s">
        <v>43</v>
      </c>
      <c r="E64" s="49">
        <f>SUM(I60:I63)*1.1</f>
        <v>4.2977000000000007</v>
      </c>
      <c r="F64" s="50" t="s">
        <v>44</v>
      </c>
      <c r="G64" s="51">
        <f>(C$218+C$219)/1000</f>
        <v>46.081499999999998</v>
      </c>
      <c r="H64" s="52" t="s">
        <v>45</v>
      </c>
      <c r="I64" s="53">
        <f>ROUND(E64*G64,2)</f>
        <v>198.04</v>
      </c>
      <c r="J64" s="43">
        <f>SUM(G60:G63)</f>
        <v>1</v>
      </c>
    </row>
    <row r="65" spans="2:14" ht="18" customHeight="1">
      <c r="B65" s="48" t="s">
        <v>46</v>
      </c>
      <c r="C65" s="50">
        <v>337.92</v>
      </c>
      <c r="D65" s="50" t="s">
        <v>47</v>
      </c>
      <c r="E65" s="49">
        <f>ROUND(C64*(C65/1000),2)</f>
        <v>0.68</v>
      </c>
      <c r="F65" s="50" t="s">
        <v>48</v>
      </c>
      <c r="G65" s="50">
        <f>G$23</f>
        <v>10</v>
      </c>
      <c r="H65" s="52" t="s">
        <v>49</v>
      </c>
      <c r="I65" s="53">
        <f>E65*G65</f>
        <v>6.8000000000000007</v>
      </c>
    </row>
    <row r="66" spans="2:14" ht="18" customHeight="1" thickBot="1">
      <c r="B66" s="48" t="s">
        <v>50</v>
      </c>
      <c r="C66" s="50">
        <v>175.93</v>
      </c>
      <c r="D66" s="50" t="s">
        <v>51</v>
      </c>
      <c r="E66" s="49">
        <f>ROUND(C64*(C66/1000),2)</f>
        <v>0.36</v>
      </c>
      <c r="F66" s="50" t="s">
        <v>48</v>
      </c>
      <c r="G66" s="50">
        <f>G$24</f>
        <v>10</v>
      </c>
      <c r="H66" s="52" t="s">
        <v>49</v>
      </c>
      <c r="I66" s="53">
        <f>E66*G66</f>
        <v>3.5999999999999996</v>
      </c>
    </row>
    <row r="67" spans="2:14" ht="18" customHeight="1" thickBot="1">
      <c r="B67" s="23" t="s">
        <v>36</v>
      </c>
      <c r="C67" s="442" t="s">
        <v>14</v>
      </c>
      <c r="D67" s="442" t="s">
        <v>37</v>
      </c>
      <c r="E67" s="442" t="s">
        <v>38</v>
      </c>
      <c r="F67" s="442" t="s">
        <v>39</v>
      </c>
      <c r="G67" s="442" t="s">
        <v>8</v>
      </c>
      <c r="H67" s="442" t="s">
        <v>22</v>
      </c>
      <c r="I67" s="25" t="s">
        <v>40</v>
      </c>
      <c r="J67" s="54" t="s">
        <v>2</v>
      </c>
      <c r="K67" s="55" t="s">
        <v>3</v>
      </c>
      <c r="L67" s="55" t="s">
        <v>52</v>
      </c>
      <c r="M67" s="55" t="s">
        <v>53</v>
      </c>
      <c r="N67" s="70" t="s">
        <v>14</v>
      </c>
    </row>
    <row r="68" spans="2:14" ht="18" customHeight="1">
      <c r="B68" s="648" t="s">
        <v>79</v>
      </c>
      <c r="C68" s="649" t="s">
        <v>323</v>
      </c>
      <c r="D68" s="81">
        <f>J68-IF(L68=1,72,IF(L68=2,54,IF(L68=3,26,IF(L68=11,102.8,IF(L68=12,88.8,IF(L68=13,74.8,0))))))</f>
        <v>948</v>
      </c>
      <c r="E68" s="81">
        <f>K68-IF(M68=1,72,IF(M68=2,24,IF(M68=3,26,IF(M68=11,102.8,IF(M68=12,88.8,IF(M68=13,74.8,0))))))</f>
        <v>478</v>
      </c>
      <c r="F68" s="81">
        <f>2*(D68+E68)/1000</f>
        <v>2.8519999999999999</v>
      </c>
      <c r="G68" s="82">
        <v>1</v>
      </c>
      <c r="H68" s="440">
        <v>0.224</v>
      </c>
      <c r="I68" s="283">
        <f>ROUND(F68*G68*H68,3)*1.5</f>
        <v>0.95850000000000002</v>
      </c>
      <c r="J68" s="83">
        <f>D14</f>
        <v>1020</v>
      </c>
      <c r="K68" s="83">
        <f>E14</f>
        <v>550</v>
      </c>
      <c r="L68" s="84">
        <v>1</v>
      </c>
      <c r="M68" s="84">
        <v>1</v>
      </c>
      <c r="N68" s="71" t="s">
        <v>56</v>
      </c>
    </row>
    <row r="69" spans="2:14" ht="18" customHeight="1">
      <c r="B69" s="648"/>
      <c r="C69" s="650"/>
      <c r="D69" s="81">
        <f t="shared" ref="D69:D87" si="11">J69-IF(L69=1,72,IF(L69=2,54,IF(L69=3,26,IF(L69=11,102.8,IF(L69=12,88.8,IF(L69=13,74.8,0))))))</f>
        <v>456</v>
      </c>
      <c r="E69" s="81">
        <f t="shared" ref="E69:E87" si="12">K69-IF(M69=1,72,IF(M69=2,24,IF(M69=3,26,IF(M69=11,102.8,IF(M69=12,88.8,IF(M69=13,74.8,0))))))</f>
        <v>921</v>
      </c>
      <c r="F69" s="81">
        <f t="shared" ref="F69:F87" si="13">2*(D69+E69)/1000</f>
        <v>2.754</v>
      </c>
      <c r="G69" s="82">
        <v>2</v>
      </c>
      <c r="H69" s="440">
        <f>H68</f>
        <v>0.224</v>
      </c>
      <c r="I69" s="59">
        <f t="shared" ref="I69:I87" si="14">ROUND(F69*G69*H69,3)</f>
        <v>1.234</v>
      </c>
      <c r="J69" s="83">
        <f>J68/2</f>
        <v>510</v>
      </c>
      <c r="K69" s="84">
        <f>E15-K35</f>
        <v>945</v>
      </c>
      <c r="L69" s="84">
        <v>2</v>
      </c>
      <c r="M69" s="84">
        <v>2</v>
      </c>
      <c r="N69" s="72" t="s">
        <v>58</v>
      </c>
    </row>
    <row r="70" spans="2:14" ht="18" customHeight="1">
      <c r="B70" s="648"/>
      <c r="C70" s="650"/>
      <c r="D70" s="81">
        <f t="shared" si="11"/>
        <v>0</v>
      </c>
      <c r="E70" s="81">
        <f t="shared" si="12"/>
        <v>0</v>
      </c>
      <c r="F70" s="81">
        <f t="shared" si="13"/>
        <v>0</v>
      </c>
      <c r="G70" s="82"/>
      <c r="H70" s="440">
        <f>H69</f>
        <v>0.224</v>
      </c>
      <c r="I70" s="59">
        <f t="shared" si="14"/>
        <v>0</v>
      </c>
      <c r="J70" s="83"/>
      <c r="K70" s="84"/>
      <c r="L70" s="84"/>
      <c r="M70" s="84"/>
      <c r="N70" s="72" t="s">
        <v>60</v>
      </c>
    </row>
    <row r="71" spans="2:14" ht="18" customHeight="1">
      <c r="B71" s="648"/>
      <c r="C71" s="650"/>
      <c r="D71" s="81">
        <f t="shared" si="11"/>
        <v>0</v>
      </c>
      <c r="E71" s="81">
        <f t="shared" si="12"/>
        <v>0</v>
      </c>
      <c r="F71" s="81">
        <f t="shared" si="13"/>
        <v>0</v>
      </c>
      <c r="G71" s="82"/>
      <c r="H71" s="77">
        <f>H70</f>
        <v>0.224</v>
      </c>
      <c r="I71" s="59">
        <f t="shared" si="14"/>
        <v>0</v>
      </c>
      <c r="J71" s="85"/>
      <c r="K71" s="86"/>
      <c r="L71" s="86"/>
      <c r="M71" s="86"/>
      <c r="N71" s="72" t="s">
        <v>65</v>
      </c>
    </row>
    <row r="72" spans="2:14" ht="18" customHeight="1">
      <c r="B72" s="648"/>
      <c r="C72" s="650"/>
      <c r="D72" s="81">
        <f t="shared" si="11"/>
        <v>0</v>
      </c>
      <c r="E72" s="81">
        <f t="shared" si="12"/>
        <v>0</v>
      </c>
      <c r="F72" s="81">
        <f t="shared" si="13"/>
        <v>0</v>
      </c>
      <c r="G72" s="82"/>
      <c r="H72" s="77">
        <f>H71</f>
        <v>0.224</v>
      </c>
      <c r="I72" s="87">
        <f t="shared" si="14"/>
        <v>0</v>
      </c>
      <c r="J72" s="85"/>
      <c r="K72" s="86"/>
      <c r="L72" s="86"/>
      <c r="M72" s="86"/>
      <c r="N72" s="72" t="s">
        <v>66</v>
      </c>
    </row>
    <row r="73" spans="2:14" ht="18" customHeight="1">
      <c r="B73" s="648"/>
      <c r="C73" s="650"/>
      <c r="D73" s="81">
        <f t="shared" si="11"/>
        <v>0</v>
      </c>
      <c r="E73" s="81">
        <f t="shared" si="12"/>
        <v>0</v>
      </c>
      <c r="F73" s="81">
        <f t="shared" si="13"/>
        <v>0</v>
      </c>
      <c r="G73" s="82"/>
      <c r="H73" s="440">
        <f>H70</f>
        <v>0.224</v>
      </c>
      <c r="I73" s="87">
        <f t="shared" si="14"/>
        <v>0</v>
      </c>
      <c r="J73" s="83"/>
      <c r="K73" s="84"/>
      <c r="L73" s="84"/>
      <c r="M73" s="84"/>
      <c r="N73" s="72" t="s">
        <v>67</v>
      </c>
    </row>
    <row r="74" spans="2:14" ht="18" customHeight="1">
      <c r="B74" s="648"/>
      <c r="C74" s="651"/>
      <c r="D74" s="81">
        <f t="shared" si="11"/>
        <v>0</v>
      </c>
      <c r="E74" s="81">
        <f t="shared" si="12"/>
        <v>0</v>
      </c>
      <c r="F74" s="81">
        <f t="shared" si="13"/>
        <v>0</v>
      </c>
      <c r="G74" s="82"/>
      <c r="H74" s="440">
        <f>H73</f>
        <v>0.224</v>
      </c>
      <c r="I74" s="87">
        <f t="shared" si="14"/>
        <v>0</v>
      </c>
      <c r="J74" s="83"/>
      <c r="K74" s="84"/>
      <c r="L74" s="84"/>
      <c r="M74" s="84"/>
      <c r="N74" s="88"/>
    </row>
    <row r="75" spans="2:14" ht="18" customHeight="1">
      <c r="B75" s="648"/>
      <c r="C75" s="649" t="s">
        <v>324</v>
      </c>
      <c r="D75" s="89">
        <f t="shared" si="11"/>
        <v>0</v>
      </c>
      <c r="E75" s="89">
        <f t="shared" si="12"/>
        <v>0</v>
      </c>
      <c r="F75" s="89">
        <f t="shared" si="13"/>
        <v>0</v>
      </c>
      <c r="G75" s="90"/>
      <c r="H75" s="91">
        <f>H74</f>
        <v>0.224</v>
      </c>
      <c r="I75" s="92">
        <f t="shared" si="14"/>
        <v>0</v>
      </c>
      <c r="J75" s="83"/>
      <c r="K75" s="84"/>
      <c r="L75" s="84"/>
      <c r="M75" s="84"/>
      <c r="N75" s="93" t="s">
        <v>80</v>
      </c>
    </row>
    <row r="76" spans="2:14" ht="18" customHeight="1">
      <c r="B76" s="648"/>
      <c r="C76" s="650"/>
      <c r="D76" s="89">
        <f t="shared" si="11"/>
        <v>0</v>
      </c>
      <c r="E76" s="89">
        <f t="shared" si="12"/>
        <v>0</v>
      </c>
      <c r="F76" s="89">
        <f t="shared" si="13"/>
        <v>0</v>
      </c>
      <c r="G76" s="90"/>
      <c r="H76" s="91">
        <f>H72</f>
        <v>0.224</v>
      </c>
      <c r="I76" s="92">
        <f t="shared" si="14"/>
        <v>0</v>
      </c>
      <c r="J76" s="83"/>
      <c r="K76" s="84"/>
      <c r="L76" s="84"/>
      <c r="M76" s="84"/>
      <c r="N76" s="93" t="s">
        <v>80</v>
      </c>
    </row>
    <row r="77" spans="2:14" ht="18" customHeight="1">
      <c r="B77" s="648"/>
      <c r="C77" s="650"/>
      <c r="D77" s="89">
        <f t="shared" si="11"/>
        <v>0</v>
      </c>
      <c r="E77" s="89">
        <f t="shared" si="12"/>
        <v>0</v>
      </c>
      <c r="F77" s="89">
        <f t="shared" si="13"/>
        <v>0</v>
      </c>
      <c r="G77" s="90"/>
      <c r="H77" s="91">
        <f t="shared" ref="H77:H87" si="15">H76</f>
        <v>0.224</v>
      </c>
      <c r="I77" s="92">
        <f t="shared" si="14"/>
        <v>0</v>
      </c>
      <c r="J77" s="83"/>
      <c r="K77" s="84"/>
      <c r="L77" s="84"/>
      <c r="M77" s="84"/>
      <c r="N77" s="93" t="s">
        <v>80</v>
      </c>
    </row>
    <row r="78" spans="2:14" ht="18" customHeight="1">
      <c r="B78" s="648"/>
      <c r="C78" s="650"/>
      <c r="D78" s="89">
        <f t="shared" si="11"/>
        <v>0</v>
      </c>
      <c r="E78" s="89">
        <f t="shared" si="12"/>
        <v>0</v>
      </c>
      <c r="F78" s="89">
        <f t="shared" si="13"/>
        <v>0</v>
      </c>
      <c r="G78" s="90"/>
      <c r="H78" s="91">
        <f t="shared" si="15"/>
        <v>0.224</v>
      </c>
      <c r="I78" s="92">
        <f t="shared" si="14"/>
        <v>0</v>
      </c>
      <c r="J78" s="83"/>
      <c r="K78" s="84"/>
      <c r="L78" s="84"/>
      <c r="M78" s="84"/>
      <c r="N78" s="93" t="s">
        <v>80</v>
      </c>
    </row>
    <row r="79" spans="2:14" ht="18" customHeight="1">
      <c r="B79" s="648"/>
      <c r="C79" s="650"/>
      <c r="D79" s="89">
        <f t="shared" si="11"/>
        <v>0</v>
      </c>
      <c r="E79" s="89">
        <f t="shared" si="12"/>
        <v>0</v>
      </c>
      <c r="F79" s="89">
        <f t="shared" si="13"/>
        <v>0</v>
      </c>
      <c r="G79" s="90"/>
      <c r="H79" s="91">
        <f t="shared" si="15"/>
        <v>0.224</v>
      </c>
      <c r="I79" s="94">
        <f t="shared" si="14"/>
        <v>0</v>
      </c>
      <c r="J79" s="83"/>
      <c r="K79" s="84"/>
      <c r="L79" s="84"/>
      <c r="M79" s="84"/>
      <c r="N79" s="93" t="s">
        <v>80</v>
      </c>
    </row>
    <row r="80" spans="2:14" ht="18" customHeight="1">
      <c r="B80" s="648"/>
      <c r="C80" s="650"/>
      <c r="D80" s="89">
        <f t="shared" si="11"/>
        <v>0</v>
      </c>
      <c r="E80" s="89">
        <f t="shared" si="12"/>
        <v>0</v>
      </c>
      <c r="F80" s="89">
        <f t="shared" si="13"/>
        <v>0</v>
      </c>
      <c r="G80" s="90"/>
      <c r="H80" s="91">
        <f t="shared" si="15"/>
        <v>0.224</v>
      </c>
      <c r="I80" s="94">
        <f t="shared" si="14"/>
        <v>0</v>
      </c>
      <c r="J80" s="83"/>
      <c r="K80" s="84"/>
      <c r="L80" s="84"/>
      <c r="M80" s="84"/>
      <c r="N80" s="93" t="s">
        <v>80</v>
      </c>
    </row>
    <row r="81" spans="2:14" ht="18" customHeight="1">
      <c r="B81" s="648"/>
      <c r="C81" s="651"/>
      <c r="D81" s="89">
        <f t="shared" si="11"/>
        <v>0</v>
      </c>
      <c r="E81" s="89">
        <f t="shared" si="12"/>
        <v>0</v>
      </c>
      <c r="F81" s="89">
        <f t="shared" si="13"/>
        <v>0</v>
      </c>
      <c r="G81" s="90"/>
      <c r="H81" s="91">
        <f t="shared" si="15"/>
        <v>0.224</v>
      </c>
      <c r="I81" s="94">
        <f t="shared" si="14"/>
        <v>0</v>
      </c>
      <c r="J81" s="95"/>
      <c r="K81" s="96"/>
      <c r="L81" s="96"/>
      <c r="M81" s="96"/>
      <c r="N81" s="93" t="s">
        <v>81</v>
      </c>
    </row>
    <row r="82" spans="2:14" ht="18" customHeight="1">
      <c r="B82" s="648"/>
      <c r="C82" s="639" t="s">
        <v>325</v>
      </c>
      <c r="D82" s="81">
        <f t="shared" si="11"/>
        <v>0</v>
      </c>
      <c r="E82" s="81">
        <f t="shared" si="12"/>
        <v>0</v>
      </c>
      <c r="F82" s="81">
        <f t="shared" si="13"/>
        <v>0</v>
      </c>
      <c r="G82" s="82"/>
      <c r="H82" s="440">
        <f t="shared" si="15"/>
        <v>0.224</v>
      </c>
      <c r="I82" s="59">
        <f t="shared" si="14"/>
        <v>0</v>
      </c>
      <c r="J82" s="83"/>
      <c r="K82" s="84"/>
      <c r="L82" s="84"/>
      <c r="M82" s="84"/>
      <c r="N82" s="88"/>
    </row>
    <row r="83" spans="2:14" ht="18" customHeight="1">
      <c r="B83" s="648"/>
      <c r="C83" s="645"/>
      <c r="D83" s="81">
        <f t="shared" si="11"/>
        <v>0</v>
      </c>
      <c r="E83" s="81">
        <f t="shared" si="12"/>
        <v>0</v>
      </c>
      <c r="F83" s="81">
        <f t="shared" si="13"/>
        <v>0</v>
      </c>
      <c r="G83" s="82"/>
      <c r="H83" s="440">
        <f t="shared" si="15"/>
        <v>0.224</v>
      </c>
      <c r="I83" s="59">
        <f t="shared" si="14"/>
        <v>0</v>
      </c>
      <c r="J83" s="83"/>
      <c r="K83" s="84"/>
      <c r="L83" s="84"/>
      <c r="M83" s="84"/>
      <c r="N83" s="88"/>
    </row>
    <row r="84" spans="2:14" ht="18" customHeight="1">
      <c r="B84" s="648"/>
      <c r="C84" s="645"/>
      <c r="D84" s="81">
        <f t="shared" si="11"/>
        <v>0</v>
      </c>
      <c r="E84" s="81">
        <f t="shared" si="12"/>
        <v>0</v>
      </c>
      <c r="F84" s="81">
        <f t="shared" si="13"/>
        <v>0</v>
      </c>
      <c r="G84" s="82"/>
      <c r="H84" s="440">
        <f t="shared" si="15"/>
        <v>0.224</v>
      </c>
      <c r="I84" s="59">
        <f t="shared" si="14"/>
        <v>0</v>
      </c>
      <c r="J84" s="83"/>
      <c r="K84" s="84"/>
      <c r="L84" s="84"/>
      <c r="M84" s="84"/>
      <c r="N84" s="76"/>
    </row>
    <row r="85" spans="2:14" ht="18" customHeight="1">
      <c r="B85" s="648"/>
      <c r="C85" s="645"/>
      <c r="D85" s="81">
        <f t="shared" si="11"/>
        <v>0</v>
      </c>
      <c r="E85" s="81">
        <f t="shared" si="12"/>
        <v>0</v>
      </c>
      <c r="F85" s="81">
        <f t="shared" si="13"/>
        <v>0</v>
      </c>
      <c r="G85" s="82"/>
      <c r="H85" s="440">
        <f t="shared" si="15"/>
        <v>0.224</v>
      </c>
      <c r="I85" s="59">
        <f t="shared" si="14"/>
        <v>0</v>
      </c>
      <c r="J85" s="83"/>
      <c r="K85" s="84"/>
      <c r="L85" s="84"/>
      <c r="M85" s="84"/>
      <c r="N85" s="76"/>
    </row>
    <row r="86" spans="2:14" ht="18" customHeight="1">
      <c r="B86" s="648"/>
      <c r="C86" s="645"/>
      <c r="D86" s="81">
        <f t="shared" si="11"/>
        <v>0</v>
      </c>
      <c r="E86" s="81">
        <f t="shared" si="12"/>
        <v>0</v>
      </c>
      <c r="F86" s="81">
        <f t="shared" si="13"/>
        <v>0</v>
      </c>
      <c r="G86" s="82"/>
      <c r="H86" s="440">
        <f t="shared" si="15"/>
        <v>0.224</v>
      </c>
      <c r="I86" s="59">
        <f t="shared" si="14"/>
        <v>0</v>
      </c>
      <c r="J86" s="85"/>
      <c r="K86" s="86"/>
      <c r="L86" s="86"/>
      <c r="M86" s="86"/>
      <c r="N86" s="76"/>
    </row>
    <row r="87" spans="2:14" ht="18" customHeight="1" thickBot="1">
      <c r="B87" s="648"/>
      <c r="C87" s="640"/>
      <c r="D87" s="81">
        <f t="shared" si="11"/>
        <v>0</v>
      </c>
      <c r="E87" s="81">
        <f t="shared" si="12"/>
        <v>0</v>
      </c>
      <c r="F87" s="81">
        <f t="shared" si="13"/>
        <v>0</v>
      </c>
      <c r="G87" s="82"/>
      <c r="H87" s="440">
        <f t="shared" si="15"/>
        <v>0.224</v>
      </c>
      <c r="I87" s="59">
        <f t="shared" si="14"/>
        <v>0</v>
      </c>
      <c r="J87" s="97"/>
      <c r="K87" s="98"/>
      <c r="L87" s="98"/>
      <c r="M87" s="98"/>
      <c r="N87" s="80"/>
    </row>
    <row r="88" spans="2:14" ht="18" customHeight="1">
      <c r="B88" s="48" t="s">
        <v>42</v>
      </c>
      <c r="C88" s="49">
        <f>SUMPRODUCT(F68:F87*G68:G87)</f>
        <v>8.36</v>
      </c>
      <c r="D88" s="50" t="s">
        <v>43</v>
      </c>
      <c r="E88" s="49">
        <f>SUM(I68:I87)*1.1</f>
        <v>2.4117500000000001</v>
      </c>
      <c r="F88" s="50" t="s">
        <v>44</v>
      </c>
      <c r="G88" s="51">
        <f>(C$218+C$222)/1000</f>
        <v>39.781500000000001</v>
      </c>
      <c r="H88" s="52" t="s">
        <v>45</v>
      </c>
      <c r="I88" s="53">
        <f>ROUND(E88*G88,2)</f>
        <v>95.94</v>
      </c>
      <c r="J88" s="255"/>
      <c r="K88" s="255"/>
      <c r="L88" s="255"/>
      <c r="M88" s="255"/>
    </row>
    <row r="89" spans="2:14" ht="18" customHeight="1">
      <c r="B89" s="48" t="s">
        <v>46</v>
      </c>
      <c r="C89" s="50">
        <v>181.72</v>
      </c>
      <c r="D89" s="50" t="s">
        <v>47</v>
      </c>
      <c r="E89" s="49">
        <f>ROUND(C88*(C89/1000),2)</f>
        <v>1.52</v>
      </c>
      <c r="F89" s="50" t="s">
        <v>48</v>
      </c>
      <c r="G89" s="50">
        <f>G$23</f>
        <v>10</v>
      </c>
      <c r="H89" s="52" t="s">
        <v>49</v>
      </c>
      <c r="I89" s="53">
        <f>E89*G89</f>
        <v>15.2</v>
      </c>
      <c r="J89" s="255"/>
      <c r="K89" s="255"/>
      <c r="L89" s="255"/>
      <c r="M89" s="255"/>
    </row>
    <row r="90" spans="2:14" ht="18" customHeight="1">
      <c r="B90" s="48" t="s">
        <v>50</v>
      </c>
      <c r="C90" s="50"/>
      <c r="D90" s="50" t="s">
        <v>51</v>
      </c>
      <c r="E90" s="49">
        <f>ROUND(C88*(C90/1000),2)</f>
        <v>0</v>
      </c>
      <c r="F90" s="50" t="s">
        <v>48</v>
      </c>
      <c r="G90" s="50">
        <f>G$24</f>
        <v>10</v>
      </c>
      <c r="H90" s="52" t="s">
        <v>49</v>
      </c>
      <c r="I90" s="53">
        <f>E90*G90</f>
        <v>0</v>
      </c>
      <c r="J90" s="255"/>
      <c r="K90" s="255"/>
      <c r="L90" s="255"/>
      <c r="M90" s="255"/>
    </row>
    <row r="91" spans="2:14" ht="18" customHeight="1">
      <c r="B91" s="23" t="s">
        <v>36</v>
      </c>
      <c r="C91" s="442" t="s">
        <v>14</v>
      </c>
      <c r="D91" s="442" t="s">
        <v>37</v>
      </c>
      <c r="E91" s="442" t="s">
        <v>38</v>
      </c>
      <c r="F91" s="442" t="s">
        <v>39</v>
      </c>
      <c r="G91" s="442" t="s">
        <v>8</v>
      </c>
      <c r="H91" s="442" t="s">
        <v>22</v>
      </c>
      <c r="I91" s="25" t="s">
        <v>40</v>
      </c>
      <c r="J91" s="255"/>
      <c r="K91" s="255"/>
      <c r="L91" s="255"/>
      <c r="M91" s="255"/>
    </row>
    <row r="92" spans="2:14" ht="18" customHeight="1">
      <c r="B92" s="648" t="s">
        <v>82</v>
      </c>
      <c r="C92" s="653" t="s">
        <v>326</v>
      </c>
      <c r="D92" s="443">
        <f>D26-90</f>
        <v>-90</v>
      </c>
      <c r="E92" s="443">
        <f>E26-90</f>
        <v>-90</v>
      </c>
      <c r="F92" s="443">
        <f>2*(D92+E92)/1000</f>
        <v>-0.36</v>
      </c>
      <c r="G92" s="440">
        <f>G26</f>
        <v>0</v>
      </c>
      <c r="H92" s="440">
        <v>0.27100000000000002</v>
      </c>
      <c r="I92" s="59">
        <f>ROUND(F92*G92*H92,3)</f>
        <v>0</v>
      </c>
    </row>
    <row r="93" spans="2:14" ht="18" customHeight="1">
      <c r="B93" s="648"/>
      <c r="C93" s="658"/>
      <c r="D93" s="443">
        <f t="shared" ref="D93:E96" si="16">D27-90</f>
        <v>-90</v>
      </c>
      <c r="E93" s="443">
        <f t="shared" si="16"/>
        <v>-90</v>
      </c>
      <c r="F93" s="443">
        <f>2*(D93+E93)/1000</f>
        <v>-0.36</v>
      </c>
      <c r="G93" s="440">
        <f>G27</f>
        <v>0</v>
      </c>
      <c r="H93" s="440">
        <f>H92</f>
        <v>0.27100000000000002</v>
      </c>
      <c r="I93" s="59">
        <f>ROUND(F93*G93*H93,3)</f>
        <v>0</v>
      </c>
      <c r="M93" s="42"/>
    </row>
    <row r="94" spans="2:14" ht="18" customHeight="1">
      <c r="B94" s="648"/>
      <c r="C94" s="658"/>
      <c r="D94" s="443">
        <f t="shared" si="16"/>
        <v>-90</v>
      </c>
      <c r="E94" s="443">
        <f t="shared" si="16"/>
        <v>-90</v>
      </c>
      <c r="F94" s="443">
        <f>2*(D94+E94)/1000</f>
        <v>-0.36</v>
      </c>
      <c r="G94" s="440">
        <f>G28</f>
        <v>0</v>
      </c>
      <c r="H94" s="440">
        <f>H93</f>
        <v>0.27100000000000002</v>
      </c>
      <c r="I94" s="59">
        <f>ROUND(F94*G94*H94,3)</f>
        <v>0</v>
      </c>
    </row>
    <row r="95" spans="2:14" ht="18" customHeight="1">
      <c r="B95" s="648"/>
      <c r="C95" s="658"/>
      <c r="D95" s="443">
        <f t="shared" si="16"/>
        <v>-90</v>
      </c>
      <c r="E95" s="443">
        <f t="shared" si="16"/>
        <v>-90</v>
      </c>
      <c r="F95" s="443">
        <f>2*(D95+E95)/1000</f>
        <v>-0.36</v>
      </c>
      <c r="G95" s="440">
        <f>G29</f>
        <v>0</v>
      </c>
      <c r="H95" s="440">
        <f>H94</f>
        <v>0.27100000000000002</v>
      </c>
      <c r="I95" s="59">
        <f>ROUND(F95*G95*H95,3)</f>
        <v>0</v>
      </c>
    </row>
    <row r="96" spans="2:14" ht="18" customHeight="1">
      <c r="B96" s="648"/>
      <c r="C96" s="659"/>
      <c r="D96" s="443">
        <f t="shared" si="16"/>
        <v>-90</v>
      </c>
      <c r="E96" s="443">
        <f t="shared" si="16"/>
        <v>-90</v>
      </c>
      <c r="F96" s="443">
        <f>2*(D96+E96)/1000</f>
        <v>-0.36</v>
      </c>
      <c r="G96" s="440">
        <f>G30</f>
        <v>0</v>
      </c>
      <c r="H96" s="440">
        <f>H95</f>
        <v>0.27100000000000002</v>
      </c>
      <c r="I96" s="59">
        <f>ROUND(F96*G96*H96,3)</f>
        <v>0</v>
      </c>
    </row>
    <row r="97" spans="2:13" ht="18" customHeight="1">
      <c r="B97" s="48" t="s">
        <v>42</v>
      </c>
      <c r="C97" s="49">
        <f>SUMPRODUCT(F92:F96*G92:G96)</f>
        <v>0</v>
      </c>
      <c r="D97" s="50" t="s">
        <v>43</v>
      </c>
      <c r="E97" s="49">
        <f>SUM(I92:I96)*1.1</f>
        <v>0</v>
      </c>
      <c r="F97" s="50" t="s">
        <v>44</v>
      </c>
      <c r="G97" s="51">
        <f>(C$218+C$222)/1000</f>
        <v>39.781500000000001</v>
      </c>
      <c r="H97" s="52" t="s">
        <v>45</v>
      </c>
      <c r="I97" s="53">
        <f>ROUND(E97*G97,2)</f>
        <v>0</v>
      </c>
    </row>
    <row r="98" spans="2:13" ht="18" customHeight="1">
      <c r="B98" s="48" t="s">
        <v>46</v>
      </c>
      <c r="C98" s="50">
        <v>186.72</v>
      </c>
      <c r="D98" s="50" t="s">
        <v>47</v>
      </c>
      <c r="E98" s="49">
        <f>ROUND(C97*(C98/1000),2)</f>
        <v>0</v>
      </c>
      <c r="F98" s="50" t="s">
        <v>48</v>
      </c>
      <c r="G98" s="50">
        <f>G$23</f>
        <v>10</v>
      </c>
      <c r="H98" s="52" t="s">
        <v>49</v>
      </c>
      <c r="I98" s="53">
        <f>E98*G98</f>
        <v>0</v>
      </c>
    </row>
    <row r="99" spans="2:13" ht="18" customHeight="1">
      <c r="B99" s="48" t="s">
        <v>50</v>
      </c>
      <c r="C99" s="50">
        <v>0</v>
      </c>
      <c r="D99" s="50" t="s">
        <v>51</v>
      </c>
      <c r="E99" s="49">
        <f>ROUND(C97*(C99/1000),2)</f>
        <v>0</v>
      </c>
      <c r="F99" s="50" t="s">
        <v>48</v>
      </c>
      <c r="G99" s="50">
        <f>G$24</f>
        <v>10</v>
      </c>
      <c r="H99" s="52" t="s">
        <v>49</v>
      </c>
      <c r="I99" s="53">
        <f>E99*G99</f>
        <v>0</v>
      </c>
    </row>
    <row r="100" spans="2:13" ht="18" customHeight="1">
      <c r="B100" s="23" t="s">
        <v>36</v>
      </c>
      <c r="C100" s="442" t="s">
        <v>14</v>
      </c>
      <c r="D100" s="442" t="s">
        <v>37</v>
      </c>
      <c r="E100" s="442" t="s">
        <v>38</v>
      </c>
      <c r="F100" s="442" t="s">
        <v>39</v>
      </c>
      <c r="G100" s="442" t="s">
        <v>8</v>
      </c>
      <c r="H100" s="442" t="s">
        <v>22</v>
      </c>
      <c r="I100" s="25" t="s">
        <v>40</v>
      </c>
    </row>
    <row r="101" spans="2:13" ht="18" customHeight="1">
      <c r="B101" s="648" t="s">
        <v>84</v>
      </c>
      <c r="C101" s="653" t="str">
        <f>C92</f>
        <v>SDL2281</v>
      </c>
      <c r="D101" s="443">
        <f>D35-122</f>
        <v>288</v>
      </c>
      <c r="E101" s="443">
        <f t="shared" ref="D101:E103" si="17">E35-122</f>
        <v>853</v>
      </c>
      <c r="F101" s="443">
        <f>2*(D101+E101)/1000</f>
        <v>2.282</v>
      </c>
      <c r="G101" s="440">
        <f>G35</f>
        <v>2</v>
      </c>
      <c r="H101" s="440">
        <f>H96</f>
        <v>0.27100000000000002</v>
      </c>
      <c r="I101" s="59">
        <f>ROUND(F101*G101*H101,3)</f>
        <v>1.2370000000000001</v>
      </c>
    </row>
    <row r="102" spans="2:13" ht="18" customHeight="1">
      <c r="B102" s="648"/>
      <c r="C102" s="650"/>
      <c r="D102" s="443">
        <f t="shared" si="17"/>
        <v>-122</v>
      </c>
      <c r="E102" s="443">
        <f t="shared" si="17"/>
        <v>-122</v>
      </c>
      <c r="F102" s="443">
        <f>2*(D102+E102)/1000</f>
        <v>-0.48799999999999999</v>
      </c>
      <c r="G102" s="440">
        <f>G36</f>
        <v>0</v>
      </c>
      <c r="H102" s="440">
        <f>H101</f>
        <v>0.27100000000000002</v>
      </c>
      <c r="I102" s="59">
        <f>ROUND(F102*G102*H102,3)</f>
        <v>0</v>
      </c>
      <c r="K102" s="99"/>
      <c r="M102" s="99"/>
    </row>
    <row r="103" spans="2:13" ht="18" customHeight="1">
      <c r="B103" s="648"/>
      <c r="C103" s="651"/>
      <c r="D103" s="443">
        <f t="shared" si="17"/>
        <v>-122</v>
      </c>
      <c r="E103" s="443">
        <f t="shared" si="17"/>
        <v>-122</v>
      </c>
      <c r="F103" s="443">
        <f>2*(D103+E103)/1000</f>
        <v>-0.48799999999999999</v>
      </c>
      <c r="G103" s="440">
        <f>G37</f>
        <v>0</v>
      </c>
      <c r="H103" s="440">
        <f>H102</f>
        <v>0.27100000000000002</v>
      </c>
      <c r="I103" s="59">
        <f>ROUND(F103*G103*H103,3)</f>
        <v>0</v>
      </c>
      <c r="M103" s="99"/>
    </row>
    <row r="104" spans="2:13" ht="18" customHeight="1">
      <c r="B104" s="48" t="s">
        <v>42</v>
      </c>
      <c r="C104" s="49">
        <f>SUMPRODUCT(F101:F103*G101:G103)</f>
        <v>4.5640000000000001</v>
      </c>
      <c r="D104" s="50" t="s">
        <v>43</v>
      </c>
      <c r="E104" s="49">
        <f>SUM(I101:I103)*1.1</f>
        <v>1.3607000000000002</v>
      </c>
      <c r="F104" s="50" t="s">
        <v>44</v>
      </c>
      <c r="G104" s="51">
        <f>(C$218+C$222)/1000</f>
        <v>39.781500000000001</v>
      </c>
      <c r="H104" s="52" t="s">
        <v>45</v>
      </c>
      <c r="I104" s="53">
        <f>ROUND(E104*G104,2)</f>
        <v>54.13</v>
      </c>
    </row>
    <row r="105" spans="2:13" ht="18" customHeight="1">
      <c r="B105" s="48" t="s">
        <v>46</v>
      </c>
      <c r="C105" s="50">
        <v>186.72</v>
      </c>
      <c r="D105" s="50" t="s">
        <v>47</v>
      </c>
      <c r="E105" s="49">
        <f>ROUND(C104*(C105/1000),2)</f>
        <v>0.85</v>
      </c>
      <c r="F105" s="50" t="s">
        <v>48</v>
      </c>
      <c r="G105" s="50">
        <f>G$23</f>
        <v>10</v>
      </c>
      <c r="H105" s="52" t="s">
        <v>49</v>
      </c>
      <c r="I105" s="53">
        <f>ROUND(E105*G105,2)</f>
        <v>8.5</v>
      </c>
    </row>
    <row r="106" spans="2:13" ht="18" customHeight="1">
      <c r="B106" s="48" t="s">
        <v>50</v>
      </c>
      <c r="C106" s="50">
        <v>0</v>
      </c>
      <c r="D106" s="50" t="s">
        <v>51</v>
      </c>
      <c r="E106" s="49">
        <f>ROUND(C104*(C106/1000),2)</f>
        <v>0</v>
      </c>
      <c r="F106" s="50" t="s">
        <v>48</v>
      </c>
      <c r="G106" s="50">
        <f>G$24</f>
        <v>10</v>
      </c>
      <c r="H106" s="52" t="s">
        <v>49</v>
      </c>
      <c r="I106" s="53">
        <f>ROUND(E106*G106,2)</f>
        <v>0</v>
      </c>
    </row>
    <row r="107" spans="2:13" ht="18" customHeight="1">
      <c r="B107" s="23" t="s">
        <v>36</v>
      </c>
      <c r="C107" s="442" t="s">
        <v>14</v>
      </c>
      <c r="D107" s="442" t="s">
        <v>37</v>
      </c>
      <c r="E107" s="442" t="s">
        <v>38</v>
      </c>
      <c r="F107" s="442" t="s">
        <v>39</v>
      </c>
      <c r="G107" s="442" t="s">
        <v>8</v>
      </c>
      <c r="H107" s="442" t="s">
        <v>22</v>
      </c>
      <c r="I107" s="25" t="s">
        <v>40</v>
      </c>
    </row>
    <row r="108" spans="2:13" ht="18" customHeight="1">
      <c r="B108" s="648" t="s">
        <v>85</v>
      </c>
      <c r="C108" s="655" t="s">
        <v>86</v>
      </c>
      <c r="D108" s="440"/>
      <c r="E108" s="440"/>
      <c r="F108" s="440">
        <f>ROUND((D108+E108)*2/1000,4)</f>
        <v>0</v>
      </c>
      <c r="G108" s="440"/>
      <c r="H108" s="440">
        <v>1.857</v>
      </c>
      <c r="I108" s="59">
        <f>ROUND(F108*G108*H108,3)</f>
        <v>0</v>
      </c>
    </row>
    <row r="109" spans="2:13" ht="18" customHeight="1">
      <c r="B109" s="648"/>
      <c r="C109" s="656"/>
      <c r="D109" s="440"/>
      <c r="E109" s="440"/>
      <c r="F109" s="440">
        <f>ROUND((D109+E109)*2/1000,4)</f>
        <v>0</v>
      </c>
      <c r="G109" s="440"/>
      <c r="H109" s="440">
        <f>H108</f>
        <v>1.857</v>
      </c>
      <c r="I109" s="59">
        <f>ROUND(F109*G109*H109,3)</f>
        <v>0</v>
      </c>
      <c r="K109" s="42"/>
      <c r="L109" s="42"/>
      <c r="M109" s="42"/>
    </row>
    <row r="110" spans="2:13" ht="18" customHeight="1">
      <c r="B110" s="648"/>
      <c r="C110" s="656"/>
      <c r="D110" s="440"/>
      <c r="E110" s="440"/>
      <c r="F110" s="440">
        <f>ROUND((D110+E110)*2/1000,4)</f>
        <v>0</v>
      </c>
      <c r="G110" s="440"/>
      <c r="H110" s="440">
        <f>H109</f>
        <v>1.857</v>
      </c>
      <c r="I110" s="59">
        <f>ROUND(F110*G110*H110,3)</f>
        <v>0</v>
      </c>
      <c r="K110" s="42"/>
      <c r="L110" s="42"/>
      <c r="M110" s="42"/>
    </row>
    <row r="111" spans="2:13" ht="18" customHeight="1">
      <c r="B111" s="648"/>
      <c r="C111" s="657"/>
      <c r="D111" s="440"/>
      <c r="E111" s="440"/>
      <c r="F111" s="440">
        <f>ROUND((D111+E111)*2/1000,4)</f>
        <v>0</v>
      </c>
      <c r="G111" s="440"/>
      <c r="H111" s="440">
        <f>H110</f>
        <v>1.857</v>
      </c>
      <c r="I111" s="59">
        <f>ROUND(F111*G111*H111,3)</f>
        <v>0</v>
      </c>
      <c r="K111" s="42"/>
      <c r="L111" s="42"/>
      <c r="M111" s="42"/>
    </row>
    <row r="112" spans="2:13" ht="18" customHeight="1">
      <c r="B112" s="48" t="s">
        <v>42</v>
      </c>
      <c r="C112" s="49">
        <f>SUMPRODUCT(F108:F111*G108:G111)</f>
        <v>0</v>
      </c>
      <c r="D112" s="50" t="s">
        <v>43</v>
      </c>
      <c r="E112" s="49">
        <f>SUM(I108:I111)*1.1</f>
        <v>0</v>
      </c>
      <c r="F112" s="50" t="s">
        <v>44</v>
      </c>
      <c r="G112" s="51">
        <f>(C$218+C$219)/1000</f>
        <v>46.081499999999998</v>
      </c>
      <c r="H112" s="52" t="s">
        <v>45</v>
      </c>
      <c r="I112" s="53">
        <f>ROUND(E112*G112,2)</f>
        <v>0</v>
      </c>
      <c r="J112" s="243">
        <f>SUM(G108:G111)</f>
        <v>0</v>
      </c>
      <c r="K112" s="42"/>
      <c r="L112" s="42"/>
      <c r="M112" s="42"/>
    </row>
    <row r="113" spans="2:14" ht="18" customHeight="1">
      <c r="B113" s="48" t="s">
        <v>46</v>
      </c>
      <c r="C113" s="50">
        <v>241.03</v>
      </c>
      <c r="D113" s="50" t="s">
        <v>47</v>
      </c>
      <c r="E113" s="49">
        <f>ROUND(C112*(C113/1000),2)</f>
        <v>0</v>
      </c>
      <c r="F113" s="50" t="s">
        <v>48</v>
      </c>
      <c r="G113" s="50">
        <f>G$23</f>
        <v>10</v>
      </c>
      <c r="H113" s="52" t="s">
        <v>49</v>
      </c>
      <c r="I113" s="53">
        <f>E113*G113</f>
        <v>0</v>
      </c>
      <c r="K113" s="42"/>
      <c r="L113" s="42"/>
      <c r="M113" s="42"/>
    </row>
    <row r="114" spans="2:14" ht="18" customHeight="1" thickBot="1">
      <c r="B114" s="48" t="s">
        <v>50</v>
      </c>
      <c r="C114" s="50">
        <v>204.38</v>
      </c>
      <c r="D114" s="50" t="s">
        <v>51</v>
      </c>
      <c r="E114" s="49">
        <f>ROUND(C112*(C114/1000),2)</f>
        <v>0</v>
      </c>
      <c r="F114" s="50" t="s">
        <v>48</v>
      </c>
      <c r="G114" s="50">
        <f>G$24</f>
        <v>10</v>
      </c>
      <c r="H114" s="52" t="s">
        <v>49</v>
      </c>
      <c r="I114" s="53">
        <f>E114*G114</f>
        <v>0</v>
      </c>
    </row>
    <row r="115" spans="2:14" ht="18" customHeight="1" thickBot="1">
      <c r="B115" s="23" t="s">
        <v>36</v>
      </c>
      <c r="C115" s="442" t="s">
        <v>14</v>
      </c>
      <c r="D115" s="442" t="s">
        <v>37</v>
      </c>
      <c r="E115" s="442" t="s">
        <v>38</v>
      </c>
      <c r="F115" s="442" t="s">
        <v>39</v>
      </c>
      <c r="G115" s="442" t="s">
        <v>8</v>
      </c>
      <c r="H115" s="442" t="s">
        <v>22</v>
      </c>
      <c r="I115" s="25" t="s">
        <v>40</v>
      </c>
      <c r="J115" s="54" t="s">
        <v>2</v>
      </c>
      <c r="K115" s="55" t="s">
        <v>3</v>
      </c>
      <c r="L115" s="55" t="s">
        <v>61</v>
      </c>
      <c r="M115" s="55" t="s">
        <v>62</v>
      </c>
      <c r="N115" s="70" t="s">
        <v>14</v>
      </c>
    </row>
    <row r="116" spans="2:14" ht="18" customHeight="1">
      <c r="B116" s="648" t="s">
        <v>87</v>
      </c>
      <c r="C116" s="649" t="s">
        <v>88</v>
      </c>
      <c r="D116" s="443">
        <f t="shared" ref="D116:E118" si="18">J116-IF(L116=1,78,IF(L116=2,55.5,IF(L116=3,41,0)))</f>
        <v>0</v>
      </c>
      <c r="E116" s="443">
        <f t="shared" si="18"/>
        <v>0</v>
      </c>
      <c r="F116" s="440">
        <f>ROUND((D116+E116)*2/1000,4)</f>
        <v>0</v>
      </c>
      <c r="G116" s="440"/>
      <c r="H116" s="58">
        <v>2.456</v>
      </c>
      <c r="I116" s="59">
        <f>ROUND(F116*G116*H116,3)</f>
        <v>0</v>
      </c>
      <c r="J116" s="60"/>
      <c r="K116" s="61"/>
      <c r="L116" s="61"/>
      <c r="M116" s="61"/>
      <c r="N116" s="76" t="s">
        <v>56</v>
      </c>
    </row>
    <row r="117" spans="2:14" ht="18" customHeight="1">
      <c r="B117" s="648"/>
      <c r="C117" s="650"/>
      <c r="D117" s="443">
        <f t="shared" si="18"/>
        <v>0</v>
      </c>
      <c r="E117" s="443">
        <f t="shared" si="18"/>
        <v>0</v>
      </c>
      <c r="F117" s="440">
        <f>ROUND((D117+E117)*2/1000,4)</f>
        <v>0</v>
      </c>
      <c r="G117" s="440">
        <v>0</v>
      </c>
      <c r="H117" s="58">
        <f>H116</f>
        <v>2.456</v>
      </c>
      <c r="I117" s="59">
        <f>ROUND(F117*G117*H117,3)</f>
        <v>0</v>
      </c>
      <c r="J117" s="60"/>
      <c r="K117" s="61"/>
      <c r="L117" s="61"/>
      <c r="M117" s="61"/>
      <c r="N117" s="76" t="s">
        <v>58</v>
      </c>
    </row>
    <row r="118" spans="2:14" ht="18" customHeight="1" thickBot="1">
      <c r="B118" s="648"/>
      <c r="C118" s="651"/>
      <c r="D118" s="443">
        <f t="shared" si="18"/>
        <v>0</v>
      </c>
      <c r="E118" s="443">
        <f t="shared" si="18"/>
        <v>0</v>
      </c>
      <c r="F118" s="440">
        <f>ROUND((D118+E118)*2/1000,4)</f>
        <v>0</v>
      </c>
      <c r="G118" s="440">
        <v>0</v>
      </c>
      <c r="H118" s="58">
        <f>H117</f>
        <v>2.456</v>
      </c>
      <c r="I118" s="59">
        <f>ROUND(F118*G118*H118,3)</f>
        <v>0</v>
      </c>
      <c r="J118" s="64"/>
      <c r="K118" s="65"/>
      <c r="L118" s="65"/>
      <c r="M118" s="65"/>
      <c r="N118" s="80" t="s">
        <v>89</v>
      </c>
    </row>
    <row r="119" spans="2:14" ht="18" customHeight="1">
      <c r="B119" s="48" t="s">
        <v>42</v>
      </c>
      <c r="C119" s="49">
        <f>SUMPRODUCT(F116:F118*G116:G118)</f>
        <v>0</v>
      </c>
      <c r="D119" s="100" t="s">
        <v>43</v>
      </c>
      <c r="E119" s="100">
        <f>SUM(I116:I118)*1.1</f>
        <v>0</v>
      </c>
      <c r="F119" s="50" t="s">
        <v>44</v>
      </c>
      <c r="G119" s="51">
        <f>(C$218+C$219)/1000</f>
        <v>46.081499999999998</v>
      </c>
      <c r="H119" s="52" t="s">
        <v>45</v>
      </c>
      <c r="I119" s="53">
        <f>ROUND(E119*G119,2)</f>
        <v>0</v>
      </c>
      <c r="J119" s="243">
        <f>SUM(G116:G118)</f>
        <v>0</v>
      </c>
      <c r="K119" s="255"/>
      <c r="L119" s="255"/>
      <c r="M119" s="255"/>
    </row>
    <row r="120" spans="2:14" ht="18" customHeight="1">
      <c r="B120" s="48" t="s">
        <v>46</v>
      </c>
      <c r="C120" s="50">
        <v>350.56</v>
      </c>
      <c r="D120" s="100" t="s">
        <v>47</v>
      </c>
      <c r="E120" s="100">
        <f>ROUND(C119*(C120/1000),2)</f>
        <v>0</v>
      </c>
      <c r="F120" s="50" t="s">
        <v>48</v>
      </c>
      <c r="G120" s="50">
        <f>G$23</f>
        <v>10</v>
      </c>
      <c r="H120" s="52" t="s">
        <v>49</v>
      </c>
      <c r="I120" s="53">
        <f>E120*G120</f>
        <v>0</v>
      </c>
      <c r="J120" s="255"/>
      <c r="K120" s="255"/>
      <c r="L120" s="255"/>
      <c r="M120" s="255"/>
    </row>
    <row r="121" spans="2:14" ht="18" customHeight="1" thickBot="1">
      <c r="B121" s="48" t="s">
        <v>50</v>
      </c>
      <c r="C121" s="50">
        <v>189.03</v>
      </c>
      <c r="D121" s="100" t="s">
        <v>51</v>
      </c>
      <c r="E121" s="100">
        <f>ROUND(C119*(C121/1000),2)</f>
        <v>0</v>
      </c>
      <c r="F121" s="50" t="s">
        <v>48</v>
      </c>
      <c r="G121" s="50">
        <f>G$24</f>
        <v>10</v>
      </c>
      <c r="H121" s="52" t="s">
        <v>49</v>
      </c>
      <c r="I121" s="53">
        <f>E121*G121</f>
        <v>0</v>
      </c>
      <c r="J121" s="255"/>
    </row>
    <row r="122" spans="2:14" ht="18" customHeight="1" thickBot="1">
      <c r="B122" s="23" t="s">
        <v>36</v>
      </c>
      <c r="C122" s="442" t="s">
        <v>14</v>
      </c>
      <c r="D122" s="101" t="s">
        <v>37</v>
      </c>
      <c r="E122" s="101" t="s">
        <v>38</v>
      </c>
      <c r="F122" s="442" t="s">
        <v>39</v>
      </c>
      <c r="G122" s="442" t="s">
        <v>8</v>
      </c>
      <c r="H122" s="442" t="s">
        <v>22</v>
      </c>
      <c r="I122" s="25" t="s">
        <v>40</v>
      </c>
      <c r="J122" s="54" t="s">
        <v>2</v>
      </c>
      <c r="K122" s="55" t="s">
        <v>3</v>
      </c>
      <c r="L122" s="55" t="s">
        <v>61</v>
      </c>
      <c r="M122" s="55" t="s">
        <v>62</v>
      </c>
      <c r="N122" s="70" t="s">
        <v>14</v>
      </c>
    </row>
    <row r="123" spans="2:14" ht="18" customHeight="1">
      <c r="B123" s="648" t="s">
        <v>90</v>
      </c>
      <c r="C123" s="649" t="s">
        <v>91</v>
      </c>
      <c r="D123" s="443">
        <f t="shared" ref="D123:E125" si="19">J123-IF(L123=1,78,IF(L123=2,55.5,IF(L123=3,41,0)))</f>
        <v>0</v>
      </c>
      <c r="E123" s="443">
        <f t="shared" si="19"/>
        <v>0</v>
      </c>
      <c r="F123" s="440">
        <f>ROUND((D123+E123)*2/1000,4)</f>
        <v>0</v>
      </c>
      <c r="G123" s="440"/>
      <c r="H123" s="58">
        <v>2.4710000000000001</v>
      </c>
      <c r="I123" s="59">
        <f>ROUND(F123*G123*H123,3)</f>
        <v>0</v>
      </c>
      <c r="J123" s="60"/>
      <c r="K123" s="61"/>
      <c r="L123" s="61"/>
      <c r="M123" s="61"/>
      <c r="N123" s="76" t="s">
        <v>56</v>
      </c>
    </row>
    <row r="124" spans="2:14" ht="18" customHeight="1">
      <c r="B124" s="648"/>
      <c r="C124" s="650"/>
      <c r="D124" s="443">
        <f t="shared" si="19"/>
        <v>0</v>
      </c>
      <c r="E124" s="443">
        <f t="shared" si="19"/>
        <v>0</v>
      </c>
      <c r="F124" s="440">
        <f>ROUND((D124+E124)*2/1000,4)</f>
        <v>0</v>
      </c>
      <c r="G124" s="440"/>
      <c r="H124" s="58">
        <f>H123</f>
        <v>2.4710000000000001</v>
      </c>
      <c r="I124" s="59">
        <f>ROUND(F124*G124*H124,3)</f>
        <v>0</v>
      </c>
      <c r="J124" s="60"/>
      <c r="K124" s="61"/>
      <c r="L124" s="61"/>
      <c r="M124" s="61"/>
      <c r="N124" s="76" t="s">
        <v>58</v>
      </c>
    </row>
    <row r="125" spans="2:14" ht="18" customHeight="1" thickBot="1">
      <c r="B125" s="648"/>
      <c r="C125" s="651"/>
      <c r="D125" s="443">
        <f t="shared" si="19"/>
        <v>0</v>
      </c>
      <c r="E125" s="443">
        <f t="shared" si="19"/>
        <v>0</v>
      </c>
      <c r="F125" s="440">
        <f>ROUND((D125+E125)*2/1000,4)</f>
        <v>0</v>
      </c>
      <c r="G125" s="440"/>
      <c r="H125" s="58">
        <f>H124</f>
        <v>2.4710000000000001</v>
      </c>
      <c r="I125" s="59">
        <f>ROUND(F125*G125*H125,3)</f>
        <v>0</v>
      </c>
      <c r="J125" s="64"/>
      <c r="K125" s="65"/>
      <c r="L125" s="65"/>
      <c r="M125" s="65"/>
      <c r="N125" s="80" t="s">
        <v>89</v>
      </c>
    </row>
    <row r="126" spans="2:14" ht="18" customHeight="1">
      <c r="B126" s="48" t="s">
        <v>42</v>
      </c>
      <c r="C126" s="49">
        <f>SUMPRODUCT(F123:F125*G123:G125)</f>
        <v>0</v>
      </c>
      <c r="D126" s="50" t="s">
        <v>43</v>
      </c>
      <c r="E126" s="49">
        <f>SUM(I123:I125)*1.1</f>
        <v>0</v>
      </c>
      <c r="F126" s="50" t="s">
        <v>44</v>
      </c>
      <c r="G126" s="51">
        <f>(C$218+C$221)/1000</f>
        <v>46.081499999999998</v>
      </c>
      <c r="H126" s="52" t="s">
        <v>45</v>
      </c>
      <c r="I126" s="53">
        <f>ROUND(E126*G126,2)</f>
        <v>0</v>
      </c>
      <c r="J126" s="243">
        <f>SUM(G123:G125)</f>
        <v>0</v>
      </c>
      <c r="K126" s="255"/>
      <c r="L126" s="255"/>
      <c r="M126" s="255"/>
    </row>
    <row r="127" spans="2:14" ht="18" customHeight="1">
      <c r="B127" s="48" t="s">
        <v>46</v>
      </c>
      <c r="C127" s="50">
        <v>236.53</v>
      </c>
      <c r="D127" s="50" t="s">
        <v>47</v>
      </c>
      <c r="E127" s="49">
        <f>ROUND(C126*(C127/1000),2)</f>
        <v>0</v>
      </c>
      <c r="F127" s="50" t="s">
        <v>48</v>
      </c>
      <c r="G127" s="50">
        <f>G$23</f>
        <v>10</v>
      </c>
      <c r="H127" s="52" t="s">
        <v>49</v>
      </c>
      <c r="I127" s="53">
        <f>E127*G127</f>
        <v>0</v>
      </c>
      <c r="J127" s="255"/>
      <c r="K127" s="255"/>
      <c r="L127" s="255"/>
      <c r="M127" s="255"/>
    </row>
    <row r="128" spans="2:14" ht="18" customHeight="1" thickBot="1">
      <c r="B128" s="48" t="s">
        <v>50</v>
      </c>
      <c r="C128" s="50">
        <v>311.02999999999997</v>
      </c>
      <c r="D128" s="50" t="s">
        <v>51</v>
      </c>
      <c r="E128" s="49">
        <f>ROUND(C126*(C128/1000),2)</f>
        <v>0</v>
      </c>
      <c r="F128" s="50" t="s">
        <v>48</v>
      </c>
      <c r="G128" s="50">
        <f>G$24</f>
        <v>10</v>
      </c>
      <c r="H128" s="52" t="s">
        <v>49</v>
      </c>
      <c r="I128" s="53">
        <f>E128*G128</f>
        <v>0</v>
      </c>
      <c r="J128" s="255"/>
    </row>
    <row r="129" spans="2:14" ht="18" customHeight="1" thickBot="1">
      <c r="B129" s="23" t="s">
        <v>36</v>
      </c>
      <c r="C129" s="442" t="s">
        <v>14</v>
      </c>
      <c r="D129" s="442" t="s">
        <v>37</v>
      </c>
      <c r="E129" s="442" t="s">
        <v>71</v>
      </c>
      <c r="F129" s="442" t="s">
        <v>38</v>
      </c>
      <c r="G129" s="442" t="s">
        <v>72</v>
      </c>
      <c r="H129" s="442" t="s">
        <v>22</v>
      </c>
      <c r="I129" s="25" t="s">
        <v>40</v>
      </c>
      <c r="J129" s="54" t="s">
        <v>2</v>
      </c>
      <c r="K129" s="55" t="s">
        <v>3</v>
      </c>
      <c r="L129" s="55" t="s">
        <v>61</v>
      </c>
      <c r="M129" s="55" t="s">
        <v>62</v>
      </c>
      <c r="N129" s="70" t="s">
        <v>14</v>
      </c>
    </row>
    <row r="130" spans="2:14" ht="18" customHeight="1">
      <c r="B130" s="648" t="s">
        <v>92</v>
      </c>
      <c r="C130" s="649" t="s">
        <v>93</v>
      </c>
      <c r="D130" s="443">
        <f>J130-IF(L130=1,81,IF(L130=2,58.5,IF(L130=3,36,0)))</f>
        <v>0</v>
      </c>
      <c r="E130" s="443">
        <v>0</v>
      </c>
      <c r="F130" s="443">
        <f>K130-IF(M130=1,81,IF(M130=2,58.5,IF(M130=3,36,0)))</f>
        <v>0</v>
      </c>
      <c r="G130" s="440">
        <v>0</v>
      </c>
      <c r="H130" s="440">
        <v>2.0489999999999999</v>
      </c>
      <c r="I130" s="59">
        <f>ROUND((D130*E130+F130*G130)/1000*H130,3)</f>
        <v>0</v>
      </c>
      <c r="J130" s="60"/>
      <c r="K130" s="61"/>
      <c r="L130" s="61"/>
      <c r="M130" s="61"/>
      <c r="N130" s="76" t="s">
        <v>56</v>
      </c>
    </row>
    <row r="131" spans="2:14" ht="18" customHeight="1">
      <c r="B131" s="648"/>
      <c r="C131" s="650"/>
      <c r="D131" s="443">
        <f>J131-IF(L131=1,81,IF(L131=2,58.5,IF(L131=3,36,0)))</f>
        <v>0</v>
      </c>
      <c r="E131" s="443">
        <v>0</v>
      </c>
      <c r="F131" s="443">
        <f>K131-IF(M131=1,81,IF(M131=2,58.5,IF(M131=3,36,0)))</f>
        <v>0</v>
      </c>
      <c r="G131" s="440"/>
      <c r="H131" s="440">
        <f>H130</f>
        <v>2.0489999999999999</v>
      </c>
      <c r="I131" s="59">
        <f>ROUND((D131*E131+F131*G131)/1000*H131,3)</f>
        <v>0</v>
      </c>
      <c r="J131" s="60"/>
      <c r="K131" s="61"/>
      <c r="L131" s="61"/>
      <c r="M131" s="61"/>
      <c r="N131" s="76" t="s">
        <v>58</v>
      </c>
    </row>
    <row r="132" spans="2:14" ht="18" customHeight="1" thickBot="1">
      <c r="B132" s="648"/>
      <c r="C132" s="651"/>
      <c r="D132" s="443">
        <f>J132-IF(L132=1,81,IF(L132=2,58.5,IF(L132=3,36,0)))</f>
        <v>0</v>
      </c>
      <c r="E132" s="443"/>
      <c r="F132" s="443">
        <f>K132-IF(M132=1,81,IF(M132=2,58.5,IF(M132=3,36,0)))</f>
        <v>0</v>
      </c>
      <c r="G132" s="440"/>
      <c r="H132" s="440">
        <f>H131</f>
        <v>2.0489999999999999</v>
      </c>
      <c r="I132" s="59">
        <f>ROUND((D132*E132+F132*G132)/1000*H132,3)</f>
        <v>0</v>
      </c>
      <c r="J132" s="64"/>
      <c r="K132" s="65"/>
      <c r="L132" s="65"/>
      <c r="M132" s="65"/>
      <c r="N132" s="80" t="s">
        <v>89</v>
      </c>
    </row>
    <row r="133" spans="2:14" ht="18" customHeight="1">
      <c r="B133" s="48" t="s">
        <v>42</v>
      </c>
      <c r="C133" s="49">
        <f>SUMPRODUCT(D130:D132*E130:E132+F130:F132*G130:G132)/1000</f>
        <v>0</v>
      </c>
      <c r="D133" s="50" t="s">
        <v>43</v>
      </c>
      <c r="E133" s="49">
        <f>SUM(I130:I132)*1.1</f>
        <v>0</v>
      </c>
      <c r="F133" s="50" t="s">
        <v>44</v>
      </c>
      <c r="G133" s="51">
        <f>(C$218+C$219)/1000</f>
        <v>46.081499999999998</v>
      </c>
      <c r="H133" s="52" t="s">
        <v>45</v>
      </c>
      <c r="I133" s="53">
        <f>ROUND(E133*G133,2)</f>
        <v>0</v>
      </c>
      <c r="J133" s="243">
        <f>SUM(G130:G132)+SUM(E130:E132)</f>
        <v>0</v>
      </c>
    </row>
    <row r="134" spans="2:14" ht="18" customHeight="1">
      <c r="B134" s="48" t="s">
        <v>46</v>
      </c>
      <c r="C134" s="50">
        <v>298.42</v>
      </c>
      <c r="D134" s="50" t="s">
        <v>47</v>
      </c>
      <c r="E134" s="49">
        <f>ROUND(C133*(C134/1000),2)</f>
        <v>0</v>
      </c>
      <c r="F134" s="50" t="s">
        <v>48</v>
      </c>
      <c r="G134" s="50">
        <f>G$23</f>
        <v>10</v>
      </c>
      <c r="H134" s="52" t="s">
        <v>49</v>
      </c>
      <c r="I134" s="53">
        <f>ROUND(E134*G134,2)</f>
        <v>0</v>
      </c>
    </row>
    <row r="135" spans="2:14" ht="18" customHeight="1">
      <c r="B135" s="48" t="s">
        <v>50</v>
      </c>
      <c r="C135" s="50">
        <v>208.08</v>
      </c>
      <c r="D135" s="50" t="s">
        <v>51</v>
      </c>
      <c r="E135" s="49">
        <f>ROUND(C133*(C135/1000),2)</f>
        <v>0</v>
      </c>
      <c r="F135" s="50" t="s">
        <v>48</v>
      </c>
      <c r="G135" s="50">
        <f>G$24</f>
        <v>10</v>
      </c>
      <c r="H135" s="52" t="s">
        <v>49</v>
      </c>
      <c r="I135" s="53">
        <f>ROUND(E135*G135,2)</f>
        <v>0</v>
      </c>
    </row>
    <row r="136" spans="2:14" ht="18" customHeight="1">
      <c r="B136" s="23" t="s">
        <v>36</v>
      </c>
      <c r="C136" s="442" t="s">
        <v>14</v>
      </c>
      <c r="D136" s="652" t="s">
        <v>38</v>
      </c>
      <c r="E136" s="652"/>
      <c r="F136" s="652"/>
      <c r="G136" s="442" t="s">
        <v>72</v>
      </c>
      <c r="H136" s="442" t="s">
        <v>22</v>
      </c>
      <c r="I136" s="25" t="s">
        <v>40</v>
      </c>
    </row>
    <row r="137" spans="2:14" ht="18" customHeight="1">
      <c r="B137" s="648" t="s">
        <v>94</v>
      </c>
      <c r="C137" s="649" t="s">
        <v>95</v>
      </c>
      <c r="D137" s="654">
        <f>E116</f>
        <v>0</v>
      </c>
      <c r="E137" s="646"/>
      <c r="F137" s="646"/>
      <c r="G137" s="440"/>
      <c r="H137" s="440">
        <v>1.3360000000000001</v>
      </c>
      <c r="I137" s="59">
        <f>ROUND(D137*H137*G137/1000,3)</f>
        <v>0</v>
      </c>
    </row>
    <row r="138" spans="2:14" ht="18" customHeight="1">
      <c r="B138" s="648"/>
      <c r="C138" s="651"/>
      <c r="D138" s="654"/>
      <c r="E138" s="646"/>
      <c r="F138" s="646"/>
      <c r="G138" s="440"/>
      <c r="H138" s="440">
        <f>H137</f>
        <v>1.3360000000000001</v>
      </c>
      <c r="I138" s="59">
        <f>ROUND(D138*H138*G138/1000,3)</f>
        <v>0</v>
      </c>
    </row>
    <row r="139" spans="2:14" ht="18" customHeight="1">
      <c r="B139" s="48" t="s">
        <v>42</v>
      </c>
      <c r="C139" s="49">
        <f>SUMPRODUCT(D137:F138*G137:G138)/1000</f>
        <v>0</v>
      </c>
      <c r="D139" s="50" t="s">
        <v>43</v>
      </c>
      <c r="E139" s="49">
        <f>SUM(I137:I138)*1.1</f>
        <v>0</v>
      </c>
      <c r="F139" s="50" t="s">
        <v>44</v>
      </c>
      <c r="G139" s="51">
        <f>(C$218+C$219)/1000</f>
        <v>46.081499999999998</v>
      </c>
      <c r="H139" s="52" t="s">
        <v>45</v>
      </c>
      <c r="I139" s="53">
        <f>ROUND(E139*G139,2)</f>
        <v>0</v>
      </c>
    </row>
    <row r="140" spans="2:14" ht="18" customHeight="1">
      <c r="B140" s="48" t="s">
        <v>46</v>
      </c>
      <c r="C140" s="50">
        <v>143.24</v>
      </c>
      <c r="D140" s="50" t="s">
        <v>47</v>
      </c>
      <c r="E140" s="49">
        <f>ROUND(C139*(C140/1000),2)</f>
        <v>0</v>
      </c>
      <c r="F140" s="50" t="s">
        <v>48</v>
      </c>
      <c r="G140" s="50">
        <f>G$23</f>
        <v>10</v>
      </c>
      <c r="H140" s="52" t="s">
        <v>49</v>
      </c>
      <c r="I140" s="53">
        <f>E140*G140</f>
        <v>0</v>
      </c>
    </row>
    <row r="141" spans="2:14" ht="18" customHeight="1">
      <c r="B141" s="48" t="s">
        <v>50</v>
      </c>
      <c r="C141" s="50">
        <v>85.04</v>
      </c>
      <c r="D141" s="50" t="s">
        <v>51</v>
      </c>
      <c r="E141" s="49">
        <f>ROUND(C139*(C141/1000),2)</f>
        <v>0</v>
      </c>
      <c r="F141" s="50" t="s">
        <v>48</v>
      </c>
      <c r="G141" s="50">
        <f>G$24</f>
        <v>10</v>
      </c>
      <c r="H141" s="52" t="s">
        <v>49</v>
      </c>
      <c r="I141" s="53">
        <f>E141*G141</f>
        <v>0</v>
      </c>
    </row>
    <row r="142" spans="2:14" ht="18" customHeight="1">
      <c r="B142" s="23" t="s">
        <v>36</v>
      </c>
      <c r="C142" s="442" t="s">
        <v>14</v>
      </c>
      <c r="D142" s="442" t="s">
        <v>37</v>
      </c>
      <c r="E142" s="442" t="s">
        <v>38</v>
      </c>
      <c r="F142" s="442" t="s">
        <v>39</v>
      </c>
      <c r="G142" s="442" t="s">
        <v>8</v>
      </c>
      <c r="H142" s="442" t="s">
        <v>22</v>
      </c>
      <c r="I142" s="25" t="s">
        <v>40</v>
      </c>
    </row>
    <row r="143" spans="2:14" ht="18" customHeight="1">
      <c r="B143" s="648" t="s">
        <v>96</v>
      </c>
      <c r="C143" s="653" t="s">
        <v>83</v>
      </c>
      <c r="D143" s="443">
        <f t="shared" ref="D143:E145" si="20">D116-154</f>
        <v>-154</v>
      </c>
      <c r="E143" s="443">
        <f t="shared" si="20"/>
        <v>-154</v>
      </c>
      <c r="F143" s="443">
        <f>(D143+E143)*2/1000</f>
        <v>-0.61599999999999999</v>
      </c>
      <c r="G143" s="440">
        <f>G116</f>
        <v>0</v>
      </c>
      <c r="H143" s="440">
        <v>0.27100000000000002</v>
      </c>
      <c r="I143" s="59">
        <f>ROUND((F143*G143)*H143,3)</f>
        <v>0</v>
      </c>
    </row>
    <row r="144" spans="2:14" ht="18" customHeight="1">
      <c r="B144" s="648"/>
      <c r="C144" s="650"/>
      <c r="D144" s="443">
        <f t="shared" si="20"/>
        <v>-154</v>
      </c>
      <c r="E144" s="443">
        <f t="shared" si="20"/>
        <v>-154</v>
      </c>
      <c r="F144" s="443">
        <f>(D144+E144)*2/1000</f>
        <v>-0.61599999999999999</v>
      </c>
      <c r="G144" s="440">
        <f>G117</f>
        <v>0</v>
      </c>
      <c r="H144" s="440">
        <f>H143</f>
        <v>0.27100000000000002</v>
      </c>
      <c r="I144" s="59">
        <f>ROUND((F144*G144)*H144,3)</f>
        <v>0</v>
      </c>
    </row>
    <row r="145" spans="2:14" ht="18" customHeight="1">
      <c r="B145" s="648"/>
      <c r="C145" s="651"/>
      <c r="D145" s="443">
        <f t="shared" si="20"/>
        <v>-154</v>
      </c>
      <c r="E145" s="443">
        <f t="shared" si="20"/>
        <v>-154</v>
      </c>
      <c r="F145" s="443">
        <f>(D145+E145)*2/1000</f>
        <v>-0.61599999999999999</v>
      </c>
      <c r="G145" s="440">
        <f>G118</f>
        <v>0</v>
      </c>
      <c r="H145" s="440">
        <f>H144</f>
        <v>0.27100000000000002</v>
      </c>
      <c r="I145" s="59">
        <f>ROUND((F145*G145)*H145,3)</f>
        <v>0</v>
      </c>
    </row>
    <row r="146" spans="2:14" ht="18" customHeight="1">
      <c r="B146" s="48" t="s">
        <v>42</v>
      </c>
      <c r="C146" s="49">
        <f>SUMPRODUCT(F143:F145*G143:G145)</f>
        <v>0</v>
      </c>
      <c r="D146" s="50" t="s">
        <v>43</v>
      </c>
      <c r="E146" s="49">
        <f>SUM(I143:I145)*1.1</f>
        <v>0</v>
      </c>
      <c r="F146" s="50" t="s">
        <v>44</v>
      </c>
      <c r="G146" s="51">
        <f>(C$218+C$222)/1000</f>
        <v>39.781500000000001</v>
      </c>
      <c r="H146" s="52" t="s">
        <v>45</v>
      </c>
      <c r="I146" s="53">
        <f>ROUND(E146*G146,2)</f>
        <v>0</v>
      </c>
    </row>
    <row r="147" spans="2:14" ht="18" customHeight="1">
      <c r="B147" s="48" t="s">
        <v>46</v>
      </c>
      <c r="C147" s="50">
        <v>186.72</v>
      </c>
      <c r="D147" s="50" t="s">
        <v>47</v>
      </c>
      <c r="E147" s="49">
        <f>ROUND(C146*(C147/1000),2)</f>
        <v>0</v>
      </c>
      <c r="F147" s="50" t="s">
        <v>48</v>
      </c>
      <c r="G147" s="50">
        <f>G$23</f>
        <v>10</v>
      </c>
      <c r="H147" s="52" t="s">
        <v>49</v>
      </c>
      <c r="I147" s="53">
        <f>E147*G147</f>
        <v>0</v>
      </c>
      <c r="K147" s="42"/>
      <c r="L147" s="42"/>
      <c r="M147" s="42"/>
    </row>
    <row r="148" spans="2:14" ht="18" customHeight="1">
      <c r="B148" s="48" t="s">
        <v>50</v>
      </c>
      <c r="C148" s="50">
        <v>0</v>
      </c>
      <c r="D148" s="50" t="s">
        <v>51</v>
      </c>
      <c r="E148" s="49">
        <f>ROUND(C146*(C148/1000),2)</f>
        <v>0</v>
      </c>
      <c r="F148" s="50" t="s">
        <v>48</v>
      </c>
      <c r="G148" s="50">
        <f>G$24</f>
        <v>10</v>
      </c>
      <c r="H148" s="52" t="s">
        <v>49</v>
      </c>
      <c r="I148" s="53">
        <f>E148*G148</f>
        <v>0</v>
      </c>
      <c r="K148" s="42"/>
      <c r="L148" s="42"/>
      <c r="M148" s="42"/>
    </row>
    <row r="149" spans="2:14" ht="18" customHeight="1">
      <c r="B149" s="23" t="s">
        <v>36</v>
      </c>
      <c r="C149" s="442" t="s">
        <v>14</v>
      </c>
      <c r="D149" s="442" t="s">
        <v>37</v>
      </c>
      <c r="E149" s="442" t="s">
        <v>38</v>
      </c>
      <c r="F149" s="442" t="s">
        <v>39</v>
      </c>
      <c r="G149" s="442" t="s">
        <v>8</v>
      </c>
      <c r="H149" s="442" t="s">
        <v>22</v>
      </c>
      <c r="I149" s="25" t="s">
        <v>40</v>
      </c>
      <c r="K149" s="42"/>
      <c r="L149" s="42"/>
      <c r="M149" s="42"/>
    </row>
    <row r="150" spans="2:14" ht="18" customHeight="1">
      <c r="B150" s="648" t="s">
        <v>97</v>
      </c>
      <c r="C150" s="653" t="s">
        <v>83</v>
      </c>
      <c r="D150" s="443">
        <f t="shared" ref="D150:E152" si="21">D123-160</f>
        <v>-160</v>
      </c>
      <c r="E150" s="443">
        <f t="shared" si="21"/>
        <v>-160</v>
      </c>
      <c r="F150" s="443">
        <f>(D150+E150)*2/1000</f>
        <v>-0.64</v>
      </c>
      <c r="G150" s="440">
        <f>G123</f>
        <v>0</v>
      </c>
      <c r="H150" s="440">
        <f>H145</f>
        <v>0.27100000000000002</v>
      </c>
      <c r="I150" s="59">
        <f>ROUND((F150*G150)*H150,3)</f>
        <v>0</v>
      </c>
      <c r="K150" s="42"/>
      <c r="L150" s="42"/>
      <c r="M150" s="42"/>
    </row>
    <row r="151" spans="2:14" ht="18" customHeight="1">
      <c r="B151" s="648"/>
      <c r="C151" s="650"/>
      <c r="D151" s="443">
        <f t="shared" si="21"/>
        <v>-160</v>
      </c>
      <c r="E151" s="443">
        <f t="shared" si="21"/>
        <v>-160</v>
      </c>
      <c r="F151" s="443">
        <f>(D151+E151)*2/1000</f>
        <v>-0.64</v>
      </c>
      <c r="G151" s="440">
        <f>G124</f>
        <v>0</v>
      </c>
      <c r="H151" s="440">
        <f>H150</f>
        <v>0.27100000000000002</v>
      </c>
      <c r="I151" s="59">
        <f>ROUND((F151*G151)*H151,3)</f>
        <v>0</v>
      </c>
      <c r="K151" s="42"/>
      <c r="L151" s="42"/>
      <c r="M151" s="42"/>
    </row>
    <row r="152" spans="2:14" ht="18" customHeight="1">
      <c r="B152" s="648"/>
      <c r="C152" s="651"/>
      <c r="D152" s="443">
        <f t="shared" si="21"/>
        <v>-160</v>
      </c>
      <c r="E152" s="443">
        <f t="shared" si="21"/>
        <v>-160</v>
      </c>
      <c r="F152" s="443">
        <f>(D152+E152)*2/1000</f>
        <v>-0.64</v>
      </c>
      <c r="G152" s="440">
        <f>G125</f>
        <v>0</v>
      </c>
      <c r="H152" s="440">
        <f>H151</f>
        <v>0.27100000000000002</v>
      </c>
      <c r="I152" s="59">
        <f>ROUND((F152*G152)*H152,3)</f>
        <v>0</v>
      </c>
      <c r="K152" s="42"/>
      <c r="L152" s="42"/>
      <c r="M152" s="42"/>
    </row>
    <row r="153" spans="2:14" ht="18" customHeight="1">
      <c r="B153" s="48" t="s">
        <v>42</v>
      </c>
      <c r="C153" s="49">
        <f>SUMPRODUCT(F150:F152*G150:G152)</f>
        <v>0</v>
      </c>
      <c r="D153" s="50" t="s">
        <v>43</v>
      </c>
      <c r="E153" s="49">
        <f>SUM(I150:I152)*1.1</f>
        <v>0</v>
      </c>
      <c r="F153" s="50" t="s">
        <v>44</v>
      </c>
      <c r="G153" s="51">
        <f>(C$218+C$222)/1000</f>
        <v>39.781500000000001</v>
      </c>
      <c r="H153" s="52" t="s">
        <v>45</v>
      </c>
      <c r="I153" s="53">
        <f>ROUND(E153*G153,2)</f>
        <v>0</v>
      </c>
      <c r="K153" s="42"/>
      <c r="L153" s="42"/>
      <c r="M153" s="42"/>
    </row>
    <row r="154" spans="2:14" ht="18" customHeight="1">
      <c r="B154" s="48" t="s">
        <v>46</v>
      </c>
      <c r="C154" s="50">
        <v>186.72</v>
      </c>
      <c r="D154" s="50" t="s">
        <v>47</v>
      </c>
      <c r="E154" s="49">
        <f>ROUND(C153*(C154/1000),2)</f>
        <v>0</v>
      </c>
      <c r="F154" s="50" t="s">
        <v>48</v>
      </c>
      <c r="G154" s="50">
        <f>G$23</f>
        <v>10</v>
      </c>
      <c r="H154" s="52" t="s">
        <v>49</v>
      </c>
      <c r="I154" s="53">
        <f>E154*G154</f>
        <v>0</v>
      </c>
    </row>
    <row r="155" spans="2:14" ht="18" customHeight="1" thickBot="1">
      <c r="B155" s="48" t="s">
        <v>50</v>
      </c>
      <c r="C155" s="50">
        <v>0</v>
      </c>
      <c r="D155" s="50" t="s">
        <v>51</v>
      </c>
      <c r="E155" s="49">
        <f>ROUND(C153*(C155/1000),2)</f>
        <v>0</v>
      </c>
      <c r="F155" s="50" t="s">
        <v>48</v>
      </c>
      <c r="G155" s="50">
        <f>G$24</f>
        <v>10</v>
      </c>
      <c r="H155" s="52" t="s">
        <v>49</v>
      </c>
      <c r="I155" s="53">
        <f>E155*G155</f>
        <v>0</v>
      </c>
    </row>
    <row r="156" spans="2:14" ht="18" customHeight="1" thickBot="1">
      <c r="B156" s="23" t="s">
        <v>36</v>
      </c>
      <c r="C156" s="442" t="s">
        <v>14</v>
      </c>
      <c r="D156" s="442" t="s">
        <v>37</v>
      </c>
      <c r="E156" s="442" t="s">
        <v>38</v>
      </c>
      <c r="F156" s="442" t="s">
        <v>39</v>
      </c>
      <c r="G156" s="442" t="s">
        <v>8</v>
      </c>
      <c r="H156" s="442" t="s">
        <v>22</v>
      </c>
      <c r="I156" s="25" t="s">
        <v>40</v>
      </c>
      <c r="J156" s="54" t="s">
        <v>2</v>
      </c>
      <c r="K156" s="55" t="s">
        <v>3</v>
      </c>
      <c r="L156" s="55" t="s">
        <v>61</v>
      </c>
      <c r="M156" s="55" t="s">
        <v>62</v>
      </c>
      <c r="N156" s="70" t="s">
        <v>14</v>
      </c>
    </row>
    <row r="157" spans="2:14" ht="18" customHeight="1">
      <c r="B157" s="648" t="s">
        <v>98</v>
      </c>
      <c r="C157" s="649" t="s">
        <v>99</v>
      </c>
      <c r="D157" s="443">
        <f t="shared" ref="D157:E162" si="22">J157-IF(L157=1,90,IF(L157=2,67.5,IF(L157=3,45,0)))</f>
        <v>0</v>
      </c>
      <c r="E157" s="443">
        <f t="shared" si="22"/>
        <v>0</v>
      </c>
      <c r="F157" s="443">
        <f t="shared" ref="F157:F162" si="23">2*(D157+E157)/1000</f>
        <v>0</v>
      </c>
      <c r="G157" s="440">
        <v>0</v>
      </c>
      <c r="H157" s="440">
        <f>H68</f>
        <v>0.224</v>
      </c>
      <c r="I157" s="59">
        <f t="shared" ref="I157:I162" si="24">ROUND((F157*G157)*H157,3)</f>
        <v>0</v>
      </c>
      <c r="J157" s="60"/>
      <c r="K157" s="61"/>
      <c r="L157" s="61"/>
      <c r="M157" s="61"/>
      <c r="N157" s="76" t="s">
        <v>56</v>
      </c>
    </row>
    <row r="158" spans="2:14" ht="18" customHeight="1">
      <c r="B158" s="648"/>
      <c r="C158" s="650"/>
      <c r="D158" s="443">
        <f t="shared" si="22"/>
        <v>0</v>
      </c>
      <c r="E158" s="443">
        <f t="shared" si="22"/>
        <v>0</v>
      </c>
      <c r="F158" s="443">
        <f t="shared" si="23"/>
        <v>0</v>
      </c>
      <c r="G158" s="440"/>
      <c r="H158" s="440">
        <f>H157</f>
        <v>0.224</v>
      </c>
      <c r="I158" s="59">
        <f t="shared" si="24"/>
        <v>0</v>
      </c>
      <c r="J158" s="60"/>
      <c r="K158" s="61"/>
      <c r="L158" s="61"/>
      <c r="M158" s="61"/>
      <c r="N158" s="76" t="s">
        <v>58</v>
      </c>
    </row>
    <row r="159" spans="2:14" ht="18" customHeight="1">
      <c r="B159" s="648"/>
      <c r="C159" s="650"/>
      <c r="D159" s="443">
        <f t="shared" si="22"/>
        <v>0</v>
      </c>
      <c r="E159" s="443">
        <f t="shared" si="22"/>
        <v>0</v>
      </c>
      <c r="F159" s="443">
        <f t="shared" si="23"/>
        <v>0</v>
      </c>
      <c r="G159" s="440"/>
      <c r="H159" s="440">
        <f>H158</f>
        <v>0.224</v>
      </c>
      <c r="I159" s="59">
        <f t="shared" si="24"/>
        <v>0</v>
      </c>
      <c r="J159" s="60"/>
      <c r="K159" s="61"/>
      <c r="L159" s="61"/>
      <c r="M159" s="61"/>
      <c r="N159" s="76" t="s">
        <v>60</v>
      </c>
    </row>
    <row r="160" spans="2:14" ht="18" customHeight="1">
      <c r="B160" s="648"/>
      <c r="C160" s="650"/>
      <c r="D160" s="443">
        <f t="shared" si="22"/>
        <v>0</v>
      </c>
      <c r="E160" s="443">
        <f t="shared" si="22"/>
        <v>0</v>
      </c>
      <c r="F160" s="443">
        <f t="shared" si="23"/>
        <v>0</v>
      </c>
      <c r="G160" s="440">
        <v>0</v>
      </c>
      <c r="H160" s="77">
        <f>H159</f>
        <v>0.224</v>
      </c>
      <c r="I160" s="59">
        <f t="shared" si="24"/>
        <v>0</v>
      </c>
      <c r="J160" s="60"/>
      <c r="K160" s="61"/>
      <c r="L160" s="61"/>
      <c r="M160" s="61"/>
      <c r="N160" s="76"/>
    </row>
    <row r="161" spans="2:16" ht="18" customHeight="1">
      <c r="B161" s="648"/>
      <c r="C161" s="650"/>
      <c r="D161" s="443">
        <f t="shared" si="22"/>
        <v>0</v>
      </c>
      <c r="E161" s="443">
        <f t="shared" si="22"/>
        <v>0</v>
      </c>
      <c r="F161" s="443">
        <f t="shared" si="23"/>
        <v>0</v>
      </c>
      <c r="G161" s="440"/>
      <c r="H161" s="440">
        <f>H160</f>
        <v>0.224</v>
      </c>
      <c r="I161" s="59">
        <f t="shared" si="24"/>
        <v>0</v>
      </c>
      <c r="J161" s="60"/>
      <c r="K161" s="61"/>
      <c r="L161" s="61"/>
      <c r="M161" s="61"/>
      <c r="N161" s="76"/>
    </row>
    <row r="162" spans="2:16" ht="18" customHeight="1" thickBot="1">
      <c r="B162" s="648"/>
      <c r="C162" s="651"/>
      <c r="D162" s="443">
        <f t="shared" si="22"/>
        <v>0</v>
      </c>
      <c r="E162" s="443">
        <f t="shared" si="22"/>
        <v>0</v>
      </c>
      <c r="F162" s="443">
        <f t="shared" si="23"/>
        <v>0</v>
      </c>
      <c r="G162" s="440"/>
      <c r="H162" s="440">
        <f>H160</f>
        <v>0.224</v>
      </c>
      <c r="I162" s="59">
        <f t="shared" si="24"/>
        <v>0</v>
      </c>
      <c r="J162" s="64"/>
      <c r="K162" s="65"/>
      <c r="L162" s="65"/>
      <c r="M162" s="65"/>
      <c r="N162" s="80"/>
    </row>
    <row r="163" spans="2:16" ht="18" customHeight="1">
      <c r="B163" s="48" t="s">
        <v>42</v>
      </c>
      <c r="C163" s="49">
        <f>SUMPRODUCT(F157:F162*G157:G162)</f>
        <v>0</v>
      </c>
      <c r="D163" s="50" t="s">
        <v>43</v>
      </c>
      <c r="E163" s="49">
        <f>SUM(I157:I162)*1.1</f>
        <v>0</v>
      </c>
      <c r="F163" s="50" t="s">
        <v>44</v>
      </c>
      <c r="G163" s="51">
        <f>(C$218+C$222)/1000</f>
        <v>39.781500000000001</v>
      </c>
      <c r="H163" s="52" t="s">
        <v>45</v>
      </c>
      <c r="I163" s="53">
        <f>ROUND(E163*G163,2)</f>
        <v>0</v>
      </c>
      <c r="J163" s="102"/>
      <c r="K163" s="102"/>
      <c r="L163" s="102"/>
      <c r="M163" s="102"/>
      <c r="O163" s="102"/>
      <c r="P163" s="102"/>
    </row>
    <row r="164" spans="2:16" ht="18" customHeight="1">
      <c r="B164" s="48" t="s">
        <v>46</v>
      </c>
      <c r="C164" s="50">
        <v>181.72</v>
      </c>
      <c r="D164" s="50" t="s">
        <v>47</v>
      </c>
      <c r="E164" s="49">
        <f>ROUND(C163*(C164/1000),2)</f>
        <v>0</v>
      </c>
      <c r="F164" s="50" t="s">
        <v>48</v>
      </c>
      <c r="G164" s="50">
        <f>G$23</f>
        <v>10</v>
      </c>
      <c r="H164" s="52" t="s">
        <v>49</v>
      </c>
      <c r="I164" s="53">
        <f>E164*G164</f>
        <v>0</v>
      </c>
      <c r="J164" s="102"/>
      <c r="K164" s="102"/>
      <c r="L164" s="102"/>
      <c r="M164" s="102"/>
      <c r="O164" s="102"/>
      <c r="P164" s="102"/>
    </row>
    <row r="165" spans="2:16" ht="18" customHeight="1">
      <c r="B165" s="48" t="s">
        <v>50</v>
      </c>
      <c r="C165" s="50"/>
      <c r="D165" s="50" t="s">
        <v>51</v>
      </c>
      <c r="E165" s="49">
        <f>ROUND(C163*(C165/1000),2)</f>
        <v>0</v>
      </c>
      <c r="F165" s="50" t="s">
        <v>48</v>
      </c>
      <c r="G165" s="50">
        <f>G$24</f>
        <v>10</v>
      </c>
      <c r="H165" s="52" t="s">
        <v>49</v>
      </c>
      <c r="I165" s="53">
        <f>E165*G165</f>
        <v>0</v>
      </c>
      <c r="K165" s="43">
        <f>J165*E165</f>
        <v>0</v>
      </c>
    </row>
    <row r="166" spans="2:16" ht="18" customHeight="1">
      <c r="B166" s="23" t="s">
        <v>36</v>
      </c>
      <c r="C166" s="442" t="s">
        <v>14</v>
      </c>
      <c r="D166" s="442" t="s">
        <v>37</v>
      </c>
      <c r="E166" s="442" t="s">
        <v>71</v>
      </c>
      <c r="F166" s="442" t="s">
        <v>38</v>
      </c>
      <c r="G166" s="442" t="s">
        <v>72</v>
      </c>
      <c r="H166" s="442" t="s">
        <v>22</v>
      </c>
      <c r="I166" s="25" t="s">
        <v>40</v>
      </c>
    </row>
    <row r="167" spans="2:16" ht="18" customHeight="1">
      <c r="B167" s="648" t="s">
        <v>100</v>
      </c>
      <c r="C167" s="649" t="s">
        <v>101</v>
      </c>
      <c r="D167" s="440"/>
      <c r="E167" s="440"/>
      <c r="F167" s="440"/>
      <c r="G167" s="440"/>
      <c r="H167" s="28">
        <v>6.3E-2</v>
      </c>
      <c r="I167" s="59">
        <f>ROUND((D167*E167+F167*G167)/1000*H167,3)</f>
        <v>0</v>
      </c>
    </row>
    <row r="168" spans="2:16" ht="18" customHeight="1">
      <c r="B168" s="648"/>
      <c r="C168" s="650"/>
      <c r="D168" s="440"/>
      <c r="E168" s="440"/>
      <c r="F168" s="440"/>
      <c r="G168" s="440"/>
      <c r="H168" s="28">
        <f>H167</f>
        <v>6.3E-2</v>
      </c>
      <c r="I168" s="59">
        <f>ROUND((D168*E168+F168*G168)/1000*H168,3)</f>
        <v>0</v>
      </c>
    </row>
    <row r="169" spans="2:16" ht="18" customHeight="1">
      <c r="B169" s="648"/>
      <c r="C169" s="651"/>
      <c r="D169" s="440"/>
      <c r="E169" s="440"/>
      <c r="F169" s="440"/>
      <c r="G169" s="440"/>
      <c r="H169" s="28">
        <f>H168</f>
        <v>6.3E-2</v>
      </c>
      <c r="I169" s="59">
        <f>ROUND((D169*E169+F169*G169)/1000*H169,3)</f>
        <v>0</v>
      </c>
    </row>
    <row r="170" spans="2:16" ht="18" customHeight="1">
      <c r="B170" s="48" t="s">
        <v>42</v>
      </c>
      <c r="C170" s="49">
        <f>SUMPRODUCT(D167:D169*E167:E169+F167:F169*G167:G169)/1000</f>
        <v>0</v>
      </c>
      <c r="D170" s="50" t="s">
        <v>43</v>
      </c>
      <c r="E170" s="49">
        <f>SUM(I167:I169)*1.1</f>
        <v>0</v>
      </c>
      <c r="F170" s="50" t="s">
        <v>44</v>
      </c>
      <c r="G170" s="51">
        <f>(C$218+$C$222)/1000</f>
        <v>39.781500000000001</v>
      </c>
      <c r="H170" s="52" t="s">
        <v>45</v>
      </c>
      <c r="I170" s="53">
        <f>ROUND(E170*G170,2)</f>
        <v>0</v>
      </c>
    </row>
    <row r="171" spans="2:16" ht="18" customHeight="1">
      <c r="B171" s="48" t="s">
        <v>46</v>
      </c>
      <c r="C171" s="50">
        <v>105.66</v>
      </c>
      <c r="D171" s="50" t="s">
        <v>47</v>
      </c>
      <c r="E171" s="49">
        <f>ROUND(C170*(C171/1000),2)</f>
        <v>0</v>
      </c>
      <c r="F171" s="50" t="s">
        <v>48</v>
      </c>
      <c r="G171" s="50">
        <f>G$23</f>
        <v>10</v>
      </c>
      <c r="H171" s="52" t="s">
        <v>49</v>
      </c>
      <c r="I171" s="53">
        <f>E171*G171</f>
        <v>0</v>
      </c>
    </row>
    <row r="172" spans="2:16" ht="18" customHeight="1">
      <c r="B172" s="48" t="s">
        <v>50</v>
      </c>
      <c r="C172" s="50">
        <v>125.66</v>
      </c>
      <c r="D172" s="50" t="s">
        <v>51</v>
      </c>
      <c r="E172" s="49">
        <f>ROUND(C170*(C172/1000),2)</f>
        <v>0</v>
      </c>
      <c r="F172" s="50" t="s">
        <v>48</v>
      </c>
      <c r="G172" s="50">
        <f>G$24</f>
        <v>10</v>
      </c>
      <c r="H172" s="52" t="s">
        <v>49</v>
      </c>
      <c r="I172" s="53">
        <f>E172*G172</f>
        <v>0</v>
      </c>
    </row>
    <row r="173" spans="2:16" ht="18" customHeight="1">
      <c r="B173" s="23" t="s">
        <v>36</v>
      </c>
      <c r="C173" s="442" t="s">
        <v>14</v>
      </c>
      <c r="D173" s="442" t="s">
        <v>37</v>
      </c>
      <c r="E173" s="442" t="s">
        <v>71</v>
      </c>
      <c r="F173" s="442" t="s">
        <v>38</v>
      </c>
      <c r="G173" s="442" t="s">
        <v>72</v>
      </c>
      <c r="H173" s="442" t="s">
        <v>22</v>
      </c>
      <c r="I173" s="25" t="s">
        <v>40</v>
      </c>
    </row>
    <row r="174" spans="2:16" ht="18" customHeight="1">
      <c r="B174" s="648" t="s">
        <v>102</v>
      </c>
      <c r="C174" s="649" t="s">
        <v>103</v>
      </c>
      <c r="D174" s="440"/>
      <c r="E174" s="440"/>
      <c r="F174" s="440"/>
      <c r="G174" s="440"/>
      <c r="H174" s="28">
        <v>1.0980000000000001</v>
      </c>
      <c r="I174" s="59">
        <f>ROUND((D174*E174+F174*G174)/1000*H174,3)</f>
        <v>0</v>
      </c>
    </row>
    <row r="175" spans="2:16" ht="18" customHeight="1">
      <c r="B175" s="648"/>
      <c r="C175" s="650"/>
      <c r="D175" s="440"/>
      <c r="E175" s="440"/>
      <c r="F175" s="440"/>
      <c r="G175" s="440"/>
      <c r="H175" s="28">
        <f>H174</f>
        <v>1.0980000000000001</v>
      </c>
      <c r="I175" s="59">
        <f>ROUND((D175*E175+F175*G175)/1000*H175,3)</f>
        <v>0</v>
      </c>
    </row>
    <row r="176" spans="2:16" ht="18" customHeight="1">
      <c r="B176" s="648"/>
      <c r="C176" s="651"/>
      <c r="D176" s="440"/>
      <c r="E176" s="440"/>
      <c r="F176" s="440"/>
      <c r="G176" s="440"/>
      <c r="H176" s="28">
        <f>H175</f>
        <v>1.0980000000000001</v>
      </c>
      <c r="I176" s="59">
        <f>ROUND((D176*E176+F176*G176)/1000*H176,3)</f>
        <v>0</v>
      </c>
    </row>
    <row r="177" spans="2:9" ht="18" customHeight="1">
      <c r="B177" s="48" t="s">
        <v>42</v>
      </c>
      <c r="C177" s="49">
        <f>SUMPRODUCT(D174:D176*E174:E176+F174:F176*G174:G176)/1000</f>
        <v>0</v>
      </c>
      <c r="D177" s="50" t="s">
        <v>43</v>
      </c>
      <c r="E177" s="49">
        <f>SUM(I174:I176)*1.1</f>
        <v>0</v>
      </c>
      <c r="F177" s="50" t="s">
        <v>44</v>
      </c>
      <c r="G177" s="51">
        <f>(C$218+C$219)/1000</f>
        <v>46.081499999999998</v>
      </c>
      <c r="H177" s="52" t="s">
        <v>45</v>
      </c>
      <c r="I177" s="53">
        <f>ROUND(E177*G177,2)</f>
        <v>0</v>
      </c>
    </row>
    <row r="178" spans="2:9" ht="18" customHeight="1">
      <c r="B178" s="48" t="s">
        <v>46</v>
      </c>
      <c r="C178" s="50">
        <v>105.66</v>
      </c>
      <c r="D178" s="50" t="s">
        <v>47</v>
      </c>
      <c r="E178" s="49">
        <f>ROUND(C177*(C178/1000),2)</f>
        <v>0</v>
      </c>
      <c r="F178" s="50" t="s">
        <v>48</v>
      </c>
      <c r="G178" s="50">
        <f>G$23</f>
        <v>10</v>
      </c>
      <c r="H178" s="52" t="s">
        <v>49</v>
      </c>
      <c r="I178" s="53">
        <f>E178*G178</f>
        <v>0</v>
      </c>
    </row>
    <row r="179" spans="2:9" ht="18" customHeight="1">
      <c r="B179" s="48" t="s">
        <v>50</v>
      </c>
      <c r="C179" s="50">
        <v>125.66</v>
      </c>
      <c r="D179" s="50" t="s">
        <v>51</v>
      </c>
      <c r="E179" s="49">
        <f>ROUND(C177*(C179/1000),2)</f>
        <v>0</v>
      </c>
      <c r="F179" s="50" t="s">
        <v>48</v>
      </c>
      <c r="G179" s="50">
        <f>G$24</f>
        <v>10</v>
      </c>
      <c r="H179" s="52" t="s">
        <v>49</v>
      </c>
      <c r="I179" s="53">
        <f>E179*G179</f>
        <v>0</v>
      </c>
    </row>
    <row r="180" spans="2:9" ht="18" customHeight="1">
      <c r="B180" s="23" t="s">
        <v>36</v>
      </c>
      <c r="C180" s="442" t="s">
        <v>14</v>
      </c>
      <c r="D180" s="442" t="s">
        <v>37</v>
      </c>
      <c r="E180" s="442" t="s">
        <v>71</v>
      </c>
      <c r="F180" s="442" t="s">
        <v>38</v>
      </c>
      <c r="G180" s="442" t="s">
        <v>72</v>
      </c>
      <c r="H180" s="442" t="s">
        <v>22</v>
      </c>
      <c r="I180" s="25" t="s">
        <v>40</v>
      </c>
    </row>
    <row r="181" spans="2:9" ht="18" customHeight="1">
      <c r="B181" s="648" t="s">
        <v>104</v>
      </c>
      <c r="C181" s="649" t="s">
        <v>105</v>
      </c>
      <c r="D181" s="440">
        <f>D6</f>
        <v>1020</v>
      </c>
      <c r="E181" s="440"/>
      <c r="F181" s="440"/>
      <c r="G181" s="440"/>
      <c r="H181" s="28">
        <v>1.5629999999999999</v>
      </c>
      <c r="I181" s="59">
        <f>ROUND((D181*E181+F181*G181)/1000*H181,3)</f>
        <v>0</v>
      </c>
    </row>
    <row r="182" spans="2:9" ht="18" customHeight="1">
      <c r="B182" s="648"/>
      <c r="C182" s="650"/>
      <c r="D182" s="440"/>
      <c r="E182" s="440"/>
      <c r="F182" s="440"/>
      <c r="G182" s="440"/>
      <c r="H182" s="28">
        <f>H181</f>
        <v>1.5629999999999999</v>
      </c>
      <c r="I182" s="59">
        <f>ROUND((D182*E182+F182*G182)/1000*H182,3)</f>
        <v>0</v>
      </c>
    </row>
    <row r="183" spans="2:9" ht="18" customHeight="1">
      <c r="B183" s="648"/>
      <c r="C183" s="651"/>
      <c r="D183" s="440"/>
      <c r="E183" s="440"/>
      <c r="F183" s="440"/>
      <c r="G183" s="440"/>
      <c r="H183" s="28">
        <f>H182</f>
        <v>1.5629999999999999</v>
      </c>
      <c r="I183" s="59">
        <f>ROUND((D183*E183+F183*G183)/1000*H183,3)</f>
        <v>0</v>
      </c>
    </row>
    <row r="184" spans="2:9" ht="18" customHeight="1">
      <c r="B184" s="48" t="s">
        <v>42</v>
      </c>
      <c r="C184" s="49">
        <f>SUMPRODUCT(D181:D183*E181:E183+F181:F183*G181:G183)/1000</f>
        <v>0</v>
      </c>
      <c r="D184" s="50" t="s">
        <v>43</v>
      </c>
      <c r="E184" s="49">
        <f>SUM(I181:I183)*1.1</f>
        <v>0</v>
      </c>
      <c r="F184" s="50" t="s">
        <v>44</v>
      </c>
      <c r="G184" s="51">
        <f>(C$218+C$219)/1000</f>
        <v>46.081499999999998</v>
      </c>
      <c r="H184" s="52" t="s">
        <v>45</v>
      </c>
      <c r="I184" s="53">
        <f>ROUND(E184*G184,2)</f>
        <v>0</v>
      </c>
    </row>
    <row r="185" spans="2:9" ht="18" customHeight="1">
      <c r="B185" s="48" t="s">
        <v>46</v>
      </c>
      <c r="C185" s="50">
        <v>105.66</v>
      </c>
      <c r="D185" s="50" t="s">
        <v>47</v>
      </c>
      <c r="E185" s="49">
        <f>ROUND(C184*(C185/1000),2)</f>
        <v>0</v>
      </c>
      <c r="F185" s="50" t="s">
        <v>48</v>
      </c>
      <c r="G185" s="50">
        <f>G$23</f>
        <v>10</v>
      </c>
      <c r="H185" s="52" t="s">
        <v>49</v>
      </c>
      <c r="I185" s="53">
        <f>E185*G185</f>
        <v>0</v>
      </c>
    </row>
    <row r="186" spans="2:9" ht="18" customHeight="1">
      <c r="B186" s="48" t="s">
        <v>50</v>
      </c>
      <c r="C186" s="50">
        <v>125.66</v>
      </c>
      <c r="D186" s="50" t="s">
        <v>51</v>
      </c>
      <c r="E186" s="49">
        <f>ROUND(C184*(C186/1000),2)</f>
        <v>0</v>
      </c>
      <c r="F186" s="50" t="s">
        <v>48</v>
      </c>
      <c r="G186" s="50">
        <f>G$24</f>
        <v>10</v>
      </c>
      <c r="H186" s="52" t="s">
        <v>49</v>
      </c>
      <c r="I186" s="53">
        <f>E186*G186</f>
        <v>0</v>
      </c>
    </row>
    <row r="187" spans="2:9" ht="18" customHeight="1">
      <c r="B187" s="23" t="s">
        <v>36</v>
      </c>
      <c r="C187" s="442" t="s">
        <v>14</v>
      </c>
      <c r="D187" s="442" t="s">
        <v>37</v>
      </c>
      <c r="E187" s="442" t="s">
        <v>71</v>
      </c>
      <c r="F187" s="442" t="s">
        <v>38</v>
      </c>
      <c r="G187" s="442" t="s">
        <v>72</v>
      </c>
      <c r="H187" s="442" t="s">
        <v>22</v>
      </c>
      <c r="I187" s="25" t="s">
        <v>40</v>
      </c>
    </row>
    <row r="188" spans="2:9" ht="18" customHeight="1">
      <c r="B188" s="648" t="s">
        <v>106</v>
      </c>
      <c r="C188" s="649" t="s">
        <v>107</v>
      </c>
      <c r="D188" s="440"/>
      <c r="E188" s="440"/>
      <c r="F188" s="440"/>
      <c r="G188" s="440"/>
      <c r="H188" s="28">
        <v>1.732</v>
      </c>
      <c r="I188" s="59">
        <f>ROUND((D188*E188+F188*G188)/1000*H188,3)</f>
        <v>0</v>
      </c>
    </row>
    <row r="189" spans="2:9" ht="18" customHeight="1">
      <c r="B189" s="648"/>
      <c r="C189" s="650"/>
      <c r="D189" s="440"/>
      <c r="E189" s="440"/>
      <c r="F189" s="440"/>
      <c r="G189" s="440"/>
      <c r="H189" s="28">
        <f>H188</f>
        <v>1.732</v>
      </c>
      <c r="I189" s="59">
        <f>ROUND((D189*E189+F189*G189)/1000*H189,3)</f>
        <v>0</v>
      </c>
    </row>
    <row r="190" spans="2:9" ht="18" customHeight="1">
      <c r="B190" s="648"/>
      <c r="C190" s="651"/>
      <c r="D190" s="440"/>
      <c r="E190" s="440"/>
      <c r="F190" s="440">
        <f>E6</f>
        <v>2570</v>
      </c>
      <c r="G190" s="440"/>
      <c r="H190" s="28">
        <f>H189</f>
        <v>1.732</v>
      </c>
      <c r="I190" s="59">
        <f>ROUND((D190*E190+F190*G190)/1000*H190,3)</f>
        <v>0</v>
      </c>
    </row>
    <row r="191" spans="2:9" ht="18" customHeight="1">
      <c r="B191" s="48" t="s">
        <v>42</v>
      </c>
      <c r="C191" s="49">
        <f>SUMPRODUCT(D188:D190*E188:E190+F188:F190*G188:G190)/1000</f>
        <v>0</v>
      </c>
      <c r="D191" s="50" t="s">
        <v>43</v>
      </c>
      <c r="E191" s="49">
        <f>SUM(I188:I190)*1.1</f>
        <v>0</v>
      </c>
      <c r="F191" s="50" t="s">
        <v>44</v>
      </c>
      <c r="G191" s="51">
        <f>(C$218+C$219)/1000</f>
        <v>46.081499999999998</v>
      </c>
      <c r="H191" s="52" t="s">
        <v>45</v>
      </c>
      <c r="I191" s="53">
        <f>ROUND(E191*G191,2)</f>
        <v>0</v>
      </c>
    </row>
    <row r="192" spans="2:9" ht="18" customHeight="1">
      <c r="B192" s="48" t="s">
        <v>46</v>
      </c>
      <c r="C192" s="50">
        <v>105.66</v>
      </c>
      <c r="D192" s="50" t="s">
        <v>47</v>
      </c>
      <c r="E192" s="49">
        <f>ROUND(C191*(C192/1000),2)</f>
        <v>0</v>
      </c>
      <c r="F192" s="50" t="s">
        <v>48</v>
      </c>
      <c r="G192" s="50">
        <f>G$23</f>
        <v>10</v>
      </c>
      <c r="H192" s="52" t="s">
        <v>49</v>
      </c>
      <c r="I192" s="53">
        <f>E192*G192</f>
        <v>0</v>
      </c>
    </row>
    <row r="193" spans="2:15" ht="18" customHeight="1">
      <c r="B193" s="48" t="s">
        <v>50</v>
      </c>
      <c r="C193" s="50">
        <v>125.66</v>
      </c>
      <c r="D193" s="50" t="s">
        <v>51</v>
      </c>
      <c r="E193" s="49">
        <f>ROUND(C191*(C193/1000),2)</f>
        <v>0</v>
      </c>
      <c r="F193" s="50" t="s">
        <v>48</v>
      </c>
      <c r="G193" s="50">
        <f>G$24</f>
        <v>10</v>
      </c>
      <c r="H193" s="52" t="s">
        <v>49</v>
      </c>
      <c r="I193" s="53">
        <f>E193*G193</f>
        <v>0</v>
      </c>
    </row>
    <row r="194" spans="2:15" ht="18" customHeight="1">
      <c r="B194" s="23" t="s">
        <v>36</v>
      </c>
      <c r="C194" s="442" t="s">
        <v>14</v>
      </c>
      <c r="D194" s="652" t="s">
        <v>38</v>
      </c>
      <c r="E194" s="652"/>
      <c r="F194" s="652"/>
      <c r="G194" s="442" t="s">
        <v>72</v>
      </c>
      <c r="H194" s="442" t="s">
        <v>22</v>
      </c>
      <c r="I194" s="25" t="s">
        <v>40</v>
      </c>
    </row>
    <row r="195" spans="2:15" ht="18" customHeight="1">
      <c r="B195" s="643" t="s">
        <v>108</v>
      </c>
      <c r="C195" s="645" t="s">
        <v>109</v>
      </c>
      <c r="D195" s="646"/>
      <c r="E195" s="646"/>
      <c r="F195" s="646"/>
      <c r="G195" s="440"/>
      <c r="H195" s="440">
        <v>1.796</v>
      </c>
      <c r="I195" s="59">
        <f>ROUND((D195*G195*H195)/1000,3)</f>
        <v>0</v>
      </c>
    </row>
    <row r="196" spans="2:15" ht="18" customHeight="1">
      <c r="B196" s="644"/>
      <c r="C196" s="640"/>
      <c r="D196" s="646"/>
      <c r="E196" s="646"/>
      <c r="F196" s="646"/>
      <c r="G196" s="440"/>
      <c r="H196" s="440">
        <f>H195</f>
        <v>1.796</v>
      </c>
      <c r="I196" s="59">
        <f>ROUND((D196*G196*H196)/1000,3)</f>
        <v>0</v>
      </c>
    </row>
    <row r="197" spans="2:15" ht="18" customHeight="1">
      <c r="B197" s="643" t="s">
        <v>110</v>
      </c>
      <c r="C197" s="645" t="s">
        <v>111</v>
      </c>
      <c r="D197" s="646"/>
      <c r="E197" s="646"/>
      <c r="F197" s="646"/>
      <c r="G197" s="440"/>
      <c r="H197" s="440">
        <v>1.355</v>
      </c>
      <c r="I197" s="59"/>
    </row>
    <row r="198" spans="2:15" ht="18" customHeight="1">
      <c r="B198" s="644"/>
      <c r="C198" s="640"/>
      <c r="D198" s="646"/>
      <c r="E198" s="646"/>
      <c r="F198" s="646"/>
      <c r="G198" s="440"/>
      <c r="H198" s="440">
        <f>H197</f>
        <v>1.355</v>
      </c>
      <c r="I198" s="59"/>
    </row>
    <row r="199" spans="2:15" ht="18" customHeight="1">
      <c r="B199" s="48" t="s">
        <v>42</v>
      </c>
      <c r="C199" s="49">
        <f>SUMPRODUCT(D195:F198*G195:G198)/1000</f>
        <v>0</v>
      </c>
      <c r="D199" s="50" t="s">
        <v>43</v>
      </c>
      <c r="E199" s="49">
        <f>SUM(I195:I198)*1.1</f>
        <v>0</v>
      </c>
      <c r="F199" s="50" t="s">
        <v>44</v>
      </c>
      <c r="G199" s="51">
        <f>(C$218+C$219)/1000</f>
        <v>46.081499999999998</v>
      </c>
      <c r="H199" s="52" t="s">
        <v>45</v>
      </c>
      <c r="I199" s="53">
        <f>ROUND(E199*G199,2)</f>
        <v>0</v>
      </c>
    </row>
    <row r="200" spans="2:15" ht="18" customHeight="1">
      <c r="B200" s="48" t="s">
        <v>46</v>
      </c>
      <c r="C200" s="50">
        <v>267.77999999999997</v>
      </c>
      <c r="D200" s="50" t="s">
        <v>47</v>
      </c>
      <c r="E200" s="49">
        <f>ROUND(C199*(C200/1000),2)</f>
        <v>0</v>
      </c>
      <c r="F200" s="50" t="s">
        <v>48</v>
      </c>
      <c r="G200" s="50">
        <f>G$23</f>
        <v>10</v>
      </c>
      <c r="H200" s="52" t="s">
        <v>49</v>
      </c>
      <c r="I200" s="53">
        <f>E200*G200</f>
        <v>0</v>
      </c>
    </row>
    <row r="201" spans="2:15" ht="18" customHeight="1">
      <c r="B201" s="48" t="s">
        <v>50</v>
      </c>
      <c r="C201" s="50">
        <v>104.29</v>
      </c>
      <c r="D201" s="50" t="s">
        <v>51</v>
      </c>
      <c r="E201" s="49">
        <f>ROUND(C199*(C201/1000),2)</f>
        <v>0</v>
      </c>
      <c r="F201" s="50" t="s">
        <v>48</v>
      </c>
      <c r="G201" s="50">
        <f>G$24</f>
        <v>10</v>
      </c>
      <c r="H201" s="52" t="s">
        <v>49</v>
      </c>
      <c r="I201" s="53">
        <f>E201*G201</f>
        <v>0</v>
      </c>
    </row>
    <row r="202" spans="2:15" ht="18" customHeight="1">
      <c r="B202" s="103" t="s">
        <v>112</v>
      </c>
      <c r="C202" s="104" t="s">
        <v>113</v>
      </c>
      <c r="D202" s="104" t="s">
        <v>28</v>
      </c>
      <c r="E202" s="104" t="s">
        <v>8</v>
      </c>
      <c r="F202" s="104" t="s">
        <v>112</v>
      </c>
      <c r="G202" s="104" t="s">
        <v>113</v>
      </c>
      <c r="H202" s="104" t="s">
        <v>28</v>
      </c>
      <c r="I202" s="105" t="s">
        <v>8</v>
      </c>
      <c r="N202" s="106"/>
      <c r="O202" s="102"/>
    </row>
    <row r="203" spans="2:15" ht="18" customHeight="1">
      <c r="B203" s="441" t="s">
        <v>327</v>
      </c>
      <c r="C203" s="107" t="s">
        <v>114</v>
      </c>
      <c r="D203" s="108">
        <v>2.15</v>
      </c>
      <c r="E203" s="443">
        <f>SUM(G14:G21)*4</f>
        <v>8</v>
      </c>
      <c r="F203" s="647" t="s">
        <v>115</v>
      </c>
      <c r="G203" s="107" t="s">
        <v>116</v>
      </c>
      <c r="H203" s="108">
        <v>2.46</v>
      </c>
      <c r="I203" s="437">
        <f>SUM(G108:G111)*4</f>
        <v>0</v>
      </c>
      <c r="J203" s="42"/>
      <c r="N203" s="106"/>
      <c r="O203" s="102"/>
    </row>
    <row r="204" spans="2:15" ht="18" customHeight="1">
      <c r="B204" s="441" t="s">
        <v>328</v>
      </c>
      <c r="C204" s="107" t="s">
        <v>117</v>
      </c>
      <c r="D204" s="108">
        <v>1.72</v>
      </c>
      <c r="E204" s="443">
        <f>E203</f>
        <v>8</v>
      </c>
      <c r="F204" s="646"/>
      <c r="G204" s="107" t="s">
        <v>118</v>
      </c>
      <c r="H204" s="108">
        <v>3.11</v>
      </c>
      <c r="I204" s="437">
        <f>I203</f>
        <v>0</v>
      </c>
      <c r="J204" s="42"/>
      <c r="N204" s="106"/>
      <c r="O204" s="102"/>
    </row>
    <row r="205" spans="2:15" ht="18" customHeight="1">
      <c r="B205" s="109" t="s">
        <v>330</v>
      </c>
      <c r="C205" s="107" t="s">
        <v>119</v>
      </c>
      <c r="D205" s="108">
        <v>2.68</v>
      </c>
      <c r="E205" s="443">
        <f>SUM(G26:G30)*4</f>
        <v>0</v>
      </c>
      <c r="F205" s="110" t="s">
        <v>120</v>
      </c>
      <c r="G205" s="107" t="s">
        <v>121</v>
      </c>
      <c r="H205" s="111">
        <v>4.76</v>
      </c>
      <c r="I205" s="437">
        <f>SUM(G123:G125)*4</f>
        <v>0</v>
      </c>
      <c r="J205" s="42"/>
      <c r="N205" s="106"/>
      <c r="O205" s="102"/>
    </row>
    <row r="206" spans="2:15" ht="18" customHeight="1">
      <c r="B206" s="109" t="s">
        <v>329</v>
      </c>
      <c r="C206" s="107" t="s">
        <v>122</v>
      </c>
      <c r="D206" s="108">
        <v>1.27</v>
      </c>
      <c r="E206" s="443">
        <f>E205</f>
        <v>0</v>
      </c>
      <c r="F206" s="110" t="s">
        <v>123</v>
      </c>
      <c r="G206" s="107" t="s">
        <v>124</v>
      </c>
      <c r="H206" s="111">
        <v>3.85</v>
      </c>
      <c r="I206" s="437">
        <f>I205</f>
        <v>0</v>
      </c>
      <c r="J206" s="42"/>
      <c r="N206" s="106"/>
      <c r="O206" s="102"/>
    </row>
    <row r="207" spans="2:15" ht="18" customHeight="1">
      <c r="B207" s="109" t="s">
        <v>331</v>
      </c>
      <c r="C207" s="107" t="s">
        <v>125</v>
      </c>
      <c r="D207" s="111" t="s">
        <v>126</v>
      </c>
      <c r="E207" s="443">
        <f>SUM(G35:G37)*4</f>
        <v>8</v>
      </c>
      <c r="F207" s="110" t="s">
        <v>127</v>
      </c>
      <c r="G207" s="107" t="s">
        <v>128</v>
      </c>
      <c r="H207" s="111">
        <v>4.29</v>
      </c>
      <c r="I207" s="437">
        <f>SUM(G116:G118)*4</f>
        <v>0</v>
      </c>
      <c r="J207" s="42"/>
      <c r="N207" s="106"/>
      <c r="O207" s="102"/>
    </row>
    <row r="208" spans="2:15" ht="18" customHeight="1">
      <c r="B208" s="109" t="s">
        <v>332</v>
      </c>
      <c r="C208" s="107" t="s">
        <v>129</v>
      </c>
      <c r="D208" s="111" t="s">
        <v>130</v>
      </c>
      <c r="E208" s="443">
        <f>E207</f>
        <v>8</v>
      </c>
      <c r="F208" s="110" t="s">
        <v>131</v>
      </c>
      <c r="G208" s="107" t="s">
        <v>132</v>
      </c>
      <c r="H208" s="111">
        <v>4.5</v>
      </c>
      <c r="I208" s="437">
        <f>I207</f>
        <v>0</v>
      </c>
      <c r="J208" s="42"/>
      <c r="N208" s="106"/>
      <c r="O208" s="102"/>
    </row>
    <row r="209" spans="2:15" ht="18" customHeight="1">
      <c r="B209" s="439" t="s">
        <v>333</v>
      </c>
      <c r="C209" s="440">
        <v>12.6</v>
      </c>
      <c r="D209" s="111">
        <v>1.32</v>
      </c>
      <c r="E209" s="443">
        <f>SUM(G42:G47)*4</f>
        <v>8</v>
      </c>
      <c r="F209" s="639"/>
      <c r="G209" s="107"/>
      <c r="H209" s="28"/>
      <c r="I209" s="437"/>
      <c r="N209" s="106"/>
      <c r="O209" s="102"/>
    </row>
    <row r="210" spans="2:15" ht="18" customHeight="1">
      <c r="B210" s="439" t="s">
        <v>334</v>
      </c>
      <c r="C210" s="440">
        <v>15.8</v>
      </c>
      <c r="D210" s="111">
        <v>1.18</v>
      </c>
      <c r="E210" s="443">
        <f>E209</f>
        <v>8</v>
      </c>
      <c r="F210" s="640"/>
      <c r="G210" s="107"/>
      <c r="H210" s="28"/>
      <c r="I210" s="231"/>
      <c r="N210" s="106"/>
      <c r="O210" s="102"/>
    </row>
    <row r="211" spans="2:15" ht="18" customHeight="1">
      <c r="B211" s="441" t="s">
        <v>335</v>
      </c>
      <c r="C211" s="107" t="s">
        <v>337</v>
      </c>
      <c r="D211" s="111">
        <v>2.81</v>
      </c>
      <c r="E211" s="440">
        <f>SUM(E52+E53+E54+E55+G52+G53+G54+G55+G60+G61+G62+G63)*2</f>
        <v>6</v>
      </c>
      <c r="F211" s="641" t="s">
        <v>133</v>
      </c>
      <c r="G211" s="111">
        <f>SUMPRODUCT(D35:D37,G35:G37)/1000</f>
        <v>0.82</v>
      </c>
      <c r="H211" s="28">
        <v>0.16</v>
      </c>
      <c r="I211" s="232">
        <f>G211*H211</f>
        <v>0.13119999999999998</v>
      </c>
      <c r="N211" s="106"/>
      <c r="O211" s="102"/>
    </row>
    <row r="212" spans="2:15" ht="18" customHeight="1">
      <c r="B212" s="441" t="s">
        <v>336</v>
      </c>
      <c r="C212" s="107" t="s">
        <v>338</v>
      </c>
      <c r="D212" s="111">
        <v>3.51</v>
      </c>
      <c r="E212" s="440">
        <f>E211</f>
        <v>6</v>
      </c>
      <c r="F212" s="641"/>
      <c r="G212" s="111">
        <f>SUMPRODUCT(D26:D30,G26:G30)/1000</f>
        <v>0</v>
      </c>
      <c r="H212" s="28">
        <v>0.16</v>
      </c>
      <c r="I212" s="232">
        <f>G212*H212</f>
        <v>0</v>
      </c>
      <c r="N212" s="106"/>
      <c r="O212" s="102"/>
    </row>
    <row r="213" spans="2:15" ht="18" customHeight="1">
      <c r="B213" s="441" t="s">
        <v>134</v>
      </c>
      <c r="C213" s="440">
        <v>30.6</v>
      </c>
      <c r="D213" s="111">
        <v>2.81</v>
      </c>
      <c r="E213" s="443">
        <f>SUM(+E130+E131+E132+G130+G131+G132)*2</f>
        <v>0</v>
      </c>
      <c r="F213" s="641" t="s">
        <v>135</v>
      </c>
      <c r="G213" s="111">
        <f>SUMPRODUCT(E26:E30,G26:G30)/1000</f>
        <v>0</v>
      </c>
      <c r="H213" s="28">
        <v>0.16</v>
      </c>
      <c r="I213" s="232">
        <f>G213*H213</f>
        <v>0</v>
      </c>
      <c r="N213" s="106"/>
      <c r="O213" s="102"/>
    </row>
    <row r="214" spans="2:15" ht="18" customHeight="1">
      <c r="B214" s="441" t="s">
        <v>136</v>
      </c>
      <c r="C214" s="440">
        <v>30.6</v>
      </c>
      <c r="D214" s="111">
        <v>3.51</v>
      </c>
      <c r="E214" s="443">
        <f>E213</f>
        <v>0</v>
      </c>
      <c r="F214" s="641"/>
      <c r="G214" s="111">
        <f>SUMPRODUCT(E35:E37,G35:G37)/1000</f>
        <v>1.95</v>
      </c>
      <c r="H214" s="28">
        <v>0.16</v>
      </c>
      <c r="I214" s="232">
        <f>G214*H214</f>
        <v>0.312</v>
      </c>
      <c r="N214" s="106"/>
      <c r="O214" s="102"/>
    </row>
    <row r="215" spans="2:15" ht="18" customHeight="1">
      <c r="B215" s="52" t="s">
        <v>137</v>
      </c>
      <c r="C215" s="112" cm="1">
        <f t="array" ref="C215">SUMPRODUCT(D203:D214*E203:E214)+SUMPRODUCT(H203:H210*I203:I210)</f>
        <v>129.19999999999999</v>
      </c>
      <c r="D215" s="52"/>
      <c r="E215" s="52"/>
      <c r="F215" s="52"/>
      <c r="G215" s="52" t="s">
        <v>138</v>
      </c>
      <c r="H215" s="52" cm="1">
        <f t="array" ref="H215">SUMPRODUCT(G211:G214*H211:H214)</f>
        <v>0.44319999999999998</v>
      </c>
      <c r="I215" s="233">
        <f>H215*1.08</f>
        <v>0.47865600000000003</v>
      </c>
      <c r="N215" s="106"/>
      <c r="O215" s="102"/>
    </row>
    <row r="216" spans="2:15" ht="18" customHeight="1">
      <c r="B216" s="23" t="s">
        <v>139</v>
      </c>
      <c r="C216" s="442" t="s">
        <v>14</v>
      </c>
      <c r="D216" s="442" t="s">
        <v>22</v>
      </c>
      <c r="E216" s="442" t="s">
        <v>8</v>
      </c>
      <c r="F216" s="442" t="s">
        <v>113</v>
      </c>
      <c r="G216" s="442" t="s">
        <v>40</v>
      </c>
      <c r="H216" s="442" t="s">
        <v>28</v>
      </c>
      <c r="I216" s="25" t="s">
        <v>29</v>
      </c>
      <c r="N216" s="106"/>
      <c r="O216" s="102"/>
    </row>
    <row r="217" spans="2:15" ht="18" customHeight="1">
      <c r="B217" s="48" t="s">
        <v>140</v>
      </c>
      <c r="C217" s="52" t="s">
        <v>141</v>
      </c>
      <c r="D217" s="50">
        <v>0.14199999999999999</v>
      </c>
      <c r="E217" s="50">
        <v>1</v>
      </c>
      <c r="F217" s="50">
        <f>D6</f>
        <v>1020</v>
      </c>
      <c r="G217" s="128">
        <f>D217*F217*E217/1000*1.1</f>
        <v>0.15932399999999997</v>
      </c>
      <c r="H217" s="52">
        <f>(C218+C222)/1000</f>
        <v>39.781500000000001</v>
      </c>
      <c r="I217" s="193">
        <f>G217*H217</f>
        <v>6.3381477059999991</v>
      </c>
      <c r="N217" s="106"/>
      <c r="O217" s="102"/>
    </row>
    <row r="218" spans="2:15" ht="18" customHeight="1">
      <c r="B218" s="37" t="s">
        <v>142</v>
      </c>
      <c r="C218" s="113">
        <f>材料价格!B4</f>
        <v>22081.5</v>
      </c>
      <c r="D218" s="39" t="s">
        <v>143</v>
      </c>
      <c r="E218" s="114">
        <f>E139+E133+E126+E119+E112+E199+E177+E64+E56+E48+E38+E31+E22+E184+E191</f>
        <v>44.716100000000004</v>
      </c>
      <c r="F218" s="39" t="s">
        <v>144</v>
      </c>
      <c r="G218" s="115">
        <f>I218/E218-C218/1000</f>
        <v>23.999889029901979</v>
      </c>
      <c r="H218" s="39" t="s">
        <v>145</v>
      </c>
      <c r="I218" s="116">
        <f>I22+I31+I38+I48+I56+I64+I199+I112+I119+I126+I133+I139+I177+I184+I191</f>
        <v>2060.58</v>
      </c>
      <c r="N218" s="106"/>
      <c r="O218" s="102"/>
    </row>
    <row r="219" spans="2:15" ht="18" customHeight="1">
      <c r="B219" s="117" t="s">
        <v>146</v>
      </c>
      <c r="C219" s="118">
        <f>材料价格!B5</f>
        <v>24000</v>
      </c>
      <c r="D219" s="39" t="s">
        <v>147</v>
      </c>
      <c r="E219" s="114">
        <f>E163+E153+E146+E104+E97+E88+G217+E170</f>
        <v>3.9317739999999999</v>
      </c>
      <c r="F219" s="39" t="s">
        <v>148</v>
      </c>
      <c r="G219" s="119">
        <f>I219/E219-C218/1000</f>
        <v>17.699053944860516</v>
      </c>
      <c r="H219" s="39" t="s">
        <v>149</v>
      </c>
      <c r="I219" s="116">
        <f>I88+I97+I104+I146+I153+I163+I217+I170</f>
        <v>156.40814770599999</v>
      </c>
      <c r="N219" s="106"/>
      <c r="O219" s="102"/>
    </row>
    <row r="220" spans="2:15" ht="18" customHeight="1">
      <c r="B220" s="117" t="s">
        <v>150</v>
      </c>
      <c r="C220" s="118">
        <f>C219</f>
        <v>24000</v>
      </c>
      <c r="D220" s="39" t="s">
        <v>151</v>
      </c>
      <c r="E220" s="120">
        <f>I215</f>
        <v>0.47865600000000003</v>
      </c>
      <c r="F220" s="39" t="s">
        <v>152</v>
      </c>
      <c r="G220" s="119">
        <f>I220/E220-C218/1000</f>
        <v>2.9051292285064854</v>
      </c>
      <c r="H220" s="39" t="s">
        <v>153</v>
      </c>
      <c r="I220" s="116">
        <f>ROUND(E220*(C218+C223)/1000,2)</f>
        <v>11.96</v>
      </c>
      <c r="N220" s="106"/>
      <c r="O220" s="102"/>
    </row>
    <row r="221" spans="2:15" ht="18" customHeight="1">
      <c r="B221" s="117" t="s">
        <v>154</v>
      </c>
      <c r="C221" s="121">
        <f>C220</f>
        <v>24000</v>
      </c>
      <c r="D221" s="39" t="s">
        <v>155</v>
      </c>
      <c r="E221" s="39"/>
      <c r="F221" s="39" t="s">
        <v>156</v>
      </c>
      <c r="G221" s="39"/>
      <c r="H221" s="39" t="s">
        <v>49</v>
      </c>
      <c r="I221" s="116">
        <f>E221*G221</f>
        <v>0</v>
      </c>
      <c r="J221" s="42"/>
      <c r="K221" s="255"/>
    </row>
    <row r="222" spans="2:15" ht="18" customHeight="1">
      <c r="B222" s="117" t="s">
        <v>148</v>
      </c>
      <c r="C222" s="122">
        <f>材料价格!B6</f>
        <v>17700</v>
      </c>
      <c r="D222" s="39" t="s">
        <v>157</v>
      </c>
      <c r="E222" s="39"/>
      <c r="F222" s="39" t="s">
        <v>156</v>
      </c>
      <c r="G222" s="39"/>
      <c r="H222" s="39" t="s">
        <v>49</v>
      </c>
      <c r="I222" s="116">
        <f>E222*G222</f>
        <v>0</v>
      </c>
      <c r="J222" s="123"/>
      <c r="K222" s="123"/>
      <c r="L222" s="123"/>
    </row>
    <row r="223" spans="2:15" ht="18" customHeight="1">
      <c r="B223" s="117" t="s">
        <v>152</v>
      </c>
      <c r="C223" s="122">
        <f>材料价格!B9</f>
        <v>2900</v>
      </c>
      <c r="D223" s="39" t="s">
        <v>158</v>
      </c>
      <c r="E223" s="114">
        <f>SUM(E218:E220)</f>
        <v>49.126530000000002</v>
      </c>
      <c r="F223" s="39"/>
      <c r="G223" s="39" t="s">
        <v>339</v>
      </c>
      <c r="H223" s="39"/>
      <c r="I223" s="234">
        <f>SUM(I218:I222)+C215</f>
        <v>2358.1481477059997</v>
      </c>
      <c r="J223" s="123"/>
      <c r="K223" s="123"/>
      <c r="L223" s="123"/>
    </row>
    <row r="224" spans="2:15" ht="18" customHeight="1">
      <c r="B224" s="23" t="s">
        <v>159</v>
      </c>
      <c r="C224" s="442" t="s">
        <v>113</v>
      </c>
      <c r="D224" s="442" t="s">
        <v>16</v>
      </c>
      <c r="E224" s="442" t="s">
        <v>7</v>
      </c>
      <c r="F224" s="442" t="s">
        <v>8</v>
      </c>
      <c r="G224" s="442" t="s">
        <v>28</v>
      </c>
      <c r="H224" s="442" t="s">
        <v>160</v>
      </c>
      <c r="I224" s="25" t="s">
        <v>1</v>
      </c>
      <c r="J224" s="255"/>
      <c r="K224" s="255"/>
      <c r="L224" s="255"/>
      <c r="M224" s="255"/>
    </row>
    <row r="225" spans="2:13" ht="18" customHeight="1">
      <c r="B225" s="124" t="str">
        <f>材料价格!A10</f>
        <v>6单银Low-E+12A+6</v>
      </c>
      <c r="C225" s="443">
        <f t="shared" ref="C225:D229" si="25">D92</f>
        <v>-90</v>
      </c>
      <c r="D225" s="443">
        <f t="shared" si="25"/>
        <v>-90</v>
      </c>
      <c r="E225" s="32">
        <f>C225*D225/10^6</f>
        <v>8.0999999999999996E-3</v>
      </c>
      <c r="F225" s="440">
        <f>G26</f>
        <v>0</v>
      </c>
      <c r="G225" s="125">
        <f>材料价格!B10</f>
        <v>148</v>
      </c>
      <c r="H225" s="440">
        <f>ROUND(E225*G225*F225,2)</f>
        <v>0</v>
      </c>
      <c r="I225" s="437" t="s">
        <v>161</v>
      </c>
      <c r="J225" s="255"/>
      <c r="K225" s="255"/>
      <c r="L225" s="255"/>
      <c r="M225" s="255"/>
    </row>
    <row r="226" spans="2:13" ht="18" customHeight="1">
      <c r="B226" s="124" t="str">
        <f t="shared" ref="B226:B232" si="26">B225</f>
        <v>6单银Low-E+12A+6</v>
      </c>
      <c r="C226" s="443">
        <f t="shared" si="25"/>
        <v>-90</v>
      </c>
      <c r="D226" s="443">
        <f t="shared" si="25"/>
        <v>-90</v>
      </c>
      <c r="E226" s="32">
        <f t="shared" ref="E226:E284" si="27">C226*D226/10^6</f>
        <v>8.0999999999999996E-3</v>
      </c>
      <c r="F226" s="440">
        <f>G27</f>
        <v>0</v>
      </c>
      <c r="G226" s="126">
        <f t="shared" ref="G226:G232" si="28">G225</f>
        <v>148</v>
      </c>
      <c r="H226" s="440">
        <f t="shared" ref="H226:H241" si="29">ROUND(E226*G226*F226,2)</f>
        <v>0</v>
      </c>
      <c r="I226" s="437" t="s">
        <v>162</v>
      </c>
      <c r="J226" s="255"/>
      <c r="K226" s="255"/>
      <c r="L226" s="255"/>
      <c r="M226" s="255"/>
    </row>
    <row r="227" spans="2:13" ht="18" customHeight="1">
      <c r="B227" s="124" t="str">
        <f t="shared" si="26"/>
        <v>6单银Low-E+12A+6</v>
      </c>
      <c r="C227" s="443">
        <f t="shared" si="25"/>
        <v>-90</v>
      </c>
      <c r="D227" s="443">
        <f t="shared" si="25"/>
        <v>-90</v>
      </c>
      <c r="E227" s="32">
        <f t="shared" si="27"/>
        <v>8.0999999999999996E-3</v>
      </c>
      <c r="F227" s="440">
        <f>G28</f>
        <v>0</v>
      </c>
      <c r="G227" s="126">
        <f t="shared" si="28"/>
        <v>148</v>
      </c>
      <c r="H227" s="440">
        <f t="shared" si="29"/>
        <v>0</v>
      </c>
      <c r="I227" s="437" t="s">
        <v>162</v>
      </c>
      <c r="J227" s="255"/>
      <c r="K227" s="255"/>
      <c r="L227" s="255"/>
      <c r="M227" s="255"/>
    </row>
    <row r="228" spans="2:13" ht="18" customHeight="1">
      <c r="B228" s="124" t="str">
        <f t="shared" si="26"/>
        <v>6单银Low-E+12A+6</v>
      </c>
      <c r="C228" s="443">
        <f t="shared" si="25"/>
        <v>-90</v>
      </c>
      <c r="D228" s="443">
        <f t="shared" si="25"/>
        <v>-90</v>
      </c>
      <c r="E228" s="32">
        <f t="shared" si="27"/>
        <v>8.0999999999999996E-3</v>
      </c>
      <c r="F228" s="440">
        <f>G29</f>
        <v>0</v>
      </c>
      <c r="G228" s="126">
        <f t="shared" si="28"/>
        <v>148</v>
      </c>
      <c r="H228" s="440">
        <f t="shared" si="29"/>
        <v>0</v>
      </c>
      <c r="I228" s="437" t="s">
        <v>162</v>
      </c>
      <c r="J228" s="255"/>
      <c r="K228" s="255"/>
      <c r="L228" s="255"/>
      <c r="M228" s="255"/>
    </row>
    <row r="229" spans="2:13" ht="18" customHeight="1">
      <c r="B229" s="124" t="str">
        <f t="shared" si="26"/>
        <v>6单银Low-E+12A+6</v>
      </c>
      <c r="C229" s="443">
        <f t="shared" si="25"/>
        <v>-90</v>
      </c>
      <c r="D229" s="443">
        <f t="shared" si="25"/>
        <v>-90</v>
      </c>
      <c r="E229" s="32">
        <f t="shared" si="27"/>
        <v>8.0999999999999996E-3</v>
      </c>
      <c r="F229" s="440">
        <f>G30</f>
        <v>0</v>
      </c>
      <c r="G229" s="126">
        <f t="shared" si="28"/>
        <v>148</v>
      </c>
      <c r="H229" s="440">
        <f t="shared" si="29"/>
        <v>0</v>
      </c>
      <c r="I229" s="437" t="s">
        <v>162</v>
      </c>
      <c r="J229" s="123"/>
      <c r="K229" s="123"/>
      <c r="L229" s="123"/>
    </row>
    <row r="230" spans="2:13" ht="18" customHeight="1">
      <c r="B230" s="124" t="str">
        <f t="shared" si="26"/>
        <v>6单银Low-E+12A+6</v>
      </c>
      <c r="C230" s="443">
        <f t="shared" ref="C230:D232" si="30">D101</f>
        <v>288</v>
      </c>
      <c r="D230" s="443">
        <f t="shared" si="30"/>
        <v>853</v>
      </c>
      <c r="E230" s="32">
        <f t="shared" si="27"/>
        <v>0.24566399999999999</v>
      </c>
      <c r="F230" s="440">
        <f>G101</f>
        <v>2</v>
      </c>
      <c r="G230" s="126">
        <f t="shared" si="28"/>
        <v>148</v>
      </c>
      <c r="H230" s="440">
        <f t="shared" si="29"/>
        <v>72.72</v>
      </c>
      <c r="I230" s="127" t="s">
        <v>163</v>
      </c>
      <c r="J230" s="123"/>
      <c r="K230" s="123"/>
      <c r="L230" s="123"/>
    </row>
    <row r="231" spans="2:13" ht="18" customHeight="1">
      <c r="B231" s="124" t="str">
        <f t="shared" si="26"/>
        <v>6单银Low-E+12A+6</v>
      </c>
      <c r="C231" s="443">
        <f t="shared" si="30"/>
        <v>-122</v>
      </c>
      <c r="D231" s="443">
        <f t="shared" si="30"/>
        <v>-122</v>
      </c>
      <c r="E231" s="32">
        <f t="shared" si="27"/>
        <v>1.4884E-2</v>
      </c>
      <c r="F231" s="440">
        <f>G102</f>
        <v>0</v>
      </c>
      <c r="G231" s="126">
        <f t="shared" si="28"/>
        <v>148</v>
      </c>
      <c r="H231" s="440">
        <f t="shared" si="29"/>
        <v>0</v>
      </c>
      <c r="I231" s="127" t="s">
        <v>163</v>
      </c>
    </row>
    <row r="232" spans="2:13" ht="18" customHeight="1">
      <c r="B232" s="124" t="str">
        <f t="shared" si="26"/>
        <v>6单银Low-E+12A+6</v>
      </c>
      <c r="C232" s="443">
        <f t="shared" si="30"/>
        <v>-122</v>
      </c>
      <c r="D232" s="443">
        <f t="shared" si="30"/>
        <v>-122</v>
      </c>
      <c r="E232" s="32">
        <f t="shared" si="27"/>
        <v>1.4884E-2</v>
      </c>
      <c r="F232" s="440">
        <f>G103</f>
        <v>0</v>
      </c>
      <c r="G232" s="126">
        <f t="shared" si="28"/>
        <v>148</v>
      </c>
      <c r="H232" s="440">
        <f t="shared" si="29"/>
        <v>0</v>
      </c>
      <c r="I232" s="127" t="s">
        <v>163</v>
      </c>
    </row>
    <row r="233" spans="2:13" ht="18" customHeight="1">
      <c r="B233" s="48" t="s">
        <v>164</v>
      </c>
      <c r="C233" s="52"/>
      <c r="D233" s="50"/>
      <c r="E233" s="128"/>
      <c r="F233" s="50">
        <f>SUM(F225:F232)</f>
        <v>2</v>
      </c>
      <c r="G233" s="50"/>
      <c r="H233" s="52">
        <f>SUM(H225:H232)</f>
        <v>72.72</v>
      </c>
      <c r="I233" s="53">
        <f>ROUND((E225*F225+E226*F226+E227*F227+E228*F228+E229*F229+E230*F230+E231*F231+E232*F232),2)</f>
        <v>0.49</v>
      </c>
    </row>
    <row r="234" spans="2:13" ht="18" customHeight="1">
      <c r="B234" s="124" t="str">
        <f>B232</f>
        <v>6单银Low-E+12A+6</v>
      </c>
      <c r="C234" s="443">
        <f>C225</f>
        <v>-90</v>
      </c>
      <c r="D234" s="443">
        <f>D225</f>
        <v>-90</v>
      </c>
      <c r="E234" s="32">
        <f t="shared" si="27"/>
        <v>8.0999999999999996E-3</v>
      </c>
      <c r="F234" s="440">
        <f>IF(F225=0,G26,0)</f>
        <v>0</v>
      </c>
      <c r="G234" s="126">
        <f>G232</f>
        <v>148</v>
      </c>
      <c r="H234" s="440">
        <f t="shared" si="29"/>
        <v>0</v>
      </c>
      <c r="I234" s="437" t="s">
        <v>165</v>
      </c>
      <c r="J234" s="129"/>
    </row>
    <row r="235" spans="2:13" ht="18" customHeight="1">
      <c r="B235" s="124" t="str">
        <f t="shared" ref="B235:B241" si="31">B234</f>
        <v>6单银Low-E+12A+6</v>
      </c>
      <c r="C235" s="443">
        <f t="shared" ref="C235:D241" si="32">C226</f>
        <v>-90</v>
      </c>
      <c r="D235" s="443">
        <f t="shared" si="32"/>
        <v>-90</v>
      </c>
      <c r="E235" s="32">
        <f t="shared" si="27"/>
        <v>8.0999999999999996E-3</v>
      </c>
      <c r="F235" s="440">
        <f>IF(F226=0,G27,0)</f>
        <v>0</v>
      </c>
      <c r="G235" s="126">
        <f>G234</f>
        <v>148</v>
      </c>
      <c r="H235" s="440">
        <f t="shared" si="29"/>
        <v>0</v>
      </c>
      <c r="I235" s="437" t="s">
        <v>165</v>
      </c>
      <c r="J235" s="129"/>
    </row>
    <row r="236" spans="2:13" ht="18" customHeight="1">
      <c r="B236" s="124" t="str">
        <f t="shared" si="31"/>
        <v>6单银Low-E+12A+6</v>
      </c>
      <c r="C236" s="443">
        <f t="shared" si="32"/>
        <v>-90</v>
      </c>
      <c r="D236" s="443">
        <f t="shared" si="32"/>
        <v>-90</v>
      </c>
      <c r="E236" s="32">
        <f t="shared" si="27"/>
        <v>8.0999999999999996E-3</v>
      </c>
      <c r="F236" s="440">
        <f>IF(F227=0,G28,0)</f>
        <v>0</v>
      </c>
      <c r="G236" s="126">
        <f t="shared" ref="G236:G241" si="33">G234</f>
        <v>148</v>
      </c>
      <c r="H236" s="440">
        <f t="shared" si="29"/>
        <v>0</v>
      </c>
      <c r="I236" s="437" t="s">
        <v>165</v>
      </c>
      <c r="J236" s="129"/>
    </row>
    <row r="237" spans="2:13" ht="18" customHeight="1">
      <c r="B237" s="124" t="str">
        <f t="shared" si="31"/>
        <v>6单银Low-E+12A+6</v>
      </c>
      <c r="C237" s="443">
        <f t="shared" si="32"/>
        <v>-90</v>
      </c>
      <c r="D237" s="443">
        <f t="shared" si="32"/>
        <v>-90</v>
      </c>
      <c r="E237" s="32">
        <f t="shared" si="27"/>
        <v>8.0999999999999996E-3</v>
      </c>
      <c r="F237" s="440">
        <f>IF(F228=0,G29,0)</f>
        <v>0</v>
      </c>
      <c r="G237" s="126">
        <f t="shared" si="33"/>
        <v>148</v>
      </c>
      <c r="H237" s="440">
        <f t="shared" si="29"/>
        <v>0</v>
      </c>
      <c r="I237" s="437" t="s">
        <v>165</v>
      </c>
      <c r="J237" s="129"/>
    </row>
    <row r="238" spans="2:13" ht="18" customHeight="1">
      <c r="B238" s="124" t="str">
        <f t="shared" si="31"/>
        <v>6单银Low-E+12A+6</v>
      </c>
      <c r="C238" s="443">
        <f t="shared" si="32"/>
        <v>-90</v>
      </c>
      <c r="D238" s="443">
        <f t="shared" si="32"/>
        <v>-90</v>
      </c>
      <c r="E238" s="32">
        <f t="shared" si="27"/>
        <v>8.0999999999999996E-3</v>
      </c>
      <c r="F238" s="440">
        <f>IF(F229=0,G30,0)</f>
        <v>0</v>
      </c>
      <c r="G238" s="126">
        <f t="shared" si="33"/>
        <v>148</v>
      </c>
      <c r="H238" s="440">
        <f t="shared" si="29"/>
        <v>0</v>
      </c>
      <c r="I238" s="437" t="s">
        <v>165</v>
      </c>
      <c r="J238" s="129"/>
    </row>
    <row r="239" spans="2:13" ht="18" customHeight="1">
      <c r="B239" s="124" t="str">
        <f t="shared" si="31"/>
        <v>6单银Low-E+12A+6</v>
      </c>
      <c r="C239" s="443">
        <f t="shared" si="32"/>
        <v>288</v>
      </c>
      <c r="D239" s="443">
        <f t="shared" si="32"/>
        <v>853</v>
      </c>
      <c r="E239" s="32">
        <f t="shared" si="27"/>
        <v>0.24566399999999999</v>
      </c>
      <c r="F239" s="440">
        <f>IF(F230=0,G35,0)</f>
        <v>0</v>
      </c>
      <c r="G239" s="126">
        <f t="shared" si="33"/>
        <v>148</v>
      </c>
      <c r="H239" s="440">
        <f t="shared" si="29"/>
        <v>0</v>
      </c>
      <c r="I239" s="127" t="s">
        <v>166</v>
      </c>
      <c r="J239" s="129"/>
    </row>
    <row r="240" spans="2:13" ht="18" customHeight="1">
      <c r="B240" s="124" t="str">
        <f t="shared" si="31"/>
        <v>6单银Low-E+12A+6</v>
      </c>
      <c r="C240" s="443">
        <f t="shared" si="32"/>
        <v>-122</v>
      </c>
      <c r="D240" s="443">
        <f t="shared" si="32"/>
        <v>-122</v>
      </c>
      <c r="E240" s="32">
        <f t="shared" si="27"/>
        <v>1.4884E-2</v>
      </c>
      <c r="F240" s="440">
        <f>IF(F231=0,G36,0)</f>
        <v>0</v>
      </c>
      <c r="G240" s="126">
        <f t="shared" si="33"/>
        <v>148</v>
      </c>
      <c r="H240" s="440">
        <f t="shared" si="29"/>
        <v>0</v>
      </c>
      <c r="I240" s="127" t="s">
        <v>166</v>
      </c>
      <c r="J240" s="129"/>
    </row>
    <row r="241" spans="1:16" ht="18" customHeight="1">
      <c r="B241" s="124" t="str">
        <f t="shared" si="31"/>
        <v>6单银Low-E+12A+6</v>
      </c>
      <c r="C241" s="443">
        <f t="shared" si="32"/>
        <v>-122</v>
      </c>
      <c r="D241" s="443">
        <f t="shared" si="32"/>
        <v>-122</v>
      </c>
      <c r="E241" s="32">
        <f t="shared" si="27"/>
        <v>1.4884E-2</v>
      </c>
      <c r="F241" s="440">
        <f>IF(F232=0,G37,0)</f>
        <v>0</v>
      </c>
      <c r="G241" s="126">
        <f t="shared" si="33"/>
        <v>148</v>
      </c>
      <c r="H241" s="440">
        <f t="shared" si="29"/>
        <v>0</v>
      </c>
      <c r="I241" s="127" t="s">
        <v>166</v>
      </c>
      <c r="J241" s="129"/>
    </row>
    <row r="242" spans="1:16" s="43" customFormat="1" ht="18" customHeight="1">
      <c r="A242" s="1"/>
      <c r="B242" s="48" t="s">
        <v>167</v>
      </c>
      <c r="C242" s="52"/>
      <c r="D242" s="50"/>
      <c r="E242" s="128"/>
      <c r="F242" s="50">
        <f>SUM(F234:F241)</f>
        <v>0</v>
      </c>
      <c r="G242" s="50"/>
      <c r="H242" s="52">
        <f>SUM(H234:H241)</f>
        <v>0</v>
      </c>
      <c r="I242" s="53">
        <f>ROUND(SUMPRODUCT(E234:E241*F234:F241),2)</f>
        <v>0</v>
      </c>
      <c r="J242" s="129"/>
      <c r="N242" s="255"/>
      <c r="O242" s="255"/>
      <c r="P242" s="255"/>
    </row>
    <row r="243" spans="1:16" s="43" customFormat="1" ht="18" customHeight="1">
      <c r="A243" s="1"/>
      <c r="B243" s="124" t="str">
        <f>B240</f>
        <v>6单银Low-E+12A+6</v>
      </c>
      <c r="C243" s="443">
        <f t="shared" ref="C243:D249" si="34">D68-12</f>
        <v>936</v>
      </c>
      <c r="D243" s="443">
        <f t="shared" si="34"/>
        <v>466</v>
      </c>
      <c r="E243" s="32">
        <f t="shared" si="27"/>
        <v>0.43617600000000001</v>
      </c>
      <c r="F243" s="82">
        <f t="shared" ref="F243:F249" si="35">G68</f>
        <v>1</v>
      </c>
      <c r="G243" s="130">
        <f>G241</f>
        <v>148</v>
      </c>
      <c r="H243" s="440">
        <f t="shared" ref="H243:H249" si="36">ROUND(E243*G243*F243,2)</f>
        <v>64.55</v>
      </c>
      <c r="I243" s="437" t="s">
        <v>168</v>
      </c>
      <c r="J243" s="129"/>
      <c r="N243" s="255"/>
      <c r="O243" s="255"/>
      <c r="P243" s="255"/>
    </row>
    <row r="244" spans="1:16" s="43" customFormat="1" ht="18" customHeight="1">
      <c r="A244" s="1"/>
      <c r="B244" s="124" t="str">
        <f t="shared" ref="B244:B249" si="37">B243</f>
        <v>6单银Low-E+12A+6</v>
      </c>
      <c r="C244" s="443">
        <f t="shared" si="34"/>
        <v>444</v>
      </c>
      <c r="D244" s="443">
        <f t="shared" si="34"/>
        <v>909</v>
      </c>
      <c r="E244" s="32">
        <f t="shared" si="27"/>
        <v>0.40359600000000001</v>
      </c>
      <c r="F244" s="82">
        <f t="shared" si="35"/>
        <v>2</v>
      </c>
      <c r="G244" s="130">
        <f t="shared" ref="G244:G249" si="38">G243</f>
        <v>148</v>
      </c>
      <c r="H244" s="440">
        <f t="shared" si="36"/>
        <v>119.46</v>
      </c>
      <c r="I244" s="437" t="s">
        <v>168</v>
      </c>
      <c r="J244" s="129"/>
      <c r="N244" s="255"/>
      <c r="O244" s="255"/>
      <c r="P244" s="255"/>
    </row>
    <row r="245" spans="1:16" s="43" customFormat="1" ht="18" customHeight="1">
      <c r="A245" s="1"/>
      <c r="B245" s="124" t="str">
        <f t="shared" si="37"/>
        <v>6单银Low-E+12A+6</v>
      </c>
      <c r="C245" s="443">
        <f t="shared" si="34"/>
        <v>-12</v>
      </c>
      <c r="D245" s="443">
        <f t="shared" si="34"/>
        <v>-12</v>
      </c>
      <c r="E245" s="32">
        <f t="shared" si="27"/>
        <v>1.44E-4</v>
      </c>
      <c r="F245" s="82">
        <f t="shared" si="35"/>
        <v>0</v>
      </c>
      <c r="G245" s="130">
        <f t="shared" si="38"/>
        <v>148</v>
      </c>
      <c r="H245" s="440">
        <f t="shared" si="36"/>
        <v>0</v>
      </c>
      <c r="I245" s="437" t="s">
        <v>168</v>
      </c>
      <c r="J245" s="129"/>
      <c r="N245" s="255"/>
      <c r="O245" s="255"/>
      <c r="P245" s="255"/>
    </row>
    <row r="246" spans="1:16" s="43" customFormat="1" ht="18" customHeight="1">
      <c r="A246" s="1"/>
      <c r="B246" s="124" t="str">
        <f t="shared" si="37"/>
        <v>6单银Low-E+12A+6</v>
      </c>
      <c r="C246" s="443">
        <f t="shared" si="34"/>
        <v>-12</v>
      </c>
      <c r="D246" s="443">
        <f t="shared" si="34"/>
        <v>-12</v>
      </c>
      <c r="E246" s="32">
        <f t="shared" si="27"/>
        <v>1.44E-4</v>
      </c>
      <c r="F246" s="82">
        <f t="shared" si="35"/>
        <v>0</v>
      </c>
      <c r="G246" s="130">
        <f t="shared" si="38"/>
        <v>148</v>
      </c>
      <c r="H246" s="440">
        <f t="shared" si="36"/>
        <v>0</v>
      </c>
      <c r="I246" s="437" t="s">
        <v>168</v>
      </c>
      <c r="J246" s="129"/>
      <c r="N246" s="255"/>
      <c r="O246" s="255"/>
      <c r="P246" s="255"/>
    </row>
    <row r="247" spans="1:16" s="43" customFormat="1" ht="18" customHeight="1">
      <c r="A247" s="1"/>
      <c r="B247" s="124" t="str">
        <f t="shared" si="37"/>
        <v>6单银Low-E+12A+6</v>
      </c>
      <c r="C247" s="443">
        <f t="shared" si="34"/>
        <v>-12</v>
      </c>
      <c r="D247" s="443">
        <f t="shared" si="34"/>
        <v>-12</v>
      </c>
      <c r="E247" s="32">
        <f t="shared" si="27"/>
        <v>1.44E-4</v>
      </c>
      <c r="F247" s="82">
        <f t="shared" si="35"/>
        <v>0</v>
      </c>
      <c r="G247" s="130">
        <f t="shared" si="38"/>
        <v>148</v>
      </c>
      <c r="H247" s="440">
        <f t="shared" si="36"/>
        <v>0</v>
      </c>
      <c r="I247" s="437" t="s">
        <v>168</v>
      </c>
      <c r="J247" s="129"/>
      <c r="N247" s="255"/>
      <c r="O247" s="255"/>
      <c r="P247" s="255"/>
    </row>
    <row r="248" spans="1:16" s="43" customFormat="1" ht="18" customHeight="1">
      <c r="A248" s="1"/>
      <c r="B248" s="124" t="str">
        <f t="shared" si="37"/>
        <v>6单银Low-E+12A+6</v>
      </c>
      <c r="C248" s="443">
        <f t="shared" si="34"/>
        <v>-12</v>
      </c>
      <c r="D248" s="443">
        <f t="shared" si="34"/>
        <v>-12</v>
      </c>
      <c r="E248" s="32">
        <f t="shared" si="27"/>
        <v>1.44E-4</v>
      </c>
      <c r="F248" s="82">
        <f t="shared" si="35"/>
        <v>0</v>
      </c>
      <c r="G248" s="130">
        <f t="shared" si="38"/>
        <v>148</v>
      </c>
      <c r="H248" s="440">
        <f t="shared" si="36"/>
        <v>0</v>
      </c>
      <c r="I248" s="437" t="s">
        <v>168</v>
      </c>
      <c r="J248" s="129"/>
      <c r="N248" s="255"/>
      <c r="O248" s="255"/>
      <c r="P248" s="255"/>
    </row>
    <row r="249" spans="1:16" s="43" customFormat="1" ht="18" customHeight="1">
      <c r="A249" s="1"/>
      <c r="B249" s="124" t="str">
        <f t="shared" si="37"/>
        <v>6单银Low-E+12A+6</v>
      </c>
      <c r="C249" s="443">
        <f t="shared" si="34"/>
        <v>-12</v>
      </c>
      <c r="D249" s="443">
        <f t="shared" si="34"/>
        <v>-12</v>
      </c>
      <c r="E249" s="32">
        <f t="shared" si="27"/>
        <v>1.44E-4</v>
      </c>
      <c r="F249" s="82">
        <f t="shared" si="35"/>
        <v>0</v>
      </c>
      <c r="G249" s="130">
        <f t="shared" si="38"/>
        <v>148</v>
      </c>
      <c r="H249" s="440">
        <f t="shared" si="36"/>
        <v>0</v>
      </c>
      <c r="I249" s="437" t="s">
        <v>168</v>
      </c>
      <c r="J249" s="129"/>
      <c r="N249" s="255"/>
      <c r="O249" s="255"/>
      <c r="P249" s="255"/>
    </row>
    <row r="250" spans="1:16" s="43" customFormat="1" ht="18" customHeight="1">
      <c r="A250" s="1"/>
      <c r="B250" s="131" t="str">
        <f>B246</f>
        <v>6单银Low-E+12A+6</v>
      </c>
      <c r="C250" s="52"/>
      <c r="D250" s="50"/>
      <c r="E250" s="128"/>
      <c r="F250" s="50">
        <f>SUM(F243:F249)</f>
        <v>3</v>
      </c>
      <c r="G250" s="50"/>
      <c r="H250" s="52">
        <f>SUM(H243:H249)</f>
        <v>184.01</v>
      </c>
      <c r="I250" s="53">
        <f>ROUND((E243*F243+E244*F244+E245*F245+E246*F246+E247*F247+E248*F248+E249*F249),2)</f>
        <v>1.24</v>
      </c>
      <c r="J250" s="43">
        <f>(I242+I258+I273+I280)</f>
        <v>0</v>
      </c>
      <c r="N250" s="255"/>
      <c r="O250" s="255"/>
      <c r="P250" s="255"/>
    </row>
    <row r="251" spans="1:16" s="43" customFormat="1" ht="18" customHeight="1">
      <c r="A251" s="1"/>
      <c r="B251" s="124" t="str">
        <f>B249</f>
        <v>6单银Low-E+12A+6</v>
      </c>
      <c r="C251" s="443">
        <f t="shared" ref="C251:D257" si="39">D75-12</f>
        <v>-12</v>
      </c>
      <c r="D251" s="443">
        <f t="shared" si="39"/>
        <v>-12</v>
      </c>
      <c r="E251" s="32">
        <f t="shared" si="27"/>
        <v>1.44E-4</v>
      </c>
      <c r="F251" s="82">
        <f t="shared" ref="F251:F257" si="40">G75</f>
        <v>0</v>
      </c>
      <c r="G251" s="130">
        <f>G249</f>
        <v>148</v>
      </c>
      <c r="H251" s="440">
        <f>ROUND(E251*G251*F251,2)</f>
        <v>0</v>
      </c>
      <c r="I251" s="132" t="s">
        <v>169</v>
      </c>
      <c r="N251" s="255"/>
      <c r="O251" s="255"/>
      <c r="P251" s="255"/>
    </row>
    <row r="252" spans="1:16" s="43" customFormat="1" ht="18" customHeight="1">
      <c r="A252" s="1"/>
      <c r="B252" s="124" t="str">
        <f t="shared" ref="B252:B257" si="41">B251</f>
        <v>6单银Low-E+12A+6</v>
      </c>
      <c r="C252" s="443">
        <f t="shared" si="39"/>
        <v>-12</v>
      </c>
      <c r="D252" s="443">
        <f t="shared" si="39"/>
        <v>-12</v>
      </c>
      <c r="E252" s="32">
        <f t="shared" si="27"/>
        <v>1.44E-4</v>
      </c>
      <c r="F252" s="82">
        <f t="shared" si="40"/>
        <v>0</v>
      </c>
      <c r="G252" s="130">
        <f t="shared" ref="G252:G257" si="42">G251</f>
        <v>148</v>
      </c>
      <c r="H252" s="440">
        <f t="shared" ref="H252:H264" si="43">ROUND(E252*G252*F252,2)</f>
        <v>0</v>
      </c>
      <c r="I252" s="132" t="str">
        <f t="shared" ref="I252:I257" si="44">I251</f>
        <v>固定钢化中空</v>
      </c>
      <c r="N252" s="255"/>
      <c r="O252" s="255"/>
      <c r="P252" s="255"/>
    </row>
    <row r="253" spans="1:16" s="43" customFormat="1" ht="18" customHeight="1">
      <c r="A253" s="1"/>
      <c r="B253" s="124" t="str">
        <f t="shared" si="41"/>
        <v>6单银Low-E+12A+6</v>
      </c>
      <c r="C253" s="443">
        <f t="shared" si="39"/>
        <v>-12</v>
      </c>
      <c r="D253" s="443">
        <f t="shared" si="39"/>
        <v>-12</v>
      </c>
      <c r="E253" s="32">
        <f t="shared" si="27"/>
        <v>1.44E-4</v>
      </c>
      <c r="F253" s="82">
        <f t="shared" si="40"/>
        <v>0</v>
      </c>
      <c r="G253" s="130">
        <f t="shared" si="42"/>
        <v>148</v>
      </c>
      <c r="H253" s="440">
        <f t="shared" si="43"/>
        <v>0</v>
      </c>
      <c r="I253" s="132" t="str">
        <f t="shared" si="44"/>
        <v>固定钢化中空</v>
      </c>
      <c r="N253" s="255"/>
      <c r="O253" s="255"/>
      <c r="P253" s="255"/>
    </row>
    <row r="254" spans="1:16" s="43" customFormat="1" ht="18" customHeight="1">
      <c r="A254" s="1"/>
      <c r="B254" s="124" t="str">
        <f t="shared" si="41"/>
        <v>6单银Low-E+12A+6</v>
      </c>
      <c r="C254" s="443">
        <f t="shared" si="39"/>
        <v>-12</v>
      </c>
      <c r="D254" s="443">
        <f t="shared" si="39"/>
        <v>-12</v>
      </c>
      <c r="E254" s="32">
        <f t="shared" si="27"/>
        <v>1.44E-4</v>
      </c>
      <c r="F254" s="82">
        <f t="shared" si="40"/>
        <v>0</v>
      </c>
      <c r="G254" s="130">
        <f t="shared" si="42"/>
        <v>148</v>
      </c>
      <c r="H254" s="440">
        <f t="shared" si="43"/>
        <v>0</v>
      </c>
      <c r="I254" s="132" t="str">
        <f t="shared" si="44"/>
        <v>固定钢化中空</v>
      </c>
      <c r="J254" s="42"/>
      <c r="N254" s="255"/>
      <c r="O254" s="255"/>
      <c r="P254" s="255"/>
    </row>
    <row r="255" spans="1:16" s="43" customFormat="1" ht="18" customHeight="1">
      <c r="A255" s="1"/>
      <c r="B255" s="124" t="str">
        <f t="shared" si="41"/>
        <v>6单银Low-E+12A+6</v>
      </c>
      <c r="C255" s="443">
        <f t="shared" si="39"/>
        <v>-12</v>
      </c>
      <c r="D255" s="443">
        <f t="shared" si="39"/>
        <v>-12</v>
      </c>
      <c r="E255" s="32">
        <f t="shared" si="27"/>
        <v>1.44E-4</v>
      </c>
      <c r="F255" s="82">
        <f t="shared" si="40"/>
        <v>0</v>
      </c>
      <c r="G255" s="130">
        <f t="shared" si="42"/>
        <v>148</v>
      </c>
      <c r="H255" s="440">
        <f t="shared" si="43"/>
        <v>0</v>
      </c>
      <c r="I255" s="132" t="str">
        <f t="shared" si="44"/>
        <v>固定钢化中空</v>
      </c>
      <c r="N255" s="255"/>
      <c r="O255" s="255"/>
      <c r="P255" s="255"/>
    </row>
    <row r="256" spans="1:16" s="43" customFormat="1" ht="18" customHeight="1">
      <c r="A256" s="1"/>
      <c r="B256" s="124" t="str">
        <f t="shared" si="41"/>
        <v>6单银Low-E+12A+6</v>
      </c>
      <c r="C256" s="443">
        <f t="shared" si="39"/>
        <v>-12</v>
      </c>
      <c r="D256" s="443">
        <f t="shared" si="39"/>
        <v>-12</v>
      </c>
      <c r="E256" s="32">
        <f t="shared" si="27"/>
        <v>1.44E-4</v>
      </c>
      <c r="F256" s="82">
        <f t="shared" si="40"/>
        <v>0</v>
      </c>
      <c r="G256" s="130">
        <f t="shared" si="42"/>
        <v>148</v>
      </c>
      <c r="H256" s="440">
        <f t="shared" si="43"/>
        <v>0</v>
      </c>
      <c r="I256" s="132" t="str">
        <f t="shared" si="44"/>
        <v>固定钢化中空</v>
      </c>
      <c r="N256" s="255"/>
      <c r="O256" s="255"/>
      <c r="P256" s="255"/>
    </row>
    <row r="257" spans="1:16" s="43" customFormat="1" ht="18" customHeight="1">
      <c r="A257" s="1"/>
      <c r="B257" s="124" t="str">
        <f t="shared" si="41"/>
        <v>6单银Low-E+12A+6</v>
      </c>
      <c r="C257" s="443">
        <f t="shared" si="39"/>
        <v>-12</v>
      </c>
      <c r="D257" s="443">
        <f t="shared" si="39"/>
        <v>-12</v>
      </c>
      <c r="E257" s="32">
        <f t="shared" si="27"/>
        <v>1.44E-4</v>
      </c>
      <c r="F257" s="82">
        <f t="shared" si="40"/>
        <v>0</v>
      </c>
      <c r="G257" s="130">
        <f t="shared" si="42"/>
        <v>148</v>
      </c>
      <c r="H257" s="440">
        <f t="shared" si="43"/>
        <v>0</v>
      </c>
      <c r="I257" s="132" t="str">
        <f t="shared" si="44"/>
        <v>固定钢化中空</v>
      </c>
      <c r="N257" s="255"/>
      <c r="O257" s="255"/>
      <c r="P257" s="255"/>
    </row>
    <row r="258" spans="1:16" s="43" customFormat="1" ht="18" customHeight="1">
      <c r="A258" s="1"/>
      <c r="B258" s="48" t="s">
        <v>170</v>
      </c>
      <c r="C258" s="52"/>
      <c r="D258" s="50"/>
      <c r="E258" s="128"/>
      <c r="F258" s="50">
        <f>SUM(F251:F257)</f>
        <v>0</v>
      </c>
      <c r="G258" s="50"/>
      <c r="H258" s="52">
        <f>SUM(H251:H257)</f>
        <v>0</v>
      </c>
      <c r="I258" s="53">
        <f>ROUND((E251*F251+E252*F252+E253*F253+E254*F254+E255*F255+E256*F256+E257*F257),2)</f>
        <v>0</v>
      </c>
      <c r="N258" s="255"/>
      <c r="O258" s="255"/>
      <c r="P258" s="255"/>
    </row>
    <row r="259" spans="1:16" s="43" customFormat="1" ht="18" customHeight="1">
      <c r="A259" s="1"/>
      <c r="B259" s="124" t="str">
        <f>B257</f>
        <v>6单银Low-E+12A+6</v>
      </c>
      <c r="C259" s="443">
        <f t="shared" ref="C259:D264" si="45">D82-12</f>
        <v>-12</v>
      </c>
      <c r="D259" s="443">
        <f t="shared" si="45"/>
        <v>-12</v>
      </c>
      <c r="E259" s="32">
        <f t="shared" si="27"/>
        <v>1.44E-4</v>
      </c>
      <c r="F259" s="82">
        <f t="shared" ref="F259:F264" si="46">G82</f>
        <v>0</v>
      </c>
      <c r="G259" s="130">
        <f>G257</f>
        <v>148</v>
      </c>
      <c r="H259" s="440">
        <f t="shared" si="43"/>
        <v>0</v>
      </c>
      <c r="I259" s="437" t="s">
        <v>171</v>
      </c>
      <c r="N259" s="255"/>
      <c r="O259" s="255"/>
      <c r="P259" s="255"/>
    </row>
    <row r="260" spans="1:16" s="43" customFormat="1" ht="18" customHeight="1">
      <c r="A260" s="1"/>
      <c r="B260" s="124" t="str">
        <f>B259</f>
        <v>6单银Low-E+12A+6</v>
      </c>
      <c r="C260" s="443">
        <f t="shared" si="45"/>
        <v>-12</v>
      </c>
      <c r="D260" s="443">
        <f t="shared" si="45"/>
        <v>-12</v>
      </c>
      <c r="E260" s="32">
        <f t="shared" si="27"/>
        <v>1.44E-4</v>
      </c>
      <c r="F260" s="82">
        <f t="shared" si="46"/>
        <v>0</v>
      </c>
      <c r="G260" s="130">
        <f>G259</f>
        <v>148</v>
      </c>
      <c r="H260" s="440">
        <f t="shared" si="43"/>
        <v>0</v>
      </c>
      <c r="I260" s="437" t="s">
        <v>171</v>
      </c>
      <c r="N260" s="255"/>
      <c r="O260" s="255"/>
      <c r="P260" s="255"/>
    </row>
    <row r="261" spans="1:16" s="43" customFormat="1" ht="18" customHeight="1">
      <c r="A261" s="1"/>
      <c r="B261" s="124" t="str">
        <f>B260</f>
        <v>6单银Low-E+12A+6</v>
      </c>
      <c r="C261" s="443">
        <f t="shared" si="45"/>
        <v>-12</v>
      </c>
      <c r="D261" s="443">
        <f t="shared" si="45"/>
        <v>-12</v>
      </c>
      <c r="E261" s="32">
        <f t="shared" si="27"/>
        <v>1.44E-4</v>
      </c>
      <c r="F261" s="82">
        <f t="shared" si="46"/>
        <v>0</v>
      </c>
      <c r="G261" s="130">
        <f>G260</f>
        <v>148</v>
      </c>
      <c r="H261" s="440">
        <f t="shared" si="43"/>
        <v>0</v>
      </c>
      <c r="I261" s="437" t="s">
        <v>171</v>
      </c>
      <c r="N261" s="255"/>
      <c r="O261" s="255"/>
      <c r="P261" s="255"/>
    </row>
    <row r="262" spans="1:16" s="43" customFormat="1" ht="18" customHeight="1">
      <c r="A262" s="1"/>
      <c r="B262" s="124" t="str">
        <f>B261</f>
        <v>6单银Low-E+12A+6</v>
      </c>
      <c r="C262" s="443">
        <f t="shared" si="45"/>
        <v>-12</v>
      </c>
      <c r="D262" s="443">
        <f t="shared" si="45"/>
        <v>-12</v>
      </c>
      <c r="E262" s="32">
        <f t="shared" si="27"/>
        <v>1.44E-4</v>
      </c>
      <c r="F262" s="82">
        <f t="shared" si="46"/>
        <v>0</v>
      </c>
      <c r="G262" s="130">
        <f>G261</f>
        <v>148</v>
      </c>
      <c r="H262" s="440">
        <f t="shared" si="43"/>
        <v>0</v>
      </c>
      <c r="I262" s="437" t="s">
        <v>171</v>
      </c>
      <c r="N262" s="255"/>
      <c r="O262" s="255"/>
      <c r="P262" s="255"/>
    </row>
    <row r="263" spans="1:16" s="43" customFormat="1" ht="18" customHeight="1">
      <c r="A263" s="1"/>
      <c r="B263" s="124" t="str">
        <f>B262</f>
        <v>6单银Low-E+12A+6</v>
      </c>
      <c r="C263" s="443">
        <f t="shared" si="45"/>
        <v>-12</v>
      </c>
      <c r="D263" s="443">
        <f t="shared" si="45"/>
        <v>-12</v>
      </c>
      <c r="E263" s="32">
        <f t="shared" si="27"/>
        <v>1.44E-4</v>
      </c>
      <c r="F263" s="82">
        <f t="shared" si="46"/>
        <v>0</v>
      </c>
      <c r="G263" s="130">
        <f>G262</f>
        <v>148</v>
      </c>
      <c r="H263" s="440">
        <f t="shared" si="43"/>
        <v>0</v>
      </c>
      <c r="I263" s="437" t="s">
        <v>171</v>
      </c>
      <c r="N263" s="255"/>
      <c r="O263" s="255"/>
      <c r="P263" s="255"/>
    </row>
    <row r="264" spans="1:16" s="43" customFormat="1" ht="18" customHeight="1">
      <c r="A264" s="1"/>
      <c r="B264" s="124" t="str">
        <f>B263</f>
        <v>6单银Low-E+12A+6</v>
      </c>
      <c r="C264" s="443">
        <f t="shared" si="45"/>
        <v>-12</v>
      </c>
      <c r="D264" s="443">
        <f t="shared" si="45"/>
        <v>-12</v>
      </c>
      <c r="E264" s="32">
        <f t="shared" si="27"/>
        <v>1.44E-4</v>
      </c>
      <c r="F264" s="82">
        <f t="shared" si="46"/>
        <v>0</v>
      </c>
      <c r="G264" s="130">
        <f>G263</f>
        <v>148</v>
      </c>
      <c r="H264" s="440">
        <f t="shared" si="43"/>
        <v>0</v>
      </c>
      <c r="I264" s="437" t="s">
        <v>171</v>
      </c>
      <c r="N264" s="255"/>
      <c r="O264" s="255"/>
      <c r="P264" s="255"/>
    </row>
    <row r="265" spans="1:16" s="43" customFormat="1" ht="18" customHeight="1">
      <c r="A265" s="1"/>
      <c r="B265" s="48" t="s">
        <v>172</v>
      </c>
      <c r="C265" s="52"/>
      <c r="D265" s="50"/>
      <c r="E265" s="128"/>
      <c r="F265" s="50">
        <f>SUM(F259:F264)</f>
        <v>0</v>
      </c>
      <c r="G265" s="50"/>
      <c r="H265" s="52">
        <f>SUM(H259:H264)</f>
        <v>0</v>
      </c>
      <c r="I265" s="53">
        <f>ROUND(SUMPRODUCT(E259:E264*F259:F264),2)</f>
        <v>0</v>
      </c>
      <c r="N265" s="255"/>
      <c r="O265" s="255"/>
      <c r="P265" s="255"/>
    </row>
    <row r="266" spans="1:16" s="43" customFormat="1" ht="18" customHeight="1">
      <c r="A266" s="1"/>
      <c r="B266" s="124" t="str">
        <f>B264</f>
        <v>6单银Low-E+12A+6</v>
      </c>
      <c r="C266" s="133">
        <f t="shared" ref="C266:D268" si="47">D143</f>
        <v>-154</v>
      </c>
      <c r="D266" s="133">
        <f t="shared" si="47"/>
        <v>-154</v>
      </c>
      <c r="E266" s="32">
        <f t="shared" si="27"/>
        <v>2.3716000000000001E-2</v>
      </c>
      <c r="F266" s="134">
        <f>G143</f>
        <v>0</v>
      </c>
      <c r="G266" s="135">
        <f>G264</f>
        <v>148</v>
      </c>
      <c r="H266" s="134">
        <f>ROUND(E266*G266*F266,2)</f>
        <v>0</v>
      </c>
      <c r="I266" s="136" t="s">
        <v>173</v>
      </c>
      <c r="N266" s="255"/>
      <c r="O266" s="255"/>
      <c r="P266" s="255"/>
    </row>
    <row r="267" spans="1:16" s="43" customFormat="1" ht="18" customHeight="1">
      <c r="A267" s="1"/>
      <c r="B267" s="124" t="str">
        <f>B264</f>
        <v>6单银Low-E+12A+6</v>
      </c>
      <c r="C267" s="133">
        <f t="shared" si="47"/>
        <v>-154</v>
      </c>
      <c r="D267" s="133">
        <f t="shared" si="47"/>
        <v>-154</v>
      </c>
      <c r="E267" s="32">
        <f t="shared" si="27"/>
        <v>2.3716000000000001E-2</v>
      </c>
      <c r="F267" s="134">
        <f>G144</f>
        <v>0</v>
      </c>
      <c r="G267" s="135">
        <f>G266</f>
        <v>148</v>
      </c>
      <c r="H267" s="134">
        <f>ROUND(E267*G267*F267,2)</f>
        <v>0</v>
      </c>
      <c r="I267" s="136" t="s">
        <v>173</v>
      </c>
      <c r="N267" s="255"/>
      <c r="O267" s="255"/>
      <c r="P267" s="255"/>
    </row>
    <row r="268" spans="1:16" s="43" customFormat="1" ht="18" customHeight="1">
      <c r="A268" s="1"/>
      <c r="B268" s="124" t="str">
        <f>B267</f>
        <v>6单银Low-E+12A+6</v>
      </c>
      <c r="C268" s="133">
        <f t="shared" si="47"/>
        <v>-154</v>
      </c>
      <c r="D268" s="133">
        <f t="shared" si="47"/>
        <v>-154</v>
      </c>
      <c r="E268" s="32">
        <f t="shared" si="27"/>
        <v>2.3716000000000001E-2</v>
      </c>
      <c r="F268" s="134">
        <f>G145</f>
        <v>0</v>
      </c>
      <c r="G268" s="135">
        <f>G267</f>
        <v>148</v>
      </c>
      <c r="H268" s="134">
        <f>ROUND(E268*G268*F268,2)</f>
        <v>0</v>
      </c>
      <c r="I268" s="136" t="s">
        <v>173</v>
      </c>
      <c r="N268" s="255"/>
      <c r="O268" s="255"/>
      <c r="P268" s="255"/>
    </row>
    <row r="269" spans="1:16" s="43" customFormat="1" ht="18" customHeight="1">
      <c r="A269" s="1"/>
      <c r="B269" s="48" t="s">
        <v>174</v>
      </c>
      <c r="C269" s="52"/>
      <c r="D269" s="50"/>
      <c r="E269" s="128"/>
      <c r="F269" s="50">
        <f>SUM(F266:F268)</f>
        <v>0</v>
      </c>
      <c r="G269" s="50"/>
      <c r="H269" s="52">
        <f>SUM(H266:H268)</f>
        <v>0</v>
      </c>
      <c r="I269" s="53">
        <f>ROUND((E266*F266+E267*F267+E268*F268),2)</f>
        <v>0</v>
      </c>
      <c r="N269" s="255"/>
      <c r="O269" s="255"/>
      <c r="P269" s="255"/>
    </row>
    <row r="270" spans="1:16" s="43" customFormat="1" ht="18" customHeight="1">
      <c r="A270" s="1"/>
      <c r="B270" s="124" t="str">
        <f>B268</f>
        <v>6单银Low-E+12A+6</v>
      </c>
      <c r="C270" s="133">
        <f t="shared" ref="C270:D272" si="48">D150</f>
        <v>-160</v>
      </c>
      <c r="D270" s="133">
        <f t="shared" si="48"/>
        <v>-160</v>
      </c>
      <c r="E270" s="32">
        <f t="shared" si="27"/>
        <v>2.5600000000000001E-2</v>
      </c>
      <c r="F270" s="134">
        <f>G150</f>
        <v>0</v>
      </c>
      <c r="G270" s="135">
        <f>G268</f>
        <v>148</v>
      </c>
      <c r="H270" s="134">
        <f>ROUND(E270*G270*F270,2)</f>
        <v>0</v>
      </c>
      <c r="I270" s="136" t="s">
        <v>173</v>
      </c>
      <c r="N270" s="255"/>
      <c r="O270" s="255"/>
      <c r="P270" s="255"/>
    </row>
    <row r="271" spans="1:16" s="43" customFormat="1" ht="18" customHeight="1">
      <c r="A271" s="1"/>
      <c r="B271" s="124" t="str">
        <f>B270</f>
        <v>6单银Low-E+12A+6</v>
      </c>
      <c r="C271" s="133">
        <f t="shared" si="48"/>
        <v>-160</v>
      </c>
      <c r="D271" s="133">
        <f t="shared" si="48"/>
        <v>-160</v>
      </c>
      <c r="E271" s="32">
        <f t="shared" si="27"/>
        <v>2.5600000000000001E-2</v>
      </c>
      <c r="F271" s="134">
        <f>G151</f>
        <v>0</v>
      </c>
      <c r="G271" s="135">
        <f>G270</f>
        <v>148</v>
      </c>
      <c r="H271" s="134">
        <f>ROUND(E271*G271*F271,2)</f>
        <v>0</v>
      </c>
      <c r="I271" s="136" t="s">
        <v>173</v>
      </c>
      <c r="N271" s="255"/>
      <c r="O271" s="255"/>
      <c r="P271" s="255"/>
    </row>
    <row r="272" spans="1:16" s="43" customFormat="1" ht="18" customHeight="1">
      <c r="A272" s="1"/>
      <c r="B272" s="124" t="str">
        <f>B271</f>
        <v>6单银Low-E+12A+6</v>
      </c>
      <c r="C272" s="133">
        <f t="shared" si="48"/>
        <v>-160</v>
      </c>
      <c r="D272" s="133">
        <f t="shared" si="48"/>
        <v>-160</v>
      </c>
      <c r="E272" s="32">
        <f t="shared" si="27"/>
        <v>2.5600000000000001E-2</v>
      </c>
      <c r="F272" s="134">
        <f>G152</f>
        <v>0</v>
      </c>
      <c r="G272" s="135">
        <f>G271</f>
        <v>148</v>
      </c>
      <c r="H272" s="134">
        <f>ROUND(E272*G272*F272,2)</f>
        <v>0</v>
      </c>
      <c r="I272" s="136" t="s">
        <v>173</v>
      </c>
      <c r="N272" s="255"/>
      <c r="O272" s="255"/>
      <c r="P272" s="255"/>
    </row>
    <row r="273" spans="1:16" s="43" customFormat="1" ht="18" customHeight="1">
      <c r="A273" s="1"/>
      <c r="B273" s="48" t="s">
        <v>175</v>
      </c>
      <c r="C273" s="52"/>
      <c r="D273" s="50"/>
      <c r="E273" s="128"/>
      <c r="F273" s="50">
        <f>SUM(F270:F272)</f>
        <v>0</v>
      </c>
      <c r="G273" s="50"/>
      <c r="H273" s="52">
        <f>SUM(H270:H272)</f>
        <v>0</v>
      </c>
      <c r="I273" s="53">
        <f>ROUND((E270*F270+E271*F271+E272*F272),2)</f>
        <v>0</v>
      </c>
      <c r="N273" s="255"/>
      <c r="O273" s="255"/>
      <c r="P273" s="255"/>
    </row>
    <row r="274" spans="1:16" ht="18" customHeight="1">
      <c r="B274" s="124" t="str">
        <f>B272</f>
        <v>6单银Low-E+12A+6</v>
      </c>
      <c r="C274" s="133">
        <f t="shared" ref="C274:D279" si="49">D157-12</f>
        <v>-12</v>
      </c>
      <c r="D274" s="133">
        <f t="shared" si="49"/>
        <v>-12</v>
      </c>
      <c r="E274" s="32">
        <f t="shared" si="27"/>
        <v>1.44E-4</v>
      </c>
      <c r="F274" s="134">
        <f t="shared" ref="F274:F279" si="50">G157</f>
        <v>0</v>
      </c>
      <c r="G274" s="135">
        <f>G272</f>
        <v>148</v>
      </c>
      <c r="H274" s="134">
        <f t="shared" ref="H274:H279" si="51">ROUND(E274*G274*F274,2)</f>
        <v>0</v>
      </c>
      <c r="I274" s="136" t="s">
        <v>176</v>
      </c>
    </row>
    <row r="275" spans="1:16" ht="18" customHeight="1">
      <c r="B275" s="124" t="str">
        <f>B274</f>
        <v>6单银Low-E+12A+6</v>
      </c>
      <c r="C275" s="133">
        <f t="shared" si="49"/>
        <v>-12</v>
      </c>
      <c r="D275" s="133">
        <f t="shared" si="49"/>
        <v>-12</v>
      </c>
      <c r="E275" s="32">
        <f t="shared" si="27"/>
        <v>1.44E-4</v>
      </c>
      <c r="F275" s="134">
        <f t="shared" si="50"/>
        <v>0</v>
      </c>
      <c r="G275" s="135">
        <f>G274</f>
        <v>148</v>
      </c>
      <c r="H275" s="134">
        <f t="shared" si="51"/>
        <v>0</v>
      </c>
      <c r="I275" s="136" t="str">
        <f>I274</f>
        <v>门钢化中空玻璃</v>
      </c>
      <c r="K275" s="43" t="s">
        <v>177</v>
      </c>
    </row>
    <row r="276" spans="1:16" ht="18" customHeight="1">
      <c r="B276" s="124" t="str">
        <f>B275</f>
        <v>6单银Low-E+12A+6</v>
      </c>
      <c r="C276" s="133">
        <f t="shared" si="49"/>
        <v>-12</v>
      </c>
      <c r="D276" s="133">
        <f t="shared" si="49"/>
        <v>-12</v>
      </c>
      <c r="E276" s="32">
        <f t="shared" si="27"/>
        <v>1.44E-4</v>
      </c>
      <c r="F276" s="134">
        <f t="shared" si="50"/>
        <v>0</v>
      </c>
      <c r="G276" s="135">
        <f>G275</f>
        <v>148</v>
      </c>
      <c r="H276" s="134">
        <f t="shared" si="51"/>
        <v>0</v>
      </c>
      <c r="I276" s="136" t="str">
        <f>I275</f>
        <v>门钢化中空玻璃</v>
      </c>
    </row>
    <row r="277" spans="1:16" ht="18" customHeight="1">
      <c r="B277" s="124" t="str">
        <f>B276</f>
        <v>6单银Low-E+12A+6</v>
      </c>
      <c r="C277" s="133">
        <f t="shared" si="49"/>
        <v>-12</v>
      </c>
      <c r="D277" s="133">
        <f t="shared" si="49"/>
        <v>-12</v>
      </c>
      <c r="E277" s="32">
        <f t="shared" si="27"/>
        <v>1.44E-4</v>
      </c>
      <c r="F277" s="134">
        <f t="shared" si="50"/>
        <v>0</v>
      </c>
      <c r="G277" s="135">
        <f>G276</f>
        <v>148</v>
      </c>
      <c r="H277" s="134">
        <f t="shared" si="51"/>
        <v>0</v>
      </c>
      <c r="I277" s="136" t="str">
        <f>I276</f>
        <v>门钢化中空玻璃</v>
      </c>
    </row>
    <row r="278" spans="1:16" ht="18" customHeight="1">
      <c r="B278" s="124" t="str">
        <f>B277</f>
        <v>6单银Low-E+12A+6</v>
      </c>
      <c r="C278" s="133">
        <f t="shared" si="49"/>
        <v>-12</v>
      </c>
      <c r="D278" s="133">
        <f t="shared" si="49"/>
        <v>-12</v>
      </c>
      <c r="E278" s="32">
        <f t="shared" si="27"/>
        <v>1.44E-4</v>
      </c>
      <c r="F278" s="134">
        <f t="shared" si="50"/>
        <v>0</v>
      </c>
      <c r="G278" s="135">
        <f>G277</f>
        <v>148</v>
      </c>
      <c r="H278" s="134">
        <f t="shared" si="51"/>
        <v>0</v>
      </c>
      <c r="I278" s="136" t="str">
        <f>I277</f>
        <v>门钢化中空玻璃</v>
      </c>
    </row>
    <row r="279" spans="1:16" ht="18" customHeight="1">
      <c r="B279" s="124" t="str">
        <f>B278</f>
        <v>6单银Low-E+12A+6</v>
      </c>
      <c r="C279" s="133">
        <f t="shared" si="49"/>
        <v>-12</v>
      </c>
      <c r="D279" s="133">
        <f t="shared" si="49"/>
        <v>-12</v>
      </c>
      <c r="E279" s="32">
        <f t="shared" si="27"/>
        <v>1.44E-4</v>
      </c>
      <c r="F279" s="134">
        <f t="shared" si="50"/>
        <v>0</v>
      </c>
      <c r="G279" s="135">
        <f>G278</f>
        <v>148</v>
      </c>
      <c r="H279" s="134">
        <f t="shared" si="51"/>
        <v>0</v>
      </c>
      <c r="I279" s="136" t="str">
        <f>I278</f>
        <v>门钢化中空玻璃</v>
      </c>
    </row>
    <row r="280" spans="1:16" ht="18" customHeight="1">
      <c r="B280" s="48" t="s">
        <v>178</v>
      </c>
      <c r="C280" s="52"/>
      <c r="D280" s="50"/>
      <c r="E280" s="128"/>
      <c r="F280" s="50">
        <f>SUM(F274:F279)</f>
        <v>0</v>
      </c>
      <c r="G280" s="50"/>
      <c r="H280" s="52">
        <f>SUM(H274:H279)</f>
        <v>0</v>
      </c>
      <c r="I280" s="53">
        <f>ROUND(SUMPRODUCT(E274:E279*F274:F279),2)</f>
        <v>0</v>
      </c>
    </row>
    <row r="281" spans="1:16" ht="18" customHeight="1">
      <c r="B281" s="124" t="str">
        <f>材料价格!A10</f>
        <v>6单银Low-E+12A+6</v>
      </c>
      <c r="C281" s="133">
        <f>C252</f>
        <v>-12</v>
      </c>
      <c r="D281" s="133">
        <f>D252</f>
        <v>-12</v>
      </c>
      <c r="E281" s="32">
        <f t="shared" si="27"/>
        <v>1.44E-4</v>
      </c>
      <c r="F281" s="134"/>
      <c r="G281" s="137">
        <f>材料价格!B10</f>
        <v>148</v>
      </c>
      <c r="H281" s="134">
        <f>ROUND(E281*G281*F281,2)</f>
        <v>0</v>
      </c>
      <c r="I281" s="437" t="s">
        <v>179</v>
      </c>
    </row>
    <row r="282" spans="1:16" ht="18" customHeight="1">
      <c r="B282" s="124" t="str">
        <f>B281</f>
        <v>6单银Low-E+12A+6</v>
      </c>
      <c r="C282" s="133">
        <f>C253</f>
        <v>-12</v>
      </c>
      <c r="D282" s="133">
        <f>D253</f>
        <v>-12</v>
      </c>
      <c r="E282" s="32">
        <f t="shared" si="27"/>
        <v>1.44E-4</v>
      </c>
      <c r="F282" s="134"/>
      <c r="G282" s="135">
        <f>G281</f>
        <v>148</v>
      </c>
      <c r="H282" s="134">
        <f>ROUND(E282*G282*F282,2)</f>
        <v>0</v>
      </c>
      <c r="I282" s="437" t="s">
        <v>179</v>
      </c>
      <c r="J282" s="255"/>
      <c r="K282" s="255"/>
      <c r="L282" s="255"/>
      <c r="M282" s="255"/>
    </row>
    <row r="283" spans="1:16" ht="18" customHeight="1">
      <c r="B283" s="124" t="str">
        <f>B282</f>
        <v>6单银Low-E+12A+6</v>
      </c>
      <c r="C283" s="133">
        <f>D84-12</f>
        <v>-12</v>
      </c>
      <c r="D283" s="133">
        <f>E84-12</f>
        <v>-12</v>
      </c>
      <c r="E283" s="32">
        <f t="shared" si="27"/>
        <v>1.44E-4</v>
      </c>
      <c r="F283" s="134">
        <f>G84</f>
        <v>0</v>
      </c>
      <c r="G283" s="135">
        <f>G282</f>
        <v>148</v>
      </c>
      <c r="H283" s="134">
        <f>ROUND(E283*G283*F283,2)</f>
        <v>0</v>
      </c>
      <c r="I283" s="437" t="s">
        <v>179</v>
      </c>
      <c r="J283" s="255"/>
      <c r="K283" s="255"/>
      <c r="L283" s="255"/>
      <c r="M283" s="255"/>
    </row>
    <row r="284" spans="1:16" ht="18" customHeight="1">
      <c r="B284" s="124" t="str">
        <f>B283</f>
        <v>6单银Low-E+12A+6</v>
      </c>
      <c r="C284" s="133">
        <f>D85-12</f>
        <v>-12</v>
      </c>
      <c r="D284" s="133">
        <f>E85-12</f>
        <v>-12</v>
      </c>
      <c r="E284" s="32">
        <f t="shared" si="27"/>
        <v>1.44E-4</v>
      </c>
      <c r="F284" s="134">
        <f>G85</f>
        <v>0</v>
      </c>
      <c r="G284" s="135">
        <f>G283</f>
        <v>148</v>
      </c>
      <c r="H284" s="134">
        <f>ROUND(E284*G284*F284,2)</f>
        <v>0</v>
      </c>
      <c r="I284" s="437" t="s">
        <v>179</v>
      </c>
      <c r="J284" s="255"/>
      <c r="K284" s="255"/>
      <c r="L284" s="255"/>
      <c r="M284" s="255"/>
    </row>
    <row r="285" spans="1:16" ht="18" customHeight="1">
      <c r="B285" s="48" t="s">
        <v>180</v>
      </c>
      <c r="C285" s="52"/>
      <c r="D285" s="50"/>
      <c r="E285" s="50"/>
      <c r="F285" s="50">
        <f>SUM(F281:F284)</f>
        <v>0</v>
      </c>
      <c r="G285" s="50"/>
      <c r="H285" s="52">
        <f>SUM(H281:H284)</f>
        <v>0</v>
      </c>
      <c r="I285" s="53">
        <f>ROUND((E281*F281+E282*F282+E283*F283+E284*F284),2)</f>
        <v>0</v>
      </c>
      <c r="J285" s="255"/>
      <c r="K285" s="255"/>
      <c r="L285" s="255"/>
      <c r="M285" s="255"/>
    </row>
    <row r="286" spans="1:16" ht="18" customHeight="1">
      <c r="B286" s="124" t="str">
        <f>材料价格!A11</f>
        <v>8单银Low-E+12Ar+8+12A+8mm</v>
      </c>
      <c r="C286" s="133"/>
      <c r="D286" s="133"/>
      <c r="E286" s="32">
        <f>C286*D286/10^6</f>
        <v>0</v>
      </c>
      <c r="F286" s="134"/>
      <c r="G286" s="137">
        <f>材料价格!B11</f>
        <v>312</v>
      </c>
      <c r="H286" s="134">
        <f>ROUND(E286*G286*F286,2)</f>
        <v>0</v>
      </c>
      <c r="I286" s="437" t="s">
        <v>181</v>
      </c>
      <c r="J286" s="255"/>
      <c r="K286" s="255"/>
      <c r="L286" s="255"/>
      <c r="M286" s="255"/>
    </row>
    <row r="287" spans="1:16" ht="18" customHeight="1">
      <c r="B287" s="124" t="str">
        <f>B286</f>
        <v>8单银Low-E+12Ar+8+12A+8mm</v>
      </c>
      <c r="C287" s="133"/>
      <c r="D287" s="133"/>
      <c r="E287" s="32">
        <f>C287*D287/10^6</f>
        <v>0</v>
      </c>
      <c r="F287" s="134"/>
      <c r="G287" s="135">
        <f>G286</f>
        <v>312</v>
      </c>
      <c r="H287" s="134">
        <f>ROUND(E287*G287*F287,2)</f>
        <v>0</v>
      </c>
      <c r="I287" s="437" t="s">
        <v>181</v>
      </c>
      <c r="J287" s="255"/>
      <c r="K287" s="255"/>
      <c r="L287" s="255"/>
      <c r="M287" s="255"/>
    </row>
    <row r="288" spans="1:16" ht="18" customHeight="1">
      <c r="B288" s="138" t="str">
        <f>材料价格!A12</f>
        <v>10单银Low-E+12Ar+10+12A+10mm</v>
      </c>
      <c r="C288" s="139"/>
      <c r="D288" s="139"/>
      <c r="E288" s="140">
        <f>C288*D288/10^6</f>
        <v>0</v>
      </c>
      <c r="F288" s="141"/>
      <c r="G288" s="142">
        <f>材料价格!B12</f>
        <v>395</v>
      </c>
      <c r="H288" s="141">
        <f>ROUND(E288*G288*F288,2)</f>
        <v>0</v>
      </c>
      <c r="I288" s="143" t="s">
        <v>181</v>
      </c>
      <c r="J288" s="255"/>
      <c r="K288" s="255"/>
      <c r="L288" s="255"/>
      <c r="M288" s="255"/>
    </row>
    <row r="289" spans="2:13" ht="18" customHeight="1">
      <c r="B289" s="138" t="str">
        <f>B288</f>
        <v>10单银Low-E+12Ar+10+12A+10mm</v>
      </c>
      <c r="C289" s="139"/>
      <c r="D289" s="139"/>
      <c r="E289" s="140">
        <f>C289*D289/10^6</f>
        <v>0</v>
      </c>
      <c r="F289" s="141"/>
      <c r="G289" s="142">
        <f>G288</f>
        <v>395</v>
      </c>
      <c r="H289" s="141">
        <f>ROUND(E289*G289*F289,2)</f>
        <v>0</v>
      </c>
      <c r="I289" s="143" t="s">
        <v>181</v>
      </c>
      <c r="J289" s="255"/>
      <c r="K289" s="255"/>
      <c r="L289" s="255"/>
      <c r="M289" s="255"/>
    </row>
    <row r="290" spans="2:13" ht="18" customHeight="1">
      <c r="B290" s="48" t="s">
        <v>180</v>
      </c>
      <c r="C290" s="52"/>
      <c r="D290" s="50"/>
      <c r="E290" s="50"/>
      <c r="F290" s="50">
        <f>SUM(F286:F289)</f>
        <v>0</v>
      </c>
      <c r="G290" s="50"/>
      <c r="H290" s="52">
        <f>SUM(H286:H289)</f>
        <v>0</v>
      </c>
      <c r="I290" s="53">
        <f>ROUND((E286*F286+E287*F287+E288*F288+E289*F289),2)</f>
        <v>0</v>
      </c>
      <c r="J290" s="255"/>
      <c r="K290" s="255"/>
      <c r="L290" s="255"/>
      <c r="M290" s="255"/>
    </row>
    <row r="291" spans="2:13" ht="18" customHeight="1">
      <c r="B291" s="642" t="s">
        <v>182</v>
      </c>
      <c r="C291" s="144" t="s">
        <v>183</v>
      </c>
      <c r="D291" s="144" cm="1">
        <f t="array" ref="D291">SUMPRODUCT(E225:E232*F225:F232)+SUMPRODUCT(E243:E249*F243:F249)</f>
        <v>1.734696</v>
      </c>
      <c r="E291" s="144" t="s">
        <v>184</v>
      </c>
      <c r="F291" s="145">
        <f>F233+F250</f>
        <v>5</v>
      </c>
      <c r="G291" s="145" t="s">
        <v>185</v>
      </c>
      <c r="H291" s="144">
        <f>H233+H250</f>
        <v>256.73</v>
      </c>
      <c r="I291" s="146">
        <f>H291/F366</f>
        <v>96.609467900955835</v>
      </c>
      <c r="J291" s="255"/>
      <c r="K291" s="255"/>
      <c r="L291" s="255"/>
      <c r="M291" s="255"/>
    </row>
    <row r="292" spans="2:13" ht="18" customHeight="1">
      <c r="B292" s="642"/>
      <c r="C292" s="144" t="s">
        <v>186</v>
      </c>
      <c r="D292" s="144">
        <f>SUMPRODUCT(E234:E241*F234:F241)+SUMPRODUCT(E251:E257*F251:F257)+SUMPRODUCT(E259:E264*F259:F264)+SUMPRODUCT(E266:E268*F266:F268)+SUMPRODUCT(E270:E272*F270:F272)+SUMPRODUCT(E281:E284*F281:F284)+SUMPRODUCT(E286:E289*F286:F289)+SUMPRODUCT(E274:E279*F274:F279)</f>
        <v>0</v>
      </c>
      <c r="E292" s="144" t="s">
        <v>186</v>
      </c>
      <c r="F292" s="145">
        <f>F242+F258+F265+F269+F273+F285+F290+F280</f>
        <v>0</v>
      </c>
      <c r="G292" s="145" t="s">
        <v>185</v>
      </c>
      <c r="H292" s="144">
        <f>H242+H258+H265+H269+H273+H280+H285+H290</f>
        <v>0</v>
      </c>
      <c r="I292" s="146">
        <f>H292/F366</f>
        <v>0</v>
      </c>
      <c r="J292" s="255"/>
      <c r="K292" s="255"/>
      <c r="L292" s="255"/>
      <c r="M292" s="255"/>
    </row>
    <row r="293" spans="2:13" ht="18" customHeight="1">
      <c r="B293" s="23" t="s">
        <v>187</v>
      </c>
      <c r="C293" s="442" t="s">
        <v>188</v>
      </c>
      <c r="D293" s="68" t="s">
        <v>189</v>
      </c>
      <c r="E293" s="442" t="s">
        <v>8</v>
      </c>
      <c r="F293" s="442" t="s">
        <v>190</v>
      </c>
      <c r="G293" s="442" t="s">
        <v>191</v>
      </c>
      <c r="H293" s="442" t="s">
        <v>160</v>
      </c>
      <c r="I293" s="25" t="s">
        <v>1</v>
      </c>
      <c r="J293" s="255"/>
      <c r="K293" s="255"/>
      <c r="L293" s="255"/>
      <c r="M293" s="255"/>
    </row>
    <row r="294" spans="2:13" ht="18" customHeight="1">
      <c r="B294" s="629" t="s">
        <v>192</v>
      </c>
      <c r="C294" s="443">
        <f>D26</f>
        <v>0</v>
      </c>
      <c r="D294" s="440"/>
      <c r="E294" s="440"/>
      <c r="F294" s="440" t="s">
        <v>193</v>
      </c>
      <c r="G294" s="108">
        <f>材料价格!B14</f>
        <v>153</v>
      </c>
      <c r="H294" s="147">
        <f>E294*G294</f>
        <v>0</v>
      </c>
      <c r="I294" s="632" t="s">
        <v>194</v>
      </c>
      <c r="J294" s="255"/>
      <c r="K294" s="255"/>
      <c r="L294" s="255"/>
      <c r="M294" s="255"/>
    </row>
    <row r="295" spans="2:13" ht="18" customHeight="1">
      <c r="B295" s="629"/>
      <c r="C295" s="443"/>
      <c r="D295" s="440"/>
      <c r="E295" s="440"/>
      <c r="F295" s="440"/>
      <c r="G295" s="108"/>
      <c r="H295" s="147">
        <f t="shared" ref="H295:H303" si="52">E295*G295</f>
        <v>0</v>
      </c>
      <c r="I295" s="633"/>
      <c r="J295" s="255"/>
      <c r="K295" s="255"/>
      <c r="L295" s="255"/>
      <c r="M295" s="255"/>
    </row>
    <row r="296" spans="2:13" ht="18" customHeight="1">
      <c r="B296" s="629" t="s">
        <v>195</v>
      </c>
      <c r="C296" s="443"/>
      <c r="D296" s="148"/>
      <c r="E296" s="440"/>
      <c r="F296" s="440" t="str">
        <f>F294</f>
        <v>坚朗</v>
      </c>
      <c r="G296" s="108">
        <f>材料价格!B15</f>
        <v>80</v>
      </c>
      <c r="H296" s="147">
        <f t="shared" si="52"/>
        <v>0</v>
      </c>
      <c r="I296" s="632" t="s">
        <v>196</v>
      </c>
      <c r="J296" s="255"/>
      <c r="K296" s="255"/>
      <c r="L296" s="255"/>
      <c r="M296" s="255"/>
    </row>
    <row r="297" spans="2:13" ht="18" customHeight="1">
      <c r="B297" s="629"/>
      <c r="C297" s="443"/>
      <c r="D297" s="148"/>
      <c r="E297" s="440"/>
      <c r="F297" s="440"/>
      <c r="G297" s="108"/>
      <c r="H297" s="147">
        <f t="shared" si="52"/>
        <v>0</v>
      </c>
      <c r="I297" s="633"/>
      <c r="J297" s="255"/>
      <c r="K297" s="255"/>
      <c r="L297" s="255"/>
      <c r="M297" s="255"/>
    </row>
    <row r="298" spans="2:13" ht="18" customHeight="1">
      <c r="B298" s="629" t="s">
        <v>197</v>
      </c>
      <c r="C298" s="443"/>
      <c r="D298" s="148"/>
      <c r="E298" s="440">
        <v>2</v>
      </c>
      <c r="F298" s="440" t="str">
        <f>F296</f>
        <v>坚朗</v>
      </c>
      <c r="G298" s="108">
        <f>材料价格!B16</f>
        <v>88</v>
      </c>
      <c r="H298" s="147">
        <f t="shared" si="52"/>
        <v>176</v>
      </c>
      <c r="I298" s="633"/>
      <c r="J298" s="255"/>
      <c r="K298" s="255"/>
      <c r="L298" s="255"/>
      <c r="M298" s="255"/>
    </row>
    <row r="299" spans="2:13" ht="18" customHeight="1">
      <c r="B299" s="629"/>
      <c r="C299" s="443"/>
      <c r="D299" s="148"/>
      <c r="E299" s="440"/>
      <c r="F299" s="440"/>
      <c r="G299" s="108"/>
      <c r="H299" s="147">
        <f t="shared" si="52"/>
        <v>0</v>
      </c>
      <c r="I299" s="633"/>
      <c r="J299" s="255"/>
      <c r="K299" s="255"/>
      <c r="L299" s="255"/>
      <c r="M299" s="255"/>
    </row>
    <row r="300" spans="2:13" ht="18" customHeight="1">
      <c r="B300" s="629" t="s">
        <v>198</v>
      </c>
      <c r="C300" s="443">
        <f>D35</f>
        <v>410</v>
      </c>
      <c r="D300" s="148"/>
      <c r="E300" s="440"/>
      <c r="F300" s="440" t="str">
        <f>F298</f>
        <v>坚朗</v>
      </c>
      <c r="G300" s="108">
        <f>材料价格!B17</f>
        <v>115</v>
      </c>
      <c r="H300" s="147">
        <f t="shared" si="52"/>
        <v>0</v>
      </c>
      <c r="I300" s="149"/>
      <c r="J300" s="255"/>
      <c r="K300" s="255"/>
      <c r="L300" s="255"/>
      <c r="M300" s="255"/>
    </row>
    <row r="301" spans="2:13" ht="18" customHeight="1">
      <c r="B301" s="629"/>
      <c r="C301" s="443"/>
      <c r="D301" s="148"/>
      <c r="E301" s="440"/>
      <c r="F301" s="440"/>
      <c r="G301" s="108"/>
      <c r="H301" s="147">
        <f t="shared" si="52"/>
        <v>0</v>
      </c>
      <c r="I301" s="149"/>
      <c r="J301" s="255"/>
      <c r="K301" s="255"/>
      <c r="L301" s="255"/>
      <c r="M301" s="255"/>
    </row>
    <row r="302" spans="2:13" ht="18" customHeight="1">
      <c r="B302" s="629" t="s">
        <v>199</v>
      </c>
      <c r="C302" s="440" t="s">
        <v>200</v>
      </c>
      <c r="D302" s="148"/>
      <c r="E302" s="440"/>
      <c r="F302" s="440" t="str">
        <f>F300</f>
        <v>坚朗</v>
      </c>
      <c r="G302" s="108">
        <f>材料价格!B19</f>
        <v>230</v>
      </c>
      <c r="H302" s="147">
        <f t="shared" si="52"/>
        <v>0</v>
      </c>
      <c r="I302" s="437"/>
      <c r="J302" s="255"/>
      <c r="K302" s="255"/>
      <c r="L302" s="255"/>
      <c r="M302" s="255"/>
    </row>
    <row r="303" spans="2:13" ht="18" customHeight="1">
      <c r="B303" s="629"/>
      <c r="C303" s="440" t="s">
        <v>201</v>
      </c>
      <c r="D303" s="148"/>
      <c r="E303" s="440"/>
      <c r="F303" s="440" t="str">
        <f>F302</f>
        <v>坚朗</v>
      </c>
      <c r="G303" s="108">
        <f>材料价格!B20</f>
        <v>335</v>
      </c>
      <c r="H303" s="147">
        <f t="shared" si="52"/>
        <v>0</v>
      </c>
      <c r="I303" s="437"/>
      <c r="J303" s="255"/>
      <c r="K303" s="255"/>
      <c r="L303" s="255"/>
      <c r="M303" s="255"/>
    </row>
    <row r="304" spans="2:13" ht="18" customHeight="1">
      <c r="B304" s="150" t="s">
        <v>202</v>
      </c>
      <c r="C304" s="50"/>
      <c r="D304" s="50"/>
      <c r="E304" s="50">
        <f>SUM(E294:E303)</f>
        <v>2</v>
      </c>
      <c r="F304" s="50"/>
      <c r="G304" s="166"/>
      <c r="H304" s="151">
        <f>SUM(H294:H303)</f>
        <v>176</v>
      </c>
      <c r="I304" s="152"/>
      <c r="J304" s="42"/>
    </row>
    <row r="305" spans="1:16" ht="18" customHeight="1">
      <c r="B305" s="436" t="s">
        <v>300</v>
      </c>
      <c r="C305" s="440"/>
      <c r="D305" s="148"/>
      <c r="E305" s="443">
        <f>E294+E296</f>
        <v>0</v>
      </c>
      <c r="F305" s="148"/>
      <c r="G305" s="148">
        <f>材料价格!B27</f>
        <v>0</v>
      </c>
      <c r="H305" s="154">
        <f>E305*G305</f>
        <v>0</v>
      </c>
      <c r="I305" s="437" t="s">
        <v>203</v>
      </c>
    </row>
    <row r="306" spans="1:16" s="16" customFormat="1" ht="18" customHeight="1">
      <c r="A306" s="1"/>
      <c r="B306" s="436" t="s">
        <v>204</v>
      </c>
      <c r="C306" s="440"/>
      <c r="D306" s="148"/>
      <c r="E306" s="443">
        <f>E298+E299+E300+E301</f>
        <v>2</v>
      </c>
      <c r="F306" s="148"/>
      <c r="G306" s="148">
        <f>材料价格!B28</f>
        <v>118</v>
      </c>
      <c r="H306" s="154">
        <f>E306*G306</f>
        <v>236</v>
      </c>
      <c r="I306" s="437" t="s">
        <v>205</v>
      </c>
      <c r="J306" s="43"/>
      <c r="K306" s="43"/>
      <c r="L306" s="43"/>
      <c r="M306" s="43"/>
      <c r="N306" s="255"/>
      <c r="O306" s="255"/>
      <c r="P306" s="255"/>
    </row>
    <row r="307" spans="1:16" s="16" customFormat="1" ht="18" customHeight="1">
      <c r="A307" s="1"/>
      <c r="B307" s="436" t="s">
        <v>206</v>
      </c>
      <c r="C307" s="440"/>
      <c r="D307" s="148"/>
      <c r="E307" s="443"/>
      <c r="F307" s="148"/>
      <c r="G307" s="148"/>
      <c r="H307" s="154">
        <f>E307*G307</f>
        <v>0</v>
      </c>
      <c r="I307" s="437" t="s">
        <v>207</v>
      </c>
      <c r="J307" s="43"/>
      <c r="K307" s="43"/>
      <c r="L307" s="43"/>
      <c r="M307" s="43"/>
      <c r="N307" s="255"/>
      <c r="O307" s="255"/>
      <c r="P307" s="255"/>
    </row>
    <row r="308" spans="1:16" s="16" customFormat="1" ht="18" customHeight="1">
      <c r="A308" s="1"/>
      <c r="B308" s="150" t="s">
        <v>208</v>
      </c>
      <c r="C308" s="50"/>
      <c r="D308" s="50"/>
      <c r="E308" s="100">
        <f>SUM(E305:E307)</f>
        <v>2</v>
      </c>
      <c r="F308" s="50"/>
      <c r="G308" s="166"/>
      <c r="H308" s="155">
        <f>SUM(H305:H307)</f>
        <v>236</v>
      </c>
      <c r="I308" s="152"/>
      <c r="J308" s="43"/>
      <c r="K308" s="43"/>
      <c r="L308" s="43"/>
      <c r="M308" s="43"/>
      <c r="N308" s="255"/>
      <c r="O308" s="255"/>
      <c r="P308" s="255"/>
    </row>
    <row r="309" spans="1:16" s="16" customFormat="1" ht="18" customHeight="1">
      <c r="A309" s="1"/>
      <c r="B309" s="156" t="s">
        <v>209</v>
      </c>
      <c r="C309" s="157">
        <f>ROUND(IF(D4&lt;=200,4,0)+IF(D4&gt;200,(D4/200+1))+IF(E4&lt;=200,4,0)+IF(E4&gt;200,(E4/200+1)),0)</f>
        <v>21</v>
      </c>
      <c r="D309" s="148"/>
      <c r="E309" s="148"/>
      <c r="F309" s="148"/>
      <c r="G309" s="158">
        <v>0.5</v>
      </c>
      <c r="H309" s="159">
        <f>ROUND(C309*G309,2)</f>
        <v>10.5</v>
      </c>
      <c r="I309" s="437" t="s">
        <v>210</v>
      </c>
      <c r="J309" s="43"/>
      <c r="K309" s="43"/>
      <c r="L309" s="43"/>
      <c r="M309" s="43"/>
      <c r="N309" s="255"/>
      <c r="O309" s="255"/>
      <c r="P309" s="255"/>
    </row>
    <row r="310" spans="1:16" s="16" customFormat="1" ht="18" customHeight="1">
      <c r="A310" s="1"/>
      <c r="B310" s="156" t="s">
        <v>211</v>
      </c>
      <c r="C310" s="157">
        <f>C309*2</f>
        <v>42</v>
      </c>
      <c r="D310" s="148">
        <f>D309*2</f>
        <v>0</v>
      </c>
      <c r="E310" s="148"/>
      <c r="F310" s="148"/>
      <c r="G310" s="158">
        <v>0.3</v>
      </c>
      <c r="H310" s="159">
        <f>ROUND(C310*G310,2)</f>
        <v>12.6</v>
      </c>
      <c r="I310" s="437" t="s">
        <v>212</v>
      </c>
      <c r="J310" s="43"/>
      <c r="K310" s="43"/>
      <c r="L310" s="255"/>
      <c r="M310" s="255"/>
      <c r="N310" s="255"/>
      <c r="O310" s="255"/>
      <c r="P310" s="255"/>
    </row>
    <row r="311" spans="1:16" s="16" customFormat="1" ht="18" customHeight="1">
      <c r="A311" s="1"/>
      <c r="B311" s="160" t="s">
        <v>213</v>
      </c>
      <c r="C311" s="161">
        <f>F6</f>
        <v>2.6214</v>
      </c>
      <c r="D311" s="162"/>
      <c r="E311" s="162"/>
      <c r="F311" s="162"/>
      <c r="G311" s="163">
        <v>5</v>
      </c>
      <c r="H311" s="159">
        <f>ROUND(C311*G311,2)</f>
        <v>13.11</v>
      </c>
      <c r="I311" s="437"/>
      <c r="J311" s="43"/>
      <c r="K311" s="43"/>
      <c r="L311" s="255"/>
      <c r="M311" s="255"/>
      <c r="N311" s="255"/>
      <c r="O311" s="255"/>
      <c r="P311" s="255"/>
    </row>
    <row r="312" spans="1:16" s="16" customFormat="1" ht="18" customHeight="1">
      <c r="A312" s="1"/>
      <c r="B312" s="160" t="s">
        <v>214</v>
      </c>
      <c r="C312" s="161"/>
      <c r="D312" s="162"/>
      <c r="E312" s="162"/>
      <c r="F312" s="162"/>
      <c r="G312" s="163"/>
      <c r="H312" s="159">
        <f>ROUND(C312*G312,2)</f>
        <v>0</v>
      </c>
      <c r="I312" s="437"/>
      <c r="J312" s="43"/>
      <c r="K312" s="43"/>
      <c r="L312" s="255"/>
      <c r="M312" s="255"/>
      <c r="N312" s="255"/>
      <c r="O312" s="255"/>
      <c r="P312" s="255"/>
    </row>
    <row r="313" spans="1:16" s="16" customFormat="1" ht="18" customHeight="1">
      <c r="A313" s="1"/>
      <c r="B313" s="164" t="s">
        <v>397</v>
      </c>
      <c r="C313" s="161">
        <f>D291+D292</f>
        <v>1.734696</v>
      </c>
      <c r="D313" s="162"/>
      <c r="E313" s="162"/>
      <c r="F313" s="162"/>
      <c r="G313" s="163">
        <f>10+5</f>
        <v>15</v>
      </c>
      <c r="H313" s="159">
        <f>ROUND(C313*G313,2)</f>
        <v>26.02</v>
      </c>
      <c r="I313" s="437"/>
      <c r="J313" s="43"/>
      <c r="K313" s="43"/>
      <c r="L313" s="255"/>
      <c r="M313" s="255"/>
      <c r="N313" s="255"/>
      <c r="O313" s="255"/>
      <c r="P313" s="255"/>
    </row>
    <row r="314" spans="1:16" s="16" customFormat="1" ht="18" customHeight="1">
      <c r="A314" s="1"/>
      <c r="B314" s="150" t="s">
        <v>215</v>
      </c>
      <c r="C314" s="165"/>
      <c r="D314" s="50"/>
      <c r="E314" s="50"/>
      <c r="F314" s="50"/>
      <c r="G314" s="166"/>
      <c r="H314" s="155">
        <f>SUM(H309:H313)</f>
        <v>62.230000000000004</v>
      </c>
      <c r="I314" s="152"/>
      <c r="J314" s="43"/>
      <c r="K314" s="43"/>
      <c r="L314" s="255"/>
      <c r="M314" s="255"/>
      <c r="N314" s="255"/>
      <c r="O314" s="255"/>
      <c r="P314" s="255"/>
    </row>
    <row r="315" spans="1:16" s="16" customFormat="1" ht="18" customHeight="1">
      <c r="A315" s="1"/>
      <c r="B315" s="156" t="s">
        <v>216</v>
      </c>
      <c r="C315" s="167">
        <f>E203+E205+E207+I203+I205+E209+I207</f>
        <v>24</v>
      </c>
      <c r="D315" s="148"/>
      <c r="E315" s="148"/>
      <c r="F315" s="148"/>
      <c r="G315" s="168">
        <v>1.9</v>
      </c>
      <c r="H315" s="154">
        <f t="shared" ref="H315:H318" si="53">ROUND(C315*G315,2)</f>
        <v>45.6</v>
      </c>
      <c r="I315" s="224" t="s">
        <v>340</v>
      </c>
      <c r="J315" s="255"/>
      <c r="K315" s="43"/>
      <c r="L315" s="255"/>
      <c r="M315" s="255"/>
      <c r="N315" s="255"/>
      <c r="O315" s="255"/>
      <c r="P315" s="255"/>
    </row>
    <row r="316" spans="1:16" s="16" customFormat="1" ht="18" customHeight="1">
      <c r="A316" s="1"/>
      <c r="B316" s="156" t="s">
        <v>217</v>
      </c>
      <c r="C316" s="167">
        <f>ROUND((D4+E4)*2/1000,2)</f>
        <v>7.5</v>
      </c>
      <c r="D316" s="148"/>
      <c r="E316" s="238">
        <v>4</v>
      </c>
      <c r="F316" s="235">
        <f>材料价格!B25</f>
        <v>8.52</v>
      </c>
      <c r="G316" s="168">
        <f t="shared" ref="G316:G321" si="54">F316/E316</f>
        <v>2.13</v>
      </c>
      <c r="H316" s="154">
        <f t="shared" si="53"/>
        <v>15.98</v>
      </c>
      <c r="I316" s="169" t="s">
        <v>218</v>
      </c>
      <c r="J316" s="255"/>
      <c r="K316" s="43"/>
      <c r="L316" s="255"/>
      <c r="M316" s="255"/>
      <c r="N316" s="255"/>
      <c r="O316" s="255"/>
      <c r="P316" s="255"/>
    </row>
    <row r="317" spans="1:16" s="16" customFormat="1" ht="18" customHeight="1">
      <c r="A317" s="1"/>
      <c r="B317" s="156" t="s">
        <v>219</v>
      </c>
      <c r="C317" s="167">
        <f>C316</f>
        <v>7.5</v>
      </c>
      <c r="D317" s="148"/>
      <c r="E317" s="238">
        <v>3</v>
      </c>
      <c r="F317" s="235">
        <f>F316</f>
        <v>8.52</v>
      </c>
      <c r="G317" s="168">
        <f t="shared" si="54"/>
        <v>2.84</v>
      </c>
      <c r="H317" s="154">
        <f t="shared" si="53"/>
        <v>21.3</v>
      </c>
      <c r="I317" s="169" t="s">
        <v>220</v>
      </c>
      <c r="J317" s="255"/>
      <c r="K317" s="43"/>
      <c r="L317" s="255"/>
      <c r="M317" s="255"/>
      <c r="N317" s="255"/>
      <c r="O317" s="255"/>
      <c r="P317" s="255"/>
    </row>
    <row r="318" spans="1:16" s="16" customFormat="1" ht="18" customHeight="1">
      <c r="A318" s="1"/>
      <c r="B318" s="156" t="s">
        <v>221</v>
      </c>
      <c r="C318" s="167">
        <f>C316</f>
        <v>7.5</v>
      </c>
      <c r="D318" s="148"/>
      <c r="E318" s="238">
        <v>6.5</v>
      </c>
      <c r="F318" s="235">
        <f>材料价格!B26</f>
        <v>23</v>
      </c>
      <c r="G318" s="168">
        <f t="shared" si="54"/>
        <v>3.5384615384615383</v>
      </c>
      <c r="H318" s="154">
        <f t="shared" si="53"/>
        <v>26.54</v>
      </c>
      <c r="I318" s="224" t="s">
        <v>222</v>
      </c>
      <c r="J318" s="255"/>
      <c r="K318" s="43"/>
      <c r="L318" s="255"/>
      <c r="M318" s="255"/>
      <c r="N318" s="255"/>
      <c r="O318" s="255"/>
      <c r="P318" s="255"/>
    </row>
    <row r="319" spans="1:16" s="16" customFormat="1" ht="18" customHeight="1">
      <c r="A319" s="1"/>
      <c r="B319" s="156" t="s">
        <v>341</v>
      </c>
      <c r="C319" s="167">
        <f>ROUND((C97+C104+C88+C146+C153+C163)*1,2)</f>
        <v>12.92</v>
      </c>
      <c r="D319" s="77">
        <v>1</v>
      </c>
      <c r="E319" s="238">
        <f>10</f>
        <v>10</v>
      </c>
      <c r="F319" s="235">
        <f>F317</f>
        <v>8.52</v>
      </c>
      <c r="G319" s="168">
        <f>F319/E319</f>
        <v>0.85199999999999998</v>
      </c>
      <c r="H319" s="154">
        <f>ROUND(C319*G319,2)</f>
        <v>11.01</v>
      </c>
      <c r="I319" s="437" t="s">
        <v>223</v>
      </c>
      <c r="J319" s="255"/>
      <c r="K319" s="43"/>
      <c r="L319" s="255"/>
      <c r="M319" s="255"/>
      <c r="N319" s="255"/>
      <c r="O319" s="255"/>
      <c r="P319" s="255"/>
    </row>
    <row r="320" spans="1:16" s="16" customFormat="1" ht="18" customHeight="1">
      <c r="A320" s="1"/>
      <c r="B320" s="156" t="s">
        <v>342</v>
      </c>
      <c r="C320" s="167">
        <f>C319</f>
        <v>12.92</v>
      </c>
      <c r="D320" s="77">
        <v>1</v>
      </c>
      <c r="E320" s="238">
        <v>6</v>
      </c>
      <c r="F320" s="235">
        <f>F319</f>
        <v>8.52</v>
      </c>
      <c r="G320" s="168">
        <f t="shared" si="54"/>
        <v>1.42</v>
      </c>
      <c r="H320" s="154">
        <f>ROUND(C320*G320,2)</f>
        <v>18.350000000000001</v>
      </c>
      <c r="I320" s="437" t="s">
        <v>224</v>
      </c>
      <c r="J320" s="255"/>
      <c r="K320" s="170"/>
      <c r="L320" s="170"/>
      <c r="M320" s="170"/>
      <c r="N320" s="170"/>
      <c r="O320" s="170"/>
      <c r="P320" s="170"/>
    </row>
    <row r="321" spans="1:16" s="16" customFormat="1" ht="18" customHeight="1">
      <c r="A321" s="1"/>
      <c r="B321" s="156" t="s">
        <v>225</v>
      </c>
      <c r="C321" s="167">
        <f>C334*D334+C324*D324+C327*D327</f>
        <v>2.76</v>
      </c>
      <c r="D321" s="77">
        <v>1</v>
      </c>
      <c r="E321" s="238">
        <f>10</f>
        <v>10</v>
      </c>
      <c r="F321" s="235">
        <f>F317</f>
        <v>8.52</v>
      </c>
      <c r="G321" s="168">
        <f t="shared" si="54"/>
        <v>0.85199999999999998</v>
      </c>
      <c r="H321" s="154">
        <f>ROUND(C321*G321,2)</f>
        <v>2.35</v>
      </c>
      <c r="I321" s="437" t="s">
        <v>226</v>
      </c>
      <c r="J321" s="255"/>
      <c r="K321" s="170"/>
      <c r="L321" s="170"/>
      <c r="M321" s="170"/>
      <c r="N321" s="170"/>
      <c r="O321" s="170"/>
      <c r="P321" s="170"/>
    </row>
    <row r="322" spans="1:16" s="16" customFormat="1" ht="18" customHeight="1">
      <c r="A322" s="1"/>
      <c r="B322" s="150" t="s">
        <v>227</v>
      </c>
      <c r="C322" s="165"/>
      <c r="D322" s="50"/>
      <c r="E322" s="50"/>
      <c r="F322" s="50"/>
      <c r="G322" s="166" t="s">
        <v>396</v>
      </c>
      <c r="H322" s="155">
        <f>SUM(H315:H321)</f>
        <v>141.13</v>
      </c>
      <c r="I322" s="152"/>
      <c r="J322" s="244" t="s">
        <v>399</v>
      </c>
      <c r="K322" s="245" t="s">
        <v>379</v>
      </c>
      <c r="L322" s="170"/>
      <c r="M322" s="170"/>
      <c r="N322" s="170"/>
      <c r="O322" s="170"/>
      <c r="P322" s="170"/>
    </row>
    <row r="323" spans="1:16" s="16" customFormat="1" ht="18" customHeight="1">
      <c r="A323" s="1"/>
      <c r="B323" s="156" t="s">
        <v>356</v>
      </c>
      <c r="C323" s="167">
        <f>C31</f>
        <v>0</v>
      </c>
      <c r="D323" s="239">
        <v>1</v>
      </c>
      <c r="E323" s="148"/>
      <c r="F323" s="148"/>
      <c r="G323" s="236">
        <f>0.45+0.85</f>
        <v>1.3</v>
      </c>
      <c r="H323" s="154">
        <f>ROUND(C323*D323*G323,2)</f>
        <v>0</v>
      </c>
      <c r="I323" s="437" t="s">
        <v>345</v>
      </c>
      <c r="J323" s="244">
        <v>1.76</v>
      </c>
      <c r="K323" s="245" t="s">
        <v>400</v>
      </c>
      <c r="L323" s="170"/>
      <c r="M323" s="171"/>
      <c r="N323" s="170"/>
      <c r="O323" s="170"/>
      <c r="P323" s="170"/>
    </row>
    <row r="324" spans="1:16" s="16" customFormat="1" ht="18" customHeight="1">
      <c r="A324" s="1"/>
      <c r="B324" s="156" t="s">
        <v>347</v>
      </c>
      <c r="C324" s="167">
        <f>C323</f>
        <v>0</v>
      </c>
      <c r="D324" s="239">
        <v>1</v>
      </c>
      <c r="E324" s="148"/>
      <c r="F324" s="148"/>
      <c r="G324" s="236">
        <v>6.89</v>
      </c>
      <c r="H324" s="154">
        <f t="shared" ref="H324:H329" si="55">ROUND(C324*D324*G324,2)</f>
        <v>0</v>
      </c>
      <c r="I324" s="437" t="s">
        <v>346</v>
      </c>
      <c r="J324" s="244">
        <v>12.25</v>
      </c>
      <c r="K324" s="245" t="s">
        <v>376</v>
      </c>
      <c r="L324" s="170"/>
      <c r="M324" s="171"/>
      <c r="N324" s="170"/>
      <c r="O324" s="170"/>
      <c r="P324" s="170"/>
    </row>
    <row r="325" spans="1:16" s="16" customFormat="1" ht="18" customHeight="1">
      <c r="A325" s="1"/>
      <c r="B325" s="156" t="s">
        <v>357</v>
      </c>
      <c r="C325" s="167">
        <f>C38</f>
        <v>5.54</v>
      </c>
      <c r="D325" s="239">
        <v>1</v>
      </c>
      <c r="E325" s="148"/>
      <c r="F325" s="148"/>
      <c r="G325" s="236">
        <f>0.85+0.61</f>
        <v>1.46</v>
      </c>
      <c r="H325" s="154">
        <f t="shared" si="55"/>
        <v>8.09</v>
      </c>
      <c r="I325" s="437" t="s">
        <v>354</v>
      </c>
      <c r="J325" s="244">
        <v>1.76</v>
      </c>
      <c r="K325" s="245" t="s">
        <v>378</v>
      </c>
      <c r="L325" s="170"/>
      <c r="M325" s="171"/>
      <c r="N325" s="170"/>
      <c r="O325" s="170"/>
      <c r="P325" s="170"/>
    </row>
    <row r="326" spans="1:16" s="16" customFormat="1" ht="18" customHeight="1">
      <c r="A326" s="1"/>
      <c r="B326" s="156" t="s">
        <v>355</v>
      </c>
      <c r="C326" s="167">
        <f>C325</f>
        <v>5.54</v>
      </c>
      <c r="D326" s="239">
        <v>1</v>
      </c>
      <c r="E326" s="148"/>
      <c r="F326" s="148"/>
      <c r="G326" s="236">
        <v>3.27</v>
      </c>
      <c r="H326" s="154">
        <f>ROUND(C326*D326*G326,2)</f>
        <v>18.12</v>
      </c>
      <c r="I326" s="437" t="s">
        <v>358</v>
      </c>
      <c r="J326" s="244">
        <v>3.27</v>
      </c>
      <c r="K326" s="245" t="s">
        <v>358</v>
      </c>
      <c r="L326" s="170"/>
      <c r="M326" s="171"/>
      <c r="N326" s="170"/>
      <c r="O326" s="170"/>
      <c r="P326" s="170"/>
    </row>
    <row r="327" spans="1:16" s="16" customFormat="1" ht="18" customHeight="1">
      <c r="A327" s="1"/>
      <c r="B327" s="156" t="s">
        <v>228</v>
      </c>
      <c r="C327" s="167">
        <f>C126</f>
        <v>0</v>
      </c>
      <c r="D327" s="239">
        <v>1</v>
      </c>
      <c r="E327" s="110"/>
      <c r="F327" s="148"/>
      <c r="G327" s="236">
        <v>6.89</v>
      </c>
      <c r="H327" s="154">
        <f t="shared" si="55"/>
        <v>0</v>
      </c>
      <c r="I327" s="437" t="s">
        <v>346</v>
      </c>
      <c r="J327" s="244">
        <v>12.25</v>
      </c>
      <c r="K327" s="245" t="s">
        <v>346</v>
      </c>
      <c r="L327" s="170"/>
      <c r="M327" s="171"/>
      <c r="N327" s="170"/>
      <c r="O327" s="170"/>
      <c r="P327" s="170"/>
    </row>
    <row r="328" spans="1:16" s="16" customFormat="1" ht="18" customHeight="1">
      <c r="A328" s="1"/>
      <c r="B328" s="156" t="s">
        <v>229</v>
      </c>
      <c r="C328" s="167">
        <f>C327</f>
        <v>0</v>
      </c>
      <c r="D328" s="239">
        <v>1</v>
      </c>
      <c r="E328" s="110"/>
      <c r="F328" s="148"/>
      <c r="G328" s="236">
        <f>G3233</f>
        <v>0</v>
      </c>
      <c r="H328" s="154">
        <f t="shared" si="55"/>
        <v>0</v>
      </c>
      <c r="I328" s="437" t="s">
        <v>345</v>
      </c>
      <c r="J328" s="244">
        <v>0</v>
      </c>
      <c r="K328" s="245" t="s">
        <v>400</v>
      </c>
      <c r="L328" s="170"/>
      <c r="M328" s="171"/>
      <c r="N328" s="170"/>
      <c r="O328" s="170"/>
      <c r="P328" s="170"/>
    </row>
    <row r="329" spans="1:16" s="16" customFormat="1" ht="18" customHeight="1">
      <c r="A329" s="1"/>
      <c r="B329" s="156" t="s">
        <v>230</v>
      </c>
      <c r="C329" s="167">
        <f>C119</f>
        <v>0</v>
      </c>
      <c r="D329" s="239">
        <v>1</v>
      </c>
      <c r="E329" s="148"/>
      <c r="F329" s="148"/>
      <c r="G329" s="236">
        <f>G3253</f>
        <v>0</v>
      </c>
      <c r="H329" s="154">
        <f t="shared" si="55"/>
        <v>0</v>
      </c>
      <c r="I329" s="437" t="s">
        <v>354</v>
      </c>
      <c r="J329" s="244">
        <v>0</v>
      </c>
      <c r="K329" s="245" t="s">
        <v>378</v>
      </c>
      <c r="L329" s="170"/>
      <c r="M329" s="171"/>
      <c r="N329" s="170"/>
      <c r="O329" s="170"/>
      <c r="P329" s="170"/>
    </row>
    <row r="330" spans="1:16" s="16" customFormat="1" ht="18" customHeight="1">
      <c r="A330" s="1"/>
      <c r="B330" s="156" t="s">
        <v>362</v>
      </c>
      <c r="C330" s="167">
        <f>C329</f>
        <v>0</v>
      </c>
      <c r="D330" s="239">
        <v>1</v>
      </c>
      <c r="E330" s="148"/>
      <c r="F330" s="148"/>
      <c r="G330" s="236">
        <v>3.27</v>
      </c>
      <c r="H330" s="154">
        <f>ROUND(C330*D330*G330,2)</f>
        <v>0</v>
      </c>
      <c r="I330" s="437" t="s">
        <v>358</v>
      </c>
      <c r="J330" s="244">
        <v>3.27</v>
      </c>
      <c r="K330" s="245" t="s">
        <v>358</v>
      </c>
      <c r="L330" s="170"/>
      <c r="M330" s="171"/>
      <c r="N330" s="170"/>
      <c r="O330" s="170"/>
      <c r="P330" s="170"/>
    </row>
    <row r="331" spans="1:16" s="16" customFormat="1" ht="18" customHeight="1">
      <c r="A331" s="1"/>
      <c r="B331" s="156" t="s">
        <v>343</v>
      </c>
      <c r="C331" s="167">
        <f>C319</f>
        <v>12.92</v>
      </c>
      <c r="D331" s="239">
        <v>1</v>
      </c>
      <c r="E331" s="148"/>
      <c r="F331" s="148"/>
      <c r="G331" s="236">
        <v>1.25</v>
      </c>
      <c r="H331" s="154">
        <f>C331*D331*G331</f>
        <v>16.149999999999999</v>
      </c>
      <c r="I331" s="437" t="s">
        <v>344</v>
      </c>
      <c r="J331" s="244">
        <v>1.25</v>
      </c>
      <c r="K331" s="245" t="s">
        <v>344</v>
      </c>
      <c r="L331" s="170"/>
      <c r="M331" s="171"/>
      <c r="N331" s="170"/>
      <c r="O331" s="170"/>
      <c r="P331" s="170"/>
    </row>
    <row r="332" spans="1:16" s="16" customFormat="1" ht="18" customHeight="1">
      <c r="A332" s="1"/>
      <c r="B332" s="156" t="s">
        <v>350</v>
      </c>
      <c r="C332" s="167" cm="1">
        <f t="array" ref="C332">SUMPRODUCT(D26:D30*G26:G30)/1000</f>
        <v>0</v>
      </c>
      <c r="D332" s="239">
        <v>1</v>
      </c>
      <c r="E332" s="148"/>
      <c r="F332" s="148"/>
      <c r="G332" s="236">
        <v>0.41</v>
      </c>
      <c r="H332" s="154">
        <f>C332*D332*G332</f>
        <v>0</v>
      </c>
      <c r="I332" s="437" t="s">
        <v>348</v>
      </c>
      <c r="J332" s="244">
        <v>0.41</v>
      </c>
      <c r="K332" s="245" t="s">
        <v>348</v>
      </c>
      <c r="L332" s="170"/>
      <c r="M332" s="171"/>
      <c r="N332" s="170"/>
      <c r="O332" s="170"/>
      <c r="P332" s="170"/>
    </row>
    <row r="333" spans="1:16" s="16" customFormat="1" ht="18" customHeight="1">
      <c r="A333" s="1"/>
      <c r="B333" s="156" t="s">
        <v>349</v>
      </c>
      <c r="C333" s="167">
        <f>C88+C97+C104+C153+C163+C146</f>
        <v>12.923999999999999</v>
      </c>
      <c r="D333" s="239">
        <v>1</v>
      </c>
      <c r="E333" s="148"/>
      <c r="F333" s="148"/>
      <c r="G333" s="236">
        <v>0.49</v>
      </c>
      <c r="H333" s="154">
        <f>C333*D333*G333</f>
        <v>6.3327599999999995</v>
      </c>
      <c r="I333" s="437" t="s">
        <v>351</v>
      </c>
      <c r="J333" s="244">
        <v>0.49</v>
      </c>
      <c r="K333" s="245" t="s">
        <v>351</v>
      </c>
      <c r="L333" s="170"/>
      <c r="M333" s="171"/>
      <c r="N333" s="170"/>
      <c r="O333" s="170"/>
      <c r="P333" s="170"/>
    </row>
    <row r="334" spans="1:16" s="16" customFormat="1" ht="18" customHeight="1">
      <c r="A334" s="1"/>
      <c r="B334" s="156" t="s">
        <v>353</v>
      </c>
      <c r="C334" s="167">
        <f t="array" ref="C334">SUMPRODUCT(D157:D162*G157:G162)/1000+SUM(G157:G162)*0.3+SUMPRODUCT(D68:D87*G68:G87)/1000+SUM(G68:G87)*0.3</f>
        <v>2.76</v>
      </c>
      <c r="D334" s="239">
        <v>1</v>
      </c>
      <c r="E334" s="148"/>
      <c r="F334" s="148"/>
      <c r="G334" s="237">
        <v>5.36</v>
      </c>
      <c r="H334" s="154">
        <f>C334*G334</f>
        <v>14.7936</v>
      </c>
      <c r="I334" s="437" t="s">
        <v>352</v>
      </c>
      <c r="J334" s="244">
        <v>9.5500000000000007</v>
      </c>
      <c r="K334" s="245" t="s">
        <v>377</v>
      </c>
      <c r="L334" s="170"/>
      <c r="M334" s="171"/>
      <c r="N334" s="170"/>
      <c r="O334" s="170"/>
      <c r="P334" s="170"/>
    </row>
    <row r="335" spans="1:16" s="16" customFormat="1" ht="18" customHeight="1">
      <c r="A335" s="1"/>
      <c r="B335" s="156" t="s">
        <v>364</v>
      </c>
      <c r="C335" s="167">
        <f>C319</f>
        <v>12.92</v>
      </c>
      <c r="D335" s="239">
        <v>1</v>
      </c>
      <c r="E335" s="148"/>
      <c r="F335" s="148"/>
      <c r="G335" s="237">
        <v>1.25</v>
      </c>
      <c r="H335" s="154"/>
      <c r="I335" s="149" t="s">
        <v>363</v>
      </c>
      <c r="J335" s="244">
        <v>1.25</v>
      </c>
      <c r="K335" s="245" t="s">
        <v>363</v>
      </c>
      <c r="L335" s="170"/>
      <c r="M335" s="171"/>
      <c r="N335" s="170"/>
      <c r="O335" s="170"/>
      <c r="P335" s="170"/>
    </row>
    <row r="336" spans="1:16" s="16" customFormat="1" ht="18" customHeight="1">
      <c r="A336" s="1"/>
      <c r="B336" s="156" t="s">
        <v>365</v>
      </c>
      <c r="C336" s="167">
        <f>C320</f>
        <v>12.92</v>
      </c>
      <c r="D336" s="239">
        <v>1</v>
      </c>
      <c r="E336" s="148"/>
      <c r="F336" s="148"/>
      <c r="G336" s="237">
        <v>1.63</v>
      </c>
      <c r="H336" s="154"/>
      <c r="I336" s="149" t="s">
        <v>363</v>
      </c>
      <c r="J336" s="244">
        <v>1.63</v>
      </c>
      <c r="K336" s="245" t="s">
        <v>363</v>
      </c>
      <c r="L336" s="170"/>
      <c r="M336" s="171"/>
      <c r="N336" s="170"/>
      <c r="O336" s="170"/>
      <c r="P336" s="170"/>
    </row>
    <row r="337" spans="1:16" s="16" customFormat="1" ht="18" customHeight="1">
      <c r="A337" s="1"/>
      <c r="B337" s="150" t="s">
        <v>231</v>
      </c>
      <c r="C337" s="165"/>
      <c r="D337" s="50"/>
      <c r="E337" s="50"/>
      <c r="F337" s="50"/>
      <c r="G337" s="166"/>
      <c r="H337" s="155">
        <f>SUM(H323:H336)*1.05</f>
        <v>66.660678000000004</v>
      </c>
      <c r="I337" s="152"/>
      <c r="J337" s="172"/>
      <c r="K337" s="170"/>
      <c r="L337" s="170"/>
      <c r="M337" s="170"/>
      <c r="N337" s="170"/>
      <c r="O337" s="170"/>
      <c r="P337" s="170"/>
    </row>
    <row r="338" spans="1:16" s="16" customFormat="1" ht="18" customHeight="1">
      <c r="A338" s="1"/>
      <c r="B338" s="173" t="s">
        <v>366</v>
      </c>
      <c r="C338" s="174">
        <f>F250+F258+F265+F280+F285+F290</f>
        <v>3</v>
      </c>
      <c r="D338" s="175">
        <v>2</v>
      </c>
      <c r="E338" s="176"/>
      <c r="F338" s="176"/>
      <c r="G338" s="240">
        <v>0.5</v>
      </c>
      <c r="H338" s="177">
        <f t="shared" ref="H338:H343" si="56">D338*G338*C338</f>
        <v>3</v>
      </c>
      <c r="I338" s="178" t="s">
        <v>233</v>
      </c>
      <c r="J338" s="172"/>
      <c r="K338" s="170"/>
      <c r="L338" s="170"/>
      <c r="M338" s="170"/>
      <c r="N338" s="170"/>
      <c r="O338" s="170"/>
      <c r="P338" s="170"/>
    </row>
    <row r="339" spans="1:16" s="16" customFormat="1" ht="18" customHeight="1">
      <c r="A339" s="1"/>
      <c r="B339" s="173" t="s">
        <v>367</v>
      </c>
      <c r="C339" s="174">
        <f>F233+F242+F269+F273</f>
        <v>2</v>
      </c>
      <c r="D339" s="175">
        <v>4</v>
      </c>
      <c r="E339" s="176"/>
      <c r="F339" s="176"/>
      <c r="G339" s="240">
        <v>0.63</v>
      </c>
      <c r="H339" s="177">
        <f t="shared" si="56"/>
        <v>5.04</v>
      </c>
      <c r="I339" s="178" t="s">
        <v>234</v>
      </c>
      <c r="J339" s="172"/>
      <c r="K339" s="170"/>
      <c r="L339" s="170"/>
      <c r="M339" s="170"/>
      <c r="N339" s="170"/>
      <c r="O339" s="170"/>
      <c r="P339" s="170"/>
    </row>
    <row r="340" spans="1:16" s="16" customFormat="1" ht="18" customHeight="1">
      <c r="A340" s="1"/>
      <c r="B340" s="173" t="s">
        <v>366</v>
      </c>
      <c r="C340" s="174">
        <f>SUM(G157:G162)</f>
        <v>0</v>
      </c>
      <c r="D340" s="175">
        <f>IF(E113&gt;2200,2,0)</f>
        <v>0</v>
      </c>
      <c r="E340" s="176"/>
      <c r="F340" s="176"/>
      <c r="G340" s="240">
        <v>0.5</v>
      </c>
      <c r="H340" s="177">
        <f t="shared" si="56"/>
        <v>0</v>
      </c>
      <c r="I340" s="178" t="s">
        <v>235</v>
      </c>
      <c r="J340" s="172"/>
      <c r="K340" s="170"/>
      <c r="L340" s="170"/>
      <c r="M340" s="170"/>
      <c r="N340" s="170"/>
      <c r="O340" s="170"/>
      <c r="P340" s="170"/>
    </row>
    <row r="341" spans="1:16" s="16" customFormat="1" ht="18" customHeight="1">
      <c r="A341" s="1"/>
      <c r="B341" s="173" t="s">
        <v>367</v>
      </c>
      <c r="C341" s="174">
        <f>SUM(G116:G118)</f>
        <v>0</v>
      </c>
      <c r="D341" s="175">
        <v>4</v>
      </c>
      <c r="E341" s="176"/>
      <c r="F341" s="176"/>
      <c r="G341" s="240">
        <v>0.63</v>
      </c>
      <c r="H341" s="177">
        <f t="shared" si="56"/>
        <v>0</v>
      </c>
      <c r="I341" s="178" t="s">
        <v>236</v>
      </c>
      <c r="J341" s="172"/>
      <c r="K341" s="170"/>
      <c r="L341" s="170"/>
      <c r="M341" s="170"/>
      <c r="N341" s="170"/>
      <c r="O341" s="170"/>
      <c r="P341" s="170"/>
    </row>
    <row r="342" spans="1:16" ht="18" customHeight="1">
      <c r="B342" s="173" t="s">
        <v>237</v>
      </c>
      <c r="C342" s="174">
        <v>1</v>
      </c>
      <c r="D342" s="175">
        <f>(F291+F292)*10</f>
        <v>50</v>
      </c>
      <c r="E342" s="176"/>
      <c r="F342" s="176"/>
      <c r="G342" s="240">
        <v>0.37</v>
      </c>
      <c r="H342" s="177">
        <f t="shared" si="56"/>
        <v>18.5</v>
      </c>
      <c r="I342" s="178"/>
      <c r="J342" s="172"/>
      <c r="K342" s="172"/>
      <c r="L342" s="172"/>
      <c r="N342" s="43"/>
    </row>
    <row r="343" spans="1:16" ht="18" customHeight="1">
      <c r="B343" s="173" t="s">
        <v>232</v>
      </c>
      <c r="C343" s="174">
        <f>C338</f>
        <v>3</v>
      </c>
      <c r="D343" s="175">
        <v>0</v>
      </c>
      <c r="E343" s="176"/>
      <c r="F343" s="176"/>
      <c r="G343" s="240">
        <v>0.49</v>
      </c>
      <c r="H343" s="177">
        <f t="shared" si="56"/>
        <v>0</v>
      </c>
      <c r="I343" s="178" t="s">
        <v>238</v>
      </c>
      <c r="J343" s="172"/>
      <c r="K343" s="172"/>
      <c r="L343" s="172"/>
      <c r="N343" s="43"/>
    </row>
    <row r="344" spans="1:16" ht="18" customHeight="1">
      <c r="B344" s="156" t="s">
        <v>239</v>
      </c>
      <c r="C344" s="157"/>
      <c r="D344" s="440">
        <f>E203+E205*2+E207*2+I203+I205*2+I207*2</f>
        <v>24</v>
      </c>
      <c r="E344" s="148"/>
      <c r="F344" s="148"/>
      <c r="G344" s="148">
        <v>0.2</v>
      </c>
      <c r="H344" s="179">
        <f>D344*G344</f>
        <v>4.8000000000000007</v>
      </c>
      <c r="I344" s="437" t="s">
        <v>368</v>
      </c>
      <c r="J344" s="172"/>
      <c r="K344" s="172"/>
      <c r="L344" s="172"/>
    </row>
    <row r="345" spans="1:16" ht="18" customHeight="1">
      <c r="B345" s="156" t="s">
        <v>240</v>
      </c>
      <c r="C345" s="157"/>
      <c r="D345" s="440">
        <f>4*(E52+E53+E54+E55+G52+G53+G54+G55+G60+G61+G62+G63+E130+E131+E132+G130+G131+G132+G137+G138)</f>
        <v>12</v>
      </c>
      <c r="E345" s="148"/>
      <c r="F345" s="148"/>
      <c r="G345" s="148">
        <v>0.22</v>
      </c>
      <c r="H345" s="179">
        <f>D345*G345</f>
        <v>2.64</v>
      </c>
      <c r="I345" s="437" t="s">
        <v>241</v>
      </c>
      <c r="J345" s="172"/>
      <c r="K345" s="172"/>
      <c r="L345" s="172"/>
    </row>
    <row r="346" spans="1:16" ht="18" customHeight="1">
      <c r="B346" s="156" t="s">
        <v>242</v>
      </c>
      <c r="C346" s="157"/>
      <c r="D346" s="440">
        <f>D345/2</f>
        <v>6</v>
      </c>
      <c r="E346" s="148"/>
      <c r="F346" s="148"/>
      <c r="G346" s="148">
        <v>0.22</v>
      </c>
      <c r="H346" s="179">
        <f>ROUND(D346*G346,2)</f>
        <v>1.32</v>
      </c>
      <c r="I346" s="437" t="s">
        <v>243</v>
      </c>
      <c r="J346" s="172"/>
      <c r="K346" s="172"/>
      <c r="L346" s="172"/>
    </row>
    <row r="347" spans="1:16" ht="18" customHeight="1">
      <c r="B347" s="156" t="s">
        <v>369</v>
      </c>
      <c r="C347" s="157"/>
      <c r="D347" s="440">
        <f>D346</f>
        <v>6</v>
      </c>
      <c r="E347" s="148"/>
      <c r="F347" s="148"/>
      <c r="G347" s="148">
        <v>1.37</v>
      </c>
      <c r="H347" s="179">
        <f>ROUND(D347*G347,2)</f>
        <v>8.2200000000000006</v>
      </c>
      <c r="I347" s="437" t="s">
        <v>370</v>
      </c>
      <c r="J347" s="172"/>
      <c r="K347" s="172"/>
      <c r="L347" s="172"/>
    </row>
    <row r="348" spans="1:16" ht="18" customHeight="1">
      <c r="B348" s="156" t="s">
        <v>244</v>
      </c>
      <c r="C348" s="157"/>
      <c r="D348" s="440">
        <f>(F291+F292)*2</f>
        <v>10</v>
      </c>
      <c r="E348" s="148"/>
      <c r="F348" s="148"/>
      <c r="G348" s="148">
        <v>0.48</v>
      </c>
      <c r="H348" s="179">
        <f>ROUND(D348*G348,2)</f>
        <v>4.8</v>
      </c>
      <c r="I348" s="437" t="s">
        <v>245</v>
      </c>
      <c r="J348" s="255"/>
    </row>
    <row r="349" spans="1:16" ht="18" customHeight="1">
      <c r="B349" s="156" t="s">
        <v>246</v>
      </c>
      <c r="C349" s="157"/>
      <c r="D349" s="440">
        <f>ROUND((D4+E4-240)*2/200+E217*F217/200,0)</f>
        <v>40</v>
      </c>
      <c r="E349" s="148"/>
      <c r="F349" s="148"/>
      <c r="G349" s="148">
        <v>0.05</v>
      </c>
      <c r="H349" s="179">
        <f>ROUND(D349*G349,2)</f>
        <v>2</v>
      </c>
      <c r="I349" s="437" t="s">
        <v>247</v>
      </c>
      <c r="J349" s="255"/>
    </row>
    <row r="350" spans="1:16" ht="18" customHeight="1">
      <c r="B350" s="150" t="s">
        <v>248</v>
      </c>
      <c r="C350" s="165"/>
      <c r="D350" s="50"/>
      <c r="E350" s="50"/>
      <c r="F350" s="50"/>
      <c r="G350" s="166"/>
      <c r="H350" s="155">
        <f>SUM(H338:H349)</f>
        <v>50.319999999999993</v>
      </c>
      <c r="I350" s="152"/>
    </row>
    <row r="351" spans="1:16" ht="18" customHeight="1">
      <c r="B351" s="156" t="s">
        <v>359</v>
      </c>
      <c r="C351" s="157"/>
      <c r="D351" s="440">
        <f>SUMPRODUCT(G26:G30)*8+SUMPRODUCT(G35:G37)*8+SUMPRODUCT(G116:G118)*8+SUMPRODUCT(G123:G125)*8</f>
        <v>16</v>
      </c>
      <c r="E351" s="148"/>
      <c r="F351" s="148"/>
      <c r="G351" s="148">
        <v>1.26</v>
      </c>
      <c r="H351" s="154">
        <f>ROUND(D351*G351,2)</f>
        <v>20.16</v>
      </c>
      <c r="I351" s="437" t="s">
        <v>386</v>
      </c>
    </row>
    <row r="352" spans="1:16" ht="18" customHeight="1">
      <c r="B352" s="156" t="s">
        <v>360</v>
      </c>
      <c r="C352" s="157"/>
      <c r="D352" s="440">
        <f>G26*4+G27*4+G28*4+G29*4+G30*4</f>
        <v>0</v>
      </c>
      <c r="E352" s="148"/>
      <c r="F352" s="148"/>
      <c r="G352" s="148">
        <v>2</v>
      </c>
      <c r="H352" s="154">
        <f>ROUND(D352*G352,2)</f>
        <v>0</v>
      </c>
      <c r="I352" s="437" t="s">
        <v>361</v>
      </c>
    </row>
    <row r="353" spans="1:22" ht="18" customHeight="1">
      <c r="B353" s="156" t="s">
        <v>249</v>
      </c>
      <c r="C353" s="157"/>
      <c r="D353" s="440"/>
      <c r="E353" s="148"/>
      <c r="F353" s="148"/>
      <c r="G353" s="148">
        <v>1.6</v>
      </c>
      <c r="H353" s="154"/>
      <c r="I353" s="437"/>
    </row>
    <row r="354" spans="1:22" ht="18" customHeight="1">
      <c r="B354" s="156" t="s">
        <v>250</v>
      </c>
      <c r="C354" s="157"/>
      <c r="D354" s="44">
        <f>C22+C31+C38+C48+C56+C64+C112+C119+C126+C133+C139+C199</f>
        <v>24.792000000000002</v>
      </c>
      <c r="E354" s="148"/>
      <c r="F354" s="148"/>
      <c r="G354" s="179">
        <v>4</v>
      </c>
      <c r="H354" s="154">
        <f t="shared" ref="H354:H356" si="57">ROUND(D354*G354,2)</f>
        <v>99.17</v>
      </c>
      <c r="I354" s="437"/>
    </row>
    <row r="355" spans="1:22" ht="18" customHeight="1">
      <c r="B355" s="156" t="s">
        <v>251</v>
      </c>
      <c r="C355" s="157" t="s">
        <v>252</v>
      </c>
      <c r="D355" s="44">
        <f>C88+C163</f>
        <v>8.36</v>
      </c>
      <c r="E355" s="148"/>
      <c r="F355" s="148"/>
      <c r="G355" s="179">
        <v>3.15</v>
      </c>
      <c r="H355" s="154">
        <f t="shared" si="57"/>
        <v>26.33</v>
      </c>
      <c r="I355" s="437"/>
    </row>
    <row r="356" spans="1:22" ht="18" customHeight="1">
      <c r="B356" s="156" t="s">
        <v>253</v>
      </c>
      <c r="C356" s="157" t="s">
        <v>254</v>
      </c>
      <c r="D356" s="44">
        <f>C97+C104+C146+C153</f>
        <v>4.5640000000000001</v>
      </c>
      <c r="E356" s="148"/>
      <c r="F356" s="148"/>
      <c r="G356" s="179">
        <v>3.65</v>
      </c>
      <c r="H356" s="154">
        <f t="shared" si="57"/>
        <v>16.66</v>
      </c>
      <c r="I356" s="437"/>
    </row>
    <row r="357" spans="1:22" ht="18" customHeight="1">
      <c r="B357" s="156" t="s">
        <v>387</v>
      </c>
      <c r="C357" s="157"/>
      <c r="D357" s="44">
        <f>F291+F292</f>
        <v>5</v>
      </c>
      <c r="E357" s="148"/>
      <c r="F357" s="148"/>
      <c r="G357" s="179">
        <v>6</v>
      </c>
      <c r="H357" s="154"/>
      <c r="I357" s="437"/>
    </row>
    <row r="358" spans="1:22" ht="18" customHeight="1">
      <c r="B358" s="156" t="s">
        <v>255</v>
      </c>
      <c r="C358" s="157"/>
      <c r="D358" s="180">
        <f>D4*1.5/1000</f>
        <v>1.65</v>
      </c>
      <c r="E358" s="148"/>
      <c r="F358" s="148"/>
      <c r="G358" s="148">
        <v>70</v>
      </c>
      <c r="H358" s="154">
        <f>D358*G358</f>
        <v>115.5</v>
      </c>
      <c r="I358" s="437"/>
    </row>
    <row r="359" spans="1:22" ht="18" customHeight="1">
      <c r="B359" s="156" t="s">
        <v>858</v>
      </c>
      <c r="C359" s="157"/>
      <c r="D359" s="180"/>
      <c r="E359" s="148"/>
      <c r="F359" s="148"/>
      <c r="G359" s="148">
        <v>180</v>
      </c>
      <c r="H359" s="154">
        <f>D359*G359</f>
        <v>0</v>
      </c>
      <c r="I359" s="437"/>
    </row>
    <row r="360" spans="1:22" ht="18" customHeight="1">
      <c r="B360" s="156" t="s">
        <v>388</v>
      </c>
      <c r="C360" s="157"/>
      <c r="D360" s="440">
        <v>1</v>
      </c>
      <c r="E360" s="148"/>
      <c r="F360" s="148"/>
      <c r="G360" s="148">
        <v>9.6</v>
      </c>
      <c r="H360" s="154">
        <f>ROUND(D360*G360,2)</f>
        <v>9.6</v>
      </c>
      <c r="I360" s="437"/>
    </row>
    <row r="361" spans="1:22" ht="18" customHeight="1">
      <c r="B361" s="156" t="s">
        <v>901</v>
      </c>
      <c r="C361" s="157"/>
      <c r="D361" s="463">
        <f>(D4+E4)*2/1000</f>
        <v>7.5</v>
      </c>
      <c r="E361" s="148"/>
      <c r="F361" s="148"/>
      <c r="G361" s="148">
        <v>45</v>
      </c>
      <c r="H361" s="154">
        <f>ROUND(D361*G361,2)</f>
        <v>337.5</v>
      </c>
      <c r="I361" s="468"/>
    </row>
    <row r="362" spans="1:22" ht="18" customHeight="1">
      <c r="B362" s="181" t="s">
        <v>398</v>
      </c>
      <c r="C362" s="157"/>
      <c r="D362" s="182">
        <f>F366</f>
        <v>2.6574</v>
      </c>
      <c r="E362" s="148"/>
      <c r="F362" s="148"/>
      <c r="G362" s="148">
        <v>3</v>
      </c>
      <c r="H362" s="154">
        <f>D362*G362</f>
        <v>7.9722</v>
      </c>
      <c r="I362" s="437"/>
    </row>
    <row r="363" spans="1:22" ht="18" customHeight="1">
      <c r="B363" s="150" t="s">
        <v>256</v>
      </c>
      <c r="C363" s="50"/>
      <c r="D363" s="50"/>
      <c r="E363" s="50"/>
      <c r="F363" s="50"/>
      <c r="G363" s="166"/>
      <c r="H363" s="155">
        <f>SUM(H351:H362)</f>
        <v>632.89220000000012</v>
      </c>
      <c r="I363" s="183"/>
    </row>
    <row r="364" spans="1:22" ht="18" customHeight="1">
      <c r="B364" s="438" t="s">
        <v>257</v>
      </c>
      <c r="C364" s="185"/>
      <c r="D364" s="186"/>
      <c r="E364" s="185"/>
      <c r="F364" s="186"/>
      <c r="G364" s="186"/>
      <c r="H364" s="187">
        <f>SUM(H363,H350,H337,H322,H314,H308,H304)</f>
        <v>1365.2328780000003</v>
      </c>
      <c r="I364" s="188"/>
    </row>
    <row r="365" spans="1:22" ht="18" customHeight="1">
      <c r="A365" s="189"/>
      <c r="B365" s="190" t="s">
        <v>258</v>
      </c>
      <c r="C365" s="10" t="s">
        <v>14</v>
      </c>
      <c r="D365" s="10" t="s">
        <v>16</v>
      </c>
      <c r="E365" s="10" t="s">
        <v>17</v>
      </c>
      <c r="F365" s="10" t="s">
        <v>7</v>
      </c>
      <c r="G365" s="10" t="s">
        <v>5</v>
      </c>
      <c r="H365" s="10" t="s">
        <v>18</v>
      </c>
      <c r="I365" s="191" t="s">
        <v>259</v>
      </c>
      <c r="L365" s="192"/>
      <c r="M365" s="192"/>
    </row>
    <row r="366" spans="1:22" ht="18" customHeight="1">
      <c r="B366" s="48">
        <f>ROUND(I366/F366,2)</f>
        <v>1537.77</v>
      </c>
      <c r="C366" s="50" t="s">
        <v>299</v>
      </c>
      <c r="D366" s="50">
        <f>D5</f>
        <v>1030</v>
      </c>
      <c r="E366" s="50">
        <f>E5</f>
        <v>2580</v>
      </c>
      <c r="F366" s="49">
        <f>E366*D366/1000000</f>
        <v>2.6574</v>
      </c>
      <c r="G366" s="50">
        <f>G4</f>
        <v>1</v>
      </c>
      <c r="H366" s="49">
        <f>F366</f>
        <v>2.6574</v>
      </c>
      <c r="I366" s="193">
        <f>H364+H291+H292+I223+I12</f>
        <v>4086.4810257059999</v>
      </c>
      <c r="K366" s="192"/>
    </row>
    <row r="367" spans="1:22" ht="18" customHeight="1">
      <c r="B367" s="194" t="s">
        <v>258</v>
      </c>
      <c r="C367" s="195" t="s">
        <v>260</v>
      </c>
      <c r="D367" s="195" t="s">
        <v>261</v>
      </c>
      <c r="E367" s="195" t="s">
        <v>262</v>
      </c>
      <c r="F367" s="195" t="s">
        <v>263</v>
      </c>
      <c r="G367" s="195" t="s">
        <v>264</v>
      </c>
      <c r="H367" s="195" t="s">
        <v>265</v>
      </c>
      <c r="I367" s="196" t="s">
        <v>266</v>
      </c>
    </row>
    <row r="368" spans="1:22" ht="30" customHeight="1" thickBot="1">
      <c r="B368" s="197">
        <f>ROUND(I366/H366,2)</f>
        <v>1537.77</v>
      </c>
      <c r="C368" s="198">
        <f>E294+E296+E298+E300+E302+E303+E297+E299</f>
        <v>2</v>
      </c>
      <c r="D368" s="199"/>
      <c r="E368" s="199"/>
      <c r="F368" s="200"/>
      <c r="G368" s="200"/>
      <c r="H368" s="200"/>
      <c r="I368" s="201"/>
      <c r="O368" s="631" t="s">
        <v>603</v>
      </c>
      <c r="P368" s="631"/>
      <c r="Q368" s="631"/>
      <c r="R368" s="631"/>
      <c r="S368" s="631"/>
      <c r="T368" s="631"/>
      <c r="U368" s="631"/>
      <c r="V368" s="631"/>
    </row>
    <row r="369" spans="2:22" ht="20.100000000000001" customHeight="1">
      <c r="B369" s="42"/>
      <c r="L369" s="202"/>
      <c r="M369" s="202"/>
      <c r="N369" s="202"/>
      <c r="O369" s="634" t="s">
        <v>604</v>
      </c>
      <c r="P369" s="634"/>
      <c r="Q369" s="634"/>
      <c r="R369" s="634"/>
      <c r="S369" s="634"/>
      <c r="T369" s="634"/>
      <c r="U369" s="634"/>
      <c r="V369" s="634"/>
    </row>
    <row r="370" spans="2:22" ht="20.100000000000001" customHeight="1">
      <c r="B370" s="102" t="s">
        <v>862</v>
      </c>
      <c r="C370" s="203"/>
      <c r="D370" s="203" t="s">
        <v>267</v>
      </c>
      <c r="E370" s="203"/>
      <c r="J370" s="102"/>
      <c r="O370" s="285" t="s">
        <v>279</v>
      </c>
      <c r="P370" s="624" t="s">
        <v>633</v>
      </c>
      <c r="Q370" s="625"/>
      <c r="R370" s="312" t="str">
        <f ca="1">B4</f>
        <v>C1127</v>
      </c>
      <c r="S370" s="312"/>
      <c r="T370" s="313"/>
      <c r="U370" s="287" t="s">
        <v>605</v>
      </c>
      <c r="V370" s="288"/>
    </row>
    <row r="371" spans="2:22" ht="24.95" customHeight="1">
      <c r="B371" s="102">
        <f>ROUND(I366/F6,2)</f>
        <v>1558.89</v>
      </c>
      <c r="C371" s="203">
        <f>U392</f>
        <v>1829.2636410941473</v>
      </c>
      <c r="D371" s="203">
        <f>E304</f>
        <v>2</v>
      </c>
      <c r="E371" s="203"/>
      <c r="J371" s="102"/>
      <c r="O371" s="635" t="s">
        <v>606</v>
      </c>
      <c r="P371" s="623" t="s">
        <v>626</v>
      </c>
      <c r="Q371" s="623"/>
      <c r="R371" s="623"/>
      <c r="S371" s="623"/>
      <c r="T371" s="637"/>
      <c r="U371" s="291" t="s">
        <v>607</v>
      </c>
      <c r="V371" s="292" t="s">
        <v>313</v>
      </c>
    </row>
    <row r="372" spans="2:22" ht="24.95" customHeight="1">
      <c r="L372" s="102"/>
      <c r="M372" s="102"/>
      <c r="N372" s="102"/>
      <c r="O372" s="636"/>
      <c r="P372" s="638"/>
      <c r="Q372" s="638"/>
      <c r="R372" s="638"/>
      <c r="S372" s="638"/>
      <c r="T372" s="638"/>
      <c r="U372" s="291" t="s">
        <v>268</v>
      </c>
      <c r="V372" s="293">
        <f>F4</f>
        <v>2.7850000000000001</v>
      </c>
    </row>
    <row r="373" spans="2:22" ht="24.95" customHeight="1">
      <c r="J373" s="102"/>
      <c r="K373" s="102"/>
      <c r="L373" s="102"/>
      <c r="M373" s="102"/>
      <c r="N373" s="102"/>
      <c r="O373" s="311" t="s">
        <v>0</v>
      </c>
      <c r="P373" s="289" t="s">
        <v>608</v>
      </c>
      <c r="Q373" s="289" t="s">
        <v>627</v>
      </c>
      <c r="R373" s="289" t="s">
        <v>269</v>
      </c>
      <c r="S373" s="294" t="s">
        <v>8</v>
      </c>
      <c r="T373" s="295" t="s">
        <v>609</v>
      </c>
      <c r="U373" s="296" t="s">
        <v>270</v>
      </c>
      <c r="V373" s="295" t="s">
        <v>610</v>
      </c>
    </row>
    <row r="374" spans="2:22" ht="20.100000000000001" customHeight="1">
      <c r="J374" s="102"/>
      <c r="K374" s="102"/>
      <c r="L374" s="102"/>
      <c r="M374" s="102"/>
      <c r="N374" s="102"/>
      <c r="O374" s="297" t="s">
        <v>305</v>
      </c>
      <c r="P374" s="298" t="s">
        <v>611</v>
      </c>
      <c r="Q374" s="298"/>
      <c r="R374" s="286"/>
      <c r="S374" s="299"/>
      <c r="T374" s="300"/>
      <c r="U374" s="301">
        <f>SUM(U375:U383)</f>
        <v>3744.1160337060001</v>
      </c>
      <c r="V374" s="286"/>
    </row>
    <row r="375" spans="2:22" ht="20.100000000000001" customHeight="1">
      <c r="J375" s="102"/>
      <c r="K375" s="102"/>
      <c r="L375" s="102"/>
      <c r="M375" s="102"/>
      <c r="N375" s="102"/>
      <c r="O375" s="286">
        <v>1</v>
      </c>
      <c r="P375" s="302" t="s">
        <v>612</v>
      </c>
      <c r="Q375" s="307"/>
      <c r="R375" s="286" t="s">
        <v>271</v>
      </c>
      <c r="S375" s="303">
        <f>E223</f>
        <v>49.126530000000002</v>
      </c>
      <c r="T375" s="304">
        <f>I223/E223</f>
        <v>48.001520720189269</v>
      </c>
      <c r="U375" s="305">
        <f t="shared" ref="U375:U383" si="58">T375*S375</f>
        <v>2358.1481477059997</v>
      </c>
      <c r="V375" s="306"/>
    </row>
    <row r="376" spans="2:22" ht="20.100000000000001" customHeight="1">
      <c r="J376" s="102"/>
      <c r="K376" s="102"/>
      <c r="L376" s="102"/>
      <c r="M376" s="102"/>
      <c r="N376" s="102"/>
      <c r="O376" s="286">
        <v>2</v>
      </c>
      <c r="P376" s="290" t="s">
        <v>613</v>
      </c>
      <c r="Q376" s="307"/>
      <c r="R376" s="286" t="s">
        <v>276</v>
      </c>
      <c r="S376" s="303">
        <f>D358</f>
        <v>1.65</v>
      </c>
      <c r="T376" s="304">
        <f>G358</f>
        <v>70</v>
      </c>
      <c r="U376" s="305">
        <f t="shared" si="58"/>
        <v>115.5</v>
      </c>
      <c r="V376" s="306"/>
    </row>
    <row r="377" spans="2:22" ht="20.100000000000001" customHeight="1">
      <c r="J377" s="102"/>
      <c r="K377" s="102"/>
      <c r="L377" s="102"/>
      <c r="M377" s="102"/>
      <c r="N377" s="102"/>
      <c r="O377" s="286">
        <v>3</v>
      </c>
      <c r="P377" s="302" t="s">
        <v>614</v>
      </c>
      <c r="Q377" s="302"/>
      <c r="R377" s="286" t="s">
        <v>312</v>
      </c>
      <c r="S377" s="303">
        <f>D291+D292</f>
        <v>1.734696</v>
      </c>
      <c r="T377" s="304">
        <f>材料价格!B10</f>
        <v>148</v>
      </c>
      <c r="U377" s="305">
        <f t="shared" si="58"/>
        <v>256.73500799999999</v>
      </c>
      <c r="V377" s="306"/>
    </row>
    <row r="378" spans="2:22" ht="20.100000000000001" customHeight="1">
      <c r="B378" s="630" t="s">
        <v>277</v>
      </c>
      <c r="C378" s="630"/>
      <c r="D378" s="630"/>
      <c r="E378" s="630"/>
      <c r="F378" s="630"/>
      <c r="G378" s="630"/>
      <c r="H378" s="630"/>
      <c r="I378" s="630"/>
      <c r="J378" s="102"/>
      <c r="K378" s="102"/>
      <c r="L378" s="102"/>
      <c r="M378" s="102"/>
      <c r="N378" s="102"/>
      <c r="O378" s="286">
        <v>4</v>
      </c>
      <c r="P378" s="302" t="s">
        <v>615</v>
      </c>
      <c r="Q378" s="306"/>
      <c r="R378" s="286" t="s">
        <v>278</v>
      </c>
      <c r="S378" s="303">
        <f>(H316+H317+H319+H320+H321)/F316</f>
        <v>8.0974178403755861</v>
      </c>
      <c r="T378" s="304">
        <f>材料价格!B25</f>
        <v>8.52</v>
      </c>
      <c r="U378" s="305">
        <f t="shared" si="58"/>
        <v>68.989999999999995</v>
      </c>
      <c r="V378" s="306"/>
    </row>
    <row r="379" spans="2:22" ht="20.100000000000001" customHeight="1">
      <c r="B379" s="204" t="s">
        <v>279</v>
      </c>
      <c r="C379" s="205" t="s">
        <v>280</v>
      </c>
      <c r="D379" s="205" t="s">
        <v>281</v>
      </c>
      <c r="E379" s="205" t="s">
        <v>282</v>
      </c>
      <c r="F379" s="205" t="s">
        <v>379</v>
      </c>
      <c r="G379" s="205"/>
      <c r="H379" s="205" t="s">
        <v>28</v>
      </c>
      <c r="I379" s="205" t="s">
        <v>259</v>
      </c>
      <c r="J379" s="102"/>
      <c r="K379" s="102"/>
      <c r="L379" s="102"/>
      <c r="M379" s="102"/>
      <c r="N379" s="102"/>
      <c r="O379" s="286">
        <v>5</v>
      </c>
      <c r="P379" s="306" t="s">
        <v>616</v>
      </c>
      <c r="Q379" s="302"/>
      <c r="R379" s="286" t="s">
        <v>628</v>
      </c>
      <c r="S379" s="303">
        <f>H337/21</f>
        <v>3.1743180000000004</v>
      </c>
      <c r="T379" s="304">
        <v>21</v>
      </c>
      <c r="U379" s="305">
        <f t="shared" si="58"/>
        <v>66.660678000000004</v>
      </c>
      <c r="V379" s="306"/>
    </row>
    <row r="380" spans="2:22" ht="20.100000000000001" customHeight="1">
      <c r="B380" s="206" t="s">
        <v>284</v>
      </c>
      <c r="C380" s="208" t="s">
        <v>384</v>
      </c>
      <c r="D380" s="207">
        <f>C22+C31+C38+C48+C56+C112+C119+C126+C133+C139+C177+C184+C191+C199</f>
        <v>22.772000000000002</v>
      </c>
      <c r="E380" s="207" t="s">
        <v>383</v>
      </c>
      <c r="F380" s="206"/>
      <c r="G380" s="206"/>
      <c r="H380" s="241">
        <v>2.4</v>
      </c>
      <c r="I380" s="207"/>
      <c r="J380" s="102"/>
      <c r="K380" s="102"/>
      <c r="L380" s="102"/>
      <c r="M380" s="102"/>
      <c r="N380" s="102"/>
      <c r="O380" s="286">
        <v>6</v>
      </c>
      <c r="P380" s="302" t="s">
        <v>319</v>
      </c>
      <c r="Q380" s="302"/>
      <c r="R380" s="286" t="s">
        <v>273</v>
      </c>
      <c r="S380" s="303">
        <f>E298</f>
        <v>2</v>
      </c>
      <c r="T380" s="304">
        <f>材料价格!B16</f>
        <v>88</v>
      </c>
      <c r="U380" s="305">
        <f t="shared" si="58"/>
        <v>176</v>
      </c>
      <c r="V380" s="306"/>
    </row>
    <row r="381" spans="2:22" ht="20.100000000000001" customHeight="1">
      <c r="B381" s="206" t="s">
        <v>286</v>
      </c>
      <c r="C381" s="206" t="s">
        <v>287</v>
      </c>
      <c r="D381" s="209">
        <f>(J22+J31+J38+J48+J112+J119+J126)*4+(J56+J133)*2</f>
        <v>28</v>
      </c>
      <c r="E381" s="207" t="s">
        <v>285</v>
      </c>
      <c r="F381" s="206"/>
      <c r="G381" s="206"/>
      <c r="H381" s="241">
        <v>0.5</v>
      </c>
      <c r="I381" s="207">
        <f>H381*D381</f>
        <v>14</v>
      </c>
      <c r="J381" s="102"/>
      <c r="K381" s="102"/>
      <c r="L381" s="102"/>
      <c r="M381" s="102"/>
      <c r="N381" s="102"/>
      <c r="O381" s="286">
        <v>7</v>
      </c>
      <c r="P381" s="302" t="s">
        <v>295</v>
      </c>
      <c r="Q381" s="302"/>
      <c r="R381" s="286" t="s">
        <v>273</v>
      </c>
      <c r="S381" s="303"/>
      <c r="T381" s="304">
        <f>材料价格!B19</f>
        <v>230</v>
      </c>
      <c r="U381" s="305">
        <f t="shared" si="58"/>
        <v>0</v>
      </c>
      <c r="V381" s="306"/>
    </row>
    <row r="382" spans="2:22" ht="20.100000000000001" customHeight="1">
      <c r="B382" s="206" t="s">
        <v>289</v>
      </c>
      <c r="C382" s="206"/>
      <c r="D382" s="210">
        <f>ROUND((C22+C56*2+C64*2+C112+C133*2+C139*2)/0.3,0)+2</f>
        <v>59</v>
      </c>
      <c r="E382" s="207" t="s">
        <v>285</v>
      </c>
      <c r="F382" s="206"/>
      <c r="G382" s="206"/>
      <c r="H382" s="241">
        <v>0.3</v>
      </c>
      <c r="I382" s="207">
        <f t="shared" ref="I382:I387" si="59">H382*D382</f>
        <v>17.7</v>
      </c>
      <c r="J382" s="102"/>
      <c r="K382" s="102"/>
      <c r="L382" s="102"/>
      <c r="M382" s="102"/>
      <c r="N382" s="102"/>
      <c r="O382" s="286">
        <v>8</v>
      </c>
      <c r="P382" s="302" t="s">
        <v>296</v>
      </c>
      <c r="Q382" s="302"/>
      <c r="R382" s="286" t="s">
        <v>273</v>
      </c>
      <c r="S382" s="303">
        <f>E303</f>
        <v>0</v>
      </c>
      <c r="T382" s="304">
        <f>材料价格!B20</f>
        <v>335</v>
      </c>
      <c r="U382" s="305">
        <f t="shared" si="58"/>
        <v>0</v>
      </c>
      <c r="V382" s="306"/>
    </row>
    <row r="383" spans="2:22" ht="20.100000000000001" customHeight="1">
      <c r="B383" s="206" t="s">
        <v>381</v>
      </c>
      <c r="C383" s="206" t="s">
        <v>389</v>
      </c>
      <c r="D383" s="211">
        <f>C22+C31+C38+C56*2+C64*2+C112+C119+C126+C133*2</f>
        <v>22.696000000000002</v>
      </c>
      <c r="E383" s="207" t="s">
        <v>285</v>
      </c>
      <c r="F383" s="206" t="s">
        <v>380</v>
      </c>
      <c r="G383" s="206"/>
      <c r="H383" s="241">
        <v>2.81</v>
      </c>
      <c r="I383" s="207">
        <f>H383*D383</f>
        <v>63.775760000000005</v>
      </c>
      <c r="J383" s="102"/>
      <c r="K383" s="102"/>
      <c r="L383" s="102"/>
      <c r="M383" s="102"/>
      <c r="N383" s="102"/>
      <c r="O383" s="286">
        <v>9</v>
      </c>
      <c r="P383" s="302" t="s">
        <v>617</v>
      </c>
      <c r="Q383" s="302"/>
      <c r="R383" s="286" t="s">
        <v>618</v>
      </c>
      <c r="S383" s="296">
        <v>1</v>
      </c>
      <c r="T383" s="304">
        <f>H363-H358+H350+H318+H315+H314</f>
        <v>702.08220000000017</v>
      </c>
      <c r="U383" s="305">
        <f t="shared" si="58"/>
        <v>702.08220000000017</v>
      </c>
      <c r="V383" s="306"/>
    </row>
    <row r="384" spans="2:22" ht="20.100000000000001" customHeight="1">
      <c r="B384" s="206" t="s">
        <v>390</v>
      </c>
      <c r="C384" s="206" t="s">
        <v>392</v>
      </c>
      <c r="D384" s="211">
        <f>C22+C88+C112+C163</f>
        <v>17.579999999999998</v>
      </c>
      <c r="E384" s="207" t="s">
        <v>285</v>
      </c>
      <c r="F384" s="206" t="s">
        <v>394</v>
      </c>
      <c r="G384" s="206"/>
      <c r="H384" s="241">
        <v>3.27</v>
      </c>
      <c r="I384" s="207">
        <f t="shared" ref="I384" si="60">H384*D384</f>
        <v>57.486599999999996</v>
      </c>
      <c r="J384" s="102"/>
      <c r="K384" s="102"/>
      <c r="L384" s="102"/>
      <c r="M384" s="102"/>
      <c r="N384" s="102"/>
      <c r="O384" s="297" t="s">
        <v>306</v>
      </c>
      <c r="P384" s="308" t="s">
        <v>314</v>
      </c>
      <c r="Q384" s="298"/>
      <c r="R384" s="286"/>
      <c r="S384" s="296"/>
      <c r="T384" s="309"/>
      <c r="U384" s="301">
        <f>SUM(U385:U386)</f>
        <v>445.6</v>
      </c>
      <c r="V384" s="286"/>
    </row>
    <row r="385" spans="2:22" ht="20.100000000000001" customHeight="1">
      <c r="B385" s="206" t="s">
        <v>391</v>
      </c>
      <c r="C385" s="206" t="s">
        <v>393</v>
      </c>
      <c r="D385" s="211">
        <f>(C97+C104+C119+C126)*2</f>
        <v>9.1280000000000001</v>
      </c>
      <c r="E385" s="207" t="s">
        <v>285</v>
      </c>
      <c r="F385" s="206" t="s">
        <v>395</v>
      </c>
      <c r="G385" s="206"/>
      <c r="H385" s="241">
        <v>1.74</v>
      </c>
      <c r="I385" s="207">
        <f t="shared" si="59"/>
        <v>15.882720000000001</v>
      </c>
      <c r="J385" s="102"/>
      <c r="K385" s="102"/>
      <c r="L385" s="102"/>
      <c r="M385" s="102"/>
      <c r="N385" s="102"/>
      <c r="O385" s="286">
        <v>1</v>
      </c>
      <c r="P385" s="307" t="s">
        <v>619</v>
      </c>
      <c r="Q385" s="307"/>
      <c r="R385" s="300" t="s">
        <v>312</v>
      </c>
      <c r="S385" s="296">
        <f>V372</f>
        <v>2.7850000000000001</v>
      </c>
      <c r="T385" s="310">
        <v>60</v>
      </c>
      <c r="U385" s="305">
        <f>T385*S385</f>
        <v>167.10000000000002</v>
      </c>
      <c r="V385" s="286"/>
    </row>
    <row r="386" spans="2:22" ht="20.100000000000001" customHeight="1">
      <c r="B386" s="208" t="s">
        <v>382</v>
      </c>
      <c r="C386" s="206" t="s">
        <v>291</v>
      </c>
      <c r="D386" s="211">
        <f>D338+D339+D341</f>
        <v>10</v>
      </c>
      <c r="E386" s="207" t="s">
        <v>285</v>
      </c>
      <c r="F386" s="206"/>
      <c r="G386" s="206"/>
      <c r="H386" s="241">
        <v>0.56999999999999995</v>
      </c>
      <c r="I386" s="207">
        <f>H386*D386</f>
        <v>5.6999999999999993</v>
      </c>
      <c r="J386" s="102"/>
      <c r="K386" s="102"/>
      <c r="L386" s="102"/>
      <c r="M386" s="102"/>
      <c r="N386" s="102"/>
      <c r="O386" s="286">
        <v>2</v>
      </c>
      <c r="P386" s="307" t="s">
        <v>288</v>
      </c>
      <c r="Q386" s="307"/>
      <c r="R386" s="300" t="s">
        <v>312</v>
      </c>
      <c r="S386" s="296">
        <f>V372</f>
        <v>2.7850000000000001</v>
      </c>
      <c r="T386" s="310">
        <v>100</v>
      </c>
      <c r="U386" s="305">
        <f>T386*S386</f>
        <v>278.5</v>
      </c>
      <c r="V386" s="286"/>
    </row>
    <row r="387" spans="2:22" ht="20.100000000000001" customHeight="1">
      <c r="B387" s="206" t="s">
        <v>292</v>
      </c>
      <c r="C387" s="206"/>
      <c r="D387" s="211">
        <f>H366</f>
        <v>2.6574</v>
      </c>
      <c r="E387" s="207" t="s">
        <v>285</v>
      </c>
      <c r="F387" s="206"/>
      <c r="G387" s="206"/>
      <c r="H387" s="241">
        <v>20</v>
      </c>
      <c r="I387" s="207">
        <f t="shared" si="59"/>
        <v>53.147999999999996</v>
      </c>
      <c r="J387" s="102"/>
      <c r="K387" s="102"/>
      <c r="L387" s="102"/>
      <c r="M387" s="102"/>
      <c r="N387" s="102"/>
      <c r="O387" s="297" t="s">
        <v>307</v>
      </c>
      <c r="P387" s="308" t="s">
        <v>290</v>
      </c>
      <c r="Q387" s="298"/>
      <c r="R387" s="286"/>
      <c r="S387" s="296"/>
      <c r="T387" s="309"/>
      <c r="U387" s="301">
        <f>SUM(U388)</f>
        <v>55.7</v>
      </c>
      <c r="V387" s="286"/>
    </row>
    <row r="388" spans="2:22" ht="20.100000000000001" customHeight="1">
      <c r="B388" s="212" t="s">
        <v>4</v>
      </c>
      <c r="C388" s="213"/>
      <c r="D388" s="212"/>
      <c r="E388" s="212"/>
      <c r="F388" s="212"/>
      <c r="G388" s="212"/>
      <c r="H388" s="212"/>
      <c r="I388" s="213">
        <f>SUM(I380:I387)</f>
        <v>227.69307999999998</v>
      </c>
      <c r="J388" s="242"/>
      <c r="K388" s="102"/>
      <c r="L388" s="102"/>
      <c r="M388" s="102"/>
      <c r="N388" s="102"/>
      <c r="O388" s="286">
        <v>1</v>
      </c>
      <c r="P388" s="307" t="s">
        <v>290</v>
      </c>
      <c r="Q388" s="307"/>
      <c r="R388" s="300" t="s">
        <v>312</v>
      </c>
      <c r="S388" s="296">
        <f>V372</f>
        <v>2.7850000000000001</v>
      </c>
      <c r="T388" s="310">
        <v>20</v>
      </c>
      <c r="U388" s="305">
        <f>T388*S388</f>
        <v>55.7</v>
      </c>
      <c r="V388" s="286"/>
    </row>
    <row r="389" spans="2:22" ht="20.100000000000001" customHeight="1">
      <c r="J389" s="102"/>
      <c r="K389" s="102"/>
      <c r="L389" s="102"/>
      <c r="M389" s="102"/>
      <c r="N389" s="102"/>
      <c r="O389" s="286" t="s">
        <v>308</v>
      </c>
      <c r="P389" s="618" t="s">
        <v>620</v>
      </c>
      <c r="Q389" s="619"/>
      <c r="R389" s="620"/>
      <c r="S389" s="621"/>
      <c r="T389" s="622"/>
      <c r="U389" s="301">
        <f>U374+U384+U387</f>
        <v>4245.4160337060002</v>
      </c>
      <c r="V389" s="286"/>
    </row>
    <row r="390" spans="2:22" ht="20.100000000000001" customHeight="1">
      <c r="J390" s="102"/>
      <c r="K390" s="102"/>
      <c r="L390" s="102"/>
      <c r="M390" s="102"/>
      <c r="N390" s="102"/>
      <c r="O390" s="286" t="s">
        <v>309</v>
      </c>
      <c r="P390" s="618" t="s">
        <v>621</v>
      </c>
      <c r="Q390" s="619"/>
      <c r="R390" s="626">
        <v>0.2</v>
      </c>
      <c r="S390" s="627"/>
      <c r="T390" s="628"/>
      <c r="U390" s="301">
        <f>U389*R390</f>
        <v>849.08320674120012</v>
      </c>
      <c r="V390" s="286"/>
    </row>
    <row r="391" spans="2:22" ht="20.100000000000001" customHeight="1">
      <c r="J391" s="102"/>
      <c r="K391" s="102"/>
      <c r="L391" s="102"/>
      <c r="M391" s="102"/>
      <c r="N391" s="102"/>
      <c r="O391" s="286" t="s">
        <v>310</v>
      </c>
      <c r="P391" s="618" t="s">
        <v>622</v>
      </c>
      <c r="Q391" s="619"/>
      <c r="R391" s="620"/>
      <c r="S391" s="621"/>
      <c r="T391" s="622"/>
      <c r="U391" s="301">
        <f>U389+U390</f>
        <v>5094.4992404472005</v>
      </c>
      <c r="V391" s="286"/>
    </row>
    <row r="392" spans="2:22" ht="30" customHeight="1">
      <c r="L392" s="102"/>
      <c r="M392" s="102"/>
      <c r="N392" s="102"/>
      <c r="O392" s="297" t="s">
        <v>311</v>
      </c>
      <c r="P392" s="618" t="s">
        <v>623</v>
      </c>
      <c r="Q392" s="619"/>
      <c r="R392" s="620"/>
      <c r="S392" s="621"/>
      <c r="T392" s="622"/>
      <c r="U392" s="301">
        <f>U391/V372</f>
        <v>1829.2636410941473</v>
      </c>
      <c r="V392" s="286" t="s">
        <v>624</v>
      </c>
    </row>
    <row r="393" spans="2:22" ht="45" customHeight="1">
      <c r="L393" s="102"/>
      <c r="M393" s="102"/>
      <c r="N393" s="102"/>
      <c r="O393" s="623" t="s">
        <v>625</v>
      </c>
      <c r="P393" s="623"/>
      <c r="Q393" s="623"/>
      <c r="R393" s="623"/>
      <c r="S393" s="623"/>
      <c r="T393" s="623"/>
      <c r="U393" s="623"/>
      <c r="V393" s="623"/>
    </row>
    <row r="394" spans="2:22" ht="18" customHeight="1">
      <c r="L394" s="102"/>
      <c r="M394" s="102"/>
      <c r="N394" s="102"/>
      <c r="O394" s="102"/>
      <c r="P394" s="102"/>
    </row>
    <row r="395" spans="2:22">
      <c r="L395" s="102"/>
      <c r="M395" s="102"/>
      <c r="N395" s="102"/>
      <c r="O395" s="102"/>
      <c r="P395" s="102"/>
    </row>
    <row r="396" spans="2:22">
      <c r="L396" s="102"/>
      <c r="M396" s="102"/>
      <c r="N396" s="102"/>
      <c r="O396" s="102"/>
      <c r="P396" s="102"/>
    </row>
    <row r="397" spans="2:22">
      <c r="L397" s="102"/>
      <c r="M397" s="102"/>
      <c r="N397" s="102"/>
      <c r="O397" s="102"/>
      <c r="P397" s="102"/>
    </row>
    <row r="398" spans="2:22">
      <c r="L398" s="102"/>
      <c r="M398" s="102"/>
      <c r="N398" s="102"/>
      <c r="O398" s="102"/>
      <c r="P398" s="102"/>
    </row>
    <row r="399" spans="2:22">
      <c r="L399" s="102"/>
      <c r="M399" s="102"/>
      <c r="N399" s="102"/>
      <c r="O399" s="102"/>
      <c r="P399" s="102"/>
    </row>
    <row r="400" spans="2:22">
      <c r="L400" s="102"/>
      <c r="M400" s="102"/>
      <c r="N400" s="102"/>
      <c r="O400" s="102"/>
      <c r="P400" s="102"/>
    </row>
    <row r="401" spans="12:16">
      <c r="L401" s="102"/>
      <c r="M401" s="102"/>
      <c r="N401" s="102"/>
      <c r="O401" s="102"/>
      <c r="P401" s="102"/>
    </row>
    <row r="402" spans="12:16">
      <c r="L402" s="102"/>
      <c r="M402" s="102"/>
      <c r="N402" s="102"/>
      <c r="O402" s="102"/>
      <c r="P402" s="102"/>
    </row>
    <row r="403" spans="12:16">
      <c r="L403" s="102"/>
      <c r="M403" s="102"/>
      <c r="N403" s="102"/>
      <c r="O403" s="102"/>
      <c r="P403" s="102"/>
    </row>
    <row r="404" spans="12:16">
      <c r="L404" s="102"/>
      <c r="M404" s="102"/>
      <c r="N404" s="102"/>
      <c r="O404" s="102"/>
      <c r="P404" s="102"/>
    </row>
    <row r="405" spans="12:16">
      <c r="L405" s="102"/>
      <c r="M405" s="102"/>
      <c r="N405" s="102"/>
      <c r="O405" s="102"/>
      <c r="P405" s="102"/>
    </row>
    <row r="406" spans="12:16">
      <c r="L406" s="102"/>
      <c r="M406" s="102"/>
      <c r="N406" s="102"/>
      <c r="O406" s="102"/>
      <c r="P406" s="102"/>
    </row>
    <row r="407" spans="12:16">
      <c r="L407" s="102"/>
      <c r="M407" s="102"/>
      <c r="N407" s="102"/>
      <c r="O407" s="102"/>
      <c r="P407" s="102"/>
    </row>
    <row r="408" spans="12:16">
      <c r="L408" s="102"/>
      <c r="M408" s="102"/>
      <c r="N408" s="102"/>
      <c r="O408" s="102"/>
      <c r="P408" s="102"/>
    </row>
    <row r="409" spans="12:16">
      <c r="L409" s="102"/>
      <c r="M409" s="102"/>
      <c r="N409" s="102"/>
      <c r="O409" s="102"/>
      <c r="P409" s="102"/>
    </row>
    <row r="410" spans="12:16">
      <c r="L410" s="102"/>
      <c r="M410" s="102"/>
      <c r="N410" s="102"/>
      <c r="O410" s="102"/>
      <c r="P410" s="102"/>
    </row>
    <row r="411" spans="12:16">
      <c r="L411" s="102"/>
      <c r="M411" s="102"/>
      <c r="N411" s="102"/>
      <c r="O411" s="102"/>
      <c r="P411" s="102"/>
    </row>
    <row r="412" spans="12:16">
      <c r="L412" s="102"/>
      <c r="M412" s="102"/>
      <c r="N412" s="102"/>
      <c r="O412" s="102"/>
      <c r="P412" s="102"/>
    </row>
    <row r="413" spans="12:16">
      <c r="L413" s="102"/>
      <c r="M413" s="102"/>
      <c r="N413" s="102"/>
      <c r="O413" s="102"/>
      <c r="P413" s="102"/>
    </row>
    <row r="414" spans="12:16">
      <c r="L414" s="102"/>
      <c r="M414" s="102"/>
      <c r="N414" s="102"/>
      <c r="O414" s="102"/>
      <c r="P414" s="102"/>
    </row>
    <row r="415" spans="12:16">
      <c r="L415" s="102"/>
      <c r="M415" s="102"/>
      <c r="N415" s="102"/>
      <c r="O415" s="102"/>
      <c r="P415" s="102"/>
    </row>
    <row r="416" spans="12:16">
      <c r="L416" s="102"/>
      <c r="M416" s="102"/>
      <c r="N416" s="102"/>
      <c r="O416" s="102"/>
      <c r="P416" s="102"/>
    </row>
    <row r="417" spans="10:16">
      <c r="L417" s="102"/>
      <c r="M417" s="102"/>
      <c r="N417" s="102"/>
      <c r="O417" s="102"/>
      <c r="P417" s="102"/>
    </row>
    <row r="418" spans="10:16">
      <c r="L418" s="102"/>
      <c r="M418" s="102"/>
      <c r="N418" s="102"/>
      <c r="O418" s="102"/>
      <c r="P418" s="102"/>
    </row>
    <row r="419" spans="10:16">
      <c r="L419" s="102"/>
      <c r="M419" s="102"/>
      <c r="N419" s="102"/>
      <c r="O419" s="102"/>
      <c r="P419" s="102"/>
    </row>
    <row r="420" spans="10:16">
      <c r="L420" s="102"/>
      <c r="M420" s="102"/>
      <c r="N420" s="102"/>
      <c r="O420" s="102"/>
      <c r="P420" s="102"/>
    </row>
    <row r="421" spans="10:16">
      <c r="L421" s="102"/>
      <c r="M421" s="102"/>
      <c r="N421" s="102"/>
      <c r="O421" s="102"/>
      <c r="P421" s="102"/>
    </row>
    <row r="422" spans="10:16">
      <c r="L422" s="102"/>
      <c r="M422" s="102"/>
      <c r="N422" s="102"/>
      <c r="O422" s="102"/>
      <c r="P422" s="102"/>
    </row>
    <row r="423" spans="10:16">
      <c r="L423" s="102"/>
      <c r="M423" s="102"/>
      <c r="N423" s="102"/>
      <c r="O423" s="102"/>
      <c r="P423" s="102"/>
    </row>
    <row r="424" spans="10:16">
      <c r="L424" s="102"/>
      <c r="M424" s="102"/>
      <c r="N424" s="102"/>
      <c r="O424" s="102"/>
      <c r="P424" s="102"/>
    </row>
    <row r="425" spans="10:16">
      <c r="L425" s="102"/>
      <c r="M425" s="102"/>
      <c r="N425" s="102"/>
      <c r="O425" s="102"/>
      <c r="P425" s="102"/>
    </row>
    <row r="426" spans="10:16">
      <c r="L426" s="102"/>
      <c r="M426" s="102"/>
      <c r="N426" s="102"/>
      <c r="O426" s="102"/>
      <c r="P426" s="102"/>
    </row>
    <row r="427" spans="10:16">
      <c r="J427" s="102"/>
      <c r="K427" s="102"/>
      <c r="L427" s="102"/>
      <c r="M427" s="102"/>
      <c r="N427" s="102"/>
      <c r="O427" s="102"/>
      <c r="P427" s="102"/>
    </row>
    <row r="428" spans="10:16">
      <c r="J428" s="102"/>
      <c r="K428" s="102"/>
      <c r="L428" s="102"/>
      <c r="M428" s="102"/>
      <c r="N428" s="102"/>
      <c r="O428" s="102"/>
      <c r="P428" s="102"/>
    </row>
    <row r="429" spans="10:16">
      <c r="J429" s="102"/>
      <c r="K429" s="102"/>
      <c r="L429" s="102"/>
      <c r="M429" s="102"/>
      <c r="N429" s="102"/>
      <c r="O429" s="102"/>
      <c r="P429" s="102"/>
    </row>
    <row r="430" spans="10:16">
      <c r="J430" s="102"/>
      <c r="K430" s="102"/>
      <c r="L430" s="102"/>
      <c r="M430" s="102"/>
      <c r="N430" s="102"/>
      <c r="O430" s="102"/>
      <c r="P430" s="102"/>
    </row>
    <row r="431" spans="10:16">
      <c r="J431" s="102"/>
      <c r="K431" s="102"/>
      <c r="L431" s="102"/>
      <c r="M431" s="102"/>
      <c r="N431" s="102"/>
      <c r="O431" s="102"/>
      <c r="P431" s="102"/>
    </row>
    <row r="432" spans="10:16">
      <c r="J432" s="102"/>
      <c r="K432" s="102"/>
      <c r="L432" s="102"/>
      <c r="M432" s="102"/>
      <c r="N432" s="102"/>
      <c r="O432" s="102"/>
      <c r="P432" s="102"/>
    </row>
    <row r="433" spans="10:16">
      <c r="J433" s="102"/>
      <c r="K433" s="102"/>
      <c r="L433" s="102"/>
      <c r="M433" s="102"/>
      <c r="N433" s="102"/>
      <c r="O433" s="102"/>
      <c r="P433" s="102"/>
    </row>
    <row r="434" spans="10:16">
      <c r="J434" s="102"/>
      <c r="K434" s="102"/>
      <c r="L434" s="102"/>
      <c r="M434" s="102"/>
      <c r="N434" s="102"/>
      <c r="O434" s="102"/>
      <c r="P434" s="102"/>
    </row>
    <row r="435" spans="10:16">
      <c r="J435" s="102"/>
      <c r="K435" s="102"/>
      <c r="L435" s="102"/>
      <c r="M435" s="102"/>
      <c r="N435" s="102"/>
      <c r="O435" s="102"/>
      <c r="P435" s="102"/>
    </row>
    <row r="436" spans="10:16">
      <c r="J436" s="102"/>
      <c r="K436" s="102"/>
      <c r="L436" s="102"/>
      <c r="M436" s="102"/>
      <c r="N436" s="102"/>
      <c r="O436" s="102"/>
      <c r="P436" s="102"/>
    </row>
    <row r="437" spans="10:16">
      <c r="J437" s="102"/>
      <c r="K437" s="102"/>
      <c r="L437" s="102"/>
      <c r="M437" s="102"/>
      <c r="N437" s="102"/>
      <c r="O437" s="102"/>
      <c r="P437" s="102"/>
    </row>
    <row r="438" spans="10:16">
      <c r="J438" s="102"/>
      <c r="K438" s="102"/>
      <c r="L438" s="102"/>
      <c r="M438" s="102"/>
      <c r="N438" s="102"/>
      <c r="O438" s="102"/>
      <c r="P438" s="102"/>
    </row>
    <row r="439" spans="10:16">
      <c r="J439" s="102"/>
      <c r="K439" s="102"/>
      <c r="L439" s="102"/>
      <c r="M439" s="102"/>
      <c r="N439" s="102"/>
      <c r="O439" s="102"/>
      <c r="P439" s="102"/>
    </row>
    <row r="440" spans="10:16">
      <c r="J440" s="102"/>
      <c r="K440" s="102"/>
      <c r="L440" s="102"/>
      <c r="M440" s="102"/>
      <c r="N440" s="102"/>
      <c r="O440" s="102"/>
      <c r="P440" s="102"/>
    </row>
    <row r="441" spans="10:16">
      <c r="J441" s="102"/>
      <c r="K441" s="102"/>
      <c r="L441" s="102"/>
      <c r="M441" s="102"/>
      <c r="N441" s="102"/>
      <c r="O441" s="102"/>
      <c r="P441" s="102"/>
    </row>
    <row r="442" spans="10:16">
      <c r="J442" s="102"/>
      <c r="K442" s="102"/>
      <c r="L442" s="102"/>
      <c r="M442" s="102"/>
      <c r="N442" s="102"/>
      <c r="O442" s="102"/>
      <c r="P442" s="102"/>
    </row>
    <row r="443" spans="10:16">
      <c r="J443" s="102"/>
      <c r="K443" s="102"/>
      <c r="L443" s="102"/>
      <c r="M443" s="102"/>
      <c r="N443" s="102"/>
      <c r="O443" s="102"/>
      <c r="P443" s="102"/>
    </row>
    <row r="444" spans="10:16">
      <c r="J444" s="102"/>
      <c r="K444" s="102"/>
      <c r="L444" s="102"/>
      <c r="M444" s="102"/>
      <c r="N444" s="102"/>
      <c r="O444" s="102"/>
      <c r="P444" s="102"/>
    </row>
    <row r="445" spans="10:16">
      <c r="J445" s="102"/>
      <c r="K445" s="102"/>
      <c r="L445" s="102"/>
      <c r="M445" s="102"/>
      <c r="N445" s="102"/>
      <c r="O445" s="102"/>
      <c r="P445" s="102"/>
    </row>
    <row r="446" spans="10:16">
      <c r="J446" s="102"/>
      <c r="K446" s="102"/>
      <c r="L446" s="102"/>
      <c r="M446" s="102"/>
      <c r="N446" s="102"/>
      <c r="O446" s="102"/>
      <c r="P446" s="102"/>
    </row>
    <row r="447" spans="10:16">
      <c r="J447" s="102"/>
      <c r="K447" s="102"/>
      <c r="L447" s="102"/>
      <c r="M447" s="102"/>
      <c r="N447" s="102"/>
      <c r="O447" s="102"/>
      <c r="P447" s="102"/>
    </row>
    <row r="448" spans="10:16">
      <c r="J448" s="102"/>
      <c r="K448" s="102"/>
      <c r="L448" s="102"/>
      <c r="M448" s="102"/>
      <c r="N448" s="102"/>
      <c r="O448" s="102"/>
      <c r="P448" s="102"/>
    </row>
    <row r="449" spans="10:16">
      <c r="J449" s="102"/>
      <c r="K449" s="102"/>
      <c r="L449" s="102"/>
      <c r="M449" s="102"/>
      <c r="N449" s="102"/>
      <c r="O449" s="102"/>
      <c r="P449" s="102"/>
    </row>
    <row r="450" spans="10:16">
      <c r="J450" s="102"/>
      <c r="K450" s="102"/>
      <c r="L450" s="102"/>
      <c r="M450" s="102"/>
      <c r="N450" s="102"/>
      <c r="O450" s="102"/>
      <c r="P450" s="102"/>
    </row>
    <row r="451" spans="10:16">
      <c r="J451" s="102"/>
      <c r="K451" s="102"/>
      <c r="L451" s="102"/>
      <c r="M451" s="102"/>
      <c r="N451" s="102"/>
      <c r="O451" s="102"/>
      <c r="P451" s="102"/>
    </row>
    <row r="452" spans="10:16">
      <c r="J452" s="102"/>
      <c r="K452" s="102"/>
      <c r="L452" s="102"/>
      <c r="M452" s="102"/>
      <c r="N452" s="102"/>
      <c r="O452" s="102"/>
      <c r="P452" s="102"/>
    </row>
    <row r="453" spans="10:16">
      <c r="J453" s="102"/>
      <c r="K453" s="102"/>
      <c r="L453" s="102"/>
      <c r="M453" s="102"/>
      <c r="N453" s="102"/>
      <c r="O453" s="102"/>
      <c r="P453" s="102"/>
    </row>
    <row r="454" spans="10:16">
      <c r="J454" s="102"/>
      <c r="K454" s="102"/>
      <c r="L454" s="102"/>
      <c r="M454" s="102"/>
      <c r="N454" s="102"/>
      <c r="O454" s="102"/>
      <c r="P454" s="102"/>
    </row>
    <row r="455" spans="10:16">
      <c r="J455" s="102"/>
      <c r="K455" s="102"/>
      <c r="L455" s="102"/>
      <c r="M455" s="102"/>
      <c r="N455" s="102"/>
      <c r="O455" s="102"/>
      <c r="P455" s="102"/>
    </row>
    <row r="456" spans="10:16">
      <c r="J456" s="102"/>
      <c r="K456" s="102"/>
      <c r="L456" s="102"/>
      <c r="M456" s="102"/>
      <c r="N456" s="102"/>
      <c r="O456" s="102"/>
      <c r="P456" s="102"/>
    </row>
    <row r="457" spans="10:16">
      <c r="J457" s="102"/>
      <c r="K457" s="102"/>
      <c r="L457" s="102"/>
      <c r="M457" s="102"/>
      <c r="N457" s="102"/>
      <c r="O457" s="102"/>
      <c r="P457" s="102"/>
    </row>
    <row r="458" spans="10:16">
      <c r="J458" s="102"/>
      <c r="K458" s="102"/>
      <c r="L458" s="102"/>
      <c r="M458" s="102"/>
      <c r="N458" s="102"/>
      <c r="O458" s="102"/>
      <c r="P458" s="102"/>
    </row>
    <row r="459" spans="10:16">
      <c r="J459" s="102"/>
      <c r="K459" s="102"/>
      <c r="L459" s="102"/>
      <c r="M459" s="102"/>
      <c r="N459" s="102"/>
      <c r="O459" s="102"/>
      <c r="P459" s="102"/>
    </row>
    <row r="460" spans="10:16">
      <c r="J460" s="102"/>
      <c r="K460" s="102"/>
      <c r="L460" s="102"/>
      <c r="M460" s="102"/>
      <c r="N460" s="102"/>
      <c r="O460" s="102"/>
      <c r="P460" s="102"/>
    </row>
    <row r="461" spans="10:16">
      <c r="J461" s="102"/>
      <c r="K461" s="102"/>
      <c r="L461" s="102"/>
      <c r="M461" s="102"/>
      <c r="N461" s="102"/>
      <c r="O461" s="102"/>
      <c r="P461" s="102"/>
    </row>
    <row r="462" spans="10:16">
      <c r="J462" s="102"/>
      <c r="K462" s="102"/>
      <c r="L462" s="102"/>
      <c r="M462" s="102"/>
      <c r="N462" s="102"/>
      <c r="O462" s="102"/>
      <c r="P462" s="102"/>
    </row>
    <row r="463" spans="10:16">
      <c r="J463" s="102"/>
      <c r="K463" s="102"/>
      <c r="L463" s="102"/>
      <c r="M463" s="102"/>
      <c r="N463" s="102"/>
      <c r="O463" s="102"/>
      <c r="P463" s="102"/>
    </row>
    <row r="464" spans="10:16">
      <c r="J464" s="102"/>
      <c r="K464" s="102"/>
      <c r="L464" s="102"/>
      <c r="M464" s="102"/>
      <c r="N464" s="102"/>
      <c r="O464" s="102"/>
      <c r="P464" s="102"/>
    </row>
  </sheetData>
  <mergeCells count="95">
    <mergeCell ref="F2:H2"/>
    <mergeCell ref="I2:I6"/>
    <mergeCell ref="J2:M2"/>
    <mergeCell ref="B4:B6"/>
    <mergeCell ref="B14:B21"/>
    <mergeCell ref="C14:C21"/>
    <mergeCell ref="B26:B30"/>
    <mergeCell ref="C26:C30"/>
    <mergeCell ref="B35:B37"/>
    <mergeCell ref="C35:C37"/>
    <mergeCell ref="B42:B47"/>
    <mergeCell ref="C42:C44"/>
    <mergeCell ref="C45:C47"/>
    <mergeCell ref="B52:B55"/>
    <mergeCell ref="C52:C55"/>
    <mergeCell ref="D59:F59"/>
    <mergeCell ref="B60:B63"/>
    <mergeCell ref="C60:C61"/>
    <mergeCell ref="D60:F60"/>
    <mergeCell ref="D61:F61"/>
    <mergeCell ref="C62:C63"/>
    <mergeCell ref="D62:F62"/>
    <mergeCell ref="D63:F63"/>
    <mergeCell ref="B68:B87"/>
    <mergeCell ref="C68:C74"/>
    <mergeCell ref="C75:C81"/>
    <mergeCell ref="C82:C87"/>
    <mergeCell ref="B92:B96"/>
    <mergeCell ref="C92:C96"/>
    <mergeCell ref="B137:B138"/>
    <mergeCell ref="C137:C138"/>
    <mergeCell ref="D137:F137"/>
    <mergeCell ref="D138:F138"/>
    <mergeCell ref="B101:B103"/>
    <mergeCell ref="C101:C103"/>
    <mergeCell ref="B108:B111"/>
    <mergeCell ref="C108:C111"/>
    <mergeCell ref="B116:B118"/>
    <mergeCell ref="C116:C118"/>
    <mergeCell ref="B123:B125"/>
    <mergeCell ref="C123:C125"/>
    <mergeCell ref="B130:B132"/>
    <mergeCell ref="C130:C132"/>
    <mergeCell ref="D136:F136"/>
    <mergeCell ref="B143:B145"/>
    <mergeCell ref="C143:C145"/>
    <mergeCell ref="B150:B152"/>
    <mergeCell ref="C150:C152"/>
    <mergeCell ref="B157:B162"/>
    <mergeCell ref="C157:C162"/>
    <mergeCell ref="B167:B169"/>
    <mergeCell ref="C167:C169"/>
    <mergeCell ref="B174:B176"/>
    <mergeCell ref="C174:C176"/>
    <mergeCell ref="B181:B183"/>
    <mergeCell ref="C181:C183"/>
    <mergeCell ref="F209:F210"/>
    <mergeCell ref="B188:B190"/>
    <mergeCell ref="C188:C190"/>
    <mergeCell ref="D194:F194"/>
    <mergeCell ref="B195:B196"/>
    <mergeCell ref="C195:C196"/>
    <mergeCell ref="D195:F195"/>
    <mergeCell ref="D196:F196"/>
    <mergeCell ref="B197:B198"/>
    <mergeCell ref="C197:C198"/>
    <mergeCell ref="D197:F197"/>
    <mergeCell ref="D198:F198"/>
    <mergeCell ref="F203:F204"/>
    <mergeCell ref="O369:V369"/>
    <mergeCell ref="F211:F212"/>
    <mergeCell ref="F213:F214"/>
    <mergeCell ref="B291:B292"/>
    <mergeCell ref="B294:B295"/>
    <mergeCell ref="I294:I295"/>
    <mergeCell ref="B296:B297"/>
    <mergeCell ref="I296:I297"/>
    <mergeCell ref="B298:B299"/>
    <mergeCell ref="I298:I299"/>
    <mergeCell ref="B300:B301"/>
    <mergeCell ref="B302:B303"/>
    <mergeCell ref="O368:V368"/>
    <mergeCell ref="P370:Q370"/>
    <mergeCell ref="O371:O372"/>
    <mergeCell ref="P371:T372"/>
    <mergeCell ref="B378:I378"/>
    <mergeCell ref="P389:Q389"/>
    <mergeCell ref="R389:T389"/>
    <mergeCell ref="O393:V393"/>
    <mergeCell ref="P390:Q390"/>
    <mergeCell ref="R390:T390"/>
    <mergeCell ref="P391:Q391"/>
    <mergeCell ref="R391:T391"/>
    <mergeCell ref="P392:Q392"/>
    <mergeCell ref="R392:T392"/>
  </mergeCells>
  <phoneticPr fontId="5" type="noConversion"/>
  <pageMargins left="0.19685039370078741" right="0.19685039370078741" top="0.74803149606299213" bottom="0.74803149606299213" header="0.31496062992125984" footer="0.31496062992125984"/>
  <pageSetup paperSize="9" scale="78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CD2DF-A90F-4E62-9B51-CCF7AAA7B9B0}">
  <sheetPr>
    <tabColor rgb="FF7030A0"/>
    <pageSetUpPr fitToPage="1"/>
  </sheetPr>
  <dimension ref="A1:V464"/>
  <sheetViews>
    <sheetView showZeros="0" topLeftCell="A350" zoomScaleNormal="100" workbookViewId="0">
      <selection activeCell="C372" sqref="C372"/>
    </sheetView>
  </sheetViews>
  <sheetFormatPr defaultColWidth="25.25" defaultRowHeight="13.5"/>
  <cols>
    <col min="1" max="1" width="0.5" style="1" customWidth="1"/>
    <col min="2" max="2" width="25.25" style="102" customWidth="1"/>
    <col min="3" max="3" width="14.75" style="102" customWidth="1"/>
    <col min="4" max="4" width="11.5" style="102" customWidth="1"/>
    <col min="5" max="5" width="11.25" style="102" customWidth="1"/>
    <col min="6" max="6" width="12.25" style="102" customWidth="1"/>
    <col min="7" max="7" width="10" style="102" customWidth="1"/>
    <col min="8" max="8" width="9.875" style="102" customWidth="1"/>
    <col min="9" max="9" width="26.875" style="102" customWidth="1"/>
    <col min="10" max="10" width="11.125" style="43" customWidth="1"/>
    <col min="11" max="11" width="7.875" style="43" customWidth="1"/>
    <col min="12" max="12" width="7.25" style="43" customWidth="1"/>
    <col min="13" max="13" width="9.125" style="43" customWidth="1"/>
    <col min="14" max="14" width="15.125" style="255" customWidth="1"/>
    <col min="15" max="15" width="13.125" style="255" customWidth="1"/>
    <col min="16" max="16" width="24.375" style="255" customWidth="1"/>
    <col min="17" max="17" width="13.75" style="255" customWidth="1"/>
    <col min="18" max="18" width="11.25" style="255" customWidth="1"/>
    <col min="19" max="19" width="10.75" style="255" customWidth="1"/>
    <col min="20" max="20" width="10" style="255" customWidth="1"/>
    <col min="21" max="21" width="9.875" style="255" customWidth="1"/>
    <col min="22" max="22" width="26.125" style="255" customWidth="1"/>
    <col min="23" max="23" width="11.125" style="255" customWidth="1"/>
    <col min="24" max="24" width="7.875" style="255" customWidth="1"/>
    <col min="25" max="25" width="7.25" style="255" customWidth="1"/>
    <col min="26" max="26" width="9.125" style="255" customWidth="1"/>
    <col min="27" max="27" width="15.125" style="255" customWidth="1"/>
    <col min="28" max="28" width="7.75" style="255" customWidth="1"/>
    <col min="29" max="29" width="7.125" style="255" customWidth="1"/>
    <col min="30" max="30" width="12.125" style="255" customWidth="1"/>
    <col min="31" max="31" width="8.25" style="255" customWidth="1"/>
    <col min="32" max="33" width="10.375" style="255" customWidth="1"/>
    <col min="34" max="34" width="15.625" style="255" customWidth="1"/>
    <col min="35" max="35" width="15.875" style="255" customWidth="1"/>
    <col min="36" max="36" width="8.125" style="255" customWidth="1"/>
    <col min="37" max="40" width="10.375" style="255" customWidth="1"/>
    <col min="41" max="41" width="7.25" style="255" customWidth="1"/>
    <col min="42" max="42" width="7.125" style="255" customWidth="1"/>
    <col min="43" max="43" width="9.5" style="255" customWidth="1"/>
    <col min="44" max="45" width="9" style="255" customWidth="1"/>
    <col min="46" max="46" width="16.125" style="255" customWidth="1"/>
    <col min="47" max="77" width="9" style="255" customWidth="1"/>
    <col min="78" max="237" width="25.25" style="255"/>
    <col min="238" max="267" width="9" style="255" customWidth="1"/>
    <col min="268" max="268" width="0.5" style="255" customWidth="1"/>
    <col min="269" max="269" width="25.25" style="255"/>
    <col min="270" max="270" width="0.5" style="255" customWidth="1"/>
    <col min="271" max="271" width="25.25" style="255"/>
    <col min="272" max="272" width="14.75" style="255" customWidth="1"/>
    <col min="273" max="273" width="11.5" style="255" customWidth="1"/>
    <col min="274" max="274" width="11.25" style="255" customWidth="1"/>
    <col min="275" max="275" width="10.75" style="255" customWidth="1"/>
    <col min="276" max="276" width="10" style="255" customWidth="1"/>
    <col min="277" max="277" width="9.875" style="255" customWidth="1"/>
    <col min="278" max="278" width="26.125" style="255" customWidth="1"/>
    <col min="279" max="279" width="11.125" style="255" customWidth="1"/>
    <col min="280" max="280" width="7.875" style="255" customWidth="1"/>
    <col min="281" max="281" width="7.25" style="255" customWidth="1"/>
    <col min="282" max="282" width="9.125" style="255" customWidth="1"/>
    <col min="283" max="283" width="15.125" style="255" customWidth="1"/>
    <col min="284" max="284" width="7.75" style="255" customWidth="1"/>
    <col min="285" max="285" width="7.125" style="255" customWidth="1"/>
    <col min="286" max="286" width="12.125" style="255" customWidth="1"/>
    <col min="287" max="287" width="8.25" style="255" customWidth="1"/>
    <col min="288" max="289" width="10.375" style="255" customWidth="1"/>
    <col min="290" max="290" width="15.625" style="255" customWidth="1"/>
    <col min="291" max="291" width="15.875" style="255" customWidth="1"/>
    <col min="292" max="292" width="8.125" style="255" customWidth="1"/>
    <col min="293" max="296" width="10.375" style="255" customWidth="1"/>
    <col min="297" max="297" width="7.25" style="255" customWidth="1"/>
    <col min="298" max="298" width="7.125" style="255" customWidth="1"/>
    <col min="299" max="299" width="9.5" style="255" customWidth="1"/>
    <col min="300" max="301" width="9" style="255" customWidth="1"/>
    <col min="302" max="302" width="16.125" style="255" customWidth="1"/>
    <col min="303" max="333" width="9" style="255" customWidth="1"/>
    <col min="334" max="493" width="25.25" style="255"/>
    <col min="494" max="523" width="9" style="255" customWidth="1"/>
    <col min="524" max="524" width="0.5" style="255" customWidth="1"/>
    <col min="525" max="525" width="25.25" style="255"/>
    <col min="526" max="526" width="0.5" style="255" customWidth="1"/>
    <col min="527" max="527" width="25.25" style="255"/>
    <col min="528" max="528" width="14.75" style="255" customWidth="1"/>
    <col min="529" max="529" width="11.5" style="255" customWidth="1"/>
    <col min="530" max="530" width="11.25" style="255" customWidth="1"/>
    <col min="531" max="531" width="10.75" style="255" customWidth="1"/>
    <col min="532" max="532" width="10" style="255" customWidth="1"/>
    <col min="533" max="533" width="9.875" style="255" customWidth="1"/>
    <col min="534" max="534" width="26.125" style="255" customWidth="1"/>
    <col min="535" max="535" width="11.125" style="255" customWidth="1"/>
    <col min="536" max="536" width="7.875" style="255" customWidth="1"/>
    <col min="537" max="537" width="7.25" style="255" customWidth="1"/>
    <col min="538" max="538" width="9.125" style="255" customWidth="1"/>
    <col min="539" max="539" width="15.125" style="255" customWidth="1"/>
    <col min="540" max="540" width="7.75" style="255" customWidth="1"/>
    <col min="541" max="541" width="7.125" style="255" customWidth="1"/>
    <col min="542" max="542" width="12.125" style="255" customWidth="1"/>
    <col min="543" max="543" width="8.25" style="255" customWidth="1"/>
    <col min="544" max="545" width="10.375" style="255" customWidth="1"/>
    <col min="546" max="546" width="15.625" style="255" customWidth="1"/>
    <col min="547" max="547" width="15.875" style="255" customWidth="1"/>
    <col min="548" max="548" width="8.125" style="255" customWidth="1"/>
    <col min="549" max="552" width="10.375" style="255" customWidth="1"/>
    <col min="553" max="553" width="7.25" style="255" customWidth="1"/>
    <col min="554" max="554" width="7.125" style="255" customWidth="1"/>
    <col min="555" max="555" width="9.5" style="255" customWidth="1"/>
    <col min="556" max="557" width="9" style="255" customWidth="1"/>
    <col min="558" max="558" width="16.125" style="255" customWidth="1"/>
    <col min="559" max="589" width="9" style="255" customWidth="1"/>
    <col min="590" max="749" width="25.25" style="255"/>
    <col min="750" max="779" width="9" style="255" customWidth="1"/>
    <col min="780" max="780" width="0.5" style="255" customWidth="1"/>
    <col min="781" max="781" width="25.25" style="255"/>
    <col min="782" max="782" width="0.5" style="255" customWidth="1"/>
    <col min="783" max="783" width="25.25" style="255"/>
    <col min="784" max="784" width="14.75" style="255" customWidth="1"/>
    <col min="785" max="785" width="11.5" style="255" customWidth="1"/>
    <col min="786" max="786" width="11.25" style="255" customWidth="1"/>
    <col min="787" max="787" width="10.75" style="255" customWidth="1"/>
    <col min="788" max="788" width="10" style="255" customWidth="1"/>
    <col min="789" max="789" width="9.875" style="255" customWidth="1"/>
    <col min="790" max="790" width="26.125" style="255" customWidth="1"/>
    <col min="791" max="791" width="11.125" style="255" customWidth="1"/>
    <col min="792" max="792" width="7.875" style="255" customWidth="1"/>
    <col min="793" max="793" width="7.25" style="255" customWidth="1"/>
    <col min="794" max="794" width="9.125" style="255" customWidth="1"/>
    <col min="795" max="795" width="15.125" style="255" customWidth="1"/>
    <col min="796" max="796" width="7.75" style="255" customWidth="1"/>
    <col min="797" max="797" width="7.125" style="255" customWidth="1"/>
    <col min="798" max="798" width="12.125" style="255" customWidth="1"/>
    <col min="799" max="799" width="8.25" style="255" customWidth="1"/>
    <col min="800" max="801" width="10.375" style="255" customWidth="1"/>
    <col min="802" max="802" width="15.625" style="255" customWidth="1"/>
    <col min="803" max="803" width="15.875" style="255" customWidth="1"/>
    <col min="804" max="804" width="8.125" style="255" customWidth="1"/>
    <col min="805" max="808" width="10.375" style="255" customWidth="1"/>
    <col min="809" max="809" width="7.25" style="255" customWidth="1"/>
    <col min="810" max="810" width="7.125" style="255" customWidth="1"/>
    <col min="811" max="811" width="9.5" style="255" customWidth="1"/>
    <col min="812" max="813" width="9" style="255" customWidth="1"/>
    <col min="814" max="814" width="16.125" style="255" customWidth="1"/>
    <col min="815" max="845" width="9" style="255" customWidth="1"/>
    <col min="846" max="1005" width="25.25" style="255"/>
    <col min="1006" max="1035" width="9" style="255" customWidth="1"/>
    <col min="1036" max="1036" width="0.5" style="255" customWidth="1"/>
    <col min="1037" max="1037" width="25.25" style="255"/>
    <col min="1038" max="1038" width="0.5" style="255" customWidth="1"/>
    <col min="1039" max="1039" width="25.25" style="255"/>
    <col min="1040" max="1040" width="14.75" style="255" customWidth="1"/>
    <col min="1041" max="1041" width="11.5" style="255" customWidth="1"/>
    <col min="1042" max="1042" width="11.25" style="255" customWidth="1"/>
    <col min="1043" max="1043" width="10.75" style="255" customWidth="1"/>
    <col min="1044" max="1044" width="10" style="255" customWidth="1"/>
    <col min="1045" max="1045" width="9.875" style="255" customWidth="1"/>
    <col min="1046" max="1046" width="26.125" style="255" customWidth="1"/>
    <col min="1047" max="1047" width="11.125" style="255" customWidth="1"/>
    <col min="1048" max="1048" width="7.875" style="255" customWidth="1"/>
    <col min="1049" max="1049" width="7.25" style="255" customWidth="1"/>
    <col min="1050" max="1050" width="9.125" style="255" customWidth="1"/>
    <col min="1051" max="1051" width="15.125" style="255" customWidth="1"/>
    <col min="1052" max="1052" width="7.75" style="255" customWidth="1"/>
    <col min="1053" max="1053" width="7.125" style="255" customWidth="1"/>
    <col min="1054" max="1054" width="12.125" style="255" customWidth="1"/>
    <col min="1055" max="1055" width="8.25" style="255" customWidth="1"/>
    <col min="1056" max="1057" width="10.375" style="255" customWidth="1"/>
    <col min="1058" max="1058" width="15.625" style="255" customWidth="1"/>
    <col min="1059" max="1059" width="15.875" style="255" customWidth="1"/>
    <col min="1060" max="1060" width="8.125" style="255" customWidth="1"/>
    <col min="1061" max="1064" width="10.375" style="255" customWidth="1"/>
    <col min="1065" max="1065" width="7.25" style="255" customWidth="1"/>
    <col min="1066" max="1066" width="7.125" style="255" customWidth="1"/>
    <col min="1067" max="1067" width="9.5" style="255" customWidth="1"/>
    <col min="1068" max="1069" width="9" style="255" customWidth="1"/>
    <col min="1070" max="1070" width="16.125" style="255" customWidth="1"/>
    <col min="1071" max="1101" width="9" style="255" customWidth="1"/>
    <col min="1102" max="1261" width="25.25" style="255"/>
    <col min="1262" max="1291" width="9" style="255" customWidth="1"/>
    <col min="1292" max="1292" width="0.5" style="255" customWidth="1"/>
    <col min="1293" max="1293" width="25.25" style="255"/>
    <col min="1294" max="1294" width="0.5" style="255" customWidth="1"/>
    <col min="1295" max="1295" width="25.25" style="255"/>
    <col min="1296" max="1296" width="14.75" style="255" customWidth="1"/>
    <col min="1297" max="1297" width="11.5" style="255" customWidth="1"/>
    <col min="1298" max="1298" width="11.25" style="255" customWidth="1"/>
    <col min="1299" max="1299" width="10.75" style="255" customWidth="1"/>
    <col min="1300" max="1300" width="10" style="255" customWidth="1"/>
    <col min="1301" max="1301" width="9.875" style="255" customWidth="1"/>
    <col min="1302" max="1302" width="26.125" style="255" customWidth="1"/>
    <col min="1303" max="1303" width="11.125" style="255" customWidth="1"/>
    <col min="1304" max="1304" width="7.875" style="255" customWidth="1"/>
    <col min="1305" max="1305" width="7.25" style="255" customWidth="1"/>
    <col min="1306" max="1306" width="9.125" style="255" customWidth="1"/>
    <col min="1307" max="1307" width="15.125" style="255" customWidth="1"/>
    <col min="1308" max="1308" width="7.75" style="255" customWidth="1"/>
    <col min="1309" max="1309" width="7.125" style="255" customWidth="1"/>
    <col min="1310" max="1310" width="12.125" style="255" customWidth="1"/>
    <col min="1311" max="1311" width="8.25" style="255" customWidth="1"/>
    <col min="1312" max="1313" width="10.375" style="255" customWidth="1"/>
    <col min="1314" max="1314" width="15.625" style="255" customWidth="1"/>
    <col min="1315" max="1315" width="15.875" style="255" customWidth="1"/>
    <col min="1316" max="1316" width="8.125" style="255" customWidth="1"/>
    <col min="1317" max="1320" width="10.375" style="255" customWidth="1"/>
    <col min="1321" max="1321" width="7.25" style="255" customWidth="1"/>
    <col min="1322" max="1322" width="7.125" style="255" customWidth="1"/>
    <col min="1323" max="1323" width="9.5" style="255" customWidth="1"/>
    <col min="1324" max="1325" width="9" style="255" customWidth="1"/>
    <col min="1326" max="1326" width="16.125" style="255" customWidth="1"/>
    <col min="1327" max="1357" width="9" style="255" customWidth="1"/>
    <col min="1358" max="1517" width="25.25" style="255"/>
    <col min="1518" max="1547" width="9" style="255" customWidth="1"/>
    <col min="1548" max="1548" width="0.5" style="255" customWidth="1"/>
    <col min="1549" max="1549" width="25.25" style="255"/>
    <col min="1550" max="1550" width="0.5" style="255" customWidth="1"/>
    <col min="1551" max="1551" width="25.25" style="255"/>
    <col min="1552" max="1552" width="14.75" style="255" customWidth="1"/>
    <col min="1553" max="1553" width="11.5" style="255" customWidth="1"/>
    <col min="1554" max="1554" width="11.25" style="255" customWidth="1"/>
    <col min="1555" max="1555" width="10.75" style="255" customWidth="1"/>
    <col min="1556" max="1556" width="10" style="255" customWidth="1"/>
    <col min="1557" max="1557" width="9.875" style="255" customWidth="1"/>
    <col min="1558" max="1558" width="26.125" style="255" customWidth="1"/>
    <col min="1559" max="1559" width="11.125" style="255" customWidth="1"/>
    <col min="1560" max="1560" width="7.875" style="255" customWidth="1"/>
    <col min="1561" max="1561" width="7.25" style="255" customWidth="1"/>
    <col min="1562" max="1562" width="9.125" style="255" customWidth="1"/>
    <col min="1563" max="1563" width="15.125" style="255" customWidth="1"/>
    <col min="1564" max="1564" width="7.75" style="255" customWidth="1"/>
    <col min="1565" max="1565" width="7.125" style="255" customWidth="1"/>
    <col min="1566" max="1566" width="12.125" style="255" customWidth="1"/>
    <col min="1567" max="1567" width="8.25" style="255" customWidth="1"/>
    <col min="1568" max="1569" width="10.375" style="255" customWidth="1"/>
    <col min="1570" max="1570" width="15.625" style="255" customWidth="1"/>
    <col min="1571" max="1571" width="15.875" style="255" customWidth="1"/>
    <col min="1572" max="1572" width="8.125" style="255" customWidth="1"/>
    <col min="1573" max="1576" width="10.375" style="255" customWidth="1"/>
    <col min="1577" max="1577" width="7.25" style="255" customWidth="1"/>
    <col min="1578" max="1578" width="7.125" style="255" customWidth="1"/>
    <col min="1579" max="1579" width="9.5" style="255" customWidth="1"/>
    <col min="1580" max="1581" width="9" style="255" customWidth="1"/>
    <col min="1582" max="1582" width="16.125" style="255" customWidth="1"/>
    <col min="1583" max="1613" width="9" style="255" customWidth="1"/>
    <col min="1614" max="1773" width="25.25" style="255"/>
    <col min="1774" max="1803" width="9" style="255" customWidth="1"/>
    <col min="1804" max="1804" width="0.5" style="255" customWidth="1"/>
    <col min="1805" max="1805" width="25.25" style="255"/>
    <col min="1806" max="1806" width="0.5" style="255" customWidth="1"/>
    <col min="1807" max="1807" width="25.25" style="255"/>
    <col min="1808" max="1808" width="14.75" style="255" customWidth="1"/>
    <col min="1809" max="1809" width="11.5" style="255" customWidth="1"/>
    <col min="1810" max="1810" width="11.25" style="255" customWidth="1"/>
    <col min="1811" max="1811" width="10.75" style="255" customWidth="1"/>
    <col min="1812" max="1812" width="10" style="255" customWidth="1"/>
    <col min="1813" max="1813" width="9.875" style="255" customWidth="1"/>
    <col min="1814" max="1814" width="26.125" style="255" customWidth="1"/>
    <col min="1815" max="1815" width="11.125" style="255" customWidth="1"/>
    <col min="1816" max="1816" width="7.875" style="255" customWidth="1"/>
    <col min="1817" max="1817" width="7.25" style="255" customWidth="1"/>
    <col min="1818" max="1818" width="9.125" style="255" customWidth="1"/>
    <col min="1819" max="1819" width="15.125" style="255" customWidth="1"/>
    <col min="1820" max="1820" width="7.75" style="255" customWidth="1"/>
    <col min="1821" max="1821" width="7.125" style="255" customWidth="1"/>
    <col min="1822" max="1822" width="12.125" style="255" customWidth="1"/>
    <col min="1823" max="1823" width="8.25" style="255" customWidth="1"/>
    <col min="1824" max="1825" width="10.375" style="255" customWidth="1"/>
    <col min="1826" max="1826" width="15.625" style="255" customWidth="1"/>
    <col min="1827" max="1827" width="15.875" style="255" customWidth="1"/>
    <col min="1828" max="1828" width="8.125" style="255" customWidth="1"/>
    <col min="1829" max="1832" width="10.375" style="255" customWidth="1"/>
    <col min="1833" max="1833" width="7.25" style="255" customWidth="1"/>
    <col min="1834" max="1834" width="7.125" style="255" customWidth="1"/>
    <col min="1835" max="1835" width="9.5" style="255" customWidth="1"/>
    <col min="1836" max="1837" width="9" style="255" customWidth="1"/>
    <col min="1838" max="1838" width="16.125" style="255" customWidth="1"/>
    <col min="1839" max="1869" width="9" style="255" customWidth="1"/>
    <col min="1870" max="2029" width="25.25" style="255"/>
    <col min="2030" max="2059" width="9" style="255" customWidth="1"/>
    <col min="2060" max="2060" width="0.5" style="255" customWidth="1"/>
    <col min="2061" max="2061" width="25.25" style="255"/>
    <col min="2062" max="2062" width="0.5" style="255" customWidth="1"/>
    <col min="2063" max="2063" width="25.25" style="255"/>
    <col min="2064" max="2064" width="14.75" style="255" customWidth="1"/>
    <col min="2065" max="2065" width="11.5" style="255" customWidth="1"/>
    <col min="2066" max="2066" width="11.25" style="255" customWidth="1"/>
    <col min="2067" max="2067" width="10.75" style="255" customWidth="1"/>
    <col min="2068" max="2068" width="10" style="255" customWidth="1"/>
    <col min="2069" max="2069" width="9.875" style="255" customWidth="1"/>
    <col min="2070" max="2070" width="26.125" style="255" customWidth="1"/>
    <col min="2071" max="2071" width="11.125" style="255" customWidth="1"/>
    <col min="2072" max="2072" width="7.875" style="255" customWidth="1"/>
    <col min="2073" max="2073" width="7.25" style="255" customWidth="1"/>
    <col min="2074" max="2074" width="9.125" style="255" customWidth="1"/>
    <col min="2075" max="2075" width="15.125" style="255" customWidth="1"/>
    <col min="2076" max="2076" width="7.75" style="255" customWidth="1"/>
    <col min="2077" max="2077" width="7.125" style="255" customWidth="1"/>
    <col min="2078" max="2078" width="12.125" style="255" customWidth="1"/>
    <col min="2079" max="2079" width="8.25" style="255" customWidth="1"/>
    <col min="2080" max="2081" width="10.375" style="255" customWidth="1"/>
    <col min="2082" max="2082" width="15.625" style="255" customWidth="1"/>
    <col min="2083" max="2083" width="15.875" style="255" customWidth="1"/>
    <col min="2084" max="2084" width="8.125" style="255" customWidth="1"/>
    <col min="2085" max="2088" width="10.375" style="255" customWidth="1"/>
    <col min="2089" max="2089" width="7.25" style="255" customWidth="1"/>
    <col min="2090" max="2090" width="7.125" style="255" customWidth="1"/>
    <col min="2091" max="2091" width="9.5" style="255" customWidth="1"/>
    <col min="2092" max="2093" width="9" style="255" customWidth="1"/>
    <col min="2094" max="2094" width="16.125" style="255" customWidth="1"/>
    <col min="2095" max="2125" width="9" style="255" customWidth="1"/>
    <col min="2126" max="2285" width="25.25" style="255"/>
    <col min="2286" max="2315" width="9" style="255" customWidth="1"/>
    <col min="2316" max="2316" width="0.5" style="255" customWidth="1"/>
    <col min="2317" max="2317" width="25.25" style="255"/>
    <col min="2318" max="2318" width="0.5" style="255" customWidth="1"/>
    <col min="2319" max="2319" width="25.25" style="255"/>
    <col min="2320" max="2320" width="14.75" style="255" customWidth="1"/>
    <col min="2321" max="2321" width="11.5" style="255" customWidth="1"/>
    <col min="2322" max="2322" width="11.25" style="255" customWidth="1"/>
    <col min="2323" max="2323" width="10.75" style="255" customWidth="1"/>
    <col min="2324" max="2324" width="10" style="255" customWidth="1"/>
    <col min="2325" max="2325" width="9.875" style="255" customWidth="1"/>
    <col min="2326" max="2326" width="26.125" style="255" customWidth="1"/>
    <col min="2327" max="2327" width="11.125" style="255" customWidth="1"/>
    <col min="2328" max="2328" width="7.875" style="255" customWidth="1"/>
    <col min="2329" max="2329" width="7.25" style="255" customWidth="1"/>
    <col min="2330" max="2330" width="9.125" style="255" customWidth="1"/>
    <col min="2331" max="2331" width="15.125" style="255" customWidth="1"/>
    <col min="2332" max="2332" width="7.75" style="255" customWidth="1"/>
    <col min="2333" max="2333" width="7.125" style="255" customWidth="1"/>
    <col min="2334" max="2334" width="12.125" style="255" customWidth="1"/>
    <col min="2335" max="2335" width="8.25" style="255" customWidth="1"/>
    <col min="2336" max="2337" width="10.375" style="255" customWidth="1"/>
    <col min="2338" max="2338" width="15.625" style="255" customWidth="1"/>
    <col min="2339" max="2339" width="15.875" style="255" customWidth="1"/>
    <col min="2340" max="2340" width="8.125" style="255" customWidth="1"/>
    <col min="2341" max="2344" width="10.375" style="255" customWidth="1"/>
    <col min="2345" max="2345" width="7.25" style="255" customWidth="1"/>
    <col min="2346" max="2346" width="7.125" style="255" customWidth="1"/>
    <col min="2347" max="2347" width="9.5" style="255" customWidth="1"/>
    <col min="2348" max="2349" width="9" style="255" customWidth="1"/>
    <col min="2350" max="2350" width="16.125" style="255" customWidth="1"/>
    <col min="2351" max="2381" width="9" style="255" customWidth="1"/>
    <col min="2382" max="2541" width="25.25" style="255"/>
    <col min="2542" max="2571" width="9" style="255" customWidth="1"/>
    <col min="2572" max="2572" width="0.5" style="255" customWidth="1"/>
    <col min="2573" max="2573" width="25.25" style="255"/>
    <col min="2574" max="2574" width="0.5" style="255" customWidth="1"/>
    <col min="2575" max="2575" width="25.25" style="255"/>
    <col min="2576" max="2576" width="14.75" style="255" customWidth="1"/>
    <col min="2577" max="2577" width="11.5" style="255" customWidth="1"/>
    <col min="2578" max="2578" width="11.25" style="255" customWidth="1"/>
    <col min="2579" max="2579" width="10.75" style="255" customWidth="1"/>
    <col min="2580" max="2580" width="10" style="255" customWidth="1"/>
    <col min="2581" max="2581" width="9.875" style="255" customWidth="1"/>
    <col min="2582" max="2582" width="26.125" style="255" customWidth="1"/>
    <col min="2583" max="2583" width="11.125" style="255" customWidth="1"/>
    <col min="2584" max="2584" width="7.875" style="255" customWidth="1"/>
    <col min="2585" max="2585" width="7.25" style="255" customWidth="1"/>
    <col min="2586" max="2586" width="9.125" style="255" customWidth="1"/>
    <col min="2587" max="2587" width="15.125" style="255" customWidth="1"/>
    <col min="2588" max="2588" width="7.75" style="255" customWidth="1"/>
    <col min="2589" max="2589" width="7.125" style="255" customWidth="1"/>
    <col min="2590" max="2590" width="12.125" style="255" customWidth="1"/>
    <col min="2591" max="2591" width="8.25" style="255" customWidth="1"/>
    <col min="2592" max="2593" width="10.375" style="255" customWidth="1"/>
    <col min="2594" max="2594" width="15.625" style="255" customWidth="1"/>
    <col min="2595" max="2595" width="15.875" style="255" customWidth="1"/>
    <col min="2596" max="2596" width="8.125" style="255" customWidth="1"/>
    <col min="2597" max="2600" width="10.375" style="255" customWidth="1"/>
    <col min="2601" max="2601" width="7.25" style="255" customWidth="1"/>
    <col min="2602" max="2602" width="7.125" style="255" customWidth="1"/>
    <col min="2603" max="2603" width="9.5" style="255" customWidth="1"/>
    <col min="2604" max="2605" width="9" style="255" customWidth="1"/>
    <col min="2606" max="2606" width="16.125" style="255" customWidth="1"/>
    <col min="2607" max="2637" width="9" style="255" customWidth="1"/>
    <col min="2638" max="2797" width="25.25" style="255"/>
    <col min="2798" max="2827" width="9" style="255" customWidth="1"/>
    <col min="2828" max="2828" width="0.5" style="255" customWidth="1"/>
    <col min="2829" max="2829" width="25.25" style="255"/>
    <col min="2830" max="2830" width="0.5" style="255" customWidth="1"/>
    <col min="2831" max="2831" width="25.25" style="255"/>
    <col min="2832" max="2832" width="14.75" style="255" customWidth="1"/>
    <col min="2833" max="2833" width="11.5" style="255" customWidth="1"/>
    <col min="2834" max="2834" width="11.25" style="255" customWidth="1"/>
    <col min="2835" max="2835" width="10.75" style="255" customWidth="1"/>
    <col min="2836" max="2836" width="10" style="255" customWidth="1"/>
    <col min="2837" max="2837" width="9.875" style="255" customWidth="1"/>
    <col min="2838" max="2838" width="26.125" style="255" customWidth="1"/>
    <col min="2839" max="2839" width="11.125" style="255" customWidth="1"/>
    <col min="2840" max="2840" width="7.875" style="255" customWidth="1"/>
    <col min="2841" max="2841" width="7.25" style="255" customWidth="1"/>
    <col min="2842" max="2842" width="9.125" style="255" customWidth="1"/>
    <col min="2843" max="2843" width="15.125" style="255" customWidth="1"/>
    <col min="2844" max="2844" width="7.75" style="255" customWidth="1"/>
    <col min="2845" max="2845" width="7.125" style="255" customWidth="1"/>
    <col min="2846" max="2846" width="12.125" style="255" customWidth="1"/>
    <col min="2847" max="2847" width="8.25" style="255" customWidth="1"/>
    <col min="2848" max="2849" width="10.375" style="255" customWidth="1"/>
    <col min="2850" max="2850" width="15.625" style="255" customWidth="1"/>
    <col min="2851" max="2851" width="15.875" style="255" customWidth="1"/>
    <col min="2852" max="2852" width="8.125" style="255" customWidth="1"/>
    <col min="2853" max="2856" width="10.375" style="255" customWidth="1"/>
    <col min="2857" max="2857" width="7.25" style="255" customWidth="1"/>
    <col min="2858" max="2858" width="7.125" style="255" customWidth="1"/>
    <col min="2859" max="2859" width="9.5" style="255" customWidth="1"/>
    <col min="2860" max="2861" width="9" style="255" customWidth="1"/>
    <col min="2862" max="2862" width="16.125" style="255" customWidth="1"/>
    <col min="2863" max="2893" width="9" style="255" customWidth="1"/>
    <col min="2894" max="3053" width="25.25" style="255"/>
    <col min="3054" max="3083" width="9" style="255" customWidth="1"/>
    <col min="3084" max="3084" width="0.5" style="255" customWidth="1"/>
    <col min="3085" max="3085" width="25.25" style="255"/>
    <col min="3086" max="3086" width="0.5" style="255" customWidth="1"/>
    <col min="3087" max="3087" width="25.25" style="255"/>
    <col min="3088" max="3088" width="14.75" style="255" customWidth="1"/>
    <col min="3089" max="3089" width="11.5" style="255" customWidth="1"/>
    <col min="3090" max="3090" width="11.25" style="255" customWidth="1"/>
    <col min="3091" max="3091" width="10.75" style="255" customWidth="1"/>
    <col min="3092" max="3092" width="10" style="255" customWidth="1"/>
    <col min="3093" max="3093" width="9.875" style="255" customWidth="1"/>
    <col min="3094" max="3094" width="26.125" style="255" customWidth="1"/>
    <col min="3095" max="3095" width="11.125" style="255" customWidth="1"/>
    <col min="3096" max="3096" width="7.875" style="255" customWidth="1"/>
    <col min="3097" max="3097" width="7.25" style="255" customWidth="1"/>
    <col min="3098" max="3098" width="9.125" style="255" customWidth="1"/>
    <col min="3099" max="3099" width="15.125" style="255" customWidth="1"/>
    <col min="3100" max="3100" width="7.75" style="255" customWidth="1"/>
    <col min="3101" max="3101" width="7.125" style="255" customWidth="1"/>
    <col min="3102" max="3102" width="12.125" style="255" customWidth="1"/>
    <col min="3103" max="3103" width="8.25" style="255" customWidth="1"/>
    <col min="3104" max="3105" width="10.375" style="255" customWidth="1"/>
    <col min="3106" max="3106" width="15.625" style="255" customWidth="1"/>
    <col min="3107" max="3107" width="15.875" style="255" customWidth="1"/>
    <col min="3108" max="3108" width="8.125" style="255" customWidth="1"/>
    <col min="3109" max="3112" width="10.375" style="255" customWidth="1"/>
    <col min="3113" max="3113" width="7.25" style="255" customWidth="1"/>
    <col min="3114" max="3114" width="7.125" style="255" customWidth="1"/>
    <col min="3115" max="3115" width="9.5" style="255" customWidth="1"/>
    <col min="3116" max="3117" width="9" style="255" customWidth="1"/>
    <col min="3118" max="3118" width="16.125" style="255" customWidth="1"/>
    <col min="3119" max="3149" width="9" style="255" customWidth="1"/>
    <col min="3150" max="3309" width="25.25" style="255"/>
    <col min="3310" max="3339" width="9" style="255" customWidth="1"/>
    <col min="3340" max="3340" width="0.5" style="255" customWidth="1"/>
    <col min="3341" max="3341" width="25.25" style="255"/>
    <col min="3342" max="3342" width="0.5" style="255" customWidth="1"/>
    <col min="3343" max="3343" width="25.25" style="255"/>
    <col min="3344" max="3344" width="14.75" style="255" customWidth="1"/>
    <col min="3345" max="3345" width="11.5" style="255" customWidth="1"/>
    <col min="3346" max="3346" width="11.25" style="255" customWidth="1"/>
    <col min="3347" max="3347" width="10.75" style="255" customWidth="1"/>
    <col min="3348" max="3348" width="10" style="255" customWidth="1"/>
    <col min="3349" max="3349" width="9.875" style="255" customWidth="1"/>
    <col min="3350" max="3350" width="26.125" style="255" customWidth="1"/>
    <col min="3351" max="3351" width="11.125" style="255" customWidth="1"/>
    <col min="3352" max="3352" width="7.875" style="255" customWidth="1"/>
    <col min="3353" max="3353" width="7.25" style="255" customWidth="1"/>
    <col min="3354" max="3354" width="9.125" style="255" customWidth="1"/>
    <col min="3355" max="3355" width="15.125" style="255" customWidth="1"/>
    <col min="3356" max="3356" width="7.75" style="255" customWidth="1"/>
    <col min="3357" max="3357" width="7.125" style="255" customWidth="1"/>
    <col min="3358" max="3358" width="12.125" style="255" customWidth="1"/>
    <col min="3359" max="3359" width="8.25" style="255" customWidth="1"/>
    <col min="3360" max="3361" width="10.375" style="255" customWidth="1"/>
    <col min="3362" max="3362" width="15.625" style="255" customWidth="1"/>
    <col min="3363" max="3363" width="15.875" style="255" customWidth="1"/>
    <col min="3364" max="3364" width="8.125" style="255" customWidth="1"/>
    <col min="3365" max="3368" width="10.375" style="255" customWidth="1"/>
    <col min="3369" max="3369" width="7.25" style="255" customWidth="1"/>
    <col min="3370" max="3370" width="7.125" style="255" customWidth="1"/>
    <col min="3371" max="3371" width="9.5" style="255" customWidth="1"/>
    <col min="3372" max="3373" width="9" style="255" customWidth="1"/>
    <col min="3374" max="3374" width="16.125" style="255" customWidth="1"/>
    <col min="3375" max="3405" width="9" style="255" customWidth="1"/>
    <col min="3406" max="3565" width="25.25" style="255"/>
    <col min="3566" max="3595" width="9" style="255" customWidth="1"/>
    <col min="3596" max="3596" width="0.5" style="255" customWidth="1"/>
    <col min="3597" max="3597" width="25.25" style="255"/>
    <col min="3598" max="3598" width="0.5" style="255" customWidth="1"/>
    <col min="3599" max="3599" width="25.25" style="255"/>
    <col min="3600" max="3600" width="14.75" style="255" customWidth="1"/>
    <col min="3601" max="3601" width="11.5" style="255" customWidth="1"/>
    <col min="3602" max="3602" width="11.25" style="255" customWidth="1"/>
    <col min="3603" max="3603" width="10.75" style="255" customWidth="1"/>
    <col min="3604" max="3604" width="10" style="255" customWidth="1"/>
    <col min="3605" max="3605" width="9.875" style="255" customWidth="1"/>
    <col min="3606" max="3606" width="26.125" style="255" customWidth="1"/>
    <col min="3607" max="3607" width="11.125" style="255" customWidth="1"/>
    <col min="3608" max="3608" width="7.875" style="255" customWidth="1"/>
    <col min="3609" max="3609" width="7.25" style="255" customWidth="1"/>
    <col min="3610" max="3610" width="9.125" style="255" customWidth="1"/>
    <col min="3611" max="3611" width="15.125" style="255" customWidth="1"/>
    <col min="3612" max="3612" width="7.75" style="255" customWidth="1"/>
    <col min="3613" max="3613" width="7.125" style="255" customWidth="1"/>
    <col min="3614" max="3614" width="12.125" style="255" customWidth="1"/>
    <col min="3615" max="3615" width="8.25" style="255" customWidth="1"/>
    <col min="3616" max="3617" width="10.375" style="255" customWidth="1"/>
    <col min="3618" max="3618" width="15.625" style="255" customWidth="1"/>
    <col min="3619" max="3619" width="15.875" style="255" customWidth="1"/>
    <col min="3620" max="3620" width="8.125" style="255" customWidth="1"/>
    <col min="3621" max="3624" width="10.375" style="255" customWidth="1"/>
    <col min="3625" max="3625" width="7.25" style="255" customWidth="1"/>
    <col min="3626" max="3626" width="7.125" style="255" customWidth="1"/>
    <col min="3627" max="3627" width="9.5" style="255" customWidth="1"/>
    <col min="3628" max="3629" width="9" style="255" customWidth="1"/>
    <col min="3630" max="3630" width="16.125" style="255" customWidth="1"/>
    <col min="3631" max="3661" width="9" style="255" customWidth="1"/>
    <col min="3662" max="3821" width="25.25" style="255"/>
    <col min="3822" max="3851" width="9" style="255" customWidth="1"/>
    <col min="3852" max="3852" width="0.5" style="255" customWidth="1"/>
    <col min="3853" max="3853" width="25.25" style="255"/>
    <col min="3854" max="3854" width="0.5" style="255" customWidth="1"/>
    <col min="3855" max="3855" width="25.25" style="255"/>
    <col min="3856" max="3856" width="14.75" style="255" customWidth="1"/>
    <col min="3857" max="3857" width="11.5" style="255" customWidth="1"/>
    <col min="3858" max="3858" width="11.25" style="255" customWidth="1"/>
    <col min="3859" max="3859" width="10.75" style="255" customWidth="1"/>
    <col min="3860" max="3860" width="10" style="255" customWidth="1"/>
    <col min="3861" max="3861" width="9.875" style="255" customWidth="1"/>
    <col min="3862" max="3862" width="26.125" style="255" customWidth="1"/>
    <col min="3863" max="3863" width="11.125" style="255" customWidth="1"/>
    <col min="3864" max="3864" width="7.875" style="255" customWidth="1"/>
    <col min="3865" max="3865" width="7.25" style="255" customWidth="1"/>
    <col min="3866" max="3866" width="9.125" style="255" customWidth="1"/>
    <col min="3867" max="3867" width="15.125" style="255" customWidth="1"/>
    <col min="3868" max="3868" width="7.75" style="255" customWidth="1"/>
    <col min="3869" max="3869" width="7.125" style="255" customWidth="1"/>
    <col min="3870" max="3870" width="12.125" style="255" customWidth="1"/>
    <col min="3871" max="3871" width="8.25" style="255" customWidth="1"/>
    <col min="3872" max="3873" width="10.375" style="255" customWidth="1"/>
    <col min="3874" max="3874" width="15.625" style="255" customWidth="1"/>
    <col min="3875" max="3875" width="15.875" style="255" customWidth="1"/>
    <col min="3876" max="3876" width="8.125" style="255" customWidth="1"/>
    <col min="3877" max="3880" width="10.375" style="255" customWidth="1"/>
    <col min="3881" max="3881" width="7.25" style="255" customWidth="1"/>
    <col min="3882" max="3882" width="7.125" style="255" customWidth="1"/>
    <col min="3883" max="3883" width="9.5" style="255" customWidth="1"/>
    <col min="3884" max="3885" width="9" style="255" customWidth="1"/>
    <col min="3886" max="3886" width="16.125" style="255" customWidth="1"/>
    <col min="3887" max="3917" width="9" style="255" customWidth="1"/>
    <col min="3918" max="4077" width="25.25" style="255"/>
    <col min="4078" max="4107" width="9" style="255" customWidth="1"/>
    <col min="4108" max="4108" width="0.5" style="255" customWidth="1"/>
    <col min="4109" max="4109" width="25.25" style="255"/>
    <col min="4110" max="4110" width="0.5" style="255" customWidth="1"/>
    <col min="4111" max="4111" width="25.25" style="255"/>
    <col min="4112" max="4112" width="14.75" style="255" customWidth="1"/>
    <col min="4113" max="4113" width="11.5" style="255" customWidth="1"/>
    <col min="4114" max="4114" width="11.25" style="255" customWidth="1"/>
    <col min="4115" max="4115" width="10.75" style="255" customWidth="1"/>
    <col min="4116" max="4116" width="10" style="255" customWidth="1"/>
    <col min="4117" max="4117" width="9.875" style="255" customWidth="1"/>
    <col min="4118" max="4118" width="26.125" style="255" customWidth="1"/>
    <col min="4119" max="4119" width="11.125" style="255" customWidth="1"/>
    <col min="4120" max="4120" width="7.875" style="255" customWidth="1"/>
    <col min="4121" max="4121" width="7.25" style="255" customWidth="1"/>
    <col min="4122" max="4122" width="9.125" style="255" customWidth="1"/>
    <col min="4123" max="4123" width="15.125" style="255" customWidth="1"/>
    <col min="4124" max="4124" width="7.75" style="255" customWidth="1"/>
    <col min="4125" max="4125" width="7.125" style="255" customWidth="1"/>
    <col min="4126" max="4126" width="12.125" style="255" customWidth="1"/>
    <col min="4127" max="4127" width="8.25" style="255" customWidth="1"/>
    <col min="4128" max="4129" width="10.375" style="255" customWidth="1"/>
    <col min="4130" max="4130" width="15.625" style="255" customWidth="1"/>
    <col min="4131" max="4131" width="15.875" style="255" customWidth="1"/>
    <col min="4132" max="4132" width="8.125" style="255" customWidth="1"/>
    <col min="4133" max="4136" width="10.375" style="255" customWidth="1"/>
    <col min="4137" max="4137" width="7.25" style="255" customWidth="1"/>
    <col min="4138" max="4138" width="7.125" style="255" customWidth="1"/>
    <col min="4139" max="4139" width="9.5" style="255" customWidth="1"/>
    <col min="4140" max="4141" width="9" style="255" customWidth="1"/>
    <col min="4142" max="4142" width="16.125" style="255" customWidth="1"/>
    <col min="4143" max="4173" width="9" style="255" customWidth="1"/>
    <col min="4174" max="4333" width="25.25" style="255"/>
    <col min="4334" max="4363" width="9" style="255" customWidth="1"/>
    <col min="4364" max="4364" width="0.5" style="255" customWidth="1"/>
    <col min="4365" max="4365" width="25.25" style="255"/>
    <col min="4366" max="4366" width="0.5" style="255" customWidth="1"/>
    <col min="4367" max="4367" width="25.25" style="255"/>
    <col min="4368" max="4368" width="14.75" style="255" customWidth="1"/>
    <col min="4369" max="4369" width="11.5" style="255" customWidth="1"/>
    <col min="4370" max="4370" width="11.25" style="255" customWidth="1"/>
    <col min="4371" max="4371" width="10.75" style="255" customWidth="1"/>
    <col min="4372" max="4372" width="10" style="255" customWidth="1"/>
    <col min="4373" max="4373" width="9.875" style="255" customWidth="1"/>
    <col min="4374" max="4374" width="26.125" style="255" customWidth="1"/>
    <col min="4375" max="4375" width="11.125" style="255" customWidth="1"/>
    <col min="4376" max="4376" width="7.875" style="255" customWidth="1"/>
    <col min="4377" max="4377" width="7.25" style="255" customWidth="1"/>
    <col min="4378" max="4378" width="9.125" style="255" customWidth="1"/>
    <col min="4379" max="4379" width="15.125" style="255" customWidth="1"/>
    <col min="4380" max="4380" width="7.75" style="255" customWidth="1"/>
    <col min="4381" max="4381" width="7.125" style="255" customWidth="1"/>
    <col min="4382" max="4382" width="12.125" style="255" customWidth="1"/>
    <col min="4383" max="4383" width="8.25" style="255" customWidth="1"/>
    <col min="4384" max="4385" width="10.375" style="255" customWidth="1"/>
    <col min="4386" max="4386" width="15.625" style="255" customWidth="1"/>
    <col min="4387" max="4387" width="15.875" style="255" customWidth="1"/>
    <col min="4388" max="4388" width="8.125" style="255" customWidth="1"/>
    <col min="4389" max="4392" width="10.375" style="255" customWidth="1"/>
    <col min="4393" max="4393" width="7.25" style="255" customWidth="1"/>
    <col min="4394" max="4394" width="7.125" style="255" customWidth="1"/>
    <col min="4395" max="4395" width="9.5" style="255" customWidth="1"/>
    <col min="4396" max="4397" width="9" style="255" customWidth="1"/>
    <col min="4398" max="4398" width="16.125" style="255" customWidth="1"/>
    <col min="4399" max="4429" width="9" style="255" customWidth="1"/>
    <col min="4430" max="4589" width="25.25" style="255"/>
    <col min="4590" max="4619" width="9" style="255" customWidth="1"/>
    <col min="4620" max="4620" width="0.5" style="255" customWidth="1"/>
    <col min="4621" max="4621" width="25.25" style="255"/>
    <col min="4622" max="4622" width="0.5" style="255" customWidth="1"/>
    <col min="4623" max="4623" width="25.25" style="255"/>
    <col min="4624" max="4624" width="14.75" style="255" customWidth="1"/>
    <col min="4625" max="4625" width="11.5" style="255" customWidth="1"/>
    <col min="4626" max="4626" width="11.25" style="255" customWidth="1"/>
    <col min="4627" max="4627" width="10.75" style="255" customWidth="1"/>
    <col min="4628" max="4628" width="10" style="255" customWidth="1"/>
    <col min="4629" max="4629" width="9.875" style="255" customWidth="1"/>
    <col min="4630" max="4630" width="26.125" style="255" customWidth="1"/>
    <col min="4631" max="4631" width="11.125" style="255" customWidth="1"/>
    <col min="4632" max="4632" width="7.875" style="255" customWidth="1"/>
    <col min="4633" max="4633" width="7.25" style="255" customWidth="1"/>
    <col min="4634" max="4634" width="9.125" style="255" customWidth="1"/>
    <col min="4635" max="4635" width="15.125" style="255" customWidth="1"/>
    <col min="4636" max="4636" width="7.75" style="255" customWidth="1"/>
    <col min="4637" max="4637" width="7.125" style="255" customWidth="1"/>
    <col min="4638" max="4638" width="12.125" style="255" customWidth="1"/>
    <col min="4639" max="4639" width="8.25" style="255" customWidth="1"/>
    <col min="4640" max="4641" width="10.375" style="255" customWidth="1"/>
    <col min="4642" max="4642" width="15.625" style="255" customWidth="1"/>
    <col min="4643" max="4643" width="15.875" style="255" customWidth="1"/>
    <col min="4644" max="4644" width="8.125" style="255" customWidth="1"/>
    <col min="4645" max="4648" width="10.375" style="255" customWidth="1"/>
    <col min="4649" max="4649" width="7.25" style="255" customWidth="1"/>
    <col min="4650" max="4650" width="7.125" style="255" customWidth="1"/>
    <col min="4651" max="4651" width="9.5" style="255" customWidth="1"/>
    <col min="4652" max="4653" width="9" style="255" customWidth="1"/>
    <col min="4654" max="4654" width="16.125" style="255" customWidth="1"/>
    <col min="4655" max="4685" width="9" style="255" customWidth="1"/>
    <col min="4686" max="4845" width="25.25" style="255"/>
    <col min="4846" max="4875" width="9" style="255" customWidth="1"/>
    <col min="4876" max="4876" width="0.5" style="255" customWidth="1"/>
    <col min="4877" max="4877" width="25.25" style="255"/>
    <col min="4878" max="4878" width="0.5" style="255" customWidth="1"/>
    <col min="4879" max="4879" width="25.25" style="255"/>
    <col min="4880" max="4880" width="14.75" style="255" customWidth="1"/>
    <col min="4881" max="4881" width="11.5" style="255" customWidth="1"/>
    <col min="4882" max="4882" width="11.25" style="255" customWidth="1"/>
    <col min="4883" max="4883" width="10.75" style="255" customWidth="1"/>
    <col min="4884" max="4884" width="10" style="255" customWidth="1"/>
    <col min="4885" max="4885" width="9.875" style="255" customWidth="1"/>
    <col min="4886" max="4886" width="26.125" style="255" customWidth="1"/>
    <col min="4887" max="4887" width="11.125" style="255" customWidth="1"/>
    <col min="4888" max="4888" width="7.875" style="255" customWidth="1"/>
    <col min="4889" max="4889" width="7.25" style="255" customWidth="1"/>
    <col min="4890" max="4890" width="9.125" style="255" customWidth="1"/>
    <col min="4891" max="4891" width="15.125" style="255" customWidth="1"/>
    <col min="4892" max="4892" width="7.75" style="255" customWidth="1"/>
    <col min="4893" max="4893" width="7.125" style="255" customWidth="1"/>
    <col min="4894" max="4894" width="12.125" style="255" customWidth="1"/>
    <col min="4895" max="4895" width="8.25" style="255" customWidth="1"/>
    <col min="4896" max="4897" width="10.375" style="255" customWidth="1"/>
    <col min="4898" max="4898" width="15.625" style="255" customWidth="1"/>
    <col min="4899" max="4899" width="15.875" style="255" customWidth="1"/>
    <col min="4900" max="4900" width="8.125" style="255" customWidth="1"/>
    <col min="4901" max="4904" width="10.375" style="255" customWidth="1"/>
    <col min="4905" max="4905" width="7.25" style="255" customWidth="1"/>
    <col min="4906" max="4906" width="7.125" style="255" customWidth="1"/>
    <col min="4907" max="4907" width="9.5" style="255" customWidth="1"/>
    <col min="4908" max="4909" width="9" style="255" customWidth="1"/>
    <col min="4910" max="4910" width="16.125" style="255" customWidth="1"/>
    <col min="4911" max="4941" width="9" style="255" customWidth="1"/>
    <col min="4942" max="5101" width="25.25" style="255"/>
    <col min="5102" max="5131" width="9" style="255" customWidth="1"/>
    <col min="5132" max="5132" width="0.5" style="255" customWidth="1"/>
    <col min="5133" max="5133" width="25.25" style="255"/>
    <col min="5134" max="5134" width="0.5" style="255" customWidth="1"/>
    <col min="5135" max="5135" width="25.25" style="255"/>
    <col min="5136" max="5136" width="14.75" style="255" customWidth="1"/>
    <col min="5137" max="5137" width="11.5" style="255" customWidth="1"/>
    <col min="5138" max="5138" width="11.25" style="255" customWidth="1"/>
    <col min="5139" max="5139" width="10.75" style="255" customWidth="1"/>
    <col min="5140" max="5140" width="10" style="255" customWidth="1"/>
    <col min="5141" max="5141" width="9.875" style="255" customWidth="1"/>
    <col min="5142" max="5142" width="26.125" style="255" customWidth="1"/>
    <col min="5143" max="5143" width="11.125" style="255" customWidth="1"/>
    <col min="5144" max="5144" width="7.875" style="255" customWidth="1"/>
    <col min="5145" max="5145" width="7.25" style="255" customWidth="1"/>
    <col min="5146" max="5146" width="9.125" style="255" customWidth="1"/>
    <col min="5147" max="5147" width="15.125" style="255" customWidth="1"/>
    <col min="5148" max="5148" width="7.75" style="255" customWidth="1"/>
    <col min="5149" max="5149" width="7.125" style="255" customWidth="1"/>
    <col min="5150" max="5150" width="12.125" style="255" customWidth="1"/>
    <col min="5151" max="5151" width="8.25" style="255" customWidth="1"/>
    <col min="5152" max="5153" width="10.375" style="255" customWidth="1"/>
    <col min="5154" max="5154" width="15.625" style="255" customWidth="1"/>
    <col min="5155" max="5155" width="15.875" style="255" customWidth="1"/>
    <col min="5156" max="5156" width="8.125" style="255" customWidth="1"/>
    <col min="5157" max="5160" width="10.375" style="255" customWidth="1"/>
    <col min="5161" max="5161" width="7.25" style="255" customWidth="1"/>
    <col min="5162" max="5162" width="7.125" style="255" customWidth="1"/>
    <col min="5163" max="5163" width="9.5" style="255" customWidth="1"/>
    <col min="5164" max="5165" width="9" style="255" customWidth="1"/>
    <col min="5166" max="5166" width="16.125" style="255" customWidth="1"/>
    <col min="5167" max="5197" width="9" style="255" customWidth="1"/>
    <col min="5198" max="5357" width="25.25" style="255"/>
    <col min="5358" max="5387" width="9" style="255" customWidth="1"/>
    <col min="5388" max="5388" width="0.5" style="255" customWidth="1"/>
    <col min="5389" max="5389" width="25.25" style="255"/>
    <col min="5390" max="5390" width="0.5" style="255" customWidth="1"/>
    <col min="5391" max="5391" width="25.25" style="255"/>
    <col min="5392" max="5392" width="14.75" style="255" customWidth="1"/>
    <col min="5393" max="5393" width="11.5" style="255" customWidth="1"/>
    <col min="5394" max="5394" width="11.25" style="255" customWidth="1"/>
    <col min="5395" max="5395" width="10.75" style="255" customWidth="1"/>
    <col min="5396" max="5396" width="10" style="255" customWidth="1"/>
    <col min="5397" max="5397" width="9.875" style="255" customWidth="1"/>
    <col min="5398" max="5398" width="26.125" style="255" customWidth="1"/>
    <col min="5399" max="5399" width="11.125" style="255" customWidth="1"/>
    <col min="5400" max="5400" width="7.875" style="255" customWidth="1"/>
    <col min="5401" max="5401" width="7.25" style="255" customWidth="1"/>
    <col min="5402" max="5402" width="9.125" style="255" customWidth="1"/>
    <col min="5403" max="5403" width="15.125" style="255" customWidth="1"/>
    <col min="5404" max="5404" width="7.75" style="255" customWidth="1"/>
    <col min="5405" max="5405" width="7.125" style="255" customWidth="1"/>
    <col min="5406" max="5406" width="12.125" style="255" customWidth="1"/>
    <col min="5407" max="5407" width="8.25" style="255" customWidth="1"/>
    <col min="5408" max="5409" width="10.375" style="255" customWidth="1"/>
    <col min="5410" max="5410" width="15.625" style="255" customWidth="1"/>
    <col min="5411" max="5411" width="15.875" style="255" customWidth="1"/>
    <col min="5412" max="5412" width="8.125" style="255" customWidth="1"/>
    <col min="5413" max="5416" width="10.375" style="255" customWidth="1"/>
    <col min="5417" max="5417" width="7.25" style="255" customWidth="1"/>
    <col min="5418" max="5418" width="7.125" style="255" customWidth="1"/>
    <col min="5419" max="5419" width="9.5" style="255" customWidth="1"/>
    <col min="5420" max="5421" width="9" style="255" customWidth="1"/>
    <col min="5422" max="5422" width="16.125" style="255" customWidth="1"/>
    <col min="5423" max="5453" width="9" style="255" customWidth="1"/>
    <col min="5454" max="5613" width="25.25" style="255"/>
    <col min="5614" max="5643" width="9" style="255" customWidth="1"/>
    <col min="5644" max="5644" width="0.5" style="255" customWidth="1"/>
    <col min="5645" max="5645" width="25.25" style="255"/>
    <col min="5646" max="5646" width="0.5" style="255" customWidth="1"/>
    <col min="5647" max="5647" width="25.25" style="255"/>
    <col min="5648" max="5648" width="14.75" style="255" customWidth="1"/>
    <col min="5649" max="5649" width="11.5" style="255" customWidth="1"/>
    <col min="5650" max="5650" width="11.25" style="255" customWidth="1"/>
    <col min="5651" max="5651" width="10.75" style="255" customWidth="1"/>
    <col min="5652" max="5652" width="10" style="255" customWidth="1"/>
    <col min="5653" max="5653" width="9.875" style="255" customWidth="1"/>
    <col min="5654" max="5654" width="26.125" style="255" customWidth="1"/>
    <col min="5655" max="5655" width="11.125" style="255" customWidth="1"/>
    <col min="5656" max="5656" width="7.875" style="255" customWidth="1"/>
    <col min="5657" max="5657" width="7.25" style="255" customWidth="1"/>
    <col min="5658" max="5658" width="9.125" style="255" customWidth="1"/>
    <col min="5659" max="5659" width="15.125" style="255" customWidth="1"/>
    <col min="5660" max="5660" width="7.75" style="255" customWidth="1"/>
    <col min="5661" max="5661" width="7.125" style="255" customWidth="1"/>
    <col min="5662" max="5662" width="12.125" style="255" customWidth="1"/>
    <col min="5663" max="5663" width="8.25" style="255" customWidth="1"/>
    <col min="5664" max="5665" width="10.375" style="255" customWidth="1"/>
    <col min="5666" max="5666" width="15.625" style="255" customWidth="1"/>
    <col min="5667" max="5667" width="15.875" style="255" customWidth="1"/>
    <col min="5668" max="5668" width="8.125" style="255" customWidth="1"/>
    <col min="5669" max="5672" width="10.375" style="255" customWidth="1"/>
    <col min="5673" max="5673" width="7.25" style="255" customWidth="1"/>
    <col min="5674" max="5674" width="7.125" style="255" customWidth="1"/>
    <col min="5675" max="5675" width="9.5" style="255" customWidth="1"/>
    <col min="5676" max="5677" width="9" style="255" customWidth="1"/>
    <col min="5678" max="5678" width="16.125" style="255" customWidth="1"/>
    <col min="5679" max="5709" width="9" style="255" customWidth="1"/>
    <col min="5710" max="5869" width="25.25" style="255"/>
    <col min="5870" max="5899" width="9" style="255" customWidth="1"/>
    <col min="5900" max="5900" width="0.5" style="255" customWidth="1"/>
    <col min="5901" max="5901" width="25.25" style="255"/>
    <col min="5902" max="5902" width="0.5" style="255" customWidth="1"/>
    <col min="5903" max="5903" width="25.25" style="255"/>
    <col min="5904" max="5904" width="14.75" style="255" customWidth="1"/>
    <col min="5905" max="5905" width="11.5" style="255" customWidth="1"/>
    <col min="5906" max="5906" width="11.25" style="255" customWidth="1"/>
    <col min="5907" max="5907" width="10.75" style="255" customWidth="1"/>
    <col min="5908" max="5908" width="10" style="255" customWidth="1"/>
    <col min="5909" max="5909" width="9.875" style="255" customWidth="1"/>
    <col min="5910" max="5910" width="26.125" style="255" customWidth="1"/>
    <col min="5911" max="5911" width="11.125" style="255" customWidth="1"/>
    <col min="5912" max="5912" width="7.875" style="255" customWidth="1"/>
    <col min="5913" max="5913" width="7.25" style="255" customWidth="1"/>
    <col min="5914" max="5914" width="9.125" style="255" customWidth="1"/>
    <col min="5915" max="5915" width="15.125" style="255" customWidth="1"/>
    <col min="5916" max="5916" width="7.75" style="255" customWidth="1"/>
    <col min="5917" max="5917" width="7.125" style="255" customWidth="1"/>
    <col min="5918" max="5918" width="12.125" style="255" customWidth="1"/>
    <col min="5919" max="5919" width="8.25" style="255" customWidth="1"/>
    <col min="5920" max="5921" width="10.375" style="255" customWidth="1"/>
    <col min="5922" max="5922" width="15.625" style="255" customWidth="1"/>
    <col min="5923" max="5923" width="15.875" style="255" customWidth="1"/>
    <col min="5924" max="5924" width="8.125" style="255" customWidth="1"/>
    <col min="5925" max="5928" width="10.375" style="255" customWidth="1"/>
    <col min="5929" max="5929" width="7.25" style="255" customWidth="1"/>
    <col min="5930" max="5930" width="7.125" style="255" customWidth="1"/>
    <col min="5931" max="5931" width="9.5" style="255" customWidth="1"/>
    <col min="5932" max="5933" width="9" style="255" customWidth="1"/>
    <col min="5934" max="5934" width="16.125" style="255" customWidth="1"/>
    <col min="5935" max="5965" width="9" style="255" customWidth="1"/>
    <col min="5966" max="6125" width="25.25" style="255"/>
    <col min="6126" max="6155" width="9" style="255" customWidth="1"/>
    <col min="6156" max="6156" width="0.5" style="255" customWidth="1"/>
    <col min="6157" max="6157" width="25.25" style="255"/>
    <col min="6158" max="6158" width="0.5" style="255" customWidth="1"/>
    <col min="6159" max="6159" width="25.25" style="255"/>
    <col min="6160" max="6160" width="14.75" style="255" customWidth="1"/>
    <col min="6161" max="6161" width="11.5" style="255" customWidth="1"/>
    <col min="6162" max="6162" width="11.25" style="255" customWidth="1"/>
    <col min="6163" max="6163" width="10.75" style="255" customWidth="1"/>
    <col min="6164" max="6164" width="10" style="255" customWidth="1"/>
    <col min="6165" max="6165" width="9.875" style="255" customWidth="1"/>
    <col min="6166" max="6166" width="26.125" style="255" customWidth="1"/>
    <col min="6167" max="6167" width="11.125" style="255" customWidth="1"/>
    <col min="6168" max="6168" width="7.875" style="255" customWidth="1"/>
    <col min="6169" max="6169" width="7.25" style="255" customWidth="1"/>
    <col min="6170" max="6170" width="9.125" style="255" customWidth="1"/>
    <col min="6171" max="6171" width="15.125" style="255" customWidth="1"/>
    <col min="6172" max="6172" width="7.75" style="255" customWidth="1"/>
    <col min="6173" max="6173" width="7.125" style="255" customWidth="1"/>
    <col min="6174" max="6174" width="12.125" style="255" customWidth="1"/>
    <col min="6175" max="6175" width="8.25" style="255" customWidth="1"/>
    <col min="6176" max="6177" width="10.375" style="255" customWidth="1"/>
    <col min="6178" max="6178" width="15.625" style="255" customWidth="1"/>
    <col min="6179" max="6179" width="15.875" style="255" customWidth="1"/>
    <col min="6180" max="6180" width="8.125" style="255" customWidth="1"/>
    <col min="6181" max="6184" width="10.375" style="255" customWidth="1"/>
    <col min="6185" max="6185" width="7.25" style="255" customWidth="1"/>
    <col min="6186" max="6186" width="7.125" style="255" customWidth="1"/>
    <col min="6187" max="6187" width="9.5" style="255" customWidth="1"/>
    <col min="6188" max="6189" width="9" style="255" customWidth="1"/>
    <col min="6190" max="6190" width="16.125" style="255" customWidth="1"/>
    <col min="6191" max="6221" width="9" style="255" customWidth="1"/>
    <col min="6222" max="6381" width="25.25" style="255"/>
    <col min="6382" max="6411" width="9" style="255" customWidth="1"/>
    <col min="6412" max="6412" width="0.5" style="255" customWidth="1"/>
    <col min="6413" max="6413" width="25.25" style="255"/>
    <col min="6414" max="6414" width="0.5" style="255" customWidth="1"/>
    <col min="6415" max="6415" width="25.25" style="255"/>
    <col min="6416" max="6416" width="14.75" style="255" customWidth="1"/>
    <col min="6417" max="6417" width="11.5" style="255" customWidth="1"/>
    <col min="6418" max="6418" width="11.25" style="255" customWidth="1"/>
    <col min="6419" max="6419" width="10.75" style="255" customWidth="1"/>
    <col min="6420" max="6420" width="10" style="255" customWidth="1"/>
    <col min="6421" max="6421" width="9.875" style="255" customWidth="1"/>
    <col min="6422" max="6422" width="26.125" style="255" customWidth="1"/>
    <col min="6423" max="6423" width="11.125" style="255" customWidth="1"/>
    <col min="6424" max="6424" width="7.875" style="255" customWidth="1"/>
    <col min="6425" max="6425" width="7.25" style="255" customWidth="1"/>
    <col min="6426" max="6426" width="9.125" style="255" customWidth="1"/>
    <col min="6427" max="6427" width="15.125" style="255" customWidth="1"/>
    <col min="6428" max="6428" width="7.75" style="255" customWidth="1"/>
    <col min="6429" max="6429" width="7.125" style="255" customWidth="1"/>
    <col min="6430" max="6430" width="12.125" style="255" customWidth="1"/>
    <col min="6431" max="6431" width="8.25" style="255" customWidth="1"/>
    <col min="6432" max="6433" width="10.375" style="255" customWidth="1"/>
    <col min="6434" max="6434" width="15.625" style="255" customWidth="1"/>
    <col min="6435" max="6435" width="15.875" style="255" customWidth="1"/>
    <col min="6436" max="6436" width="8.125" style="255" customWidth="1"/>
    <col min="6437" max="6440" width="10.375" style="255" customWidth="1"/>
    <col min="6441" max="6441" width="7.25" style="255" customWidth="1"/>
    <col min="6442" max="6442" width="7.125" style="255" customWidth="1"/>
    <col min="6443" max="6443" width="9.5" style="255" customWidth="1"/>
    <col min="6444" max="6445" width="9" style="255" customWidth="1"/>
    <col min="6446" max="6446" width="16.125" style="255" customWidth="1"/>
    <col min="6447" max="6477" width="9" style="255" customWidth="1"/>
    <col min="6478" max="6637" width="25.25" style="255"/>
    <col min="6638" max="6667" width="9" style="255" customWidth="1"/>
    <col min="6668" max="6668" width="0.5" style="255" customWidth="1"/>
    <col min="6669" max="6669" width="25.25" style="255"/>
    <col min="6670" max="6670" width="0.5" style="255" customWidth="1"/>
    <col min="6671" max="6671" width="25.25" style="255"/>
    <col min="6672" max="6672" width="14.75" style="255" customWidth="1"/>
    <col min="6673" max="6673" width="11.5" style="255" customWidth="1"/>
    <col min="6674" max="6674" width="11.25" style="255" customWidth="1"/>
    <col min="6675" max="6675" width="10.75" style="255" customWidth="1"/>
    <col min="6676" max="6676" width="10" style="255" customWidth="1"/>
    <col min="6677" max="6677" width="9.875" style="255" customWidth="1"/>
    <col min="6678" max="6678" width="26.125" style="255" customWidth="1"/>
    <col min="6679" max="6679" width="11.125" style="255" customWidth="1"/>
    <col min="6680" max="6680" width="7.875" style="255" customWidth="1"/>
    <col min="6681" max="6681" width="7.25" style="255" customWidth="1"/>
    <col min="6682" max="6682" width="9.125" style="255" customWidth="1"/>
    <col min="6683" max="6683" width="15.125" style="255" customWidth="1"/>
    <col min="6684" max="6684" width="7.75" style="255" customWidth="1"/>
    <col min="6685" max="6685" width="7.125" style="255" customWidth="1"/>
    <col min="6686" max="6686" width="12.125" style="255" customWidth="1"/>
    <col min="6687" max="6687" width="8.25" style="255" customWidth="1"/>
    <col min="6688" max="6689" width="10.375" style="255" customWidth="1"/>
    <col min="6690" max="6690" width="15.625" style="255" customWidth="1"/>
    <col min="6691" max="6691" width="15.875" style="255" customWidth="1"/>
    <col min="6692" max="6692" width="8.125" style="255" customWidth="1"/>
    <col min="6693" max="6696" width="10.375" style="255" customWidth="1"/>
    <col min="6697" max="6697" width="7.25" style="255" customWidth="1"/>
    <col min="6698" max="6698" width="7.125" style="255" customWidth="1"/>
    <col min="6699" max="6699" width="9.5" style="255" customWidth="1"/>
    <col min="6700" max="6701" width="9" style="255" customWidth="1"/>
    <col min="6702" max="6702" width="16.125" style="255" customWidth="1"/>
    <col min="6703" max="6733" width="9" style="255" customWidth="1"/>
    <col min="6734" max="6893" width="25.25" style="255"/>
    <col min="6894" max="6923" width="9" style="255" customWidth="1"/>
    <col min="6924" max="6924" width="0.5" style="255" customWidth="1"/>
    <col min="6925" max="6925" width="25.25" style="255"/>
    <col min="6926" max="6926" width="0.5" style="255" customWidth="1"/>
    <col min="6927" max="6927" width="25.25" style="255"/>
    <col min="6928" max="6928" width="14.75" style="255" customWidth="1"/>
    <col min="6929" max="6929" width="11.5" style="255" customWidth="1"/>
    <col min="6930" max="6930" width="11.25" style="255" customWidth="1"/>
    <col min="6931" max="6931" width="10.75" style="255" customWidth="1"/>
    <col min="6932" max="6932" width="10" style="255" customWidth="1"/>
    <col min="6933" max="6933" width="9.875" style="255" customWidth="1"/>
    <col min="6934" max="6934" width="26.125" style="255" customWidth="1"/>
    <col min="6935" max="6935" width="11.125" style="255" customWidth="1"/>
    <col min="6936" max="6936" width="7.875" style="255" customWidth="1"/>
    <col min="6937" max="6937" width="7.25" style="255" customWidth="1"/>
    <col min="6938" max="6938" width="9.125" style="255" customWidth="1"/>
    <col min="6939" max="6939" width="15.125" style="255" customWidth="1"/>
    <col min="6940" max="6940" width="7.75" style="255" customWidth="1"/>
    <col min="6941" max="6941" width="7.125" style="255" customWidth="1"/>
    <col min="6942" max="6942" width="12.125" style="255" customWidth="1"/>
    <col min="6943" max="6943" width="8.25" style="255" customWidth="1"/>
    <col min="6944" max="6945" width="10.375" style="255" customWidth="1"/>
    <col min="6946" max="6946" width="15.625" style="255" customWidth="1"/>
    <col min="6947" max="6947" width="15.875" style="255" customWidth="1"/>
    <col min="6948" max="6948" width="8.125" style="255" customWidth="1"/>
    <col min="6949" max="6952" width="10.375" style="255" customWidth="1"/>
    <col min="6953" max="6953" width="7.25" style="255" customWidth="1"/>
    <col min="6954" max="6954" width="7.125" style="255" customWidth="1"/>
    <col min="6955" max="6955" width="9.5" style="255" customWidth="1"/>
    <col min="6956" max="6957" width="9" style="255" customWidth="1"/>
    <col min="6958" max="6958" width="16.125" style="255" customWidth="1"/>
    <col min="6959" max="6989" width="9" style="255" customWidth="1"/>
    <col min="6990" max="7149" width="25.25" style="255"/>
    <col min="7150" max="7179" width="9" style="255" customWidth="1"/>
    <col min="7180" max="7180" width="0.5" style="255" customWidth="1"/>
    <col min="7181" max="7181" width="25.25" style="255"/>
    <col min="7182" max="7182" width="0.5" style="255" customWidth="1"/>
    <col min="7183" max="7183" width="25.25" style="255"/>
    <col min="7184" max="7184" width="14.75" style="255" customWidth="1"/>
    <col min="7185" max="7185" width="11.5" style="255" customWidth="1"/>
    <col min="7186" max="7186" width="11.25" style="255" customWidth="1"/>
    <col min="7187" max="7187" width="10.75" style="255" customWidth="1"/>
    <col min="7188" max="7188" width="10" style="255" customWidth="1"/>
    <col min="7189" max="7189" width="9.875" style="255" customWidth="1"/>
    <col min="7190" max="7190" width="26.125" style="255" customWidth="1"/>
    <col min="7191" max="7191" width="11.125" style="255" customWidth="1"/>
    <col min="7192" max="7192" width="7.875" style="255" customWidth="1"/>
    <col min="7193" max="7193" width="7.25" style="255" customWidth="1"/>
    <col min="7194" max="7194" width="9.125" style="255" customWidth="1"/>
    <col min="7195" max="7195" width="15.125" style="255" customWidth="1"/>
    <col min="7196" max="7196" width="7.75" style="255" customWidth="1"/>
    <col min="7197" max="7197" width="7.125" style="255" customWidth="1"/>
    <col min="7198" max="7198" width="12.125" style="255" customWidth="1"/>
    <col min="7199" max="7199" width="8.25" style="255" customWidth="1"/>
    <col min="7200" max="7201" width="10.375" style="255" customWidth="1"/>
    <col min="7202" max="7202" width="15.625" style="255" customWidth="1"/>
    <col min="7203" max="7203" width="15.875" style="255" customWidth="1"/>
    <col min="7204" max="7204" width="8.125" style="255" customWidth="1"/>
    <col min="7205" max="7208" width="10.375" style="255" customWidth="1"/>
    <col min="7209" max="7209" width="7.25" style="255" customWidth="1"/>
    <col min="7210" max="7210" width="7.125" style="255" customWidth="1"/>
    <col min="7211" max="7211" width="9.5" style="255" customWidth="1"/>
    <col min="7212" max="7213" width="9" style="255" customWidth="1"/>
    <col min="7214" max="7214" width="16.125" style="255" customWidth="1"/>
    <col min="7215" max="7245" width="9" style="255" customWidth="1"/>
    <col min="7246" max="7405" width="25.25" style="255"/>
    <col min="7406" max="7435" width="9" style="255" customWidth="1"/>
    <col min="7436" max="7436" width="0.5" style="255" customWidth="1"/>
    <col min="7437" max="7437" width="25.25" style="255"/>
    <col min="7438" max="7438" width="0.5" style="255" customWidth="1"/>
    <col min="7439" max="7439" width="25.25" style="255"/>
    <col min="7440" max="7440" width="14.75" style="255" customWidth="1"/>
    <col min="7441" max="7441" width="11.5" style="255" customWidth="1"/>
    <col min="7442" max="7442" width="11.25" style="255" customWidth="1"/>
    <col min="7443" max="7443" width="10.75" style="255" customWidth="1"/>
    <col min="7444" max="7444" width="10" style="255" customWidth="1"/>
    <col min="7445" max="7445" width="9.875" style="255" customWidth="1"/>
    <col min="7446" max="7446" width="26.125" style="255" customWidth="1"/>
    <col min="7447" max="7447" width="11.125" style="255" customWidth="1"/>
    <col min="7448" max="7448" width="7.875" style="255" customWidth="1"/>
    <col min="7449" max="7449" width="7.25" style="255" customWidth="1"/>
    <col min="7450" max="7450" width="9.125" style="255" customWidth="1"/>
    <col min="7451" max="7451" width="15.125" style="255" customWidth="1"/>
    <col min="7452" max="7452" width="7.75" style="255" customWidth="1"/>
    <col min="7453" max="7453" width="7.125" style="255" customWidth="1"/>
    <col min="7454" max="7454" width="12.125" style="255" customWidth="1"/>
    <col min="7455" max="7455" width="8.25" style="255" customWidth="1"/>
    <col min="7456" max="7457" width="10.375" style="255" customWidth="1"/>
    <col min="7458" max="7458" width="15.625" style="255" customWidth="1"/>
    <col min="7459" max="7459" width="15.875" style="255" customWidth="1"/>
    <col min="7460" max="7460" width="8.125" style="255" customWidth="1"/>
    <col min="7461" max="7464" width="10.375" style="255" customWidth="1"/>
    <col min="7465" max="7465" width="7.25" style="255" customWidth="1"/>
    <col min="7466" max="7466" width="7.125" style="255" customWidth="1"/>
    <col min="7467" max="7467" width="9.5" style="255" customWidth="1"/>
    <col min="7468" max="7469" width="9" style="255" customWidth="1"/>
    <col min="7470" max="7470" width="16.125" style="255" customWidth="1"/>
    <col min="7471" max="7501" width="9" style="255" customWidth="1"/>
    <col min="7502" max="7661" width="25.25" style="255"/>
    <col min="7662" max="7691" width="9" style="255" customWidth="1"/>
    <col min="7692" max="7692" width="0.5" style="255" customWidth="1"/>
    <col min="7693" max="7693" width="25.25" style="255"/>
    <col min="7694" max="7694" width="0.5" style="255" customWidth="1"/>
    <col min="7695" max="7695" width="25.25" style="255"/>
    <col min="7696" max="7696" width="14.75" style="255" customWidth="1"/>
    <col min="7697" max="7697" width="11.5" style="255" customWidth="1"/>
    <col min="7698" max="7698" width="11.25" style="255" customWidth="1"/>
    <col min="7699" max="7699" width="10.75" style="255" customWidth="1"/>
    <col min="7700" max="7700" width="10" style="255" customWidth="1"/>
    <col min="7701" max="7701" width="9.875" style="255" customWidth="1"/>
    <col min="7702" max="7702" width="26.125" style="255" customWidth="1"/>
    <col min="7703" max="7703" width="11.125" style="255" customWidth="1"/>
    <col min="7704" max="7704" width="7.875" style="255" customWidth="1"/>
    <col min="7705" max="7705" width="7.25" style="255" customWidth="1"/>
    <col min="7706" max="7706" width="9.125" style="255" customWidth="1"/>
    <col min="7707" max="7707" width="15.125" style="255" customWidth="1"/>
    <col min="7708" max="7708" width="7.75" style="255" customWidth="1"/>
    <col min="7709" max="7709" width="7.125" style="255" customWidth="1"/>
    <col min="7710" max="7710" width="12.125" style="255" customWidth="1"/>
    <col min="7711" max="7711" width="8.25" style="255" customWidth="1"/>
    <col min="7712" max="7713" width="10.375" style="255" customWidth="1"/>
    <col min="7714" max="7714" width="15.625" style="255" customWidth="1"/>
    <col min="7715" max="7715" width="15.875" style="255" customWidth="1"/>
    <col min="7716" max="7716" width="8.125" style="255" customWidth="1"/>
    <col min="7717" max="7720" width="10.375" style="255" customWidth="1"/>
    <col min="7721" max="7721" width="7.25" style="255" customWidth="1"/>
    <col min="7722" max="7722" width="7.125" style="255" customWidth="1"/>
    <col min="7723" max="7723" width="9.5" style="255" customWidth="1"/>
    <col min="7724" max="7725" width="9" style="255" customWidth="1"/>
    <col min="7726" max="7726" width="16.125" style="255" customWidth="1"/>
    <col min="7727" max="7757" width="9" style="255" customWidth="1"/>
    <col min="7758" max="7917" width="25.25" style="255"/>
    <col min="7918" max="7947" width="9" style="255" customWidth="1"/>
    <col min="7948" max="7948" width="0.5" style="255" customWidth="1"/>
    <col min="7949" max="7949" width="25.25" style="255"/>
    <col min="7950" max="7950" width="0.5" style="255" customWidth="1"/>
    <col min="7951" max="7951" width="25.25" style="255"/>
    <col min="7952" max="7952" width="14.75" style="255" customWidth="1"/>
    <col min="7953" max="7953" width="11.5" style="255" customWidth="1"/>
    <col min="7954" max="7954" width="11.25" style="255" customWidth="1"/>
    <col min="7955" max="7955" width="10.75" style="255" customWidth="1"/>
    <col min="7956" max="7956" width="10" style="255" customWidth="1"/>
    <col min="7957" max="7957" width="9.875" style="255" customWidth="1"/>
    <col min="7958" max="7958" width="26.125" style="255" customWidth="1"/>
    <col min="7959" max="7959" width="11.125" style="255" customWidth="1"/>
    <col min="7960" max="7960" width="7.875" style="255" customWidth="1"/>
    <col min="7961" max="7961" width="7.25" style="255" customWidth="1"/>
    <col min="7962" max="7962" width="9.125" style="255" customWidth="1"/>
    <col min="7963" max="7963" width="15.125" style="255" customWidth="1"/>
    <col min="7964" max="7964" width="7.75" style="255" customWidth="1"/>
    <col min="7965" max="7965" width="7.125" style="255" customWidth="1"/>
    <col min="7966" max="7966" width="12.125" style="255" customWidth="1"/>
    <col min="7967" max="7967" width="8.25" style="255" customWidth="1"/>
    <col min="7968" max="7969" width="10.375" style="255" customWidth="1"/>
    <col min="7970" max="7970" width="15.625" style="255" customWidth="1"/>
    <col min="7971" max="7971" width="15.875" style="255" customWidth="1"/>
    <col min="7972" max="7972" width="8.125" style="255" customWidth="1"/>
    <col min="7973" max="7976" width="10.375" style="255" customWidth="1"/>
    <col min="7977" max="7977" width="7.25" style="255" customWidth="1"/>
    <col min="7978" max="7978" width="7.125" style="255" customWidth="1"/>
    <col min="7979" max="7979" width="9.5" style="255" customWidth="1"/>
    <col min="7980" max="7981" width="9" style="255" customWidth="1"/>
    <col min="7982" max="7982" width="16.125" style="255" customWidth="1"/>
    <col min="7983" max="8013" width="9" style="255" customWidth="1"/>
    <col min="8014" max="8173" width="25.25" style="255"/>
    <col min="8174" max="8203" width="9" style="255" customWidth="1"/>
    <col min="8204" max="8204" width="0.5" style="255" customWidth="1"/>
    <col min="8205" max="8205" width="25.25" style="255"/>
    <col min="8206" max="8206" width="0.5" style="255" customWidth="1"/>
    <col min="8207" max="8207" width="25.25" style="255"/>
    <col min="8208" max="8208" width="14.75" style="255" customWidth="1"/>
    <col min="8209" max="8209" width="11.5" style="255" customWidth="1"/>
    <col min="8210" max="8210" width="11.25" style="255" customWidth="1"/>
    <col min="8211" max="8211" width="10.75" style="255" customWidth="1"/>
    <col min="8212" max="8212" width="10" style="255" customWidth="1"/>
    <col min="8213" max="8213" width="9.875" style="255" customWidth="1"/>
    <col min="8214" max="8214" width="26.125" style="255" customWidth="1"/>
    <col min="8215" max="8215" width="11.125" style="255" customWidth="1"/>
    <col min="8216" max="8216" width="7.875" style="255" customWidth="1"/>
    <col min="8217" max="8217" width="7.25" style="255" customWidth="1"/>
    <col min="8218" max="8218" width="9.125" style="255" customWidth="1"/>
    <col min="8219" max="8219" width="15.125" style="255" customWidth="1"/>
    <col min="8220" max="8220" width="7.75" style="255" customWidth="1"/>
    <col min="8221" max="8221" width="7.125" style="255" customWidth="1"/>
    <col min="8222" max="8222" width="12.125" style="255" customWidth="1"/>
    <col min="8223" max="8223" width="8.25" style="255" customWidth="1"/>
    <col min="8224" max="8225" width="10.375" style="255" customWidth="1"/>
    <col min="8226" max="8226" width="15.625" style="255" customWidth="1"/>
    <col min="8227" max="8227" width="15.875" style="255" customWidth="1"/>
    <col min="8228" max="8228" width="8.125" style="255" customWidth="1"/>
    <col min="8229" max="8232" width="10.375" style="255" customWidth="1"/>
    <col min="8233" max="8233" width="7.25" style="255" customWidth="1"/>
    <col min="8234" max="8234" width="7.125" style="255" customWidth="1"/>
    <col min="8235" max="8235" width="9.5" style="255" customWidth="1"/>
    <col min="8236" max="8237" width="9" style="255" customWidth="1"/>
    <col min="8238" max="8238" width="16.125" style="255" customWidth="1"/>
    <col min="8239" max="8269" width="9" style="255" customWidth="1"/>
    <col min="8270" max="8429" width="25.25" style="255"/>
    <col min="8430" max="8459" width="9" style="255" customWidth="1"/>
    <col min="8460" max="8460" width="0.5" style="255" customWidth="1"/>
    <col min="8461" max="8461" width="25.25" style="255"/>
    <col min="8462" max="8462" width="0.5" style="255" customWidth="1"/>
    <col min="8463" max="8463" width="25.25" style="255"/>
    <col min="8464" max="8464" width="14.75" style="255" customWidth="1"/>
    <col min="8465" max="8465" width="11.5" style="255" customWidth="1"/>
    <col min="8466" max="8466" width="11.25" style="255" customWidth="1"/>
    <col min="8467" max="8467" width="10.75" style="255" customWidth="1"/>
    <col min="8468" max="8468" width="10" style="255" customWidth="1"/>
    <col min="8469" max="8469" width="9.875" style="255" customWidth="1"/>
    <col min="8470" max="8470" width="26.125" style="255" customWidth="1"/>
    <col min="8471" max="8471" width="11.125" style="255" customWidth="1"/>
    <col min="8472" max="8472" width="7.875" style="255" customWidth="1"/>
    <col min="8473" max="8473" width="7.25" style="255" customWidth="1"/>
    <col min="8474" max="8474" width="9.125" style="255" customWidth="1"/>
    <col min="8475" max="8475" width="15.125" style="255" customWidth="1"/>
    <col min="8476" max="8476" width="7.75" style="255" customWidth="1"/>
    <col min="8477" max="8477" width="7.125" style="255" customWidth="1"/>
    <col min="8478" max="8478" width="12.125" style="255" customWidth="1"/>
    <col min="8479" max="8479" width="8.25" style="255" customWidth="1"/>
    <col min="8480" max="8481" width="10.375" style="255" customWidth="1"/>
    <col min="8482" max="8482" width="15.625" style="255" customWidth="1"/>
    <col min="8483" max="8483" width="15.875" style="255" customWidth="1"/>
    <col min="8484" max="8484" width="8.125" style="255" customWidth="1"/>
    <col min="8485" max="8488" width="10.375" style="255" customWidth="1"/>
    <col min="8489" max="8489" width="7.25" style="255" customWidth="1"/>
    <col min="8490" max="8490" width="7.125" style="255" customWidth="1"/>
    <col min="8491" max="8491" width="9.5" style="255" customWidth="1"/>
    <col min="8492" max="8493" width="9" style="255" customWidth="1"/>
    <col min="8494" max="8494" width="16.125" style="255" customWidth="1"/>
    <col min="8495" max="8525" width="9" style="255" customWidth="1"/>
    <col min="8526" max="8685" width="25.25" style="255"/>
    <col min="8686" max="8715" width="9" style="255" customWidth="1"/>
    <col min="8716" max="8716" width="0.5" style="255" customWidth="1"/>
    <col min="8717" max="8717" width="25.25" style="255"/>
    <col min="8718" max="8718" width="0.5" style="255" customWidth="1"/>
    <col min="8719" max="8719" width="25.25" style="255"/>
    <col min="8720" max="8720" width="14.75" style="255" customWidth="1"/>
    <col min="8721" max="8721" width="11.5" style="255" customWidth="1"/>
    <col min="8722" max="8722" width="11.25" style="255" customWidth="1"/>
    <col min="8723" max="8723" width="10.75" style="255" customWidth="1"/>
    <col min="8724" max="8724" width="10" style="255" customWidth="1"/>
    <col min="8725" max="8725" width="9.875" style="255" customWidth="1"/>
    <col min="8726" max="8726" width="26.125" style="255" customWidth="1"/>
    <col min="8727" max="8727" width="11.125" style="255" customWidth="1"/>
    <col min="8728" max="8728" width="7.875" style="255" customWidth="1"/>
    <col min="8729" max="8729" width="7.25" style="255" customWidth="1"/>
    <col min="8730" max="8730" width="9.125" style="255" customWidth="1"/>
    <col min="8731" max="8731" width="15.125" style="255" customWidth="1"/>
    <col min="8732" max="8732" width="7.75" style="255" customWidth="1"/>
    <col min="8733" max="8733" width="7.125" style="255" customWidth="1"/>
    <col min="8734" max="8734" width="12.125" style="255" customWidth="1"/>
    <col min="8735" max="8735" width="8.25" style="255" customWidth="1"/>
    <col min="8736" max="8737" width="10.375" style="255" customWidth="1"/>
    <col min="8738" max="8738" width="15.625" style="255" customWidth="1"/>
    <col min="8739" max="8739" width="15.875" style="255" customWidth="1"/>
    <col min="8740" max="8740" width="8.125" style="255" customWidth="1"/>
    <col min="8741" max="8744" width="10.375" style="255" customWidth="1"/>
    <col min="8745" max="8745" width="7.25" style="255" customWidth="1"/>
    <col min="8746" max="8746" width="7.125" style="255" customWidth="1"/>
    <col min="8747" max="8747" width="9.5" style="255" customWidth="1"/>
    <col min="8748" max="8749" width="9" style="255" customWidth="1"/>
    <col min="8750" max="8750" width="16.125" style="255" customWidth="1"/>
    <col min="8751" max="8781" width="9" style="255" customWidth="1"/>
    <col min="8782" max="8941" width="25.25" style="255"/>
    <col min="8942" max="8971" width="9" style="255" customWidth="1"/>
    <col min="8972" max="8972" width="0.5" style="255" customWidth="1"/>
    <col min="8973" max="8973" width="25.25" style="255"/>
    <col min="8974" max="8974" width="0.5" style="255" customWidth="1"/>
    <col min="8975" max="8975" width="25.25" style="255"/>
    <col min="8976" max="8976" width="14.75" style="255" customWidth="1"/>
    <col min="8977" max="8977" width="11.5" style="255" customWidth="1"/>
    <col min="8978" max="8978" width="11.25" style="255" customWidth="1"/>
    <col min="8979" max="8979" width="10.75" style="255" customWidth="1"/>
    <col min="8980" max="8980" width="10" style="255" customWidth="1"/>
    <col min="8981" max="8981" width="9.875" style="255" customWidth="1"/>
    <col min="8982" max="8982" width="26.125" style="255" customWidth="1"/>
    <col min="8983" max="8983" width="11.125" style="255" customWidth="1"/>
    <col min="8984" max="8984" width="7.875" style="255" customWidth="1"/>
    <col min="8985" max="8985" width="7.25" style="255" customWidth="1"/>
    <col min="8986" max="8986" width="9.125" style="255" customWidth="1"/>
    <col min="8987" max="8987" width="15.125" style="255" customWidth="1"/>
    <col min="8988" max="8988" width="7.75" style="255" customWidth="1"/>
    <col min="8989" max="8989" width="7.125" style="255" customWidth="1"/>
    <col min="8990" max="8990" width="12.125" style="255" customWidth="1"/>
    <col min="8991" max="8991" width="8.25" style="255" customWidth="1"/>
    <col min="8992" max="8993" width="10.375" style="255" customWidth="1"/>
    <col min="8994" max="8994" width="15.625" style="255" customWidth="1"/>
    <col min="8995" max="8995" width="15.875" style="255" customWidth="1"/>
    <col min="8996" max="8996" width="8.125" style="255" customWidth="1"/>
    <col min="8997" max="9000" width="10.375" style="255" customWidth="1"/>
    <col min="9001" max="9001" width="7.25" style="255" customWidth="1"/>
    <col min="9002" max="9002" width="7.125" style="255" customWidth="1"/>
    <col min="9003" max="9003" width="9.5" style="255" customWidth="1"/>
    <col min="9004" max="9005" width="9" style="255" customWidth="1"/>
    <col min="9006" max="9006" width="16.125" style="255" customWidth="1"/>
    <col min="9007" max="9037" width="9" style="255" customWidth="1"/>
    <col min="9038" max="9197" width="25.25" style="255"/>
    <col min="9198" max="9227" width="9" style="255" customWidth="1"/>
    <col min="9228" max="9228" width="0.5" style="255" customWidth="1"/>
    <col min="9229" max="9229" width="25.25" style="255"/>
    <col min="9230" max="9230" width="0.5" style="255" customWidth="1"/>
    <col min="9231" max="9231" width="25.25" style="255"/>
    <col min="9232" max="9232" width="14.75" style="255" customWidth="1"/>
    <col min="9233" max="9233" width="11.5" style="255" customWidth="1"/>
    <col min="9234" max="9234" width="11.25" style="255" customWidth="1"/>
    <col min="9235" max="9235" width="10.75" style="255" customWidth="1"/>
    <col min="9236" max="9236" width="10" style="255" customWidth="1"/>
    <col min="9237" max="9237" width="9.875" style="255" customWidth="1"/>
    <col min="9238" max="9238" width="26.125" style="255" customWidth="1"/>
    <col min="9239" max="9239" width="11.125" style="255" customWidth="1"/>
    <col min="9240" max="9240" width="7.875" style="255" customWidth="1"/>
    <col min="9241" max="9241" width="7.25" style="255" customWidth="1"/>
    <col min="9242" max="9242" width="9.125" style="255" customWidth="1"/>
    <col min="9243" max="9243" width="15.125" style="255" customWidth="1"/>
    <col min="9244" max="9244" width="7.75" style="255" customWidth="1"/>
    <col min="9245" max="9245" width="7.125" style="255" customWidth="1"/>
    <col min="9246" max="9246" width="12.125" style="255" customWidth="1"/>
    <col min="9247" max="9247" width="8.25" style="255" customWidth="1"/>
    <col min="9248" max="9249" width="10.375" style="255" customWidth="1"/>
    <col min="9250" max="9250" width="15.625" style="255" customWidth="1"/>
    <col min="9251" max="9251" width="15.875" style="255" customWidth="1"/>
    <col min="9252" max="9252" width="8.125" style="255" customWidth="1"/>
    <col min="9253" max="9256" width="10.375" style="255" customWidth="1"/>
    <col min="9257" max="9257" width="7.25" style="255" customWidth="1"/>
    <col min="9258" max="9258" width="7.125" style="255" customWidth="1"/>
    <col min="9259" max="9259" width="9.5" style="255" customWidth="1"/>
    <col min="9260" max="9261" width="9" style="255" customWidth="1"/>
    <col min="9262" max="9262" width="16.125" style="255" customWidth="1"/>
    <col min="9263" max="9293" width="9" style="255" customWidth="1"/>
    <col min="9294" max="9453" width="25.25" style="255"/>
    <col min="9454" max="9483" width="9" style="255" customWidth="1"/>
    <col min="9484" max="9484" width="0.5" style="255" customWidth="1"/>
    <col min="9485" max="9485" width="25.25" style="255"/>
    <col min="9486" max="9486" width="0.5" style="255" customWidth="1"/>
    <col min="9487" max="9487" width="25.25" style="255"/>
    <col min="9488" max="9488" width="14.75" style="255" customWidth="1"/>
    <col min="9489" max="9489" width="11.5" style="255" customWidth="1"/>
    <col min="9490" max="9490" width="11.25" style="255" customWidth="1"/>
    <col min="9491" max="9491" width="10.75" style="255" customWidth="1"/>
    <col min="9492" max="9492" width="10" style="255" customWidth="1"/>
    <col min="9493" max="9493" width="9.875" style="255" customWidth="1"/>
    <col min="9494" max="9494" width="26.125" style="255" customWidth="1"/>
    <col min="9495" max="9495" width="11.125" style="255" customWidth="1"/>
    <col min="9496" max="9496" width="7.875" style="255" customWidth="1"/>
    <col min="9497" max="9497" width="7.25" style="255" customWidth="1"/>
    <col min="9498" max="9498" width="9.125" style="255" customWidth="1"/>
    <col min="9499" max="9499" width="15.125" style="255" customWidth="1"/>
    <col min="9500" max="9500" width="7.75" style="255" customWidth="1"/>
    <col min="9501" max="9501" width="7.125" style="255" customWidth="1"/>
    <col min="9502" max="9502" width="12.125" style="255" customWidth="1"/>
    <col min="9503" max="9503" width="8.25" style="255" customWidth="1"/>
    <col min="9504" max="9505" width="10.375" style="255" customWidth="1"/>
    <col min="9506" max="9506" width="15.625" style="255" customWidth="1"/>
    <col min="9507" max="9507" width="15.875" style="255" customWidth="1"/>
    <col min="9508" max="9508" width="8.125" style="255" customWidth="1"/>
    <col min="9509" max="9512" width="10.375" style="255" customWidth="1"/>
    <col min="9513" max="9513" width="7.25" style="255" customWidth="1"/>
    <col min="9514" max="9514" width="7.125" style="255" customWidth="1"/>
    <col min="9515" max="9515" width="9.5" style="255" customWidth="1"/>
    <col min="9516" max="9517" width="9" style="255" customWidth="1"/>
    <col min="9518" max="9518" width="16.125" style="255" customWidth="1"/>
    <col min="9519" max="9549" width="9" style="255" customWidth="1"/>
    <col min="9550" max="9709" width="25.25" style="255"/>
    <col min="9710" max="9739" width="9" style="255" customWidth="1"/>
    <col min="9740" max="9740" width="0.5" style="255" customWidth="1"/>
    <col min="9741" max="9741" width="25.25" style="255"/>
    <col min="9742" max="9742" width="0.5" style="255" customWidth="1"/>
    <col min="9743" max="9743" width="25.25" style="255"/>
    <col min="9744" max="9744" width="14.75" style="255" customWidth="1"/>
    <col min="9745" max="9745" width="11.5" style="255" customWidth="1"/>
    <col min="9746" max="9746" width="11.25" style="255" customWidth="1"/>
    <col min="9747" max="9747" width="10.75" style="255" customWidth="1"/>
    <col min="9748" max="9748" width="10" style="255" customWidth="1"/>
    <col min="9749" max="9749" width="9.875" style="255" customWidth="1"/>
    <col min="9750" max="9750" width="26.125" style="255" customWidth="1"/>
    <col min="9751" max="9751" width="11.125" style="255" customWidth="1"/>
    <col min="9752" max="9752" width="7.875" style="255" customWidth="1"/>
    <col min="9753" max="9753" width="7.25" style="255" customWidth="1"/>
    <col min="9754" max="9754" width="9.125" style="255" customWidth="1"/>
    <col min="9755" max="9755" width="15.125" style="255" customWidth="1"/>
    <col min="9756" max="9756" width="7.75" style="255" customWidth="1"/>
    <col min="9757" max="9757" width="7.125" style="255" customWidth="1"/>
    <col min="9758" max="9758" width="12.125" style="255" customWidth="1"/>
    <col min="9759" max="9759" width="8.25" style="255" customWidth="1"/>
    <col min="9760" max="9761" width="10.375" style="255" customWidth="1"/>
    <col min="9762" max="9762" width="15.625" style="255" customWidth="1"/>
    <col min="9763" max="9763" width="15.875" style="255" customWidth="1"/>
    <col min="9764" max="9764" width="8.125" style="255" customWidth="1"/>
    <col min="9765" max="9768" width="10.375" style="255" customWidth="1"/>
    <col min="9769" max="9769" width="7.25" style="255" customWidth="1"/>
    <col min="9770" max="9770" width="7.125" style="255" customWidth="1"/>
    <col min="9771" max="9771" width="9.5" style="255" customWidth="1"/>
    <col min="9772" max="9773" width="9" style="255" customWidth="1"/>
    <col min="9774" max="9774" width="16.125" style="255" customWidth="1"/>
    <col min="9775" max="9805" width="9" style="255" customWidth="1"/>
    <col min="9806" max="9965" width="25.25" style="255"/>
    <col min="9966" max="9995" width="9" style="255" customWidth="1"/>
    <col min="9996" max="9996" width="0.5" style="255" customWidth="1"/>
    <col min="9997" max="9997" width="25.25" style="255"/>
    <col min="9998" max="9998" width="0.5" style="255" customWidth="1"/>
    <col min="9999" max="9999" width="25.25" style="255"/>
    <col min="10000" max="10000" width="14.75" style="255" customWidth="1"/>
    <col min="10001" max="10001" width="11.5" style="255" customWidth="1"/>
    <col min="10002" max="10002" width="11.25" style="255" customWidth="1"/>
    <col min="10003" max="10003" width="10.75" style="255" customWidth="1"/>
    <col min="10004" max="10004" width="10" style="255" customWidth="1"/>
    <col min="10005" max="10005" width="9.875" style="255" customWidth="1"/>
    <col min="10006" max="10006" width="26.125" style="255" customWidth="1"/>
    <col min="10007" max="10007" width="11.125" style="255" customWidth="1"/>
    <col min="10008" max="10008" width="7.875" style="255" customWidth="1"/>
    <col min="10009" max="10009" width="7.25" style="255" customWidth="1"/>
    <col min="10010" max="10010" width="9.125" style="255" customWidth="1"/>
    <col min="10011" max="10011" width="15.125" style="255" customWidth="1"/>
    <col min="10012" max="10012" width="7.75" style="255" customWidth="1"/>
    <col min="10013" max="10013" width="7.125" style="255" customWidth="1"/>
    <col min="10014" max="10014" width="12.125" style="255" customWidth="1"/>
    <col min="10015" max="10015" width="8.25" style="255" customWidth="1"/>
    <col min="10016" max="10017" width="10.375" style="255" customWidth="1"/>
    <col min="10018" max="10018" width="15.625" style="255" customWidth="1"/>
    <col min="10019" max="10019" width="15.875" style="255" customWidth="1"/>
    <col min="10020" max="10020" width="8.125" style="255" customWidth="1"/>
    <col min="10021" max="10024" width="10.375" style="255" customWidth="1"/>
    <col min="10025" max="10025" width="7.25" style="255" customWidth="1"/>
    <col min="10026" max="10026" width="7.125" style="255" customWidth="1"/>
    <col min="10027" max="10027" width="9.5" style="255" customWidth="1"/>
    <col min="10028" max="10029" width="9" style="255" customWidth="1"/>
    <col min="10030" max="10030" width="16.125" style="255" customWidth="1"/>
    <col min="10031" max="10061" width="9" style="255" customWidth="1"/>
    <col min="10062" max="10221" width="25.25" style="255"/>
    <col min="10222" max="10251" width="9" style="255" customWidth="1"/>
    <col min="10252" max="10252" width="0.5" style="255" customWidth="1"/>
    <col min="10253" max="10253" width="25.25" style="255"/>
    <col min="10254" max="10254" width="0.5" style="255" customWidth="1"/>
    <col min="10255" max="10255" width="25.25" style="255"/>
    <col min="10256" max="10256" width="14.75" style="255" customWidth="1"/>
    <col min="10257" max="10257" width="11.5" style="255" customWidth="1"/>
    <col min="10258" max="10258" width="11.25" style="255" customWidth="1"/>
    <col min="10259" max="10259" width="10.75" style="255" customWidth="1"/>
    <col min="10260" max="10260" width="10" style="255" customWidth="1"/>
    <col min="10261" max="10261" width="9.875" style="255" customWidth="1"/>
    <col min="10262" max="10262" width="26.125" style="255" customWidth="1"/>
    <col min="10263" max="10263" width="11.125" style="255" customWidth="1"/>
    <col min="10264" max="10264" width="7.875" style="255" customWidth="1"/>
    <col min="10265" max="10265" width="7.25" style="255" customWidth="1"/>
    <col min="10266" max="10266" width="9.125" style="255" customWidth="1"/>
    <col min="10267" max="10267" width="15.125" style="255" customWidth="1"/>
    <col min="10268" max="10268" width="7.75" style="255" customWidth="1"/>
    <col min="10269" max="10269" width="7.125" style="255" customWidth="1"/>
    <col min="10270" max="10270" width="12.125" style="255" customWidth="1"/>
    <col min="10271" max="10271" width="8.25" style="255" customWidth="1"/>
    <col min="10272" max="10273" width="10.375" style="255" customWidth="1"/>
    <col min="10274" max="10274" width="15.625" style="255" customWidth="1"/>
    <col min="10275" max="10275" width="15.875" style="255" customWidth="1"/>
    <col min="10276" max="10276" width="8.125" style="255" customWidth="1"/>
    <col min="10277" max="10280" width="10.375" style="255" customWidth="1"/>
    <col min="10281" max="10281" width="7.25" style="255" customWidth="1"/>
    <col min="10282" max="10282" width="7.125" style="255" customWidth="1"/>
    <col min="10283" max="10283" width="9.5" style="255" customWidth="1"/>
    <col min="10284" max="10285" width="9" style="255" customWidth="1"/>
    <col min="10286" max="10286" width="16.125" style="255" customWidth="1"/>
    <col min="10287" max="10317" width="9" style="255" customWidth="1"/>
    <col min="10318" max="10477" width="25.25" style="255"/>
    <col min="10478" max="10507" width="9" style="255" customWidth="1"/>
    <col min="10508" max="10508" width="0.5" style="255" customWidth="1"/>
    <col min="10509" max="10509" width="25.25" style="255"/>
    <col min="10510" max="10510" width="0.5" style="255" customWidth="1"/>
    <col min="10511" max="10511" width="25.25" style="255"/>
    <col min="10512" max="10512" width="14.75" style="255" customWidth="1"/>
    <col min="10513" max="10513" width="11.5" style="255" customWidth="1"/>
    <col min="10514" max="10514" width="11.25" style="255" customWidth="1"/>
    <col min="10515" max="10515" width="10.75" style="255" customWidth="1"/>
    <col min="10516" max="10516" width="10" style="255" customWidth="1"/>
    <col min="10517" max="10517" width="9.875" style="255" customWidth="1"/>
    <col min="10518" max="10518" width="26.125" style="255" customWidth="1"/>
    <col min="10519" max="10519" width="11.125" style="255" customWidth="1"/>
    <col min="10520" max="10520" width="7.875" style="255" customWidth="1"/>
    <col min="10521" max="10521" width="7.25" style="255" customWidth="1"/>
    <col min="10522" max="10522" width="9.125" style="255" customWidth="1"/>
    <col min="10523" max="10523" width="15.125" style="255" customWidth="1"/>
    <col min="10524" max="10524" width="7.75" style="255" customWidth="1"/>
    <col min="10525" max="10525" width="7.125" style="255" customWidth="1"/>
    <col min="10526" max="10526" width="12.125" style="255" customWidth="1"/>
    <col min="10527" max="10527" width="8.25" style="255" customWidth="1"/>
    <col min="10528" max="10529" width="10.375" style="255" customWidth="1"/>
    <col min="10530" max="10530" width="15.625" style="255" customWidth="1"/>
    <col min="10531" max="10531" width="15.875" style="255" customWidth="1"/>
    <col min="10532" max="10532" width="8.125" style="255" customWidth="1"/>
    <col min="10533" max="10536" width="10.375" style="255" customWidth="1"/>
    <col min="10537" max="10537" width="7.25" style="255" customWidth="1"/>
    <col min="10538" max="10538" width="7.125" style="255" customWidth="1"/>
    <col min="10539" max="10539" width="9.5" style="255" customWidth="1"/>
    <col min="10540" max="10541" width="9" style="255" customWidth="1"/>
    <col min="10542" max="10542" width="16.125" style="255" customWidth="1"/>
    <col min="10543" max="10573" width="9" style="255" customWidth="1"/>
    <col min="10574" max="10733" width="25.25" style="255"/>
    <col min="10734" max="10763" width="9" style="255" customWidth="1"/>
    <col min="10764" max="10764" width="0.5" style="255" customWidth="1"/>
    <col min="10765" max="10765" width="25.25" style="255"/>
    <col min="10766" max="10766" width="0.5" style="255" customWidth="1"/>
    <col min="10767" max="10767" width="25.25" style="255"/>
    <col min="10768" max="10768" width="14.75" style="255" customWidth="1"/>
    <col min="10769" max="10769" width="11.5" style="255" customWidth="1"/>
    <col min="10770" max="10770" width="11.25" style="255" customWidth="1"/>
    <col min="10771" max="10771" width="10.75" style="255" customWidth="1"/>
    <col min="10772" max="10772" width="10" style="255" customWidth="1"/>
    <col min="10773" max="10773" width="9.875" style="255" customWidth="1"/>
    <col min="10774" max="10774" width="26.125" style="255" customWidth="1"/>
    <col min="10775" max="10775" width="11.125" style="255" customWidth="1"/>
    <col min="10776" max="10776" width="7.875" style="255" customWidth="1"/>
    <col min="10777" max="10777" width="7.25" style="255" customWidth="1"/>
    <col min="10778" max="10778" width="9.125" style="255" customWidth="1"/>
    <col min="10779" max="10779" width="15.125" style="255" customWidth="1"/>
    <col min="10780" max="10780" width="7.75" style="255" customWidth="1"/>
    <col min="10781" max="10781" width="7.125" style="255" customWidth="1"/>
    <col min="10782" max="10782" width="12.125" style="255" customWidth="1"/>
    <col min="10783" max="10783" width="8.25" style="255" customWidth="1"/>
    <col min="10784" max="10785" width="10.375" style="255" customWidth="1"/>
    <col min="10786" max="10786" width="15.625" style="255" customWidth="1"/>
    <col min="10787" max="10787" width="15.875" style="255" customWidth="1"/>
    <col min="10788" max="10788" width="8.125" style="255" customWidth="1"/>
    <col min="10789" max="10792" width="10.375" style="255" customWidth="1"/>
    <col min="10793" max="10793" width="7.25" style="255" customWidth="1"/>
    <col min="10794" max="10794" width="7.125" style="255" customWidth="1"/>
    <col min="10795" max="10795" width="9.5" style="255" customWidth="1"/>
    <col min="10796" max="10797" width="9" style="255" customWidth="1"/>
    <col min="10798" max="10798" width="16.125" style="255" customWidth="1"/>
    <col min="10799" max="10829" width="9" style="255" customWidth="1"/>
    <col min="10830" max="10989" width="25.25" style="255"/>
    <col min="10990" max="11019" width="9" style="255" customWidth="1"/>
    <col min="11020" max="11020" width="0.5" style="255" customWidth="1"/>
    <col min="11021" max="11021" width="25.25" style="255"/>
    <col min="11022" max="11022" width="0.5" style="255" customWidth="1"/>
    <col min="11023" max="11023" width="25.25" style="255"/>
    <col min="11024" max="11024" width="14.75" style="255" customWidth="1"/>
    <col min="11025" max="11025" width="11.5" style="255" customWidth="1"/>
    <col min="11026" max="11026" width="11.25" style="255" customWidth="1"/>
    <col min="11027" max="11027" width="10.75" style="255" customWidth="1"/>
    <col min="11028" max="11028" width="10" style="255" customWidth="1"/>
    <col min="11029" max="11029" width="9.875" style="255" customWidth="1"/>
    <col min="11030" max="11030" width="26.125" style="255" customWidth="1"/>
    <col min="11031" max="11031" width="11.125" style="255" customWidth="1"/>
    <col min="11032" max="11032" width="7.875" style="255" customWidth="1"/>
    <col min="11033" max="11033" width="7.25" style="255" customWidth="1"/>
    <col min="11034" max="11034" width="9.125" style="255" customWidth="1"/>
    <col min="11035" max="11035" width="15.125" style="255" customWidth="1"/>
    <col min="11036" max="11036" width="7.75" style="255" customWidth="1"/>
    <col min="11037" max="11037" width="7.125" style="255" customWidth="1"/>
    <col min="11038" max="11038" width="12.125" style="255" customWidth="1"/>
    <col min="11039" max="11039" width="8.25" style="255" customWidth="1"/>
    <col min="11040" max="11041" width="10.375" style="255" customWidth="1"/>
    <col min="11042" max="11042" width="15.625" style="255" customWidth="1"/>
    <col min="11043" max="11043" width="15.875" style="255" customWidth="1"/>
    <col min="11044" max="11044" width="8.125" style="255" customWidth="1"/>
    <col min="11045" max="11048" width="10.375" style="255" customWidth="1"/>
    <col min="11049" max="11049" width="7.25" style="255" customWidth="1"/>
    <col min="11050" max="11050" width="7.125" style="255" customWidth="1"/>
    <col min="11051" max="11051" width="9.5" style="255" customWidth="1"/>
    <col min="11052" max="11053" width="9" style="255" customWidth="1"/>
    <col min="11054" max="11054" width="16.125" style="255" customWidth="1"/>
    <col min="11055" max="11085" width="9" style="255" customWidth="1"/>
    <col min="11086" max="11245" width="25.25" style="255"/>
    <col min="11246" max="11275" width="9" style="255" customWidth="1"/>
    <col min="11276" max="11276" width="0.5" style="255" customWidth="1"/>
    <col min="11277" max="11277" width="25.25" style="255"/>
    <col min="11278" max="11278" width="0.5" style="255" customWidth="1"/>
    <col min="11279" max="11279" width="25.25" style="255"/>
    <col min="11280" max="11280" width="14.75" style="255" customWidth="1"/>
    <col min="11281" max="11281" width="11.5" style="255" customWidth="1"/>
    <col min="11282" max="11282" width="11.25" style="255" customWidth="1"/>
    <col min="11283" max="11283" width="10.75" style="255" customWidth="1"/>
    <col min="11284" max="11284" width="10" style="255" customWidth="1"/>
    <col min="11285" max="11285" width="9.875" style="255" customWidth="1"/>
    <col min="11286" max="11286" width="26.125" style="255" customWidth="1"/>
    <col min="11287" max="11287" width="11.125" style="255" customWidth="1"/>
    <col min="11288" max="11288" width="7.875" style="255" customWidth="1"/>
    <col min="11289" max="11289" width="7.25" style="255" customWidth="1"/>
    <col min="11290" max="11290" width="9.125" style="255" customWidth="1"/>
    <col min="11291" max="11291" width="15.125" style="255" customWidth="1"/>
    <col min="11292" max="11292" width="7.75" style="255" customWidth="1"/>
    <col min="11293" max="11293" width="7.125" style="255" customWidth="1"/>
    <col min="11294" max="11294" width="12.125" style="255" customWidth="1"/>
    <col min="11295" max="11295" width="8.25" style="255" customWidth="1"/>
    <col min="11296" max="11297" width="10.375" style="255" customWidth="1"/>
    <col min="11298" max="11298" width="15.625" style="255" customWidth="1"/>
    <col min="11299" max="11299" width="15.875" style="255" customWidth="1"/>
    <col min="11300" max="11300" width="8.125" style="255" customWidth="1"/>
    <col min="11301" max="11304" width="10.375" style="255" customWidth="1"/>
    <col min="11305" max="11305" width="7.25" style="255" customWidth="1"/>
    <col min="11306" max="11306" width="7.125" style="255" customWidth="1"/>
    <col min="11307" max="11307" width="9.5" style="255" customWidth="1"/>
    <col min="11308" max="11309" width="9" style="255" customWidth="1"/>
    <col min="11310" max="11310" width="16.125" style="255" customWidth="1"/>
    <col min="11311" max="11341" width="9" style="255" customWidth="1"/>
    <col min="11342" max="11501" width="25.25" style="255"/>
    <col min="11502" max="11531" width="9" style="255" customWidth="1"/>
    <col min="11532" max="11532" width="0.5" style="255" customWidth="1"/>
    <col min="11533" max="11533" width="25.25" style="255"/>
    <col min="11534" max="11534" width="0.5" style="255" customWidth="1"/>
    <col min="11535" max="11535" width="25.25" style="255"/>
    <col min="11536" max="11536" width="14.75" style="255" customWidth="1"/>
    <col min="11537" max="11537" width="11.5" style="255" customWidth="1"/>
    <col min="11538" max="11538" width="11.25" style="255" customWidth="1"/>
    <col min="11539" max="11539" width="10.75" style="255" customWidth="1"/>
    <col min="11540" max="11540" width="10" style="255" customWidth="1"/>
    <col min="11541" max="11541" width="9.875" style="255" customWidth="1"/>
    <col min="11542" max="11542" width="26.125" style="255" customWidth="1"/>
    <col min="11543" max="11543" width="11.125" style="255" customWidth="1"/>
    <col min="11544" max="11544" width="7.875" style="255" customWidth="1"/>
    <col min="11545" max="11545" width="7.25" style="255" customWidth="1"/>
    <col min="11546" max="11546" width="9.125" style="255" customWidth="1"/>
    <col min="11547" max="11547" width="15.125" style="255" customWidth="1"/>
    <col min="11548" max="11548" width="7.75" style="255" customWidth="1"/>
    <col min="11549" max="11549" width="7.125" style="255" customWidth="1"/>
    <col min="11550" max="11550" width="12.125" style="255" customWidth="1"/>
    <col min="11551" max="11551" width="8.25" style="255" customWidth="1"/>
    <col min="11552" max="11553" width="10.375" style="255" customWidth="1"/>
    <col min="11554" max="11554" width="15.625" style="255" customWidth="1"/>
    <col min="11555" max="11555" width="15.875" style="255" customWidth="1"/>
    <col min="11556" max="11556" width="8.125" style="255" customWidth="1"/>
    <col min="11557" max="11560" width="10.375" style="255" customWidth="1"/>
    <col min="11561" max="11561" width="7.25" style="255" customWidth="1"/>
    <col min="11562" max="11562" width="7.125" style="255" customWidth="1"/>
    <col min="11563" max="11563" width="9.5" style="255" customWidth="1"/>
    <col min="11564" max="11565" width="9" style="255" customWidth="1"/>
    <col min="11566" max="11566" width="16.125" style="255" customWidth="1"/>
    <col min="11567" max="11597" width="9" style="255" customWidth="1"/>
    <col min="11598" max="11757" width="25.25" style="255"/>
    <col min="11758" max="11787" width="9" style="255" customWidth="1"/>
    <col min="11788" max="11788" width="0.5" style="255" customWidth="1"/>
    <col min="11789" max="11789" width="25.25" style="255"/>
    <col min="11790" max="11790" width="0.5" style="255" customWidth="1"/>
    <col min="11791" max="11791" width="25.25" style="255"/>
    <col min="11792" max="11792" width="14.75" style="255" customWidth="1"/>
    <col min="11793" max="11793" width="11.5" style="255" customWidth="1"/>
    <col min="11794" max="11794" width="11.25" style="255" customWidth="1"/>
    <col min="11795" max="11795" width="10.75" style="255" customWidth="1"/>
    <col min="11796" max="11796" width="10" style="255" customWidth="1"/>
    <col min="11797" max="11797" width="9.875" style="255" customWidth="1"/>
    <col min="11798" max="11798" width="26.125" style="255" customWidth="1"/>
    <col min="11799" max="11799" width="11.125" style="255" customWidth="1"/>
    <col min="11800" max="11800" width="7.875" style="255" customWidth="1"/>
    <col min="11801" max="11801" width="7.25" style="255" customWidth="1"/>
    <col min="11802" max="11802" width="9.125" style="255" customWidth="1"/>
    <col min="11803" max="11803" width="15.125" style="255" customWidth="1"/>
    <col min="11804" max="11804" width="7.75" style="255" customWidth="1"/>
    <col min="11805" max="11805" width="7.125" style="255" customWidth="1"/>
    <col min="11806" max="11806" width="12.125" style="255" customWidth="1"/>
    <col min="11807" max="11807" width="8.25" style="255" customWidth="1"/>
    <col min="11808" max="11809" width="10.375" style="255" customWidth="1"/>
    <col min="11810" max="11810" width="15.625" style="255" customWidth="1"/>
    <col min="11811" max="11811" width="15.875" style="255" customWidth="1"/>
    <col min="11812" max="11812" width="8.125" style="255" customWidth="1"/>
    <col min="11813" max="11816" width="10.375" style="255" customWidth="1"/>
    <col min="11817" max="11817" width="7.25" style="255" customWidth="1"/>
    <col min="11818" max="11818" width="7.125" style="255" customWidth="1"/>
    <col min="11819" max="11819" width="9.5" style="255" customWidth="1"/>
    <col min="11820" max="11821" width="9" style="255" customWidth="1"/>
    <col min="11822" max="11822" width="16.125" style="255" customWidth="1"/>
    <col min="11823" max="11853" width="9" style="255" customWidth="1"/>
    <col min="11854" max="12013" width="25.25" style="255"/>
    <col min="12014" max="12043" width="9" style="255" customWidth="1"/>
    <col min="12044" max="12044" width="0.5" style="255" customWidth="1"/>
    <col min="12045" max="12045" width="25.25" style="255"/>
    <col min="12046" max="12046" width="0.5" style="255" customWidth="1"/>
    <col min="12047" max="12047" width="25.25" style="255"/>
    <col min="12048" max="12048" width="14.75" style="255" customWidth="1"/>
    <col min="12049" max="12049" width="11.5" style="255" customWidth="1"/>
    <col min="12050" max="12050" width="11.25" style="255" customWidth="1"/>
    <col min="12051" max="12051" width="10.75" style="255" customWidth="1"/>
    <col min="12052" max="12052" width="10" style="255" customWidth="1"/>
    <col min="12053" max="12053" width="9.875" style="255" customWidth="1"/>
    <col min="12054" max="12054" width="26.125" style="255" customWidth="1"/>
    <col min="12055" max="12055" width="11.125" style="255" customWidth="1"/>
    <col min="12056" max="12056" width="7.875" style="255" customWidth="1"/>
    <col min="12057" max="12057" width="7.25" style="255" customWidth="1"/>
    <col min="12058" max="12058" width="9.125" style="255" customWidth="1"/>
    <col min="12059" max="12059" width="15.125" style="255" customWidth="1"/>
    <col min="12060" max="12060" width="7.75" style="255" customWidth="1"/>
    <col min="12061" max="12061" width="7.125" style="255" customWidth="1"/>
    <col min="12062" max="12062" width="12.125" style="255" customWidth="1"/>
    <col min="12063" max="12063" width="8.25" style="255" customWidth="1"/>
    <col min="12064" max="12065" width="10.375" style="255" customWidth="1"/>
    <col min="12066" max="12066" width="15.625" style="255" customWidth="1"/>
    <col min="12067" max="12067" width="15.875" style="255" customWidth="1"/>
    <col min="12068" max="12068" width="8.125" style="255" customWidth="1"/>
    <col min="12069" max="12072" width="10.375" style="255" customWidth="1"/>
    <col min="12073" max="12073" width="7.25" style="255" customWidth="1"/>
    <col min="12074" max="12074" width="7.125" style="255" customWidth="1"/>
    <col min="12075" max="12075" width="9.5" style="255" customWidth="1"/>
    <col min="12076" max="12077" width="9" style="255" customWidth="1"/>
    <col min="12078" max="12078" width="16.125" style="255" customWidth="1"/>
    <col min="12079" max="12109" width="9" style="255" customWidth="1"/>
    <col min="12110" max="12269" width="25.25" style="255"/>
    <col min="12270" max="12299" width="9" style="255" customWidth="1"/>
    <col min="12300" max="12300" width="0.5" style="255" customWidth="1"/>
    <col min="12301" max="12301" width="25.25" style="255"/>
    <col min="12302" max="12302" width="0.5" style="255" customWidth="1"/>
    <col min="12303" max="12303" width="25.25" style="255"/>
    <col min="12304" max="12304" width="14.75" style="255" customWidth="1"/>
    <col min="12305" max="12305" width="11.5" style="255" customWidth="1"/>
    <col min="12306" max="12306" width="11.25" style="255" customWidth="1"/>
    <col min="12307" max="12307" width="10.75" style="255" customWidth="1"/>
    <col min="12308" max="12308" width="10" style="255" customWidth="1"/>
    <col min="12309" max="12309" width="9.875" style="255" customWidth="1"/>
    <col min="12310" max="12310" width="26.125" style="255" customWidth="1"/>
    <col min="12311" max="12311" width="11.125" style="255" customWidth="1"/>
    <col min="12312" max="12312" width="7.875" style="255" customWidth="1"/>
    <col min="12313" max="12313" width="7.25" style="255" customWidth="1"/>
    <col min="12314" max="12314" width="9.125" style="255" customWidth="1"/>
    <col min="12315" max="12315" width="15.125" style="255" customWidth="1"/>
    <col min="12316" max="12316" width="7.75" style="255" customWidth="1"/>
    <col min="12317" max="12317" width="7.125" style="255" customWidth="1"/>
    <col min="12318" max="12318" width="12.125" style="255" customWidth="1"/>
    <col min="12319" max="12319" width="8.25" style="255" customWidth="1"/>
    <col min="12320" max="12321" width="10.375" style="255" customWidth="1"/>
    <col min="12322" max="12322" width="15.625" style="255" customWidth="1"/>
    <col min="12323" max="12323" width="15.875" style="255" customWidth="1"/>
    <col min="12324" max="12324" width="8.125" style="255" customWidth="1"/>
    <col min="12325" max="12328" width="10.375" style="255" customWidth="1"/>
    <col min="12329" max="12329" width="7.25" style="255" customWidth="1"/>
    <col min="12330" max="12330" width="7.125" style="255" customWidth="1"/>
    <col min="12331" max="12331" width="9.5" style="255" customWidth="1"/>
    <col min="12332" max="12333" width="9" style="255" customWidth="1"/>
    <col min="12334" max="12334" width="16.125" style="255" customWidth="1"/>
    <col min="12335" max="12365" width="9" style="255" customWidth="1"/>
    <col min="12366" max="12525" width="25.25" style="255"/>
    <col min="12526" max="12555" width="9" style="255" customWidth="1"/>
    <col min="12556" max="12556" width="0.5" style="255" customWidth="1"/>
    <col min="12557" max="12557" width="25.25" style="255"/>
    <col min="12558" max="12558" width="0.5" style="255" customWidth="1"/>
    <col min="12559" max="12559" width="25.25" style="255"/>
    <col min="12560" max="12560" width="14.75" style="255" customWidth="1"/>
    <col min="12561" max="12561" width="11.5" style="255" customWidth="1"/>
    <col min="12562" max="12562" width="11.25" style="255" customWidth="1"/>
    <col min="12563" max="12563" width="10.75" style="255" customWidth="1"/>
    <col min="12564" max="12564" width="10" style="255" customWidth="1"/>
    <col min="12565" max="12565" width="9.875" style="255" customWidth="1"/>
    <col min="12566" max="12566" width="26.125" style="255" customWidth="1"/>
    <col min="12567" max="12567" width="11.125" style="255" customWidth="1"/>
    <col min="12568" max="12568" width="7.875" style="255" customWidth="1"/>
    <col min="12569" max="12569" width="7.25" style="255" customWidth="1"/>
    <col min="12570" max="12570" width="9.125" style="255" customWidth="1"/>
    <col min="12571" max="12571" width="15.125" style="255" customWidth="1"/>
    <col min="12572" max="12572" width="7.75" style="255" customWidth="1"/>
    <col min="12573" max="12573" width="7.125" style="255" customWidth="1"/>
    <col min="12574" max="12574" width="12.125" style="255" customWidth="1"/>
    <col min="12575" max="12575" width="8.25" style="255" customWidth="1"/>
    <col min="12576" max="12577" width="10.375" style="255" customWidth="1"/>
    <col min="12578" max="12578" width="15.625" style="255" customWidth="1"/>
    <col min="12579" max="12579" width="15.875" style="255" customWidth="1"/>
    <col min="12580" max="12580" width="8.125" style="255" customWidth="1"/>
    <col min="12581" max="12584" width="10.375" style="255" customWidth="1"/>
    <col min="12585" max="12585" width="7.25" style="255" customWidth="1"/>
    <col min="12586" max="12586" width="7.125" style="255" customWidth="1"/>
    <col min="12587" max="12587" width="9.5" style="255" customWidth="1"/>
    <col min="12588" max="12589" width="9" style="255" customWidth="1"/>
    <col min="12590" max="12590" width="16.125" style="255" customWidth="1"/>
    <col min="12591" max="12621" width="9" style="255" customWidth="1"/>
    <col min="12622" max="12781" width="25.25" style="255"/>
    <col min="12782" max="12811" width="9" style="255" customWidth="1"/>
    <col min="12812" max="12812" width="0.5" style="255" customWidth="1"/>
    <col min="12813" max="12813" width="25.25" style="255"/>
    <col min="12814" max="12814" width="0.5" style="255" customWidth="1"/>
    <col min="12815" max="12815" width="25.25" style="255"/>
    <col min="12816" max="12816" width="14.75" style="255" customWidth="1"/>
    <col min="12817" max="12817" width="11.5" style="255" customWidth="1"/>
    <col min="12818" max="12818" width="11.25" style="255" customWidth="1"/>
    <col min="12819" max="12819" width="10.75" style="255" customWidth="1"/>
    <col min="12820" max="12820" width="10" style="255" customWidth="1"/>
    <col min="12821" max="12821" width="9.875" style="255" customWidth="1"/>
    <col min="12822" max="12822" width="26.125" style="255" customWidth="1"/>
    <col min="12823" max="12823" width="11.125" style="255" customWidth="1"/>
    <col min="12824" max="12824" width="7.875" style="255" customWidth="1"/>
    <col min="12825" max="12825" width="7.25" style="255" customWidth="1"/>
    <col min="12826" max="12826" width="9.125" style="255" customWidth="1"/>
    <col min="12827" max="12827" width="15.125" style="255" customWidth="1"/>
    <col min="12828" max="12828" width="7.75" style="255" customWidth="1"/>
    <col min="12829" max="12829" width="7.125" style="255" customWidth="1"/>
    <col min="12830" max="12830" width="12.125" style="255" customWidth="1"/>
    <col min="12831" max="12831" width="8.25" style="255" customWidth="1"/>
    <col min="12832" max="12833" width="10.375" style="255" customWidth="1"/>
    <col min="12834" max="12834" width="15.625" style="255" customWidth="1"/>
    <col min="12835" max="12835" width="15.875" style="255" customWidth="1"/>
    <col min="12836" max="12836" width="8.125" style="255" customWidth="1"/>
    <col min="12837" max="12840" width="10.375" style="255" customWidth="1"/>
    <col min="12841" max="12841" width="7.25" style="255" customWidth="1"/>
    <col min="12842" max="12842" width="7.125" style="255" customWidth="1"/>
    <col min="12843" max="12843" width="9.5" style="255" customWidth="1"/>
    <col min="12844" max="12845" width="9" style="255" customWidth="1"/>
    <col min="12846" max="12846" width="16.125" style="255" customWidth="1"/>
    <col min="12847" max="12877" width="9" style="255" customWidth="1"/>
    <col min="12878" max="13037" width="25.25" style="255"/>
    <col min="13038" max="13067" width="9" style="255" customWidth="1"/>
    <col min="13068" max="13068" width="0.5" style="255" customWidth="1"/>
    <col min="13069" max="13069" width="25.25" style="255"/>
    <col min="13070" max="13070" width="0.5" style="255" customWidth="1"/>
    <col min="13071" max="13071" width="25.25" style="255"/>
    <col min="13072" max="13072" width="14.75" style="255" customWidth="1"/>
    <col min="13073" max="13073" width="11.5" style="255" customWidth="1"/>
    <col min="13074" max="13074" width="11.25" style="255" customWidth="1"/>
    <col min="13075" max="13075" width="10.75" style="255" customWidth="1"/>
    <col min="13076" max="13076" width="10" style="255" customWidth="1"/>
    <col min="13077" max="13077" width="9.875" style="255" customWidth="1"/>
    <col min="13078" max="13078" width="26.125" style="255" customWidth="1"/>
    <col min="13079" max="13079" width="11.125" style="255" customWidth="1"/>
    <col min="13080" max="13080" width="7.875" style="255" customWidth="1"/>
    <col min="13081" max="13081" width="7.25" style="255" customWidth="1"/>
    <col min="13082" max="13082" width="9.125" style="255" customWidth="1"/>
    <col min="13083" max="13083" width="15.125" style="255" customWidth="1"/>
    <col min="13084" max="13084" width="7.75" style="255" customWidth="1"/>
    <col min="13085" max="13085" width="7.125" style="255" customWidth="1"/>
    <col min="13086" max="13086" width="12.125" style="255" customWidth="1"/>
    <col min="13087" max="13087" width="8.25" style="255" customWidth="1"/>
    <col min="13088" max="13089" width="10.375" style="255" customWidth="1"/>
    <col min="13090" max="13090" width="15.625" style="255" customWidth="1"/>
    <col min="13091" max="13091" width="15.875" style="255" customWidth="1"/>
    <col min="13092" max="13092" width="8.125" style="255" customWidth="1"/>
    <col min="13093" max="13096" width="10.375" style="255" customWidth="1"/>
    <col min="13097" max="13097" width="7.25" style="255" customWidth="1"/>
    <col min="13098" max="13098" width="7.125" style="255" customWidth="1"/>
    <col min="13099" max="13099" width="9.5" style="255" customWidth="1"/>
    <col min="13100" max="13101" width="9" style="255" customWidth="1"/>
    <col min="13102" max="13102" width="16.125" style="255" customWidth="1"/>
    <col min="13103" max="13133" width="9" style="255" customWidth="1"/>
    <col min="13134" max="13293" width="25.25" style="255"/>
    <col min="13294" max="13323" width="9" style="255" customWidth="1"/>
    <col min="13324" max="13324" width="0.5" style="255" customWidth="1"/>
    <col min="13325" max="13325" width="25.25" style="255"/>
    <col min="13326" max="13326" width="0.5" style="255" customWidth="1"/>
    <col min="13327" max="13327" width="25.25" style="255"/>
    <col min="13328" max="13328" width="14.75" style="255" customWidth="1"/>
    <col min="13329" max="13329" width="11.5" style="255" customWidth="1"/>
    <col min="13330" max="13330" width="11.25" style="255" customWidth="1"/>
    <col min="13331" max="13331" width="10.75" style="255" customWidth="1"/>
    <col min="13332" max="13332" width="10" style="255" customWidth="1"/>
    <col min="13333" max="13333" width="9.875" style="255" customWidth="1"/>
    <col min="13334" max="13334" width="26.125" style="255" customWidth="1"/>
    <col min="13335" max="13335" width="11.125" style="255" customWidth="1"/>
    <col min="13336" max="13336" width="7.875" style="255" customWidth="1"/>
    <col min="13337" max="13337" width="7.25" style="255" customWidth="1"/>
    <col min="13338" max="13338" width="9.125" style="255" customWidth="1"/>
    <col min="13339" max="13339" width="15.125" style="255" customWidth="1"/>
    <col min="13340" max="13340" width="7.75" style="255" customWidth="1"/>
    <col min="13341" max="13341" width="7.125" style="255" customWidth="1"/>
    <col min="13342" max="13342" width="12.125" style="255" customWidth="1"/>
    <col min="13343" max="13343" width="8.25" style="255" customWidth="1"/>
    <col min="13344" max="13345" width="10.375" style="255" customWidth="1"/>
    <col min="13346" max="13346" width="15.625" style="255" customWidth="1"/>
    <col min="13347" max="13347" width="15.875" style="255" customWidth="1"/>
    <col min="13348" max="13348" width="8.125" style="255" customWidth="1"/>
    <col min="13349" max="13352" width="10.375" style="255" customWidth="1"/>
    <col min="13353" max="13353" width="7.25" style="255" customWidth="1"/>
    <col min="13354" max="13354" width="7.125" style="255" customWidth="1"/>
    <col min="13355" max="13355" width="9.5" style="255" customWidth="1"/>
    <col min="13356" max="13357" width="9" style="255" customWidth="1"/>
    <col min="13358" max="13358" width="16.125" style="255" customWidth="1"/>
    <col min="13359" max="13389" width="9" style="255" customWidth="1"/>
    <col min="13390" max="13549" width="25.25" style="255"/>
    <col min="13550" max="13579" width="9" style="255" customWidth="1"/>
    <col min="13580" max="13580" width="0.5" style="255" customWidth="1"/>
    <col min="13581" max="13581" width="25.25" style="255"/>
    <col min="13582" max="13582" width="0.5" style="255" customWidth="1"/>
    <col min="13583" max="13583" width="25.25" style="255"/>
    <col min="13584" max="13584" width="14.75" style="255" customWidth="1"/>
    <col min="13585" max="13585" width="11.5" style="255" customWidth="1"/>
    <col min="13586" max="13586" width="11.25" style="255" customWidth="1"/>
    <col min="13587" max="13587" width="10.75" style="255" customWidth="1"/>
    <col min="13588" max="13588" width="10" style="255" customWidth="1"/>
    <col min="13589" max="13589" width="9.875" style="255" customWidth="1"/>
    <col min="13590" max="13590" width="26.125" style="255" customWidth="1"/>
    <col min="13591" max="13591" width="11.125" style="255" customWidth="1"/>
    <col min="13592" max="13592" width="7.875" style="255" customWidth="1"/>
    <col min="13593" max="13593" width="7.25" style="255" customWidth="1"/>
    <col min="13594" max="13594" width="9.125" style="255" customWidth="1"/>
    <col min="13595" max="13595" width="15.125" style="255" customWidth="1"/>
    <col min="13596" max="13596" width="7.75" style="255" customWidth="1"/>
    <col min="13597" max="13597" width="7.125" style="255" customWidth="1"/>
    <col min="13598" max="13598" width="12.125" style="255" customWidth="1"/>
    <col min="13599" max="13599" width="8.25" style="255" customWidth="1"/>
    <col min="13600" max="13601" width="10.375" style="255" customWidth="1"/>
    <col min="13602" max="13602" width="15.625" style="255" customWidth="1"/>
    <col min="13603" max="13603" width="15.875" style="255" customWidth="1"/>
    <col min="13604" max="13604" width="8.125" style="255" customWidth="1"/>
    <col min="13605" max="13608" width="10.375" style="255" customWidth="1"/>
    <col min="13609" max="13609" width="7.25" style="255" customWidth="1"/>
    <col min="13610" max="13610" width="7.125" style="255" customWidth="1"/>
    <col min="13611" max="13611" width="9.5" style="255" customWidth="1"/>
    <col min="13612" max="13613" width="9" style="255" customWidth="1"/>
    <col min="13614" max="13614" width="16.125" style="255" customWidth="1"/>
    <col min="13615" max="13645" width="9" style="255" customWidth="1"/>
    <col min="13646" max="13805" width="25.25" style="255"/>
    <col min="13806" max="13835" width="9" style="255" customWidth="1"/>
    <col min="13836" max="13836" width="0.5" style="255" customWidth="1"/>
    <col min="13837" max="13837" width="25.25" style="255"/>
    <col min="13838" max="13838" width="0.5" style="255" customWidth="1"/>
    <col min="13839" max="13839" width="25.25" style="255"/>
    <col min="13840" max="13840" width="14.75" style="255" customWidth="1"/>
    <col min="13841" max="13841" width="11.5" style="255" customWidth="1"/>
    <col min="13842" max="13842" width="11.25" style="255" customWidth="1"/>
    <col min="13843" max="13843" width="10.75" style="255" customWidth="1"/>
    <col min="13844" max="13844" width="10" style="255" customWidth="1"/>
    <col min="13845" max="13845" width="9.875" style="255" customWidth="1"/>
    <col min="13846" max="13846" width="26.125" style="255" customWidth="1"/>
    <col min="13847" max="13847" width="11.125" style="255" customWidth="1"/>
    <col min="13848" max="13848" width="7.875" style="255" customWidth="1"/>
    <col min="13849" max="13849" width="7.25" style="255" customWidth="1"/>
    <col min="13850" max="13850" width="9.125" style="255" customWidth="1"/>
    <col min="13851" max="13851" width="15.125" style="255" customWidth="1"/>
    <col min="13852" max="13852" width="7.75" style="255" customWidth="1"/>
    <col min="13853" max="13853" width="7.125" style="255" customWidth="1"/>
    <col min="13854" max="13854" width="12.125" style="255" customWidth="1"/>
    <col min="13855" max="13855" width="8.25" style="255" customWidth="1"/>
    <col min="13856" max="13857" width="10.375" style="255" customWidth="1"/>
    <col min="13858" max="13858" width="15.625" style="255" customWidth="1"/>
    <col min="13859" max="13859" width="15.875" style="255" customWidth="1"/>
    <col min="13860" max="13860" width="8.125" style="255" customWidth="1"/>
    <col min="13861" max="13864" width="10.375" style="255" customWidth="1"/>
    <col min="13865" max="13865" width="7.25" style="255" customWidth="1"/>
    <col min="13866" max="13866" width="7.125" style="255" customWidth="1"/>
    <col min="13867" max="13867" width="9.5" style="255" customWidth="1"/>
    <col min="13868" max="13869" width="9" style="255" customWidth="1"/>
    <col min="13870" max="13870" width="16.125" style="255" customWidth="1"/>
    <col min="13871" max="13901" width="9" style="255" customWidth="1"/>
    <col min="13902" max="14061" width="25.25" style="255"/>
    <col min="14062" max="14091" width="9" style="255" customWidth="1"/>
    <col min="14092" max="14092" width="0.5" style="255" customWidth="1"/>
    <col min="14093" max="14093" width="25.25" style="255"/>
    <col min="14094" max="14094" width="0.5" style="255" customWidth="1"/>
    <col min="14095" max="14095" width="25.25" style="255"/>
    <col min="14096" max="14096" width="14.75" style="255" customWidth="1"/>
    <col min="14097" max="14097" width="11.5" style="255" customWidth="1"/>
    <col min="14098" max="14098" width="11.25" style="255" customWidth="1"/>
    <col min="14099" max="14099" width="10.75" style="255" customWidth="1"/>
    <col min="14100" max="14100" width="10" style="255" customWidth="1"/>
    <col min="14101" max="14101" width="9.875" style="255" customWidth="1"/>
    <col min="14102" max="14102" width="26.125" style="255" customWidth="1"/>
    <col min="14103" max="14103" width="11.125" style="255" customWidth="1"/>
    <col min="14104" max="14104" width="7.875" style="255" customWidth="1"/>
    <col min="14105" max="14105" width="7.25" style="255" customWidth="1"/>
    <col min="14106" max="14106" width="9.125" style="255" customWidth="1"/>
    <col min="14107" max="14107" width="15.125" style="255" customWidth="1"/>
    <col min="14108" max="14108" width="7.75" style="255" customWidth="1"/>
    <col min="14109" max="14109" width="7.125" style="255" customWidth="1"/>
    <col min="14110" max="14110" width="12.125" style="255" customWidth="1"/>
    <col min="14111" max="14111" width="8.25" style="255" customWidth="1"/>
    <col min="14112" max="14113" width="10.375" style="255" customWidth="1"/>
    <col min="14114" max="14114" width="15.625" style="255" customWidth="1"/>
    <col min="14115" max="14115" width="15.875" style="255" customWidth="1"/>
    <col min="14116" max="14116" width="8.125" style="255" customWidth="1"/>
    <col min="14117" max="14120" width="10.375" style="255" customWidth="1"/>
    <col min="14121" max="14121" width="7.25" style="255" customWidth="1"/>
    <col min="14122" max="14122" width="7.125" style="255" customWidth="1"/>
    <col min="14123" max="14123" width="9.5" style="255" customWidth="1"/>
    <col min="14124" max="14125" width="9" style="255" customWidth="1"/>
    <col min="14126" max="14126" width="16.125" style="255" customWidth="1"/>
    <col min="14127" max="14157" width="9" style="255" customWidth="1"/>
    <col min="14158" max="14317" width="25.25" style="255"/>
    <col min="14318" max="14347" width="9" style="255" customWidth="1"/>
    <col min="14348" max="14348" width="0.5" style="255" customWidth="1"/>
    <col min="14349" max="14349" width="25.25" style="255"/>
    <col min="14350" max="14350" width="0.5" style="255" customWidth="1"/>
    <col min="14351" max="14351" width="25.25" style="255"/>
    <col min="14352" max="14352" width="14.75" style="255" customWidth="1"/>
    <col min="14353" max="14353" width="11.5" style="255" customWidth="1"/>
    <col min="14354" max="14354" width="11.25" style="255" customWidth="1"/>
    <col min="14355" max="14355" width="10.75" style="255" customWidth="1"/>
    <col min="14356" max="14356" width="10" style="255" customWidth="1"/>
    <col min="14357" max="14357" width="9.875" style="255" customWidth="1"/>
    <col min="14358" max="14358" width="26.125" style="255" customWidth="1"/>
    <col min="14359" max="14359" width="11.125" style="255" customWidth="1"/>
    <col min="14360" max="14360" width="7.875" style="255" customWidth="1"/>
    <col min="14361" max="14361" width="7.25" style="255" customWidth="1"/>
    <col min="14362" max="14362" width="9.125" style="255" customWidth="1"/>
    <col min="14363" max="14363" width="15.125" style="255" customWidth="1"/>
    <col min="14364" max="14364" width="7.75" style="255" customWidth="1"/>
    <col min="14365" max="14365" width="7.125" style="255" customWidth="1"/>
    <col min="14366" max="14366" width="12.125" style="255" customWidth="1"/>
    <col min="14367" max="14367" width="8.25" style="255" customWidth="1"/>
    <col min="14368" max="14369" width="10.375" style="255" customWidth="1"/>
    <col min="14370" max="14370" width="15.625" style="255" customWidth="1"/>
    <col min="14371" max="14371" width="15.875" style="255" customWidth="1"/>
    <col min="14372" max="14372" width="8.125" style="255" customWidth="1"/>
    <col min="14373" max="14376" width="10.375" style="255" customWidth="1"/>
    <col min="14377" max="14377" width="7.25" style="255" customWidth="1"/>
    <col min="14378" max="14378" width="7.125" style="255" customWidth="1"/>
    <col min="14379" max="14379" width="9.5" style="255" customWidth="1"/>
    <col min="14380" max="14381" width="9" style="255" customWidth="1"/>
    <col min="14382" max="14382" width="16.125" style="255" customWidth="1"/>
    <col min="14383" max="14413" width="9" style="255" customWidth="1"/>
    <col min="14414" max="14573" width="25.25" style="255"/>
    <col min="14574" max="14603" width="9" style="255" customWidth="1"/>
    <col min="14604" max="14604" width="0.5" style="255" customWidth="1"/>
    <col min="14605" max="14605" width="25.25" style="255"/>
    <col min="14606" max="14606" width="0.5" style="255" customWidth="1"/>
    <col min="14607" max="14607" width="25.25" style="255"/>
    <col min="14608" max="14608" width="14.75" style="255" customWidth="1"/>
    <col min="14609" max="14609" width="11.5" style="255" customWidth="1"/>
    <col min="14610" max="14610" width="11.25" style="255" customWidth="1"/>
    <col min="14611" max="14611" width="10.75" style="255" customWidth="1"/>
    <col min="14612" max="14612" width="10" style="255" customWidth="1"/>
    <col min="14613" max="14613" width="9.875" style="255" customWidth="1"/>
    <col min="14614" max="14614" width="26.125" style="255" customWidth="1"/>
    <col min="14615" max="14615" width="11.125" style="255" customWidth="1"/>
    <col min="14616" max="14616" width="7.875" style="255" customWidth="1"/>
    <col min="14617" max="14617" width="7.25" style="255" customWidth="1"/>
    <col min="14618" max="14618" width="9.125" style="255" customWidth="1"/>
    <col min="14619" max="14619" width="15.125" style="255" customWidth="1"/>
    <col min="14620" max="14620" width="7.75" style="255" customWidth="1"/>
    <col min="14621" max="14621" width="7.125" style="255" customWidth="1"/>
    <col min="14622" max="14622" width="12.125" style="255" customWidth="1"/>
    <col min="14623" max="14623" width="8.25" style="255" customWidth="1"/>
    <col min="14624" max="14625" width="10.375" style="255" customWidth="1"/>
    <col min="14626" max="14626" width="15.625" style="255" customWidth="1"/>
    <col min="14627" max="14627" width="15.875" style="255" customWidth="1"/>
    <col min="14628" max="14628" width="8.125" style="255" customWidth="1"/>
    <col min="14629" max="14632" width="10.375" style="255" customWidth="1"/>
    <col min="14633" max="14633" width="7.25" style="255" customWidth="1"/>
    <col min="14634" max="14634" width="7.125" style="255" customWidth="1"/>
    <col min="14635" max="14635" width="9.5" style="255" customWidth="1"/>
    <col min="14636" max="14637" width="9" style="255" customWidth="1"/>
    <col min="14638" max="14638" width="16.125" style="255" customWidth="1"/>
    <col min="14639" max="14669" width="9" style="255" customWidth="1"/>
    <col min="14670" max="14829" width="25.25" style="255"/>
    <col min="14830" max="14859" width="9" style="255" customWidth="1"/>
    <col min="14860" max="14860" width="0.5" style="255" customWidth="1"/>
    <col min="14861" max="14861" width="25.25" style="255"/>
    <col min="14862" max="14862" width="0.5" style="255" customWidth="1"/>
    <col min="14863" max="14863" width="25.25" style="255"/>
    <col min="14864" max="14864" width="14.75" style="255" customWidth="1"/>
    <col min="14865" max="14865" width="11.5" style="255" customWidth="1"/>
    <col min="14866" max="14866" width="11.25" style="255" customWidth="1"/>
    <col min="14867" max="14867" width="10.75" style="255" customWidth="1"/>
    <col min="14868" max="14868" width="10" style="255" customWidth="1"/>
    <col min="14869" max="14869" width="9.875" style="255" customWidth="1"/>
    <col min="14870" max="14870" width="26.125" style="255" customWidth="1"/>
    <col min="14871" max="14871" width="11.125" style="255" customWidth="1"/>
    <col min="14872" max="14872" width="7.875" style="255" customWidth="1"/>
    <col min="14873" max="14873" width="7.25" style="255" customWidth="1"/>
    <col min="14874" max="14874" width="9.125" style="255" customWidth="1"/>
    <col min="14875" max="14875" width="15.125" style="255" customWidth="1"/>
    <col min="14876" max="14876" width="7.75" style="255" customWidth="1"/>
    <col min="14877" max="14877" width="7.125" style="255" customWidth="1"/>
    <col min="14878" max="14878" width="12.125" style="255" customWidth="1"/>
    <col min="14879" max="14879" width="8.25" style="255" customWidth="1"/>
    <col min="14880" max="14881" width="10.375" style="255" customWidth="1"/>
    <col min="14882" max="14882" width="15.625" style="255" customWidth="1"/>
    <col min="14883" max="14883" width="15.875" style="255" customWidth="1"/>
    <col min="14884" max="14884" width="8.125" style="255" customWidth="1"/>
    <col min="14885" max="14888" width="10.375" style="255" customWidth="1"/>
    <col min="14889" max="14889" width="7.25" style="255" customWidth="1"/>
    <col min="14890" max="14890" width="7.125" style="255" customWidth="1"/>
    <col min="14891" max="14891" width="9.5" style="255" customWidth="1"/>
    <col min="14892" max="14893" width="9" style="255" customWidth="1"/>
    <col min="14894" max="14894" width="16.125" style="255" customWidth="1"/>
    <col min="14895" max="14925" width="9" style="255" customWidth="1"/>
    <col min="14926" max="15085" width="25.25" style="255"/>
    <col min="15086" max="15115" width="9" style="255" customWidth="1"/>
    <col min="15116" max="15116" width="0.5" style="255" customWidth="1"/>
    <col min="15117" max="15117" width="25.25" style="255"/>
    <col min="15118" max="15118" width="0.5" style="255" customWidth="1"/>
    <col min="15119" max="15119" width="25.25" style="255"/>
    <col min="15120" max="15120" width="14.75" style="255" customWidth="1"/>
    <col min="15121" max="15121" width="11.5" style="255" customWidth="1"/>
    <col min="15122" max="15122" width="11.25" style="255" customWidth="1"/>
    <col min="15123" max="15123" width="10.75" style="255" customWidth="1"/>
    <col min="15124" max="15124" width="10" style="255" customWidth="1"/>
    <col min="15125" max="15125" width="9.875" style="255" customWidth="1"/>
    <col min="15126" max="15126" width="26.125" style="255" customWidth="1"/>
    <col min="15127" max="15127" width="11.125" style="255" customWidth="1"/>
    <col min="15128" max="15128" width="7.875" style="255" customWidth="1"/>
    <col min="15129" max="15129" width="7.25" style="255" customWidth="1"/>
    <col min="15130" max="15130" width="9.125" style="255" customWidth="1"/>
    <col min="15131" max="15131" width="15.125" style="255" customWidth="1"/>
    <col min="15132" max="15132" width="7.75" style="255" customWidth="1"/>
    <col min="15133" max="15133" width="7.125" style="255" customWidth="1"/>
    <col min="15134" max="15134" width="12.125" style="255" customWidth="1"/>
    <col min="15135" max="15135" width="8.25" style="255" customWidth="1"/>
    <col min="15136" max="15137" width="10.375" style="255" customWidth="1"/>
    <col min="15138" max="15138" width="15.625" style="255" customWidth="1"/>
    <col min="15139" max="15139" width="15.875" style="255" customWidth="1"/>
    <col min="15140" max="15140" width="8.125" style="255" customWidth="1"/>
    <col min="15141" max="15144" width="10.375" style="255" customWidth="1"/>
    <col min="15145" max="15145" width="7.25" style="255" customWidth="1"/>
    <col min="15146" max="15146" width="7.125" style="255" customWidth="1"/>
    <col min="15147" max="15147" width="9.5" style="255" customWidth="1"/>
    <col min="15148" max="15149" width="9" style="255" customWidth="1"/>
    <col min="15150" max="15150" width="16.125" style="255" customWidth="1"/>
    <col min="15151" max="15181" width="9" style="255" customWidth="1"/>
    <col min="15182" max="15341" width="25.25" style="255"/>
    <col min="15342" max="15371" width="9" style="255" customWidth="1"/>
    <col min="15372" max="15372" width="0.5" style="255" customWidth="1"/>
    <col min="15373" max="15373" width="25.25" style="255"/>
    <col min="15374" max="15374" width="0.5" style="255" customWidth="1"/>
    <col min="15375" max="15375" width="25.25" style="255"/>
    <col min="15376" max="15376" width="14.75" style="255" customWidth="1"/>
    <col min="15377" max="15377" width="11.5" style="255" customWidth="1"/>
    <col min="15378" max="15378" width="11.25" style="255" customWidth="1"/>
    <col min="15379" max="15379" width="10.75" style="255" customWidth="1"/>
    <col min="15380" max="15380" width="10" style="255" customWidth="1"/>
    <col min="15381" max="15381" width="9.875" style="255" customWidth="1"/>
    <col min="15382" max="15382" width="26.125" style="255" customWidth="1"/>
    <col min="15383" max="15383" width="11.125" style="255" customWidth="1"/>
    <col min="15384" max="15384" width="7.875" style="255" customWidth="1"/>
    <col min="15385" max="15385" width="7.25" style="255" customWidth="1"/>
    <col min="15386" max="15386" width="9.125" style="255" customWidth="1"/>
    <col min="15387" max="15387" width="15.125" style="255" customWidth="1"/>
    <col min="15388" max="15388" width="7.75" style="255" customWidth="1"/>
    <col min="15389" max="15389" width="7.125" style="255" customWidth="1"/>
    <col min="15390" max="15390" width="12.125" style="255" customWidth="1"/>
    <col min="15391" max="15391" width="8.25" style="255" customWidth="1"/>
    <col min="15392" max="15393" width="10.375" style="255" customWidth="1"/>
    <col min="15394" max="15394" width="15.625" style="255" customWidth="1"/>
    <col min="15395" max="15395" width="15.875" style="255" customWidth="1"/>
    <col min="15396" max="15396" width="8.125" style="255" customWidth="1"/>
    <col min="15397" max="15400" width="10.375" style="255" customWidth="1"/>
    <col min="15401" max="15401" width="7.25" style="255" customWidth="1"/>
    <col min="15402" max="15402" width="7.125" style="255" customWidth="1"/>
    <col min="15403" max="15403" width="9.5" style="255" customWidth="1"/>
    <col min="15404" max="15405" width="9" style="255" customWidth="1"/>
    <col min="15406" max="15406" width="16.125" style="255" customWidth="1"/>
    <col min="15407" max="15437" width="9" style="255" customWidth="1"/>
    <col min="15438" max="15597" width="25.25" style="255"/>
    <col min="15598" max="15627" width="9" style="255" customWidth="1"/>
    <col min="15628" max="15628" width="0.5" style="255" customWidth="1"/>
    <col min="15629" max="15629" width="25.25" style="255"/>
    <col min="15630" max="15630" width="0.5" style="255" customWidth="1"/>
    <col min="15631" max="15631" width="25.25" style="255"/>
    <col min="15632" max="15632" width="14.75" style="255" customWidth="1"/>
    <col min="15633" max="15633" width="11.5" style="255" customWidth="1"/>
    <col min="15634" max="15634" width="11.25" style="255" customWidth="1"/>
    <col min="15635" max="15635" width="10.75" style="255" customWidth="1"/>
    <col min="15636" max="15636" width="10" style="255" customWidth="1"/>
    <col min="15637" max="15637" width="9.875" style="255" customWidth="1"/>
    <col min="15638" max="15638" width="26.125" style="255" customWidth="1"/>
    <col min="15639" max="15639" width="11.125" style="255" customWidth="1"/>
    <col min="15640" max="15640" width="7.875" style="255" customWidth="1"/>
    <col min="15641" max="15641" width="7.25" style="255" customWidth="1"/>
    <col min="15642" max="15642" width="9.125" style="255" customWidth="1"/>
    <col min="15643" max="15643" width="15.125" style="255" customWidth="1"/>
    <col min="15644" max="15644" width="7.75" style="255" customWidth="1"/>
    <col min="15645" max="15645" width="7.125" style="255" customWidth="1"/>
    <col min="15646" max="15646" width="12.125" style="255" customWidth="1"/>
    <col min="15647" max="15647" width="8.25" style="255" customWidth="1"/>
    <col min="15648" max="15649" width="10.375" style="255" customWidth="1"/>
    <col min="15650" max="15650" width="15.625" style="255" customWidth="1"/>
    <col min="15651" max="15651" width="15.875" style="255" customWidth="1"/>
    <col min="15652" max="15652" width="8.125" style="255" customWidth="1"/>
    <col min="15653" max="15656" width="10.375" style="255" customWidth="1"/>
    <col min="15657" max="15657" width="7.25" style="255" customWidth="1"/>
    <col min="15658" max="15658" width="7.125" style="255" customWidth="1"/>
    <col min="15659" max="15659" width="9.5" style="255" customWidth="1"/>
    <col min="15660" max="15661" width="9" style="255" customWidth="1"/>
    <col min="15662" max="15662" width="16.125" style="255" customWidth="1"/>
    <col min="15663" max="15693" width="9" style="255" customWidth="1"/>
    <col min="15694" max="15853" width="25.25" style="255"/>
    <col min="15854" max="15883" width="9" style="255" customWidth="1"/>
    <col min="15884" max="15884" width="0.5" style="255" customWidth="1"/>
    <col min="15885" max="15885" width="25.25" style="255"/>
    <col min="15886" max="15886" width="0.5" style="255" customWidth="1"/>
    <col min="15887" max="15887" width="25.25" style="255"/>
    <col min="15888" max="15888" width="14.75" style="255" customWidth="1"/>
    <col min="15889" max="15889" width="11.5" style="255" customWidth="1"/>
    <col min="15890" max="15890" width="11.25" style="255" customWidth="1"/>
    <col min="15891" max="15891" width="10.75" style="255" customWidth="1"/>
    <col min="15892" max="15892" width="10" style="255" customWidth="1"/>
    <col min="15893" max="15893" width="9.875" style="255" customWidth="1"/>
    <col min="15894" max="15894" width="26.125" style="255" customWidth="1"/>
    <col min="15895" max="15895" width="11.125" style="255" customWidth="1"/>
    <col min="15896" max="15896" width="7.875" style="255" customWidth="1"/>
    <col min="15897" max="15897" width="7.25" style="255" customWidth="1"/>
    <col min="15898" max="15898" width="9.125" style="255" customWidth="1"/>
    <col min="15899" max="15899" width="15.125" style="255" customWidth="1"/>
    <col min="15900" max="15900" width="7.75" style="255" customWidth="1"/>
    <col min="15901" max="15901" width="7.125" style="255" customWidth="1"/>
    <col min="15902" max="15902" width="12.125" style="255" customWidth="1"/>
    <col min="15903" max="15903" width="8.25" style="255" customWidth="1"/>
    <col min="15904" max="15905" width="10.375" style="255" customWidth="1"/>
    <col min="15906" max="15906" width="15.625" style="255" customWidth="1"/>
    <col min="15907" max="15907" width="15.875" style="255" customWidth="1"/>
    <col min="15908" max="15908" width="8.125" style="255" customWidth="1"/>
    <col min="15909" max="15912" width="10.375" style="255" customWidth="1"/>
    <col min="15913" max="15913" width="7.25" style="255" customWidth="1"/>
    <col min="15914" max="15914" width="7.125" style="255" customWidth="1"/>
    <col min="15915" max="15915" width="9.5" style="255" customWidth="1"/>
    <col min="15916" max="15917" width="9" style="255" customWidth="1"/>
    <col min="15918" max="15918" width="16.125" style="255" customWidth="1"/>
    <col min="15919" max="15949" width="9" style="255" customWidth="1"/>
    <col min="15950" max="16109" width="25.25" style="255"/>
    <col min="16110" max="16139" width="9" style="255" customWidth="1"/>
    <col min="16140" max="16140" width="0.5" style="255" customWidth="1"/>
    <col min="16141" max="16384" width="25.25" style="255"/>
  </cols>
  <sheetData>
    <row r="1" spans="1:16" ht="14.25" thickBot="1"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1"/>
      <c r="O1" s="1"/>
      <c r="P1" s="1"/>
    </row>
    <row r="2" spans="1:16" ht="18" customHeight="1">
      <c r="A2" s="5"/>
      <c r="B2" s="6" t="s">
        <v>402</v>
      </c>
      <c r="C2" s="444"/>
      <c r="D2" s="444" t="s">
        <v>9</v>
      </c>
      <c r="E2" s="444" t="s">
        <v>10</v>
      </c>
      <c r="F2" s="661" t="s">
        <v>11</v>
      </c>
      <c r="G2" s="661"/>
      <c r="H2" s="661"/>
      <c r="I2" s="662" t="s">
        <v>12</v>
      </c>
      <c r="J2" s="664" t="s">
        <v>13</v>
      </c>
      <c r="K2" s="665"/>
      <c r="L2" s="665"/>
      <c r="M2" s="666"/>
      <c r="N2" s="8"/>
      <c r="O2" s="8"/>
      <c r="P2" s="8"/>
    </row>
    <row r="3" spans="1:16" ht="18" customHeight="1">
      <c r="B3" s="9" t="s">
        <v>14</v>
      </c>
      <c r="C3" s="10" t="s">
        <v>15</v>
      </c>
      <c r="D3" s="10" t="s">
        <v>16</v>
      </c>
      <c r="E3" s="10" t="s">
        <v>17</v>
      </c>
      <c r="F3" s="10" t="s">
        <v>7</v>
      </c>
      <c r="G3" s="10" t="s">
        <v>5</v>
      </c>
      <c r="H3" s="10" t="s">
        <v>18</v>
      </c>
      <c r="I3" s="663"/>
      <c r="J3" s="11" t="s">
        <v>19</v>
      </c>
      <c r="K3" s="12" t="s">
        <v>20</v>
      </c>
      <c r="L3" s="12" t="s">
        <v>21</v>
      </c>
      <c r="M3" s="13" t="s">
        <v>22</v>
      </c>
      <c r="N3" s="14"/>
      <c r="P3" s="15"/>
    </row>
    <row r="4" spans="1:16" ht="18" customHeight="1">
      <c r="B4" s="667" t="str">
        <f ca="1">MID(CELL("filename",Q13),FIND("]",CELL("filename",Q13))+1,30)</f>
        <v>GC2006</v>
      </c>
      <c r="C4" s="17" t="s">
        <v>23</v>
      </c>
      <c r="D4" s="17">
        <v>1950</v>
      </c>
      <c r="E4" s="17">
        <v>600</v>
      </c>
      <c r="F4" s="222">
        <f>D4*E4/10^6</f>
        <v>1.17</v>
      </c>
      <c r="G4" s="17">
        <v>1</v>
      </c>
      <c r="H4" s="17">
        <f>F4*G4</f>
        <v>1.17</v>
      </c>
      <c r="I4" s="663"/>
      <c r="J4" s="19">
        <v>40</v>
      </c>
      <c r="K4" s="20">
        <v>20</v>
      </c>
      <c r="L4" s="21">
        <v>1.5</v>
      </c>
      <c r="M4" s="22">
        <f t="shared" ref="M4:M11" si="0">ROUND(((J4*K4)-(J4-2*L4)*(K4-2*L4))*7.8/1000,3)</f>
        <v>1.3340000000000001</v>
      </c>
    </row>
    <row r="5" spans="1:16" ht="18" customHeight="1">
      <c r="B5" s="668"/>
      <c r="C5" s="221" t="s">
        <v>299</v>
      </c>
      <c r="D5" s="221">
        <f>D4-70</f>
        <v>1880</v>
      </c>
      <c r="E5" s="221">
        <f>E4-70</f>
        <v>530</v>
      </c>
      <c r="F5" s="222">
        <f>D5*E5/10^6</f>
        <v>0.99639999999999995</v>
      </c>
      <c r="G5" s="221">
        <v>1</v>
      </c>
      <c r="H5" s="222">
        <f>F5*G5</f>
        <v>0.99639999999999995</v>
      </c>
      <c r="I5" s="663"/>
      <c r="J5" s="19">
        <v>40</v>
      </c>
      <c r="K5" s="20">
        <v>20</v>
      </c>
      <c r="L5" s="21">
        <v>2</v>
      </c>
      <c r="M5" s="22">
        <f t="shared" si="0"/>
        <v>1.7470000000000001</v>
      </c>
    </row>
    <row r="6" spans="1:16" ht="18" customHeight="1">
      <c r="B6" s="669"/>
      <c r="C6" s="17" t="s">
        <v>24</v>
      </c>
      <c r="D6" s="17">
        <f>D4-80</f>
        <v>1870</v>
      </c>
      <c r="E6" s="17">
        <f>E4-80</f>
        <v>520</v>
      </c>
      <c r="F6" s="18">
        <f>D6*E6/10^6</f>
        <v>0.97240000000000004</v>
      </c>
      <c r="G6" s="17">
        <v>1</v>
      </c>
      <c r="H6" s="18">
        <f>F6*G6</f>
        <v>0.97240000000000004</v>
      </c>
      <c r="I6" s="663"/>
      <c r="J6" s="19">
        <v>40</v>
      </c>
      <c r="K6" s="20">
        <v>20</v>
      </c>
      <c r="L6" s="21">
        <v>2</v>
      </c>
      <c r="M6" s="22">
        <f t="shared" si="0"/>
        <v>1.7470000000000001</v>
      </c>
    </row>
    <row r="7" spans="1:16" ht="18" customHeight="1">
      <c r="B7" s="23" t="s">
        <v>25</v>
      </c>
      <c r="C7" s="442" t="s">
        <v>16</v>
      </c>
      <c r="D7" s="442" t="s">
        <v>26</v>
      </c>
      <c r="E7" s="442" t="s">
        <v>17</v>
      </c>
      <c r="F7" s="442" t="s">
        <v>27</v>
      </c>
      <c r="G7" s="442" t="s">
        <v>22</v>
      </c>
      <c r="H7" s="442" t="s">
        <v>28</v>
      </c>
      <c r="I7" s="25" t="s">
        <v>29</v>
      </c>
      <c r="J7" s="19">
        <v>80</v>
      </c>
      <c r="K7" s="20">
        <v>40</v>
      </c>
      <c r="L7" s="21">
        <v>2</v>
      </c>
      <c r="M7" s="22">
        <f t="shared" si="0"/>
        <v>3.6190000000000002</v>
      </c>
    </row>
    <row r="8" spans="1:16" ht="18" customHeight="1">
      <c r="B8" s="441" t="s">
        <v>30</v>
      </c>
      <c r="C8" s="27">
        <f>D4-30</f>
        <v>1920</v>
      </c>
      <c r="D8" s="27">
        <v>2</v>
      </c>
      <c r="E8" s="27">
        <f>E4-30</f>
        <v>570</v>
      </c>
      <c r="F8" s="27">
        <v>2</v>
      </c>
      <c r="G8" s="28">
        <v>1.7470000000000001</v>
      </c>
      <c r="H8" s="29">
        <f>材料价格!B3</f>
        <v>7.5</v>
      </c>
      <c r="I8" s="30">
        <f>ROUND((C8*D8+E8*F8)*G8*H8/1000*1.1,2)</f>
        <v>71.78</v>
      </c>
      <c r="J8" s="19">
        <v>40</v>
      </c>
      <c r="K8" s="20">
        <v>20</v>
      </c>
      <c r="L8" s="21">
        <v>1.4</v>
      </c>
      <c r="M8" s="22">
        <f>ROUND(((J8*K8)-(J8-2*L8)*(K8-2*L8))*2.71/1000,3)</f>
        <v>0.434</v>
      </c>
    </row>
    <row r="9" spans="1:16" ht="18" customHeight="1">
      <c r="B9" s="441" t="s">
        <v>30</v>
      </c>
      <c r="C9" s="440"/>
      <c r="D9" s="440"/>
      <c r="E9" s="440"/>
      <c r="F9" s="440"/>
      <c r="G9" s="28">
        <v>1.7470000000000001</v>
      </c>
      <c r="H9" s="32">
        <f>H8</f>
        <v>7.5</v>
      </c>
      <c r="I9" s="30">
        <f>ROUND((C9*D9+E9*F9)*G9*H9/1000*1.1,2)</f>
        <v>0</v>
      </c>
      <c r="J9" s="19"/>
      <c r="K9" s="20"/>
      <c r="L9" s="21"/>
      <c r="M9" s="22">
        <f t="shared" si="0"/>
        <v>0</v>
      </c>
    </row>
    <row r="10" spans="1:16" ht="18" customHeight="1">
      <c r="B10" s="441" t="s">
        <v>31</v>
      </c>
      <c r="C10" s="440"/>
      <c r="D10" s="440"/>
      <c r="E10" s="440"/>
      <c r="F10" s="440"/>
      <c r="G10" s="28">
        <v>3.6190000000000002</v>
      </c>
      <c r="H10" s="32">
        <f>H9</f>
        <v>7.5</v>
      </c>
      <c r="I10" s="30">
        <f>ROUND((C10*D10+E10*F10)*G10*H10/1000*1.1,2)</f>
        <v>0</v>
      </c>
      <c r="J10" s="19"/>
      <c r="K10" s="20"/>
      <c r="L10" s="12"/>
      <c r="M10" s="22">
        <f t="shared" si="0"/>
        <v>0</v>
      </c>
    </row>
    <row r="11" spans="1:16" ht="18" customHeight="1" thickBot="1">
      <c r="B11" s="441" t="s">
        <v>32</v>
      </c>
      <c r="C11" s="440"/>
      <c r="D11" s="440"/>
      <c r="E11" s="440"/>
      <c r="F11" s="440"/>
      <c r="G11" s="28">
        <v>2.9950000000000001</v>
      </c>
      <c r="H11" s="32">
        <f>H10</f>
        <v>7.5</v>
      </c>
      <c r="I11" s="30">
        <f>ROUND((C11*D11+E11*F11)*G11*H11/1000*1.1,2)</f>
        <v>0</v>
      </c>
      <c r="J11" s="33"/>
      <c r="K11" s="34"/>
      <c r="L11" s="35"/>
      <c r="M11" s="36">
        <f t="shared" si="0"/>
        <v>0</v>
      </c>
    </row>
    <row r="12" spans="1:16" ht="18" customHeight="1">
      <c r="B12" s="37" t="s">
        <v>33</v>
      </c>
      <c r="C12" s="38">
        <f>((I9+I10+I8+I11)/H8)/F4</f>
        <v>8.18005698005698</v>
      </c>
      <c r="D12" s="39" t="s">
        <v>34</v>
      </c>
      <c r="E12" s="38">
        <f>(I9+I10+I8+I11)/F4</f>
        <v>61.350427350427353</v>
      </c>
      <c r="F12" s="40" t="s">
        <v>35</v>
      </c>
      <c r="G12" s="39"/>
      <c r="H12" s="39">
        <f>ROUND(SUM(I8:I11)/H8,2)</f>
        <v>9.57</v>
      </c>
      <c r="I12" s="41">
        <f>SUM(I8:I11)</f>
        <v>71.78</v>
      </c>
      <c r="J12" s="42"/>
    </row>
    <row r="13" spans="1:16" ht="18" customHeight="1">
      <c r="B13" s="23" t="s">
        <v>36</v>
      </c>
      <c r="C13" s="442" t="s">
        <v>14</v>
      </c>
      <c r="D13" s="442" t="s">
        <v>37</v>
      </c>
      <c r="E13" s="442" t="s">
        <v>38</v>
      </c>
      <c r="F13" s="442" t="s">
        <v>39</v>
      </c>
      <c r="G13" s="442" t="s">
        <v>8</v>
      </c>
      <c r="H13" s="442" t="s">
        <v>22</v>
      </c>
      <c r="I13" s="25" t="s">
        <v>40</v>
      </c>
    </row>
    <row r="14" spans="1:16" ht="18" customHeight="1">
      <c r="B14" s="648" t="s">
        <v>41</v>
      </c>
      <c r="C14" s="649" t="s">
        <v>404</v>
      </c>
      <c r="D14" s="440">
        <f>D6-D108</f>
        <v>1870</v>
      </c>
      <c r="E14" s="440">
        <f>E6</f>
        <v>520</v>
      </c>
      <c r="F14" s="44">
        <f>ROUND((D14+E14)*2/1000,4)</f>
        <v>4.78</v>
      </c>
      <c r="G14" s="440">
        <v>1</v>
      </c>
      <c r="H14" s="440">
        <v>1.47</v>
      </c>
      <c r="I14" s="437">
        <f t="shared" ref="I14:I21" si="1">ROUND(F14*G14*H14,3)</f>
        <v>7.0270000000000001</v>
      </c>
      <c r="J14" s="42"/>
      <c r="K14" s="46"/>
      <c r="L14" s="46"/>
      <c r="M14" s="42"/>
    </row>
    <row r="15" spans="1:16" ht="18" customHeight="1">
      <c r="B15" s="648"/>
      <c r="C15" s="650"/>
      <c r="D15" s="440"/>
      <c r="E15" s="440"/>
      <c r="F15" s="44">
        <f t="shared" ref="F15:F21" si="2">ROUND((D15+E15)*2/1000,4)</f>
        <v>0</v>
      </c>
      <c r="G15" s="440"/>
      <c r="H15" s="440">
        <f t="shared" ref="H15:H21" si="3">H14</f>
        <v>1.47</v>
      </c>
      <c r="I15" s="437">
        <f t="shared" si="1"/>
        <v>0</v>
      </c>
      <c r="K15" s="47"/>
      <c r="M15" s="255"/>
    </row>
    <row r="16" spans="1:16" ht="18" customHeight="1">
      <c r="B16" s="648"/>
      <c r="C16" s="650"/>
      <c r="D16" s="440"/>
      <c r="E16" s="440"/>
      <c r="F16" s="44">
        <f t="shared" si="2"/>
        <v>0</v>
      </c>
      <c r="G16" s="440"/>
      <c r="H16" s="440">
        <f t="shared" si="3"/>
        <v>1.47</v>
      </c>
      <c r="I16" s="437">
        <f t="shared" si="1"/>
        <v>0</v>
      </c>
      <c r="K16" s="47"/>
      <c r="L16" s="46"/>
      <c r="M16" s="42"/>
    </row>
    <row r="17" spans="2:15" ht="18" customHeight="1">
      <c r="B17" s="648"/>
      <c r="C17" s="650"/>
      <c r="D17" s="440"/>
      <c r="E17" s="440"/>
      <c r="F17" s="44">
        <f t="shared" si="2"/>
        <v>0</v>
      </c>
      <c r="G17" s="440"/>
      <c r="H17" s="440">
        <f t="shared" si="3"/>
        <v>1.47</v>
      </c>
      <c r="I17" s="437">
        <f t="shared" si="1"/>
        <v>0</v>
      </c>
      <c r="K17" s="47"/>
      <c r="M17" s="42"/>
    </row>
    <row r="18" spans="2:15" ht="18" customHeight="1">
      <c r="B18" s="648"/>
      <c r="C18" s="650"/>
      <c r="D18" s="440"/>
      <c r="E18" s="440"/>
      <c r="F18" s="44">
        <f t="shared" si="2"/>
        <v>0</v>
      </c>
      <c r="G18" s="440"/>
      <c r="H18" s="440">
        <f t="shared" si="3"/>
        <v>1.47</v>
      </c>
      <c r="I18" s="437">
        <f t="shared" si="1"/>
        <v>0</v>
      </c>
      <c r="M18" s="42"/>
    </row>
    <row r="19" spans="2:15" ht="18" customHeight="1">
      <c r="B19" s="648"/>
      <c r="C19" s="650"/>
      <c r="D19" s="440"/>
      <c r="E19" s="440"/>
      <c r="F19" s="44">
        <f t="shared" si="2"/>
        <v>0</v>
      </c>
      <c r="G19" s="440"/>
      <c r="H19" s="440">
        <f t="shared" si="3"/>
        <v>1.47</v>
      </c>
      <c r="I19" s="437">
        <f t="shared" si="1"/>
        <v>0</v>
      </c>
      <c r="M19" s="42"/>
    </row>
    <row r="20" spans="2:15" ht="18" customHeight="1">
      <c r="B20" s="648"/>
      <c r="C20" s="650"/>
      <c r="D20" s="440"/>
      <c r="E20" s="440"/>
      <c r="F20" s="44">
        <f t="shared" si="2"/>
        <v>0</v>
      </c>
      <c r="G20" s="440"/>
      <c r="H20" s="440">
        <f t="shared" si="3"/>
        <v>1.47</v>
      </c>
      <c r="I20" s="437">
        <f t="shared" si="1"/>
        <v>0</v>
      </c>
      <c r="K20" s="47"/>
      <c r="M20" s="42"/>
    </row>
    <row r="21" spans="2:15" ht="18" customHeight="1">
      <c r="B21" s="648"/>
      <c r="C21" s="651"/>
      <c r="D21" s="440"/>
      <c r="E21" s="440"/>
      <c r="F21" s="44">
        <f t="shared" si="2"/>
        <v>0</v>
      </c>
      <c r="G21" s="440"/>
      <c r="H21" s="440">
        <f t="shared" si="3"/>
        <v>1.47</v>
      </c>
      <c r="I21" s="437">
        <f t="shared" si="1"/>
        <v>0</v>
      </c>
    </row>
    <row r="22" spans="2:15" ht="18" customHeight="1">
      <c r="B22" s="48" t="s">
        <v>42</v>
      </c>
      <c r="C22" s="49">
        <f>SUMPRODUCT(F14:F21*G14:G21)</f>
        <v>4.78</v>
      </c>
      <c r="D22" s="50" t="s">
        <v>43</v>
      </c>
      <c r="E22" s="49">
        <f>SUM(I14:I21)*1.1</f>
        <v>7.7297000000000011</v>
      </c>
      <c r="F22" s="50" t="s">
        <v>44</v>
      </c>
      <c r="G22" s="51">
        <f>(C$218+C$219)/1000</f>
        <v>46.081499999999998</v>
      </c>
      <c r="H22" s="52" t="s">
        <v>45</v>
      </c>
      <c r="I22" s="53">
        <f>ROUND(E22*G22,2)</f>
        <v>356.2</v>
      </c>
      <c r="J22" s="243">
        <f>SUM(G14:G21)</f>
        <v>1</v>
      </c>
    </row>
    <row r="23" spans="2:15" ht="18" customHeight="1">
      <c r="B23" s="48" t="s">
        <v>46</v>
      </c>
      <c r="C23" s="50">
        <v>207.36</v>
      </c>
      <c r="D23" s="50" t="s">
        <v>47</v>
      </c>
      <c r="E23" s="49">
        <f>ROUND(C22*(C23/1000),2)</f>
        <v>0.99</v>
      </c>
      <c r="F23" s="50" t="s">
        <v>48</v>
      </c>
      <c r="G23" s="50">
        <v>10</v>
      </c>
      <c r="H23" s="52" t="s">
        <v>49</v>
      </c>
      <c r="I23" s="53">
        <f>E23*G23</f>
        <v>9.9</v>
      </c>
    </row>
    <row r="24" spans="2:15" ht="18" customHeight="1" thickBot="1">
      <c r="B24" s="48" t="s">
        <v>50</v>
      </c>
      <c r="C24" s="50">
        <v>169.96</v>
      </c>
      <c r="D24" s="50" t="s">
        <v>51</v>
      </c>
      <c r="E24" s="49">
        <f>ROUND(C22*(C24/1000),2)</f>
        <v>0.81</v>
      </c>
      <c r="F24" s="50" t="s">
        <v>48</v>
      </c>
      <c r="G24" s="50">
        <v>10</v>
      </c>
      <c r="H24" s="52" t="s">
        <v>49</v>
      </c>
      <c r="I24" s="53">
        <f>E24*G24</f>
        <v>8.1000000000000014</v>
      </c>
    </row>
    <row r="25" spans="2:15" ht="18" customHeight="1">
      <c r="B25" s="23" t="s">
        <v>36</v>
      </c>
      <c r="C25" s="442" t="s">
        <v>14</v>
      </c>
      <c r="D25" s="442" t="s">
        <v>37</v>
      </c>
      <c r="E25" s="442" t="s">
        <v>38</v>
      </c>
      <c r="F25" s="442" t="s">
        <v>39</v>
      </c>
      <c r="G25" s="442" t="s">
        <v>8</v>
      </c>
      <c r="H25" s="442" t="s">
        <v>22</v>
      </c>
      <c r="I25" s="25" t="s">
        <v>40</v>
      </c>
      <c r="J25" s="54" t="s">
        <v>2</v>
      </c>
      <c r="K25" s="55" t="s">
        <v>3</v>
      </c>
      <c r="L25" s="55" t="s">
        <v>52</v>
      </c>
      <c r="M25" s="55" t="s">
        <v>53</v>
      </c>
      <c r="N25" s="56" t="s">
        <v>14</v>
      </c>
    </row>
    <row r="26" spans="2:15" ht="18" customHeight="1">
      <c r="B26" s="648" t="s">
        <v>54</v>
      </c>
      <c r="C26" s="649" t="s">
        <v>55</v>
      </c>
      <c r="D26" s="443">
        <f>J26-IF(L26=1,44,IF(L26=2,30,IF(L26=3,16,0)))</f>
        <v>0</v>
      </c>
      <c r="E26" s="443">
        <f>K26-IF(M26=1,44,IF(M26=2,30,IF(M26=3,16,0)))</f>
        <v>0</v>
      </c>
      <c r="F26" s="44">
        <f>ROUND((D26+E26)*2/1000,4)</f>
        <v>0</v>
      </c>
      <c r="G26" s="440"/>
      <c r="H26" s="58">
        <v>1.62</v>
      </c>
      <c r="I26" s="59">
        <f>IF(AND(D26&gt;0,E26&gt;0,F26&gt;0),F26*G26*H26,0)</f>
        <v>0</v>
      </c>
      <c r="J26" s="60"/>
      <c r="K26" s="61"/>
      <c r="L26" s="61"/>
      <c r="M26" s="61"/>
      <c r="N26" s="62" t="s">
        <v>56</v>
      </c>
      <c r="O26" s="63" t="s">
        <v>57</v>
      </c>
    </row>
    <row r="27" spans="2:15" ht="18" customHeight="1">
      <c r="B27" s="648"/>
      <c r="C27" s="650"/>
      <c r="D27" s="443">
        <f t="shared" ref="D27:E30" si="4">J27-IF(L27=1,44,IF(L27=2,30,IF(L27=3,16,0)))</f>
        <v>0</v>
      </c>
      <c r="E27" s="443">
        <f t="shared" si="4"/>
        <v>0</v>
      </c>
      <c r="F27" s="44">
        <f>ROUND((D27+E27)*2/1000,4)</f>
        <v>0</v>
      </c>
      <c r="G27" s="440"/>
      <c r="H27" s="58">
        <f>H26</f>
        <v>1.62</v>
      </c>
      <c r="I27" s="59">
        <f>IF(AND(D27&gt;0,E27&gt;0,F27&gt;0),F27*G27*H27,0)</f>
        <v>0</v>
      </c>
      <c r="J27" s="60"/>
      <c r="K27" s="61"/>
      <c r="L27" s="61"/>
      <c r="M27" s="61"/>
      <c r="N27" s="62" t="s">
        <v>58</v>
      </c>
      <c r="O27" s="63" t="s">
        <v>59</v>
      </c>
    </row>
    <row r="28" spans="2:15" ht="18" customHeight="1">
      <c r="B28" s="648"/>
      <c r="C28" s="650"/>
      <c r="D28" s="443">
        <f t="shared" si="4"/>
        <v>0</v>
      </c>
      <c r="E28" s="443">
        <f t="shared" si="4"/>
        <v>0</v>
      </c>
      <c r="F28" s="44">
        <f>ROUND((D28+E28)*2/1000,4)</f>
        <v>0</v>
      </c>
      <c r="G28" s="440"/>
      <c r="H28" s="58">
        <f>H27</f>
        <v>1.62</v>
      </c>
      <c r="I28" s="59">
        <f>IF(AND(D28&gt;0,E28&gt;0,F28&gt;0),F28*G28*H28,0)</f>
        <v>0</v>
      </c>
      <c r="J28" s="60"/>
      <c r="K28" s="61"/>
      <c r="L28" s="61"/>
      <c r="M28" s="61"/>
      <c r="N28" s="62" t="s">
        <v>60</v>
      </c>
      <c r="O28" s="63" t="s">
        <v>59</v>
      </c>
    </row>
    <row r="29" spans="2:15" ht="18" customHeight="1">
      <c r="B29" s="648"/>
      <c r="C29" s="650"/>
      <c r="D29" s="443">
        <f t="shared" si="4"/>
        <v>0</v>
      </c>
      <c r="E29" s="443">
        <f t="shared" si="4"/>
        <v>0</v>
      </c>
      <c r="F29" s="44">
        <f>ROUND((D29+E29)*2/1000,4)</f>
        <v>0</v>
      </c>
      <c r="G29" s="440"/>
      <c r="H29" s="58">
        <f>H28</f>
        <v>1.62</v>
      </c>
      <c r="I29" s="59">
        <f>IF(AND(D29&gt;0,E29&gt;0,F29&gt;0),F29*G29*H29,0)</f>
        <v>0</v>
      </c>
      <c r="J29" s="60"/>
      <c r="K29" s="61"/>
      <c r="L29" s="61"/>
      <c r="M29" s="61"/>
      <c r="N29" s="62"/>
    </row>
    <row r="30" spans="2:15" ht="18" customHeight="1" thickBot="1">
      <c r="B30" s="648"/>
      <c r="C30" s="651"/>
      <c r="D30" s="443">
        <f t="shared" si="4"/>
        <v>0</v>
      </c>
      <c r="E30" s="443">
        <f t="shared" si="4"/>
        <v>0</v>
      </c>
      <c r="F30" s="44">
        <f>ROUND((D30+E30)*2/1000,4)</f>
        <v>0</v>
      </c>
      <c r="G30" s="440"/>
      <c r="H30" s="58">
        <f>H29</f>
        <v>1.62</v>
      </c>
      <c r="I30" s="59">
        <f>IF(AND(D30&gt;0,E30&gt;0,F30&gt;0),F30*G30*H30,0)</f>
        <v>0</v>
      </c>
      <c r="J30" s="64"/>
      <c r="K30" s="65"/>
      <c r="L30" s="65"/>
      <c r="M30" s="65"/>
      <c r="N30" s="66"/>
    </row>
    <row r="31" spans="2:15" ht="18" customHeight="1">
      <c r="B31" s="48" t="s">
        <v>42</v>
      </c>
      <c r="C31" s="49">
        <f>SUMPRODUCT(F26:F30*G26:G30)</f>
        <v>0</v>
      </c>
      <c r="D31" s="50" t="s">
        <v>43</v>
      </c>
      <c r="E31" s="49">
        <f>SUM(I26:I30)*1.1</f>
        <v>0</v>
      </c>
      <c r="F31" s="50" t="s">
        <v>44</v>
      </c>
      <c r="G31" s="51">
        <f>(C$218+C$221)/1000</f>
        <v>46.081499999999998</v>
      </c>
      <c r="H31" s="52" t="s">
        <v>45</v>
      </c>
      <c r="I31" s="53">
        <f>ROUND(E31*G31,2)</f>
        <v>0</v>
      </c>
      <c r="J31" s="243">
        <f>SUM(G26:G30)</f>
        <v>0</v>
      </c>
    </row>
    <row r="32" spans="2:15" ht="18" customHeight="1">
      <c r="B32" s="48" t="s">
        <v>46</v>
      </c>
      <c r="C32" s="50">
        <v>183.32</v>
      </c>
      <c r="D32" s="50" t="s">
        <v>47</v>
      </c>
      <c r="E32" s="49">
        <f>ROUND(C31*(C32/1000),2)</f>
        <v>0</v>
      </c>
      <c r="F32" s="50" t="s">
        <v>48</v>
      </c>
      <c r="G32" s="50">
        <f>G$23</f>
        <v>10</v>
      </c>
      <c r="H32" s="52" t="s">
        <v>49</v>
      </c>
      <c r="I32" s="53">
        <f>E32*G32</f>
        <v>0</v>
      </c>
    </row>
    <row r="33" spans="2:14" ht="18" customHeight="1" thickBot="1">
      <c r="B33" s="48" t="s">
        <v>50</v>
      </c>
      <c r="C33" s="50">
        <v>257.82</v>
      </c>
      <c r="D33" s="50" t="s">
        <v>51</v>
      </c>
      <c r="E33" s="49">
        <f>ROUND(C31*(C33/1000),2)</f>
        <v>0</v>
      </c>
      <c r="F33" s="50" t="s">
        <v>48</v>
      </c>
      <c r="G33" s="50">
        <f>G$24</f>
        <v>10</v>
      </c>
      <c r="H33" s="52" t="s">
        <v>49</v>
      </c>
      <c r="I33" s="53">
        <f>E33*G33</f>
        <v>0</v>
      </c>
    </row>
    <row r="34" spans="2:14" ht="18" customHeight="1" thickBot="1">
      <c r="B34" s="67" t="s">
        <v>36</v>
      </c>
      <c r="C34" s="68" t="s">
        <v>14</v>
      </c>
      <c r="D34" s="68" t="s">
        <v>37</v>
      </c>
      <c r="E34" s="68" t="s">
        <v>38</v>
      </c>
      <c r="F34" s="68" t="s">
        <v>39</v>
      </c>
      <c r="G34" s="68" t="s">
        <v>8</v>
      </c>
      <c r="H34" s="68" t="s">
        <v>22</v>
      </c>
      <c r="I34" s="69" t="s">
        <v>40</v>
      </c>
      <c r="J34" s="54" t="s">
        <v>2</v>
      </c>
      <c r="K34" s="55" t="s">
        <v>3</v>
      </c>
      <c r="L34" s="55" t="s">
        <v>61</v>
      </c>
      <c r="M34" s="55" t="s">
        <v>62</v>
      </c>
      <c r="N34" s="70" t="s">
        <v>14</v>
      </c>
    </row>
    <row r="35" spans="2:14" ht="18" customHeight="1">
      <c r="B35" s="648" t="s">
        <v>63</v>
      </c>
      <c r="C35" s="649" t="s">
        <v>64</v>
      </c>
      <c r="D35" s="443">
        <f t="shared" ref="D35:E37" si="5">J35-IF(L35=1,44,IF(L35=2,30,IF(L35=3,16,IF(L35=11,118,IF(L35=12,100,IF(L35=13,76.8,0))))))</f>
        <v>905</v>
      </c>
      <c r="E35" s="443">
        <f t="shared" si="5"/>
        <v>476</v>
      </c>
      <c r="F35" s="440">
        <f>ROUND((D35+E35)*2/1000,4)</f>
        <v>2.762</v>
      </c>
      <c r="G35" s="440">
        <v>2</v>
      </c>
      <c r="H35" s="58">
        <v>1.8140000000000001</v>
      </c>
      <c r="I35" s="59">
        <f>ROUND(F35*G35*H35,3)</f>
        <v>10.021000000000001</v>
      </c>
      <c r="J35" s="60">
        <f>D14/2</f>
        <v>935</v>
      </c>
      <c r="K35" s="61">
        <f>E14</f>
        <v>520</v>
      </c>
      <c r="L35" s="61">
        <v>2</v>
      </c>
      <c r="M35" s="61">
        <v>1</v>
      </c>
      <c r="N35" s="71" t="s">
        <v>56</v>
      </c>
    </row>
    <row r="36" spans="2:14" ht="18" customHeight="1">
      <c r="B36" s="660"/>
      <c r="C36" s="650"/>
      <c r="D36" s="443">
        <f t="shared" si="5"/>
        <v>0</v>
      </c>
      <c r="E36" s="443">
        <f t="shared" si="5"/>
        <v>0</v>
      </c>
      <c r="F36" s="440">
        <f>ROUND((D36+E36)*2/1000,4)</f>
        <v>0</v>
      </c>
      <c r="G36" s="440"/>
      <c r="H36" s="58">
        <f>H35</f>
        <v>1.8140000000000001</v>
      </c>
      <c r="I36" s="59">
        <f>ROUND(F36*G36*H36,3)</f>
        <v>0</v>
      </c>
      <c r="J36" s="60"/>
      <c r="K36" s="61"/>
      <c r="L36" s="61"/>
      <c r="M36" s="61"/>
      <c r="N36" s="72" t="s">
        <v>58</v>
      </c>
    </row>
    <row r="37" spans="2:14" ht="18" customHeight="1">
      <c r="B37" s="660"/>
      <c r="C37" s="651"/>
      <c r="D37" s="443">
        <f t="shared" si="5"/>
        <v>0</v>
      </c>
      <c r="E37" s="443">
        <f t="shared" si="5"/>
        <v>0</v>
      </c>
      <c r="F37" s="440">
        <f>ROUND((D37+E37)*2/1000,4)</f>
        <v>0</v>
      </c>
      <c r="G37" s="440"/>
      <c r="H37" s="58">
        <f>H36</f>
        <v>1.8140000000000001</v>
      </c>
      <c r="I37" s="59">
        <f>ROUND(F37*G37*H37,3)</f>
        <v>0</v>
      </c>
      <c r="J37" s="60"/>
      <c r="K37" s="61"/>
      <c r="L37" s="61"/>
      <c r="M37" s="61"/>
      <c r="N37" s="72" t="s">
        <v>60</v>
      </c>
    </row>
    <row r="38" spans="2:14" ht="18" customHeight="1">
      <c r="B38" s="48" t="s">
        <v>42</v>
      </c>
      <c r="C38" s="49">
        <f>SUMPRODUCT(F35:F37*G35:G37)</f>
        <v>5.524</v>
      </c>
      <c r="D38" s="50" t="s">
        <v>43</v>
      </c>
      <c r="E38" s="49">
        <f>SUM(I35:I37)*1.1</f>
        <v>11.023100000000001</v>
      </c>
      <c r="F38" s="50" t="s">
        <v>44</v>
      </c>
      <c r="G38" s="51">
        <f>(C$218+C$219)/1000</f>
        <v>46.081499999999998</v>
      </c>
      <c r="H38" s="52" t="s">
        <v>45</v>
      </c>
      <c r="I38" s="53">
        <f>ROUND(E38*G38,2)</f>
        <v>507.96</v>
      </c>
      <c r="J38" s="243">
        <f>SUM(G35:G37)</f>
        <v>2</v>
      </c>
      <c r="K38" s="255"/>
      <c r="L38" s="255"/>
      <c r="M38" s="255"/>
      <c r="N38" s="73" t="s">
        <v>65</v>
      </c>
    </row>
    <row r="39" spans="2:14" ht="18" customHeight="1">
      <c r="B39" s="48" t="s">
        <v>46</v>
      </c>
      <c r="C39" s="50">
        <v>320.14</v>
      </c>
      <c r="D39" s="50" t="s">
        <v>47</v>
      </c>
      <c r="E39" s="49">
        <f>ROUND(C38*(C39/1000),2)</f>
        <v>1.77</v>
      </c>
      <c r="F39" s="50" t="s">
        <v>48</v>
      </c>
      <c r="G39" s="50">
        <f>G$23</f>
        <v>10</v>
      </c>
      <c r="H39" s="52" t="s">
        <v>49</v>
      </c>
      <c r="I39" s="53">
        <f>E39*G39</f>
        <v>17.7</v>
      </c>
      <c r="J39" s="255"/>
      <c r="K39" s="255"/>
      <c r="L39" s="255"/>
      <c r="M39" s="255"/>
      <c r="N39" s="73" t="s">
        <v>66</v>
      </c>
    </row>
    <row r="40" spans="2:14" ht="18" customHeight="1" thickBot="1">
      <c r="B40" s="48" t="s">
        <v>50</v>
      </c>
      <c r="C40" s="50">
        <v>156.99</v>
      </c>
      <c r="D40" s="50" t="s">
        <v>51</v>
      </c>
      <c r="E40" s="49">
        <f>ROUND(C38*(C40/1000),2)</f>
        <v>0.87</v>
      </c>
      <c r="F40" s="50" t="s">
        <v>48</v>
      </c>
      <c r="G40" s="50">
        <f>G$24</f>
        <v>10</v>
      </c>
      <c r="H40" s="52" t="s">
        <v>49</v>
      </c>
      <c r="I40" s="53">
        <f>E40*G40</f>
        <v>8.6999999999999993</v>
      </c>
      <c r="J40" s="255"/>
      <c r="K40" s="255"/>
      <c r="L40" s="255"/>
      <c r="M40" s="255"/>
      <c r="N40" s="74" t="s">
        <v>67</v>
      </c>
    </row>
    <row r="41" spans="2:14" ht="18" customHeight="1" thickBot="1">
      <c r="B41" s="23" t="s">
        <v>36</v>
      </c>
      <c r="C41" s="442" t="s">
        <v>14</v>
      </c>
      <c r="D41" s="442" t="s">
        <v>37</v>
      </c>
      <c r="E41" s="442" t="s">
        <v>38</v>
      </c>
      <c r="F41" s="442" t="s">
        <v>39</v>
      </c>
      <c r="G41" s="442" t="s">
        <v>8</v>
      </c>
      <c r="H41" s="442" t="s">
        <v>22</v>
      </c>
      <c r="I41" s="25" t="s">
        <v>40</v>
      </c>
      <c r="J41" s="54" t="s">
        <v>2</v>
      </c>
      <c r="K41" s="55" t="s">
        <v>3</v>
      </c>
      <c r="L41" s="55" t="s">
        <v>61</v>
      </c>
      <c r="M41" s="55" t="s">
        <v>62</v>
      </c>
      <c r="N41" s="70" t="s">
        <v>14</v>
      </c>
    </row>
    <row r="42" spans="2:14" ht="18" customHeight="1">
      <c r="B42" s="648" t="s">
        <v>68</v>
      </c>
      <c r="C42" s="649" t="s">
        <v>69</v>
      </c>
      <c r="D42" s="443">
        <f>J42-IF(L42=1,46,IF(L42=2,34.5,IF(L42=3,23)))</f>
        <v>0</v>
      </c>
      <c r="E42" s="443">
        <f>K42-IF(M42=1,46,IF(M42=2,34.5,IF(M42=3,23)))</f>
        <v>0</v>
      </c>
      <c r="F42" s="440">
        <f t="shared" ref="F42:F47" si="6">ROUND((D42+E42)*2/1000,4)</f>
        <v>0</v>
      </c>
      <c r="G42" s="440"/>
      <c r="H42" s="440">
        <v>1.26</v>
      </c>
      <c r="I42" s="59">
        <f t="shared" ref="I42:I47" si="7">ROUND(F42*G42*H42,3)</f>
        <v>0</v>
      </c>
      <c r="J42" s="60"/>
      <c r="K42" s="61"/>
      <c r="L42" s="61"/>
      <c r="M42" s="61"/>
      <c r="N42" s="71" t="s">
        <v>56</v>
      </c>
    </row>
    <row r="43" spans="2:14" ht="18" customHeight="1">
      <c r="B43" s="648"/>
      <c r="C43" s="650"/>
      <c r="D43" s="443">
        <f t="shared" ref="D43:E47" si="8">J43-IF(L43=1,46,IF(L43=2,34.5,IF(L43=3,23)))</f>
        <v>0</v>
      </c>
      <c r="E43" s="443">
        <f t="shared" si="8"/>
        <v>0</v>
      </c>
      <c r="F43" s="440">
        <f t="shared" si="6"/>
        <v>0</v>
      </c>
      <c r="G43" s="440"/>
      <c r="H43" s="440">
        <f>H42</f>
        <v>1.26</v>
      </c>
      <c r="I43" s="59">
        <f t="shared" si="7"/>
        <v>0</v>
      </c>
      <c r="J43" s="60"/>
      <c r="K43" s="61"/>
      <c r="L43" s="61"/>
      <c r="M43" s="61"/>
      <c r="N43" s="72" t="s">
        <v>58</v>
      </c>
    </row>
    <row r="44" spans="2:14" ht="18" customHeight="1">
      <c r="B44" s="648"/>
      <c r="C44" s="651"/>
      <c r="D44" s="443">
        <f t="shared" si="8"/>
        <v>0</v>
      </c>
      <c r="E44" s="443">
        <f t="shared" si="8"/>
        <v>0</v>
      </c>
      <c r="F44" s="440">
        <f t="shared" si="6"/>
        <v>0</v>
      </c>
      <c r="G44" s="440"/>
      <c r="H44" s="440">
        <f>H43</f>
        <v>1.26</v>
      </c>
      <c r="I44" s="59">
        <f t="shared" si="7"/>
        <v>0</v>
      </c>
      <c r="J44" s="60"/>
      <c r="K44" s="61"/>
      <c r="L44" s="61"/>
      <c r="M44" s="61"/>
      <c r="N44" s="72" t="s">
        <v>60</v>
      </c>
    </row>
    <row r="45" spans="2:14" ht="18" customHeight="1">
      <c r="B45" s="648"/>
      <c r="C45" s="649" t="s">
        <v>70</v>
      </c>
      <c r="D45" s="443">
        <f t="shared" si="8"/>
        <v>0</v>
      </c>
      <c r="E45" s="443">
        <f t="shared" si="8"/>
        <v>0</v>
      </c>
      <c r="F45" s="440">
        <f t="shared" si="6"/>
        <v>0</v>
      </c>
      <c r="G45" s="440"/>
      <c r="H45" s="440">
        <f>H44</f>
        <v>1.26</v>
      </c>
      <c r="I45" s="59">
        <f t="shared" si="7"/>
        <v>0</v>
      </c>
      <c r="J45" s="60"/>
      <c r="K45" s="61"/>
      <c r="L45" s="61"/>
      <c r="M45" s="61"/>
      <c r="N45" s="71" t="s">
        <v>56</v>
      </c>
    </row>
    <row r="46" spans="2:14" ht="18" customHeight="1">
      <c r="B46" s="648"/>
      <c r="C46" s="650"/>
      <c r="D46" s="443">
        <f t="shared" si="8"/>
        <v>0</v>
      </c>
      <c r="E46" s="443">
        <f t="shared" si="8"/>
        <v>0</v>
      </c>
      <c r="F46" s="440">
        <f t="shared" si="6"/>
        <v>0</v>
      </c>
      <c r="G46" s="440"/>
      <c r="H46" s="440">
        <f>H45</f>
        <v>1.26</v>
      </c>
      <c r="I46" s="59">
        <f t="shared" si="7"/>
        <v>0</v>
      </c>
      <c r="J46" s="60"/>
      <c r="K46" s="61"/>
      <c r="L46" s="61"/>
      <c r="M46" s="61"/>
      <c r="N46" s="72" t="s">
        <v>58</v>
      </c>
    </row>
    <row r="47" spans="2:14" ht="18" customHeight="1" thickBot="1">
      <c r="B47" s="648"/>
      <c r="C47" s="651"/>
      <c r="D47" s="443">
        <f t="shared" si="8"/>
        <v>0</v>
      </c>
      <c r="E47" s="443">
        <f t="shared" si="8"/>
        <v>0</v>
      </c>
      <c r="F47" s="440">
        <f t="shared" si="6"/>
        <v>0</v>
      </c>
      <c r="G47" s="440"/>
      <c r="H47" s="440">
        <f>H46</f>
        <v>1.26</v>
      </c>
      <c r="I47" s="59">
        <f t="shared" si="7"/>
        <v>0</v>
      </c>
      <c r="J47" s="64"/>
      <c r="K47" s="65"/>
      <c r="L47" s="65"/>
      <c r="M47" s="65"/>
      <c r="N47" s="75" t="s">
        <v>60</v>
      </c>
    </row>
    <row r="48" spans="2:14" ht="18" customHeight="1">
      <c r="B48" s="48" t="s">
        <v>42</v>
      </c>
      <c r="C48" s="49">
        <f>SUMPRODUCT(F42:F47*G42:G47)</f>
        <v>0</v>
      </c>
      <c r="D48" s="50" t="s">
        <v>43</v>
      </c>
      <c r="E48" s="49">
        <f>SUM(I42:I47)*1.1</f>
        <v>0</v>
      </c>
      <c r="F48" s="50" t="s">
        <v>44</v>
      </c>
      <c r="G48" s="51">
        <f>(C$218+C$219)/1000</f>
        <v>46.081499999999998</v>
      </c>
      <c r="H48" s="52" t="s">
        <v>45</v>
      </c>
      <c r="I48" s="53">
        <f>ROUND(E48*G48,2)</f>
        <v>0</v>
      </c>
      <c r="J48" s="243">
        <f>SUM(G42:G47)</f>
        <v>0</v>
      </c>
      <c r="K48" s="255"/>
      <c r="L48" s="255"/>
      <c r="M48" s="255"/>
    </row>
    <row r="49" spans="2:14" ht="18" customHeight="1">
      <c r="B49" s="48" t="s">
        <v>46</v>
      </c>
      <c r="C49" s="50">
        <v>132.47999999999999</v>
      </c>
      <c r="D49" s="50" t="s">
        <v>47</v>
      </c>
      <c r="E49" s="49">
        <f>ROUND(C48*(C49/1000),2)</f>
        <v>0</v>
      </c>
      <c r="F49" s="50" t="s">
        <v>48</v>
      </c>
      <c r="G49" s="50">
        <f>G$23</f>
        <v>10</v>
      </c>
      <c r="H49" s="52" t="s">
        <v>49</v>
      </c>
      <c r="I49" s="53">
        <f>E49*G49</f>
        <v>0</v>
      </c>
      <c r="J49" s="255"/>
      <c r="K49" s="255"/>
      <c r="L49" s="255"/>
      <c r="M49" s="255"/>
    </row>
    <row r="50" spans="2:14" ht="18" customHeight="1" thickBot="1">
      <c r="B50" s="48" t="s">
        <v>50</v>
      </c>
      <c r="C50" s="50">
        <v>202.06</v>
      </c>
      <c r="D50" s="50" t="s">
        <v>51</v>
      </c>
      <c r="E50" s="49">
        <f>ROUND(C48*(C50/1000),2)</f>
        <v>0</v>
      </c>
      <c r="F50" s="50" t="s">
        <v>48</v>
      </c>
      <c r="G50" s="50">
        <f>G$24</f>
        <v>10</v>
      </c>
      <c r="H50" s="52" t="s">
        <v>49</v>
      </c>
      <c r="I50" s="53">
        <f>E50*G50</f>
        <v>0</v>
      </c>
      <c r="J50" s="255"/>
    </row>
    <row r="51" spans="2:14" ht="18" customHeight="1" thickBot="1">
      <c r="B51" s="23" t="s">
        <v>36</v>
      </c>
      <c r="C51" s="442" t="s">
        <v>14</v>
      </c>
      <c r="D51" s="442" t="s">
        <v>37</v>
      </c>
      <c r="E51" s="442" t="s">
        <v>71</v>
      </c>
      <c r="F51" s="442" t="s">
        <v>38</v>
      </c>
      <c r="G51" s="442" t="s">
        <v>72</v>
      </c>
      <c r="H51" s="442" t="s">
        <v>22</v>
      </c>
      <c r="I51" s="25" t="s">
        <v>40</v>
      </c>
      <c r="J51" s="54" t="s">
        <v>2</v>
      </c>
      <c r="K51" s="55" t="s">
        <v>3</v>
      </c>
      <c r="L51" s="55" t="s">
        <v>61</v>
      </c>
      <c r="M51" s="55" t="s">
        <v>62</v>
      </c>
      <c r="N51" s="70" t="s">
        <v>14</v>
      </c>
    </row>
    <row r="52" spans="2:14" ht="18" customHeight="1">
      <c r="B52" s="648" t="s">
        <v>73</v>
      </c>
      <c r="C52" s="649" t="s">
        <v>405</v>
      </c>
      <c r="D52" s="443">
        <f>J52-IF(L52=1,46,IF(L52=2,32,IF(L52=3,18,0)))</f>
        <v>0</v>
      </c>
      <c r="E52" s="443"/>
      <c r="F52" s="443">
        <f>K52-IF(M52=1,46,IF(M52=2,32,IF(M52=3,118,0)))</f>
        <v>474</v>
      </c>
      <c r="G52" s="440">
        <v>1</v>
      </c>
      <c r="H52" s="440">
        <v>1.6379999999999999</v>
      </c>
      <c r="I52" s="59">
        <f>ROUND((D52*E52+F52*G52)/1000*H52,3)</f>
        <v>0.77600000000000002</v>
      </c>
      <c r="J52" s="60"/>
      <c r="K52" s="61">
        <f>E14</f>
        <v>520</v>
      </c>
      <c r="L52" s="61"/>
      <c r="M52" s="61">
        <v>1</v>
      </c>
      <c r="N52" s="76" t="s">
        <v>56</v>
      </c>
    </row>
    <row r="53" spans="2:14" ht="18" customHeight="1">
      <c r="B53" s="648"/>
      <c r="C53" s="650"/>
      <c r="D53" s="443">
        <f t="shared" ref="D53:D55" si="9">J53-IF(L53=1,46,IF(L53=2,32,IF(L53=3,18,0)))</f>
        <v>0</v>
      </c>
      <c r="E53" s="443"/>
      <c r="F53" s="443">
        <f t="shared" ref="F53:F55" si="10">K53-IF(M53=1,46,IF(M53=2,32,IF(M53=3,118,0)))</f>
        <v>0</v>
      </c>
      <c r="G53" s="440"/>
      <c r="H53" s="440">
        <f>H52</f>
        <v>1.6379999999999999</v>
      </c>
      <c r="I53" s="59">
        <f>ROUND((D53*E53+F53*G53)/1000*H53,3)</f>
        <v>0</v>
      </c>
      <c r="J53" s="60"/>
      <c r="K53" s="61"/>
      <c r="L53" s="61"/>
      <c r="M53" s="61"/>
      <c r="N53" s="76" t="s">
        <v>58</v>
      </c>
    </row>
    <row r="54" spans="2:14" ht="18" customHeight="1">
      <c r="B54" s="648"/>
      <c r="C54" s="650"/>
      <c r="D54" s="443">
        <f t="shared" si="9"/>
        <v>0</v>
      </c>
      <c r="E54" s="443"/>
      <c r="F54" s="443">
        <f t="shared" si="10"/>
        <v>0</v>
      </c>
      <c r="G54" s="440"/>
      <c r="H54" s="440">
        <f>H53</f>
        <v>1.6379999999999999</v>
      </c>
      <c r="I54" s="59">
        <f>ROUND((D54*E54+F54*G54)/1000*H54,3)</f>
        <v>0</v>
      </c>
      <c r="J54" s="60"/>
      <c r="K54" s="61"/>
      <c r="L54" s="61"/>
      <c r="M54" s="61"/>
      <c r="N54" s="76" t="s">
        <v>60</v>
      </c>
    </row>
    <row r="55" spans="2:14" ht="18" customHeight="1" thickBot="1">
      <c r="B55" s="648"/>
      <c r="C55" s="651"/>
      <c r="D55" s="443">
        <f t="shared" si="9"/>
        <v>0</v>
      </c>
      <c r="E55" s="443"/>
      <c r="F55" s="443">
        <f t="shared" si="10"/>
        <v>0</v>
      </c>
      <c r="G55" s="440"/>
      <c r="H55" s="77">
        <f>H54</f>
        <v>1.6379999999999999</v>
      </c>
      <c r="I55" s="59">
        <f>ROUND((D55*E55+F55*G55)/1000*H55,3)</f>
        <v>0</v>
      </c>
      <c r="J55" s="78"/>
      <c r="K55" s="79"/>
      <c r="L55" s="79"/>
      <c r="M55" s="79"/>
      <c r="N55" s="80"/>
    </row>
    <row r="56" spans="2:14" ht="18" customHeight="1">
      <c r="B56" s="48" t="s">
        <v>42</v>
      </c>
      <c r="C56" s="49">
        <f>SUMPRODUCT(D52:D55*E52:E55+F52:F55*G52:G55)/1000</f>
        <v>0.47399999999999998</v>
      </c>
      <c r="D56" s="50" t="s">
        <v>43</v>
      </c>
      <c r="E56" s="49">
        <f>SUM(I52:I55)*1.1</f>
        <v>0.85360000000000014</v>
      </c>
      <c r="F56" s="50" t="s">
        <v>44</v>
      </c>
      <c r="G56" s="51">
        <f>(C$218+C$219)/1000</f>
        <v>46.081499999999998</v>
      </c>
      <c r="H56" s="52" t="s">
        <v>45</v>
      </c>
      <c r="I56" s="53">
        <f>ROUND(E56*G56,2)</f>
        <v>39.340000000000003</v>
      </c>
      <c r="J56" s="243">
        <f>SUM(E52:E55)+SUM(G52:G55)</f>
        <v>1</v>
      </c>
    </row>
    <row r="57" spans="2:14" ht="18" customHeight="1">
      <c r="B57" s="48" t="s">
        <v>46</v>
      </c>
      <c r="C57" s="50">
        <v>265.52999999999997</v>
      </c>
      <c r="D57" s="50" t="s">
        <v>47</v>
      </c>
      <c r="E57" s="49">
        <f>ROUND(C56*(C57/1000),2)</f>
        <v>0.13</v>
      </c>
      <c r="F57" s="50" t="s">
        <v>48</v>
      </c>
      <c r="G57" s="50">
        <f>G$23</f>
        <v>10</v>
      </c>
      <c r="H57" s="52" t="s">
        <v>49</v>
      </c>
      <c r="I57" s="53">
        <f>E57*G57</f>
        <v>1.3</v>
      </c>
      <c r="L57" s="47"/>
    </row>
    <row r="58" spans="2:14" ht="18" customHeight="1">
      <c r="B58" s="48" t="s">
        <v>50</v>
      </c>
      <c r="C58" s="50">
        <v>173.62</v>
      </c>
      <c r="D58" s="50" t="s">
        <v>51</v>
      </c>
      <c r="E58" s="49">
        <f>ROUND(C56*(C58/1000),2)</f>
        <v>0.08</v>
      </c>
      <c r="F58" s="50" t="s">
        <v>48</v>
      </c>
      <c r="G58" s="50">
        <f>G$24</f>
        <v>10</v>
      </c>
      <c r="H58" s="52" t="s">
        <v>49</v>
      </c>
      <c r="I58" s="53">
        <f>E58*G58</f>
        <v>0.8</v>
      </c>
      <c r="L58" s="47"/>
    </row>
    <row r="59" spans="2:14" ht="18" customHeight="1">
      <c r="B59" s="23" t="s">
        <v>36</v>
      </c>
      <c r="C59" s="442" t="s">
        <v>14</v>
      </c>
      <c r="D59" s="652" t="s">
        <v>74</v>
      </c>
      <c r="E59" s="652"/>
      <c r="F59" s="652"/>
      <c r="G59" s="442" t="s">
        <v>75</v>
      </c>
      <c r="H59" s="442" t="s">
        <v>22</v>
      </c>
      <c r="I59" s="25" t="s">
        <v>40</v>
      </c>
      <c r="L59" s="47"/>
    </row>
    <row r="60" spans="2:14" ht="18" customHeight="1">
      <c r="B60" s="648" t="s">
        <v>76</v>
      </c>
      <c r="C60" s="649" t="s">
        <v>77</v>
      </c>
      <c r="D60" s="646"/>
      <c r="E60" s="646"/>
      <c r="F60" s="646"/>
      <c r="G60" s="440"/>
      <c r="H60" s="440">
        <v>1.9339999999999999</v>
      </c>
      <c r="I60" s="59">
        <f>ROUND(D60*G60*H60/1000,3)</f>
        <v>0</v>
      </c>
      <c r="L60" s="47"/>
    </row>
    <row r="61" spans="2:14" ht="18" customHeight="1">
      <c r="B61" s="648"/>
      <c r="C61" s="651"/>
      <c r="D61" s="646"/>
      <c r="E61" s="646"/>
      <c r="F61" s="646"/>
      <c r="G61" s="440"/>
      <c r="H61" s="440">
        <v>1.9339999999999999</v>
      </c>
      <c r="I61" s="59">
        <f>ROUND(D61*G61*H61/1000,3)</f>
        <v>0</v>
      </c>
    </row>
    <row r="62" spans="2:14" ht="18" customHeight="1">
      <c r="B62" s="648"/>
      <c r="C62" s="649" t="s">
        <v>78</v>
      </c>
      <c r="D62" s="646">
        <f>E14</f>
        <v>520</v>
      </c>
      <c r="E62" s="646"/>
      <c r="F62" s="646"/>
      <c r="G62" s="440"/>
      <c r="H62" s="440">
        <v>2.3130000000000002</v>
      </c>
      <c r="I62" s="59">
        <f>ROUND(D62*G62*H62/1000,3)</f>
        <v>0</v>
      </c>
    </row>
    <row r="63" spans="2:14" ht="18" customHeight="1">
      <c r="B63" s="648"/>
      <c r="C63" s="651"/>
      <c r="D63" s="646"/>
      <c r="E63" s="646"/>
      <c r="F63" s="646"/>
      <c r="G63" s="440"/>
      <c r="H63" s="440">
        <v>2.3130000000000002</v>
      </c>
      <c r="I63" s="59">
        <f>ROUND(D63*G63*H63/1000,3)</f>
        <v>0</v>
      </c>
    </row>
    <row r="64" spans="2:14" ht="18" customHeight="1">
      <c r="B64" s="48" t="s">
        <v>42</v>
      </c>
      <c r="C64" s="49">
        <f>SUMPRODUCT(D60:F63*G60:G63)/1000</f>
        <v>0</v>
      </c>
      <c r="D64" s="50" t="s">
        <v>43</v>
      </c>
      <c r="E64" s="49">
        <f>SUM(I60:I63)*1.1</f>
        <v>0</v>
      </c>
      <c r="F64" s="50" t="s">
        <v>44</v>
      </c>
      <c r="G64" s="51">
        <f>(C$218+C$219)/1000</f>
        <v>46.081499999999998</v>
      </c>
      <c r="H64" s="52" t="s">
        <v>45</v>
      </c>
      <c r="I64" s="53">
        <f>ROUND(E64*G64,2)</f>
        <v>0</v>
      </c>
      <c r="J64" s="43">
        <f>SUM(G60:G63)</f>
        <v>0</v>
      </c>
    </row>
    <row r="65" spans="2:14" ht="18" customHeight="1">
      <c r="B65" s="48" t="s">
        <v>46</v>
      </c>
      <c r="C65" s="50">
        <v>337.92</v>
      </c>
      <c r="D65" s="50" t="s">
        <v>47</v>
      </c>
      <c r="E65" s="49">
        <f>ROUND(C64*(C65/1000),2)</f>
        <v>0</v>
      </c>
      <c r="F65" s="50" t="s">
        <v>48</v>
      </c>
      <c r="G65" s="50">
        <f>G$23</f>
        <v>10</v>
      </c>
      <c r="H65" s="52" t="s">
        <v>49</v>
      </c>
      <c r="I65" s="53">
        <f>E65*G65</f>
        <v>0</v>
      </c>
    </row>
    <row r="66" spans="2:14" ht="18" customHeight="1" thickBot="1">
      <c r="B66" s="48" t="s">
        <v>50</v>
      </c>
      <c r="C66" s="50">
        <v>175.93</v>
      </c>
      <c r="D66" s="50" t="s">
        <v>51</v>
      </c>
      <c r="E66" s="49">
        <f>ROUND(C64*(C66/1000),2)</f>
        <v>0</v>
      </c>
      <c r="F66" s="50" t="s">
        <v>48</v>
      </c>
      <c r="G66" s="50">
        <f>G$24</f>
        <v>10</v>
      </c>
      <c r="H66" s="52" t="s">
        <v>49</v>
      </c>
      <c r="I66" s="53">
        <f>E66*G66</f>
        <v>0</v>
      </c>
    </row>
    <row r="67" spans="2:14" ht="18" customHeight="1" thickBot="1">
      <c r="B67" s="23" t="s">
        <v>36</v>
      </c>
      <c r="C67" s="442" t="s">
        <v>14</v>
      </c>
      <c r="D67" s="442" t="s">
        <v>37</v>
      </c>
      <c r="E67" s="442" t="s">
        <v>38</v>
      </c>
      <c r="F67" s="442" t="s">
        <v>39</v>
      </c>
      <c r="G67" s="442" t="s">
        <v>8</v>
      </c>
      <c r="H67" s="442" t="s">
        <v>22</v>
      </c>
      <c r="I67" s="25" t="s">
        <v>40</v>
      </c>
      <c r="J67" s="54" t="s">
        <v>2</v>
      </c>
      <c r="K67" s="55" t="s">
        <v>3</v>
      </c>
      <c r="L67" s="55" t="s">
        <v>52</v>
      </c>
      <c r="M67" s="55" t="s">
        <v>53</v>
      </c>
      <c r="N67" s="70" t="s">
        <v>14</v>
      </c>
    </row>
    <row r="68" spans="2:14" ht="18" customHeight="1">
      <c r="B68" s="648" t="s">
        <v>79</v>
      </c>
      <c r="C68" s="649" t="s">
        <v>323</v>
      </c>
      <c r="D68" s="81">
        <f>J68-IF(L68=1,72,IF(L68=2,54,IF(L68=3,26,IF(L68=11,102.8,IF(L68=12,88.8,IF(L68=13,74.8,0))))))</f>
        <v>0</v>
      </c>
      <c r="E68" s="81">
        <f>K68-IF(M68=1,72,IF(M68=2,24,IF(M68=3,26,IF(M68=11,102.8,IF(M68=12,88.8,IF(M68=13,74.8,0))))))</f>
        <v>0</v>
      </c>
      <c r="F68" s="81">
        <f>2*(D68+E68)/1000</f>
        <v>0</v>
      </c>
      <c r="G68" s="82"/>
      <c r="H68" s="440">
        <v>0.224</v>
      </c>
      <c r="I68" s="283">
        <f>ROUND(F68*G68*H68,3)*1.5</f>
        <v>0</v>
      </c>
      <c r="J68" s="83"/>
      <c r="K68" s="83"/>
      <c r="L68" s="84"/>
      <c r="M68" s="84"/>
      <c r="N68" s="71" t="s">
        <v>56</v>
      </c>
    </row>
    <row r="69" spans="2:14" ht="18" customHeight="1">
      <c r="B69" s="648"/>
      <c r="C69" s="650"/>
      <c r="D69" s="81">
        <f t="shared" ref="D69:D87" si="11">J69-IF(L69=1,72,IF(L69=2,54,IF(L69=3,26,IF(L69=11,102.8,IF(L69=12,88.8,IF(L69=13,74.8,0))))))</f>
        <v>0</v>
      </c>
      <c r="E69" s="81">
        <f t="shared" ref="E69:E87" si="12">K69-IF(M69=1,72,IF(M69=2,24,IF(M69=3,26,IF(M69=11,102.8,IF(M69=12,88.8,IF(M69=13,74.8,0))))))</f>
        <v>0</v>
      </c>
      <c r="F69" s="81">
        <f t="shared" ref="F69:F87" si="13">2*(D69+E69)/1000</f>
        <v>0</v>
      </c>
      <c r="G69" s="82"/>
      <c r="H69" s="440">
        <f>H68</f>
        <v>0.224</v>
      </c>
      <c r="I69" s="59">
        <f t="shared" ref="I69:I87" si="14">ROUND(F69*G69*H69,3)</f>
        <v>0</v>
      </c>
      <c r="J69" s="83"/>
      <c r="K69" s="84"/>
      <c r="L69" s="84"/>
      <c r="M69" s="84"/>
      <c r="N69" s="72" t="s">
        <v>58</v>
      </c>
    </row>
    <row r="70" spans="2:14" ht="18" customHeight="1">
      <c r="B70" s="648"/>
      <c r="C70" s="650"/>
      <c r="D70" s="81">
        <f t="shared" si="11"/>
        <v>0</v>
      </c>
      <c r="E70" s="81">
        <f t="shared" si="12"/>
        <v>0</v>
      </c>
      <c r="F70" s="81">
        <f t="shared" si="13"/>
        <v>0</v>
      </c>
      <c r="G70" s="82"/>
      <c r="H70" s="440">
        <f>H69</f>
        <v>0.224</v>
      </c>
      <c r="I70" s="59">
        <f t="shared" si="14"/>
        <v>0</v>
      </c>
      <c r="J70" s="83"/>
      <c r="K70" s="84"/>
      <c r="L70" s="84"/>
      <c r="M70" s="84"/>
      <c r="N70" s="72" t="s">
        <v>60</v>
      </c>
    </row>
    <row r="71" spans="2:14" ht="18" customHeight="1">
      <c r="B71" s="648"/>
      <c r="C71" s="650"/>
      <c r="D71" s="81">
        <f t="shared" si="11"/>
        <v>0</v>
      </c>
      <c r="E71" s="81">
        <f t="shared" si="12"/>
        <v>0</v>
      </c>
      <c r="F71" s="81">
        <f t="shared" si="13"/>
        <v>0</v>
      </c>
      <c r="G71" s="82"/>
      <c r="H71" s="77">
        <f>H70</f>
        <v>0.224</v>
      </c>
      <c r="I71" s="59">
        <f t="shared" si="14"/>
        <v>0</v>
      </c>
      <c r="J71" s="85"/>
      <c r="K71" s="86"/>
      <c r="L71" s="86"/>
      <c r="M71" s="86"/>
      <c r="N71" s="72" t="s">
        <v>65</v>
      </c>
    </row>
    <row r="72" spans="2:14" ht="18" customHeight="1">
      <c r="B72" s="648"/>
      <c r="C72" s="650"/>
      <c r="D72" s="81">
        <f t="shared" si="11"/>
        <v>0</v>
      </c>
      <c r="E72" s="81">
        <f t="shared" si="12"/>
        <v>0</v>
      </c>
      <c r="F72" s="81">
        <f t="shared" si="13"/>
        <v>0</v>
      </c>
      <c r="G72" s="82"/>
      <c r="H72" s="77">
        <f>H71</f>
        <v>0.224</v>
      </c>
      <c r="I72" s="87">
        <f t="shared" si="14"/>
        <v>0</v>
      </c>
      <c r="J72" s="85"/>
      <c r="K72" s="86"/>
      <c r="L72" s="86"/>
      <c r="M72" s="86"/>
      <c r="N72" s="72" t="s">
        <v>66</v>
      </c>
    </row>
    <row r="73" spans="2:14" ht="18" customHeight="1">
      <c r="B73" s="648"/>
      <c r="C73" s="650"/>
      <c r="D73" s="81">
        <f t="shared" si="11"/>
        <v>0</v>
      </c>
      <c r="E73" s="81">
        <f t="shared" si="12"/>
        <v>0</v>
      </c>
      <c r="F73" s="81">
        <f t="shared" si="13"/>
        <v>0</v>
      </c>
      <c r="G73" s="82"/>
      <c r="H73" s="440">
        <f>H70</f>
        <v>0.224</v>
      </c>
      <c r="I73" s="87">
        <f t="shared" si="14"/>
        <v>0</v>
      </c>
      <c r="J73" s="83"/>
      <c r="K73" s="84"/>
      <c r="L73" s="84"/>
      <c r="M73" s="84"/>
      <c r="N73" s="72" t="s">
        <v>67</v>
      </c>
    </row>
    <row r="74" spans="2:14" ht="18" customHeight="1">
      <c r="B74" s="648"/>
      <c r="C74" s="651"/>
      <c r="D74" s="81">
        <f t="shared" si="11"/>
        <v>0</v>
      </c>
      <c r="E74" s="81">
        <f t="shared" si="12"/>
        <v>0</v>
      </c>
      <c r="F74" s="81">
        <f t="shared" si="13"/>
        <v>0</v>
      </c>
      <c r="G74" s="82"/>
      <c r="H74" s="440">
        <f>H73</f>
        <v>0.224</v>
      </c>
      <c r="I74" s="87">
        <f t="shared" si="14"/>
        <v>0</v>
      </c>
      <c r="J74" s="83"/>
      <c r="K74" s="84"/>
      <c r="L74" s="84"/>
      <c r="M74" s="84"/>
      <c r="N74" s="88"/>
    </row>
    <row r="75" spans="2:14" ht="18" customHeight="1">
      <c r="B75" s="648"/>
      <c r="C75" s="649" t="s">
        <v>324</v>
      </c>
      <c r="D75" s="89">
        <f t="shared" si="11"/>
        <v>0</v>
      </c>
      <c r="E75" s="89">
        <f t="shared" si="12"/>
        <v>0</v>
      </c>
      <c r="F75" s="89">
        <f t="shared" si="13"/>
        <v>0</v>
      </c>
      <c r="G75" s="90"/>
      <c r="H75" s="91">
        <f>H74</f>
        <v>0.224</v>
      </c>
      <c r="I75" s="92">
        <f t="shared" si="14"/>
        <v>0</v>
      </c>
      <c r="J75" s="83"/>
      <c r="K75" s="84"/>
      <c r="L75" s="84"/>
      <c r="M75" s="84"/>
      <c r="N75" s="93" t="s">
        <v>80</v>
      </c>
    </row>
    <row r="76" spans="2:14" ht="18" customHeight="1">
      <c r="B76" s="648"/>
      <c r="C76" s="650"/>
      <c r="D76" s="89">
        <f t="shared" si="11"/>
        <v>0</v>
      </c>
      <c r="E76" s="89">
        <f t="shared" si="12"/>
        <v>0</v>
      </c>
      <c r="F76" s="89">
        <f t="shared" si="13"/>
        <v>0</v>
      </c>
      <c r="G76" s="90"/>
      <c r="H76" s="91">
        <f>H72</f>
        <v>0.224</v>
      </c>
      <c r="I76" s="92">
        <f t="shared" si="14"/>
        <v>0</v>
      </c>
      <c r="J76" s="83"/>
      <c r="K76" s="84"/>
      <c r="L76" s="84"/>
      <c r="M76" s="84"/>
      <c r="N76" s="93" t="s">
        <v>80</v>
      </c>
    </row>
    <row r="77" spans="2:14" ht="18" customHeight="1">
      <c r="B77" s="648"/>
      <c r="C77" s="650"/>
      <c r="D77" s="89">
        <f t="shared" si="11"/>
        <v>0</v>
      </c>
      <c r="E77" s="89">
        <f t="shared" si="12"/>
        <v>0</v>
      </c>
      <c r="F77" s="89">
        <f t="shared" si="13"/>
        <v>0</v>
      </c>
      <c r="G77" s="90"/>
      <c r="H77" s="91">
        <f t="shared" ref="H77:H87" si="15">H76</f>
        <v>0.224</v>
      </c>
      <c r="I77" s="92">
        <f t="shared" si="14"/>
        <v>0</v>
      </c>
      <c r="J77" s="83"/>
      <c r="K77" s="84"/>
      <c r="L77" s="84"/>
      <c r="M77" s="84"/>
      <c r="N77" s="93" t="s">
        <v>80</v>
      </c>
    </row>
    <row r="78" spans="2:14" ht="18" customHeight="1">
      <c r="B78" s="648"/>
      <c r="C78" s="650"/>
      <c r="D78" s="89">
        <f t="shared" si="11"/>
        <v>0</v>
      </c>
      <c r="E78" s="89">
        <f t="shared" si="12"/>
        <v>0</v>
      </c>
      <c r="F78" s="89">
        <f t="shared" si="13"/>
        <v>0</v>
      </c>
      <c r="G78" s="90"/>
      <c r="H78" s="91">
        <f t="shared" si="15"/>
        <v>0.224</v>
      </c>
      <c r="I78" s="92">
        <f t="shared" si="14"/>
        <v>0</v>
      </c>
      <c r="J78" s="83"/>
      <c r="K78" s="84"/>
      <c r="L78" s="84"/>
      <c r="M78" s="84"/>
      <c r="N78" s="93" t="s">
        <v>80</v>
      </c>
    </row>
    <row r="79" spans="2:14" ht="18" customHeight="1">
      <c r="B79" s="648"/>
      <c r="C79" s="650"/>
      <c r="D79" s="89">
        <f t="shared" si="11"/>
        <v>0</v>
      </c>
      <c r="E79" s="89">
        <f t="shared" si="12"/>
        <v>0</v>
      </c>
      <c r="F79" s="89">
        <f t="shared" si="13"/>
        <v>0</v>
      </c>
      <c r="G79" s="90"/>
      <c r="H79" s="91">
        <f t="shared" si="15"/>
        <v>0.224</v>
      </c>
      <c r="I79" s="94">
        <f t="shared" si="14"/>
        <v>0</v>
      </c>
      <c r="J79" s="83"/>
      <c r="K79" s="84"/>
      <c r="L79" s="84"/>
      <c r="M79" s="84"/>
      <c r="N79" s="93" t="s">
        <v>80</v>
      </c>
    </row>
    <row r="80" spans="2:14" ht="18" customHeight="1">
      <c r="B80" s="648"/>
      <c r="C80" s="650"/>
      <c r="D80" s="89">
        <f t="shared" si="11"/>
        <v>0</v>
      </c>
      <c r="E80" s="89">
        <f t="shared" si="12"/>
        <v>0</v>
      </c>
      <c r="F80" s="89">
        <f t="shared" si="13"/>
        <v>0</v>
      </c>
      <c r="G80" s="90"/>
      <c r="H80" s="91">
        <f t="shared" si="15"/>
        <v>0.224</v>
      </c>
      <c r="I80" s="94">
        <f t="shared" si="14"/>
        <v>0</v>
      </c>
      <c r="J80" s="83"/>
      <c r="K80" s="84"/>
      <c r="L80" s="84"/>
      <c r="M80" s="84"/>
      <c r="N80" s="93" t="s">
        <v>80</v>
      </c>
    </row>
    <row r="81" spans="2:14" ht="18" customHeight="1">
      <c r="B81" s="648"/>
      <c r="C81" s="651"/>
      <c r="D81" s="89">
        <f t="shared" si="11"/>
        <v>0</v>
      </c>
      <c r="E81" s="89">
        <f t="shared" si="12"/>
        <v>0</v>
      </c>
      <c r="F81" s="89">
        <f t="shared" si="13"/>
        <v>0</v>
      </c>
      <c r="G81" s="90"/>
      <c r="H81" s="91">
        <f t="shared" si="15"/>
        <v>0.224</v>
      </c>
      <c r="I81" s="94">
        <f t="shared" si="14"/>
        <v>0</v>
      </c>
      <c r="J81" s="95"/>
      <c r="K81" s="96"/>
      <c r="L81" s="96"/>
      <c r="M81" s="96"/>
      <c r="N81" s="93" t="s">
        <v>81</v>
      </c>
    </row>
    <row r="82" spans="2:14" ht="18" customHeight="1">
      <c r="B82" s="648"/>
      <c r="C82" s="639" t="s">
        <v>325</v>
      </c>
      <c r="D82" s="81">
        <f t="shared" si="11"/>
        <v>0</v>
      </c>
      <c r="E82" s="81">
        <f t="shared" si="12"/>
        <v>0</v>
      </c>
      <c r="F82" s="81">
        <f t="shared" si="13"/>
        <v>0</v>
      </c>
      <c r="G82" s="82"/>
      <c r="H82" s="440">
        <f t="shared" si="15"/>
        <v>0.224</v>
      </c>
      <c r="I82" s="59">
        <f t="shared" si="14"/>
        <v>0</v>
      </c>
      <c r="J82" s="83"/>
      <c r="K82" s="84"/>
      <c r="L82" s="84"/>
      <c r="M82" s="84"/>
      <c r="N82" s="88"/>
    </row>
    <row r="83" spans="2:14" ht="18" customHeight="1">
      <c r="B83" s="648"/>
      <c r="C83" s="645"/>
      <c r="D83" s="81">
        <f t="shared" si="11"/>
        <v>0</v>
      </c>
      <c r="E83" s="81">
        <f t="shared" si="12"/>
        <v>0</v>
      </c>
      <c r="F83" s="81">
        <f t="shared" si="13"/>
        <v>0</v>
      </c>
      <c r="G83" s="82"/>
      <c r="H83" s="440">
        <f t="shared" si="15"/>
        <v>0.224</v>
      </c>
      <c r="I83" s="59">
        <f t="shared" si="14"/>
        <v>0</v>
      </c>
      <c r="J83" s="83"/>
      <c r="K83" s="84"/>
      <c r="L83" s="84"/>
      <c r="M83" s="84"/>
      <c r="N83" s="88"/>
    </row>
    <row r="84" spans="2:14" ht="18" customHeight="1">
      <c r="B84" s="648"/>
      <c r="C84" s="645"/>
      <c r="D84" s="81">
        <f t="shared" si="11"/>
        <v>0</v>
      </c>
      <c r="E84" s="81">
        <f t="shared" si="12"/>
        <v>0</v>
      </c>
      <c r="F84" s="81">
        <f t="shared" si="13"/>
        <v>0</v>
      </c>
      <c r="G84" s="82"/>
      <c r="H84" s="440">
        <f t="shared" si="15"/>
        <v>0.224</v>
      </c>
      <c r="I84" s="59">
        <f t="shared" si="14"/>
        <v>0</v>
      </c>
      <c r="J84" s="83"/>
      <c r="K84" s="84"/>
      <c r="L84" s="84"/>
      <c r="M84" s="84"/>
      <c r="N84" s="76"/>
    </row>
    <row r="85" spans="2:14" ht="18" customHeight="1">
      <c r="B85" s="648"/>
      <c r="C85" s="645"/>
      <c r="D85" s="81">
        <f t="shared" si="11"/>
        <v>0</v>
      </c>
      <c r="E85" s="81">
        <f t="shared" si="12"/>
        <v>0</v>
      </c>
      <c r="F85" s="81">
        <f t="shared" si="13"/>
        <v>0</v>
      </c>
      <c r="G85" s="82"/>
      <c r="H85" s="440">
        <f t="shared" si="15"/>
        <v>0.224</v>
      </c>
      <c r="I85" s="59">
        <f t="shared" si="14"/>
        <v>0</v>
      </c>
      <c r="J85" s="83"/>
      <c r="K85" s="84"/>
      <c r="L85" s="84"/>
      <c r="M85" s="84"/>
      <c r="N85" s="76"/>
    </row>
    <row r="86" spans="2:14" ht="18" customHeight="1">
      <c r="B86" s="648"/>
      <c r="C86" s="645"/>
      <c r="D86" s="81">
        <f t="shared" si="11"/>
        <v>0</v>
      </c>
      <c r="E86" s="81">
        <f t="shared" si="12"/>
        <v>0</v>
      </c>
      <c r="F86" s="81">
        <f t="shared" si="13"/>
        <v>0</v>
      </c>
      <c r="G86" s="82"/>
      <c r="H86" s="440">
        <f t="shared" si="15"/>
        <v>0.224</v>
      </c>
      <c r="I86" s="59">
        <f t="shared" si="14"/>
        <v>0</v>
      </c>
      <c r="J86" s="85"/>
      <c r="K86" s="86"/>
      <c r="L86" s="86"/>
      <c r="M86" s="86"/>
      <c r="N86" s="76"/>
    </row>
    <row r="87" spans="2:14" ht="18" customHeight="1" thickBot="1">
      <c r="B87" s="648"/>
      <c r="C87" s="640"/>
      <c r="D87" s="81">
        <f t="shared" si="11"/>
        <v>0</v>
      </c>
      <c r="E87" s="81">
        <f t="shared" si="12"/>
        <v>0</v>
      </c>
      <c r="F87" s="81">
        <f t="shared" si="13"/>
        <v>0</v>
      </c>
      <c r="G87" s="82"/>
      <c r="H87" s="440">
        <f t="shared" si="15"/>
        <v>0.224</v>
      </c>
      <c r="I87" s="59">
        <f t="shared" si="14"/>
        <v>0</v>
      </c>
      <c r="J87" s="97"/>
      <c r="K87" s="98"/>
      <c r="L87" s="98"/>
      <c r="M87" s="98"/>
      <c r="N87" s="80"/>
    </row>
    <row r="88" spans="2:14" ht="18" customHeight="1">
      <c r="B88" s="48" t="s">
        <v>42</v>
      </c>
      <c r="C88" s="49">
        <f>SUMPRODUCT(F68:F87*G68:G87)</f>
        <v>0</v>
      </c>
      <c r="D88" s="50" t="s">
        <v>43</v>
      </c>
      <c r="E88" s="49">
        <f>SUM(I68:I87)*1.1</f>
        <v>0</v>
      </c>
      <c r="F88" s="50" t="s">
        <v>44</v>
      </c>
      <c r="G88" s="51">
        <f>(C$218+C$222)/1000</f>
        <v>39.781500000000001</v>
      </c>
      <c r="H88" s="52" t="s">
        <v>45</v>
      </c>
      <c r="I88" s="53">
        <f>ROUND(E88*G88,2)</f>
        <v>0</v>
      </c>
      <c r="J88" s="255"/>
      <c r="K88" s="255"/>
      <c r="L88" s="255"/>
      <c r="M88" s="255"/>
    </row>
    <row r="89" spans="2:14" ht="18" customHeight="1">
      <c r="B89" s="48" t="s">
        <v>46</v>
      </c>
      <c r="C89" s="50">
        <v>181.72</v>
      </c>
      <c r="D89" s="50" t="s">
        <v>47</v>
      </c>
      <c r="E89" s="49">
        <f>ROUND(C88*(C89/1000),2)</f>
        <v>0</v>
      </c>
      <c r="F89" s="50" t="s">
        <v>48</v>
      </c>
      <c r="G89" s="50">
        <f>G$23</f>
        <v>10</v>
      </c>
      <c r="H89" s="52" t="s">
        <v>49</v>
      </c>
      <c r="I89" s="53">
        <f>E89*G89</f>
        <v>0</v>
      </c>
      <c r="J89" s="255"/>
      <c r="K89" s="255"/>
      <c r="L89" s="255"/>
      <c r="M89" s="255"/>
    </row>
    <row r="90" spans="2:14" ht="18" customHeight="1">
      <c r="B90" s="48" t="s">
        <v>50</v>
      </c>
      <c r="C90" s="50"/>
      <c r="D90" s="50" t="s">
        <v>51</v>
      </c>
      <c r="E90" s="49">
        <f>ROUND(C88*(C90/1000),2)</f>
        <v>0</v>
      </c>
      <c r="F90" s="50" t="s">
        <v>48</v>
      </c>
      <c r="G90" s="50">
        <f>G$24</f>
        <v>10</v>
      </c>
      <c r="H90" s="52" t="s">
        <v>49</v>
      </c>
      <c r="I90" s="53">
        <f>E90*G90</f>
        <v>0</v>
      </c>
      <c r="J90" s="255"/>
      <c r="K90" s="255"/>
      <c r="L90" s="255"/>
      <c r="M90" s="255"/>
    </row>
    <row r="91" spans="2:14" ht="18" customHeight="1">
      <c r="B91" s="23" t="s">
        <v>36</v>
      </c>
      <c r="C91" s="442" t="s">
        <v>14</v>
      </c>
      <c r="D91" s="442" t="s">
        <v>37</v>
      </c>
      <c r="E91" s="442" t="s">
        <v>38</v>
      </c>
      <c r="F91" s="442" t="s">
        <v>39</v>
      </c>
      <c r="G91" s="442" t="s">
        <v>8</v>
      </c>
      <c r="H91" s="442" t="s">
        <v>22</v>
      </c>
      <c r="I91" s="25" t="s">
        <v>40</v>
      </c>
      <c r="J91" s="255"/>
      <c r="K91" s="255"/>
      <c r="L91" s="255"/>
      <c r="M91" s="255"/>
    </row>
    <row r="92" spans="2:14" ht="18" customHeight="1">
      <c r="B92" s="648" t="s">
        <v>82</v>
      </c>
      <c r="C92" s="653" t="s">
        <v>326</v>
      </c>
      <c r="D92" s="443">
        <f>D26-90</f>
        <v>-90</v>
      </c>
      <c r="E92" s="443">
        <f>E26-90</f>
        <v>-90</v>
      </c>
      <c r="F92" s="443">
        <f>2*(D92+E92)/1000</f>
        <v>-0.36</v>
      </c>
      <c r="G92" s="440">
        <f>G26</f>
        <v>0</v>
      </c>
      <c r="H92" s="440">
        <v>0.27100000000000002</v>
      </c>
      <c r="I92" s="59">
        <f>ROUND(F92*G92*H92,3)</f>
        <v>0</v>
      </c>
    </row>
    <row r="93" spans="2:14" ht="18" customHeight="1">
      <c r="B93" s="648"/>
      <c r="C93" s="658"/>
      <c r="D93" s="443">
        <f t="shared" ref="D93:E96" si="16">D27-90</f>
        <v>-90</v>
      </c>
      <c r="E93" s="443">
        <f t="shared" si="16"/>
        <v>-90</v>
      </c>
      <c r="F93" s="443">
        <f>2*(D93+E93)/1000</f>
        <v>-0.36</v>
      </c>
      <c r="G93" s="440">
        <f>G27</f>
        <v>0</v>
      </c>
      <c r="H93" s="440">
        <f>H92</f>
        <v>0.27100000000000002</v>
      </c>
      <c r="I93" s="59">
        <f>ROUND(F93*G93*H93,3)</f>
        <v>0</v>
      </c>
      <c r="M93" s="42"/>
    </row>
    <row r="94" spans="2:14" ht="18" customHeight="1">
      <c r="B94" s="648"/>
      <c r="C94" s="658"/>
      <c r="D94" s="443">
        <f t="shared" si="16"/>
        <v>-90</v>
      </c>
      <c r="E94" s="443">
        <f t="shared" si="16"/>
        <v>-90</v>
      </c>
      <c r="F94" s="443">
        <f>2*(D94+E94)/1000</f>
        <v>-0.36</v>
      </c>
      <c r="G94" s="440">
        <f>G28</f>
        <v>0</v>
      </c>
      <c r="H94" s="440">
        <f>H93</f>
        <v>0.27100000000000002</v>
      </c>
      <c r="I94" s="59">
        <f>ROUND(F94*G94*H94,3)</f>
        <v>0</v>
      </c>
    </row>
    <row r="95" spans="2:14" ht="18" customHeight="1">
      <c r="B95" s="648"/>
      <c r="C95" s="658"/>
      <c r="D95" s="443">
        <f t="shared" si="16"/>
        <v>-90</v>
      </c>
      <c r="E95" s="443">
        <f t="shared" si="16"/>
        <v>-90</v>
      </c>
      <c r="F95" s="443">
        <f>2*(D95+E95)/1000</f>
        <v>-0.36</v>
      </c>
      <c r="G95" s="440">
        <f>G29</f>
        <v>0</v>
      </c>
      <c r="H95" s="440">
        <f>H94</f>
        <v>0.27100000000000002</v>
      </c>
      <c r="I95" s="59">
        <f>ROUND(F95*G95*H95,3)</f>
        <v>0</v>
      </c>
    </row>
    <row r="96" spans="2:14" ht="18" customHeight="1">
      <c r="B96" s="648"/>
      <c r="C96" s="659"/>
      <c r="D96" s="443">
        <f t="shared" si="16"/>
        <v>-90</v>
      </c>
      <c r="E96" s="443">
        <f t="shared" si="16"/>
        <v>-90</v>
      </c>
      <c r="F96" s="443">
        <f>2*(D96+E96)/1000</f>
        <v>-0.36</v>
      </c>
      <c r="G96" s="440">
        <f>G30</f>
        <v>0</v>
      </c>
      <c r="H96" s="440">
        <f>H95</f>
        <v>0.27100000000000002</v>
      </c>
      <c r="I96" s="59">
        <f>ROUND(F96*G96*H96,3)</f>
        <v>0</v>
      </c>
    </row>
    <row r="97" spans="2:13" ht="18" customHeight="1">
      <c r="B97" s="48" t="s">
        <v>42</v>
      </c>
      <c r="C97" s="49">
        <f>SUMPRODUCT(F92:F96*G92:G96)</f>
        <v>0</v>
      </c>
      <c r="D97" s="50" t="s">
        <v>43</v>
      </c>
      <c r="E97" s="49">
        <f>SUM(I92:I96)*1.1</f>
        <v>0</v>
      </c>
      <c r="F97" s="50" t="s">
        <v>44</v>
      </c>
      <c r="G97" s="51">
        <f>(C$218+C$222)/1000</f>
        <v>39.781500000000001</v>
      </c>
      <c r="H97" s="52" t="s">
        <v>45</v>
      </c>
      <c r="I97" s="53">
        <f>ROUND(E97*G97,2)</f>
        <v>0</v>
      </c>
    </row>
    <row r="98" spans="2:13" ht="18" customHeight="1">
      <c r="B98" s="48" t="s">
        <v>46</v>
      </c>
      <c r="C98" s="50">
        <v>186.72</v>
      </c>
      <c r="D98" s="50" t="s">
        <v>47</v>
      </c>
      <c r="E98" s="49">
        <f>ROUND(C97*(C98/1000),2)</f>
        <v>0</v>
      </c>
      <c r="F98" s="50" t="s">
        <v>48</v>
      </c>
      <c r="G98" s="50">
        <f>G$23</f>
        <v>10</v>
      </c>
      <c r="H98" s="52" t="s">
        <v>49</v>
      </c>
      <c r="I98" s="53">
        <f>E98*G98</f>
        <v>0</v>
      </c>
    </row>
    <row r="99" spans="2:13" ht="18" customHeight="1">
      <c r="B99" s="48" t="s">
        <v>50</v>
      </c>
      <c r="C99" s="50">
        <v>0</v>
      </c>
      <c r="D99" s="50" t="s">
        <v>51</v>
      </c>
      <c r="E99" s="49">
        <f>ROUND(C97*(C99/1000),2)</f>
        <v>0</v>
      </c>
      <c r="F99" s="50" t="s">
        <v>48</v>
      </c>
      <c r="G99" s="50">
        <f>G$24</f>
        <v>10</v>
      </c>
      <c r="H99" s="52" t="s">
        <v>49</v>
      </c>
      <c r="I99" s="53">
        <f>E99*G99</f>
        <v>0</v>
      </c>
    </row>
    <row r="100" spans="2:13" ht="18" customHeight="1">
      <c r="B100" s="23" t="s">
        <v>36</v>
      </c>
      <c r="C100" s="442" t="s">
        <v>14</v>
      </c>
      <c r="D100" s="442" t="s">
        <v>37</v>
      </c>
      <c r="E100" s="442" t="s">
        <v>38</v>
      </c>
      <c r="F100" s="442" t="s">
        <v>39</v>
      </c>
      <c r="G100" s="442" t="s">
        <v>8</v>
      </c>
      <c r="H100" s="442" t="s">
        <v>22</v>
      </c>
      <c r="I100" s="25" t="s">
        <v>40</v>
      </c>
    </row>
    <row r="101" spans="2:13" ht="18" customHeight="1">
      <c r="B101" s="648" t="s">
        <v>84</v>
      </c>
      <c r="C101" s="653" t="str">
        <f>C92</f>
        <v>SDL2281</v>
      </c>
      <c r="D101" s="443">
        <f>D35-122</f>
        <v>783</v>
      </c>
      <c r="E101" s="443">
        <f t="shared" ref="D101:E103" si="17">E35-122</f>
        <v>354</v>
      </c>
      <c r="F101" s="443">
        <f>2*(D101+E101)/1000</f>
        <v>2.274</v>
      </c>
      <c r="G101" s="440">
        <f>G35</f>
        <v>2</v>
      </c>
      <c r="H101" s="440">
        <f>H96</f>
        <v>0.27100000000000002</v>
      </c>
      <c r="I101" s="59">
        <f>ROUND(F101*G101*H101,3)</f>
        <v>1.2330000000000001</v>
      </c>
    </row>
    <row r="102" spans="2:13" ht="18" customHeight="1">
      <c r="B102" s="648"/>
      <c r="C102" s="650"/>
      <c r="D102" s="443">
        <f t="shared" si="17"/>
        <v>-122</v>
      </c>
      <c r="E102" s="443">
        <f t="shared" si="17"/>
        <v>-122</v>
      </c>
      <c r="F102" s="443">
        <f>2*(D102+E102)/1000</f>
        <v>-0.48799999999999999</v>
      </c>
      <c r="G102" s="440">
        <f>G36</f>
        <v>0</v>
      </c>
      <c r="H102" s="440">
        <f>H101</f>
        <v>0.27100000000000002</v>
      </c>
      <c r="I102" s="59">
        <f>ROUND(F102*G102*H102,3)</f>
        <v>0</v>
      </c>
      <c r="K102" s="99"/>
      <c r="M102" s="99"/>
    </row>
    <row r="103" spans="2:13" ht="18" customHeight="1">
      <c r="B103" s="648"/>
      <c r="C103" s="651"/>
      <c r="D103" s="443">
        <f t="shared" si="17"/>
        <v>-122</v>
      </c>
      <c r="E103" s="443">
        <f t="shared" si="17"/>
        <v>-122</v>
      </c>
      <c r="F103" s="443">
        <f>2*(D103+E103)/1000</f>
        <v>-0.48799999999999999</v>
      </c>
      <c r="G103" s="440">
        <f>G37</f>
        <v>0</v>
      </c>
      <c r="H103" s="440">
        <f>H102</f>
        <v>0.27100000000000002</v>
      </c>
      <c r="I103" s="59">
        <f>ROUND(F103*G103*H103,3)</f>
        <v>0</v>
      </c>
      <c r="M103" s="99"/>
    </row>
    <row r="104" spans="2:13" ht="18" customHeight="1">
      <c r="B104" s="48" t="s">
        <v>42</v>
      </c>
      <c r="C104" s="49">
        <f>SUMPRODUCT(F101:F103*G101:G103)</f>
        <v>4.548</v>
      </c>
      <c r="D104" s="50" t="s">
        <v>43</v>
      </c>
      <c r="E104" s="49">
        <f>SUM(I101:I103)*1.1</f>
        <v>1.3563000000000003</v>
      </c>
      <c r="F104" s="50" t="s">
        <v>44</v>
      </c>
      <c r="G104" s="51">
        <f>(C$218+C$222)/1000</f>
        <v>39.781500000000001</v>
      </c>
      <c r="H104" s="52" t="s">
        <v>45</v>
      </c>
      <c r="I104" s="53">
        <f>ROUND(E104*G104,2)</f>
        <v>53.96</v>
      </c>
    </row>
    <row r="105" spans="2:13" ht="18" customHeight="1">
      <c r="B105" s="48" t="s">
        <v>46</v>
      </c>
      <c r="C105" s="50">
        <v>186.72</v>
      </c>
      <c r="D105" s="50" t="s">
        <v>47</v>
      </c>
      <c r="E105" s="49">
        <f>ROUND(C104*(C105/1000),2)</f>
        <v>0.85</v>
      </c>
      <c r="F105" s="50" t="s">
        <v>48</v>
      </c>
      <c r="G105" s="50">
        <f>G$23</f>
        <v>10</v>
      </c>
      <c r="H105" s="52" t="s">
        <v>49</v>
      </c>
      <c r="I105" s="53">
        <f>ROUND(E105*G105,2)</f>
        <v>8.5</v>
      </c>
    </row>
    <row r="106" spans="2:13" ht="18" customHeight="1">
      <c r="B106" s="48" t="s">
        <v>50</v>
      </c>
      <c r="C106" s="50">
        <v>0</v>
      </c>
      <c r="D106" s="50" t="s">
        <v>51</v>
      </c>
      <c r="E106" s="49">
        <f>ROUND(C104*(C106/1000),2)</f>
        <v>0</v>
      </c>
      <c r="F106" s="50" t="s">
        <v>48</v>
      </c>
      <c r="G106" s="50">
        <f>G$24</f>
        <v>10</v>
      </c>
      <c r="H106" s="52" t="s">
        <v>49</v>
      </c>
      <c r="I106" s="53">
        <f>ROUND(E106*G106,2)</f>
        <v>0</v>
      </c>
    </row>
    <row r="107" spans="2:13" ht="18" customHeight="1">
      <c r="B107" s="23" t="s">
        <v>36</v>
      </c>
      <c r="C107" s="442" t="s">
        <v>14</v>
      </c>
      <c r="D107" s="442" t="s">
        <v>37</v>
      </c>
      <c r="E107" s="442" t="s">
        <v>38</v>
      </c>
      <c r="F107" s="442" t="s">
        <v>39</v>
      </c>
      <c r="G107" s="442" t="s">
        <v>8</v>
      </c>
      <c r="H107" s="442" t="s">
        <v>22</v>
      </c>
      <c r="I107" s="25" t="s">
        <v>40</v>
      </c>
    </row>
    <row r="108" spans="2:13" ht="18" customHeight="1">
      <c r="B108" s="648" t="s">
        <v>85</v>
      </c>
      <c r="C108" s="655" t="s">
        <v>86</v>
      </c>
      <c r="D108" s="440"/>
      <c r="E108" s="440"/>
      <c r="F108" s="440">
        <f>ROUND((D108+E108)*2/1000,4)</f>
        <v>0</v>
      </c>
      <c r="G108" s="440"/>
      <c r="H108" s="440">
        <v>1.857</v>
      </c>
      <c r="I108" s="59">
        <f>ROUND(F108*G108*H108,3)</f>
        <v>0</v>
      </c>
    </row>
    <row r="109" spans="2:13" ht="18" customHeight="1">
      <c r="B109" s="648"/>
      <c r="C109" s="656"/>
      <c r="D109" s="440"/>
      <c r="E109" s="440"/>
      <c r="F109" s="440">
        <f>ROUND((D109+E109)*2/1000,4)</f>
        <v>0</v>
      </c>
      <c r="G109" s="440"/>
      <c r="H109" s="440">
        <f>H108</f>
        <v>1.857</v>
      </c>
      <c r="I109" s="59">
        <f>ROUND(F109*G109*H109,3)</f>
        <v>0</v>
      </c>
      <c r="K109" s="42"/>
      <c r="L109" s="42"/>
      <c r="M109" s="42"/>
    </row>
    <row r="110" spans="2:13" ht="18" customHeight="1">
      <c r="B110" s="648"/>
      <c r="C110" s="656"/>
      <c r="D110" s="440"/>
      <c r="E110" s="440"/>
      <c r="F110" s="440">
        <f>ROUND((D110+E110)*2/1000,4)</f>
        <v>0</v>
      </c>
      <c r="G110" s="440"/>
      <c r="H110" s="440">
        <f>H109</f>
        <v>1.857</v>
      </c>
      <c r="I110" s="59">
        <f>ROUND(F110*G110*H110,3)</f>
        <v>0</v>
      </c>
      <c r="K110" s="42"/>
      <c r="L110" s="42"/>
      <c r="M110" s="42"/>
    </row>
    <row r="111" spans="2:13" ht="18" customHeight="1">
      <c r="B111" s="648"/>
      <c r="C111" s="657"/>
      <c r="D111" s="440"/>
      <c r="E111" s="440"/>
      <c r="F111" s="440">
        <f>ROUND((D111+E111)*2/1000,4)</f>
        <v>0</v>
      </c>
      <c r="G111" s="440"/>
      <c r="H111" s="440">
        <f>H110</f>
        <v>1.857</v>
      </c>
      <c r="I111" s="59">
        <f>ROUND(F111*G111*H111,3)</f>
        <v>0</v>
      </c>
      <c r="K111" s="42"/>
      <c r="L111" s="42"/>
      <c r="M111" s="42"/>
    </row>
    <row r="112" spans="2:13" ht="18" customHeight="1">
      <c r="B112" s="48" t="s">
        <v>42</v>
      </c>
      <c r="C112" s="49">
        <f>SUMPRODUCT(F108:F111*G108:G111)</f>
        <v>0</v>
      </c>
      <c r="D112" s="50" t="s">
        <v>43</v>
      </c>
      <c r="E112" s="49">
        <f>SUM(I108:I111)*1.1</f>
        <v>0</v>
      </c>
      <c r="F112" s="50" t="s">
        <v>44</v>
      </c>
      <c r="G112" s="51">
        <f>(C$218+C$219)/1000</f>
        <v>46.081499999999998</v>
      </c>
      <c r="H112" s="52" t="s">
        <v>45</v>
      </c>
      <c r="I112" s="53">
        <f>ROUND(E112*G112,2)</f>
        <v>0</v>
      </c>
      <c r="J112" s="243">
        <f>SUM(G108:G111)</f>
        <v>0</v>
      </c>
      <c r="K112" s="42"/>
      <c r="L112" s="42"/>
      <c r="M112" s="42"/>
    </row>
    <row r="113" spans="2:14" ht="18" customHeight="1">
      <c r="B113" s="48" t="s">
        <v>46</v>
      </c>
      <c r="C113" s="50">
        <v>241.03</v>
      </c>
      <c r="D113" s="50" t="s">
        <v>47</v>
      </c>
      <c r="E113" s="49">
        <f>ROUND(C112*(C113/1000),2)</f>
        <v>0</v>
      </c>
      <c r="F113" s="50" t="s">
        <v>48</v>
      </c>
      <c r="G113" s="50">
        <f>G$23</f>
        <v>10</v>
      </c>
      <c r="H113" s="52" t="s">
        <v>49</v>
      </c>
      <c r="I113" s="53">
        <f>E113*G113</f>
        <v>0</v>
      </c>
      <c r="K113" s="42"/>
      <c r="L113" s="42"/>
      <c r="M113" s="42"/>
    </row>
    <row r="114" spans="2:14" ht="18" customHeight="1" thickBot="1">
      <c r="B114" s="48" t="s">
        <v>50</v>
      </c>
      <c r="C114" s="50">
        <v>204.38</v>
      </c>
      <c r="D114" s="50" t="s">
        <v>51</v>
      </c>
      <c r="E114" s="49">
        <f>ROUND(C112*(C114/1000),2)</f>
        <v>0</v>
      </c>
      <c r="F114" s="50" t="s">
        <v>48</v>
      </c>
      <c r="G114" s="50">
        <f>G$24</f>
        <v>10</v>
      </c>
      <c r="H114" s="52" t="s">
        <v>49</v>
      </c>
      <c r="I114" s="53">
        <f>E114*G114</f>
        <v>0</v>
      </c>
    </row>
    <row r="115" spans="2:14" ht="18" customHeight="1" thickBot="1">
      <c r="B115" s="23" t="s">
        <v>36</v>
      </c>
      <c r="C115" s="442" t="s">
        <v>14</v>
      </c>
      <c r="D115" s="442" t="s">
        <v>37</v>
      </c>
      <c r="E115" s="442" t="s">
        <v>38</v>
      </c>
      <c r="F115" s="442" t="s">
        <v>39</v>
      </c>
      <c r="G115" s="442" t="s">
        <v>8</v>
      </c>
      <c r="H115" s="442" t="s">
        <v>22</v>
      </c>
      <c r="I115" s="25" t="s">
        <v>40</v>
      </c>
      <c r="J115" s="54" t="s">
        <v>2</v>
      </c>
      <c r="K115" s="55" t="s">
        <v>3</v>
      </c>
      <c r="L115" s="55" t="s">
        <v>61</v>
      </c>
      <c r="M115" s="55" t="s">
        <v>62</v>
      </c>
      <c r="N115" s="70" t="s">
        <v>14</v>
      </c>
    </row>
    <row r="116" spans="2:14" ht="18" customHeight="1">
      <c r="B116" s="648" t="s">
        <v>87</v>
      </c>
      <c r="C116" s="649" t="s">
        <v>88</v>
      </c>
      <c r="D116" s="443">
        <f t="shared" ref="D116:E118" si="18">J116-IF(L116=1,78,IF(L116=2,55.5,IF(L116=3,41,0)))</f>
        <v>0</v>
      </c>
      <c r="E116" s="443">
        <f t="shared" si="18"/>
        <v>0</v>
      </c>
      <c r="F116" s="440">
        <f>ROUND((D116+E116)*2/1000,4)</f>
        <v>0</v>
      </c>
      <c r="G116" s="440"/>
      <c r="H116" s="58">
        <v>2.456</v>
      </c>
      <c r="I116" s="59">
        <f>ROUND(F116*G116*H116,3)</f>
        <v>0</v>
      </c>
      <c r="J116" s="60"/>
      <c r="K116" s="61"/>
      <c r="L116" s="61"/>
      <c r="M116" s="61"/>
      <c r="N116" s="76" t="s">
        <v>56</v>
      </c>
    </row>
    <row r="117" spans="2:14" ht="18" customHeight="1">
      <c r="B117" s="648"/>
      <c r="C117" s="650"/>
      <c r="D117" s="443">
        <f t="shared" si="18"/>
        <v>0</v>
      </c>
      <c r="E117" s="443">
        <f t="shared" si="18"/>
        <v>0</v>
      </c>
      <c r="F117" s="440">
        <f>ROUND((D117+E117)*2/1000,4)</f>
        <v>0</v>
      </c>
      <c r="G117" s="440">
        <v>0</v>
      </c>
      <c r="H117" s="58">
        <f>H116</f>
        <v>2.456</v>
      </c>
      <c r="I117" s="59">
        <f>ROUND(F117*G117*H117,3)</f>
        <v>0</v>
      </c>
      <c r="J117" s="60"/>
      <c r="K117" s="61"/>
      <c r="L117" s="61"/>
      <c r="M117" s="61"/>
      <c r="N117" s="76" t="s">
        <v>58</v>
      </c>
    </row>
    <row r="118" spans="2:14" ht="18" customHeight="1" thickBot="1">
      <c r="B118" s="648"/>
      <c r="C118" s="651"/>
      <c r="D118" s="443">
        <f t="shared" si="18"/>
        <v>0</v>
      </c>
      <c r="E118" s="443">
        <f t="shared" si="18"/>
        <v>0</v>
      </c>
      <c r="F118" s="440">
        <f>ROUND((D118+E118)*2/1000,4)</f>
        <v>0</v>
      </c>
      <c r="G118" s="440">
        <v>0</v>
      </c>
      <c r="H118" s="58">
        <f>H117</f>
        <v>2.456</v>
      </c>
      <c r="I118" s="59">
        <f>ROUND(F118*G118*H118,3)</f>
        <v>0</v>
      </c>
      <c r="J118" s="64"/>
      <c r="K118" s="65"/>
      <c r="L118" s="65"/>
      <c r="M118" s="65"/>
      <c r="N118" s="80" t="s">
        <v>89</v>
      </c>
    </row>
    <row r="119" spans="2:14" ht="18" customHeight="1">
      <c r="B119" s="48" t="s">
        <v>42</v>
      </c>
      <c r="C119" s="49">
        <f>SUMPRODUCT(F116:F118*G116:G118)</f>
        <v>0</v>
      </c>
      <c r="D119" s="100" t="s">
        <v>43</v>
      </c>
      <c r="E119" s="100">
        <f>SUM(I116:I118)*1.1</f>
        <v>0</v>
      </c>
      <c r="F119" s="50" t="s">
        <v>44</v>
      </c>
      <c r="G119" s="51">
        <f>(C$218+C$219)/1000</f>
        <v>46.081499999999998</v>
      </c>
      <c r="H119" s="52" t="s">
        <v>45</v>
      </c>
      <c r="I119" s="53">
        <f>ROUND(E119*G119,2)</f>
        <v>0</v>
      </c>
      <c r="J119" s="243">
        <f>SUM(G116:G118)</f>
        <v>0</v>
      </c>
      <c r="K119" s="255"/>
      <c r="L119" s="255"/>
      <c r="M119" s="255"/>
    </row>
    <row r="120" spans="2:14" ht="18" customHeight="1">
      <c r="B120" s="48" t="s">
        <v>46</v>
      </c>
      <c r="C120" s="50">
        <v>350.56</v>
      </c>
      <c r="D120" s="100" t="s">
        <v>47</v>
      </c>
      <c r="E120" s="100">
        <f>ROUND(C119*(C120/1000),2)</f>
        <v>0</v>
      </c>
      <c r="F120" s="50" t="s">
        <v>48</v>
      </c>
      <c r="G120" s="50">
        <f>G$23</f>
        <v>10</v>
      </c>
      <c r="H120" s="52" t="s">
        <v>49</v>
      </c>
      <c r="I120" s="53">
        <f>E120*G120</f>
        <v>0</v>
      </c>
      <c r="J120" s="255"/>
      <c r="K120" s="255"/>
      <c r="L120" s="255"/>
      <c r="M120" s="255"/>
    </row>
    <row r="121" spans="2:14" ht="18" customHeight="1" thickBot="1">
      <c r="B121" s="48" t="s">
        <v>50</v>
      </c>
      <c r="C121" s="50">
        <v>189.03</v>
      </c>
      <c r="D121" s="100" t="s">
        <v>51</v>
      </c>
      <c r="E121" s="100">
        <f>ROUND(C119*(C121/1000),2)</f>
        <v>0</v>
      </c>
      <c r="F121" s="50" t="s">
        <v>48</v>
      </c>
      <c r="G121" s="50">
        <f>G$24</f>
        <v>10</v>
      </c>
      <c r="H121" s="52" t="s">
        <v>49</v>
      </c>
      <c r="I121" s="53">
        <f>E121*G121</f>
        <v>0</v>
      </c>
      <c r="J121" s="255"/>
    </row>
    <row r="122" spans="2:14" ht="18" customHeight="1" thickBot="1">
      <c r="B122" s="23" t="s">
        <v>36</v>
      </c>
      <c r="C122" s="442" t="s">
        <v>14</v>
      </c>
      <c r="D122" s="101" t="s">
        <v>37</v>
      </c>
      <c r="E122" s="101" t="s">
        <v>38</v>
      </c>
      <c r="F122" s="442" t="s">
        <v>39</v>
      </c>
      <c r="G122" s="442" t="s">
        <v>8</v>
      </c>
      <c r="H122" s="442" t="s">
        <v>22</v>
      </c>
      <c r="I122" s="25" t="s">
        <v>40</v>
      </c>
      <c r="J122" s="54" t="s">
        <v>2</v>
      </c>
      <c r="K122" s="55" t="s">
        <v>3</v>
      </c>
      <c r="L122" s="55" t="s">
        <v>61</v>
      </c>
      <c r="M122" s="55" t="s">
        <v>62</v>
      </c>
      <c r="N122" s="70" t="s">
        <v>14</v>
      </c>
    </row>
    <row r="123" spans="2:14" ht="18" customHeight="1">
      <c r="B123" s="648" t="s">
        <v>90</v>
      </c>
      <c r="C123" s="649" t="s">
        <v>91</v>
      </c>
      <c r="D123" s="443">
        <f t="shared" ref="D123:E125" si="19">J123-IF(L123=1,78,IF(L123=2,55.5,IF(L123=3,41,0)))</f>
        <v>0</v>
      </c>
      <c r="E123" s="443">
        <f t="shared" si="19"/>
        <v>0</v>
      </c>
      <c r="F123" s="440">
        <f>ROUND((D123+E123)*2/1000,4)</f>
        <v>0</v>
      </c>
      <c r="G123" s="440"/>
      <c r="H123" s="58">
        <v>2.4710000000000001</v>
      </c>
      <c r="I123" s="59">
        <f>ROUND(F123*G123*H123,3)</f>
        <v>0</v>
      </c>
      <c r="J123" s="60"/>
      <c r="K123" s="61"/>
      <c r="L123" s="61"/>
      <c r="M123" s="61"/>
      <c r="N123" s="76" t="s">
        <v>56</v>
      </c>
    </row>
    <row r="124" spans="2:14" ht="18" customHeight="1">
      <c r="B124" s="648"/>
      <c r="C124" s="650"/>
      <c r="D124" s="443">
        <f t="shared" si="19"/>
        <v>0</v>
      </c>
      <c r="E124" s="443">
        <f t="shared" si="19"/>
        <v>0</v>
      </c>
      <c r="F124" s="440">
        <f>ROUND((D124+E124)*2/1000,4)</f>
        <v>0</v>
      </c>
      <c r="G124" s="440"/>
      <c r="H124" s="58">
        <f>H123</f>
        <v>2.4710000000000001</v>
      </c>
      <c r="I124" s="59">
        <f>ROUND(F124*G124*H124,3)</f>
        <v>0</v>
      </c>
      <c r="J124" s="60"/>
      <c r="K124" s="61"/>
      <c r="L124" s="61"/>
      <c r="M124" s="61"/>
      <c r="N124" s="76" t="s">
        <v>58</v>
      </c>
    </row>
    <row r="125" spans="2:14" ht="18" customHeight="1" thickBot="1">
      <c r="B125" s="648"/>
      <c r="C125" s="651"/>
      <c r="D125" s="443">
        <f t="shared" si="19"/>
        <v>0</v>
      </c>
      <c r="E125" s="443">
        <f t="shared" si="19"/>
        <v>0</v>
      </c>
      <c r="F125" s="440">
        <f>ROUND((D125+E125)*2/1000,4)</f>
        <v>0</v>
      </c>
      <c r="G125" s="440"/>
      <c r="H125" s="58">
        <f>H124</f>
        <v>2.4710000000000001</v>
      </c>
      <c r="I125" s="59">
        <f>ROUND(F125*G125*H125,3)</f>
        <v>0</v>
      </c>
      <c r="J125" s="64"/>
      <c r="K125" s="65"/>
      <c r="L125" s="65"/>
      <c r="M125" s="65"/>
      <c r="N125" s="80" t="s">
        <v>89</v>
      </c>
    </row>
    <row r="126" spans="2:14" ht="18" customHeight="1">
      <c r="B126" s="48" t="s">
        <v>42</v>
      </c>
      <c r="C126" s="49">
        <f>SUMPRODUCT(F123:F125*G123:G125)</f>
        <v>0</v>
      </c>
      <c r="D126" s="50" t="s">
        <v>43</v>
      </c>
      <c r="E126" s="49">
        <f>SUM(I123:I125)*1.1</f>
        <v>0</v>
      </c>
      <c r="F126" s="50" t="s">
        <v>44</v>
      </c>
      <c r="G126" s="51">
        <f>(C$218+C$221)/1000</f>
        <v>46.081499999999998</v>
      </c>
      <c r="H126" s="52" t="s">
        <v>45</v>
      </c>
      <c r="I126" s="53">
        <f>ROUND(E126*G126,2)</f>
        <v>0</v>
      </c>
      <c r="J126" s="243">
        <f>SUM(G123:G125)</f>
        <v>0</v>
      </c>
      <c r="K126" s="255"/>
      <c r="L126" s="255"/>
      <c r="M126" s="255"/>
    </row>
    <row r="127" spans="2:14" ht="18" customHeight="1">
      <c r="B127" s="48" t="s">
        <v>46</v>
      </c>
      <c r="C127" s="50">
        <v>236.53</v>
      </c>
      <c r="D127" s="50" t="s">
        <v>47</v>
      </c>
      <c r="E127" s="49">
        <f>ROUND(C126*(C127/1000),2)</f>
        <v>0</v>
      </c>
      <c r="F127" s="50" t="s">
        <v>48</v>
      </c>
      <c r="G127" s="50">
        <f>G$23</f>
        <v>10</v>
      </c>
      <c r="H127" s="52" t="s">
        <v>49</v>
      </c>
      <c r="I127" s="53">
        <f>E127*G127</f>
        <v>0</v>
      </c>
      <c r="J127" s="255"/>
      <c r="K127" s="255"/>
      <c r="L127" s="255"/>
      <c r="M127" s="255"/>
    </row>
    <row r="128" spans="2:14" ht="18" customHeight="1" thickBot="1">
      <c r="B128" s="48" t="s">
        <v>50</v>
      </c>
      <c r="C128" s="50">
        <v>311.02999999999997</v>
      </c>
      <c r="D128" s="50" t="s">
        <v>51</v>
      </c>
      <c r="E128" s="49">
        <f>ROUND(C126*(C128/1000),2)</f>
        <v>0</v>
      </c>
      <c r="F128" s="50" t="s">
        <v>48</v>
      </c>
      <c r="G128" s="50">
        <f>G$24</f>
        <v>10</v>
      </c>
      <c r="H128" s="52" t="s">
        <v>49</v>
      </c>
      <c r="I128" s="53">
        <f>E128*G128</f>
        <v>0</v>
      </c>
      <c r="J128" s="255"/>
    </row>
    <row r="129" spans="2:14" ht="18" customHeight="1" thickBot="1">
      <c r="B129" s="23" t="s">
        <v>36</v>
      </c>
      <c r="C129" s="442" t="s">
        <v>14</v>
      </c>
      <c r="D129" s="442" t="s">
        <v>37</v>
      </c>
      <c r="E129" s="442" t="s">
        <v>71</v>
      </c>
      <c r="F129" s="442" t="s">
        <v>38</v>
      </c>
      <c r="G129" s="442" t="s">
        <v>72</v>
      </c>
      <c r="H129" s="442" t="s">
        <v>22</v>
      </c>
      <c r="I129" s="25" t="s">
        <v>40</v>
      </c>
      <c r="J129" s="54" t="s">
        <v>2</v>
      </c>
      <c r="K129" s="55" t="s">
        <v>3</v>
      </c>
      <c r="L129" s="55" t="s">
        <v>61</v>
      </c>
      <c r="M129" s="55" t="s">
        <v>62</v>
      </c>
      <c r="N129" s="70" t="s">
        <v>14</v>
      </c>
    </row>
    <row r="130" spans="2:14" ht="18" customHeight="1">
      <c r="B130" s="648" t="s">
        <v>92</v>
      </c>
      <c r="C130" s="649" t="s">
        <v>93</v>
      </c>
      <c r="D130" s="443">
        <f>J130-IF(L130=1,81,IF(L130=2,58.5,IF(L130=3,36,0)))</f>
        <v>0</v>
      </c>
      <c r="E130" s="443">
        <v>0</v>
      </c>
      <c r="F130" s="443">
        <f>K130-IF(M130=1,81,IF(M130=2,58.5,IF(M130=3,36,0)))</f>
        <v>0</v>
      </c>
      <c r="G130" s="440">
        <v>0</v>
      </c>
      <c r="H130" s="440">
        <v>2.0489999999999999</v>
      </c>
      <c r="I130" s="59">
        <f>ROUND((D130*E130+F130*G130)/1000*H130,3)</f>
        <v>0</v>
      </c>
      <c r="J130" s="60"/>
      <c r="K130" s="61"/>
      <c r="L130" s="61"/>
      <c r="M130" s="61"/>
      <c r="N130" s="76" t="s">
        <v>56</v>
      </c>
    </row>
    <row r="131" spans="2:14" ht="18" customHeight="1">
      <c r="B131" s="648"/>
      <c r="C131" s="650"/>
      <c r="D131" s="443">
        <f>J131-IF(L131=1,81,IF(L131=2,58.5,IF(L131=3,36,0)))</f>
        <v>0</v>
      </c>
      <c r="E131" s="443">
        <v>0</v>
      </c>
      <c r="F131" s="443">
        <f>K131-IF(M131=1,81,IF(M131=2,58.5,IF(M131=3,36,0)))</f>
        <v>0</v>
      </c>
      <c r="G131" s="440"/>
      <c r="H131" s="440">
        <f>H130</f>
        <v>2.0489999999999999</v>
      </c>
      <c r="I131" s="59">
        <f>ROUND((D131*E131+F131*G131)/1000*H131,3)</f>
        <v>0</v>
      </c>
      <c r="J131" s="60"/>
      <c r="K131" s="61"/>
      <c r="L131" s="61"/>
      <c r="M131" s="61"/>
      <c r="N131" s="76" t="s">
        <v>58</v>
      </c>
    </row>
    <row r="132" spans="2:14" ht="18" customHeight="1" thickBot="1">
      <c r="B132" s="648"/>
      <c r="C132" s="651"/>
      <c r="D132" s="443">
        <f>J132-IF(L132=1,81,IF(L132=2,58.5,IF(L132=3,36,0)))</f>
        <v>0</v>
      </c>
      <c r="E132" s="443"/>
      <c r="F132" s="443">
        <f>K132-IF(M132=1,81,IF(M132=2,58.5,IF(M132=3,36,0)))</f>
        <v>0</v>
      </c>
      <c r="G132" s="440"/>
      <c r="H132" s="440">
        <f>H131</f>
        <v>2.0489999999999999</v>
      </c>
      <c r="I132" s="59">
        <f>ROUND((D132*E132+F132*G132)/1000*H132,3)</f>
        <v>0</v>
      </c>
      <c r="J132" s="64"/>
      <c r="K132" s="65"/>
      <c r="L132" s="65"/>
      <c r="M132" s="65"/>
      <c r="N132" s="80" t="s">
        <v>89</v>
      </c>
    </row>
    <row r="133" spans="2:14" ht="18" customHeight="1">
      <c r="B133" s="48" t="s">
        <v>42</v>
      </c>
      <c r="C133" s="49">
        <f>SUMPRODUCT(D130:D132*E130:E132+F130:F132*G130:G132)/1000</f>
        <v>0</v>
      </c>
      <c r="D133" s="50" t="s">
        <v>43</v>
      </c>
      <c r="E133" s="49">
        <f>SUM(I130:I132)*1.1</f>
        <v>0</v>
      </c>
      <c r="F133" s="50" t="s">
        <v>44</v>
      </c>
      <c r="G133" s="51">
        <f>(C$218+C$219)/1000</f>
        <v>46.081499999999998</v>
      </c>
      <c r="H133" s="52" t="s">
        <v>45</v>
      </c>
      <c r="I133" s="53">
        <f>ROUND(E133*G133,2)</f>
        <v>0</v>
      </c>
      <c r="J133" s="243">
        <f>SUM(G130:G132)+SUM(E130:E132)</f>
        <v>0</v>
      </c>
    </row>
    <row r="134" spans="2:14" ht="18" customHeight="1">
      <c r="B134" s="48" t="s">
        <v>46</v>
      </c>
      <c r="C134" s="50">
        <v>298.42</v>
      </c>
      <c r="D134" s="50" t="s">
        <v>47</v>
      </c>
      <c r="E134" s="49">
        <f>ROUND(C133*(C134/1000),2)</f>
        <v>0</v>
      </c>
      <c r="F134" s="50" t="s">
        <v>48</v>
      </c>
      <c r="G134" s="50">
        <f>G$23</f>
        <v>10</v>
      </c>
      <c r="H134" s="52" t="s">
        <v>49</v>
      </c>
      <c r="I134" s="53">
        <f>ROUND(E134*G134,2)</f>
        <v>0</v>
      </c>
    </row>
    <row r="135" spans="2:14" ht="18" customHeight="1">
      <c r="B135" s="48" t="s">
        <v>50</v>
      </c>
      <c r="C135" s="50">
        <v>208.08</v>
      </c>
      <c r="D135" s="50" t="s">
        <v>51</v>
      </c>
      <c r="E135" s="49">
        <f>ROUND(C133*(C135/1000),2)</f>
        <v>0</v>
      </c>
      <c r="F135" s="50" t="s">
        <v>48</v>
      </c>
      <c r="G135" s="50">
        <f>G$24</f>
        <v>10</v>
      </c>
      <c r="H135" s="52" t="s">
        <v>49</v>
      </c>
      <c r="I135" s="53">
        <f>ROUND(E135*G135,2)</f>
        <v>0</v>
      </c>
    </row>
    <row r="136" spans="2:14" ht="18" customHeight="1">
      <c r="B136" s="23" t="s">
        <v>36</v>
      </c>
      <c r="C136" s="442" t="s">
        <v>14</v>
      </c>
      <c r="D136" s="652" t="s">
        <v>38</v>
      </c>
      <c r="E136" s="652"/>
      <c r="F136" s="652"/>
      <c r="G136" s="442" t="s">
        <v>72</v>
      </c>
      <c r="H136" s="442" t="s">
        <v>22</v>
      </c>
      <c r="I136" s="25" t="s">
        <v>40</v>
      </c>
    </row>
    <row r="137" spans="2:14" ht="18" customHeight="1">
      <c r="B137" s="648" t="s">
        <v>94</v>
      </c>
      <c r="C137" s="649" t="s">
        <v>95</v>
      </c>
      <c r="D137" s="654">
        <f>E116</f>
        <v>0</v>
      </c>
      <c r="E137" s="646"/>
      <c r="F137" s="646"/>
      <c r="G137" s="440"/>
      <c r="H137" s="440">
        <v>1.3360000000000001</v>
      </c>
      <c r="I137" s="59">
        <f>ROUND(D137*H137*G137/1000,3)</f>
        <v>0</v>
      </c>
    </row>
    <row r="138" spans="2:14" ht="18" customHeight="1">
      <c r="B138" s="648"/>
      <c r="C138" s="651"/>
      <c r="D138" s="654"/>
      <c r="E138" s="646"/>
      <c r="F138" s="646"/>
      <c r="G138" s="440"/>
      <c r="H138" s="440">
        <f>H137</f>
        <v>1.3360000000000001</v>
      </c>
      <c r="I138" s="59">
        <f>ROUND(D138*H138*G138/1000,3)</f>
        <v>0</v>
      </c>
    </row>
    <row r="139" spans="2:14" ht="18" customHeight="1">
      <c r="B139" s="48" t="s">
        <v>42</v>
      </c>
      <c r="C139" s="49">
        <f>SUMPRODUCT(D137:F138*G137:G138)/1000</f>
        <v>0</v>
      </c>
      <c r="D139" s="50" t="s">
        <v>43</v>
      </c>
      <c r="E139" s="49">
        <f>SUM(I137:I138)*1.1</f>
        <v>0</v>
      </c>
      <c r="F139" s="50" t="s">
        <v>44</v>
      </c>
      <c r="G139" s="51">
        <f>(C$218+C$219)/1000</f>
        <v>46.081499999999998</v>
      </c>
      <c r="H139" s="52" t="s">
        <v>45</v>
      </c>
      <c r="I139" s="53">
        <f>ROUND(E139*G139,2)</f>
        <v>0</v>
      </c>
    </row>
    <row r="140" spans="2:14" ht="18" customHeight="1">
      <c r="B140" s="48" t="s">
        <v>46</v>
      </c>
      <c r="C140" s="50">
        <v>143.24</v>
      </c>
      <c r="D140" s="50" t="s">
        <v>47</v>
      </c>
      <c r="E140" s="49">
        <f>ROUND(C139*(C140/1000),2)</f>
        <v>0</v>
      </c>
      <c r="F140" s="50" t="s">
        <v>48</v>
      </c>
      <c r="G140" s="50">
        <f>G$23</f>
        <v>10</v>
      </c>
      <c r="H140" s="52" t="s">
        <v>49</v>
      </c>
      <c r="I140" s="53">
        <f>E140*G140</f>
        <v>0</v>
      </c>
    </row>
    <row r="141" spans="2:14" ht="18" customHeight="1">
      <c r="B141" s="48" t="s">
        <v>50</v>
      </c>
      <c r="C141" s="50">
        <v>85.04</v>
      </c>
      <c r="D141" s="50" t="s">
        <v>51</v>
      </c>
      <c r="E141" s="49">
        <f>ROUND(C139*(C141/1000),2)</f>
        <v>0</v>
      </c>
      <c r="F141" s="50" t="s">
        <v>48</v>
      </c>
      <c r="G141" s="50">
        <f>G$24</f>
        <v>10</v>
      </c>
      <c r="H141" s="52" t="s">
        <v>49</v>
      </c>
      <c r="I141" s="53">
        <f>E141*G141</f>
        <v>0</v>
      </c>
    </row>
    <row r="142" spans="2:14" ht="18" customHeight="1">
      <c r="B142" s="23" t="s">
        <v>36</v>
      </c>
      <c r="C142" s="442" t="s">
        <v>14</v>
      </c>
      <c r="D142" s="442" t="s">
        <v>37</v>
      </c>
      <c r="E142" s="442" t="s">
        <v>38</v>
      </c>
      <c r="F142" s="442" t="s">
        <v>39</v>
      </c>
      <c r="G142" s="442" t="s">
        <v>8</v>
      </c>
      <c r="H142" s="442" t="s">
        <v>22</v>
      </c>
      <c r="I142" s="25" t="s">
        <v>40</v>
      </c>
    </row>
    <row r="143" spans="2:14" ht="18" customHeight="1">
      <c r="B143" s="648" t="s">
        <v>96</v>
      </c>
      <c r="C143" s="653" t="s">
        <v>83</v>
      </c>
      <c r="D143" s="443">
        <f t="shared" ref="D143:E145" si="20">D116-154</f>
        <v>-154</v>
      </c>
      <c r="E143" s="443">
        <f t="shared" si="20"/>
        <v>-154</v>
      </c>
      <c r="F143" s="443">
        <f>(D143+E143)*2/1000</f>
        <v>-0.61599999999999999</v>
      </c>
      <c r="G143" s="440">
        <f>G116</f>
        <v>0</v>
      </c>
      <c r="H143" s="440">
        <v>0.27100000000000002</v>
      </c>
      <c r="I143" s="59">
        <f>ROUND((F143*G143)*H143,3)</f>
        <v>0</v>
      </c>
    </row>
    <row r="144" spans="2:14" ht="18" customHeight="1">
      <c r="B144" s="648"/>
      <c r="C144" s="650"/>
      <c r="D144" s="443">
        <f t="shared" si="20"/>
        <v>-154</v>
      </c>
      <c r="E144" s="443">
        <f t="shared" si="20"/>
        <v>-154</v>
      </c>
      <c r="F144" s="443">
        <f>(D144+E144)*2/1000</f>
        <v>-0.61599999999999999</v>
      </c>
      <c r="G144" s="440">
        <f>G117</f>
        <v>0</v>
      </c>
      <c r="H144" s="440">
        <f>H143</f>
        <v>0.27100000000000002</v>
      </c>
      <c r="I144" s="59">
        <f>ROUND((F144*G144)*H144,3)</f>
        <v>0</v>
      </c>
    </row>
    <row r="145" spans="2:14" ht="18" customHeight="1">
      <c r="B145" s="648"/>
      <c r="C145" s="651"/>
      <c r="D145" s="443">
        <f t="shared" si="20"/>
        <v>-154</v>
      </c>
      <c r="E145" s="443">
        <f t="shared" si="20"/>
        <v>-154</v>
      </c>
      <c r="F145" s="443">
        <f>(D145+E145)*2/1000</f>
        <v>-0.61599999999999999</v>
      </c>
      <c r="G145" s="440">
        <f>G118</f>
        <v>0</v>
      </c>
      <c r="H145" s="440">
        <f>H144</f>
        <v>0.27100000000000002</v>
      </c>
      <c r="I145" s="59">
        <f>ROUND((F145*G145)*H145,3)</f>
        <v>0</v>
      </c>
    </row>
    <row r="146" spans="2:14" ht="18" customHeight="1">
      <c r="B146" s="48" t="s">
        <v>42</v>
      </c>
      <c r="C146" s="49">
        <f>SUMPRODUCT(F143:F145*G143:G145)</f>
        <v>0</v>
      </c>
      <c r="D146" s="50" t="s">
        <v>43</v>
      </c>
      <c r="E146" s="49">
        <f>SUM(I143:I145)*1.1</f>
        <v>0</v>
      </c>
      <c r="F146" s="50" t="s">
        <v>44</v>
      </c>
      <c r="G146" s="51">
        <f>(C$218+C$222)/1000</f>
        <v>39.781500000000001</v>
      </c>
      <c r="H146" s="52" t="s">
        <v>45</v>
      </c>
      <c r="I146" s="53">
        <f>ROUND(E146*G146,2)</f>
        <v>0</v>
      </c>
    </row>
    <row r="147" spans="2:14" ht="18" customHeight="1">
      <c r="B147" s="48" t="s">
        <v>46</v>
      </c>
      <c r="C147" s="50">
        <v>186.72</v>
      </c>
      <c r="D147" s="50" t="s">
        <v>47</v>
      </c>
      <c r="E147" s="49">
        <f>ROUND(C146*(C147/1000),2)</f>
        <v>0</v>
      </c>
      <c r="F147" s="50" t="s">
        <v>48</v>
      </c>
      <c r="G147" s="50">
        <f>G$23</f>
        <v>10</v>
      </c>
      <c r="H147" s="52" t="s">
        <v>49</v>
      </c>
      <c r="I147" s="53">
        <f>E147*G147</f>
        <v>0</v>
      </c>
      <c r="K147" s="42"/>
      <c r="L147" s="42"/>
      <c r="M147" s="42"/>
    </row>
    <row r="148" spans="2:14" ht="18" customHeight="1">
      <c r="B148" s="48" t="s">
        <v>50</v>
      </c>
      <c r="C148" s="50">
        <v>0</v>
      </c>
      <c r="D148" s="50" t="s">
        <v>51</v>
      </c>
      <c r="E148" s="49">
        <f>ROUND(C146*(C148/1000),2)</f>
        <v>0</v>
      </c>
      <c r="F148" s="50" t="s">
        <v>48</v>
      </c>
      <c r="G148" s="50">
        <f>G$24</f>
        <v>10</v>
      </c>
      <c r="H148" s="52" t="s">
        <v>49</v>
      </c>
      <c r="I148" s="53">
        <f>E148*G148</f>
        <v>0</v>
      </c>
      <c r="K148" s="42"/>
      <c r="L148" s="42"/>
      <c r="M148" s="42"/>
    </row>
    <row r="149" spans="2:14" ht="18" customHeight="1">
      <c r="B149" s="23" t="s">
        <v>36</v>
      </c>
      <c r="C149" s="442" t="s">
        <v>14</v>
      </c>
      <c r="D149" s="442" t="s">
        <v>37</v>
      </c>
      <c r="E149" s="442" t="s">
        <v>38</v>
      </c>
      <c r="F149" s="442" t="s">
        <v>39</v>
      </c>
      <c r="G149" s="442" t="s">
        <v>8</v>
      </c>
      <c r="H149" s="442" t="s">
        <v>22</v>
      </c>
      <c r="I149" s="25" t="s">
        <v>40</v>
      </c>
      <c r="K149" s="42"/>
      <c r="L149" s="42"/>
      <c r="M149" s="42"/>
    </row>
    <row r="150" spans="2:14" ht="18" customHeight="1">
      <c r="B150" s="648" t="s">
        <v>97</v>
      </c>
      <c r="C150" s="653" t="s">
        <v>83</v>
      </c>
      <c r="D150" s="443">
        <f t="shared" ref="D150:E152" si="21">D123-160</f>
        <v>-160</v>
      </c>
      <c r="E150" s="443">
        <f t="shared" si="21"/>
        <v>-160</v>
      </c>
      <c r="F150" s="443">
        <f>(D150+E150)*2/1000</f>
        <v>-0.64</v>
      </c>
      <c r="G150" s="440">
        <f>G123</f>
        <v>0</v>
      </c>
      <c r="H150" s="440">
        <f>H145</f>
        <v>0.27100000000000002</v>
      </c>
      <c r="I150" s="59">
        <f>ROUND((F150*G150)*H150,3)</f>
        <v>0</v>
      </c>
      <c r="K150" s="42"/>
      <c r="L150" s="42"/>
      <c r="M150" s="42"/>
    </row>
    <row r="151" spans="2:14" ht="18" customHeight="1">
      <c r="B151" s="648"/>
      <c r="C151" s="650"/>
      <c r="D151" s="443">
        <f t="shared" si="21"/>
        <v>-160</v>
      </c>
      <c r="E151" s="443">
        <f t="shared" si="21"/>
        <v>-160</v>
      </c>
      <c r="F151" s="443">
        <f>(D151+E151)*2/1000</f>
        <v>-0.64</v>
      </c>
      <c r="G151" s="440">
        <f>G124</f>
        <v>0</v>
      </c>
      <c r="H151" s="440">
        <f>H150</f>
        <v>0.27100000000000002</v>
      </c>
      <c r="I151" s="59">
        <f>ROUND((F151*G151)*H151,3)</f>
        <v>0</v>
      </c>
      <c r="K151" s="42"/>
      <c r="L151" s="42"/>
      <c r="M151" s="42"/>
    </row>
    <row r="152" spans="2:14" ht="18" customHeight="1">
      <c r="B152" s="648"/>
      <c r="C152" s="651"/>
      <c r="D152" s="443">
        <f t="shared" si="21"/>
        <v>-160</v>
      </c>
      <c r="E152" s="443">
        <f t="shared" si="21"/>
        <v>-160</v>
      </c>
      <c r="F152" s="443">
        <f>(D152+E152)*2/1000</f>
        <v>-0.64</v>
      </c>
      <c r="G152" s="440">
        <f>G125</f>
        <v>0</v>
      </c>
      <c r="H152" s="440">
        <f>H151</f>
        <v>0.27100000000000002</v>
      </c>
      <c r="I152" s="59">
        <f>ROUND((F152*G152)*H152,3)</f>
        <v>0</v>
      </c>
      <c r="K152" s="42"/>
      <c r="L152" s="42"/>
      <c r="M152" s="42"/>
    </row>
    <row r="153" spans="2:14" ht="18" customHeight="1">
      <c r="B153" s="48" t="s">
        <v>42</v>
      </c>
      <c r="C153" s="49">
        <f>SUMPRODUCT(F150:F152*G150:G152)</f>
        <v>0</v>
      </c>
      <c r="D153" s="50" t="s">
        <v>43</v>
      </c>
      <c r="E153" s="49">
        <f>SUM(I150:I152)*1.1</f>
        <v>0</v>
      </c>
      <c r="F153" s="50" t="s">
        <v>44</v>
      </c>
      <c r="G153" s="51">
        <f>(C$218+C$222)/1000</f>
        <v>39.781500000000001</v>
      </c>
      <c r="H153" s="52" t="s">
        <v>45</v>
      </c>
      <c r="I153" s="53">
        <f>ROUND(E153*G153,2)</f>
        <v>0</v>
      </c>
      <c r="K153" s="42"/>
      <c r="L153" s="42"/>
      <c r="M153" s="42"/>
    </row>
    <row r="154" spans="2:14" ht="18" customHeight="1">
      <c r="B154" s="48" t="s">
        <v>46</v>
      </c>
      <c r="C154" s="50">
        <v>186.72</v>
      </c>
      <c r="D154" s="50" t="s">
        <v>47</v>
      </c>
      <c r="E154" s="49">
        <f>ROUND(C153*(C154/1000),2)</f>
        <v>0</v>
      </c>
      <c r="F154" s="50" t="s">
        <v>48</v>
      </c>
      <c r="G154" s="50">
        <f>G$23</f>
        <v>10</v>
      </c>
      <c r="H154" s="52" t="s">
        <v>49</v>
      </c>
      <c r="I154" s="53">
        <f>E154*G154</f>
        <v>0</v>
      </c>
    </row>
    <row r="155" spans="2:14" ht="18" customHeight="1" thickBot="1">
      <c r="B155" s="48" t="s">
        <v>50</v>
      </c>
      <c r="C155" s="50">
        <v>0</v>
      </c>
      <c r="D155" s="50" t="s">
        <v>51</v>
      </c>
      <c r="E155" s="49">
        <f>ROUND(C153*(C155/1000),2)</f>
        <v>0</v>
      </c>
      <c r="F155" s="50" t="s">
        <v>48</v>
      </c>
      <c r="G155" s="50">
        <f>G$24</f>
        <v>10</v>
      </c>
      <c r="H155" s="52" t="s">
        <v>49</v>
      </c>
      <c r="I155" s="53">
        <f>E155*G155</f>
        <v>0</v>
      </c>
    </row>
    <row r="156" spans="2:14" ht="18" customHeight="1" thickBot="1">
      <c r="B156" s="23" t="s">
        <v>36</v>
      </c>
      <c r="C156" s="442" t="s">
        <v>14</v>
      </c>
      <c r="D156" s="442" t="s">
        <v>37</v>
      </c>
      <c r="E156" s="442" t="s">
        <v>38</v>
      </c>
      <c r="F156" s="442" t="s">
        <v>39</v>
      </c>
      <c r="G156" s="442" t="s">
        <v>8</v>
      </c>
      <c r="H156" s="442" t="s">
        <v>22</v>
      </c>
      <c r="I156" s="25" t="s">
        <v>40</v>
      </c>
      <c r="J156" s="54" t="s">
        <v>2</v>
      </c>
      <c r="K156" s="55" t="s">
        <v>3</v>
      </c>
      <c r="L156" s="55" t="s">
        <v>61</v>
      </c>
      <c r="M156" s="55" t="s">
        <v>62</v>
      </c>
      <c r="N156" s="70" t="s">
        <v>14</v>
      </c>
    </row>
    <row r="157" spans="2:14" ht="18" customHeight="1">
      <c r="B157" s="648" t="s">
        <v>98</v>
      </c>
      <c r="C157" s="649" t="s">
        <v>99</v>
      </c>
      <c r="D157" s="443">
        <f t="shared" ref="D157:E162" si="22">J157-IF(L157=1,90,IF(L157=2,67.5,IF(L157=3,45,0)))</f>
        <v>0</v>
      </c>
      <c r="E157" s="443">
        <f t="shared" si="22"/>
        <v>0</v>
      </c>
      <c r="F157" s="443">
        <f t="shared" ref="F157:F162" si="23">2*(D157+E157)/1000</f>
        <v>0</v>
      </c>
      <c r="G157" s="440">
        <v>0</v>
      </c>
      <c r="H157" s="440">
        <f>H68</f>
        <v>0.224</v>
      </c>
      <c r="I157" s="59">
        <f t="shared" ref="I157:I162" si="24">ROUND((F157*G157)*H157,3)</f>
        <v>0</v>
      </c>
      <c r="J157" s="60"/>
      <c r="K157" s="61"/>
      <c r="L157" s="61"/>
      <c r="M157" s="61"/>
      <c r="N157" s="76" t="s">
        <v>56</v>
      </c>
    </row>
    <row r="158" spans="2:14" ht="18" customHeight="1">
      <c r="B158" s="648"/>
      <c r="C158" s="650"/>
      <c r="D158" s="443">
        <f t="shared" si="22"/>
        <v>0</v>
      </c>
      <c r="E158" s="443">
        <f t="shared" si="22"/>
        <v>0</v>
      </c>
      <c r="F158" s="443">
        <f t="shared" si="23"/>
        <v>0</v>
      </c>
      <c r="G158" s="440"/>
      <c r="H158" s="440">
        <f>H157</f>
        <v>0.224</v>
      </c>
      <c r="I158" s="59">
        <f t="shared" si="24"/>
        <v>0</v>
      </c>
      <c r="J158" s="60"/>
      <c r="K158" s="61"/>
      <c r="L158" s="61"/>
      <c r="M158" s="61"/>
      <c r="N158" s="76" t="s">
        <v>58</v>
      </c>
    </row>
    <row r="159" spans="2:14" ht="18" customHeight="1">
      <c r="B159" s="648"/>
      <c r="C159" s="650"/>
      <c r="D159" s="443">
        <f t="shared" si="22"/>
        <v>0</v>
      </c>
      <c r="E159" s="443">
        <f t="shared" si="22"/>
        <v>0</v>
      </c>
      <c r="F159" s="443">
        <f t="shared" si="23"/>
        <v>0</v>
      </c>
      <c r="G159" s="440"/>
      <c r="H159" s="440">
        <f>H158</f>
        <v>0.224</v>
      </c>
      <c r="I159" s="59">
        <f t="shared" si="24"/>
        <v>0</v>
      </c>
      <c r="J159" s="60"/>
      <c r="K159" s="61"/>
      <c r="L159" s="61"/>
      <c r="M159" s="61"/>
      <c r="N159" s="76" t="s">
        <v>60</v>
      </c>
    </row>
    <row r="160" spans="2:14" ht="18" customHeight="1">
      <c r="B160" s="648"/>
      <c r="C160" s="650"/>
      <c r="D160" s="443">
        <f t="shared" si="22"/>
        <v>0</v>
      </c>
      <c r="E160" s="443">
        <f t="shared" si="22"/>
        <v>0</v>
      </c>
      <c r="F160" s="443">
        <f t="shared" si="23"/>
        <v>0</v>
      </c>
      <c r="G160" s="440">
        <v>0</v>
      </c>
      <c r="H160" s="77">
        <f>H159</f>
        <v>0.224</v>
      </c>
      <c r="I160" s="59">
        <f t="shared" si="24"/>
        <v>0</v>
      </c>
      <c r="J160" s="60"/>
      <c r="K160" s="61"/>
      <c r="L160" s="61"/>
      <c r="M160" s="61"/>
      <c r="N160" s="76"/>
    </row>
    <row r="161" spans="2:16" ht="18" customHeight="1">
      <c r="B161" s="648"/>
      <c r="C161" s="650"/>
      <c r="D161" s="443">
        <f t="shared" si="22"/>
        <v>0</v>
      </c>
      <c r="E161" s="443">
        <f t="shared" si="22"/>
        <v>0</v>
      </c>
      <c r="F161" s="443">
        <f t="shared" si="23"/>
        <v>0</v>
      </c>
      <c r="G161" s="440"/>
      <c r="H161" s="440">
        <f>H160</f>
        <v>0.224</v>
      </c>
      <c r="I161" s="59">
        <f t="shared" si="24"/>
        <v>0</v>
      </c>
      <c r="J161" s="60"/>
      <c r="K161" s="61"/>
      <c r="L161" s="61"/>
      <c r="M161" s="61"/>
      <c r="N161" s="76"/>
    </row>
    <row r="162" spans="2:16" ht="18" customHeight="1" thickBot="1">
      <c r="B162" s="648"/>
      <c r="C162" s="651"/>
      <c r="D162" s="443">
        <f t="shared" si="22"/>
        <v>0</v>
      </c>
      <c r="E162" s="443">
        <f t="shared" si="22"/>
        <v>0</v>
      </c>
      <c r="F162" s="443">
        <f t="shared" si="23"/>
        <v>0</v>
      </c>
      <c r="G162" s="440"/>
      <c r="H162" s="440">
        <f>H160</f>
        <v>0.224</v>
      </c>
      <c r="I162" s="59">
        <f t="shared" si="24"/>
        <v>0</v>
      </c>
      <c r="J162" s="64"/>
      <c r="K162" s="65"/>
      <c r="L162" s="65"/>
      <c r="M162" s="65"/>
      <c r="N162" s="80"/>
    </row>
    <row r="163" spans="2:16" ht="18" customHeight="1">
      <c r="B163" s="48" t="s">
        <v>42</v>
      </c>
      <c r="C163" s="49">
        <f>SUMPRODUCT(F157:F162*G157:G162)</f>
        <v>0</v>
      </c>
      <c r="D163" s="50" t="s">
        <v>43</v>
      </c>
      <c r="E163" s="49">
        <f>SUM(I157:I162)*1.1</f>
        <v>0</v>
      </c>
      <c r="F163" s="50" t="s">
        <v>44</v>
      </c>
      <c r="G163" s="51">
        <f>(C$218+C$222)/1000</f>
        <v>39.781500000000001</v>
      </c>
      <c r="H163" s="52" t="s">
        <v>45</v>
      </c>
      <c r="I163" s="53">
        <f>ROUND(E163*G163,2)</f>
        <v>0</v>
      </c>
      <c r="J163" s="102"/>
      <c r="K163" s="102"/>
      <c r="L163" s="102"/>
      <c r="M163" s="102"/>
      <c r="O163" s="102"/>
      <c r="P163" s="102"/>
    </row>
    <row r="164" spans="2:16" ht="18" customHeight="1">
      <c r="B164" s="48" t="s">
        <v>46</v>
      </c>
      <c r="C164" s="50">
        <v>181.72</v>
      </c>
      <c r="D164" s="50" t="s">
        <v>47</v>
      </c>
      <c r="E164" s="49">
        <f>ROUND(C163*(C164/1000),2)</f>
        <v>0</v>
      </c>
      <c r="F164" s="50" t="s">
        <v>48</v>
      </c>
      <c r="G164" s="50">
        <f>G$23</f>
        <v>10</v>
      </c>
      <c r="H164" s="52" t="s">
        <v>49</v>
      </c>
      <c r="I164" s="53">
        <f>E164*G164</f>
        <v>0</v>
      </c>
      <c r="J164" s="102"/>
      <c r="K164" s="102"/>
      <c r="L164" s="102"/>
      <c r="M164" s="102"/>
      <c r="O164" s="102"/>
      <c r="P164" s="102"/>
    </row>
    <row r="165" spans="2:16" ht="18" customHeight="1">
      <c r="B165" s="48" t="s">
        <v>50</v>
      </c>
      <c r="C165" s="50"/>
      <c r="D165" s="50" t="s">
        <v>51</v>
      </c>
      <c r="E165" s="49">
        <f>ROUND(C163*(C165/1000),2)</f>
        <v>0</v>
      </c>
      <c r="F165" s="50" t="s">
        <v>48</v>
      </c>
      <c r="G165" s="50">
        <f>G$24</f>
        <v>10</v>
      </c>
      <c r="H165" s="52" t="s">
        <v>49</v>
      </c>
      <c r="I165" s="53">
        <f>E165*G165</f>
        <v>0</v>
      </c>
      <c r="K165" s="43">
        <f>J165*E165</f>
        <v>0</v>
      </c>
    </row>
    <row r="166" spans="2:16" ht="18" customHeight="1">
      <c r="B166" s="23" t="s">
        <v>36</v>
      </c>
      <c r="C166" s="442" t="s">
        <v>14</v>
      </c>
      <c r="D166" s="442" t="s">
        <v>37</v>
      </c>
      <c r="E166" s="442" t="s">
        <v>71</v>
      </c>
      <c r="F166" s="442" t="s">
        <v>38</v>
      </c>
      <c r="G166" s="442" t="s">
        <v>72</v>
      </c>
      <c r="H166" s="442" t="s">
        <v>22</v>
      </c>
      <c r="I166" s="25" t="s">
        <v>40</v>
      </c>
    </row>
    <row r="167" spans="2:16" ht="18" customHeight="1">
      <c r="B167" s="648" t="s">
        <v>100</v>
      </c>
      <c r="C167" s="649" t="s">
        <v>101</v>
      </c>
      <c r="D167" s="440"/>
      <c r="E167" s="440"/>
      <c r="F167" s="440"/>
      <c r="G167" s="440"/>
      <c r="H167" s="28">
        <v>6.3E-2</v>
      </c>
      <c r="I167" s="59">
        <f>ROUND((D167*E167+F167*G167)/1000*H167,3)</f>
        <v>0</v>
      </c>
    </row>
    <row r="168" spans="2:16" ht="18" customHeight="1">
      <c r="B168" s="648"/>
      <c r="C168" s="650"/>
      <c r="D168" s="440"/>
      <c r="E168" s="440"/>
      <c r="F168" s="440"/>
      <c r="G168" s="440"/>
      <c r="H168" s="28">
        <f>H167</f>
        <v>6.3E-2</v>
      </c>
      <c r="I168" s="59">
        <f>ROUND((D168*E168+F168*G168)/1000*H168,3)</f>
        <v>0</v>
      </c>
    </row>
    <row r="169" spans="2:16" ht="18" customHeight="1">
      <c r="B169" s="648"/>
      <c r="C169" s="651"/>
      <c r="D169" s="440"/>
      <c r="E169" s="440"/>
      <c r="F169" s="440"/>
      <c r="G169" s="440"/>
      <c r="H169" s="28">
        <f>H168</f>
        <v>6.3E-2</v>
      </c>
      <c r="I169" s="59">
        <f>ROUND((D169*E169+F169*G169)/1000*H169,3)</f>
        <v>0</v>
      </c>
    </row>
    <row r="170" spans="2:16" ht="18" customHeight="1">
      <c r="B170" s="48" t="s">
        <v>42</v>
      </c>
      <c r="C170" s="49">
        <f>SUMPRODUCT(D167:D169*E167:E169+F167:F169*G167:G169)/1000</f>
        <v>0</v>
      </c>
      <c r="D170" s="50" t="s">
        <v>43</v>
      </c>
      <c r="E170" s="49">
        <f>SUM(I167:I169)*1.1</f>
        <v>0</v>
      </c>
      <c r="F170" s="50" t="s">
        <v>44</v>
      </c>
      <c r="G170" s="51">
        <f>(C$218+$C$222)/1000</f>
        <v>39.781500000000001</v>
      </c>
      <c r="H170" s="52" t="s">
        <v>45</v>
      </c>
      <c r="I170" s="53">
        <f>ROUND(E170*G170,2)</f>
        <v>0</v>
      </c>
    </row>
    <row r="171" spans="2:16" ht="18" customHeight="1">
      <c r="B171" s="48" t="s">
        <v>46</v>
      </c>
      <c r="C171" s="50">
        <v>105.66</v>
      </c>
      <c r="D171" s="50" t="s">
        <v>47</v>
      </c>
      <c r="E171" s="49">
        <f>ROUND(C170*(C171/1000),2)</f>
        <v>0</v>
      </c>
      <c r="F171" s="50" t="s">
        <v>48</v>
      </c>
      <c r="G171" s="50">
        <f>G$23</f>
        <v>10</v>
      </c>
      <c r="H171" s="52" t="s">
        <v>49</v>
      </c>
      <c r="I171" s="53">
        <f>E171*G171</f>
        <v>0</v>
      </c>
    </row>
    <row r="172" spans="2:16" ht="18" customHeight="1">
      <c r="B172" s="48" t="s">
        <v>50</v>
      </c>
      <c r="C172" s="50">
        <v>125.66</v>
      </c>
      <c r="D172" s="50" t="s">
        <v>51</v>
      </c>
      <c r="E172" s="49">
        <f>ROUND(C170*(C172/1000),2)</f>
        <v>0</v>
      </c>
      <c r="F172" s="50" t="s">
        <v>48</v>
      </c>
      <c r="G172" s="50">
        <f>G$24</f>
        <v>10</v>
      </c>
      <c r="H172" s="52" t="s">
        <v>49</v>
      </c>
      <c r="I172" s="53">
        <f>E172*G172</f>
        <v>0</v>
      </c>
    </row>
    <row r="173" spans="2:16" ht="18" customHeight="1">
      <c r="B173" s="23" t="s">
        <v>36</v>
      </c>
      <c r="C173" s="442" t="s">
        <v>14</v>
      </c>
      <c r="D173" s="442" t="s">
        <v>37</v>
      </c>
      <c r="E173" s="442" t="s">
        <v>71</v>
      </c>
      <c r="F173" s="442" t="s">
        <v>38</v>
      </c>
      <c r="G173" s="442" t="s">
        <v>72</v>
      </c>
      <c r="H173" s="442" t="s">
        <v>22</v>
      </c>
      <c r="I173" s="25" t="s">
        <v>40</v>
      </c>
    </row>
    <row r="174" spans="2:16" ht="18" customHeight="1">
      <c r="B174" s="648" t="s">
        <v>102</v>
      </c>
      <c r="C174" s="649" t="s">
        <v>103</v>
      </c>
      <c r="D174" s="440"/>
      <c r="E174" s="440"/>
      <c r="F174" s="440"/>
      <c r="G174" s="440"/>
      <c r="H174" s="28">
        <v>1.0980000000000001</v>
      </c>
      <c r="I174" s="59">
        <f>ROUND((D174*E174+F174*G174)/1000*H174,3)</f>
        <v>0</v>
      </c>
    </row>
    <row r="175" spans="2:16" ht="18" customHeight="1">
      <c r="B175" s="648"/>
      <c r="C175" s="650"/>
      <c r="D175" s="440"/>
      <c r="E175" s="440"/>
      <c r="F175" s="440"/>
      <c r="G175" s="440"/>
      <c r="H175" s="28">
        <f>H174</f>
        <v>1.0980000000000001</v>
      </c>
      <c r="I175" s="59">
        <f>ROUND((D175*E175+F175*G175)/1000*H175,3)</f>
        <v>0</v>
      </c>
    </row>
    <row r="176" spans="2:16" ht="18" customHeight="1">
      <c r="B176" s="648"/>
      <c r="C176" s="651"/>
      <c r="D176" s="440"/>
      <c r="E176" s="440"/>
      <c r="F176" s="440"/>
      <c r="G176" s="440"/>
      <c r="H176" s="28">
        <f>H175</f>
        <v>1.0980000000000001</v>
      </c>
      <c r="I176" s="59">
        <f>ROUND((D176*E176+F176*G176)/1000*H176,3)</f>
        <v>0</v>
      </c>
    </row>
    <row r="177" spans="2:9" ht="18" customHeight="1">
      <c r="B177" s="48" t="s">
        <v>42</v>
      </c>
      <c r="C177" s="49">
        <f>SUMPRODUCT(D174:D176*E174:E176+F174:F176*G174:G176)/1000</f>
        <v>0</v>
      </c>
      <c r="D177" s="50" t="s">
        <v>43</v>
      </c>
      <c r="E177" s="49">
        <f>SUM(I174:I176)*1.1</f>
        <v>0</v>
      </c>
      <c r="F177" s="50" t="s">
        <v>44</v>
      </c>
      <c r="G177" s="51">
        <f>(C$218+C$219)/1000</f>
        <v>46.081499999999998</v>
      </c>
      <c r="H177" s="52" t="s">
        <v>45</v>
      </c>
      <c r="I177" s="53">
        <f>ROUND(E177*G177,2)</f>
        <v>0</v>
      </c>
    </row>
    <row r="178" spans="2:9" ht="18" customHeight="1">
      <c r="B178" s="48" t="s">
        <v>46</v>
      </c>
      <c r="C178" s="50">
        <v>105.66</v>
      </c>
      <c r="D178" s="50" t="s">
        <v>47</v>
      </c>
      <c r="E178" s="49">
        <f>ROUND(C177*(C178/1000),2)</f>
        <v>0</v>
      </c>
      <c r="F178" s="50" t="s">
        <v>48</v>
      </c>
      <c r="G178" s="50">
        <f>G$23</f>
        <v>10</v>
      </c>
      <c r="H178" s="52" t="s">
        <v>49</v>
      </c>
      <c r="I178" s="53">
        <f>E178*G178</f>
        <v>0</v>
      </c>
    </row>
    <row r="179" spans="2:9" ht="18" customHeight="1">
      <c r="B179" s="48" t="s">
        <v>50</v>
      </c>
      <c r="C179" s="50">
        <v>125.66</v>
      </c>
      <c r="D179" s="50" t="s">
        <v>51</v>
      </c>
      <c r="E179" s="49">
        <f>ROUND(C177*(C179/1000),2)</f>
        <v>0</v>
      </c>
      <c r="F179" s="50" t="s">
        <v>48</v>
      </c>
      <c r="G179" s="50">
        <f>G$24</f>
        <v>10</v>
      </c>
      <c r="H179" s="52" t="s">
        <v>49</v>
      </c>
      <c r="I179" s="53">
        <f>E179*G179</f>
        <v>0</v>
      </c>
    </row>
    <row r="180" spans="2:9" ht="18" customHeight="1">
      <c r="B180" s="23" t="s">
        <v>36</v>
      </c>
      <c r="C180" s="442" t="s">
        <v>14</v>
      </c>
      <c r="D180" s="442" t="s">
        <v>37</v>
      </c>
      <c r="E180" s="442" t="s">
        <v>71</v>
      </c>
      <c r="F180" s="442" t="s">
        <v>38</v>
      </c>
      <c r="G180" s="442" t="s">
        <v>72</v>
      </c>
      <c r="H180" s="442" t="s">
        <v>22</v>
      </c>
      <c r="I180" s="25" t="s">
        <v>40</v>
      </c>
    </row>
    <row r="181" spans="2:9" ht="18" customHeight="1">
      <c r="B181" s="648" t="s">
        <v>104</v>
      </c>
      <c r="C181" s="649" t="s">
        <v>105</v>
      </c>
      <c r="D181" s="440"/>
      <c r="E181" s="440"/>
      <c r="F181" s="440">
        <f>E14</f>
        <v>520</v>
      </c>
      <c r="G181" s="440"/>
      <c r="H181" s="28">
        <v>1.5629999999999999</v>
      </c>
      <c r="I181" s="59">
        <f>ROUND((D181*E181+F181*G181)/1000*H181,3)</f>
        <v>0</v>
      </c>
    </row>
    <row r="182" spans="2:9" ht="18" customHeight="1">
      <c r="B182" s="648"/>
      <c r="C182" s="650"/>
      <c r="D182" s="440"/>
      <c r="E182" s="440"/>
      <c r="F182" s="440"/>
      <c r="G182" s="440"/>
      <c r="H182" s="28">
        <f>H181</f>
        <v>1.5629999999999999</v>
      </c>
      <c r="I182" s="59">
        <f>ROUND((D182*E182+F182*G182)/1000*H182,3)</f>
        <v>0</v>
      </c>
    </row>
    <row r="183" spans="2:9" ht="18" customHeight="1">
      <c r="B183" s="648"/>
      <c r="C183" s="651"/>
      <c r="D183" s="440"/>
      <c r="E183" s="440"/>
      <c r="F183" s="440"/>
      <c r="G183" s="440"/>
      <c r="H183" s="28">
        <f>H182</f>
        <v>1.5629999999999999</v>
      </c>
      <c r="I183" s="59">
        <f>ROUND((D183*E183+F183*G183)/1000*H183,3)</f>
        <v>0</v>
      </c>
    </row>
    <row r="184" spans="2:9" ht="18" customHeight="1">
      <c r="B184" s="48" t="s">
        <v>42</v>
      </c>
      <c r="C184" s="49">
        <f>SUMPRODUCT(D181:D183*E181:E183+F181:F183*G181:G183)/1000</f>
        <v>0</v>
      </c>
      <c r="D184" s="50" t="s">
        <v>43</v>
      </c>
      <c r="E184" s="49">
        <f>SUM(I181:I183)*1.1</f>
        <v>0</v>
      </c>
      <c r="F184" s="50" t="s">
        <v>44</v>
      </c>
      <c r="G184" s="51">
        <f>(C$218+C$219)/1000</f>
        <v>46.081499999999998</v>
      </c>
      <c r="H184" s="52" t="s">
        <v>45</v>
      </c>
      <c r="I184" s="53">
        <f>ROUND(E184*G184,2)</f>
        <v>0</v>
      </c>
    </row>
    <row r="185" spans="2:9" ht="18" customHeight="1">
      <c r="B185" s="48" t="s">
        <v>46</v>
      </c>
      <c r="C185" s="50">
        <v>105.66</v>
      </c>
      <c r="D185" s="50" t="s">
        <v>47</v>
      </c>
      <c r="E185" s="49">
        <f>ROUND(C184*(C185/1000),2)</f>
        <v>0</v>
      </c>
      <c r="F185" s="50" t="s">
        <v>48</v>
      </c>
      <c r="G185" s="50">
        <f>G$23</f>
        <v>10</v>
      </c>
      <c r="H185" s="52" t="s">
        <v>49</v>
      </c>
      <c r="I185" s="53">
        <f>E185*G185</f>
        <v>0</v>
      </c>
    </row>
    <row r="186" spans="2:9" ht="18" customHeight="1">
      <c r="B186" s="48" t="s">
        <v>50</v>
      </c>
      <c r="C186" s="50">
        <v>125.66</v>
      </c>
      <c r="D186" s="50" t="s">
        <v>51</v>
      </c>
      <c r="E186" s="49">
        <f>ROUND(C184*(C186/1000),2)</f>
        <v>0</v>
      </c>
      <c r="F186" s="50" t="s">
        <v>48</v>
      </c>
      <c r="G186" s="50">
        <f>G$24</f>
        <v>10</v>
      </c>
      <c r="H186" s="52" t="s">
        <v>49</v>
      </c>
      <c r="I186" s="53">
        <f>E186*G186</f>
        <v>0</v>
      </c>
    </row>
    <row r="187" spans="2:9" ht="18" customHeight="1">
      <c r="B187" s="23" t="s">
        <v>36</v>
      </c>
      <c r="C187" s="442" t="s">
        <v>14</v>
      </c>
      <c r="D187" s="442" t="s">
        <v>37</v>
      </c>
      <c r="E187" s="442" t="s">
        <v>71</v>
      </c>
      <c r="F187" s="442" t="s">
        <v>38</v>
      </c>
      <c r="G187" s="442" t="s">
        <v>72</v>
      </c>
      <c r="H187" s="442" t="s">
        <v>22</v>
      </c>
      <c r="I187" s="25" t="s">
        <v>40</v>
      </c>
    </row>
    <row r="188" spans="2:9" ht="18" customHeight="1">
      <c r="B188" s="648" t="s">
        <v>106</v>
      </c>
      <c r="C188" s="649" t="s">
        <v>107</v>
      </c>
      <c r="D188" s="440"/>
      <c r="E188" s="440"/>
      <c r="F188" s="440"/>
      <c r="G188" s="440"/>
      <c r="H188" s="28">
        <v>1.732</v>
      </c>
      <c r="I188" s="59">
        <f>ROUND((D188*E188+F188*G188)/1000*H188,3)</f>
        <v>0</v>
      </c>
    </row>
    <row r="189" spans="2:9" ht="18" customHeight="1">
      <c r="B189" s="648"/>
      <c r="C189" s="650"/>
      <c r="D189" s="440"/>
      <c r="E189" s="440"/>
      <c r="F189" s="440"/>
      <c r="G189" s="440"/>
      <c r="H189" s="28">
        <f>H188</f>
        <v>1.732</v>
      </c>
      <c r="I189" s="59">
        <f>ROUND((D189*E189+F189*G189)/1000*H189,3)</f>
        <v>0</v>
      </c>
    </row>
    <row r="190" spans="2:9" ht="18" customHeight="1">
      <c r="B190" s="648"/>
      <c r="C190" s="651"/>
      <c r="D190" s="440"/>
      <c r="E190" s="440"/>
      <c r="F190" s="440">
        <f>E6</f>
        <v>520</v>
      </c>
      <c r="G190" s="440"/>
      <c r="H190" s="28">
        <f>H189</f>
        <v>1.732</v>
      </c>
      <c r="I190" s="59">
        <f>ROUND((D190*E190+F190*G190)/1000*H190,3)</f>
        <v>0</v>
      </c>
    </row>
    <row r="191" spans="2:9" ht="18" customHeight="1">
      <c r="B191" s="48" t="s">
        <v>42</v>
      </c>
      <c r="C191" s="49">
        <f>SUMPRODUCT(D188:D190*E188:E190+F188:F190*G188:G190)/1000</f>
        <v>0</v>
      </c>
      <c r="D191" s="50" t="s">
        <v>43</v>
      </c>
      <c r="E191" s="49">
        <f>SUM(I188:I190)*1.1</f>
        <v>0</v>
      </c>
      <c r="F191" s="50" t="s">
        <v>44</v>
      </c>
      <c r="G191" s="51">
        <f>(C$218+C$219)/1000</f>
        <v>46.081499999999998</v>
      </c>
      <c r="H191" s="52" t="s">
        <v>45</v>
      </c>
      <c r="I191" s="53">
        <f>ROUND(E191*G191,2)</f>
        <v>0</v>
      </c>
    </row>
    <row r="192" spans="2:9" ht="18" customHeight="1">
      <c r="B192" s="48" t="s">
        <v>46</v>
      </c>
      <c r="C192" s="50">
        <v>105.66</v>
      </c>
      <c r="D192" s="50" t="s">
        <v>47</v>
      </c>
      <c r="E192" s="49">
        <f>ROUND(C191*(C192/1000),2)</f>
        <v>0</v>
      </c>
      <c r="F192" s="50" t="s">
        <v>48</v>
      </c>
      <c r="G192" s="50">
        <f>G$23</f>
        <v>10</v>
      </c>
      <c r="H192" s="52" t="s">
        <v>49</v>
      </c>
      <c r="I192" s="53">
        <f>E192*G192</f>
        <v>0</v>
      </c>
    </row>
    <row r="193" spans="2:15" ht="18" customHeight="1">
      <c r="B193" s="48" t="s">
        <v>50</v>
      </c>
      <c r="C193" s="50">
        <v>125.66</v>
      </c>
      <c r="D193" s="50" t="s">
        <v>51</v>
      </c>
      <c r="E193" s="49">
        <f>ROUND(C191*(C193/1000),2)</f>
        <v>0</v>
      </c>
      <c r="F193" s="50" t="s">
        <v>48</v>
      </c>
      <c r="G193" s="50">
        <f>G$24</f>
        <v>10</v>
      </c>
      <c r="H193" s="52" t="s">
        <v>49</v>
      </c>
      <c r="I193" s="53">
        <f>E193*G193</f>
        <v>0</v>
      </c>
    </row>
    <row r="194" spans="2:15" ht="18" customHeight="1">
      <c r="B194" s="23" t="s">
        <v>36</v>
      </c>
      <c r="C194" s="442" t="s">
        <v>14</v>
      </c>
      <c r="D194" s="652" t="s">
        <v>38</v>
      </c>
      <c r="E194" s="652"/>
      <c r="F194" s="652"/>
      <c r="G194" s="442" t="s">
        <v>72</v>
      </c>
      <c r="H194" s="442" t="s">
        <v>22</v>
      </c>
      <c r="I194" s="25" t="s">
        <v>40</v>
      </c>
    </row>
    <row r="195" spans="2:15" ht="18" customHeight="1">
      <c r="B195" s="643" t="s">
        <v>108</v>
      </c>
      <c r="C195" s="645" t="s">
        <v>109</v>
      </c>
      <c r="D195" s="646"/>
      <c r="E195" s="646"/>
      <c r="F195" s="646"/>
      <c r="G195" s="440"/>
      <c r="H195" s="440">
        <v>1.796</v>
      </c>
      <c r="I195" s="59">
        <f>ROUND((D195*G195*H195)/1000,3)</f>
        <v>0</v>
      </c>
    </row>
    <row r="196" spans="2:15" ht="18" customHeight="1">
      <c r="B196" s="644"/>
      <c r="C196" s="640"/>
      <c r="D196" s="646"/>
      <c r="E196" s="646"/>
      <c r="F196" s="646"/>
      <c r="G196" s="440"/>
      <c r="H196" s="440">
        <f>H195</f>
        <v>1.796</v>
      </c>
      <c r="I196" s="59">
        <f>ROUND((D196*G196*H196)/1000,3)</f>
        <v>0</v>
      </c>
    </row>
    <row r="197" spans="2:15" ht="18" customHeight="1">
      <c r="B197" s="643" t="s">
        <v>110</v>
      </c>
      <c r="C197" s="645" t="s">
        <v>111</v>
      </c>
      <c r="D197" s="646"/>
      <c r="E197" s="646"/>
      <c r="F197" s="646"/>
      <c r="G197" s="440"/>
      <c r="H197" s="440">
        <v>1.355</v>
      </c>
      <c r="I197" s="59"/>
    </row>
    <row r="198" spans="2:15" ht="18" customHeight="1">
      <c r="B198" s="644"/>
      <c r="C198" s="640"/>
      <c r="D198" s="646"/>
      <c r="E198" s="646"/>
      <c r="F198" s="646"/>
      <c r="G198" s="440"/>
      <c r="H198" s="440">
        <f>H197</f>
        <v>1.355</v>
      </c>
      <c r="I198" s="59"/>
    </row>
    <row r="199" spans="2:15" ht="18" customHeight="1">
      <c r="B199" s="48" t="s">
        <v>42</v>
      </c>
      <c r="C199" s="49">
        <f>SUMPRODUCT(D195:F198*G195:G198)/1000</f>
        <v>0</v>
      </c>
      <c r="D199" s="50" t="s">
        <v>43</v>
      </c>
      <c r="E199" s="49">
        <f>SUM(I195:I198)*1.1</f>
        <v>0</v>
      </c>
      <c r="F199" s="50" t="s">
        <v>44</v>
      </c>
      <c r="G199" s="51">
        <f>(C$218+C$219)/1000</f>
        <v>46.081499999999998</v>
      </c>
      <c r="H199" s="52" t="s">
        <v>45</v>
      </c>
      <c r="I199" s="53">
        <f>ROUND(E199*G199,2)</f>
        <v>0</v>
      </c>
    </row>
    <row r="200" spans="2:15" ht="18" customHeight="1">
      <c r="B200" s="48" t="s">
        <v>46</v>
      </c>
      <c r="C200" s="50">
        <v>267.77999999999997</v>
      </c>
      <c r="D200" s="50" t="s">
        <v>47</v>
      </c>
      <c r="E200" s="49">
        <f>ROUND(C199*(C200/1000),2)</f>
        <v>0</v>
      </c>
      <c r="F200" s="50" t="s">
        <v>48</v>
      </c>
      <c r="G200" s="50">
        <f>G$23</f>
        <v>10</v>
      </c>
      <c r="H200" s="52" t="s">
        <v>49</v>
      </c>
      <c r="I200" s="53">
        <f>E200*G200</f>
        <v>0</v>
      </c>
    </row>
    <row r="201" spans="2:15" ht="18" customHeight="1">
      <c r="B201" s="48" t="s">
        <v>50</v>
      </c>
      <c r="C201" s="50">
        <v>104.29</v>
      </c>
      <c r="D201" s="50" t="s">
        <v>51</v>
      </c>
      <c r="E201" s="49">
        <f>ROUND(C199*(C201/1000),2)</f>
        <v>0</v>
      </c>
      <c r="F201" s="50" t="s">
        <v>48</v>
      </c>
      <c r="G201" s="50">
        <f>G$24</f>
        <v>10</v>
      </c>
      <c r="H201" s="52" t="s">
        <v>49</v>
      </c>
      <c r="I201" s="53">
        <f>E201*G201</f>
        <v>0</v>
      </c>
    </row>
    <row r="202" spans="2:15" ht="18" customHeight="1">
      <c r="B202" s="103" t="s">
        <v>112</v>
      </c>
      <c r="C202" s="104" t="s">
        <v>113</v>
      </c>
      <c r="D202" s="104" t="s">
        <v>28</v>
      </c>
      <c r="E202" s="104" t="s">
        <v>8</v>
      </c>
      <c r="F202" s="104" t="s">
        <v>112</v>
      </c>
      <c r="G202" s="104" t="s">
        <v>113</v>
      </c>
      <c r="H202" s="104" t="s">
        <v>28</v>
      </c>
      <c r="I202" s="105" t="s">
        <v>8</v>
      </c>
      <c r="N202" s="106"/>
      <c r="O202" s="102"/>
    </row>
    <row r="203" spans="2:15" ht="18" customHeight="1">
      <c r="B203" s="441" t="s">
        <v>327</v>
      </c>
      <c r="C203" s="107" t="s">
        <v>114</v>
      </c>
      <c r="D203" s="108">
        <v>2.15</v>
      </c>
      <c r="E203" s="443">
        <f>SUM(G14:G21)*4</f>
        <v>4</v>
      </c>
      <c r="F203" s="647" t="s">
        <v>115</v>
      </c>
      <c r="G203" s="107" t="s">
        <v>116</v>
      </c>
      <c r="H203" s="108">
        <v>2.46</v>
      </c>
      <c r="I203" s="437">
        <f>SUM(G108:G111)*4</f>
        <v>0</v>
      </c>
      <c r="J203" s="42"/>
      <c r="N203" s="106"/>
      <c r="O203" s="102"/>
    </row>
    <row r="204" spans="2:15" ht="18" customHeight="1">
      <c r="B204" s="441" t="s">
        <v>328</v>
      </c>
      <c r="C204" s="107" t="s">
        <v>117</v>
      </c>
      <c r="D204" s="108">
        <v>1.72</v>
      </c>
      <c r="E204" s="443">
        <f>E203</f>
        <v>4</v>
      </c>
      <c r="F204" s="646"/>
      <c r="G204" s="107" t="s">
        <v>118</v>
      </c>
      <c r="H204" s="108">
        <v>3.11</v>
      </c>
      <c r="I204" s="437">
        <f>I203</f>
        <v>0</v>
      </c>
      <c r="J204" s="42"/>
      <c r="N204" s="106"/>
      <c r="O204" s="102"/>
    </row>
    <row r="205" spans="2:15" ht="18" customHeight="1">
      <c r="B205" s="109" t="s">
        <v>330</v>
      </c>
      <c r="C205" s="107" t="s">
        <v>119</v>
      </c>
      <c r="D205" s="108">
        <v>2.68</v>
      </c>
      <c r="E205" s="443">
        <f>SUM(G26:G30)*4</f>
        <v>0</v>
      </c>
      <c r="F205" s="110" t="s">
        <v>120</v>
      </c>
      <c r="G205" s="107" t="s">
        <v>121</v>
      </c>
      <c r="H205" s="111">
        <v>4.76</v>
      </c>
      <c r="I205" s="437">
        <f>SUM(G123:G125)*4</f>
        <v>0</v>
      </c>
      <c r="J205" s="42"/>
      <c r="N205" s="106"/>
      <c r="O205" s="102"/>
    </row>
    <row r="206" spans="2:15" ht="18" customHeight="1">
      <c r="B206" s="109" t="s">
        <v>329</v>
      </c>
      <c r="C206" s="107" t="s">
        <v>122</v>
      </c>
      <c r="D206" s="108">
        <v>1.27</v>
      </c>
      <c r="E206" s="443">
        <f>E205</f>
        <v>0</v>
      </c>
      <c r="F206" s="110" t="s">
        <v>123</v>
      </c>
      <c r="G206" s="107" t="s">
        <v>124</v>
      </c>
      <c r="H206" s="111">
        <v>3.85</v>
      </c>
      <c r="I206" s="437">
        <f>I205</f>
        <v>0</v>
      </c>
      <c r="J206" s="42"/>
      <c r="N206" s="106"/>
      <c r="O206" s="102"/>
    </row>
    <row r="207" spans="2:15" ht="18" customHeight="1">
      <c r="B207" s="109" t="s">
        <v>331</v>
      </c>
      <c r="C207" s="107" t="s">
        <v>125</v>
      </c>
      <c r="D207" s="111" t="s">
        <v>126</v>
      </c>
      <c r="E207" s="443">
        <f>SUM(G35:G37)*4</f>
        <v>8</v>
      </c>
      <c r="F207" s="110" t="s">
        <v>127</v>
      </c>
      <c r="G207" s="107" t="s">
        <v>128</v>
      </c>
      <c r="H207" s="111">
        <v>4.29</v>
      </c>
      <c r="I207" s="437">
        <f>SUM(G116:G118)*4</f>
        <v>0</v>
      </c>
      <c r="J207" s="42"/>
      <c r="N207" s="106"/>
      <c r="O207" s="102"/>
    </row>
    <row r="208" spans="2:15" ht="18" customHeight="1">
      <c r="B208" s="109" t="s">
        <v>332</v>
      </c>
      <c r="C208" s="107" t="s">
        <v>129</v>
      </c>
      <c r="D208" s="111" t="s">
        <v>130</v>
      </c>
      <c r="E208" s="443">
        <f>E207</f>
        <v>8</v>
      </c>
      <c r="F208" s="110" t="s">
        <v>131</v>
      </c>
      <c r="G208" s="107" t="s">
        <v>132</v>
      </c>
      <c r="H208" s="111">
        <v>4.5</v>
      </c>
      <c r="I208" s="437">
        <f>I207</f>
        <v>0</v>
      </c>
      <c r="J208" s="42"/>
      <c r="N208" s="106"/>
      <c r="O208" s="102"/>
    </row>
    <row r="209" spans="2:15" ht="18" customHeight="1">
      <c r="B209" s="439" t="s">
        <v>333</v>
      </c>
      <c r="C209" s="440">
        <v>12.6</v>
      </c>
      <c r="D209" s="111">
        <v>1.32</v>
      </c>
      <c r="E209" s="443">
        <f>SUM(G42:G47)*4</f>
        <v>0</v>
      </c>
      <c r="F209" s="639"/>
      <c r="G209" s="107"/>
      <c r="H209" s="28"/>
      <c r="I209" s="437"/>
      <c r="N209" s="106"/>
      <c r="O209" s="102"/>
    </row>
    <row r="210" spans="2:15" ht="18" customHeight="1">
      <c r="B210" s="439" t="s">
        <v>334</v>
      </c>
      <c r="C210" s="440">
        <v>15.8</v>
      </c>
      <c r="D210" s="111">
        <v>1.18</v>
      </c>
      <c r="E210" s="443">
        <f>E209</f>
        <v>0</v>
      </c>
      <c r="F210" s="640"/>
      <c r="G210" s="107"/>
      <c r="H210" s="28"/>
      <c r="I210" s="231"/>
      <c r="N210" s="106"/>
      <c r="O210" s="102"/>
    </row>
    <row r="211" spans="2:15" ht="18" customHeight="1">
      <c r="B211" s="441" t="s">
        <v>335</v>
      </c>
      <c r="C211" s="107" t="s">
        <v>337</v>
      </c>
      <c r="D211" s="111">
        <v>2.81</v>
      </c>
      <c r="E211" s="440">
        <f>SUM(E52+E53+E54+E55+G52+G53+G54+G55+G60+G61+G62+G63)*2</f>
        <v>2</v>
      </c>
      <c r="F211" s="641" t="s">
        <v>133</v>
      </c>
      <c r="G211" s="111">
        <f>SUMPRODUCT(D35:D37,G35:G37)/1000</f>
        <v>1.81</v>
      </c>
      <c r="H211" s="28">
        <v>0.16</v>
      </c>
      <c r="I211" s="232">
        <f>G211*H211</f>
        <v>0.28960000000000002</v>
      </c>
      <c r="N211" s="106"/>
      <c r="O211" s="102"/>
    </row>
    <row r="212" spans="2:15" ht="18" customHeight="1">
      <c r="B212" s="441" t="s">
        <v>336</v>
      </c>
      <c r="C212" s="107" t="s">
        <v>338</v>
      </c>
      <c r="D212" s="111">
        <v>3.51</v>
      </c>
      <c r="E212" s="440">
        <f>E211</f>
        <v>2</v>
      </c>
      <c r="F212" s="641"/>
      <c r="G212" s="111">
        <f>SUMPRODUCT(D26:D30,G26:G30)/1000</f>
        <v>0</v>
      </c>
      <c r="H212" s="28">
        <v>0.16</v>
      </c>
      <c r="I212" s="232">
        <f>G212*H212</f>
        <v>0</v>
      </c>
      <c r="N212" s="106"/>
      <c r="O212" s="102"/>
    </row>
    <row r="213" spans="2:15" ht="18" customHeight="1">
      <c r="B213" s="441" t="s">
        <v>134</v>
      </c>
      <c r="C213" s="440">
        <v>30.6</v>
      </c>
      <c r="D213" s="111">
        <v>2.81</v>
      </c>
      <c r="E213" s="443">
        <f>SUM(+E130+E131+E132+G130+G131+G132)*2</f>
        <v>0</v>
      </c>
      <c r="F213" s="641" t="s">
        <v>135</v>
      </c>
      <c r="G213" s="111">
        <f>SUMPRODUCT(E26:E30,G26:G30)/1000</f>
        <v>0</v>
      </c>
      <c r="H213" s="28">
        <v>0.16</v>
      </c>
      <c r="I213" s="232">
        <f>G213*H213</f>
        <v>0</v>
      </c>
      <c r="N213" s="106"/>
      <c r="O213" s="102"/>
    </row>
    <row r="214" spans="2:15" ht="18" customHeight="1">
      <c r="B214" s="441" t="s">
        <v>136</v>
      </c>
      <c r="C214" s="440">
        <v>30.6</v>
      </c>
      <c r="D214" s="111">
        <v>3.51</v>
      </c>
      <c r="E214" s="443">
        <f>E213</f>
        <v>0</v>
      </c>
      <c r="F214" s="641"/>
      <c r="G214" s="111">
        <f>SUMPRODUCT(E35:E37,G35:G37)/1000</f>
        <v>0.95199999999999996</v>
      </c>
      <c r="H214" s="28">
        <v>0.16</v>
      </c>
      <c r="I214" s="232">
        <f>G214*H214</f>
        <v>0.15231999999999998</v>
      </c>
      <c r="N214" s="106"/>
      <c r="O214" s="102"/>
    </row>
    <row r="215" spans="2:15" ht="18" customHeight="1">
      <c r="B215" s="52" t="s">
        <v>137</v>
      </c>
      <c r="C215" s="112" cm="1">
        <f t="array" ref="C215">SUMPRODUCT(D203:D214*E203:E214)+SUMPRODUCT(H203:H210*I203:I210)</f>
        <v>68.44</v>
      </c>
      <c r="D215" s="52"/>
      <c r="E215" s="52"/>
      <c r="F215" s="52"/>
      <c r="G215" s="52" t="s">
        <v>138</v>
      </c>
      <c r="H215" s="52" cm="1">
        <f t="array" ref="H215">SUMPRODUCT(G211:G214*H211:H214)</f>
        <v>0.44191999999999998</v>
      </c>
      <c r="I215" s="233">
        <f>H215*1.08</f>
        <v>0.47727360000000002</v>
      </c>
      <c r="N215" s="106"/>
      <c r="O215" s="102"/>
    </row>
    <row r="216" spans="2:15" ht="18" customHeight="1">
      <c r="B216" s="23" t="s">
        <v>139</v>
      </c>
      <c r="C216" s="442" t="s">
        <v>14</v>
      </c>
      <c r="D216" s="442" t="s">
        <v>22</v>
      </c>
      <c r="E216" s="442" t="s">
        <v>8</v>
      </c>
      <c r="F216" s="442" t="s">
        <v>113</v>
      </c>
      <c r="G216" s="442" t="s">
        <v>40</v>
      </c>
      <c r="H216" s="442" t="s">
        <v>28</v>
      </c>
      <c r="I216" s="25" t="s">
        <v>29</v>
      </c>
      <c r="N216" s="106"/>
      <c r="O216" s="102"/>
    </row>
    <row r="217" spans="2:15" ht="18" customHeight="1">
      <c r="B217" s="48" t="s">
        <v>140</v>
      </c>
      <c r="C217" s="52" t="s">
        <v>141</v>
      </c>
      <c r="D217" s="50">
        <v>0.14199999999999999</v>
      </c>
      <c r="E217" s="50">
        <v>1</v>
      </c>
      <c r="F217" s="50">
        <f>D6</f>
        <v>1870</v>
      </c>
      <c r="G217" s="128">
        <f>D217*F217*E217/1000*1.1</f>
        <v>0.29209399999999996</v>
      </c>
      <c r="H217" s="52">
        <f>(C218+C222)/1000</f>
        <v>39.781500000000001</v>
      </c>
      <c r="I217" s="193">
        <f>G217*H217</f>
        <v>11.619937460999999</v>
      </c>
      <c r="N217" s="106"/>
      <c r="O217" s="102"/>
    </row>
    <row r="218" spans="2:15" ht="18" customHeight="1">
      <c r="B218" s="37" t="s">
        <v>142</v>
      </c>
      <c r="C218" s="113">
        <f>材料价格!B4</f>
        <v>22081.5</v>
      </c>
      <c r="D218" s="39" t="s">
        <v>143</v>
      </c>
      <c r="E218" s="114">
        <f>E139+E133+E126+E119+E112+E199+E177+E64+E56+E48+E38+E31+E22+E184+E191</f>
        <v>19.606400000000001</v>
      </c>
      <c r="F218" s="39" t="s">
        <v>144</v>
      </c>
      <c r="G218" s="115">
        <f>I218/E218-C218/1000</f>
        <v>24.000391627223763</v>
      </c>
      <c r="H218" s="39" t="s">
        <v>145</v>
      </c>
      <c r="I218" s="116">
        <f>I22+I31+I38+I48+I56+I64+I199+I112+I119+I126+I133+I139+I177+I184+I191</f>
        <v>903.5</v>
      </c>
      <c r="N218" s="106"/>
      <c r="O218" s="102"/>
    </row>
    <row r="219" spans="2:15" ht="18" customHeight="1">
      <c r="B219" s="117" t="s">
        <v>146</v>
      </c>
      <c r="C219" s="118">
        <f>材料价格!B5</f>
        <v>24000</v>
      </c>
      <c r="D219" s="39" t="s">
        <v>147</v>
      </c>
      <c r="E219" s="114">
        <f>E163+E153+E146+E104+E97+E88+G217+E170</f>
        <v>1.6483940000000001</v>
      </c>
      <c r="F219" s="39" t="s">
        <v>148</v>
      </c>
      <c r="G219" s="119">
        <f>I219/E219-C218/1000</f>
        <v>17.702639872506211</v>
      </c>
      <c r="H219" s="39" t="s">
        <v>149</v>
      </c>
      <c r="I219" s="116">
        <f>I88+I97+I104+I146+I153+I163+I217+I170</f>
        <v>65.579937461</v>
      </c>
      <c r="N219" s="106"/>
      <c r="O219" s="102"/>
    </row>
    <row r="220" spans="2:15" ht="18" customHeight="1">
      <c r="B220" s="117" t="s">
        <v>150</v>
      </c>
      <c r="C220" s="118">
        <f>C219</f>
        <v>24000</v>
      </c>
      <c r="D220" s="39" t="s">
        <v>151</v>
      </c>
      <c r="E220" s="120">
        <f>I215</f>
        <v>0.47727360000000002</v>
      </c>
      <c r="F220" s="39" t="s">
        <v>152</v>
      </c>
      <c r="G220" s="119">
        <f>I220/E220-C218/1000</f>
        <v>2.8936924263148036</v>
      </c>
      <c r="H220" s="39" t="s">
        <v>153</v>
      </c>
      <c r="I220" s="116">
        <f>ROUND(E220*(C218+C223)/1000,2)</f>
        <v>11.92</v>
      </c>
      <c r="N220" s="106"/>
      <c r="O220" s="102"/>
    </row>
    <row r="221" spans="2:15" ht="18" customHeight="1">
      <c r="B221" s="117" t="s">
        <v>154</v>
      </c>
      <c r="C221" s="121">
        <f>C220</f>
        <v>24000</v>
      </c>
      <c r="D221" s="39" t="s">
        <v>155</v>
      </c>
      <c r="E221" s="39"/>
      <c r="F221" s="39" t="s">
        <v>156</v>
      </c>
      <c r="G221" s="39"/>
      <c r="H221" s="39" t="s">
        <v>49</v>
      </c>
      <c r="I221" s="116">
        <f>E221*G221</f>
        <v>0</v>
      </c>
      <c r="J221" s="42"/>
      <c r="K221" s="255"/>
    </row>
    <row r="222" spans="2:15" ht="18" customHeight="1">
      <c r="B222" s="117" t="s">
        <v>148</v>
      </c>
      <c r="C222" s="122">
        <f>材料价格!B6</f>
        <v>17700</v>
      </c>
      <c r="D222" s="39" t="s">
        <v>157</v>
      </c>
      <c r="E222" s="39"/>
      <c r="F222" s="39" t="s">
        <v>156</v>
      </c>
      <c r="G222" s="39"/>
      <c r="H222" s="39" t="s">
        <v>49</v>
      </c>
      <c r="I222" s="116">
        <f>E222*G222</f>
        <v>0</v>
      </c>
      <c r="J222" s="123"/>
      <c r="K222" s="123"/>
      <c r="L222" s="123"/>
    </row>
    <row r="223" spans="2:15" ht="18" customHeight="1">
      <c r="B223" s="117" t="s">
        <v>152</v>
      </c>
      <c r="C223" s="122">
        <f>材料价格!B9</f>
        <v>2900</v>
      </c>
      <c r="D223" s="39" t="s">
        <v>158</v>
      </c>
      <c r="E223" s="114">
        <f>SUM(E218:E220)</f>
        <v>21.732067600000001</v>
      </c>
      <c r="F223" s="39"/>
      <c r="G223" s="39" t="s">
        <v>339</v>
      </c>
      <c r="H223" s="39"/>
      <c r="I223" s="234">
        <f>SUM(I218:I222)+C215</f>
        <v>1049.439937461</v>
      </c>
      <c r="J223" s="123"/>
      <c r="K223" s="123"/>
      <c r="L223" s="123"/>
    </row>
    <row r="224" spans="2:15" ht="18" customHeight="1">
      <c r="B224" s="23" t="s">
        <v>159</v>
      </c>
      <c r="C224" s="442" t="s">
        <v>113</v>
      </c>
      <c r="D224" s="442" t="s">
        <v>16</v>
      </c>
      <c r="E224" s="442" t="s">
        <v>7</v>
      </c>
      <c r="F224" s="442" t="s">
        <v>8</v>
      </c>
      <c r="G224" s="442" t="s">
        <v>28</v>
      </c>
      <c r="H224" s="442" t="s">
        <v>160</v>
      </c>
      <c r="I224" s="25" t="s">
        <v>1</v>
      </c>
      <c r="J224" s="255"/>
      <c r="K224" s="255"/>
      <c r="L224" s="255"/>
      <c r="M224" s="255"/>
    </row>
    <row r="225" spans="2:13" ht="18" customHeight="1">
      <c r="B225" s="124" t="str">
        <f>材料价格!A10</f>
        <v>6单银Low-E+12A+6</v>
      </c>
      <c r="C225" s="443">
        <f t="shared" ref="C225:D229" si="25">D92</f>
        <v>-90</v>
      </c>
      <c r="D225" s="443">
        <f t="shared" si="25"/>
        <v>-90</v>
      </c>
      <c r="E225" s="32">
        <f>C225*D225/10^6</f>
        <v>8.0999999999999996E-3</v>
      </c>
      <c r="F225" s="440">
        <f>G26</f>
        <v>0</v>
      </c>
      <c r="G225" s="125">
        <f>材料价格!B10</f>
        <v>148</v>
      </c>
      <c r="H225" s="440">
        <f>ROUND(E225*G225*F225,2)</f>
        <v>0</v>
      </c>
      <c r="I225" s="437" t="s">
        <v>161</v>
      </c>
      <c r="J225" s="255"/>
      <c r="K225" s="255"/>
      <c r="L225" s="255"/>
      <c r="M225" s="255"/>
    </row>
    <row r="226" spans="2:13" ht="18" customHeight="1">
      <c r="B226" s="124" t="str">
        <f t="shared" ref="B226:B232" si="26">B225</f>
        <v>6单银Low-E+12A+6</v>
      </c>
      <c r="C226" s="443">
        <f t="shared" si="25"/>
        <v>-90</v>
      </c>
      <c r="D226" s="443">
        <f t="shared" si="25"/>
        <v>-90</v>
      </c>
      <c r="E226" s="32">
        <f t="shared" ref="E226:E284" si="27">C226*D226/10^6</f>
        <v>8.0999999999999996E-3</v>
      </c>
      <c r="F226" s="440">
        <f>G27</f>
        <v>0</v>
      </c>
      <c r="G226" s="126">
        <f t="shared" ref="G226:G232" si="28">G225</f>
        <v>148</v>
      </c>
      <c r="H226" s="440">
        <f t="shared" ref="H226:H241" si="29">ROUND(E226*G226*F226,2)</f>
        <v>0</v>
      </c>
      <c r="I226" s="437" t="s">
        <v>162</v>
      </c>
      <c r="J226" s="255"/>
      <c r="K226" s="255"/>
      <c r="L226" s="255"/>
      <c r="M226" s="255"/>
    </row>
    <row r="227" spans="2:13" ht="18" customHeight="1">
      <c r="B227" s="124" t="str">
        <f t="shared" si="26"/>
        <v>6单银Low-E+12A+6</v>
      </c>
      <c r="C227" s="443">
        <f t="shared" si="25"/>
        <v>-90</v>
      </c>
      <c r="D227" s="443">
        <f t="shared" si="25"/>
        <v>-90</v>
      </c>
      <c r="E227" s="32">
        <f t="shared" si="27"/>
        <v>8.0999999999999996E-3</v>
      </c>
      <c r="F227" s="440">
        <f>G28</f>
        <v>0</v>
      </c>
      <c r="G227" s="126">
        <f t="shared" si="28"/>
        <v>148</v>
      </c>
      <c r="H227" s="440">
        <f t="shared" si="29"/>
        <v>0</v>
      </c>
      <c r="I227" s="437" t="s">
        <v>162</v>
      </c>
      <c r="J227" s="255"/>
      <c r="K227" s="255"/>
      <c r="L227" s="255"/>
      <c r="M227" s="255"/>
    </row>
    <row r="228" spans="2:13" ht="18" customHeight="1">
      <c r="B228" s="124" t="str">
        <f t="shared" si="26"/>
        <v>6单银Low-E+12A+6</v>
      </c>
      <c r="C228" s="443">
        <f t="shared" si="25"/>
        <v>-90</v>
      </c>
      <c r="D228" s="443">
        <f t="shared" si="25"/>
        <v>-90</v>
      </c>
      <c r="E228" s="32">
        <f t="shared" si="27"/>
        <v>8.0999999999999996E-3</v>
      </c>
      <c r="F228" s="440">
        <f>G29</f>
        <v>0</v>
      </c>
      <c r="G228" s="126">
        <f t="shared" si="28"/>
        <v>148</v>
      </c>
      <c r="H228" s="440">
        <f t="shared" si="29"/>
        <v>0</v>
      </c>
      <c r="I228" s="437" t="s">
        <v>162</v>
      </c>
      <c r="J228" s="255"/>
      <c r="K228" s="255"/>
      <c r="L228" s="255"/>
      <c r="M228" s="255"/>
    </row>
    <row r="229" spans="2:13" ht="18" customHeight="1">
      <c r="B229" s="124" t="str">
        <f t="shared" si="26"/>
        <v>6单银Low-E+12A+6</v>
      </c>
      <c r="C229" s="443">
        <f t="shared" si="25"/>
        <v>-90</v>
      </c>
      <c r="D229" s="443">
        <f t="shared" si="25"/>
        <v>-90</v>
      </c>
      <c r="E229" s="32">
        <f t="shared" si="27"/>
        <v>8.0999999999999996E-3</v>
      </c>
      <c r="F229" s="440">
        <f>G30</f>
        <v>0</v>
      </c>
      <c r="G229" s="126">
        <f t="shared" si="28"/>
        <v>148</v>
      </c>
      <c r="H229" s="440">
        <f t="shared" si="29"/>
        <v>0</v>
      </c>
      <c r="I229" s="437" t="s">
        <v>162</v>
      </c>
      <c r="J229" s="123"/>
      <c r="K229" s="123"/>
      <c r="L229" s="123"/>
    </row>
    <row r="230" spans="2:13" ht="18" customHeight="1">
      <c r="B230" s="124" t="str">
        <f t="shared" si="26"/>
        <v>6单银Low-E+12A+6</v>
      </c>
      <c r="C230" s="443">
        <f t="shared" ref="C230:D232" si="30">D101</f>
        <v>783</v>
      </c>
      <c r="D230" s="443">
        <f t="shared" si="30"/>
        <v>354</v>
      </c>
      <c r="E230" s="32">
        <f t="shared" si="27"/>
        <v>0.27718199999999998</v>
      </c>
      <c r="F230" s="440">
        <f>G101</f>
        <v>2</v>
      </c>
      <c r="G230" s="126">
        <f t="shared" si="28"/>
        <v>148</v>
      </c>
      <c r="H230" s="440">
        <f t="shared" si="29"/>
        <v>82.05</v>
      </c>
      <c r="I230" s="127" t="s">
        <v>163</v>
      </c>
      <c r="J230" s="123"/>
      <c r="K230" s="123"/>
      <c r="L230" s="123"/>
    </row>
    <row r="231" spans="2:13" ht="18" customHeight="1">
      <c r="B231" s="124" t="str">
        <f t="shared" si="26"/>
        <v>6单银Low-E+12A+6</v>
      </c>
      <c r="C231" s="443">
        <f t="shared" si="30"/>
        <v>-122</v>
      </c>
      <c r="D231" s="443">
        <f t="shared" si="30"/>
        <v>-122</v>
      </c>
      <c r="E231" s="32">
        <f t="shared" si="27"/>
        <v>1.4884E-2</v>
      </c>
      <c r="F231" s="440">
        <f>G102</f>
        <v>0</v>
      </c>
      <c r="G231" s="126">
        <f t="shared" si="28"/>
        <v>148</v>
      </c>
      <c r="H231" s="440">
        <f t="shared" si="29"/>
        <v>0</v>
      </c>
      <c r="I231" s="127" t="s">
        <v>163</v>
      </c>
    </row>
    <row r="232" spans="2:13" ht="18" customHeight="1">
      <c r="B232" s="124" t="str">
        <f t="shared" si="26"/>
        <v>6单银Low-E+12A+6</v>
      </c>
      <c r="C232" s="443">
        <f t="shared" si="30"/>
        <v>-122</v>
      </c>
      <c r="D232" s="443">
        <f t="shared" si="30"/>
        <v>-122</v>
      </c>
      <c r="E232" s="32">
        <f t="shared" si="27"/>
        <v>1.4884E-2</v>
      </c>
      <c r="F232" s="440">
        <f>G103</f>
        <v>0</v>
      </c>
      <c r="G232" s="126">
        <f t="shared" si="28"/>
        <v>148</v>
      </c>
      <c r="H232" s="440">
        <f t="shared" si="29"/>
        <v>0</v>
      </c>
      <c r="I232" s="127" t="s">
        <v>163</v>
      </c>
    </row>
    <row r="233" spans="2:13" ht="18" customHeight="1">
      <c r="B233" s="48" t="s">
        <v>164</v>
      </c>
      <c r="C233" s="52"/>
      <c r="D233" s="50"/>
      <c r="E233" s="128"/>
      <c r="F233" s="50">
        <f>SUM(F225:F232)</f>
        <v>2</v>
      </c>
      <c r="G233" s="50"/>
      <c r="H233" s="52">
        <f>SUM(H225:H232)</f>
        <v>82.05</v>
      </c>
      <c r="I233" s="53">
        <f>ROUND((E225*F225+E226*F226+E227*F227+E228*F228+E229*F229+E230*F230+E231*F231+E232*F232),2)</f>
        <v>0.55000000000000004</v>
      </c>
    </row>
    <row r="234" spans="2:13" ht="18" customHeight="1">
      <c r="B234" s="124" t="str">
        <f>B232</f>
        <v>6单银Low-E+12A+6</v>
      </c>
      <c r="C234" s="443">
        <f>C225</f>
        <v>-90</v>
      </c>
      <c r="D234" s="443">
        <f>D225</f>
        <v>-90</v>
      </c>
      <c r="E234" s="32">
        <f t="shared" si="27"/>
        <v>8.0999999999999996E-3</v>
      </c>
      <c r="F234" s="440">
        <f>IF(F225=0,G26,0)</f>
        <v>0</v>
      </c>
      <c r="G234" s="126">
        <f>G232</f>
        <v>148</v>
      </c>
      <c r="H234" s="440">
        <f t="shared" si="29"/>
        <v>0</v>
      </c>
      <c r="I234" s="437" t="s">
        <v>165</v>
      </c>
      <c r="J234" s="129"/>
    </row>
    <row r="235" spans="2:13" ht="18" customHeight="1">
      <c r="B235" s="124" t="str">
        <f t="shared" ref="B235:B241" si="31">B234</f>
        <v>6单银Low-E+12A+6</v>
      </c>
      <c r="C235" s="443">
        <f t="shared" ref="C235:D241" si="32">C226</f>
        <v>-90</v>
      </c>
      <c r="D235" s="443">
        <f t="shared" si="32"/>
        <v>-90</v>
      </c>
      <c r="E235" s="32">
        <f t="shared" si="27"/>
        <v>8.0999999999999996E-3</v>
      </c>
      <c r="F235" s="440">
        <f>IF(F226=0,G27,0)</f>
        <v>0</v>
      </c>
      <c r="G235" s="126">
        <f>G234</f>
        <v>148</v>
      </c>
      <c r="H235" s="440">
        <f t="shared" si="29"/>
        <v>0</v>
      </c>
      <c r="I235" s="437" t="s">
        <v>165</v>
      </c>
      <c r="J235" s="129"/>
    </row>
    <row r="236" spans="2:13" ht="18" customHeight="1">
      <c r="B236" s="124" t="str">
        <f t="shared" si="31"/>
        <v>6单银Low-E+12A+6</v>
      </c>
      <c r="C236" s="443">
        <f t="shared" si="32"/>
        <v>-90</v>
      </c>
      <c r="D236" s="443">
        <f t="shared" si="32"/>
        <v>-90</v>
      </c>
      <c r="E236" s="32">
        <f t="shared" si="27"/>
        <v>8.0999999999999996E-3</v>
      </c>
      <c r="F236" s="440">
        <f>IF(F227=0,G28,0)</f>
        <v>0</v>
      </c>
      <c r="G236" s="126">
        <f t="shared" ref="G236:G241" si="33">G234</f>
        <v>148</v>
      </c>
      <c r="H236" s="440">
        <f t="shared" si="29"/>
        <v>0</v>
      </c>
      <c r="I236" s="437" t="s">
        <v>165</v>
      </c>
      <c r="J236" s="129"/>
    </row>
    <row r="237" spans="2:13" ht="18" customHeight="1">
      <c r="B237" s="124" t="str">
        <f t="shared" si="31"/>
        <v>6单银Low-E+12A+6</v>
      </c>
      <c r="C237" s="443">
        <f t="shared" si="32"/>
        <v>-90</v>
      </c>
      <c r="D237" s="443">
        <f t="shared" si="32"/>
        <v>-90</v>
      </c>
      <c r="E237" s="32">
        <f t="shared" si="27"/>
        <v>8.0999999999999996E-3</v>
      </c>
      <c r="F237" s="440">
        <f>IF(F228=0,G29,0)</f>
        <v>0</v>
      </c>
      <c r="G237" s="126">
        <f t="shared" si="33"/>
        <v>148</v>
      </c>
      <c r="H237" s="440">
        <f t="shared" si="29"/>
        <v>0</v>
      </c>
      <c r="I237" s="437" t="s">
        <v>165</v>
      </c>
      <c r="J237" s="129"/>
    </row>
    <row r="238" spans="2:13" ht="18" customHeight="1">
      <c r="B238" s="124" t="str">
        <f t="shared" si="31"/>
        <v>6单银Low-E+12A+6</v>
      </c>
      <c r="C238" s="443">
        <f t="shared" si="32"/>
        <v>-90</v>
      </c>
      <c r="D238" s="443">
        <f t="shared" si="32"/>
        <v>-90</v>
      </c>
      <c r="E238" s="32">
        <f t="shared" si="27"/>
        <v>8.0999999999999996E-3</v>
      </c>
      <c r="F238" s="440">
        <f>IF(F229=0,G30,0)</f>
        <v>0</v>
      </c>
      <c r="G238" s="126">
        <f t="shared" si="33"/>
        <v>148</v>
      </c>
      <c r="H238" s="440">
        <f t="shared" si="29"/>
        <v>0</v>
      </c>
      <c r="I238" s="437" t="s">
        <v>165</v>
      </c>
      <c r="J238" s="129"/>
    </row>
    <row r="239" spans="2:13" ht="18" customHeight="1">
      <c r="B239" s="124" t="str">
        <f t="shared" si="31"/>
        <v>6单银Low-E+12A+6</v>
      </c>
      <c r="C239" s="443">
        <f t="shared" si="32"/>
        <v>783</v>
      </c>
      <c r="D239" s="443">
        <f t="shared" si="32"/>
        <v>354</v>
      </c>
      <c r="E239" s="32">
        <f t="shared" si="27"/>
        <v>0.27718199999999998</v>
      </c>
      <c r="F239" s="440">
        <f>IF(F230=0,G35,0)</f>
        <v>0</v>
      </c>
      <c r="G239" s="126">
        <f t="shared" si="33"/>
        <v>148</v>
      </c>
      <c r="H239" s="440">
        <f t="shared" si="29"/>
        <v>0</v>
      </c>
      <c r="I239" s="127" t="s">
        <v>166</v>
      </c>
      <c r="J239" s="129"/>
    </row>
    <row r="240" spans="2:13" ht="18" customHeight="1">
      <c r="B240" s="124" t="str">
        <f t="shared" si="31"/>
        <v>6单银Low-E+12A+6</v>
      </c>
      <c r="C240" s="443">
        <f t="shared" si="32"/>
        <v>-122</v>
      </c>
      <c r="D240" s="443">
        <f t="shared" si="32"/>
        <v>-122</v>
      </c>
      <c r="E240" s="32">
        <f t="shared" si="27"/>
        <v>1.4884E-2</v>
      </c>
      <c r="F240" s="440">
        <f>IF(F231=0,G36,0)</f>
        <v>0</v>
      </c>
      <c r="G240" s="126">
        <f t="shared" si="33"/>
        <v>148</v>
      </c>
      <c r="H240" s="440">
        <f t="shared" si="29"/>
        <v>0</v>
      </c>
      <c r="I240" s="127" t="s">
        <v>166</v>
      </c>
      <c r="J240" s="129"/>
    </row>
    <row r="241" spans="1:16" ht="18" customHeight="1">
      <c r="B241" s="124" t="str">
        <f t="shared" si="31"/>
        <v>6单银Low-E+12A+6</v>
      </c>
      <c r="C241" s="443">
        <f t="shared" si="32"/>
        <v>-122</v>
      </c>
      <c r="D241" s="443">
        <f t="shared" si="32"/>
        <v>-122</v>
      </c>
      <c r="E241" s="32">
        <f t="shared" si="27"/>
        <v>1.4884E-2</v>
      </c>
      <c r="F241" s="440">
        <f>IF(F232=0,G37,0)</f>
        <v>0</v>
      </c>
      <c r="G241" s="126">
        <f t="shared" si="33"/>
        <v>148</v>
      </c>
      <c r="H241" s="440">
        <f t="shared" si="29"/>
        <v>0</v>
      </c>
      <c r="I241" s="127" t="s">
        <v>166</v>
      </c>
      <c r="J241" s="129"/>
    </row>
    <row r="242" spans="1:16" s="43" customFormat="1" ht="18" customHeight="1">
      <c r="A242" s="1"/>
      <c r="B242" s="48" t="s">
        <v>167</v>
      </c>
      <c r="C242" s="52"/>
      <c r="D242" s="50"/>
      <c r="E242" s="128"/>
      <c r="F242" s="50">
        <f>SUM(F234:F241)</f>
        <v>0</v>
      </c>
      <c r="G242" s="50"/>
      <c r="H242" s="52">
        <f>SUM(H234:H241)</f>
        <v>0</v>
      </c>
      <c r="I242" s="53">
        <f>ROUND(SUMPRODUCT(E234:E241*F234:F241),2)</f>
        <v>0</v>
      </c>
      <c r="J242" s="129"/>
      <c r="N242" s="255"/>
      <c r="O242" s="255"/>
      <c r="P242" s="255"/>
    </row>
    <row r="243" spans="1:16" s="43" customFormat="1" ht="18" customHeight="1">
      <c r="A243" s="1"/>
      <c r="B243" s="124" t="str">
        <f>B240</f>
        <v>6单银Low-E+12A+6</v>
      </c>
      <c r="C243" s="443">
        <f t="shared" ref="C243:D249" si="34">D68-12</f>
        <v>-12</v>
      </c>
      <c r="D243" s="443">
        <f t="shared" si="34"/>
        <v>-12</v>
      </c>
      <c r="E243" s="32">
        <f t="shared" si="27"/>
        <v>1.44E-4</v>
      </c>
      <c r="F243" s="82">
        <f t="shared" ref="F243:F249" si="35">G68</f>
        <v>0</v>
      </c>
      <c r="G243" s="130">
        <f>G241</f>
        <v>148</v>
      </c>
      <c r="H243" s="440">
        <f t="shared" ref="H243:H249" si="36">ROUND(E243*G243*F243,2)</f>
        <v>0</v>
      </c>
      <c r="I243" s="437" t="s">
        <v>168</v>
      </c>
      <c r="J243" s="129"/>
      <c r="N243" s="255"/>
      <c r="O243" s="255"/>
      <c r="P243" s="255"/>
    </row>
    <row r="244" spans="1:16" s="43" customFormat="1" ht="18" customHeight="1">
      <c r="A244" s="1"/>
      <c r="B244" s="124" t="str">
        <f t="shared" ref="B244:B249" si="37">B243</f>
        <v>6单银Low-E+12A+6</v>
      </c>
      <c r="C244" s="443">
        <f t="shared" si="34"/>
        <v>-12</v>
      </c>
      <c r="D244" s="443">
        <f t="shared" si="34"/>
        <v>-12</v>
      </c>
      <c r="E244" s="32">
        <f t="shared" si="27"/>
        <v>1.44E-4</v>
      </c>
      <c r="F244" s="82">
        <f t="shared" si="35"/>
        <v>0</v>
      </c>
      <c r="G244" s="130">
        <f t="shared" ref="G244:G249" si="38">G243</f>
        <v>148</v>
      </c>
      <c r="H244" s="440">
        <f t="shared" si="36"/>
        <v>0</v>
      </c>
      <c r="I244" s="437" t="s">
        <v>168</v>
      </c>
      <c r="J244" s="129"/>
      <c r="N244" s="255"/>
      <c r="O244" s="255"/>
      <c r="P244" s="255"/>
    </row>
    <row r="245" spans="1:16" s="43" customFormat="1" ht="18" customHeight="1">
      <c r="A245" s="1"/>
      <c r="B245" s="124" t="str">
        <f t="shared" si="37"/>
        <v>6单银Low-E+12A+6</v>
      </c>
      <c r="C245" s="443">
        <f t="shared" si="34"/>
        <v>-12</v>
      </c>
      <c r="D245" s="443">
        <f t="shared" si="34"/>
        <v>-12</v>
      </c>
      <c r="E245" s="32">
        <f t="shared" si="27"/>
        <v>1.44E-4</v>
      </c>
      <c r="F245" s="82">
        <f t="shared" si="35"/>
        <v>0</v>
      </c>
      <c r="G245" s="130">
        <f t="shared" si="38"/>
        <v>148</v>
      </c>
      <c r="H245" s="440">
        <f t="shared" si="36"/>
        <v>0</v>
      </c>
      <c r="I245" s="437" t="s">
        <v>168</v>
      </c>
      <c r="J245" s="129"/>
      <c r="N245" s="255"/>
      <c r="O245" s="255"/>
      <c r="P245" s="255"/>
    </row>
    <row r="246" spans="1:16" s="43" customFormat="1" ht="18" customHeight="1">
      <c r="A246" s="1"/>
      <c r="B246" s="124" t="str">
        <f t="shared" si="37"/>
        <v>6单银Low-E+12A+6</v>
      </c>
      <c r="C246" s="443">
        <f t="shared" si="34"/>
        <v>-12</v>
      </c>
      <c r="D246" s="443">
        <f t="shared" si="34"/>
        <v>-12</v>
      </c>
      <c r="E246" s="32">
        <f t="shared" si="27"/>
        <v>1.44E-4</v>
      </c>
      <c r="F246" s="82">
        <f t="shared" si="35"/>
        <v>0</v>
      </c>
      <c r="G246" s="130">
        <f t="shared" si="38"/>
        <v>148</v>
      </c>
      <c r="H246" s="440">
        <f t="shared" si="36"/>
        <v>0</v>
      </c>
      <c r="I246" s="437" t="s">
        <v>168</v>
      </c>
      <c r="J246" s="129"/>
      <c r="N246" s="255"/>
      <c r="O246" s="255"/>
      <c r="P246" s="255"/>
    </row>
    <row r="247" spans="1:16" s="43" customFormat="1" ht="18" customHeight="1">
      <c r="A247" s="1"/>
      <c r="B247" s="124" t="str">
        <f t="shared" si="37"/>
        <v>6单银Low-E+12A+6</v>
      </c>
      <c r="C247" s="443">
        <f t="shared" si="34"/>
        <v>-12</v>
      </c>
      <c r="D247" s="443">
        <f t="shared" si="34"/>
        <v>-12</v>
      </c>
      <c r="E247" s="32">
        <f t="shared" si="27"/>
        <v>1.44E-4</v>
      </c>
      <c r="F247" s="82">
        <f t="shared" si="35"/>
        <v>0</v>
      </c>
      <c r="G247" s="130">
        <f t="shared" si="38"/>
        <v>148</v>
      </c>
      <c r="H247" s="440">
        <f t="shared" si="36"/>
        <v>0</v>
      </c>
      <c r="I247" s="437" t="s">
        <v>168</v>
      </c>
      <c r="J247" s="129"/>
      <c r="N247" s="255"/>
      <c r="O247" s="255"/>
      <c r="P247" s="255"/>
    </row>
    <row r="248" spans="1:16" s="43" customFormat="1" ht="18" customHeight="1">
      <c r="A248" s="1"/>
      <c r="B248" s="124" t="str">
        <f t="shared" si="37"/>
        <v>6单银Low-E+12A+6</v>
      </c>
      <c r="C248" s="443">
        <f t="shared" si="34"/>
        <v>-12</v>
      </c>
      <c r="D248" s="443">
        <f t="shared" si="34"/>
        <v>-12</v>
      </c>
      <c r="E248" s="32">
        <f t="shared" si="27"/>
        <v>1.44E-4</v>
      </c>
      <c r="F248" s="82">
        <f t="shared" si="35"/>
        <v>0</v>
      </c>
      <c r="G248" s="130">
        <f t="shared" si="38"/>
        <v>148</v>
      </c>
      <c r="H248" s="440">
        <f t="shared" si="36"/>
        <v>0</v>
      </c>
      <c r="I248" s="437" t="s">
        <v>168</v>
      </c>
      <c r="J248" s="129"/>
      <c r="N248" s="255"/>
      <c r="O248" s="255"/>
      <c r="P248" s="255"/>
    </row>
    <row r="249" spans="1:16" s="43" customFormat="1" ht="18" customHeight="1">
      <c r="A249" s="1"/>
      <c r="B249" s="124" t="str">
        <f t="shared" si="37"/>
        <v>6单银Low-E+12A+6</v>
      </c>
      <c r="C249" s="443">
        <f t="shared" si="34"/>
        <v>-12</v>
      </c>
      <c r="D249" s="443">
        <f t="shared" si="34"/>
        <v>-12</v>
      </c>
      <c r="E249" s="32">
        <f t="shared" si="27"/>
        <v>1.44E-4</v>
      </c>
      <c r="F249" s="82">
        <f t="shared" si="35"/>
        <v>0</v>
      </c>
      <c r="G249" s="130">
        <f t="shared" si="38"/>
        <v>148</v>
      </c>
      <c r="H249" s="440">
        <f t="shared" si="36"/>
        <v>0</v>
      </c>
      <c r="I249" s="437" t="s">
        <v>168</v>
      </c>
      <c r="J249" s="129"/>
      <c r="N249" s="255"/>
      <c r="O249" s="255"/>
      <c r="P249" s="255"/>
    </row>
    <row r="250" spans="1:16" s="43" customFormat="1" ht="18" customHeight="1">
      <c r="A250" s="1"/>
      <c r="B250" s="131" t="str">
        <f>B246</f>
        <v>6单银Low-E+12A+6</v>
      </c>
      <c r="C250" s="52"/>
      <c r="D250" s="50"/>
      <c r="E250" s="128"/>
      <c r="F250" s="50">
        <f>SUM(F243:F249)</f>
        <v>0</v>
      </c>
      <c r="G250" s="50"/>
      <c r="H250" s="52">
        <f>SUM(H243:H249)</f>
        <v>0</v>
      </c>
      <c r="I250" s="53">
        <f>ROUND((E243*F243+E244*F244+E245*F245+E246*F246+E247*F247+E248*F248+E249*F249),2)</f>
        <v>0</v>
      </c>
      <c r="J250" s="43">
        <f>(I242+I258+I273+I280)</f>
        <v>0</v>
      </c>
      <c r="N250" s="255"/>
      <c r="O250" s="255"/>
      <c r="P250" s="255"/>
    </row>
    <row r="251" spans="1:16" s="43" customFormat="1" ht="18" customHeight="1">
      <c r="A251" s="1"/>
      <c r="B251" s="124" t="str">
        <f>B249</f>
        <v>6单银Low-E+12A+6</v>
      </c>
      <c r="C251" s="443">
        <f t="shared" ref="C251:D257" si="39">D75-12</f>
        <v>-12</v>
      </c>
      <c r="D251" s="443">
        <f t="shared" si="39"/>
        <v>-12</v>
      </c>
      <c r="E251" s="32">
        <f t="shared" si="27"/>
        <v>1.44E-4</v>
      </c>
      <c r="F251" s="82">
        <f t="shared" ref="F251:F257" si="40">G75</f>
        <v>0</v>
      </c>
      <c r="G251" s="130">
        <f>G249</f>
        <v>148</v>
      </c>
      <c r="H251" s="440">
        <f>ROUND(E251*G251*F251,2)</f>
        <v>0</v>
      </c>
      <c r="I251" s="132" t="s">
        <v>169</v>
      </c>
      <c r="N251" s="255"/>
      <c r="O251" s="255"/>
      <c r="P251" s="255"/>
    </row>
    <row r="252" spans="1:16" s="43" customFormat="1" ht="18" customHeight="1">
      <c r="A252" s="1"/>
      <c r="B252" s="124" t="str">
        <f t="shared" ref="B252:B257" si="41">B251</f>
        <v>6单银Low-E+12A+6</v>
      </c>
      <c r="C252" s="443">
        <f t="shared" si="39"/>
        <v>-12</v>
      </c>
      <c r="D252" s="443">
        <f t="shared" si="39"/>
        <v>-12</v>
      </c>
      <c r="E252" s="32">
        <f t="shared" si="27"/>
        <v>1.44E-4</v>
      </c>
      <c r="F252" s="82">
        <f t="shared" si="40"/>
        <v>0</v>
      </c>
      <c r="G252" s="130">
        <f t="shared" ref="G252:G257" si="42">G251</f>
        <v>148</v>
      </c>
      <c r="H252" s="440">
        <f t="shared" ref="H252:H264" si="43">ROUND(E252*G252*F252,2)</f>
        <v>0</v>
      </c>
      <c r="I252" s="132" t="str">
        <f t="shared" ref="I252:I257" si="44">I251</f>
        <v>固定钢化中空</v>
      </c>
      <c r="N252" s="255"/>
      <c r="O252" s="255"/>
      <c r="P252" s="255"/>
    </row>
    <row r="253" spans="1:16" s="43" customFormat="1" ht="18" customHeight="1">
      <c r="A253" s="1"/>
      <c r="B253" s="124" t="str">
        <f t="shared" si="41"/>
        <v>6单银Low-E+12A+6</v>
      </c>
      <c r="C253" s="443">
        <f t="shared" si="39"/>
        <v>-12</v>
      </c>
      <c r="D253" s="443">
        <f t="shared" si="39"/>
        <v>-12</v>
      </c>
      <c r="E253" s="32">
        <f t="shared" si="27"/>
        <v>1.44E-4</v>
      </c>
      <c r="F253" s="82">
        <f t="shared" si="40"/>
        <v>0</v>
      </c>
      <c r="G253" s="130">
        <f t="shared" si="42"/>
        <v>148</v>
      </c>
      <c r="H253" s="440">
        <f t="shared" si="43"/>
        <v>0</v>
      </c>
      <c r="I253" s="132" t="str">
        <f t="shared" si="44"/>
        <v>固定钢化中空</v>
      </c>
      <c r="N253" s="255"/>
      <c r="O253" s="255"/>
      <c r="P253" s="255"/>
    </row>
    <row r="254" spans="1:16" s="43" customFormat="1" ht="18" customHeight="1">
      <c r="A254" s="1"/>
      <c r="B254" s="124" t="str">
        <f t="shared" si="41"/>
        <v>6单银Low-E+12A+6</v>
      </c>
      <c r="C254" s="443">
        <f t="shared" si="39"/>
        <v>-12</v>
      </c>
      <c r="D254" s="443">
        <f t="shared" si="39"/>
        <v>-12</v>
      </c>
      <c r="E254" s="32">
        <f t="shared" si="27"/>
        <v>1.44E-4</v>
      </c>
      <c r="F254" s="82">
        <f t="shared" si="40"/>
        <v>0</v>
      </c>
      <c r="G254" s="130">
        <f t="shared" si="42"/>
        <v>148</v>
      </c>
      <c r="H254" s="440">
        <f t="shared" si="43"/>
        <v>0</v>
      </c>
      <c r="I254" s="132" t="str">
        <f t="shared" si="44"/>
        <v>固定钢化中空</v>
      </c>
      <c r="J254" s="42"/>
      <c r="N254" s="255"/>
      <c r="O254" s="255"/>
      <c r="P254" s="255"/>
    </row>
    <row r="255" spans="1:16" s="43" customFormat="1" ht="18" customHeight="1">
      <c r="A255" s="1"/>
      <c r="B255" s="124" t="str">
        <f t="shared" si="41"/>
        <v>6单银Low-E+12A+6</v>
      </c>
      <c r="C255" s="443">
        <f t="shared" si="39"/>
        <v>-12</v>
      </c>
      <c r="D255" s="443">
        <f t="shared" si="39"/>
        <v>-12</v>
      </c>
      <c r="E255" s="32">
        <f t="shared" si="27"/>
        <v>1.44E-4</v>
      </c>
      <c r="F255" s="82">
        <f t="shared" si="40"/>
        <v>0</v>
      </c>
      <c r="G255" s="130">
        <f t="shared" si="42"/>
        <v>148</v>
      </c>
      <c r="H255" s="440">
        <f t="shared" si="43"/>
        <v>0</v>
      </c>
      <c r="I255" s="132" t="str">
        <f t="shared" si="44"/>
        <v>固定钢化中空</v>
      </c>
      <c r="N255" s="255"/>
      <c r="O255" s="255"/>
      <c r="P255" s="255"/>
    </row>
    <row r="256" spans="1:16" s="43" customFormat="1" ht="18" customHeight="1">
      <c r="A256" s="1"/>
      <c r="B256" s="124" t="str">
        <f t="shared" si="41"/>
        <v>6单银Low-E+12A+6</v>
      </c>
      <c r="C256" s="443">
        <f t="shared" si="39"/>
        <v>-12</v>
      </c>
      <c r="D256" s="443">
        <f t="shared" si="39"/>
        <v>-12</v>
      </c>
      <c r="E256" s="32">
        <f t="shared" si="27"/>
        <v>1.44E-4</v>
      </c>
      <c r="F256" s="82">
        <f t="shared" si="40"/>
        <v>0</v>
      </c>
      <c r="G256" s="130">
        <f t="shared" si="42"/>
        <v>148</v>
      </c>
      <c r="H256" s="440">
        <f t="shared" si="43"/>
        <v>0</v>
      </c>
      <c r="I256" s="132" t="str">
        <f t="shared" si="44"/>
        <v>固定钢化中空</v>
      </c>
      <c r="N256" s="255"/>
      <c r="O256" s="255"/>
      <c r="P256" s="255"/>
    </row>
    <row r="257" spans="1:16" s="43" customFormat="1" ht="18" customHeight="1">
      <c r="A257" s="1"/>
      <c r="B257" s="124" t="str">
        <f t="shared" si="41"/>
        <v>6单银Low-E+12A+6</v>
      </c>
      <c r="C257" s="443">
        <f t="shared" si="39"/>
        <v>-12</v>
      </c>
      <c r="D257" s="443">
        <f t="shared" si="39"/>
        <v>-12</v>
      </c>
      <c r="E257" s="32">
        <f t="shared" si="27"/>
        <v>1.44E-4</v>
      </c>
      <c r="F257" s="82">
        <f t="shared" si="40"/>
        <v>0</v>
      </c>
      <c r="G257" s="130">
        <f t="shared" si="42"/>
        <v>148</v>
      </c>
      <c r="H257" s="440">
        <f t="shared" si="43"/>
        <v>0</v>
      </c>
      <c r="I257" s="132" t="str">
        <f t="shared" si="44"/>
        <v>固定钢化中空</v>
      </c>
      <c r="N257" s="255"/>
      <c r="O257" s="255"/>
      <c r="P257" s="255"/>
    </row>
    <row r="258" spans="1:16" s="43" customFormat="1" ht="18" customHeight="1">
      <c r="A258" s="1"/>
      <c r="B258" s="48" t="s">
        <v>170</v>
      </c>
      <c r="C258" s="52"/>
      <c r="D258" s="50"/>
      <c r="E258" s="128"/>
      <c r="F258" s="50">
        <f>SUM(F251:F257)</f>
        <v>0</v>
      </c>
      <c r="G258" s="50"/>
      <c r="H258" s="52">
        <f>SUM(H251:H257)</f>
        <v>0</v>
      </c>
      <c r="I258" s="53">
        <f>ROUND((E251*F251+E252*F252+E253*F253+E254*F254+E255*F255+E256*F256+E257*F257),2)</f>
        <v>0</v>
      </c>
      <c r="N258" s="255"/>
      <c r="O258" s="255"/>
      <c r="P258" s="255"/>
    </row>
    <row r="259" spans="1:16" s="43" customFormat="1" ht="18" customHeight="1">
      <c r="A259" s="1"/>
      <c r="B259" s="124" t="str">
        <f>B257</f>
        <v>6单银Low-E+12A+6</v>
      </c>
      <c r="C259" s="443">
        <f t="shared" ref="C259:D264" si="45">D82-12</f>
        <v>-12</v>
      </c>
      <c r="D259" s="443">
        <f t="shared" si="45"/>
        <v>-12</v>
      </c>
      <c r="E259" s="32">
        <f t="shared" si="27"/>
        <v>1.44E-4</v>
      </c>
      <c r="F259" s="82">
        <f t="shared" ref="F259:F264" si="46">G82</f>
        <v>0</v>
      </c>
      <c r="G259" s="130">
        <f>G257</f>
        <v>148</v>
      </c>
      <c r="H259" s="440">
        <f t="shared" si="43"/>
        <v>0</v>
      </c>
      <c r="I259" s="437" t="s">
        <v>171</v>
      </c>
      <c r="N259" s="255"/>
      <c r="O259" s="255"/>
      <c r="P259" s="255"/>
    </row>
    <row r="260" spans="1:16" s="43" customFormat="1" ht="18" customHeight="1">
      <c r="A260" s="1"/>
      <c r="B260" s="124" t="str">
        <f>B259</f>
        <v>6单银Low-E+12A+6</v>
      </c>
      <c r="C260" s="443">
        <f t="shared" si="45"/>
        <v>-12</v>
      </c>
      <c r="D260" s="443">
        <f t="shared" si="45"/>
        <v>-12</v>
      </c>
      <c r="E260" s="32">
        <f t="shared" si="27"/>
        <v>1.44E-4</v>
      </c>
      <c r="F260" s="82">
        <f t="shared" si="46"/>
        <v>0</v>
      </c>
      <c r="G260" s="130">
        <f>G259</f>
        <v>148</v>
      </c>
      <c r="H260" s="440">
        <f t="shared" si="43"/>
        <v>0</v>
      </c>
      <c r="I260" s="437" t="s">
        <v>171</v>
      </c>
      <c r="N260" s="255"/>
      <c r="O260" s="255"/>
      <c r="P260" s="255"/>
    </row>
    <row r="261" spans="1:16" s="43" customFormat="1" ht="18" customHeight="1">
      <c r="A261" s="1"/>
      <c r="B261" s="124" t="str">
        <f>B260</f>
        <v>6单银Low-E+12A+6</v>
      </c>
      <c r="C261" s="443">
        <f t="shared" si="45"/>
        <v>-12</v>
      </c>
      <c r="D261" s="443">
        <f t="shared" si="45"/>
        <v>-12</v>
      </c>
      <c r="E261" s="32">
        <f t="shared" si="27"/>
        <v>1.44E-4</v>
      </c>
      <c r="F261" s="82">
        <f t="shared" si="46"/>
        <v>0</v>
      </c>
      <c r="G261" s="130">
        <f>G260</f>
        <v>148</v>
      </c>
      <c r="H261" s="440">
        <f t="shared" si="43"/>
        <v>0</v>
      </c>
      <c r="I261" s="437" t="s">
        <v>171</v>
      </c>
      <c r="N261" s="255"/>
      <c r="O261" s="255"/>
      <c r="P261" s="255"/>
    </row>
    <row r="262" spans="1:16" s="43" customFormat="1" ht="18" customHeight="1">
      <c r="A262" s="1"/>
      <c r="B262" s="124" t="str">
        <f>B261</f>
        <v>6单银Low-E+12A+6</v>
      </c>
      <c r="C262" s="443">
        <f t="shared" si="45"/>
        <v>-12</v>
      </c>
      <c r="D262" s="443">
        <f t="shared" si="45"/>
        <v>-12</v>
      </c>
      <c r="E262" s="32">
        <f t="shared" si="27"/>
        <v>1.44E-4</v>
      </c>
      <c r="F262" s="82">
        <f t="shared" si="46"/>
        <v>0</v>
      </c>
      <c r="G262" s="130">
        <f>G261</f>
        <v>148</v>
      </c>
      <c r="H262" s="440">
        <f t="shared" si="43"/>
        <v>0</v>
      </c>
      <c r="I262" s="437" t="s">
        <v>171</v>
      </c>
      <c r="N262" s="255"/>
      <c r="O262" s="255"/>
      <c r="P262" s="255"/>
    </row>
    <row r="263" spans="1:16" s="43" customFormat="1" ht="18" customHeight="1">
      <c r="A263" s="1"/>
      <c r="B263" s="124" t="str">
        <f>B262</f>
        <v>6单银Low-E+12A+6</v>
      </c>
      <c r="C263" s="443">
        <f t="shared" si="45"/>
        <v>-12</v>
      </c>
      <c r="D263" s="443">
        <f t="shared" si="45"/>
        <v>-12</v>
      </c>
      <c r="E263" s="32">
        <f t="shared" si="27"/>
        <v>1.44E-4</v>
      </c>
      <c r="F263" s="82">
        <f t="shared" si="46"/>
        <v>0</v>
      </c>
      <c r="G263" s="130">
        <f>G262</f>
        <v>148</v>
      </c>
      <c r="H263" s="440">
        <f t="shared" si="43"/>
        <v>0</v>
      </c>
      <c r="I263" s="437" t="s">
        <v>171</v>
      </c>
      <c r="N263" s="255"/>
      <c r="O263" s="255"/>
      <c r="P263" s="255"/>
    </row>
    <row r="264" spans="1:16" s="43" customFormat="1" ht="18" customHeight="1">
      <c r="A264" s="1"/>
      <c r="B264" s="124" t="str">
        <f>B263</f>
        <v>6单银Low-E+12A+6</v>
      </c>
      <c r="C264" s="443">
        <f t="shared" si="45"/>
        <v>-12</v>
      </c>
      <c r="D264" s="443">
        <f t="shared" si="45"/>
        <v>-12</v>
      </c>
      <c r="E264" s="32">
        <f t="shared" si="27"/>
        <v>1.44E-4</v>
      </c>
      <c r="F264" s="82">
        <f t="shared" si="46"/>
        <v>0</v>
      </c>
      <c r="G264" s="130">
        <f>G263</f>
        <v>148</v>
      </c>
      <c r="H264" s="440">
        <f t="shared" si="43"/>
        <v>0</v>
      </c>
      <c r="I264" s="437" t="s">
        <v>171</v>
      </c>
      <c r="N264" s="255"/>
      <c r="O264" s="255"/>
      <c r="P264" s="255"/>
    </row>
    <row r="265" spans="1:16" s="43" customFormat="1" ht="18" customHeight="1">
      <c r="A265" s="1"/>
      <c r="B265" s="48" t="s">
        <v>172</v>
      </c>
      <c r="C265" s="52"/>
      <c r="D265" s="50"/>
      <c r="E265" s="128"/>
      <c r="F265" s="50">
        <f>SUM(F259:F264)</f>
        <v>0</v>
      </c>
      <c r="G265" s="50"/>
      <c r="H265" s="52">
        <f>SUM(H259:H264)</f>
        <v>0</v>
      </c>
      <c r="I265" s="53">
        <f>ROUND(SUMPRODUCT(E259:E264*F259:F264),2)</f>
        <v>0</v>
      </c>
      <c r="N265" s="255"/>
      <c r="O265" s="255"/>
      <c r="P265" s="255"/>
    </row>
    <row r="266" spans="1:16" s="43" customFormat="1" ht="18" customHeight="1">
      <c r="A266" s="1"/>
      <c r="B266" s="124" t="str">
        <f>B264</f>
        <v>6单银Low-E+12A+6</v>
      </c>
      <c r="C266" s="133">
        <f t="shared" ref="C266:D268" si="47">D143</f>
        <v>-154</v>
      </c>
      <c r="D266" s="133">
        <f t="shared" si="47"/>
        <v>-154</v>
      </c>
      <c r="E266" s="32">
        <f t="shared" si="27"/>
        <v>2.3716000000000001E-2</v>
      </c>
      <c r="F266" s="134">
        <f>G143</f>
        <v>0</v>
      </c>
      <c r="G266" s="135">
        <f>G264</f>
        <v>148</v>
      </c>
      <c r="H266" s="134">
        <f>ROUND(E266*G266*F266,2)</f>
        <v>0</v>
      </c>
      <c r="I266" s="136" t="s">
        <v>173</v>
      </c>
      <c r="N266" s="255"/>
      <c r="O266" s="255"/>
      <c r="P266" s="255"/>
    </row>
    <row r="267" spans="1:16" s="43" customFormat="1" ht="18" customHeight="1">
      <c r="A267" s="1"/>
      <c r="B267" s="124" t="str">
        <f>B264</f>
        <v>6单银Low-E+12A+6</v>
      </c>
      <c r="C267" s="133">
        <f t="shared" si="47"/>
        <v>-154</v>
      </c>
      <c r="D267" s="133">
        <f t="shared" si="47"/>
        <v>-154</v>
      </c>
      <c r="E267" s="32">
        <f t="shared" si="27"/>
        <v>2.3716000000000001E-2</v>
      </c>
      <c r="F267" s="134">
        <f>G144</f>
        <v>0</v>
      </c>
      <c r="G267" s="135">
        <f>G266</f>
        <v>148</v>
      </c>
      <c r="H267" s="134">
        <f>ROUND(E267*G267*F267,2)</f>
        <v>0</v>
      </c>
      <c r="I267" s="136" t="s">
        <v>173</v>
      </c>
      <c r="N267" s="255"/>
      <c r="O267" s="255"/>
      <c r="P267" s="255"/>
    </row>
    <row r="268" spans="1:16" s="43" customFormat="1" ht="18" customHeight="1">
      <c r="A268" s="1"/>
      <c r="B268" s="124" t="str">
        <f>B267</f>
        <v>6单银Low-E+12A+6</v>
      </c>
      <c r="C268" s="133">
        <f t="shared" si="47"/>
        <v>-154</v>
      </c>
      <c r="D268" s="133">
        <f t="shared" si="47"/>
        <v>-154</v>
      </c>
      <c r="E268" s="32">
        <f t="shared" si="27"/>
        <v>2.3716000000000001E-2</v>
      </c>
      <c r="F268" s="134">
        <f>G145</f>
        <v>0</v>
      </c>
      <c r="G268" s="135">
        <f>G267</f>
        <v>148</v>
      </c>
      <c r="H268" s="134">
        <f>ROUND(E268*G268*F268,2)</f>
        <v>0</v>
      </c>
      <c r="I268" s="136" t="s">
        <v>173</v>
      </c>
      <c r="N268" s="255"/>
      <c r="O268" s="255"/>
      <c r="P268" s="255"/>
    </row>
    <row r="269" spans="1:16" s="43" customFormat="1" ht="18" customHeight="1">
      <c r="A269" s="1"/>
      <c r="B269" s="48" t="s">
        <v>174</v>
      </c>
      <c r="C269" s="52"/>
      <c r="D269" s="50"/>
      <c r="E269" s="128"/>
      <c r="F269" s="50">
        <f>SUM(F266:F268)</f>
        <v>0</v>
      </c>
      <c r="G269" s="50"/>
      <c r="H269" s="52">
        <f>SUM(H266:H268)</f>
        <v>0</v>
      </c>
      <c r="I269" s="53">
        <f>ROUND((E266*F266+E267*F267+E268*F268),2)</f>
        <v>0</v>
      </c>
      <c r="N269" s="255"/>
      <c r="O269" s="255"/>
      <c r="P269" s="255"/>
    </row>
    <row r="270" spans="1:16" s="43" customFormat="1" ht="18" customHeight="1">
      <c r="A270" s="1"/>
      <c r="B270" s="124" t="str">
        <f>B268</f>
        <v>6单银Low-E+12A+6</v>
      </c>
      <c r="C270" s="133">
        <f t="shared" ref="C270:D272" si="48">D150</f>
        <v>-160</v>
      </c>
      <c r="D270" s="133">
        <f t="shared" si="48"/>
        <v>-160</v>
      </c>
      <c r="E270" s="32">
        <f t="shared" si="27"/>
        <v>2.5600000000000001E-2</v>
      </c>
      <c r="F270" s="134">
        <f>G150</f>
        <v>0</v>
      </c>
      <c r="G270" s="135">
        <f>G268</f>
        <v>148</v>
      </c>
      <c r="H270" s="134">
        <f>ROUND(E270*G270*F270,2)</f>
        <v>0</v>
      </c>
      <c r="I270" s="136" t="s">
        <v>173</v>
      </c>
      <c r="N270" s="255"/>
      <c r="O270" s="255"/>
      <c r="P270" s="255"/>
    </row>
    <row r="271" spans="1:16" s="43" customFormat="1" ht="18" customHeight="1">
      <c r="A271" s="1"/>
      <c r="B271" s="124" t="str">
        <f>B270</f>
        <v>6单银Low-E+12A+6</v>
      </c>
      <c r="C271" s="133">
        <f t="shared" si="48"/>
        <v>-160</v>
      </c>
      <c r="D271" s="133">
        <f t="shared" si="48"/>
        <v>-160</v>
      </c>
      <c r="E271" s="32">
        <f t="shared" si="27"/>
        <v>2.5600000000000001E-2</v>
      </c>
      <c r="F271" s="134">
        <f>G151</f>
        <v>0</v>
      </c>
      <c r="G271" s="135">
        <f>G270</f>
        <v>148</v>
      </c>
      <c r="H271" s="134">
        <f>ROUND(E271*G271*F271,2)</f>
        <v>0</v>
      </c>
      <c r="I271" s="136" t="s">
        <v>173</v>
      </c>
      <c r="N271" s="255"/>
      <c r="O271" s="255"/>
      <c r="P271" s="255"/>
    </row>
    <row r="272" spans="1:16" s="43" customFormat="1" ht="18" customHeight="1">
      <c r="A272" s="1"/>
      <c r="B272" s="124" t="str">
        <f>B271</f>
        <v>6单银Low-E+12A+6</v>
      </c>
      <c r="C272" s="133">
        <f t="shared" si="48"/>
        <v>-160</v>
      </c>
      <c r="D272" s="133">
        <f t="shared" si="48"/>
        <v>-160</v>
      </c>
      <c r="E272" s="32">
        <f t="shared" si="27"/>
        <v>2.5600000000000001E-2</v>
      </c>
      <c r="F272" s="134">
        <f>G152</f>
        <v>0</v>
      </c>
      <c r="G272" s="135">
        <f>G271</f>
        <v>148</v>
      </c>
      <c r="H272" s="134">
        <f>ROUND(E272*G272*F272,2)</f>
        <v>0</v>
      </c>
      <c r="I272" s="136" t="s">
        <v>173</v>
      </c>
      <c r="N272" s="255"/>
      <c r="O272" s="255"/>
      <c r="P272" s="255"/>
    </row>
    <row r="273" spans="1:16" s="43" customFormat="1" ht="18" customHeight="1">
      <c r="A273" s="1"/>
      <c r="B273" s="48" t="s">
        <v>175</v>
      </c>
      <c r="C273" s="52"/>
      <c r="D273" s="50"/>
      <c r="E273" s="128"/>
      <c r="F273" s="50">
        <f>SUM(F270:F272)</f>
        <v>0</v>
      </c>
      <c r="G273" s="50"/>
      <c r="H273" s="52">
        <f>SUM(H270:H272)</f>
        <v>0</v>
      </c>
      <c r="I273" s="53">
        <f>ROUND((E270*F270+E271*F271+E272*F272),2)</f>
        <v>0</v>
      </c>
      <c r="N273" s="255"/>
      <c r="O273" s="255"/>
      <c r="P273" s="255"/>
    </row>
    <row r="274" spans="1:16" ht="18" customHeight="1">
      <c r="B274" s="124" t="str">
        <f>B272</f>
        <v>6单银Low-E+12A+6</v>
      </c>
      <c r="C274" s="133">
        <f t="shared" ref="C274:D279" si="49">D157-12</f>
        <v>-12</v>
      </c>
      <c r="D274" s="133">
        <f t="shared" si="49"/>
        <v>-12</v>
      </c>
      <c r="E274" s="32">
        <f t="shared" si="27"/>
        <v>1.44E-4</v>
      </c>
      <c r="F274" s="134">
        <f t="shared" ref="F274:F279" si="50">G157</f>
        <v>0</v>
      </c>
      <c r="G274" s="135">
        <f>G272</f>
        <v>148</v>
      </c>
      <c r="H274" s="134">
        <f t="shared" ref="H274:H279" si="51">ROUND(E274*G274*F274,2)</f>
        <v>0</v>
      </c>
      <c r="I274" s="136" t="s">
        <v>176</v>
      </c>
    </row>
    <row r="275" spans="1:16" ht="18" customHeight="1">
      <c r="B275" s="124" t="str">
        <f>B274</f>
        <v>6单银Low-E+12A+6</v>
      </c>
      <c r="C275" s="133">
        <f t="shared" si="49"/>
        <v>-12</v>
      </c>
      <c r="D275" s="133">
        <f t="shared" si="49"/>
        <v>-12</v>
      </c>
      <c r="E275" s="32">
        <f t="shared" si="27"/>
        <v>1.44E-4</v>
      </c>
      <c r="F275" s="134">
        <f t="shared" si="50"/>
        <v>0</v>
      </c>
      <c r="G275" s="135">
        <f>G274</f>
        <v>148</v>
      </c>
      <c r="H275" s="134">
        <f t="shared" si="51"/>
        <v>0</v>
      </c>
      <c r="I275" s="136" t="str">
        <f>I274</f>
        <v>门钢化中空玻璃</v>
      </c>
      <c r="K275" s="43" t="s">
        <v>177</v>
      </c>
    </row>
    <row r="276" spans="1:16" ht="18" customHeight="1">
      <c r="B276" s="124" t="str">
        <f>B275</f>
        <v>6单银Low-E+12A+6</v>
      </c>
      <c r="C276" s="133">
        <f t="shared" si="49"/>
        <v>-12</v>
      </c>
      <c r="D276" s="133">
        <f t="shared" si="49"/>
        <v>-12</v>
      </c>
      <c r="E276" s="32">
        <f t="shared" si="27"/>
        <v>1.44E-4</v>
      </c>
      <c r="F276" s="134">
        <f t="shared" si="50"/>
        <v>0</v>
      </c>
      <c r="G276" s="135">
        <f>G275</f>
        <v>148</v>
      </c>
      <c r="H276" s="134">
        <f t="shared" si="51"/>
        <v>0</v>
      </c>
      <c r="I276" s="136" t="str">
        <f>I275</f>
        <v>门钢化中空玻璃</v>
      </c>
    </row>
    <row r="277" spans="1:16" ht="18" customHeight="1">
      <c r="B277" s="124" t="str">
        <f>B276</f>
        <v>6单银Low-E+12A+6</v>
      </c>
      <c r="C277" s="133">
        <f t="shared" si="49"/>
        <v>-12</v>
      </c>
      <c r="D277" s="133">
        <f t="shared" si="49"/>
        <v>-12</v>
      </c>
      <c r="E277" s="32">
        <f t="shared" si="27"/>
        <v>1.44E-4</v>
      </c>
      <c r="F277" s="134">
        <f t="shared" si="50"/>
        <v>0</v>
      </c>
      <c r="G277" s="135">
        <f>G276</f>
        <v>148</v>
      </c>
      <c r="H277" s="134">
        <f t="shared" si="51"/>
        <v>0</v>
      </c>
      <c r="I277" s="136" t="str">
        <f>I276</f>
        <v>门钢化中空玻璃</v>
      </c>
    </row>
    <row r="278" spans="1:16" ht="18" customHeight="1">
      <c r="B278" s="124" t="str">
        <f>B277</f>
        <v>6单银Low-E+12A+6</v>
      </c>
      <c r="C278" s="133">
        <f t="shared" si="49"/>
        <v>-12</v>
      </c>
      <c r="D278" s="133">
        <f t="shared" si="49"/>
        <v>-12</v>
      </c>
      <c r="E278" s="32">
        <f t="shared" si="27"/>
        <v>1.44E-4</v>
      </c>
      <c r="F278" s="134">
        <f t="shared" si="50"/>
        <v>0</v>
      </c>
      <c r="G278" s="135">
        <f>G277</f>
        <v>148</v>
      </c>
      <c r="H278" s="134">
        <f t="shared" si="51"/>
        <v>0</v>
      </c>
      <c r="I278" s="136" t="str">
        <f>I277</f>
        <v>门钢化中空玻璃</v>
      </c>
    </row>
    <row r="279" spans="1:16" ht="18" customHeight="1">
      <c r="B279" s="124" t="str">
        <f>B278</f>
        <v>6单银Low-E+12A+6</v>
      </c>
      <c r="C279" s="133">
        <f t="shared" si="49"/>
        <v>-12</v>
      </c>
      <c r="D279" s="133">
        <f t="shared" si="49"/>
        <v>-12</v>
      </c>
      <c r="E279" s="32">
        <f t="shared" si="27"/>
        <v>1.44E-4</v>
      </c>
      <c r="F279" s="134">
        <f t="shared" si="50"/>
        <v>0</v>
      </c>
      <c r="G279" s="135">
        <f>G278</f>
        <v>148</v>
      </c>
      <c r="H279" s="134">
        <f t="shared" si="51"/>
        <v>0</v>
      </c>
      <c r="I279" s="136" t="str">
        <f>I278</f>
        <v>门钢化中空玻璃</v>
      </c>
    </row>
    <row r="280" spans="1:16" ht="18" customHeight="1">
      <c r="B280" s="48" t="s">
        <v>178</v>
      </c>
      <c r="C280" s="52"/>
      <c r="D280" s="50"/>
      <c r="E280" s="128"/>
      <c r="F280" s="50">
        <f>SUM(F274:F279)</f>
        <v>0</v>
      </c>
      <c r="G280" s="50"/>
      <c r="H280" s="52">
        <f>SUM(H274:H279)</f>
        <v>0</v>
      </c>
      <c r="I280" s="53">
        <f>ROUND(SUMPRODUCT(E274:E279*F274:F279),2)</f>
        <v>0</v>
      </c>
    </row>
    <row r="281" spans="1:16" ht="18" customHeight="1">
      <c r="B281" s="124" t="str">
        <f>材料价格!A10</f>
        <v>6单银Low-E+12A+6</v>
      </c>
      <c r="C281" s="133">
        <f>C252</f>
        <v>-12</v>
      </c>
      <c r="D281" s="133">
        <f>D252</f>
        <v>-12</v>
      </c>
      <c r="E281" s="32">
        <f t="shared" si="27"/>
        <v>1.44E-4</v>
      </c>
      <c r="F281" s="134"/>
      <c r="G281" s="137">
        <f>材料价格!B10</f>
        <v>148</v>
      </c>
      <c r="H281" s="134">
        <f>ROUND(E281*G281*F281,2)</f>
        <v>0</v>
      </c>
      <c r="I281" s="437" t="s">
        <v>179</v>
      </c>
    </row>
    <row r="282" spans="1:16" ht="18" customHeight="1">
      <c r="B282" s="124" t="str">
        <f>B281</f>
        <v>6单银Low-E+12A+6</v>
      </c>
      <c r="C282" s="133">
        <f>C253</f>
        <v>-12</v>
      </c>
      <c r="D282" s="133">
        <f>D253</f>
        <v>-12</v>
      </c>
      <c r="E282" s="32">
        <f t="shared" si="27"/>
        <v>1.44E-4</v>
      </c>
      <c r="F282" s="134"/>
      <c r="G282" s="135">
        <f>G281</f>
        <v>148</v>
      </c>
      <c r="H282" s="134">
        <f>ROUND(E282*G282*F282,2)</f>
        <v>0</v>
      </c>
      <c r="I282" s="437" t="s">
        <v>179</v>
      </c>
      <c r="J282" s="255"/>
      <c r="K282" s="255"/>
      <c r="L282" s="255"/>
      <c r="M282" s="255"/>
    </row>
    <row r="283" spans="1:16" ht="18" customHeight="1">
      <c r="B283" s="124" t="str">
        <f>B282</f>
        <v>6单银Low-E+12A+6</v>
      </c>
      <c r="C283" s="133">
        <f>D84-12</f>
        <v>-12</v>
      </c>
      <c r="D283" s="133">
        <f>E84-12</f>
        <v>-12</v>
      </c>
      <c r="E283" s="32">
        <f t="shared" si="27"/>
        <v>1.44E-4</v>
      </c>
      <c r="F283" s="134">
        <f>G84</f>
        <v>0</v>
      </c>
      <c r="G283" s="135">
        <f>G282</f>
        <v>148</v>
      </c>
      <c r="H283" s="134">
        <f>ROUND(E283*G283*F283,2)</f>
        <v>0</v>
      </c>
      <c r="I283" s="437" t="s">
        <v>179</v>
      </c>
      <c r="J283" s="255"/>
      <c r="K283" s="255"/>
      <c r="L283" s="255"/>
      <c r="M283" s="255"/>
    </row>
    <row r="284" spans="1:16" ht="18" customHeight="1">
      <c r="B284" s="124" t="str">
        <f>B283</f>
        <v>6单银Low-E+12A+6</v>
      </c>
      <c r="C284" s="133">
        <f>D85-12</f>
        <v>-12</v>
      </c>
      <c r="D284" s="133">
        <f>E85-12</f>
        <v>-12</v>
      </c>
      <c r="E284" s="32">
        <f t="shared" si="27"/>
        <v>1.44E-4</v>
      </c>
      <c r="F284" s="134">
        <f>G85</f>
        <v>0</v>
      </c>
      <c r="G284" s="135">
        <f>G283</f>
        <v>148</v>
      </c>
      <c r="H284" s="134">
        <f>ROUND(E284*G284*F284,2)</f>
        <v>0</v>
      </c>
      <c r="I284" s="437" t="s">
        <v>179</v>
      </c>
      <c r="J284" s="255"/>
      <c r="K284" s="255"/>
      <c r="L284" s="255"/>
      <c r="M284" s="255"/>
    </row>
    <row r="285" spans="1:16" ht="18" customHeight="1">
      <c r="B285" s="48" t="s">
        <v>180</v>
      </c>
      <c r="C285" s="52"/>
      <c r="D285" s="50"/>
      <c r="E285" s="50"/>
      <c r="F285" s="50">
        <f>SUM(F281:F284)</f>
        <v>0</v>
      </c>
      <c r="G285" s="50"/>
      <c r="H285" s="52">
        <f>SUM(H281:H284)</f>
        <v>0</v>
      </c>
      <c r="I285" s="53">
        <f>ROUND((E281*F281+E282*F282+E283*F283+E284*F284),2)</f>
        <v>0</v>
      </c>
      <c r="J285" s="255"/>
      <c r="K285" s="255"/>
      <c r="L285" s="255"/>
      <c r="M285" s="255"/>
    </row>
    <row r="286" spans="1:16" ht="18" customHeight="1">
      <c r="B286" s="124" t="str">
        <f>材料价格!A11</f>
        <v>8单银Low-E+12Ar+8+12A+8mm</v>
      </c>
      <c r="C286" s="133"/>
      <c r="D286" s="133"/>
      <c r="E286" s="32">
        <f>C286*D286/10^6</f>
        <v>0</v>
      </c>
      <c r="F286" s="134"/>
      <c r="G286" s="137">
        <f>材料价格!B11</f>
        <v>312</v>
      </c>
      <c r="H286" s="134">
        <f>ROUND(E286*G286*F286,2)</f>
        <v>0</v>
      </c>
      <c r="I286" s="437" t="s">
        <v>181</v>
      </c>
      <c r="J286" s="255"/>
      <c r="K286" s="255"/>
      <c r="L286" s="255"/>
      <c r="M286" s="255"/>
    </row>
    <row r="287" spans="1:16" ht="18" customHeight="1">
      <c r="B287" s="124" t="str">
        <f>B286</f>
        <v>8单银Low-E+12Ar+8+12A+8mm</v>
      </c>
      <c r="C287" s="133"/>
      <c r="D287" s="133"/>
      <c r="E287" s="32">
        <f>C287*D287/10^6</f>
        <v>0</v>
      </c>
      <c r="F287" s="134"/>
      <c r="G287" s="135">
        <f>G286</f>
        <v>312</v>
      </c>
      <c r="H287" s="134">
        <f>ROUND(E287*G287*F287,2)</f>
        <v>0</v>
      </c>
      <c r="I287" s="437" t="s">
        <v>181</v>
      </c>
      <c r="J287" s="255"/>
      <c r="K287" s="255"/>
      <c r="L287" s="255"/>
      <c r="M287" s="255"/>
    </row>
    <row r="288" spans="1:16" ht="18" customHeight="1">
      <c r="B288" s="138" t="str">
        <f>材料价格!A12</f>
        <v>10单银Low-E+12Ar+10+12A+10mm</v>
      </c>
      <c r="C288" s="139"/>
      <c r="D288" s="139"/>
      <c r="E288" s="140">
        <f>C288*D288/10^6</f>
        <v>0</v>
      </c>
      <c r="F288" s="141"/>
      <c r="G288" s="142">
        <f>材料价格!B12</f>
        <v>395</v>
      </c>
      <c r="H288" s="141">
        <f>ROUND(E288*G288*F288,2)</f>
        <v>0</v>
      </c>
      <c r="I288" s="143" t="s">
        <v>181</v>
      </c>
      <c r="J288" s="255"/>
      <c r="K288" s="255"/>
      <c r="L288" s="255"/>
      <c r="M288" s="255"/>
    </row>
    <row r="289" spans="2:13" ht="18" customHeight="1">
      <c r="B289" s="138" t="str">
        <f>B288</f>
        <v>10单银Low-E+12Ar+10+12A+10mm</v>
      </c>
      <c r="C289" s="139"/>
      <c r="D289" s="139"/>
      <c r="E289" s="140">
        <f>C289*D289/10^6</f>
        <v>0</v>
      </c>
      <c r="F289" s="141"/>
      <c r="G289" s="142">
        <f>G288</f>
        <v>395</v>
      </c>
      <c r="H289" s="141">
        <f>ROUND(E289*G289*F289,2)</f>
        <v>0</v>
      </c>
      <c r="I289" s="143" t="s">
        <v>181</v>
      </c>
      <c r="J289" s="255"/>
      <c r="K289" s="255"/>
      <c r="L289" s="255"/>
      <c r="M289" s="255"/>
    </row>
    <row r="290" spans="2:13" ht="18" customHeight="1">
      <c r="B290" s="48" t="s">
        <v>180</v>
      </c>
      <c r="C290" s="52"/>
      <c r="D290" s="50"/>
      <c r="E290" s="50"/>
      <c r="F290" s="50">
        <f>SUM(F286:F289)</f>
        <v>0</v>
      </c>
      <c r="G290" s="50"/>
      <c r="H290" s="52">
        <f>SUM(H286:H289)</f>
        <v>0</v>
      </c>
      <c r="I290" s="53">
        <f>ROUND((E286*F286+E287*F287+E288*F288+E289*F289),2)</f>
        <v>0</v>
      </c>
      <c r="J290" s="255"/>
      <c r="K290" s="255"/>
      <c r="L290" s="255"/>
      <c r="M290" s="255"/>
    </row>
    <row r="291" spans="2:13" ht="18" customHeight="1">
      <c r="B291" s="642" t="s">
        <v>182</v>
      </c>
      <c r="C291" s="144" t="s">
        <v>183</v>
      </c>
      <c r="D291" s="144" cm="1">
        <f t="array" ref="D291">SUMPRODUCT(E225:E232*F225:F232)+SUMPRODUCT(E243:E249*F243:F249)</f>
        <v>0.55436399999999997</v>
      </c>
      <c r="E291" s="144" t="s">
        <v>184</v>
      </c>
      <c r="F291" s="145">
        <f>F233+F250</f>
        <v>2</v>
      </c>
      <c r="G291" s="145" t="s">
        <v>185</v>
      </c>
      <c r="H291" s="144">
        <f>H233+H250</f>
        <v>82.05</v>
      </c>
      <c r="I291" s="146">
        <f>H291/F366</f>
        <v>82.346447209955841</v>
      </c>
      <c r="J291" s="255"/>
      <c r="K291" s="255"/>
      <c r="L291" s="255"/>
      <c r="M291" s="255"/>
    </row>
    <row r="292" spans="2:13" ht="18" customHeight="1">
      <c r="B292" s="642"/>
      <c r="C292" s="144" t="s">
        <v>186</v>
      </c>
      <c r="D292" s="144">
        <f>SUMPRODUCT(E234:E241*F234:F241)+SUMPRODUCT(E251:E257*F251:F257)+SUMPRODUCT(E259:E264*F259:F264)+SUMPRODUCT(E266:E268*F266:F268)+SUMPRODUCT(E270:E272*F270:F272)+SUMPRODUCT(E281:E284*F281:F284)+SUMPRODUCT(E286:E289*F286:F289)+SUMPRODUCT(E274:E279*F274:F279)</f>
        <v>0</v>
      </c>
      <c r="E292" s="144" t="s">
        <v>186</v>
      </c>
      <c r="F292" s="145">
        <f>F242+F258+F265+F269+F273+F285+F290+F280</f>
        <v>0</v>
      </c>
      <c r="G292" s="145" t="s">
        <v>185</v>
      </c>
      <c r="H292" s="144">
        <f>H242+H258+H265+H269+H273+H280+H285+H290</f>
        <v>0</v>
      </c>
      <c r="I292" s="146">
        <f>H292/F366</f>
        <v>0</v>
      </c>
      <c r="J292" s="255"/>
      <c r="K292" s="255"/>
      <c r="L292" s="255"/>
      <c r="M292" s="255"/>
    </row>
    <row r="293" spans="2:13" ht="18" customHeight="1">
      <c r="B293" s="23" t="s">
        <v>187</v>
      </c>
      <c r="C293" s="442" t="s">
        <v>188</v>
      </c>
      <c r="D293" s="68" t="s">
        <v>189</v>
      </c>
      <c r="E293" s="442" t="s">
        <v>8</v>
      </c>
      <c r="F293" s="442" t="s">
        <v>190</v>
      </c>
      <c r="G293" s="442" t="s">
        <v>191</v>
      </c>
      <c r="H293" s="442" t="s">
        <v>160</v>
      </c>
      <c r="I293" s="25" t="s">
        <v>1</v>
      </c>
      <c r="J293" s="255"/>
      <c r="K293" s="255"/>
      <c r="L293" s="255"/>
      <c r="M293" s="255"/>
    </row>
    <row r="294" spans="2:13" ht="18" customHeight="1">
      <c r="B294" s="629" t="s">
        <v>192</v>
      </c>
      <c r="C294" s="443">
        <f>D26</f>
        <v>0</v>
      </c>
      <c r="D294" s="440"/>
      <c r="E294" s="440"/>
      <c r="F294" s="440" t="s">
        <v>193</v>
      </c>
      <c r="G294" s="108">
        <f>材料价格!B14</f>
        <v>153</v>
      </c>
      <c r="H294" s="147">
        <f>E294*G294</f>
        <v>0</v>
      </c>
      <c r="I294" s="632" t="s">
        <v>194</v>
      </c>
      <c r="J294" s="255"/>
      <c r="K294" s="255"/>
      <c r="L294" s="255"/>
      <c r="M294" s="255"/>
    </row>
    <row r="295" spans="2:13" ht="18" customHeight="1">
      <c r="B295" s="629"/>
      <c r="C295" s="443"/>
      <c r="D295" s="440"/>
      <c r="E295" s="440"/>
      <c r="F295" s="440"/>
      <c r="G295" s="108"/>
      <c r="H295" s="147">
        <f t="shared" ref="H295:H303" si="52">E295*G295</f>
        <v>0</v>
      </c>
      <c r="I295" s="633"/>
      <c r="J295" s="255"/>
      <c r="K295" s="255"/>
      <c r="L295" s="255"/>
      <c r="M295" s="255"/>
    </row>
    <row r="296" spans="2:13" ht="18" customHeight="1">
      <c r="B296" s="629" t="s">
        <v>195</v>
      </c>
      <c r="C296" s="443"/>
      <c r="D296" s="148"/>
      <c r="E296" s="440"/>
      <c r="F296" s="440" t="str">
        <f>F294</f>
        <v>坚朗</v>
      </c>
      <c r="G296" s="108">
        <f>材料价格!B15</f>
        <v>80</v>
      </c>
      <c r="H296" s="147">
        <f t="shared" si="52"/>
        <v>0</v>
      </c>
      <c r="I296" s="632" t="s">
        <v>196</v>
      </c>
      <c r="J296" s="255"/>
      <c r="K296" s="255"/>
      <c r="L296" s="255"/>
      <c r="M296" s="255"/>
    </row>
    <row r="297" spans="2:13" ht="18" customHeight="1">
      <c r="B297" s="629"/>
      <c r="C297" s="443"/>
      <c r="D297" s="148"/>
      <c r="E297" s="440"/>
      <c r="F297" s="440"/>
      <c r="G297" s="108"/>
      <c r="H297" s="147">
        <f t="shared" si="52"/>
        <v>0</v>
      </c>
      <c r="I297" s="633"/>
      <c r="J297" s="255"/>
      <c r="K297" s="255"/>
      <c r="L297" s="255"/>
      <c r="M297" s="255"/>
    </row>
    <row r="298" spans="2:13" ht="18" customHeight="1">
      <c r="B298" s="629" t="s">
        <v>197</v>
      </c>
      <c r="C298" s="443"/>
      <c r="D298" s="148"/>
      <c r="E298" s="440">
        <v>2</v>
      </c>
      <c r="F298" s="440" t="str">
        <f>F296</f>
        <v>坚朗</v>
      </c>
      <c r="G298" s="108">
        <f>材料价格!B16</f>
        <v>88</v>
      </c>
      <c r="H298" s="147">
        <f t="shared" si="52"/>
        <v>176</v>
      </c>
      <c r="I298" s="633"/>
      <c r="J298" s="255"/>
      <c r="K298" s="255"/>
      <c r="L298" s="255"/>
      <c r="M298" s="255"/>
    </row>
    <row r="299" spans="2:13" ht="18" customHeight="1">
      <c r="B299" s="629"/>
      <c r="C299" s="443"/>
      <c r="D299" s="148"/>
      <c r="E299" s="440"/>
      <c r="F299" s="440"/>
      <c r="G299" s="108"/>
      <c r="H299" s="147">
        <f t="shared" si="52"/>
        <v>0</v>
      </c>
      <c r="I299" s="633"/>
      <c r="J299" s="255"/>
      <c r="K299" s="255"/>
      <c r="L299" s="255"/>
      <c r="M299" s="255"/>
    </row>
    <row r="300" spans="2:13" ht="18" customHeight="1">
      <c r="B300" s="629" t="s">
        <v>198</v>
      </c>
      <c r="C300" s="443">
        <f>D35</f>
        <v>905</v>
      </c>
      <c r="D300" s="148"/>
      <c r="E300" s="440"/>
      <c r="F300" s="440" t="str">
        <f>F298</f>
        <v>坚朗</v>
      </c>
      <c r="G300" s="108">
        <f>材料价格!B17</f>
        <v>115</v>
      </c>
      <c r="H300" s="147">
        <f t="shared" si="52"/>
        <v>0</v>
      </c>
      <c r="I300" s="149"/>
      <c r="J300" s="255"/>
      <c r="K300" s="255"/>
      <c r="L300" s="255"/>
      <c r="M300" s="255"/>
    </row>
    <row r="301" spans="2:13" ht="18" customHeight="1">
      <c r="B301" s="629"/>
      <c r="C301" s="443"/>
      <c r="D301" s="148"/>
      <c r="E301" s="440"/>
      <c r="F301" s="440"/>
      <c r="G301" s="108"/>
      <c r="H301" s="147">
        <f t="shared" si="52"/>
        <v>0</v>
      </c>
      <c r="I301" s="149"/>
      <c r="J301" s="255"/>
      <c r="K301" s="255"/>
      <c r="L301" s="255"/>
      <c r="M301" s="255"/>
    </row>
    <row r="302" spans="2:13" ht="18" customHeight="1">
      <c r="B302" s="629" t="s">
        <v>199</v>
      </c>
      <c r="C302" s="440" t="s">
        <v>200</v>
      </c>
      <c r="D302" s="148"/>
      <c r="E302" s="440"/>
      <c r="F302" s="440" t="str">
        <f>F300</f>
        <v>坚朗</v>
      </c>
      <c r="G302" s="108">
        <f>材料价格!B19</f>
        <v>230</v>
      </c>
      <c r="H302" s="147">
        <f t="shared" si="52"/>
        <v>0</v>
      </c>
      <c r="I302" s="437"/>
      <c r="J302" s="255"/>
      <c r="K302" s="255"/>
      <c r="L302" s="255"/>
      <c r="M302" s="255"/>
    </row>
    <row r="303" spans="2:13" ht="18" customHeight="1">
      <c r="B303" s="629"/>
      <c r="C303" s="440" t="s">
        <v>201</v>
      </c>
      <c r="D303" s="148"/>
      <c r="E303" s="440"/>
      <c r="F303" s="440" t="str">
        <f>F302</f>
        <v>坚朗</v>
      </c>
      <c r="G303" s="108">
        <f>材料价格!B20</f>
        <v>335</v>
      </c>
      <c r="H303" s="147">
        <f t="shared" si="52"/>
        <v>0</v>
      </c>
      <c r="I303" s="437"/>
      <c r="J303" s="255"/>
      <c r="K303" s="255"/>
      <c r="L303" s="255"/>
      <c r="M303" s="255"/>
    </row>
    <row r="304" spans="2:13" ht="18" customHeight="1">
      <c r="B304" s="150" t="s">
        <v>202</v>
      </c>
      <c r="C304" s="50"/>
      <c r="D304" s="50"/>
      <c r="E304" s="50">
        <f>SUM(E294:E303)</f>
        <v>2</v>
      </c>
      <c r="F304" s="50"/>
      <c r="G304" s="166"/>
      <c r="H304" s="151">
        <f>SUM(H294:H303)</f>
        <v>176</v>
      </c>
      <c r="I304" s="152"/>
      <c r="J304" s="42"/>
    </row>
    <row r="305" spans="1:16" ht="18" customHeight="1">
      <c r="B305" s="436" t="s">
        <v>300</v>
      </c>
      <c r="C305" s="440"/>
      <c r="D305" s="148"/>
      <c r="E305" s="443">
        <f>E294+E296</f>
        <v>0</v>
      </c>
      <c r="F305" s="148"/>
      <c r="G305" s="148">
        <f>材料价格!B27</f>
        <v>0</v>
      </c>
      <c r="H305" s="154">
        <f>E305*G305</f>
        <v>0</v>
      </c>
      <c r="I305" s="437" t="s">
        <v>203</v>
      </c>
    </row>
    <row r="306" spans="1:16" s="16" customFormat="1" ht="18" customHeight="1">
      <c r="A306" s="1"/>
      <c r="B306" s="436" t="s">
        <v>204</v>
      </c>
      <c r="C306" s="440"/>
      <c r="D306" s="148"/>
      <c r="E306" s="443">
        <f>E298+E299+E300+E301</f>
        <v>2</v>
      </c>
      <c r="F306" s="148"/>
      <c r="G306" s="148">
        <f>材料价格!B28</f>
        <v>118</v>
      </c>
      <c r="H306" s="154">
        <f>E306*G306</f>
        <v>236</v>
      </c>
      <c r="I306" s="437" t="s">
        <v>205</v>
      </c>
      <c r="J306" s="43"/>
      <c r="K306" s="43"/>
      <c r="L306" s="43"/>
      <c r="M306" s="43"/>
      <c r="N306" s="255"/>
      <c r="O306" s="255"/>
      <c r="P306" s="255"/>
    </row>
    <row r="307" spans="1:16" s="16" customFormat="1" ht="18" customHeight="1">
      <c r="A307" s="1"/>
      <c r="B307" s="436" t="s">
        <v>206</v>
      </c>
      <c r="C307" s="440"/>
      <c r="D307" s="148"/>
      <c r="E307" s="443"/>
      <c r="F307" s="148"/>
      <c r="G307" s="148"/>
      <c r="H307" s="154">
        <f>E307*G307</f>
        <v>0</v>
      </c>
      <c r="I307" s="437" t="s">
        <v>207</v>
      </c>
      <c r="J307" s="43"/>
      <c r="K307" s="43"/>
      <c r="L307" s="43"/>
      <c r="M307" s="43"/>
      <c r="N307" s="255"/>
      <c r="O307" s="255"/>
      <c r="P307" s="255"/>
    </row>
    <row r="308" spans="1:16" s="16" customFormat="1" ht="18" customHeight="1">
      <c r="A308" s="1"/>
      <c r="B308" s="150" t="s">
        <v>208</v>
      </c>
      <c r="C308" s="50"/>
      <c r="D308" s="50"/>
      <c r="E308" s="100">
        <f>SUM(E305:E307)</f>
        <v>2</v>
      </c>
      <c r="F308" s="50"/>
      <c r="G308" s="166"/>
      <c r="H308" s="155">
        <f>SUM(H305:H307)</f>
        <v>236</v>
      </c>
      <c r="I308" s="152"/>
      <c r="J308" s="43"/>
      <c r="K308" s="43"/>
      <c r="L308" s="43"/>
      <c r="M308" s="43"/>
      <c r="N308" s="255"/>
      <c r="O308" s="255"/>
      <c r="P308" s="255"/>
    </row>
    <row r="309" spans="1:16" s="16" customFormat="1" ht="18" customHeight="1">
      <c r="A309" s="1"/>
      <c r="B309" s="156" t="s">
        <v>209</v>
      </c>
      <c r="C309" s="157">
        <f>ROUND(IF(D4&lt;=200,4,0)+IF(D4&gt;200,(D4/200+1))+IF(E4&lt;=200,4,0)+IF(E4&gt;200,(E4/200+1)),0)</f>
        <v>15</v>
      </c>
      <c r="D309" s="148"/>
      <c r="E309" s="148"/>
      <c r="F309" s="148"/>
      <c r="G309" s="158">
        <v>0.5</v>
      </c>
      <c r="H309" s="159">
        <f>ROUND(C309*G309,2)</f>
        <v>7.5</v>
      </c>
      <c r="I309" s="437" t="s">
        <v>210</v>
      </c>
      <c r="J309" s="43"/>
      <c r="K309" s="43"/>
      <c r="L309" s="43"/>
      <c r="M309" s="43"/>
      <c r="N309" s="255"/>
      <c r="O309" s="255"/>
      <c r="P309" s="255"/>
    </row>
    <row r="310" spans="1:16" s="16" customFormat="1" ht="18" customHeight="1">
      <c r="A310" s="1"/>
      <c r="B310" s="156" t="s">
        <v>211</v>
      </c>
      <c r="C310" s="157">
        <f>C309*2</f>
        <v>30</v>
      </c>
      <c r="D310" s="148">
        <f>D309*2</f>
        <v>0</v>
      </c>
      <c r="E310" s="148"/>
      <c r="F310" s="148"/>
      <c r="G310" s="158">
        <v>0.3</v>
      </c>
      <c r="H310" s="159">
        <f>ROUND(C310*G310,2)</f>
        <v>9</v>
      </c>
      <c r="I310" s="437" t="s">
        <v>212</v>
      </c>
      <c r="J310" s="43"/>
      <c r="K310" s="43"/>
      <c r="L310" s="255"/>
      <c r="M310" s="255"/>
      <c r="N310" s="255"/>
      <c r="O310" s="255"/>
      <c r="P310" s="255"/>
    </row>
    <row r="311" spans="1:16" s="16" customFormat="1" ht="18" customHeight="1">
      <c r="A311" s="1"/>
      <c r="B311" s="160" t="s">
        <v>213</v>
      </c>
      <c r="C311" s="161">
        <f>F6</f>
        <v>0.97240000000000004</v>
      </c>
      <c r="D311" s="162"/>
      <c r="E311" s="162"/>
      <c r="F311" s="162"/>
      <c r="G311" s="163">
        <v>5</v>
      </c>
      <c r="H311" s="159">
        <f>ROUND(C311*G311,2)</f>
        <v>4.8600000000000003</v>
      </c>
      <c r="I311" s="437"/>
      <c r="J311" s="43"/>
      <c r="K311" s="43"/>
      <c r="L311" s="255"/>
      <c r="M311" s="255"/>
      <c r="N311" s="255"/>
      <c r="O311" s="255"/>
      <c r="P311" s="255"/>
    </row>
    <row r="312" spans="1:16" s="16" customFormat="1" ht="18" customHeight="1">
      <c r="A312" s="1"/>
      <c r="B312" s="160" t="s">
        <v>214</v>
      </c>
      <c r="C312" s="161"/>
      <c r="D312" s="162"/>
      <c r="E312" s="162"/>
      <c r="F312" s="162"/>
      <c r="G312" s="163"/>
      <c r="H312" s="159">
        <f>ROUND(C312*G312,2)</f>
        <v>0</v>
      </c>
      <c r="I312" s="437"/>
      <c r="J312" s="43"/>
      <c r="K312" s="43"/>
      <c r="L312" s="255"/>
      <c r="M312" s="255"/>
      <c r="N312" s="255"/>
      <c r="O312" s="255"/>
      <c r="P312" s="255"/>
    </row>
    <row r="313" spans="1:16" s="16" customFormat="1" ht="18" customHeight="1">
      <c r="A313" s="1"/>
      <c r="B313" s="164" t="s">
        <v>397</v>
      </c>
      <c r="C313" s="161">
        <f>D291+D292</f>
        <v>0.55436399999999997</v>
      </c>
      <c r="D313" s="162"/>
      <c r="E313" s="162"/>
      <c r="F313" s="162"/>
      <c r="G313" s="163">
        <f>10+5</f>
        <v>15</v>
      </c>
      <c r="H313" s="159">
        <f>ROUND(C313*G313,2)</f>
        <v>8.32</v>
      </c>
      <c r="I313" s="437"/>
      <c r="J313" s="43"/>
      <c r="K313" s="43"/>
      <c r="L313" s="255"/>
      <c r="M313" s="255"/>
      <c r="N313" s="255"/>
      <c r="O313" s="255"/>
      <c r="P313" s="255"/>
    </row>
    <row r="314" spans="1:16" s="16" customFormat="1" ht="18" customHeight="1">
      <c r="A314" s="1"/>
      <c r="B314" s="150" t="s">
        <v>215</v>
      </c>
      <c r="C314" s="165"/>
      <c r="D314" s="50"/>
      <c r="E314" s="50"/>
      <c r="F314" s="50"/>
      <c r="G314" s="166"/>
      <c r="H314" s="155">
        <f>SUM(H309:H313)</f>
        <v>29.68</v>
      </c>
      <c r="I314" s="152"/>
      <c r="J314" s="43"/>
      <c r="K314" s="43"/>
      <c r="L314" s="255"/>
      <c r="M314" s="255"/>
      <c r="N314" s="255"/>
      <c r="O314" s="255"/>
      <c r="P314" s="255"/>
    </row>
    <row r="315" spans="1:16" s="16" customFormat="1" ht="18" customHeight="1">
      <c r="A315" s="1"/>
      <c r="B315" s="156" t="s">
        <v>216</v>
      </c>
      <c r="C315" s="167">
        <f>E203+E205+E207+I203+I205+E209+I207</f>
        <v>12</v>
      </c>
      <c r="D315" s="148"/>
      <c r="E315" s="148"/>
      <c r="F315" s="148"/>
      <c r="G315" s="168">
        <v>1.9</v>
      </c>
      <c r="H315" s="154">
        <f t="shared" ref="H315:H318" si="53">ROUND(C315*G315,2)</f>
        <v>22.8</v>
      </c>
      <c r="I315" s="224" t="s">
        <v>340</v>
      </c>
      <c r="J315" s="255"/>
      <c r="K315" s="43"/>
      <c r="L315" s="255"/>
      <c r="M315" s="255"/>
      <c r="N315" s="255"/>
      <c r="O315" s="255"/>
      <c r="P315" s="255"/>
    </row>
    <row r="316" spans="1:16" s="16" customFormat="1" ht="18" customHeight="1">
      <c r="A316" s="1"/>
      <c r="B316" s="156" t="s">
        <v>217</v>
      </c>
      <c r="C316" s="167">
        <f>ROUND((D4+E4)*2/1000,2)</f>
        <v>5.0999999999999996</v>
      </c>
      <c r="D316" s="148"/>
      <c r="E316" s="238">
        <v>4</v>
      </c>
      <c r="F316" s="235">
        <f>材料价格!B25</f>
        <v>8.52</v>
      </c>
      <c r="G316" s="168">
        <f t="shared" ref="G316:G321" si="54">F316/E316</f>
        <v>2.13</v>
      </c>
      <c r="H316" s="154">
        <f t="shared" si="53"/>
        <v>10.86</v>
      </c>
      <c r="I316" s="169" t="s">
        <v>218</v>
      </c>
      <c r="J316" s="255"/>
      <c r="K316" s="43"/>
      <c r="L316" s="255"/>
      <c r="M316" s="255"/>
      <c r="N316" s="255"/>
      <c r="O316" s="255"/>
      <c r="P316" s="255"/>
    </row>
    <row r="317" spans="1:16" s="16" customFormat="1" ht="18" customHeight="1">
      <c r="A317" s="1"/>
      <c r="B317" s="156" t="s">
        <v>219</v>
      </c>
      <c r="C317" s="167">
        <f>C316</f>
        <v>5.0999999999999996</v>
      </c>
      <c r="D317" s="148"/>
      <c r="E317" s="238">
        <v>3</v>
      </c>
      <c r="F317" s="235">
        <f>F316</f>
        <v>8.52</v>
      </c>
      <c r="G317" s="168">
        <f t="shared" si="54"/>
        <v>2.84</v>
      </c>
      <c r="H317" s="154">
        <f t="shared" si="53"/>
        <v>14.48</v>
      </c>
      <c r="I317" s="169" t="s">
        <v>220</v>
      </c>
      <c r="J317" s="255"/>
      <c r="K317" s="43"/>
      <c r="L317" s="255"/>
      <c r="M317" s="255"/>
      <c r="N317" s="255"/>
      <c r="O317" s="255"/>
      <c r="P317" s="255"/>
    </row>
    <row r="318" spans="1:16" s="16" customFormat="1" ht="18" customHeight="1">
      <c r="A318" s="1"/>
      <c r="B318" s="156" t="s">
        <v>221</v>
      </c>
      <c r="C318" s="167">
        <f>C316</f>
        <v>5.0999999999999996</v>
      </c>
      <c r="D318" s="148"/>
      <c r="E318" s="238">
        <v>6.5</v>
      </c>
      <c r="F318" s="235">
        <f>材料价格!B26</f>
        <v>23</v>
      </c>
      <c r="G318" s="168">
        <f t="shared" si="54"/>
        <v>3.5384615384615383</v>
      </c>
      <c r="H318" s="154">
        <f t="shared" si="53"/>
        <v>18.05</v>
      </c>
      <c r="I318" s="224" t="s">
        <v>222</v>
      </c>
      <c r="J318" s="255"/>
      <c r="K318" s="43"/>
      <c r="L318" s="255"/>
      <c r="M318" s="255"/>
      <c r="N318" s="255"/>
      <c r="O318" s="255"/>
      <c r="P318" s="255"/>
    </row>
    <row r="319" spans="1:16" s="16" customFormat="1" ht="18" customHeight="1">
      <c r="A319" s="1"/>
      <c r="B319" s="156" t="s">
        <v>341</v>
      </c>
      <c r="C319" s="167">
        <f>ROUND((C97+C104+C88+C146+C153+C163)*1,2)</f>
        <v>4.55</v>
      </c>
      <c r="D319" s="77">
        <v>1</v>
      </c>
      <c r="E319" s="238">
        <f>10</f>
        <v>10</v>
      </c>
      <c r="F319" s="235">
        <f>F317</f>
        <v>8.52</v>
      </c>
      <c r="G319" s="168">
        <f>F319/E319</f>
        <v>0.85199999999999998</v>
      </c>
      <c r="H319" s="154">
        <f>ROUND(C319*G319,2)</f>
        <v>3.88</v>
      </c>
      <c r="I319" s="437" t="s">
        <v>223</v>
      </c>
      <c r="J319" s="255"/>
      <c r="K319" s="43"/>
      <c r="L319" s="255"/>
      <c r="M319" s="255"/>
      <c r="N319" s="255"/>
      <c r="O319" s="255"/>
      <c r="P319" s="255"/>
    </row>
    <row r="320" spans="1:16" s="16" customFormat="1" ht="18" customHeight="1">
      <c r="A320" s="1"/>
      <c r="B320" s="156" t="s">
        <v>342</v>
      </c>
      <c r="C320" s="167">
        <f>C319</f>
        <v>4.55</v>
      </c>
      <c r="D320" s="77">
        <v>1</v>
      </c>
      <c r="E320" s="238">
        <v>6</v>
      </c>
      <c r="F320" s="235">
        <f>F319</f>
        <v>8.52</v>
      </c>
      <c r="G320" s="168">
        <f t="shared" si="54"/>
        <v>1.42</v>
      </c>
      <c r="H320" s="154">
        <f>ROUND(C320*G320,2)</f>
        <v>6.46</v>
      </c>
      <c r="I320" s="437" t="s">
        <v>224</v>
      </c>
      <c r="J320" s="255"/>
      <c r="K320" s="170"/>
      <c r="L320" s="170"/>
      <c r="M320" s="170"/>
      <c r="N320" s="170"/>
      <c r="O320" s="170"/>
      <c r="P320" s="170"/>
    </row>
    <row r="321" spans="1:16" s="16" customFormat="1" ht="18" customHeight="1">
      <c r="A321" s="1"/>
      <c r="B321" s="156" t="s">
        <v>225</v>
      </c>
      <c r="C321" s="167">
        <f>C334*D334+C324*D324+C327*D327</f>
        <v>0</v>
      </c>
      <c r="D321" s="77">
        <v>1</v>
      </c>
      <c r="E321" s="238">
        <f>10</f>
        <v>10</v>
      </c>
      <c r="F321" s="235">
        <f>F317</f>
        <v>8.52</v>
      </c>
      <c r="G321" s="168">
        <f t="shared" si="54"/>
        <v>0.85199999999999998</v>
      </c>
      <c r="H321" s="154">
        <f>ROUND(C321*G321,2)</f>
        <v>0</v>
      </c>
      <c r="I321" s="437" t="s">
        <v>226</v>
      </c>
      <c r="J321" s="255"/>
      <c r="K321" s="170"/>
      <c r="L321" s="170"/>
      <c r="M321" s="170"/>
      <c r="N321" s="170"/>
      <c r="O321" s="170"/>
      <c r="P321" s="170"/>
    </row>
    <row r="322" spans="1:16" s="16" customFormat="1" ht="18" customHeight="1">
      <c r="A322" s="1"/>
      <c r="B322" s="150" t="s">
        <v>227</v>
      </c>
      <c r="C322" s="165"/>
      <c r="D322" s="50"/>
      <c r="E322" s="50"/>
      <c r="F322" s="50"/>
      <c r="G322" s="166" t="s">
        <v>396</v>
      </c>
      <c r="H322" s="155">
        <f>SUM(H315:H321)</f>
        <v>76.529999999999987</v>
      </c>
      <c r="I322" s="152"/>
      <c r="J322" s="244" t="s">
        <v>399</v>
      </c>
      <c r="K322" s="245" t="s">
        <v>379</v>
      </c>
      <c r="L322" s="170"/>
      <c r="M322" s="170"/>
      <c r="N322" s="170"/>
      <c r="O322" s="170"/>
      <c r="P322" s="170"/>
    </row>
    <row r="323" spans="1:16" s="16" customFormat="1" ht="18" customHeight="1">
      <c r="A323" s="1"/>
      <c r="B323" s="156" t="s">
        <v>356</v>
      </c>
      <c r="C323" s="167">
        <f>C31</f>
        <v>0</v>
      </c>
      <c r="D323" s="239">
        <v>1</v>
      </c>
      <c r="E323" s="148"/>
      <c r="F323" s="148"/>
      <c r="G323" s="236">
        <f>0.45+0.85</f>
        <v>1.3</v>
      </c>
      <c r="H323" s="154">
        <f>ROUND(C323*D323*G323,2)</f>
        <v>0</v>
      </c>
      <c r="I323" s="437" t="s">
        <v>345</v>
      </c>
      <c r="J323" s="244">
        <v>1.76</v>
      </c>
      <c r="K323" s="245" t="s">
        <v>400</v>
      </c>
      <c r="L323" s="170"/>
      <c r="M323" s="171"/>
      <c r="N323" s="170"/>
      <c r="O323" s="170"/>
      <c r="P323" s="170"/>
    </row>
    <row r="324" spans="1:16" s="16" customFormat="1" ht="18" customHeight="1">
      <c r="A324" s="1"/>
      <c r="B324" s="156" t="s">
        <v>347</v>
      </c>
      <c r="C324" s="167">
        <f>C323</f>
        <v>0</v>
      </c>
      <c r="D324" s="239">
        <v>1</v>
      </c>
      <c r="E324" s="148"/>
      <c r="F324" s="148"/>
      <c r="G324" s="236">
        <v>6.89</v>
      </c>
      <c r="H324" s="154">
        <f t="shared" ref="H324:H329" si="55">ROUND(C324*D324*G324,2)</f>
        <v>0</v>
      </c>
      <c r="I324" s="437" t="s">
        <v>346</v>
      </c>
      <c r="J324" s="244">
        <v>12.25</v>
      </c>
      <c r="K324" s="245" t="s">
        <v>376</v>
      </c>
      <c r="L324" s="170"/>
      <c r="M324" s="171"/>
      <c r="N324" s="170"/>
      <c r="O324" s="170"/>
      <c r="P324" s="170"/>
    </row>
    <row r="325" spans="1:16" s="16" customFormat="1" ht="18" customHeight="1">
      <c r="A325" s="1"/>
      <c r="B325" s="156" t="s">
        <v>357</v>
      </c>
      <c r="C325" s="167">
        <f>C38</f>
        <v>5.524</v>
      </c>
      <c r="D325" s="239">
        <v>1</v>
      </c>
      <c r="E325" s="148"/>
      <c r="F325" s="148"/>
      <c r="G325" s="236">
        <f>0.85+0.61</f>
        <v>1.46</v>
      </c>
      <c r="H325" s="154">
        <f t="shared" si="55"/>
        <v>8.07</v>
      </c>
      <c r="I325" s="437" t="s">
        <v>354</v>
      </c>
      <c r="J325" s="244">
        <v>1.76</v>
      </c>
      <c r="K325" s="245" t="s">
        <v>378</v>
      </c>
      <c r="L325" s="170"/>
      <c r="M325" s="171"/>
      <c r="N325" s="170"/>
      <c r="O325" s="170"/>
      <c r="P325" s="170"/>
    </row>
    <row r="326" spans="1:16" s="16" customFormat="1" ht="18" customHeight="1">
      <c r="A326" s="1"/>
      <c r="B326" s="156" t="s">
        <v>355</v>
      </c>
      <c r="C326" s="167">
        <f>C325</f>
        <v>5.524</v>
      </c>
      <c r="D326" s="239">
        <v>1</v>
      </c>
      <c r="E326" s="148"/>
      <c r="F326" s="148"/>
      <c r="G326" s="236">
        <v>3.27</v>
      </c>
      <c r="H326" s="154">
        <f>ROUND(C326*D326*G326,2)</f>
        <v>18.059999999999999</v>
      </c>
      <c r="I326" s="437" t="s">
        <v>358</v>
      </c>
      <c r="J326" s="244">
        <v>3.27</v>
      </c>
      <c r="K326" s="245" t="s">
        <v>358</v>
      </c>
      <c r="L326" s="170"/>
      <c r="M326" s="171"/>
      <c r="N326" s="170"/>
      <c r="O326" s="170"/>
      <c r="P326" s="170"/>
    </row>
    <row r="327" spans="1:16" s="16" customFormat="1" ht="18" customHeight="1">
      <c r="A327" s="1"/>
      <c r="B327" s="156" t="s">
        <v>228</v>
      </c>
      <c r="C327" s="167">
        <f>C126</f>
        <v>0</v>
      </c>
      <c r="D327" s="239">
        <v>1</v>
      </c>
      <c r="E327" s="110"/>
      <c r="F327" s="148"/>
      <c r="G327" s="236">
        <v>6.89</v>
      </c>
      <c r="H327" s="154">
        <f t="shared" si="55"/>
        <v>0</v>
      </c>
      <c r="I327" s="437" t="s">
        <v>346</v>
      </c>
      <c r="J327" s="244">
        <v>12.25</v>
      </c>
      <c r="K327" s="245" t="s">
        <v>346</v>
      </c>
      <c r="L327" s="170"/>
      <c r="M327" s="171"/>
      <c r="N327" s="170"/>
      <c r="O327" s="170"/>
      <c r="P327" s="170"/>
    </row>
    <row r="328" spans="1:16" s="16" customFormat="1" ht="18" customHeight="1">
      <c r="A328" s="1"/>
      <c r="B328" s="156" t="s">
        <v>229</v>
      </c>
      <c r="C328" s="167">
        <f>C327</f>
        <v>0</v>
      </c>
      <c r="D328" s="239">
        <v>1</v>
      </c>
      <c r="E328" s="110"/>
      <c r="F328" s="148"/>
      <c r="G328" s="236">
        <f>G3233</f>
        <v>0</v>
      </c>
      <c r="H328" s="154">
        <f t="shared" si="55"/>
        <v>0</v>
      </c>
      <c r="I328" s="437" t="s">
        <v>345</v>
      </c>
      <c r="J328" s="244">
        <v>0</v>
      </c>
      <c r="K328" s="245" t="s">
        <v>400</v>
      </c>
      <c r="L328" s="170"/>
      <c r="M328" s="171"/>
      <c r="N328" s="170"/>
      <c r="O328" s="170"/>
      <c r="P328" s="170"/>
    </row>
    <row r="329" spans="1:16" s="16" customFormat="1" ht="18" customHeight="1">
      <c r="A329" s="1"/>
      <c r="B329" s="156" t="s">
        <v>230</v>
      </c>
      <c r="C329" s="167">
        <f>C119</f>
        <v>0</v>
      </c>
      <c r="D329" s="239">
        <v>1</v>
      </c>
      <c r="E329" s="148"/>
      <c r="F329" s="148"/>
      <c r="G329" s="236">
        <f>G3253</f>
        <v>0</v>
      </c>
      <c r="H329" s="154">
        <f t="shared" si="55"/>
        <v>0</v>
      </c>
      <c r="I329" s="437" t="s">
        <v>354</v>
      </c>
      <c r="J329" s="244">
        <v>0</v>
      </c>
      <c r="K329" s="245" t="s">
        <v>378</v>
      </c>
      <c r="L329" s="170"/>
      <c r="M329" s="171"/>
      <c r="N329" s="170"/>
      <c r="O329" s="170"/>
      <c r="P329" s="170"/>
    </row>
    <row r="330" spans="1:16" s="16" customFormat="1" ht="18" customHeight="1">
      <c r="A330" s="1"/>
      <c r="B330" s="156" t="s">
        <v>362</v>
      </c>
      <c r="C330" s="167">
        <f>C329</f>
        <v>0</v>
      </c>
      <c r="D330" s="239">
        <v>1</v>
      </c>
      <c r="E330" s="148"/>
      <c r="F330" s="148"/>
      <c r="G330" s="236">
        <v>3.27</v>
      </c>
      <c r="H330" s="154">
        <f>ROUND(C330*D330*G330,2)</f>
        <v>0</v>
      </c>
      <c r="I330" s="437" t="s">
        <v>358</v>
      </c>
      <c r="J330" s="244">
        <v>3.27</v>
      </c>
      <c r="K330" s="245" t="s">
        <v>358</v>
      </c>
      <c r="L330" s="170"/>
      <c r="M330" s="171"/>
      <c r="N330" s="170"/>
      <c r="O330" s="170"/>
      <c r="P330" s="170"/>
    </row>
    <row r="331" spans="1:16" s="16" customFormat="1" ht="18" customHeight="1">
      <c r="A331" s="1"/>
      <c r="B331" s="156" t="s">
        <v>343</v>
      </c>
      <c r="C331" s="167">
        <f>C319</f>
        <v>4.55</v>
      </c>
      <c r="D331" s="239">
        <v>1</v>
      </c>
      <c r="E331" s="148"/>
      <c r="F331" s="148"/>
      <c r="G331" s="236">
        <v>1.25</v>
      </c>
      <c r="H331" s="154">
        <f>C331*D331*G331</f>
        <v>5.6875</v>
      </c>
      <c r="I331" s="437" t="s">
        <v>344</v>
      </c>
      <c r="J331" s="244">
        <v>1.25</v>
      </c>
      <c r="K331" s="245" t="s">
        <v>344</v>
      </c>
      <c r="L331" s="170"/>
      <c r="M331" s="171"/>
      <c r="N331" s="170"/>
      <c r="O331" s="170"/>
      <c r="P331" s="170"/>
    </row>
    <row r="332" spans="1:16" s="16" customFormat="1" ht="18" customHeight="1">
      <c r="A332" s="1"/>
      <c r="B332" s="156" t="s">
        <v>350</v>
      </c>
      <c r="C332" s="167" cm="1">
        <f t="array" ref="C332">SUMPRODUCT(D26:D30*G26:G30)/1000</f>
        <v>0</v>
      </c>
      <c r="D332" s="239">
        <v>1</v>
      </c>
      <c r="E332" s="148"/>
      <c r="F332" s="148"/>
      <c r="G332" s="236">
        <v>0.41</v>
      </c>
      <c r="H332" s="154">
        <f>C332*D332*G332</f>
        <v>0</v>
      </c>
      <c r="I332" s="437" t="s">
        <v>348</v>
      </c>
      <c r="J332" s="244">
        <v>0.41</v>
      </c>
      <c r="K332" s="245" t="s">
        <v>348</v>
      </c>
      <c r="L332" s="170"/>
      <c r="M332" s="171"/>
      <c r="N332" s="170"/>
      <c r="O332" s="170"/>
      <c r="P332" s="170"/>
    </row>
    <row r="333" spans="1:16" s="16" customFormat="1" ht="18" customHeight="1">
      <c r="A333" s="1"/>
      <c r="B333" s="156" t="s">
        <v>349</v>
      </c>
      <c r="C333" s="167">
        <f>C88+C97+C104+C153+C163+C146</f>
        <v>4.548</v>
      </c>
      <c r="D333" s="239">
        <v>1</v>
      </c>
      <c r="E333" s="148"/>
      <c r="F333" s="148"/>
      <c r="G333" s="236">
        <v>0.49</v>
      </c>
      <c r="H333" s="154">
        <f>C333*D333*G333</f>
        <v>2.2285200000000001</v>
      </c>
      <c r="I333" s="437" t="s">
        <v>351</v>
      </c>
      <c r="J333" s="244">
        <v>0.49</v>
      </c>
      <c r="K333" s="245" t="s">
        <v>351</v>
      </c>
      <c r="L333" s="170"/>
      <c r="M333" s="171"/>
      <c r="N333" s="170"/>
      <c r="O333" s="170"/>
      <c r="P333" s="170"/>
    </row>
    <row r="334" spans="1:16" s="16" customFormat="1" ht="18" customHeight="1">
      <c r="A334" s="1"/>
      <c r="B334" s="156" t="s">
        <v>353</v>
      </c>
      <c r="C334" s="167">
        <f t="array" ref="C334">SUMPRODUCT(D157:D162*G157:G162)/1000+SUM(G157:G162)*0.3+SUMPRODUCT(D68:D87*G68:G87)/1000+SUM(G68:G87)*0.3</f>
        <v>0</v>
      </c>
      <c r="D334" s="239">
        <v>1</v>
      </c>
      <c r="E334" s="148"/>
      <c r="F334" s="148"/>
      <c r="G334" s="237">
        <v>5.36</v>
      </c>
      <c r="H334" s="154">
        <f>C334*G334</f>
        <v>0</v>
      </c>
      <c r="I334" s="437" t="s">
        <v>352</v>
      </c>
      <c r="J334" s="244">
        <v>9.5500000000000007</v>
      </c>
      <c r="K334" s="245" t="s">
        <v>377</v>
      </c>
      <c r="L334" s="170"/>
      <c r="M334" s="171"/>
      <c r="N334" s="170"/>
      <c r="O334" s="170"/>
      <c r="P334" s="170"/>
    </row>
    <row r="335" spans="1:16" s="16" customFormat="1" ht="18" customHeight="1">
      <c r="A335" s="1"/>
      <c r="B335" s="156" t="s">
        <v>364</v>
      </c>
      <c r="C335" s="167">
        <f>C319</f>
        <v>4.55</v>
      </c>
      <c r="D335" s="239">
        <v>1</v>
      </c>
      <c r="E335" s="148"/>
      <c r="F335" s="148"/>
      <c r="G335" s="237">
        <v>1.25</v>
      </c>
      <c r="H335" s="154"/>
      <c r="I335" s="149" t="s">
        <v>363</v>
      </c>
      <c r="J335" s="244">
        <v>1.25</v>
      </c>
      <c r="K335" s="245" t="s">
        <v>363</v>
      </c>
      <c r="L335" s="170"/>
      <c r="M335" s="171"/>
      <c r="N335" s="170"/>
      <c r="O335" s="170"/>
      <c r="P335" s="170"/>
    </row>
    <row r="336" spans="1:16" s="16" customFormat="1" ht="18" customHeight="1">
      <c r="A336" s="1"/>
      <c r="B336" s="156" t="s">
        <v>365</v>
      </c>
      <c r="C336" s="167">
        <f>C320</f>
        <v>4.55</v>
      </c>
      <c r="D336" s="239">
        <v>1</v>
      </c>
      <c r="E336" s="148"/>
      <c r="F336" s="148"/>
      <c r="G336" s="237">
        <v>1.63</v>
      </c>
      <c r="H336" s="154"/>
      <c r="I336" s="149" t="s">
        <v>363</v>
      </c>
      <c r="J336" s="244">
        <v>1.63</v>
      </c>
      <c r="K336" s="245" t="s">
        <v>363</v>
      </c>
      <c r="L336" s="170"/>
      <c r="M336" s="171"/>
      <c r="N336" s="170"/>
      <c r="O336" s="170"/>
      <c r="P336" s="170"/>
    </row>
    <row r="337" spans="1:16" s="16" customFormat="1" ht="18" customHeight="1">
      <c r="A337" s="1"/>
      <c r="B337" s="150" t="s">
        <v>231</v>
      </c>
      <c r="C337" s="165"/>
      <c r="D337" s="50"/>
      <c r="E337" s="50"/>
      <c r="F337" s="50"/>
      <c r="G337" s="166"/>
      <c r="H337" s="155">
        <f>SUM(H323:H336)*1.05</f>
        <v>35.748320999999997</v>
      </c>
      <c r="I337" s="152"/>
      <c r="J337" s="172"/>
      <c r="K337" s="170"/>
      <c r="L337" s="170"/>
      <c r="M337" s="170"/>
      <c r="N337" s="170"/>
      <c r="O337" s="170"/>
      <c r="P337" s="170"/>
    </row>
    <row r="338" spans="1:16" s="16" customFormat="1" ht="18" customHeight="1">
      <c r="A338" s="1"/>
      <c r="B338" s="173" t="s">
        <v>366</v>
      </c>
      <c r="C338" s="174">
        <f>F250+F258+F265+F280+F285+F290</f>
        <v>0</v>
      </c>
      <c r="D338" s="175">
        <v>2</v>
      </c>
      <c r="E338" s="176"/>
      <c r="F338" s="176"/>
      <c r="G338" s="240">
        <v>0.5</v>
      </c>
      <c r="H338" s="177">
        <f t="shared" ref="H338:H343" si="56">D338*G338*C338</f>
        <v>0</v>
      </c>
      <c r="I338" s="178" t="s">
        <v>233</v>
      </c>
      <c r="J338" s="172"/>
      <c r="K338" s="170"/>
      <c r="L338" s="170"/>
      <c r="M338" s="170"/>
      <c r="N338" s="170"/>
      <c r="O338" s="170"/>
      <c r="P338" s="170"/>
    </row>
    <row r="339" spans="1:16" s="16" customFormat="1" ht="18" customHeight="1">
      <c r="A339" s="1"/>
      <c r="B339" s="173" t="s">
        <v>367</v>
      </c>
      <c r="C339" s="174">
        <f>F233+F242+F269+F273</f>
        <v>2</v>
      </c>
      <c r="D339" s="175">
        <v>4</v>
      </c>
      <c r="E339" s="176"/>
      <c r="F339" s="176"/>
      <c r="G339" s="240">
        <v>0.63</v>
      </c>
      <c r="H339" s="177">
        <f t="shared" si="56"/>
        <v>5.04</v>
      </c>
      <c r="I339" s="178" t="s">
        <v>234</v>
      </c>
      <c r="J339" s="172"/>
      <c r="K339" s="170"/>
      <c r="L339" s="170"/>
      <c r="M339" s="170"/>
      <c r="N339" s="170"/>
      <c r="O339" s="170"/>
      <c r="P339" s="170"/>
    </row>
    <row r="340" spans="1:16" s="16" customFormat="1" ht="18" customHeight="1">
      <c r="A340" s="1"/>
      <c r="B340" s="173" t="s">
        <v>366</v>
      </c>
      <c r="C340" s="174">
        <f>SUM(G157:G162)</f>
        <v>0</v>
      </c>
      <c r="D340" s="175">
        <f>IF(E113&gt;2200,2,0)</f>
        <v>0</v>
      </c>
      <c r="E340" s="176"/>
      <c r="F340" s="176"/>
      <c r="G340" s="240">
        <v>0.5</v>
      </c>
      <c r="H340" s="177">
        <f t="shared" si="56"/>
        <v>0</v>
      </c>
      <c r="I340" s="178" t="s">
        <v>235</v>
      </c>
      <c r="J340" s="172"/>
      <c r="K340" s="170"/>
      <c r="L340" s="170"/>
      <c r="M340" s="170"/>
      <c r="N340" s="170"/>
      <c r="O340" s="170"/>
      <c r="P340" s="170"/>
    </row>
    <row r="341" spans="1:16" s="16" customFormat="1" ht="18" customHeight="1">
      <c r="A341" s="1"/>
      <c r="B341" s="173" t="s">
        <v>367</v>
      </c>
      <c r="C341" s="174">
        <f>SUM(G116:G118)</f>
        <v>0</v>
      </c>
      <c r="D341" s="175">
        <v>4</v>
      </c>
      <c r="E341" s="176"/>
      <c r="F341" s="176"/>
      <c r="G341" s="240">
        <v>0.63</v>
      </c>
      <c r="H341" s="177">
        <f t="shared" si="56"/>
        <v>0</v>
      </c>
      <c r="I341" s="178" t="s">
        <v>236</v>
      </c>
      <c r="J341" s="172"/>
      <c r="K341" s="170"/>
      <c r="L341" s="170"/>
      <c r="M341" s="170"/>
      <c r="N341" s="170"/>
      <c r="O341" s="170"/>
      <c r="P341" s="170"/>
    </row>
    <row r="342" spans="1:16" ht="18" customHeight="1">
      <c r="B342" s="173" t="s">
        <v>237</v>
      </c>
      <c r="C342" s="174">
        <v>1</v>
      </c>
      <c r="D342" s="175">
        <f>(F291+F292)*10</f>
        <v>20</v>
      </c>
      <c r="E342" s="176"/>
      <c r="F342" s="176"/>
      <c r="G342" s="240">
        <v>0.37</v>
      </c>
      <c r="H342" s="177">
        <f t="shared" si="56"/>
        <v>7.4</v>
      </c>
      <c r="I342" s="178"/>
      <c r="J342" s="172"/>
      <c r="K342" s="172"/>
      <c r="L342" s="172"/>
      <c r="N342" s="43"/>
    </row>
    <row r="343" spans="1:16" ht="18" customHeight="1">
      <c r="B343" s="173" t="s">
        <v>232</v>
      </c>
      <c r="C343" s="174">
        <f>C338</f>
        <v>0</v>
      </c>
      <c r="D343" s="175">
        <v>0</v>
      </c>
      <c r="E343" s="176"/>
      <c r="F343" s="176"/>
      <c r="G343" s="240">
        <v>0.49</v>
      </c>
      <c r="H343" s="177">
        <f t="shared" si="56"/>
        <v>0</v>
      </c>
      <c r="I343" s="178" t="s">
        <v>238</v>
      </c>
      <c r="J343" s="172"/>
      <c r="K343" s="172"/>
      <c r="L343" s="172"/>
      <c r="N343" s="43"/>
    </row>
    <row r="344" spans="1:16" ht="18" customHeight="1">
      <c r="B344" s="156" t="s">
        <v>239</v>
      </c>
      <c r="C344" s="157"/>
      <c r="D344" s="440">
        <f>E203+E205*2+E207*2+I203+I205*2+I207*2</f>
        <v>20</v>
      </c>
      <c r="E344" s="148"/>
      <c r="F344" s="148"/>
      <c r="G344" s="148">
        <v>0.2</v>
      </c>
      <c r="H344" s="179">
        <f>D344*G344</f>
        <v>4</v>
      </c>
      <c r="I344" s="437" t="s">
        <v>368</v>
      </c>
      <c r="J344" s="172"/>
      <c r="K344" s="172"/>
      <c r="L344" s="172"/>
    </row>
    <row r="345" spans="1:16" ht="18" customHeight="1">
      <c r="B345" s="156" t="s">
        <v>240</v>
      </c>
      <c r="C345" s="157"/>
      <c r="D345" s="440">
        <f>4*(E52+E53+E54+E55+G52+G53+G54+G55+G60+G61+G62+G63+E130+E131+E132+G130+G131+G132+G137+G138)</f>
        <v>4</v>
      </c>
      <c r="E345" s="148"/>
      <c r="F345" s="148"/>
      <c r="G345" s="148">
        <v>0.22</v>
      </c>
      <c r="H345" s="179">
        <f>D345*G345</f>
        <v>0.88</v>
      </c>
      <c r="I345" s="437" t="s">
        <v>241</v>
      </c>
      <c r="J345" s="172"/>
      <c r="K345" s="172"/>
      <c r="L345" s="172"/>
    </row>
    <row r="346" spans="1:16" ht="18" customHeight="1">
      <c r="B346" s="156" t="s">
        <v>242</v>
      </c>
      <c r="C346" s="157"/>
      <c r="D346" s="440">
        <f>D345/2</f>
        <v>2</v>
      </c>
      <c r="E346" s="148"/>
      <c r="F346" s="148"/>
      <c r="G346" s="148">
        <v>0.22</v>
      </c>
      <c r="H346" s="179">
        <f>ROUND(D346*G346,2)</f>
        <v>0.44</v>
      </c>
      <c r="I346" s="437" t="s">
        <v>243</v>
      </c>
      <c r="J346" s="172"/>
      <c r="K346" s="172"/>
      <c r="L346" s="172"/>
    </row>
    <row r="347" spans="1:16" ht="18" customHeight="1">
      <c r="B347" s="156" t="s">
        <v>369</v>
      </c>
      <c r="C347" s="157"/>
      <c r="D347" s="440">
        <f>D346</f>
        <v>2</v>
      </c>
      <c r="E347" s="148"/>
      <c r="F347" s="148"/>
      <c r="G347" s="148">
        <v>1.37</v>
      </c>
      <c r="H347" s="179">
        <f>ROUND(D347*G347,2)</f>
        <v>2.74</v>
      </c>
      <c r="I347" s="437" t="s">
        <v>370</v>
      </c>
      <c r="J347" s="172"/>
      <c r="K347" s="172"/>
      <c r="L347" s="172"/>
    </row>
    <row r="348" spans="1:16" ht="18" customHeight="1">
      <c r="B348" s="156" t="s">
        <v>244</v>
      </c>
      <c r="C348" s="157"/>
      <c r="D348" s="440">
        <f>(F291+F292)*2</f>
        <v>4</v>
      </c>
      <c r="E348" s="148"/>
      <c r="F348" s="148"/>
      <c r="G348" s="148">
        <v>0.48</v>
      </c>
      <c r="H348" s="179">
        <f>ROUND(D348*G348,2)</f>
        <v>1.92</v>
      </c>
      <c r="I348" s="437" t="s">
        <v>245</v>
      </c>
      <c r="J348" s="255"/>
    </row>
    <row r="349" spans="1:16" ht="18" customHeight="1">
      <c r="B349" s="156" t="s">
        <v>246</v>
      </c>
      <c r="C349" s="157"/>
      <c r="D349" s="440">
        <f>ROUND((D4+E4-240)*2/200+E217*F217/200,0)</f>
        <v>32</v>
      </c>
      <c r="E349" s="148"/>
      <c r="F349" s="148"/>
      <c r="G349" s="148">
        <v>0.05</v>
      </c>
      <c r="H349" s="179">
        <f>ROUND(D349*G349,2)</f>
        <v>1.6</v>
      </c>
      <c r="I349" s="437" t="s">
        <v>247</v>
      </c>
      <c r="J349" s="255"/>
    </row>
    <row r="350" spans="1:16" ht="18" customHeight="1">
      <c r="B350" s="150" t="s">
        <v>248</v>
      </c>
      <c r="C350" s="165"/>
      <c r="D350" s="50"/>
      <c r="E350" s="50"/>
      <c r="F350" s="50"/>
      <c r="G350" s="166"/>
      <c r="H350" s="155">
        <f>SUM(H338:H349)</f>
        <v>24.020000000000003</v>
      </c>
      <c r="I350" s="152"/>
    </row>
    <row r="351" spans="1:16" ht="18" customHeight="1">
      <c r="B351" s="156" t="s">
        <v>359</v>
      </c>
      <c r="C351" s="157"/>
      <c r="D351" s="440">
        <f>SUMPRODUCT(G26:G30)*8+SUMPRODUCT(G35:G37)*8+SUMPRODUCT(G116:G118)*8+SUMPRODUCT(G123:G125)*8</f>
        <v>16</v>
      </c>
      <c r="E351" s="148"/>
      <c r="F351" s="148"/>
      <c r="G351" s="148">
        <v>1.26</v>
      </c>
      <c r="H351" s="154">
        <f>ROUND(D351*G351,2)</f>
        <v>20.16</v>
      </c>
      <c r="I351" s="437" t="s">
        <v>386</v>
      </c>
    </row>
    <row r="352" spans="1:16" ht="18" customHeight="1">
      <c r="B352" s="156" t="s">
        <v>360</v>
      </c>
      <c r="C352" s="157"/>
      <c r="D352" s="440">
        <f>G26*4+G27*4+G28*4+G29*4+G30*4</f>
        <v>0</v>
      </c>
      <c r="E352" s="148"/>
      <c r="F352" s="148"/>
      <c r="G352" s="148">
        <v>2</v>
      </c>
      <c r="H352" s="154">
        <f>ROUND(D352*G352,2)</f>
        <v>0</v>
      </c>
      <c r="I352" s="437" t="s">
        <v>361</v>
      </c>
    </row>
    <row r="353" spans="1:22" ht="18" customHeight="1">
      <c r="B353" s="156" t="s">
        <v>249</v>
      </c>
      <c r="C353" s="157"/>
      <c r="D353" s="440"/>
      <c r="E353" s="148"/>
      <c r="F353" s="148"/>
      <c r="G353" s="148">
        <v>1.6</v>
      </c>
      <c r="H353" s="154"/>
      <c r="I353" s="437"/>
    </row>
    <row r="354" spans="1:22" ht="18" customHeight="1">
      <c r="B354" s="156" t="s">
        <v>250</v>
      </c>
      <c r="C354" s="157"/>
      <c r="D354" s="44">
        <f>C22+C31+C38+C48+C56+C64+C112+C119+C126+C133+C139+C199</f>
        <v>10.778</v>
      </c>
      <c r="E354" s="148"/>
      <c r="F354" s="148"/>
      <c r="G354" s="179">
        <v>4</v>
      </c>
      <c r="H354" s="154">
        <f t="shared" ref="H354:H356" si="57">ROUND(D354*G354,2)</f>
        <v>43.11</v>
      </c>
      <c r="I354" s="437"/>
    </row>
    <row r="355" spans="1:22" ht="18" customHeight="1">
      <c r="B355" s="156" t="s">
        <v>251</v>
      </c>
      <c r="C355" s="157" t="s">
        <v>252</v>
      </c>
      <c r="D355" s="44">
        <f>C88+C163</f>
        <v>0</v>
      </c>
      <c r="E355" s="148"/>
      <c r="F355" s="148"/>
      <c r="G355" s="179">
        <v>3.15</v>
      </c>
      <c r="H355" s="154">
        <f t="shared" si="57"/>
        <v>0</v>
      </c>
      <c r="I355" s="437"/>
    </row>
    <row r="356" spans="1:22" ht="18" customHeight="1">
      <c r="B356" s="156" t="s">
        <v>253</v>
      </c>
      <c r="C356" s="157" t="s">
        <v>254</v>
      </c>
      <c r="D356" s="44">
        <f>C97+C104+C146+C153</f>
        <v>4.548</v>
      </c>
      <c r="E356" s="148"/>
      <c r="F356" s="148"/>
      <c r="G356" s="179">
        <v>3.65</v>
      </c>
      <c r="H356" s="154">
        <f t="shared" si="57"/>
        <v>16.600000000000001</v>
      </c>
      <c r="I356" s="437"/>
    </row>
    <row r="357" spans="1:22" ht="18" customHeight="1">
      <c r="B357" s="156" t="s">
        <v>387</v>
      </c>
      <c r="C357" s="157"/>
      <c r="D357" s="44">
        <f>F291+F292</f>
        <v>2</v>
      </c>
      <c r="E357" s="148"/>
      <c r="F357" s="148"/>
      <c r="G357" s="179">
        <v>6</v>
      </c>
      <c r="H357" s="154"/>
      <c r="I357" s="437"/>
    </row>
    <row r="358" spans="1:22" ht="18" customHeight="1">
      <c r="B358" s="156" t="s">
        <v>255</v>
      </c>
      <c r="C358" s="157"/>
      <c r="D358" s="180"/>
      <c r="E358" s="148"/>
      <c r="F358" s="148"/>
      <c r="G358" s="148">
        <v>70</v>
      </c>
      <c r="H358" s="154">
        <f>D358*G358</f>
        <v>0</v>
      </c>
      <c r="I358" s="437"/>
    </row>
    <row r="359" spans="1:22" ht="18" customHeight="1">
      <c r="B359" s="156" t="s">
        <v>858</v>
      </c>
      <c r="C359" s="157"/>
      <c r="D359" s="180"/>
      <c r="E359" s="148"/>
      <c r="F359" s="148"/>
      <c r="G359" s="148">
        <v>180</v>
      </c>
      <c r="H359" s="154">
        <f>D359*G359</f>
        <v>0</v>
      </c>
      <c r="I359" s="437"/>
    </row>
    <row r="360" spans="1:22" ht="18" customHeight="1">
      <c r="B360" s="156" t="s">
        <v>388</v>
      </c>
      <c r="C360" s="157"/>
      <c r="D360" s="440">
        <v>1</v>
      </c>
      <c r="E360" s="148"/>
      <c r="F360" s="148"/>
      <c r="G360" s="148">
        <v>9.6</v>
      </c>
      <c r="H360" s="154">
        <f>ROUND(D360*G360,2)</f>
        <v>9.6</v>
      </c>
      <c r="I360" s="437"/>
    </row>
    <row r="361" spans="1:22" ht="18" customHeight="1">
      <c r="B361" s="156" t="s">
        <v>901</v>
      </c>
      <c r="C361" s="157"/>
      <c r="D361" s="463">
        <f>(D4+E4)*2/1000</f>
        <v>5.0999999999999996</v>
      </c>
      <c r="E361" s="148"/>
      <c r="F361" s="148"/>
      <c r="G361" s="148">
        <v>45</v>
      </c>
      <c r="H361" s="154">
        <f>ROUND(D361*G361,2)</f>
        <v>229.5</v>
      </c>
      <c r="I361" s="468"/>
    </row>
    <row r="362" spans="1:22" ht="18" customHeight="1">
      <c r="B362" s="181" t="s">
        <v>398</v>
      </c>
      <c r="C362" s="157"/>
      <c r="D362" s="182">
        <f>F366</f>
        <v>0.99639999999999995</v>
      </c>
      <c r="E362" s="148"/>
      <c r="F362" s="148"/>
      <c r="G362" s="148">
        <v>3</v>
      </c>
      <c r="H362" s="154">
        <f>D362*G362</f>
        <v>2.9891999999999999</v>
      </c>
      <c r="I362" s="437"/>
    </row>
    <row r="363" spans="1:22" ht="18" customHeight="1">
      <c r="B363" s="150" t="s">
        <v>256</v>
      </c>
      <c r="C363" s="50"/>
      <c r="D363" s="50"/>
      <c r="E363" s="50"/>
      <c r="F363" s="50"/>
      <c r="G363" s="166"/>
      <c r="H363" s="155">
        <f>SUM(H351:H362)</f>
        <v>321.95920000000001</v>
      </c>
      <c r="I363" s="183"/>
    </row>
    <row r="364" spans="1:22" ht="18" customHeight="1">
      <c r="B364" s="438" t="s">
        <v>257</v>
      </c>
      <c r="C364" s="185"/>
      <c r="D364" s="186"/>
      <c r="E364" s="185"/>
      <c r="F364" s="186"/>
      <c r="G364" s="186"/>
      <c r="H364" s="187">
        <f>SUM(H363,H350,H337,H322,H314,H308,H304)</f>
        <v>899.93752099999995</v>
      </c>
      <c r="I364" s="188"/>
    </row>
    <row r="365" spans="1:22" ht="18" customHeight="1">
      <c r="A365" s="189"/>
      <c r="B365" s="190" t="s">
        <v>258</v>
      </c>
      <c r="C365" s="10" t="s">
        <v>14</v>
      </c>
      <c r="D365" s="10" t="s">
        <v>16</v>
      </c>
      <c r="E365" s="10" t="s">
        <v>17</v>
      </c>
      <c r="F365" s="10" t="s">
        <v>7</v>
      </c>
      <c r="G365" s="10" t="s">
        <v>5</v>
      </c>
      <c r="H365" s="10" t="s">
        <v>18</v>
      </c>
      <c r="I365" s="191" t="s">
        <v>259</v>
      </c>
      <c r="L365" s="192"/>
      <c r="M365" s="192"/>
    </row>
    <row r="366" spans="1:22" ht="18" customHeight="1">
      <c r="B366" s="48">
        <f>ROUND(I366/F366,2)</f>
        <v>2110.81</v>
      </c>
      <c r="C366" s="50" t="s">
        <v>299</v>
      </c>
      <c r="D366" s="50">
        <f>D5</f>
        <v>1880</v>
      </c>
      <c r="E366" s="50">
        <f>E5</f>
        <v>530</v>
      </c>
      <c r="F366" s="49">
        <f>E366*D366/1000000</f>
        <v>0.99639999999999995</v>
      </c>
      <c r="G366" s="50">
        <f>G4</f>
        <v>1</v>
      </c>
      <c r="H366" s="49">
        <f>F366</f>
        <v>0.99639999999999995</v>
      </c>
      <c r="I366" s="193">
        <f>H364+H291+H292+I223+I12</f>
        <v>2103.207458461</v>
      </c>
      <c r="K366" s="192"/>
    </row>
    <row r="367" spans="1:22" ht="18" customHeight="1">
      <c r="B367" s="194" t="s">
        <v>258</v>
      </c>
      <c r="C367" s="195" t="s">
        <v>260</v>
      </c>
      <c r="D367" s="195" t="s">
        <v>261</v>
      </c>
      <c r="E367" s="195" t="s">
        <v>262</v>
      </c>
      <c r="F367" s="195" t="s">
        <v>263</v>
      </c>
      <c r="G367" s="195" t="s">
        <v>264</v>
      </c>
      <c r="H367" s="195" t="s">
        <v>265</v>
      </c>
      <c r="I367" s="196" t="s">
        <v>266</v>
      </c>
    </row>
    <row r="368" spans="1:22" ht="30" customHeight="1" thickBot="1">
      <c r="B368" s="197">
        <f>ROUND(I366/H366,2)</f>
        <v>2110.81</v>
      </c>
      <c r="C368" s="198">
        <f>E294+E296+E298+E300+E302+E303+E297+E299</f>
        <v>2</v>
      </c>
      <c r="D368" s="199"/>
      <c r="E368" s="199"/>
      <c r="F368" s="200"/>
      <c r="G368" s="200"/>
      <c r="H368" s="200"/>
      <c r="I368" s="201"/>
      <c r="O368" s="631" t="s">
        <v>603</v>
      </c>
      <c r="P368" s="631"/>
      <c r="Q368" s="631"/>
      <c r="R368" s="631"/>
      <c r="S368" s="631"/>
      <c r="T368" s="631"/>
      <c r="U368" s="631"/>
      <c r="V368" s="631"/>
    </row>
    <row r="369" spans="2:22" ht="20.100000000000001" customHeight="1">
      <c r="B369" s="42"/>
      <c r="L369" s="202"/>
      <c r="M369" s="202"/>
      <c r="N369" s="202"/>
      <c r="O369" s="634" t="s">
        <v>604</v>
      </c>
      <c r="P369" s="634"/>
      <c r="Q369" s="634"/>
      <c r="R369" s="634"/>
      <c r="S369" s="634"/>
      <c r="T369" s="634"/>
      <c r="U369" s="634"/>
      <c r="V369" s="634"/>
    </row>
    <row r="370" spans="2:22" ht="20.100000000000001" customHeight="1">
      <c r="B370" s="102" t="s">
        <v>862</v>
      </c>
      <c r="C370" s="203"/>
      <c r="D370" s="203" t="s">
        <v>267</v>
      </c>
      <c r="E370" s="203"/>
      <c r="J370" s="102"/>
      <c r="O370" s="285" t="s">
        <v>279</v>
      </c>
      <c r="P370" s="624" t="s">
        <v>629</v>
      </c>
      <c r="Q370" s="625"/>
      <c r="R370" s="312" t="str">
        <f ca="1">B4</f>
        <v>GC2006</v>
      </c>
      <c r="S370" s="312"/>
      <c r="T370" s="313"/>
      <c r="U370" s="287" t="s">
        <v>605</v>
      </c>
      <c r="V370" s="288"/>
    </row>
    <row r="371" spans="2:22" ht="24.95" customHeight="1">
      <c r="B371" s="102">
        <f>ROUND(I366/F6,2)</f>
        <v>2162.9</v>
      </c>
      <c r="C371" s="203">
        <f>U392</f>
        <v>1876.9470056010257</v>
      </c>
      <c r="D371" s="203">
        <f>E304</f>
        <v>2</v>
      </c>
      <c r="E371" s="203"/>
      <c r="J371" s="102"/>
      <c r="O371" s="635" t="s">
        <v>606</v>
      </c>
      <c r="P371" s="623" t="s">
        <v>626</v>
      </c>
      <c r="Q371" s="623"/>
      <c r="R371" s="623"/>
      <c r="S371" s="623"/>
      <c r="T371" s="637"/>
      <c r="U371" s="291" t="s">
        <v>607</v>
      </c>
      <c r="V371" s="292" t="s">
        <v>313</v>
      </c>
    </row>
    <row r="372" spans="2:22" ht="24.95" customHeight="1">
      <c r="L372" s="102"/>
      <c r="M372" s="102"/>
      <c r="N372" s="102"/>
      <c r="O372" s="636"/>
      <c r="P372" s="638"/>
      <c r="Q372" s="638"/>
      <c r="R372" s="638"/>
      <c r="S372" s="638"/>
      <c r="T372" s="638"/>
      <c r="U372" s="291" t="s">
        <v>268</v>
      </c>
      <c r="V372" s="293">
        <f>F4</f>
        <v>1.17</v>
      </c>
    </row>
    <row r="373" spans="2:22" ht="24.95" customHeight="1">
      <c r="J373" s="102"/>
      <c r="K373" s="102"/>
      <c r="L373" s="102"/>
      <c r="M373" s="102"/>
      <c r="N373" s="102"/>
      <c r="O373" s="311" t="s">
        <v>0</v>
      </c>
      <c r="P373" s="289" t="s">
        <v>608</v>
      </c>
      <c r="Q373" s="289" t="s">
        <v>627</v>
      </c>
      <c r="R373" s="289" t="s">
        <v>269</v>
      </c>
      <c r="S373" s="294" t="s">
        <v>8</v>
      </c>
      <c r="T373" s="295" t="s">
        <v>609</v>
      </c>
      <c r="U373" s="296" t="s">
        <v>270</v>
      </c>
      <c r="V373" s="295" t="s">
        <v>610</v>
      </c>
    </row>
    <row r="374" spans="2:22" ht="20.100000000000001" customHeight="1">
      <c r="J374" s="102"/>
      <c r="K374" s="102"/>
      <c r="L374" s="102"/>
      <c r="M374" s="102"/>
      <c r="N374" s="102"/>
      <c r="O374" s="297" t="s">
        <v>305</v>
      </c>
      <c r="P374" s="298" t="s">
        <v>611</v>
      </c>
      <c r="Q374" s="298"/>
      <c r="R374" s="286"/>
      <c r="S374" s="299"/>
      <c r="T374" s="300"/>
      <c r="U374" s="301">
        <f>SUM(U375:U383)</f>
        <v>1619.423330461</v>
      </c>
      <c r="V374" s="286"/>
    </row>
    <row r="375" spans="2:22" ht="20.100000000000001" customHeight="1">
      <c r="J375" s="102"/>
      <c r="K375" s="102"/>
      <c r="L375" s="102"/>
      <c r="M375" s="102"/>
      <c r="N375" s="102"/>
      <c r="O375" s="286">
        <v>1</v>
      </c>
      <c r="P375" s="302" t="s">
        <v>612</v>
      </c>
      <c r="Q375" s="307"/>
      <c r="R375" s="286" t="s">
        <v>271</v>
      </c>
      <c r="S375" s="303">
        <f>E223</f>
        <v>21.732067600000001</v>
      </c>
      <c r="T375" s="304">
        <f>I223/E223</f>
        <v>48.289926056598496</v>
      </c>
      <c r="U375" s="305">
        <f t="shared" ref="U375:U383" si="58">T375*S375</f>
        <v>1049.439937461</v>
      </c>
      <c r="V375" s="306"/>
    </row>
    <row r="376" spans="2:22" ht="20.100000000000001" customHeight="1">
      <c r="J376" s="102"/>
      <c r="K376" s="102"/>
      <c r="L376" s="102"/>
      <c r="M376" s="102"/>
      <c r="N376" s="102"/>
      <c r="O376" s="286">
        <v>2</v>
      </c>
      <c r="P376" s="290" t="s">
        <v>613</v>
      </c>
      <c r="Q376" s="307"/>
      <c r="R376" s="286" t="s">
        <v>276</v>
      </c>
      <c r="S376" s="303">
        <f>D358</f>
        <v>0</v>
      </c>
      <c r="T376" s="304">
        <f>G358</f>
        <v>70</v>
      </c>
      <c r="U376" s="305">
        <f t="shared" si="58"/>
        <v>0</v>
      </c>
      <c r="V376" s="306"/>
    </row>
    <row r="377" spans="2:22" ht="20.100000000000001" customHeight="1">
      <c r="J377" s="102"/>
      <c r="K377" s="102"/>
      <c r="L377" s="102"/>
      <c r="M377" s="102"/>
      <c r="N377" s="102"/>
      <c r="O377" s="286">
        <v>3</v>
      </c>
      <c r="P377" s="302" t="s">
        <v>614</v>
      </c>
      <c r="Q377" s="302"/>
      <c r="R377" s="286" t="s">
        <v>312</v>
      </c>
      <c r="S377" s="303">
        <f>D291+D292</f>
        <v>0.55436399999999997</v>
      </c>
      <c r="T377" s="304">
        <f>材料价格!B10</f>
        <v>148</v>
      </c>
      <c r="U377" s="305">
        <f t="shared" si="58"/>
        <v>82.045871999999989</v>
      </c>
      <c r="V377" s="306"/>
    </row>
    <row r="378" spans="2:22" ht="20.100000000000001" customHeight="1">
      <c r="B378" s="630" t="s">
        <v>277</v>
      </c>
      <c r="C378" s="630"/>
      <c r="D378" s="630"/>
      <c r="E378" s="630"/>
      <c r="F378" s="630"/>
      <c r="G378" s="630"/>
      <c r="H378" s="630"/>
      <c r="I378" s="630"/>
      <c r="J378" s="102"/>
      <c r="K378" s="102"/>
      <c r="L378" s="102"/>
      <c r="M378" s="102"/>
      <c r="N378" s="102"/>
      <c r="O378" s="286">
        <v>4</v>
      </c>
      <c r="P378" s="302" t="s">
        <v>615</v>
      </c>
      <c r="Q378" s="306"/>
      <c r="R378" s="286" t="s">
        <v>278</v>
      </c>
      <c r="S378" s="303">
        <f>(H316+H317+H319+H320+H321)/F316</f>
        <v>4.187793427230047</v>
      </c>
      <c r="T378" s="304">
        <f>材料价格!B25</f>
        <v>8.52</v>
      </c>
      <c r="U378" s="305">
        <f t="shared" si="58"/>
        <v>35.68</v>
      </c>
      <c r="V378" s="306"/>
    </row>
    <row r="379" spans="2:22" ht="20.100000000000001" customHeight="1">
      <c r="B379" s="204" t="s">
        <v>279</v>
      </c>
      <c r="C379" s="205" t="s">
        <v>280</v>
      </c>
      <c r="D379" s="205" t="s">
        <v>281</v>
      </c>
      <c r="E379" s="205" t="s">
        <v>282</v>
      </c>
      <c r="F379" s="205" t="s">
        <v>379</v>
      </c>
      <c r="G379" s="205"/>
      <c r="H379" s="205" t="s">
        <v>28</v>
      </c>
      <c r="I379" s="205" t="s">
        <v>259</v>
      </c>
      <c r="J379" s="102"/>
      <c r="K379" s="102"/>
      <c r="L379" s="102"/>
      <c r="M379" s="102"/>
      <c r="N379" s="102"/>
      <c r="O379" s="286">
        <v>5</v>
      </c>
      <c r="P379" s="306" t="s">
        <v>616</v>
      </c>
      <c r="Q379" s="302"/>
      <c r="R379" s="286" t="s">
        <v>628</v>
      </c>
      <c r="S379" s="303">
        <f>H337/21</f>
        <v>1.7023009999999998</v>
      </c>
      <c r="T379" s="304">
        <v>21</v>
      </c>
      <c r="U379" s="305">
        <f t="shared" si="58"/>
        <v>35.748320999999997</v>
      </c>
      <c r="V379" s="306"/>
    </row>
    <row r="380" spans="2:22" ht="20.100000000000001" customHeight="1">
      <c r="B380" s="206" t="s">
        <v>284</v>
      </c>
      <c r="C380" s="208" t="s">
        <v>384</v>
      </c>
      <c r="D380" s="207">
        <f>C22+C31+C38+C48+C56+C112+C119+C126+C133+C139+C177+C184+C191+C199</f>
        <v>10.778</v>
      </c>
      <c r="E380" s="207" t="s">
        <v>383</v>
      </c>
      <c r="F380" s="206"/>
      <c r="G380" s="206"/>
      <c r="H380" s="241">
        <v>2.4</v>
      </c>
      <c r="I380" s="207"/>
      <c r="J380" s="102"/>
      <c r="K380" s="102"/>
      <c r="L380" s="102"/>
      <c r="M380" s="102"/>
      <c r="N380" s="102"/>
      <c r="O380" s="286">
        <v>6</v>
      </c>
      <c r="P380" s="302" t="s">
        <v>319</v>
      </c>
      <c r="Q380" s="302"/>
      <c r="R380" s="286" t="s">
        <v>273</v>
      </c>
      <c r="S380" s="303"/>
      <c r="T380" s="304"/>
      <c r="U380" s="305">
        <f t="shared" si="58"/>
        <v>0</v>
      </c>
      <c r="V380" s="306"/>
    </row>
    <row r="381" spans="2:22" ht="20.100000000000001" customHeight="1">
      <c r="B381" s="206" t="s">
        <v>286</v>
      </c>
      <c r="C381" s="206" t="s">
        <v>287</v>
      </c>
      <c r="D381" s="209">
        <f>(J22+J31+J38+J48+J112+J119+J126)*4+(J56+J133)*2</f>
        <v>14</v>
      </c>
      <c r="E381" s="207" t="s">
        <v>285</v>
      </c>
      <c r="F381" s="206"/>
      <c r="G381" s="206"/>
      <c r="H381" s="241">
        <v>0.5</v>
      </c>
      <c r="I381" s="207">
        <f>H381*D381</f>
        <v>7</v>
      </c>
      <c r="J381" s="102"/>
      <c r="K381" s="102"/>
      <c r="L381" s="102"/>
      <c r="M381" s="102"/>
      <c r="N381" s="102"/>
      <c r="O381" s="286">
        <v>7</v>
      </c>
      <c r="P381" s="302" t="s">
        <v>295</v>
      </c>
      <c r="Q381" s="302"/>
      <c r="R381" s="286" t="s">
        <v>273</v>
      </c>
      <c r="S381" s="303"/>
      <c r="T381" s="304">
        <f>材料价格!B19</f>
        <v>230</v>
      </c>
      <c r="U381" s="305">
        <f t="shared" si="58"/>
        <v>0</v>
      </c>
      <c r="V381" s="306"/>
    </row>
    <row r="382" spans="2:22" ht="20.100000000000001" customHeight="1">
      <c r="B382" s="206" t="s">
        <v>289</v>
      </c>
      <c r="C382" s="206"/>
      <c r="D382" s="210">
        <f>ROUND((C22+C56*2+C64*2+C112+C133*2+C139*2)/0.3,0)+2</f>
        <v>21</v>
      </c>
      <c r="E382" s="207" t="s">
        <v>285</v>
      </c>
      <c r="F382" s="206"/>
      <c r="G382" s="206"/>
      <c r="H382" s="241">
        <v>0.3</v>
      </c>
      <c r="I382" s="207">
        <f t="shared" ref="I382:I387" si="59">H382*D382</f>
        <v>6.3</v>
      </c>
      <c r="J382" s="102"/>
      <c r="K382" s="102"/>
      <c r="L382" s="102"/>
      <c r="M382" s="102"/>
      <c r="N382" s="102"/>
      <c r="O382" s="286">
        <v>8</v>
      </c>
      <c r="P382" s="302" t="s">
        <v>296</v>
      </c>
      <c r="Q382" s="302"/>
      <c r="R382" s="286" t="s">
        <v>273</v>
      </c>
      <c r="S382" s="303">
        <f>E303</f>
        <v>0</v>
      </c>
      <c r="T382" s="304">
        <f>材料价格!B20</f>
        <v>335</v>
      </c>
      <c r="U382" s="305">
        <f t="shared" si="58"/>
        <v>0</v>
      </c>
      <c r="V382" s="306"/>
    </row>
    <row r="383" spans="2:22" ht="20.100000000000001" customHeight="1">
      <c r="B383" s="206" t="s">
        <v>381</v>
      </c>
      <c r="C383" s="206" t="s">
        <v>389</v>
      </c>
      <c r="D383" s="211">
        <f>C22+C31+C38+C56*2+C64*2+C112+C119+C126+C133*2</f>
        <v>11.252000000000001</v>
      </c>
      <c r="E383" s="207" t="s">
        <v>285</v>
      </c>
      <c r="F383" s="206" t="s">
        <v>380</v>
      </c>
      <c r="G383" s="206"/>
      <c r="H383" s="241">
        <v>2.81</v>
      </c>
      <c r="I383" s="207">
        <f>H383*D383</f>
        <v>31.618120000000001</v>
      </c>
      <c r="J383" s="102"/>
      <c r="K383" s="102"/>
      <c r="L383" s="102"/>
      <c r="M383" s="102"/>
      <c r="N383" s="102"/>
      <c r="O383" s="286">
        <v>9</v>
      </c>
      <c r="P383" s="302" t="s">
        <v>617</v>
      </c>
      <c r="Q383" s="302"/>
      <c r="R383" s="286" t="s">
        <v>618</v>
      </c>
      <c r="S383" s="296">
        <v>1</v>
      </c>
      <c r="T383" s="304">
        <f>H363-H358+H350+H318+H315+H314</f>
        <v>416.50920000000002</v>
      </c>
      <c r="U383" s="305">
        <f t="shared" si="58"/>
        <v>416.50920000000002</v>
      </c>
      <c r="V383" s="306"/>
    </row>
    <row r="384" spans="2:22" ht="20.100000000000001" customHeight="1">
      <c r="B384" s="206" t="s">
        <v>390</v>
      </c>
      <c r="C384" s="206" t="s">
        <v>392</v>
      </c>
      <c r="D384" s="211">
        <f>C22+C88+C112+C163</f>
        <v>4.78</v>
      </c>
      <c r="E384" s="207" t="s">
        <v>285</v>
      </c>
      <c r="F384" s="206" t="s">
        <v>394</v>
      </c>
      <c r="G384" s="206"/>
      <c r="H384" s="241">
        <v>3.27</v>
      </c>
      <c r="I384" s="207">
        <f t="shared" ref="I384" si="60">H384*D384</f>
        <v>15.630600000000001</v>
      </c>
      <c r="J384" s="102"/>
      <c r="K384" s="102"/>
      <c r="L384" s="102"/>
      <c r="M384" s="102"/>
      <c r="N384" s="102"/>
      <c r="O384" s="297" t="s">
        <v>306</v>
      </c>
      <c r="P384" s="308" t="s">
        <v>314</v>
      </c>
      <c r="Q384" s="298"/>
      <c r="R384" s="286"/>
      <c r="S384" s="296"/>
      <c r="T384" s="309"/>
      <c r="U384" s="301">
        <f>SUM(U385:U386)</f>
        <v>187.2</v>
      </c>
      <c r="V384" s="286"/>
    </row>
    <row r="385" spans="2:22" ht="20.100000000000001" customHeight="1">
      <c r="B385" s="206" t="s">
        <v>391</v>
      </c>
      <c r="C385" s="206" t="s">
        <v>393</v>
      </c>
      <c r="D385" s="211">
        <f>(C97+C104+C119+C126)*2</f>
        <v>9.0960000000000001</v>
      </c>
      <c r="E385" s="207" t="s">
        <v>285</v>
      </c>
      <c r="F385" s="206" t="s">
        <v>395</v>
      </c>
      <c r="G385" s="206"/>
      <c r="H385" s="241">
        <v>1.74</v>
      </c>
      <c r="I385" s="207">
        <f t="shared" si="59"/>
        <v>15.82704</v>
      </c>
      <c r="J385" s="102"/>
      <c r="K385" s="102"/>
      <c r="L385" s="102"/>
      <c r="M385" s="102"/>
      <c r="N385" s="102"/>
      <c r="O385" s="286">
        <v>1</v>
      </c>
      <c r="P385" s="307" t="s">
        <v>619</v>
      </c>
      <c r="Q385" s="307"/>
      <c r="R385" s="300" t="s">
        <v>312</v>
      </c>
      <c r="S385" s="296">
        <f>V372</f>
        <v>1.17</v>
      </c>
      <c r="T385" s="310">
        <v>60</v>
      </c>
      <c r="U385" s="305">
        <f>T385*S385</f>
        <v>70.199999999999989</v>
      </c>
      <c r="V385" s="286"/>
    </row>
    <row r="386" spans="2:22" ht="20.100000000000001" customHeight="1">
      <c r="B386" s="208" t="s">
        <v>382</v>
      </c>
      <c r="C386" s="206" t="s">
        <v>291</v>
      </c>
      <c r="D386" s="211">
        <f>D338+D339+D341</f>
        <v>10</v>
      </c>
      <c r="E386" s="207" t="s">
        <v>285</v>
      </c>
      <c r="F386" s="206"/>
      <c r="G386" s="206"/>
      <c r="H386" s="241">
        <v>0.56999999999999995</v>
      </c>
      <c r="I386" s="207">
        <f>H386*D386</f>
        <v>5.6999999999999993</v>
      </c>
      <c r="J386" s="102"/>
      <c r="K386" s="102"/>
      <c r="L386" s="102"/>
      <c r="M386" s="102"/>
      <c r="N386" s="102"/>
      <c r="O386" s="286">
        <v>2</v>
      </c>
      <c r="P386" s="307" t="s">
        <v>288</v>
      </c>
      <c r="Q386" s="307"/>
      <c r="R386" s="300" t="s">
        <v>312</v>
      </c>
      <c r="S386" s="296">
        <f>V372</f>
        <v>1.17</v>
      </c>
      <c r="T386" s="310">
        <v>100</v>
      </c>
      <c r="U386" s="305">
        <f>T386*S386</f>
        <v>117</v>
      </c>
      <c r="V386" s="286"/>
    </row>
    <row r="387" spans="2:22" ht="20.100000000000001" customHeight="1">
      <c r="B387" s="206" t="s">
        <v>292</v>
      </c>
      <c r="C387" s="206"/>
      <c r="D387" s="211">
        <f>H366</f>
        <v>0.99639999999999995</v>
      </c>
      <c r="E387" s="207" t="s">
        <v>285</v>
      </c>
      <c r="F387" s="206"/>
      <c r="G387" s="206"/>
      <c r="H387" s="241">
        <v>20</v>
      </c>
      <c r="I387" s="207">
        <f t="shared" si="59"/>
        <v>19.927999999999997</v>
      </c>
      <c r="J387" s="102"/>
      <c r="K387" s="102"/>
      <c r="L387" s="102"/>
      <c r="M387" s="102"/>
      <c r="N387" s="102"/>
      <c r="O387" s="297" t="s">
        <v>307</v>
      </c>
      <c r="P387" s="308" t="s">
        <v>290</v>
      </c>
      <c r="Q387" s="298"/>
      <c r="R387" s="286"/>
      <c r="S387" s="296"/>
      <c r="T387" s="309"/>
      <c r="U387" s="301">
        <f>SUM(U388)</f>
        <v>23.4</v>
      </c>
      <c r="V387" s="286"/>
    </row>
    <row r="388" spans="2:22" ht="20.100000000000001" customHeight="1">
      <c r="B388" s="212" t="s">
        <v>4</v>
      </c>
      <c r="C388" s="213"/>
      <c r="D388" s="212"/>
      <c r="E388" s="212"/>
      <c r="F388" s="212"/>
      <c r="G388" s="212"/>
      <c r="H388" s="212"/>
      <c r="I388" s="213">
        <f>SUM(I380:I387)</f>
        <v>102.00376</v>
      </c>
      <c r="J388" s="242"/>
      <c r="K388" s="102"/>
      <c r="L388" s="102"/>
      <c r="M388" s="102"/>
      <c r="N388" s="102"/>
      <c r="O388" s="286">
        <v>1</v>
      </c>
      <c r="P388" s="307" t="s">
        <v>290</v>
      </c>
      <c r="Q388" s="307"/>
      <c r="R388" s="300" t="s">
        <v>312</v>
      </c>
      <c r="S388" s="296">
        <f>V372</f>
        <v>1.17</v>
      </c>
      <c r="T388" s="310">
        <v>20</v>
      </c>
      <c r="U388" s="305">
        <f>T388*S388</f>
        <v>23.4</v>
      </c>
      <c r="V388" s="286"/>
    </row>
    <row r="389" spans="2:22" ht="20.100000000000001" customHeight="1">
      <c r="J389" s="102"/>
      <c r="K389" s="102"/>
      <c r="L389" s="102"/>
      <c r="M389" s="102"/>
      <c r="N389" s="102"/>
      <c r="O389" s="286" t="s">
        <v>308</v>
      </c>
      <c r="P389" s="618" t="s">
        <v>620</v>
      </c>
      <c r="Q389" s="619"/>
      <c r="R389" s="620"/>
      <c r="S389" s="621"/>
      <c r="T389" s="622"/>
      <c r="U389" s="301">
        <f>U374+U384+U387</f>
        <v>1830.0233304610001</v>
      </c>
      <c r="V389" s="286"/>
    </row>
    <row r="390" spans="2:22" ht="20.100000000000001" customHeight="1">
      <c r="J390" s="102"/>
      <c r="K390" s="102"/>
      <c r="L390" s="102"/>
      <c r="M390" s="102"/>
      <c r="N390" s="102"/>
      <c r="O390" s="286" t="s">
        <v>309</v>
      </c>
      <c r="P390" s="618" t="s">
        <v>621</v>
      </c>
      <c r="Q390" s="619"/>
      <c r="R390" s="626">
        <v>0.2</v>
      </c>
      <c r="S390" s="627"/>
      <c r="T390" s="628"/>
      <c r="U390" s="301">
        <f>U389*R390</f>
        <v>366.00466609220007</v>
      </c>
      <c r="V390" s="286"/>
    </row>
    <row r="391" spans="2:22" ht="20.100000000000001" customHeight="1">
      <c r="J391" s="102"/>
      <c r="K391" s="102"/>
      <c r="L391" s="102"/>
      <c r="M391" s="102"/>
      <c r="N391" s="102"/>
      <c r="O391" s="286" t="s">
        <v>310</v>
      </c>
      <c r="P391" s="618" t="s">
        <v>622</v>
      </c>
      <c r="Q391" s="619"/>
      <c r="R391" s="620"/>
      <c r="S391" s="621"/>
      <c r="T391" s="622"/>
      <c r="U391" s="301">
        <f>U389+U390</f>
        <v>2196.0279965532</v>
      </c>
      <c r="V391" s="286"/>
    </row>
    <row r="392" spans="2:22" ht="30" customHeight="1">
      <c r="L392" s="102"/>
      <c r="M392" s="102"/>
      <c r="N392" s="102"/>
      <c r="O392" s="297" t="s">
        <v>311</v>
      </c>
      <c r="P392" s="618" t="s">
        <v>623</v>
      </c>
      <c r="Q392" s="619"/>
      <c r="R392" s="620"/>
      <c r="S392" s="621"/>
      <c r="T392" s="622"/>
      <c r="U392" s="301">
        <f>U391/V372</f>
        <v>1876.9470056010257</v>
      </c>
      <c r="V392" s="286" t="s">
        <v>624</v>
      </c>
    </row>
    <row r="393" spans="2:22" ht="45" customHeight="1">
      <c r="L393" s="102"/>
      <c r="M393" s="102"/>
      <c r="N393" s="102"/>
      <c r="O393" s="623" t="s">
        <v>625</v>
      </c>
      <c r="P393" s="623"/>
      <c r="Q393" s="623"/>
      <c r="R393" s="623"/>
      <c r="S393" s="623"/>
      <c r="T393" s="623"/>
      <c r="U393" s="623"/>
      <c r="V393" s="623"/>
    </row>
    <row r="394" spans="2:22" ht="18" customHeight="1">
      <c r="L394" s="102"/>
      <c r="M394" s="102"/>
      <c r="N394" s="102"/>
      <c r="O394" s="102"/>
      <c r="P394" s="102"/>
    </row>
    <row r="395" spans="2:22">
      <c r="L395" s="102"/>
      <c r="M395" s="102"/>
      <c r="N395" s="102"/>
      <c r="O395" s="102"/>
      <c r="P395" s="102"/>
    </row>
    <row r="396" spans="2:22">
      <c r="L396" s="102"/>
      <c r="M396" s="102"/>
      <c r="N396" s="102"/>
      <c r="O396" s="102"/>
      <c r="P396" s="102"/>
    </row>
    <row r="397" spans="2:22">
      <c r="L397" s="102"/>
      <c r="M397" s="102"/>
      <c r="N397" s="102"/>
      <c r="O397" s="102"/>
      <c r="P397" s="102"/>
    </row>
    <row r="398" spans="2:22">
      <c r="L398" s="102"/>
      <c r="M398" s="102"/>
      <c r="N398" s="102"/>
      <c r="O398" s="102"/>
      <c r="P398" s="102"/>
    </row>
    <row r="399" spans="2:22">
      <c r="L399" s="102"/>
      <c r="M399" s="102"/>
      <c r="N399" s="102"/>
      <c r="O399" s="102"/>
      <c r="P399" s="102"/>
    </row>
    <row r="400" spans="2:22">
      <c r="L400" s="102"/>
      <c r="M400" s="102"/>
      <c r="N400" s="102"/>
      <c r="O400" s="102"/>
      <c r="P400" s="102"/>
    </row>
    <row r="401" spans="12:16">
      <c r="L401" s="102"/>
      <c r="M401" s="102"/>
      <c r="N401" s="102"/>
      <c r="O401" s="102"/>
      <c r="P401" s="102"/>
    </row>
    <row r="402" spans="12:16">
      <c r="L402" s="102"/>
      <c r="M402" s="102"/>
      <c r="N402" s="102"/>
      <c r="O402" s="102"/>
      <c r="P402" s="102"/>
    </row>
    <row r="403" spans="12:16">
      <c r="L403" s="102"/>
      <c r="M403" s="102"/>
      <c r="N403" s="102"/>
      <c r="O403" s="102"/>
      <c r="P403" s="102"/>
    </row>
    <row r="404" spans="12:16">
      <c r="L404" s="102"/>
      <c r="M404" s="102"/>
      <c r="N404" s="102"/>
      <c r="O404" s="102"/>
      <c r="P404" s="102"/>
    </row>
    <row r="405" spans="12:16">
      <c r="L405" s="102"/>
      <c r="M405" s="102"/>
      <c r="N405" s="102"/>
      <c r="O405" s="102"/>
      <c r="P405" s="102"/>
    </row>
    <row r="406" spans="12:16">
      <c r="L406" s="102"/>
      <c r="M406" s="102"/>
      <c r="N406" s="102"/>
      <c r="O406" s="102"/>
      <c r="P406" s="102"/>
    </row>
    <row r="407" spans="12:16">
      <c r="L407" s="102"/>
      <c r="M407" s="102"/>
      <c r="N407" s="102"/>
      <c r="O407" s="102"/>
      <c r="P407" s="102"/>
    </row>
    <row r="408" spans="12:16">
      <c r="L408" s="102"/>
      <c r="M408" s="102"/>
      <c r="N408" s="102"/>
      <c r="O408" s="102"/>
      <c r="P408" s="102"/>
    </row>
    <row r="409" spans="12:16">
      <c r="L409" s="102"/>
      <c r="M409" s="102"/>
      <c r="N409" s="102"/>
      <c r="O409" s="102"/>
      <c r="P409" s="102"/>
    </row>
    <row r="410" spans="12:16">
      <c r="L410" s="102"/>
      <c r="M410" s="102"/>
      <c r="N410" s="102"/>
      <c r="O410" s="102"/>
      <c r="P410" s="102"/>
    </row>
    <row r="411" spans="12:16">
      <c r="L411" s="102"/>
      <c r="M411" s="102"/>
      <c r="N411" s="102"/>
      <c r="O411" s="102"/>
      <c r="P411" s="102"/>
    </row>
    <row r="412" spans="12:16">
      <c r="L412" s="102"/>
      <c r="M412" s="102"/>
      <c r="N412" s="102"/>
      <c r="O412" s="102"/>
      <c r="P412" s="102"/>
    </row>
    <row r="413" spans="12:16">
      <c r="L413" s="102"/>
      <c r="M413" s="102"/>
      <c r="N413" s="102"/>
      <c r="O413" s="102"/>
      <c r="P413" s="102"/>
    </row>
    <row r="414" spans="12:16">
      <c r="L414" s="102"/>
      <c r="M414" s="102"/>
      <c r="N414" s="102"/>
      <c r="O414" s="102"/>
      <c r="P414" s="102"/>
    </row>
    <row r="415" spans="12:16">
      <c r="L415" s="102"/>
      <c r="M415" s="102"/>
      <c r="N415" s="102"/>
      <c r="O415" s="102"/>
      <c r="P415" s="102"/>
    </row>
    <row r="416" spans="12:16">
      <c r="L416" s="102"/>
      <c r="M416" s="102"/>
      <c r="N416" s="102"/>
      <c r="O416" s="102"/>
      <c r="P416" s="102"/>
    </row>
    <row r="417" spans="10:16">
      <c r="L417" s="102"/>
      <c r="M417" s="102"/>
      <c r="N417" s="102"/>
      <c r="O417" s="102"/>
      <c r="P417" s="102"/>
    </row>
    <row r="418" spans="10:16">
      <c r="L418" s="102"/>
      <c r="M418" s="102"/>
      <c r="N418" s="102"/>
      <c r="O418" s="102"/>
      <c r="P418" s="102"/>
    </row>
    <row r="419" spans="10:16">
      <c r="L419" s="102"/>
      <c r="M419" s="102"/>
      <c r="N419" s="102"/>
      <c r="O419" s="102"/>
      <c r="P419" s="102"/>
    </row>
    <row r="420" spans="10:16">
      <c r="L420" s="102"/>
      <c r="M420" s="102"/>
      <c r="N420" s="102"/>
      <c r="O420" s="102"/>
      <c r="P420" s="102"/>
    </row>
    <row r="421" spans="10:16">
      <c r="L421" s="102"/>
      <c r="M421" s="102"/>
      <c r="N421" s="102"/>
      <c r="O421" s="102"/>
      <c r="P421" s="102"/>
    </row>
    <row r="422" spans="10:16">
      <c r="L422" s="102"/>
      <c r="M422" s="102"/>
      <c r="N422" s="102"/>
      <c r="O422" s="102"/>
      <c r="P422" s="102"/>
    </row>
    <row r="423" spans="10:16">
      <c r="L423" s="102"/>
      <c r="M423" s="102"/>
      <c r="N423" s="102"/>
      <c r="O423" s="102"/>
      <c r="P423" s="102"/>
    </row>
    <row r="424" spans="10:16">
      <c r="L424" s="102"/>
      <c r="M424" s="102"/>
      <c r="N424" s="102"/>
      <c r="O424" s="102"/>
      <c r="P424" s="102"/>
    </row>
    <row r="425" spans="10:16">
      <c r="L425" s="102"/>
      <c r="M425" s="102"/>
      <c r="N425" s="102"/>
      <c r="O425" s="102"/>
      <c r="P425" s="102"/>
    </row>
    <row r="426" spans="10:16">
      <c r="L426" s="102"/>
      <c r="M426" s="102"/>
      <c r="N426" s="102"/>
      <c r="O426" s="102"/>
      <c r="P426" s="102"/>
    </row>
    <row r="427" spans="10:16">
      <c r="J427" s="102"/>
      <c r="K427" s="102"/>
      <c r="L427" s="102"/>
      <c r="M427" s="102"/>
      <c r="N427" s="102"/>
      <c r="O427" s="102"/>
      <c r="P427" s="102"/>
    </row>
    <row r="428" spans="10:16">
      <c r="J428" s="102"/>
      <c r="K428" s="102"/>
      <c r="L428" s="102"/>
      <c r="M428" s="102"/>
      <c r="N428" s="102"/>
      <c r="O428" s="102"/>
      <c r="P428" s="102"/>
    </row>
    <row r="429" spans="10:16">
      <c r="J429" s="102"/>
      <c r="K429" s="102"/>
      <c r="L429" s="102"/>
      <c r="M429" s="102"/>
      <c r="N429" s="102"/>
      <c r="O429" s="102"/>
      <c r="P429" s="102"/>
    </row>
    <row r="430" spans="10:16">
      <c r="J430" s="102"/>
      <c r="K430" s="102"/>
      <c r="L430" s="102"/>
      <c r="M430" s="102"/>
      <c r="N430" s="102"/>
      <c r="O430" s="102"/>
      <c r="P430" s="102"/>
    </row>
    <row r="431" spans="10:16">
      <c r="J431" s="102"/>
      <c r="K431" s="102"/>
      <c r="L431" s="102"/>
      <c r="M431" s="102"/>
      <c r="N431" s="102"/>
      <c r="O431" s="102"/>
      <c r="P431" s="102"/>
    </row>
    <row r="432" spans="10:16">
      <c r="J432" s="102"/>
      <c r="K432" s="102"/>
      <c r="L432" s="102"/>
      <c r="M432" s="102"/>
      <c r="N432" s="102"/>
      <c r="O432" s="102"/>
      <c r="P432" s="102"/>
    </row>
    <row r="433" spans="10:16">
      <c r="J433" s="102"/>
      <c r="K433" s="102"/>
      <c r="L433" s="102"/>
      <c r="M433" s="102"/>
      <c r="N433" s="102"/>
      <c r="O433" s="102"/>
      <c r="P433" s="102"/>
    </row>
    <row r="434" spans="10:16">
      <c r="J434" s="102"/>
      <c r="K434" s="102"/>
      <c r="L434" s="102"/>
      <c r="M434" s="102"/>
      <c r="N434" s="102"/>
      <c r="O434" s="102"/>
      <c r="P434" s="102"/>
    </row>
    <row r="435" spans="10:16">
      <c r="J435" s="102"/>
      <c r="K435" s="102"/>
      <c r="L435" s="102"/>
      <c r="M435" s="102"/>
      <c r="N435" s="102"/>
      <c r="O435" s="102"/>
      <c r="P435" s="102"/>
    </row>
    <row r="436" spans="10:16">
      <c r="J436" s="102"/>
      <c r="K436" s="102"/>
      <c r="L436" s="102"/>
      <c r="M436" s="102"/>
      <c r="N436" s="102"/>
      <c r="O436" s="102"/>
      <c r="P436" s="102"/>
    </row>
    <row r="437" spans="10:16">
      <c r="J437" s="102"/>
      <c r="K437" s="102"/>
      <c r="L437" s="102"/>
      <c r="M437" s="102"/>
      <c r="N437" s="102"/>
      <c r="O437" s="102"/>
      <c r="P437" s="102"/>
    </row>
    <row r="438" spans="10:16">
      <c r="J438" s="102"/>
      <c r="K438" s="102"/>
      <c r="L438" s="102"/>
      <c r="M438" s="102"/>
      <c r="N438" s="102"/>
      <c r="O438" s="102"/>
      <c r="P438" s="102"/>
    </row>
    <row r="439" spans="10:16">
      <c r="J439" s="102"/>
      <c r="K439" s="102"/>
      <c r="L439" s="102"/>
      <c r="M439" s="102"/>
      <c r="N439" s="102"/>
      <c r="O439" s="102"/>
      <c r="P439" s="102"/>
    </row>
    <row r="440" spans="10:16">
      <c r="J440" s="102"/>
      <c r="K440" s="102"/>
      <c r="L440" s="102"/>
      <c r="M440" s="102"/>
      <c r="N440" s="102"/>
      <c r="O440" s="102"/>
      <c r="P440" s="102"/>
    </row>
    <row r="441" spans="10:16">
      <c r="J441" s="102"/>
      <c r="K441" s="102"/>
      <c r="L441" s="102"/>
      <c r="M441" s="102"/>
      <c r="N441" s="102"/>
      <c r="O441" s="102"/>
      <c r="P441" s="102"/>
    </row>
    <row r="442" spans="10:16">
      <c r="J442" s="102"/>
      <c r="K442" s="102"/>
      <c r="L442" s="102"/>
      <c r="M442" s="102"/>
      <c r="N442" s="102"/>
      <c r="O442" s="102"/>
      <c r="P442" s="102"/>
    </row>
    <row r="443" spans="10:16">
      <c r="J443" s="102"/>
      <c r="K443" s="102"/>
      <c r="L443" s="102"/>
      <c r="M443" s="102"/>
      <c r="N443" s="102"/>
      <c r="O443" s="102"/>
      <c r="P443" s="102"/>
    </row>
    <row r="444" spans="10:16">
      <c r="J444" s="102"/>
      <c r="K444" s="102"/>
      <c r="L444" s="102"/>
      <c r="M444" s="102"/>
      <c r="N444" s="102"/>
      <c r="O444" s="102"/>
      <c r="P444" s="102"/>
    </row>
    <row r="445" spans="10:16">
      <c r="J445" s="102"/>
      <c r="K445" s="102"/>
      <c r="L445" s="102"/>
      <c r="M445" s="102"/>
      <c r="N445" s="102"/>
      <c r="O445" s="102"/>
      <c r="P445" s="102"/>
    </row>
    <row r="446" spans="10:16">
      <c r="J446" s="102"/>
      <c r="K446" s="102"/>
      <c r="L446" s="102"/>
      <c r="M446" s="102"/>
      <c r="N446" s="102"/>
      <c r="O446" s="102"/>
      <c r="P446" s="102"/>
    </row>
    <row r="447" spans="10:16">
      <c r="J447" s="102"/>
      <c r="K447" s="102"/>
      <c r="L447" s="102"/>
      <c r="M447" s="102"/>
      <c r="N447" s="102"/>
      <c r="O447" s="102"/>
      <c r="P447" s="102"/>
    </row>
    <row r="448" spans="10:16">
      <c r="J448" s="102"/>
      <c r="K448" s="102"/>
      <c r="L448" s="102"/>
      <c r="M448" s="102"/>
      <c r="N448" s="102"/>
      <c r="O448" s="102"/>
      <c r="P448" s="102"/>
    </row>
    <row r="449" spans="10:16">
      <c r="J449" s="102"/>
      <c r="K449" s="102"/>
      <c r="L449" s="102"/>
      <c r="M449" s="102"/>
      <c r="N449" s="102"/>
      <c r="O449" s="102"/>
      <c r="P449" s="102"/>
    </row>
    <row r="450" spans="10:16">
      <c r="J450" s="102"/>
      <c r="K450" s="102"/>
      <c r="L450" s="102"/>
      <c r="M450" s="102"/>
      <c r="N450" s="102"/>
      <c r="O450" s="102"/>
      <c r="P450" s="102"/>
    </row>
    <row r="451" spans="10:16">
      <c r="J451" s="102"/>
      <c r="K451" s="102"/>
      <c r="L451" s="102"/>
      <c r="M451" s="102"/>
      <c r="N451" s="102"/>
      <c r="O451" s="102"/>
      <c r="P451" s="102"/>
    </row>
    <row r="452" spans="10:16">
      <c r="J452" s="102"/>
      <c r="K452" s="102"/>
      <c r="L452" s="102"/>
      <c r="M452" s="102"/>
      <c r="N452" s="102"/>
      <c r="O452" s="102"/>
      <c r="P452" s="102"/>
    </row>
    <row r="453" spans="10:16">
      <c r="J453" s="102"/>
      <c r="K453" s="102"/>
      <c r="L453" s="102"/>
      <c r="M453" s="102"/>
      <c r="N453" s="102"/>
      <c r="O453" s="102"/>
      <c r="P453" s="102"/>
    </row>
    <row r="454" spans="10:16">
      <c r="J454" s="102"/>
      <c r="K454" s="102"/>
      <c r="L454" s="102"/>
      <c r="M454" s="102"/>
      <c r="N454" s="102"/>
      <c r="O454" s="102"/>
      <c r="P454" s="102"/>
    </row>
    <row r="455" spans="10:16">
      <c r="J455" s="102"/>
      <c r="K455" s="102"/>
      <c r="L455" s="102"/>
      <c r="M455" s="102"/>
      <c r="N455" s="102"/>
      <c r="O455" s="102"/>
      <c r="P455" s="102"/>
    </row>
    <row r="456" spans="10:16">
      <c r="J456" s="102"/>
      <c r="K456" s="102"/>
      <c r="L456" s="102"/>
      <c r="M456" s="102"/>
      <c r="N456" s="102"/>
      <c r="O456" s="102"/>
      <c r="P456" s="102"/>
    </row>
    <row r="457" spans="10:16">
      <c r="J457" s="102"/>
      <c r="K457" s="102"/>
      <c r="L457" s="102"/>
      <c r="M457" s="102"/>
      <c r="N457" s="102"/>
      <c r="O457" s="102"/>
      <c r="P457" s="102"/>
    </row>
    <row r="458" spans="10:16">
      <c r="J458" s="102"/>
      <c r="K458" s="102"/>
      <c r="L458" s="102"/>
      <c r="M458" s="102"/>
      <c r="N458" s="102"/>
      <c r="O458" s="102"/>
      <c r="P458" s="102"/>
    </row>
    <row r="459" spans="10:16">
      <c r="J459" s="102"/>
      <c r="K459" s="102"/>
      <c r="L459" s="102"/>
      <c r="M459" s="102"/>
      <c r="N459" s="102"/>
      <c r="O459" s="102"/>
      <c r="P459" s="102"/>
    </row>
    <row r="460" spans="10:16">
      <c r="J460" s="102"/>
      <c r="K460" s="102"/>
      <c r="L460" s="102"/>
      <c r="M460" s="102"/>
      <c r="N460" s="102"/>
      <c r="O460" s="102"/>
      <c r="P460" s="102"/>
    </row>
    <row r="461" spans="10:16">
      <c r="J461" s="102"/>
      <c r="K461" s="102"/>
      <c r="L461" s="102"/>
      <c r="M461" s="102"/>
      <c r="N461" s="102"/>
      <c r="O461" s="102"/>
      <c r="P461" s="102"/>
    </row>
    <row r="462" spans="10:16">
      <c r="J462" s="102"/>
      <c r="K462" s="102"/>
      <c r="L462" s="102"/>
      <c r="M462" s="102"/>
      <c r="N462" s="102"/>
      <c r="O462" s="102"/>
      <c r="P462" s="102"/>
    </row>
    <row r="463" spans="10:16">
      <c r="J463" s="102"/>
      <c r="K463" s="102"/>
      <c r="L463" s="102"/>
      <c r="M463" s="102"/>
      <c r="N463" s="102"/>
      <c r="O463" s="102"/>
      <c r="P463" s="102"/>
    </row>
    <row r="464" spans="10:16">
      <c r="J464" s="102"/>
      <c r="K464" s="102"/>
      <c r="L464" s="102"/>
      <c r="M464" s="102"/>
      <c r="N464" s="102"/>
      <c r="O464" s="102"/>
      <c r="P464" s="102"/>
    </row>
  </sheetData>
  <mergeCells count="95">
    <mergeCell ref="F2:H2"/>
    <mergeCell ref="I2:I6"/>
    <mergeCell ref="J2:M2"/>
    <mergeCell ref="B4:B6"/>
    <mergeCell ref="B14:B21"/>
    <mergeCell ref="C14:C21"/>
    <mergeCell ref="B26:B30"/>
    <mergeCell ref="C26:C30"/>
    <mergeCell ref="B35:B37"/>
    <mergeCell ref="C35:C37"/>
    <mergeCell ref="B42:B47"/>
    <mergeCell ref="C42:C44"/>
    <mergeCell ref="C45:C47"/>
    <mergeCell ref="B52:B55"/>
    <mergeCell ref="C52:C55"/>
    <mergeCell ref="D59:F59"/>
    <mergeCell ref="B60:B63"/>
    <mergeCell ref="C60:C61"/>
    <mergeCell ref="D60:F60"/>
    <mergeCell ref="D61:F61"/>
    <mergeCell ref="C62:C63"/>
    <mergeCell ref="D62:F62"/>
    <mergeCell ref="D63:F63"/>
    <mergeCell ref="B68:B87"/>
    <mergeCell ref="C68:C74"/>
    <mergeCell ref="C75:C81"/>
    <mergeCell ref="C82:C87"/>
    <mergeCell ref="B92:B96"/>
    <mergeCell ref="C92:C96"/>
    <mergeCell ref="B137:B138"/>
    <mergeCell ref="C137:C138"/>
    <mergeCell ref="D137:F137"/>
    <mergeCell ref="D138:F138"/>
    <mergeCell ref="B101:B103"/>
    <mergeCell ref="C101:C103"/>
    <mergeCell ref="B108:B111"/>
    <mergeCell ref="C108:C111"/>
    <mergeCell ref="B116:B118"/>
    <mergeCell ref="C116:C118"/>
    <mergeCell ref="B123:B125"/>
    <mergeCell ref="C123:C125"/>
    <mergeCell ref="B130:B132"/>
    <mergeCell ref="C130:C132"/>
    <mergeCell ref="D136:F136"/>
    <mergeCell ref="B143:B145"/>
    <mergeCell ref="C143:C145"/>
    <mergeCell ref="B150:B152"/>
    <mergeCell ref="C150:C152"/>
    <mergeCell ref="B157:B162"/>
    <mergeCell ref="C157:C162"/>
    <mergeCell ref="B167:B169"/>
    <mergeCell ref="C167:C169"/>
    <mergeCell ref="B174:B176"/>
    <mergeCell ref="C174:C176"/>
    <mergeCell ref="B181:B183"/>
    <mergeCell ref="C181:C183"/>
    <mergeCell ref="F209:F210"/>
    <mergeCell ref="B188:B190"/>
    <mergeCell ref="C188:C190"/>
    <mergeCell ref="D194:F194"/>
    <mergeCell ref="B195:B196"/>
    <mergeCell ref="C195:C196"/>
    <mergeCell ref="D195:F195"/>
    <mergeCell ref="D196:F196"/>
    <mergeCell ref="B197:B198"/>
    <mergeCell ref="C197:C198"/>
    <mergeCell ref="D197:F197"/>
    <mergeCell ref="D198:F198"/>
    <mergeCell ref="F203:F204"/>
    <mergeCell ref="O369:V369"/>
    <mergeCell ref="F211:F212"/>
    <mergeCell ref="F213:F214"/>
    <mergeCell ref="B291:B292"/>
    <mergeCell ref="B294:B295"/>
    <mergeCell ref="I294:I295"/>
    <mergeCell ref="B296:B297"/>
    <mergeCell ref="I296:I297"/>
    <mergeCell ref="B298:B299"/>
    <mergeCell ref="I298:I299"/>
    <mergeCell ref="B300:B301"/>
    <mergeCell ref="B302:B303"/>
    <mergeCell ref="O368:V368"/>
    <mergeCell ref="P370:Q370"/>
    <mergeCell ref="O371:O372"/>
    <mergeCell ref="P371:T372"/>
    <mergeCell ref="B378:I378"/>
    <mergeCell ref="P389:Q389"/>
    <mergeCell ref="R389:T389"/>
    <mergeCell ref="O393:V393"/>
    <mergeCell ref="P390:Q390"/>
    <mergeCell ref="R390:T390"/>
    <mergeCell ref="P391:Q391"/>
    <mergeCell ref="R391:T391"/>
    <mergeCell ref="P392:Q392"/>
    <mergeCell ref="R392:T392"/>
  </mergeCells>
  <phoneticPr fontId="5" type="noConversion"/>
  <pageMargins left="0.19685039370078741" right="0.19685039370078741" top="0.74803149606299213" bottom="0.74803149606299213" header="0.31496062992125984" footer="0.31496062992125984"/>
  <pageSetup paperSize="9" scale="78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0E51F-10C2-4D65-B39A-09A268D3B462}">
  <sheetPr>
    <tabColor rgb="FF7030A0"/>
    <pageSetUpPr fitToPage="1"/>
  </sheetPr>
  <dimension ref="A1:V464"/>
  <sheetViews>
    <sheetView showZeros="0" topLeftCell="A346" zoomScaleNormal="100" workbookViewId="0">
      <selection activeCell="C372" sqref="C372"/>
    </sheetView>
  </sheetViews>
  <sheetFormatPr defaultColWidth="25.25" defaultRowHeight="13.5"/>
  <cols>
    <col min="1" max="1" width="0.5" style="1" customWidth="1"/>
    <col min="2" max="2" width="25.25" style="102" customWidth="1"/>
    <col min="3" max="3" width="14.75" style="102" customWidth="1"/>
    <col min="4" max="4" width="11.5" style="102" customWidth="1"/>
    <col min="5" max="5" width="11.25" style="102" customWidth="1"/>
    <col min="6" max="6" width="12.25" style="102" customWidth="1"/>
    <col min="7" max="7" width="10" style="102" customWidth="1"/>
    <col min="8" max="8" width="9.875" style="102" customWidth="1"/>
    <col min="9" max="9" width="26.875" style="102" customWidth="1"/>
    <col min="10" max="10" width="11.125" style="43" customWidth="1"/>
    <col min="11" max="11" width="7.875" style="43" customWidth="1"/>
    <col min="12" max="12" width="7.25" style="43" customWidth="1"/>
    <col min="13" max="13" width="9.125" style="43" customWidth="1"/>
    <col min="14" max="14" width="15.125" style="255" customWidth="1"/>
    <col min="15" max="15" width="13.125" style="255" customWidth="1"/>
    <col min="16" max="16" width="24.375" style="255" customWidth="1"/>
    <col min="17" max="17" width="13.75" style="255" customWidth="1"/>
    <col min="18" max="18" width="11.25" style="255" customWidth="1"/>
    <col min="19" max="19" width="10.75" style="255" customWidth="1"/>
    <col min="20" max="20" width="10" style="255" customWidth="1"/>
    <col min="21" max="21" width="9.875" style="255" customWidth="1"/>
    <col min="22" max="22" width="26.125" style="255" customWidth="1"/>
    <col min="23" max="23" width="11.125" style="255" customWidth="1"/>
    <col min="24" max="24" width="7.875" style="255" customWidth="1"/>
    <col min="25" max="25" width="7.25" style="255" customWidth="1"/>
    <col min="26" max="26" width="9.125" style="255" customWidth="1"/>
    <col min="27" max="27" width="15.125" style="255" customWidth="1"/>
    <col min="28" max="28" width="7.75" style="255" customWidth="1"/>
    <col min="29" max="29" width="7.125" style="255" customWidth="1"/>
    <col min="30" max="30" width="12.125" style="255" customWidth="1"/>
    <col min="31" max="31" width="8.25" style="255" customWidth="1"/>
    <col min="32" max="33" width="10.375" style="255" customWidth="1"/>
    <col min="34" max="34" width="15.625" style="255" customWidth="1"/>
    <col min="35" max="35" width="15.875" style="255" customWidth="1"/>
    <col min="36" max="36" width="8.125" style="255" customWidth="1"/>
    <col min="37" max="40" width="10.375" style="255" customWidth="1"/>
    <col min="41" max="41" width="7.25" style="255" customWidth="1"/>
    <col min="42" max="42" width="7.125" style="255" customWidth="1"/>
    <col min="43" max="43" width="9.5" style="255" customWidth="1"/>
    <col min="44" max="45" width="9" style="255" customWidth="1"/>
    <col min="46" max="46" width="16.125" style="255" customWidth="1"/>
    <col min="47" max="77" width="9" style="255" customWidth="1"/>
    <col min="78" max="237" width="25.25" style="255"/>
    <col min="238" max="267" width="9" style="255" customWidth="1"/>
    <col min="268" max="268" width="0.5" style="255" customWidth="1"/>
    <col min="269" max="269" width="25.25" style="255"/>
    <col min="270" max="270" width="0.5" style="255" customWidth="1"/>
    <col min="271" max="271" width="25.25" style="255"/>
    <col min="272" max="272" width="14.75" style="255" customWidth="1"/>
    <col min="273" max="273" width="11.5" style="255" customWidth="1"/>
    <col min="274" max="274" width="11.25" style="255" customWidth="1"/>
    <col min="275" max="275" width="10.75" style="255" customWidth="1"/>
    <col min="276" max="276" width="10" style="255" customWidth="1"/>
    <col min="277" max="277" width="9.875" style="255" customWidth="1"/>
    <col min="278" max="278" width="26.125" style="255" customWidth="1"/>
    <col min="279" max="279" width="11.125" style="255" customWidth="1"/>
    <col min="280" max="280" width="7.875" style="255" customWidth="1"/>
    <col min="281" max="281" width="7.25" style="255" customWidth="1"/>
    <col min="282" max="282" width="9.125" style="255" customWidth="1"/>
    <col min="283" max="283" width="15.125" style="255" customWidth="1"/>
    <col min="284" max="284" width="7.75" style="255" customWidth="1"/>
    <col min="285" max="285" width="7.125" style="255" customWidth="1"/>
    <col min="286" max="286" width="12.125" style="255" customWidth="1"/>
    <col min="287" max="287" width="8.25" style="255" customWidth="1"/>
    <col min="288" max="289" width="10.375" style="255" customWidth="1"/>
    <col min="290" max="290" width="15.625" style="255" customWidth="1"/>
    <col min="291" max="291" width="15.875" style="255" customWidth="1"/>
    <col min="292" max="292" width="8.125" style="255" customWidth="1"/>
    <col min="293" max="296" width="10.375" style="255" customWidth="1"/>
    <col min="297" max="297" width="7.25" style="255" customWidth="1"/>
    <col min="298" max="298" width="7.125" style="255" customWidth="1"/>
    <col min="299" max="299" width="9.5" style="255" customWidth="1"/>
    <col min="300" max="301" width="9" style="255" customWidth="1"/>
    <col min="302" max="302" width="16.125" style="255" customWidth="1"/>
    <col min="303" max="333" width="9" style="255" customWidth="1"/>
    <col min="334" max="493" width="25.25" style="255"/>
    <col min="494" max="523" width="9" style="255" customWidth="1"/>
    <col min="524" max="524" width="0.5" style="255" customWidth="1"/>
    <col min="525" max="525" width="25.25" style="255"/>
    <col min="526" max="526" width="0.5" style="255" customWidth="1"/>
    <col min="527" max="527" width="25.25" style="255"/>
    <col min="528" max="528" width="14.75" style="255" customWidth="1"/>
    <col min="529" max="529" width="11.5" style="255" customWidth="1"/>
    <col min="530" max="530" width="11.25" style="255" customWidth="1"/>
    <col min="531" max="531" width="10.75" style="255" customWidth="1"/>
    <col min="532" max="532" width="10" style="255" customWidth="1"/>
    <col min="533" max="533" width="9.875" style="255" customWidth="1"/>
    <col min="534" max="534" width="26.125" style="255" customWidth="1"/>
    <col min="535" max="535" width="11.125" style="255" customWidth="1"/>
    <col min="536" max="536" width="7.875" style="255" customWidth="1"/>
    <col min="537" max="537" width="7.25" style="255" customWidth="1"/>
    <col min="538" max="538" width="9.125" style="255" customWidth="1"/>
    <col min="539" max="539" width="15.125" style="255" customWidth="1"/>
    <col min="540" max="540" width="7.75" style="255" customWidth="1"/>
    <col min="541" max="541" width="7.125" style="255" customWidth="1"/>
    <col min="542" max="542" width="12.125" style="255" customWidth="1"/>
    <col min="543" max="543" width="8.25" style="255" customWidth="1"/>
    <col min="544" max="545" width="10.375" style="255" customWidth="1"/>
    <col min="546" max="546" width="15.625" style="255" customWidth="1"/>
    <col min="547" max="547" width="15.875" style="255" customWidth="1"/>
    <col min="548" max="548" width="8.125" style="255" customWidth="1"/>
    <col min="549" max="552" width="10.375" style="255" customWidth="1"/>
    <col min="553" max="553" width="7.25" style="255" customWidth="1"/>
    <col min="554" max="554" width="7.125" style="255" customWidth="1"/>
    <col min="555" max="555" width="9.5" style="255" customWidth="1"/>
    <col min="556" max="557" width="9" style="255" customWidth="1"/>
    <col min="558" max="558" width="16.125" style="255" customWidth="1"/>
    <col min="559" max="589" width="9" style="255" customWidth="1"/>
    <col min="590" max="749" width="25.25" style="255"/>
    <col min="750" max="779" width="9" style="255" customWidth="1"/>
    <col min="780" max="780" width="0.5" style="255" customWidth="1"/>
    <col min="781" max="781" width="25.25" style="255"/>
    <col min="782" max="782" width="0.5" style="255" customWidth="1"/>
    <col min="783" max="783" width="25.25" style="255"/>
    <col min="784" max="784" width="14.75" style="255" customWidth="1"/>
    <col min="785" max="785" width="11.5" style="255" customWidth="1"/>
    <col min="786" max="786" width="11.25" style="255" customWidth="1"/>
    <col min="787" max="787" width="10.75" style="255" customWidth="1"/>
    <col min="788" max="788" width="10" style="255" customWidth="1"/>
    <col min="789" max="789" width="9.875" style="255" customWidth="1"/>
    <col min="790" max="790" width="26.125" style="255" customWidth="1"/>
    <col min="791" max="791" width="11.125" style="255" customWidth="1"/>
    <col min="792" max="792" width="7.875" style="255" customWidth="1"/>
    <col min="793" max="793" width="7.25" style="255" customWidth="1"/>
    <col min="794" max="794" width="9.125" style="255" customWidth="1"/>
    <col min="795" max="795" width="15.125" style="255" customWidth="1"/>
    <col min="796" max="796" width="7.75" style="255" customWidth="1"/>
    <col min="797" max="797" width="7.125" style="255" customWidth="1"/>
    <col min="798" max="798" width="12.125" style="255" customWidth="1"/>
    <col min="799" max="799" width="8.25" style="255" customWidth="1"/>
    <col min="800" max="801" width="10.375" style="255" customWidth="1"/>
    <col min="802" max="802" width="15.625" style="255" customWidth="1"/>
    <col min="803" max="803" width="15.875" style="255" customWidth="1"/>
    <col min="804" max="804" width="8.125" style="255" customWidth="1"/>
    <col min="805" max="808" width="10.375" style="255" customWidth="1"/>
    <col min="809" max="809" width="7.25" style="255" customWidth="1"/>
    <col min="810" max="810" width="7.125" style="255" customWidth="1"/>
    <col min="811" max="811" width="9.5" style="255" customWidth="1"/>
    <col min="812" max="813" width="9" style="255" customWidth="1"/>
    <col min="814" max="814" width="16.125" style="255" customWidth="1"/>
    <col min="815" max="845" width="9" style="255" customWidth="1"/>
    <col min="846" max="1005" width="25.25" style="255"/>
    <col min="1006" max="1035" width="9" style="255" customWidth="1"/>
    <col min="1036" max="1036" width="0.5" style="255" customWidth="1"/>
    <col min="1037" max="1037" width="25.25" style="255"/>
    <col min="1038" max="1038" width="0.5" style="255" customWidth="1"/>
    <col min="1039" max="1039" width="25.25" style="255"/>
    <col min="1040" max="1040" width="14.75" style="255" customWidth="1"/>
    <col min="1041" max="1041" width="11.5" style="255" customWidth="1"/>
    <col min="1042" max="1042" width="11.25" style="255" customWidth="1"/>
    <col min="1043" max="1043" width="10.75" style="255" customWidth="1"/>
    <col min="1044" max="1044" width="10" style="255" customWidth="1"/>
    <col min="1045" max="1045" width="9.875" style="255" customWidth="1"/>
    <col min="1046" max="1046" width="26.125" style="255" customWidth="1"/>
    <col min="1047" max="1047" width="11.125" style="255" customWidth="1"/>
    <col min="1048" max="1048" width="7.875" style="255" customWidth="1"/>
    <col min="1049" max="1049" width="7.25" style="255" customWidth="1"/>
    <col min="1050" max="1050" width="9.125" style="255" customWidth="1"/>
    <col min="1051" max="1051" width="15.125" style="255" customWidth="1"/>
    <col min="1052" max="1052" width="7.75" style="255" customWidth="1"/>
    <col min="1053" max="1053" width="7.125" style="255" customWidth="1"/>
    <col min="1054" max="1054" width="12.125" style="255" customWidth="1"/>
    <col min="1055" max="1055" width="8.25" style="255" customWidth="1"/>
    <col min="1056" max="1057" width="10.375" style="255" customWidth="1"/>
    <col min="1058" max="1058" width="15.625" style="255" customWidth="1"/>
    <col min="1059" max="1059" width="15.875" style="255" customWidth="1"/>
    <col min="1060" max="1060" width="8.125" style="255" customWidth="1"/>
    <col min="1061" max="1064" width="10.375" style="255" customWidth="1"/>
    <col min="1065" max="1065" width="7.25" style="255" customWidth="1"/>
    <col min="1066" max="1066" width="7.125" style="255" customWidth="1"/>
    <col min="1067" max="1067" width="9.5" style="255" customWidth="1"/>
    <col min="1068" max="1069" width="9" style="255" customWidth="1"/>
    <col min="1070" max="1070" width="16.125" style="255" customWidth="1"/>
    <col min="1071" max="1101" width="9" style="255" customWidth="1"/>
    <col min="1102" max="1261" width="25.25" style="255"/>
    <col min="1262" max="1291" width="9" style="255" customWidth="1"/>
    <col min="1292" max="1292" width="0.5" style="255" customWidth="1"/>
    <col min="1293" max="1293" width="25.25" style="255"/>
    <col min="1294" max="1294" width="0.5" style="255" customWidth="1"/>
    <col min="1295" max="1295" width="25.25" style="255"/>
    <col min="1296" max="1296" width="14.75" style="255" customWidth="1"/>
    <col min="1297" max="1297" width="11.5" style="255" customWidth="1"/>
    <col min="1298" max="1298" width="11.25" style="255" customWidth="1"/>
    <col min="1299" max="1299" width="10.75" style="255" customWidth="1"/>
    <col min="1300" max="1300" width="10" style="255" customWidth="1"/>
    <col min="1301" max="1301" width="9.875" style="255" customWidth="1"/>
    <col min="1302" max="1302" width="26.125" style="255" customWidth="1"/>
    <col min="1303" max="1303" width="11.125" style="255" customWidth="1"/>
    <col min="1304" max="1304" width="7.875" style="255" customWidth="1"/>
    <col min="1305" max="1305" width="7.25" style="255" customWidth="1"/>
    <col min="1306" max="1306" width="9.125" style="255" customWidth="1"/>
    <col min="1307" max="1307" width="15.125" style="255" customWidth="1"/>
    <col min="1308" max="1308" width="7.75" style="255" customWidth="1"/>
    <col min="1309" max="1309" width="7.125" style="255" customWidth="1"/>
    <col min="1310" max="1310" width="12.125" style="255" customWidth="1"/>
    <col min="1311" max="1311" width="8.25" style="255" customWidth="1"/>
    <col min="1312" max="1313" width="10.375" style="255" customWidth="1"/>
    <col min="1314" max="1314" width="15.625" style="255" customWidth="1"/>
    <col min="1315" max="1315" width="15.875" style="255" customWidth="1"/>
    <col min="1316" max="1316" width="8.125" style="255" customWidth="1"/>
    <col min="1317" max="1320" width="10.375" style="255" customWidth="1"/>
    <col min="1321" max="1321" width="7.25" style="255" customWidth="1"/>
    <col min="1322" max="1322" width="7.125" style="255" customWidth="1"/>
    <col min="1323" max="1323" width="9.5" style="255" customWidth="1"/>
    <col min="1324" max="1325" width="9" style="255" customWidth="1"/>
    <col min="1326" max="1326" width="16.125" style="255" customWidth="1"/>
    <col min="1327" max="1357" width="9" style="255" customWidth="1"/>
    <col min="1358" max="1517" width="25.25" style="255"/>
    <col min="1518" max="1547" width="9" style="255" customWidth="1"/>
    <col min="1548" max="1548" width="0.5" style="255" customWidth="1"/>
    <col min="1549" max="1549" width="25.25" style="255"/>
    <col min="1550" max="1550" width="0.5" style="255" customWidth="1"/>
    <col min="1551" max="1551" width="25.25" style="255"/>
    <col min="1552" max="1552" width="14.75" style="255" customWidth="1"/>
    <col min="1553" max="1553" width="11.5" style="255" customWidth="1"/>
    <col min="1554" max="1554" width="11.25" style="255" customWidth="1"/>
    <col min="1555" max="1555" width="10.75" style="255" customWidth="1"/>
    <col min="1556" max="1556" width="10" style="255" customWidth="1"/>
    <col min="1557" max="1557" width="9.875" style="255" customWidth="1"/>
    <col min="1558" max="1558" width="26.125" style="255" customWidth="1"/>
    <col min="1559" max="1559" width="11.125" style="255" customWidth="1"/>
    <col min="1560" max="1560" width="7.875" style="255" customWidth="1"/>
    <col min="1561" max="1561" width="7.25" style="255" customWidth="1"/>
    <col min="1562" max="1562" width="9.125" style="255" customWidth="1"/>
    <col min="1563" max="1563" width="15.125" style="255" customWidth="1"/>
    <col min="1564" max="1564" width="7.75" style="255" customWidth="1"/>
    <col min="1565" max="1565" width="7.125" style="255" customWidth="1"/>
    <col min="1566" max="1566" width="12.125" style="255" customWidth="1"/>
    <col min="1567" max="1567" width="8.25" style="255" customWidth="1"/>
    <col min="1568" max="1569" width="10.375" style="255" customWidth="1"/>
    <col min="1570" max="1570" width="15.625" style="255" customWidth="1"/>
    <col min="1571" max="1571" width="15.875" style="255" customWidth="1"/>
    <col min="1572" max="1572" width="8.125" style="255" customWidth="1"/>
    <col min="1573" max="1576" width="10.375" style="255" customWidth="1"/>
    <col min="1577" max="1577" width="7.25" style="255" customWidth="1"/>
    <col min="1578" max="1578" width="7.125" style="255" customWidth="1"/>
    <col min="1579" max="1579" width="9.5" style="255" customWidth="1"/>
    <col min="1580" max="1581" width="9" style="255" customWidth="1"/>
    <col min="1582" max="1582" width="16.125" style="255" customWidth="1"/>
    <col min="1583" max="1613" width="9" style="255" customWidth="1"/>
    <col min="1614" max="1773" width="25.25" style="255"/>
    <col min="1774" max="1803" width="9" style="255" customWidth="1"/>
    <col min="1804" max="1804" width="0.5" style="255" customWidth="1"/>
    <col min="1805" max="1805" width="25.25" style="255"/>
    <col min="1806" max="1806" width="0.5" style="255" customWidth="1"/>
    <col min="1807" max="1807" width="25.25" style="255"/>
    <col min="1808" max="1808" width="14.75" style="255" customWidth="1"/>
    <col min="1809" max="1809" width="11.5" style="255" customWidth="1"/>
    <col min="1810" max="1810" width="11.25" style="255" customWidth="1"/>
    <col min="1811" max="1811" width="10.75" style="255" customWidth="1"/>
    <col min="1812" max="1812" width="10" style="255" customWidth="1"/>
    <col min="1813" max="1813" width="9.875" style="255" customWidth="1"/>
    <col min="1814" max="1814" width="26.125" style="255" customWidth="1"/>
    <col min="1815" max="1815" width="11.125" style="255" customWidth="1"/>
    <col min="1816" max="1816" width="7.875" style="255" customWidth="1"/>
    <col min="1817" max="1817" width="7.25" style="255" customWidth="1"/>
    <col min="1818" max="1818" width="9.125" style="255" customWidth="1"/>
    <col min="1819" max="1819" width="15.125" style="255" customWidth="1"/>
    <col min="1820" max="1820" width="7.75" style="255" customWidth="1"/>
    <col min="1821" max="1821" width="7.125" style="255" customWidth="1"/>
    <col min="1822" max="1822" width="12.125" style="255" customWidth="1"/>
    <col min="1823" max="1823" width="8.25" style="255" customWidth="1"/>
    <col min="1824" max="1825" width="10.375" style="255" customWidth="1"/>
    <col min="1826" max="1826" width="15.625" style="255" customWidth="1"/>
    <col min="1827" max="1827" width="15.875" style="255" customWidth="1"/>
    <col min="1828" max="1828" width="8.125" style="255" customWidth="1"/>
    <col min="1829" max="1832" width="10.375" style="255" customWidth="1"/>
    <col min="1833" max="1833" width="7.25" style="255" customWidth="1"/>
    <col min="1834" max="1834" width="7.125" style="255" customWidth="1"/>
    <col min="1835" max="1835" width="9.5" style="255" customWidth="1"/>
    <col min="1836" max="1837" width="9" style="255" customWidth="1"/>
    <col min="1838" max="1838" width="16.125" style="255" customWidth="1"/>
    <col min="1839" max="1869" width="9" style="255" customWidth="1"/>
    <col min="1870" max="2029" width="25.25" style="255"/>
    <col min="2030" max="2059" width="9" style="255" customWidth="1"/>
    <col min="2060" max="2060" width="0.5" style="255" customWidth="1"/>
    <col min="2061" max="2061" width="25.25" style="255"/>
    <col min="2062" max="2062" width="0.5" style="255" customWidth="1"/>
    <col min="2063" max="2063" width="25.25" style="255"/>
    <col min="2064" max="2064" width="14.75" style="255" customWidth="1"/>
    <col min="2065" max="2065" width="11.5" style="255" customWidth="1"/>
    <col min="2066" max="2066" width="11.25" style="255" customWidth="1"/>
    <col min="2067" max="2067" width="10.75" style="255" customWidth="1"/>
    <col min="2068" max="2068" width="10" style="255" customWidth="1"/>
    <col min="2069" max="2069" width="9.875" style="255" customWidth="1"/>
    <col min="2070" max="2070" width="26.125" style="255" customWidth="1"/>
    <col min="2071" max="2071" width="11.125" style="255" customWidth="1"/>
    <col min="2072" max="2072" width="7.875" style="255" customWidth="1"/>
    <col min="2073" max="2073" width="7.25" style="255" customWidth="1"/>
    <col min="2074" max="2074" width="9.125" style="255" customWidth="1"/>
    <col min="2075" max="2075" width="15.125" style="255" customWidth="1"/>
    <col min="2076" max="2076" width="7.75" style="255" customWidth="1"/>
    <col min="2077" max="2077" width="7.125" style="255" customWidth="1"/>
    <col min="2078" max="2078" width="12.125" style="255" customWidth="1"/>
    <col min="2079" max="2079" width="8.25" style="255" customWidth="1"/>
    <col min="2080" max="2081" width="10.375" style="255" customWidth="1"/>
    <col min="2082" max="2082" width="15.625" style="255" customWidth="1"/>
    <col min="2083" max="2083" width="15.875" style="255" customWidth="1"/>
    <col min="2084" max="2084" width="8.125" style="255" customWidth="1"/>
    <col min="2085" max="2088" width="10.375" style="255" customWidth="1"/>
    <col min="2089" max="2089" width="7.25" style="255" customWidth="1"/>
    <col min="2090" max="2090" width="7.125" style="255" customWidth="1"/>
    <col min="2091" max="2091" width="9.5" style="255" customWidth="1"/>
    <col min="2092" max="2093" width="9" style="255" customWidth="1"/>
    <col min="2094" max="2094" width="16.125" style="255" customWidth="1"/>
    <col min="2095" max="2125" width="9" style="255" customWidth="1"/>
    <col min="2126" max="2285" width="25.25" style="255"/>
    <col min="2286" max="2315" width="9" style="255" customWidth="1"/>
    <col min="2316" max="2316" width="0.5" style="255" customWidth="1"/>
    <col min="2317" max="2317" width="25.25" style="255"/>
    <col min="2318" max="2318" width="0.5" style="255" customWidth="1"/>
    <col min="2319" max="2319" width="25.25" style="255"/>
    <col min="2320" max="2320" width="14.75" style="255" customWidth="1"/>
    <col min="2321" max="2321" width="11.5" style="255" customWidth="1"/>
    <col min="2322" max="2322" width="11.25" style="255" customWidth="1"/>
    <col min="2323" max="2323" width="10.75" style="255" customWidth="1"/>
    <col min="2324" max="2324" width="10" style="255" customWidth="1"/>
    <col min="2325" max="2325" width="9.875" style="255" customWidth="1"/>
    <col min="2326" max="2326" width="26.125" style="255" customWidth="1"/>
    <col min="2327" max="2327" width="11.125" style="255" customWidth="1"/>
    <col min="2328" max="2328" width="7.875" style="255" customWidth="1"/>
    <col min="2329" max="2329" width="7.25" style="255" customWidth="1"/>
    <col min="2330" max="2330" width="9.125" style="255" customWidth="1"/>
    <col min="2331" max="2331" width="15.125" style="255" customWidth="1"/>
    <col min="2332" max="2332" width="7.75" style="255" customWidth="1"/>
    <col min="2333" max="2333" width="7.125" style="255" customWidth="1"/>
    <col min="2334" max="2334" width="12.125" style="255" customWidth="1"/>
    <col min="2335" max="2335" width="8.25" style="255" customWidth="1"/>
    <col min="2336" max="2337" width="10.375" style="255" customWidth="1"/>
    <col min="2338" max="2338" width="15.625" style="255" customWidth="1"/>
    <col min="2339" max="2339" width="15.875" style="255" customWidth="1"/>
    <col min="2340" max="2340" width="8.125" style="255" customWidth="1"/>
    <col min="2341" max="2344" width="10.375" style="255" customWidth="1"/>
    <col min="2345" max="2345" width="7.25" style="255" customWidth="1"/>
    <col min="2346" max="2346" width="7.125" style="255" customWidth="1"/>
    <col min="2347" max="2347" width="9.5" style="255" customWidth="1"/>
    <col min="2348" max="2349" width="9" style="255" customWidth="1"/>
    <col min="2350" max="2350" width="16.125" style="255" customWidth="1"/>
    <col min="2351" max="2381" width="9" style="255" customWidth="1"/>
    <col min="2382" max="2541" width="25.25" style="255"/>
    <col min="2542" max="2571" width="9" style="255" customWidth="1"/>
    <col min="2572" max="2572" width="0.5" style="255" customWidth="1"/>
    <col min="2573" max="2573" width="25.25" style="255"/>
    <col min="2574" max="2574" width="0.5" style="255" customWidth="1"/>
    <col min="2575" max="2575" width="25.25" style="255"/>
    <col min="2576" max="2576" width="14.75" style="255" customWidth="1"/>
    <col min="2577" max="2577" width="11.5" style="255" customWidth="1"/>
    <col min="2578" max="2578" width="11.25" style="255" customWidth="1"/>
    <col min="2579" max="2579" width="10.75" style="255" customWidth="1"/>
    <col min="2580" max="2580" width="10" style="255" customWidth="1"/>
    <col min="2581" max="2581" width="9.875" style="255" customWidth="1"/>
    <col min="2582" max="2582" width="26.125" style="255" customWidth="1"/>
    <col min="2583" max="2583" width="11.125" style="255" customWidth="1"/>
    <col min="2584" max="2584" width="7.875" style="255" customWidth="1"/>
    <col min="2585" max="2585" width="7.25" style="255" customWidth="1"/>
    <col min="2586" max="2586" width="9.125" style="255" customWidth="1"/>
    <col min="2587" max="2587" width="15.125" style="255" customWidth="1"/>
    <col min="2588" max="2588" width="7.75" style="255" customWidth="1"/>
    <col min="2589" max="2589" width="7.125" style="255" customWidth="1"/>
    <col min="2590" max="2590" width="12.125" style="255" customWidth="1"/>
    <col min="2591" max="2591" width="8.25" style="255" customWidth="1"/>
    <col min="2592" max="2593" width="10.375" style="255" customWidth="1"/>
    <col min="2594" max="2594" width="15.625" style="255" customWidth="1"/>
    <col min="2595" max="2595" width="15.875" style="255" customWidth="1"/>
    <col min="2596" max="2596" width="8.125" style="255" customWidth="1"/>
    <col min="2597" max="2600" width="10.375" style="255" customWidth="1"/>
    <col min="2601" max="2601" width="7.25" style="255" customWidth="1"/>
    <col min="2602" max="2602" width="7.125" style="255" customWidth="1"/>
    <col min="2603" max="2603" width="9.5" style="255" customWidth="1"/>
    <col min="2604" max="2605" width="9" style="255" customWidth="1"/>
    <col min="2606" max="2606" width="16.125" style="255" customWidth="1"/>
    <col min="2607" max="2637" width="9" style="255" customWidth="1"/>
    <col min="2638" max="2797" width="25.25" style="255"/>
    <col min="2798" max="2827" width="9" style="255" customWidth="1"/>
    <col min="2828" max="2828" width="0.5" style="255" customWidth="1"/>
    <col min="2829" max="2829" width="25.25" style="255"/>
    <col min="2830" max="2830" width="0.5" style="255" customWidth="1"/>
    <col min="2831" max="2831" width="25.25" style="255"/>
    <col min="2832" max="2832" width="14.75" style="255" customWidth="1"/>
    <col min="2833" max="2833" width="11.5" style="255" customWidth="1"/>
    <col min="2834" max="2834" width="11.25" style="255" customWidth="1"/>
    <col min="2835" max="2835" width="10.75" style="255" customWidth="1"/>
    <col min="2836" max="2836" width="10" style="255" customWidth="1"/>
    <col min="2837" max="2837" width="9.875" style="255" customWidth="1"/>
    <col min="2838" max="2838" width="26.125" style="255" customWidth="1"/>
    <col min="2839" max="2839" width="11.125" style="255" customWidth="1"/>
    <col min="2840" max="2840" width="7.875" style="255" customWidth="1"/>
    <col min="2841" max="2841" width="7.25" style="255" customWidth="1"/>
    <col min="2842" max="2842" width="9.125" style="255" customWidth="1"/>
    <col min="2843" max="2843" width="15.125" style="255" customWidth="1"/>
    <col min="2844" max="2844" width="7.75" style="255" customWidth="1"/>
    <col min="2845" max="2845" width="7.125" style="255" customWidth="1"/>
    <col min="2846" max="2846" width="12.125" style="255" customWidth="1"/>
    <col min="2847" max="2847" width="8.25" style="255" customWidth="1"/>
    <col min="2848" max="2849" width="10.375" style="255" customWidth="1"/>
    <col min="2850" max="2850" width="15.625" style="255" customWidth="1"/>
    <col min="2851" max="2851" width="15.875" style="255" customWidth="1"/>
    <col min="2852" max="2852" width="8.125" style="255" customWidth="1"/>
    <col min="2853" max="2856" width="10.375" style="255" customWidth="1"/>
    <col min="2857" max="2857" width="7.25" style="255" customWidth="1"/>
    <col min="2858" max="2858" width="7.125" style="255" customWidth="1"/>
    <col min="2859" max="2859" width="9.5" style="255" customWidth="1"/>
    <col min="2860" max="2861" width="9" style="255" customWidth="1"/>
    <col min="2862" max="2862" width="16.125" style="255" customWidth="1"/>
    <col min="2863" max="2893" width="9" style="255" customWidth="1"/>
    <col min="2894" max="3053" width="25.25" style="255"/>
    <col min="3054" max="3083" width="9" style="255" customWidth="1"/>
    <col min="3084" max="3084" width="0.5" style="255" customWidth="1"/>
    <col min="3085" max="3085" width="25.25" style="255"/>
    <col min="3086" max="3086" width="0.5" style="255" customWidth="1"/>
    <col min="3087" max="3087" width="25.25" style="255"/>
    <col min="3088" max="3088" width="14.75" style="255" customWidth="1"/>
    <col min="3089" max="3089" width="11.5" style="255" customWidth="1"/>
    <col min="3090" max="3090" width="11.25" style="255" customWidth="1"/>
    <col min="3091" max="3091" width="10.75" style="255" customWidth="1"/>
    <col min="3092" max="3092" width="10" style="255" customWidth="1"/>
    <col min="3093" max="3093" width="9.875" style="255" customWidth="1"/>
    <col min="3094" max="3094" width="26.125" style="255" customWidth="1"/>
    <col min="3095" max="3095" width="11.125" style="255" customWidth="1"/>
    <col min="3096" max="3096" width="7.875" style="255" customWidth="1"/>
    <col min="3097" max="3097" width="7.25" style="255" customWidth="1"/>
    <col min="3098" max="3098" width="9.125" style="255" customWidth="1"/>
    <col min="3099" max="3099" width="15.125" style="255" customWidth="1"/>
    <col min="3100" max="3100" width="7.75" style="255" customWidth="1"/>
    <col min="3101" max="3101" width="7.125" style="255" customWidth="1"/>
    <col min="3102" max="3102" width="12.125" style="255" customWidth="1"/>
    <col min="3103" max="3103" width="8.25" style="255" customWidth="1"/>
    <col min="3104" max="3105" width="10.375" style="255" customWidth="1"/>
    <col min="3106" max="3106" width="15.625" style="255" customWidth="1"/>
    <col min="3107" max="3107" width="15.875" style="255" customWidth="1"/>
    <col min="3108" max="3108" width="8.125" style="255" customWidth="1"/>
    <col min="3109" max="3112" width="10.375" style="255" customWidth="1"/>
    <col min="3113" max="3113" width="7.25" style="255" customWidth="1"/>
    <col min="3114" max="3114" width="7.125" style="255" customWidth="1"/>
    <col min="3115" max="3115" width="9.5" style="255" customWidth="1"/>
    <col min="3116" max="3117" width="9" style="255" customWidth="1"/>
    <col min="3118" max="3118" width="16.125" style="255" customWidth="1"/>
    <col min="3119" max="3149" width="9" style="255" customWidth="1"/>
    <col min="3150" max="3309" width="25.25" style="255"/>
    <col min="3310" max="3339" width="9" style="255" customWidth="1"/>
    <col min="3340" max="3340" width="0.5" style="255" customWidth="1"/>
    <col min="3341" max="3341" width="25.25" style="255"/>
    <col min="3342" max="3342" width="0.5" style="255" customWidth="1"/>
    <col min="3343" max="3343" width="25.25" style="255"/>
    <col min="3344" max="3344" width="14.75" style="255" customWidth="1"/>
    <col min="3345" max="3345" width="11.5" style="255" customWidth="1"/>
    <col min="3346" max="3346" width="11.25" style="255" customWidth="1"/>
    <col min="3347" max="3347" width="10.75" style="255" customWidth="1"/>
    <col min="3348" max="3348" width="10" style="255" customWidth="1"/>
    <col min="3349" max="3349" width="9.875" style="255" customWidth="1"/>
    <col min="3350" max="3350" width="26.125" style="255" customWidth="1"/>
    <col min="3351" max="3351" width="11.125" style="255" customWidth="1"/>
    <col min="3352" max="3352" width="7.875" style="255" customWidth="1"/>
    <col min="3353" max="3353" width="7.25" style="255" customWidth="1"/>
    <col min="3354" max="3354" width="9.125" style="255" customWidth="1"/>
    <col min="3355" max="3355" width="15.125" style="255" customWidth="1"/>
    <col min="3356" max="3356" width="7.75" style="255" customWidth="1"/>
    <col min="3357" max="3357" width="7.125" style="255" customWidth="1"/>
    <col min="3358" max="3358" width="12.125" style="255" customWidth="1"/>
    <col min="3359" max="3359" width="8.25" style="255" customWidth="1"/>
    <col min="3360" max="3361" width="10.375" style="255" customWidth="1"/>
    <col min="3362" max="3362" width="15.625" style="255" customWidth="1"/>
    <col min="3363" max="3363" width="15.875" style="255" customWidth="1"/>
    <col min="3364" max="3364" width="8.125" style="255" customWidth="1"/>
    <col min="3365" max="3368" width="10.375" style="255" customWidth="1"/>
    <col min="3369" max="3369" width="7.25" style="255" customWidth="1"/>
    <col min="3370" max="3370" width="7.125" style="255" customWidth="1"/>
    <col min="3371" max="3371" width="9.5" style="255" customWidth="1"/>
    <col min="3372" max="3373" width="9" style="255" customWidth="1"/>
    <col min="3374" max="3374" width="16.125" style="255" customWidth="1"/>
    <col min="3375" max="3405" width="9" style="255" customWidth="1"/>
    <col min="3406" max="3565" width="25.25" style="255"/>
    <col min="3566" max="3595" width="9" style="255" customWidth="1"/>
    <col min="3596" max="3596" width="0.5" style="255" customWidth="1"/>
    <col min="3597" max="3597" width="25.25" style="255"/>
    <col min="3598" max="3598" width="0.5" style="255" customWidth="1"/>
    <col min="3599" max="3599" width="25.25" style="255"/>
    <col min="3600" max="3600" width="14.75" style="255" customWidth="1"/>
    <col min="3601" max="3601" width="11.5" style="255" customWidth="1"/>
    <col min="3602" max="3602" width="11.25" style="255" customWidth="1"/>
    <col min="3603" max="3603" width="10.75" style="255" customWidth="1"/>
    <col min="3604" max="3604" width="10" style="255" customWidth="1"/>
    <col min="3605" max="3605" width="9.875" style="255" customWidth="1"/>
    <col min="3606" max="3606" width="26.125" style="255" customWidth="1"/>
    <col min="3607" max="3607" width="11.125" style="255" customWidth="1"/>
    <col min="3608" max="3608" width="7.875" style="255" customWidth="1"/>
    <col min="3609" max="3609" width="7.25" style="255" customWidth="1"/>
    <col min="3610" max="3610" width="9.125" style="255" customWidth="1"/>
    <col min="3611" max="3611" width="15.125" style="255" customWidth="1"/>
    <col min="3612" max="3612" width="7.75" style="255" customWidth="1"/>
    <col min="3613" max="3613" width="7.125" style="255" customWidth="1"/>
    <col min="3614" max="3614" width="12.125" style="255" customWidth="1"/>
    <col min="3615" max="3615" width="8.25" style="255" customWidth="1"/>
    <col min="3616" max="3617" width="10.375" style="255" customWidth="1"/>
    <col min="3618" max="3618" width="15.625" style="255" customWidth="1"/>
    <col min="3619" max="3619" width="15.875" style="255" customWidth="1"/>
    <col min="3620" max="3620" width="8.125" style="255" customWidth="1"/>
    <col min="3621" max="3624" width="10.375" style="255" customWidth="1"/>
    <col min="3625" max="3625" width="7.25" style="255" customWidth="1"/>
    <col min="3626" max="3626" width="7.125" style="255" customWidth="1"/>
    <col min="3627" max="3627" width="9.5" style="255" customWidth="1"/>
    <col min="3628" max="3629" width="9" style="255" customWidth="1"/>
    <col min="3630" max="3630" width="16.125" style="255" customWidth="1"/>
    <col min="3631" max="3661" width="9" style="255" customWidth="1"/>
    <col min="3662" max="3821" width="25.25" style="255"/>
    <col min="3822" max="3851" width="9" style="255" customWidth="1"/>
    <col min="3852" max="3852" width="0.5" style="255" customWidth="1"/>
    <col min="3853" max="3853" width="25.25" style="255"/>
    <col min="3854" max="3854" width="0.5" style="255" customWidth="1"/>
    <col min="3855" max="3855" width="25.25" style="255"/>
    <col min="3856" max="3856" width="14.75" style="255" customWidth="1"/>
    <col min="3857" max="3857" width="11.5" style="255" customWidth="1"/>
    <col min="3858" max="3858" width="11.25" style="255" customWidth="1"/>
    <col min="3859" max="3859" width="10.75" style="255" customWidth="1"/>
    <col min="3860" max="3860" width="10" style="255" customWidth="1"/>
    <col min="3861" max="3861" width="9.875" style="255" customWidth="1"/>
    <col min="3862" max="3862" width="26.125" style="255" customWidth="1"/>
    <col min="3863" max="3863" width="11.125" style="255" customWidth="1"/>
    <col min="3864" max="3864" width="7.875" style="255" customWidth="1"/>
    <col min="3865" max="3865" width="7.25" style="255" customWidth="1"/>
    <col min="3866" max="3866" width="9.125" style="255" customWidth="1"/>
    <col min="3867" max="3867" width="15.125" style="255" customWidth="1"/>
    <col min="3868" max="3868" width="7.75" style="255" customWidth="1"/>
    <col min="3869" max="3869" width="7.125" style="255" customWidth="1"/>
    <col min="3870" max="3870" width="12.125" style="255" customWidth="1"/>
    <col min="3871" max="3871" width="8.25" style="255" customWidth="1"/>
    <col min="3872" max="3873" width="10.375" style="255" customWidth="1"/>
    <col min="3874" max="3874" width="15.625" style="255" customWidth="1"/>
    <col min="3875" max="3875" width="15.875" style="255" customWidth="1"/>
    <col min="3876" max="3876" width="8.125" style="255" customWidth="1"/>
    <col min="3877" max="3880" width="10.375" style="255" customWidth="1"/>
    <col min="3881" max="3881" width="7.25" style="255" customWidth="1"/>
    <col min="3882" max="3882" width="7.125" style="255" customWidth="1"/>
    <col min="3883" max="3883" width="9.5" style="255" customWidth="1"/>
    <col min="3884" max="3885" width="9" style="255" customWidth="1"/>
    <col min="3886" max="3886" width="16.125" style="255" customWidth="1"/>
    <col min="3887" max="3917" width="9" style="255" customWidth="1"/>
    <col min="3918" max="4077" width="25.25" style="255"/>
    <col min="4078" max="4107" width="9" style="255" customWidth="1"/>
    <col min="4108" max="4108" width="0.5" style="255" customWidth="1"/>
    <col min="4109" max="4109" width="25.25" style="255"/>
    <col min="4110" max="4110" width="0.5" style="255" customWidth="1"/>
    <col min="4111" max="4111" width="25.25" style="255"/>
    <col min="4112" max="4112" width="14.75" style="255" customWidth="1"/>
    <col min="4113" max="4113" width="11.5" style="255" customWidth="1"/>
    <col min="4114" max="4114" width="11.25" style="255" customWidth="1"/>
    <col min="4115" max="4115" width="10.75" style="255" customWidth="1"/>
    <col min="4116" max="4116" width="10" style="255" customWidth="1"/>
    <col min="4117" max="4117" width="9.875" style="255" customWidth="1"/>
    <col min="4118" max="4118" width="26.125" style="255" customWidth="1"/>
    <col min="4119" max="4119" width="11.125" style="255" customWidth="1"/>
    <col min="4120" max="4120" width="7.875" style="255" customWidth="1"/>
    <col min="4121" max="4121" width="7.25" style="255" customWidth="1"/>
    <col min="4122" max="4122" width="9.125" style="255" customWidth="1"/>
    <col min="4123" max="4123" width="15.125" style="255" customWidth="1"/>
    <col min="4124" max="4124" width="7.75" style="255" customWidth="1"/>
    <col min="4125" max="4125" width="7.125" style="255" customWidth="1"/>
    <col min="4126" max="4126" width="12.125" style="255" customWidth="1"/>
    <col min="4127" max="4127" width="8.25" style="255" customWidth="1"/>
    <col min="4128" max="4129" width="10.375" style="255" customWidth="1"/>
    <col min="4130" max="4130" width="15.625" style="255" customWidth="1"/>
    <col min="4131" max="4131" width="15.875" style="255" customWidth="1"/>
    <col min="4132" max="4132" width="8.125" style="255" customWidth="1"/>
    <col min="4133" max="4136" width="10.375" style="255" customWidth="1"/>
    <col min="4137" max="4137" width="7.25" style="255" customWidth="1"/>
    <col min="4138" max="4138" width="7.125" style="255" customWidth="1"/>
    <col min="4139" max="4139" width="9.5" style="255" customWidth="1"/>
    <col min="4140" max="4141" width="9" style="255" customWidth="1"/>
    <col min="4142" max="4142" width="16.125" style="255" customWidth="1"/>
    <col min="4143" max="4173" width="9" style="255" customWidth="1"/>
    <col min="4174" max="4333" width="25.25" style="255"/>
    <col min="4334" max="4363" width="9" style="255" customWidth="1"/>
    <col min="4364" max="4364" width="0.5" style="255" customWidth="1"/>
    <col min="4365" max="4365" width="25.25" style="255"/>
    <col min="4366" max="4366" width="0.5" style="255" customWidth="1"/>
    <col min="4367" max="4367" width="25.25" style="255"/>
    <col min="4368" max="4368" width="14.75" style="255" customWidth="1"/>
    <col min="4369" max="4369" width="11.5" style="255" customWidth="1"/>
    <col min="4370" max="4370" width="11.25" style="255" customWidth="1"/>
    <col min="4371" max="4371" width="10.75" style="255" customWidth="1"/>
    <col min="4372" max="4372" width="10" style="255" customWidth="1"/>
    <col min="4373" max="4373" width="9.875" style="255" customWidth="1"/>
    <col min="4374" max="4374" width="26.125" style="255" customWidth="1"/>
    <col min="4375" max="4375" width="11.125" style="255" customWidth="1"/>
    <col min="4376" max="4376" width="7.875" style="255" customWidth="1"/>
    <col min="4377" max="4377" width="7.25" style="255" customWidth="1"/>
    <col min="4378" max="4378" width="9.125" style="255" customWidth="1"/>
    <col min="4379" max="4379" width="15.125" style="255" customWidth="1"/>
    <col min="4380" max="4380" width="7.75" style="255" customWidth="1"/>
    <col min="4381" max="4381" width="7.125" style="255" customWidth="1"/>
    <col min="4382" max="4382" width="12.125" style="255" customWidth="1"/>
    <col min="4383" max="4383" width="8.25" style="255" customWidth="1"/>
    <col min="4384" max="4385" width="10.375" style="255" customWidth="1"/>
    <col min="4386" max="4386" width="15.625" style="255" customWidth="1"/>
    <col min="4387" max="4387" width="15.875" style="255" customWidth="1"/>
    <col min="4388" max="4388" width="8.125" style="255" customWidth="1"/>
    <col min="4389" max="4392" width="10.375" style="255" customWidth="1"/>
    <col min="4393" max="4393" width="7.25" style="255" customWidth="1"/>
    <col min="4394" max="4394" width="7.125" style="255" customWidth="1"/>
    <col min="4395" max="4395" width="9.5" style="255" customWidth="1"/>
    <col min="4396" max="4397" width="9" style="255" customWidth="1"/>
    <col min="4398" max="4398" width="16.125" style="255" customWidth="1"/>
    <col min="4399" max="4429" width="9" style="255" customWidth="1"/>
    <col min="4430" max="4589" width="25.25" style="255"/>
    <col min="4590" max="4619" width="9" style="255" customWidth="1"/>
    <col min="4620" max="4620" width="0.5" style="255" customWidth="1"/>
    <col min="4621" max="4621" width="25.25" style="255"/>
    <col min="4622" max="4622" width="0.5" style="255" customWidth="1"/>
    <col min="4623" max="4623" width="25.25" style="255"/>
    <col min="4624" max="4624" width="14.75" style="255" customWidth="1"/>
    <col min="4625" max="4625" width="11.5" style="255" customWidth="1"/>
    <col min="4626" max="4626" width="11.25" style="255" customWidth="1"/>
    <col min="4627" max="4627" width="10.75" style="255" customWidth="1"/>
    <col min="4628" max="4628" width="10" style="255" customWidth="1"/>
    <col min="4629" max="4629" width="9.875" style="255" customWidth="1"/>
    <col min="4630" max="4630" width="26.125" style="255" customWidth="1"/>
    <col min="4631" max="4631" width="11.125" style="255" customWidth="1"/>
    <col min="4632" max="4632" width="7.875" style="255" customWidth="1"/>
    <col min="4633" max="4633" width="7.25" style="255" customWidth="1"/>
    <col min="4634" max="4634" width="9.125" style="255" customWidth="1"/>
    <col min="4635" max="4635" width="15.125" style="255" customWidth="1"/>
    <col min="4636" max="4636" width="7.75" style="255" customWidth="1"/>
    <col min="4637" max="4637" width="7.125" style="255" customWidth="1"/>
    <col min="4638" max="4638" width="12.125" style="255" customWidth="1"/>
    <col min="4639" max="4639" width="8.25" style="255" customWidth="1"/>
    <col min="4640" max="4641" width="10.375" style="255" customWidth="1"/>
    <col min="4642" max="4642" width="15.625" style="255" customWidth="1"/>
    <col min="4643" max="4643" width="15.875" style="255" customWidth="1"/>
    <col min="4644" max="4644" width="8.125" style="255" customWidth="1"/>
    <col min="4645" max="4648" width="10.375" style="255" customWidth="1"/>
    <col min="4649" max="4649" width="7.25" style="255" customWidth="1"/>
    <col min="4650" max="4650" width="7.125" style="255" customWidth="1"/>
    <col min="4651" max="4651" width="9.5" style="255" customWidth="1"/>
    <col min="4652" max="4653" width="9" style="255" customWidth="1"/>
    <col min="4654" max="4654" width="16.125" style="255" customWidth="1"/>
    <col min="4655" max="4685" width="9" style="255" customWidth="1"/>
    <col min="4686" max="4845" width="25.25" style="255"/>
    <col min="4846" max="4875" width="9" style="255" customWidth="1"/>
    <col min="4876" max="4876" width="0.5" style="255" customWidth="1"/>
    <col min="4877" max="4877" width="25.25" style="255"/>
    <col min="4878" max="4878" width="0.5" style="255" customWidth="1"/>
    <col min="4879" max="4879" width="25.25" style="255"/>
    <col min="4880" max="4880" width="14.75" style="255" customWidth="1"/>
    <col min="4881" max="4881" width="11.5" style="255" customWidth="1"/>
    <col min="4882" max="4882" width="11.25" style="255" customWidth="1"/>
    <col min="4883" max="4883" width="10.75" style="255" customWidth="1"/>
    <col min="4884" max="4884" width="10" style="255" customWidth="1"/>
    <col min="4885" max="4885" width="9.875" style="255" customWidth="1"/>
    <col min="4886" max="4886" width="26.125" style="255" customWidth="1"/>
    <col min="4887" max="4887" width="11.125" style="255" customWidth="1"/>
    <col min="4888" max="4888" width="7.875" style="255" customWidth="1"/>
    <col min="4889" max="4889" width="7.25" style="255" customWidth="1"/>
    <col min="4890" max="4890" width="9.125" style="255" customWidth="1"/>
    <col min="4891" max="4891" width="15.125" style="255" customWidth="1"/>
    <col min="4892" max="4892" width="7.75" style="255" customWidth="1"/>
    <col min="4893" max="4893" width="7.125" style="255" customWidth="1"/>
    <col min="4894" max="4894" width="12.125" style="255" customWidth="1"/>
    <col min="4895" max="4895" width="8.25" style="255" customWidth="1"/>
    <col min="4896" max="4897" width="10.375" style="255" customWidth="1"/>
    <col min="4898" max="4898" width="15.625" style="255" customWidth="1"/>
    <col min="4899" max="4899" width="15.875" style="255" customWidth="1"/>
    <col min="4900" max="4900" width="8.125" style="255" customWidth="1"/>
    <col min="4901" max="4904" width="10.375" style="255" customWidth="1"/>
    <col min="4905" max="4905" width="7.25" style="255" customWidth="1"/>
    <col min="4906" max="4906" width="7.125" style="255" customWidth="1"/>
    <col min="4907" max="4907" width="9.5" style="255" customWidth="1"/>
    <col min="4908" max="4909" width="9" style="255" customWidth="1"/>
    <col min="4910" max="4910" width="16.125" style="255" customWidth="1"/>
    <col min="4911" max="4941" width="9" style="255" customWidth="1"/>
    <col min="4942" max="5101" width="25.25" style="255"/>
    <col min="5102" max="5131" width="9" style="255" customWidth="1"/>
    <col min="5132" max="5132" width="0.5" style="255" customWidth="1"/>
    <col min="5133" max="5133" width="25.25" style="255"/>
    <col min="5134" max="5134" width="0.5" style="255" customWidth="1"/>
    <col min="5135" max="5135" width="25.25" style="255"/>
    <col min="5136" max="5136" width="14.75" style="255" customWidth="1"/>
    <col min="5137" max="5137" width="11.5" style="255" customWidth="1"/>
    <col min="5138" max="5138" width="11.25" style="255" customWidth="1"/>
    <col min="5139" max="5139" width="10.75" style="255" customWidth="1"/>
    <col min="5140" max="5140" width="10" style="255" customWidth="1"/>
    <col min="5141" max="5141" width="9.875" style="255" customWidth="1"/>
    <col min="5142" max="5142" width="26.125" style="255" customWidth="1"/>
    <col min="5143" max="5143" width="11.125" style="255" customWidth="1"/>
    <col min="5144" max="5144" width="7.875" style="255" customWidth="1"/>
    <col min="5145" max="5145" width="7.25" style="255" customWidth="1"/>
    <col min="5146" max="5146" width="9.125" style="255" customWidth="1"/>
    <col min="5147" max="5147" width="15.125" style="255" customWidth="1"/>
    <col min="5148" max="5148" width="7.75" style="255" customWidth="1"/>
    <col min="5149" max="5149" width="7.125" style="255" customWidth="1"/>
    <col min="5150" max="5150" width="12.125" style="255" customWidth="1"/>
    <col min="5151" max="5151" width="8.25" style="255" customWidth="1"/>
    <col min="5152" max="5153" width="10.375" style="255" customWidth="1"/>
    <col min="5154" max="5154" width="15.625" style="255" customWidth="1"/>
    <col min="5155" max="5155" width="15.875" style="255" customWidth="1"/>
    <col min="5156" max="5156" width="8.125" style="255" customWidth="1"/>
    <col min="5157" max="5160" width="10.375" style="255" customWidth="1"/>
    <col min="5161" max="5161" width="7.25" style="255" customWidth="1"/>
    <col min="5162" max="5162" width="7.125" style="255" customWidth="1"/>
    <col min="5163" max="5163" width="9.5" style="255" customWidth="1"/>
    <col min="5164" max="5165" width="9" style="255" customWidth="1"/>
    <col min="5166" max="5166" width="16.125" style="255" customWidth="1"/>
    <col min="5167" max="5197" width="9" style="255" customWidth="1"/>
    <col min="5198" max="5357" width="25.25" style="255"/>
    <col min="5358" max="5387" width="9" style="255" customWidth="1"/>
    <col min="5388" max="5388" width="0.5" style="255" customWidth="1"/>
    <col min="5389" max="5389" width="25.25" style="255"/>
    <col min="5390" max="5390" width="0.5" style="255" customWidth="1"/>
    <col min="5391" max="5391" width="25.25" style="255"/>
    <col min="5392" max="5392" width="14.75" style="255" customWidth="1"/>
    <col min="5393" max="5393" width="11.5" style="255" customWidth="1"/>
    <col min="5394" max="5394" width="11.25" style="255" customWidth="1"/>
    <col min="5395" max="5395" width="10.75" style="255" customWidth="1"/>
    <col min="5396" max="5396" width="10" style="255" customWidth="1"/>
    <col min="5397" max="5397" width="9.875" style="255" customWidth="1"/>
    <col min="5398" max="5398" width="26.125" style="255" customWidth="1"/>
    <col min="5399" max="5399" width="11.125" style="255" customWidth="1"/>
    <col min="5400" max="5400" width="7.875" style="255" customWidth="1"/>
    <col min="5401" max="5401" width="7.25" style="255" customWidth="1"/>
    <col min="5402" max="5402" width="9.125" style="255" customWidth="1"/>
    <col min="5403" max="5403" width="15.125" style="255" customWidth="1"/>
    <col min="5404" max="5404" width="7.75" style="255" customWidth="1"/>
    <col min="5405" max="5405" width="7.125" style="255" customWidth="1"/>
    <col min="5406" max="5406" width="12.125" style="255" customWidth="1"/>
    <col min="5407" max="5407" width="8.25" style="255" customWidth="1"/>
    <col min="5408" max="5409" width="10.375" style="255" customWidth="1"/>
    <col min="5410" max="5410" width="15.625" style="255" customWidth="1"/>
    <col min="5411" max="5411" width="15.875" style="255" customWidth="1"/>
    <col min="5412" max="5412" width="8.125" style="255" customWidth="1"/>
    <col min="5413" max="5416" width="10.375" style="255" customWidth="1"/>
    <col min="5417" max="5417" width="7.25" style="255" customWidth="1"/>
    <col min="5418" max="5418" width="7.125" style="255" customWidth="1"/>
    <col min="5419" max="5419" width="9.5" style="255" customWidth="1"/>
    <col min="5420" max="5421" width="9" style="255" customWidth="1"/>
    <col min="5422" max="5422" width="16.125" style="255" customWidth="1"/>
    <col min="5423" max="5453" width="9" style="255" customWidth="1"/>
    <col min="5454" max="5613" width="25.25" style="255"/>
    <col min="5614" max="5643" width="9" style="255" customWidth="1"/>
    <col min="5644" max="5644" width="0.5" style="255" customWidth="1"/>
    <col min="5645" max="5645" width="25.25" style="255"/>
    <col min="5646" max="5646" width="0.5" style="255" customWidth="1"/>
    <col min="5647" max="5647" width="25.25" style="255"/>
    <col min="5648" max="5648" width="14.75" style="255" customWidth="1"/>
    <col min="5649" max="5649" width="11.5" style="255" customWidth="1"/>
    <col min="5650" max="5650" width="11.25" style="255" customWidth="1"/>
    <col min="5651" max="5651" width="10.75" style="255" customWidth="1"/>
    <col min="5652" max="5652" width="10" style="255" customWidth="1"/>
    <col min="5653" max="5653" width="9.875" style="255" customWidth="1"/>
    <col min="5654" max="5654" width="26.125" style="255" customWidth="1"/>
    <col min="5655" max="5655" width="11.125" style="255" customWidth="1"/>
    <col min="5656" max="5656" width="7.875" style="255" customWidth="1"/>
    <col min="5657" max="5657" width="7.25" style="255" customWidth="1"/>
    <col min="5658" max="5658" width="9.125" style="255" customWidth="1"/>
    <col min="5659" max="5659" width="15.125" style="255" customWidth="1"/>
    <col min="5660" max="5660" width="7.75" style="255" customWidth="1"/>
    <col min="5661" max="5661" width="7.125" style="255" customWidth="1"/>
    <col min="5662" max="5662" width="12.125" style="255" customWidth="1"/>
    <col min="5663" max="5663" width="8.25" style="255" customWidth="1"/>
    <col min="5664" max="5665" width="10.375" style="255" customWidth="1"/>
    <col min="5666" max="5666" width="15.625" style="255" customWidth="1"/>
    <col min="5667" max="5667" width="15.875" style="255" customWidth="1"/>
    <col min="5668" max="5668" width="8.125" style="255" customWidth="1"/>
    <col min="5669" max="5672" width="10.375" style="255" customWidth="1"/>
    <col min="5673" max="5673" width="7.25" style="255" customWidth="1"/>
    <col min="5674" max="5674" width="7.125" style="255" customWidth="1"/>
    <col min="5675" max="5675" width="9.5" style="255" customWidth="1"/>
    <col min="5676" max="5677" width="9" style="255" customWidth="1"/>
    <col min="5678" max="5678" width="16.125" style="255" customWidth="1"/>
    <col min="5679" max="5709" width="9" style="255" customWidth="1"/>
    <col min="5710" max="5869" width="25.25" style="255"/>
    <col min="5870" max="5899" width="9" style="255" customWidth="1"/>
    <col min="5900" max="5900" width="0.5" style="255" customWidth="1"/>
    <col min="5901" max="5901" width="25.25" style="255"/>
    <col min="5902" max="5902" width="0.5" style="255" customWidth="1"/>
    <col min="5903" max="5903" width="25.25" style="255"/>
    <col min="5904" max="5904" width="14.75" style="255" customWidth="1"/>
    <col min="5905" max="5905" width="11.5" style="255" customWidth="1"/>
    <col min="5906" max="5906" width="11.25" style="255" customWidth="1"/>
    <col min="5907" max="5907" width="10.75" style="255" customWidth="1"/>
    <col min="5908" max="5908" width="10" style="255" customWidth="1"/>
    <col min="5909" max="5909" width="9.875" style="255" customWidth="1"/>
    <col min="5910" max="5910" width="26.125" style="255" customWidth="1"/>
    <col min="5911" max="5911" width="11.125" style="255" customWidth="1"/>
    <col min="5912" max="5912" width="7.875" style="255" customWidth="1"/>
    <col min="5913" max="5913" width="7.25" style="255" customWidth="1"/>
    <col min="5914" max="5914" width="9.125" style="255" customWidth="1"/>
    <col min="5915" max="5915" width="15.125" style="255" customWidth="1"/>
    <col min="5916" max="5916" width="7.75" style="255" customWidth="1"/>
    <col min="5917" max="5917" width="7.125" style="255" customWidth="1"/>
    <col min="5918" max="5918" width="12.125" style="255" customWidth="1"/>
    <col min="5919" max="5919" width="8.25" style="255" customWidth="1"/>
    <col min="5920" max="5921" width="10.375" style="255" customWidth="1"/>
    <col min="5922" max="5922" width="15.625" style="255" customWidth="1"/>
    <col min="5923" max="5923" width="15.875" style="255" customWidth="1"/>
    <col min="5924" max="5924" width="8.125" style="255" customWidth="1"/>
    <col min="5925" max="5928" width="10.375" style="255" customWidth="1"/>
    <col min="5929" max="5929" width="7.25" style="255" customWidth="1"/>
    <col min="5930" max="5930" width="7.125" style="255" customWidth="1"/>
    <col min="5931" max="5931" width="9.5" style="255" customWidth="1"/>
    <col min="5932" max="5933" width="9" style="255" customWidth="1"/>
    <col min="5934" max="5934" width="16.125" style="255" customWidth="1"/>
    <col min="5935" max="5965" width="9" style="255" customWidth="1"/>
    <col min="5966" max="6125" width="25.25" style="255"/>
    <col min="6126" max="6155" width="9" style="255" customWidth="1"/>
    <col min="6156" max="6156" width="0.5" style="255" customWidth="1"/>
    <col min="6157" max="6157" width="25.25" style="255"/>
    <col min="6158" max="6158" width="0.5" style="255" customWidth="1"/>
    <col min="6159" max="6159" width="25.25" style="255"/>
    <col min="6160" max="6160" width="14.75" style="255" customWidth="1"/>
    <col min="6161" max="6161" width="11.5" style="255" customWidth="1"/>
    <col min="6162" max="6162" width="11.25" style="255" customWidth="1"/>
    <col min="6163" max="6163" width="10.75" style="255" customWidth="1"/>
    <col min="6164" max="6164" width="10" style="255" customWidth="1"/>
    <col min="6165" max="6165" width="9.875" style="255" customWidth="1"/>
    <col min="6166" max="6166" width="26.125" style="255" customWidth="1"/>
    <col min="6167" max="6167" width="11.125" style="255" customWidth="1"/>
    <col min="6168" max="6168" width="7.875" style="255" customWidth="1"/>
    <col min="6169" max="6169" width="7.25" style="255" customWidth="1"/>
    <col min="6170" max="6170" width="9.125" style="255" customWidth="1"/>
    <col min="6171" max="6171" width="15.125" style="255" customWidth="1"/>
    <col min="6172" max="6172" width="7.75" style="255" customWidth="1"/>
    <col min="6173" max="6173" width="7.125" style="255" customWidth="1"/>
    <col min="6174" max="6174" width="12.125" style="255" customWidth="1"/>
    <col min="6175" max="6175" width="8.25" style="255" customWidth="1"/>
    <col min="6176" max="6177" width="10.375" style="255" customWidth="1"/>
    <col min="6178" max="6178" width="15.625" style="255" customWidth="1"/>
    <col min="6179" max="6179" width="15.875" style="255" customWidth="1"/>
    <col min="6180" max="6180" width="8.125" style="255" customWidth="1"/>
    <col min="6181" max="6184" width="10.375" style="255" customWidth="1"/>
    <col min="6185" max="6185" width="7.25" style="255" customWidth="1"/>
    <col min="6186" max="6186" width="7.125" style="255" customWidth="1"/>
    <col min="6187" max="6187" width="9.5" style="255" customWidth="1"/>
    <col min="6188" max="6189" width="9" style="255" customWidth="1"/>
    <col min="6190" max="6190" width="16.125" style="255" customWidth="1"/>
    <col min="6191" max="6221" width="9" style="255" customWidth="1"/>
    <col min="6222" max="6381" width="25.25" style="255"/>
    <col min="6382" max="6411" width="9" style="255" customWidth="1"/>
    <col min="6412" max="6412" width="0.5" style="255" customWidth="1"/>
    <col min="6413" max="6413" width="25.25" style="255"/>
    <col min="6414" max="6414" width="0.5" style="255" customWidth="1"/>
    <col min="6415" max="6415" width="25.25" style="255"/>
    <col min="6416" max="6416" width="14.75" style="255" customWidth="1"/>
    <col min="6417" max="6417" width="11.5" style="255" customWidth="1"/>
    <col min="6418" max="6418" width="11.25" style="255" customWidth="1"/>
    <col min="6419" max="6419" width="10.75" style="255" customWidth="1"/>
    <col min="6420" max="6420" width="10" style="255" customWidth="1"/>
    <col min="6421" max="6421" width="9.875" style="255" customWidth="1"/>
    <col min="6422" max="6422" width="26.125" style="255" customWidth="1"/>
    <col min="6423" max="6423" width="11.125" style="255" customWidth="1"/>
    <col min="6424" max="6424" width="7.875" style="255" customWidth="1"/>
    <col min="6425" max="6425" width="7.25" style="255" customWidth="1"/>
    <col min="6426" max="6426" width="9.125" style="255" customWidth="1"/>
    <col min="6427" max="6427" width="15.125" style="255" customWidth="1"/>
    <col min="6428" max="6428" width="7.75" style="255" customWidth="1"/>
    <col min="6429" max="6429" width="7.125" style="255" customWidth="1"/>
    <col min="6430" max="6430" width="12.125" style="255" customWidth="1"/>
    <col min="6431" max="6431" width="8.25" style="255" customWidth="1"/>
    <col min="6432" max="6433" width="10.375" style="255" customWidth="1"/>
    <col min="6434" max="6434" width="15.625" style="255" customWidth="1"/>
    <col min="6435" max="6435" width="15.875" style="255" customWidth="1"/>
    <col min="6436" max="6436" width="8.125" style="255" customWidth="1"/>
    <col min="6437" max="6440" width="10.375" style="255" customWidth="1"/>
    <col min="6441" max="6441" width="7.25" style="255" customWidth="1"/>
    <col min="6442" max="6442" width="7.125" style="255" customWidth="1"/>
    <col min="6443" max="6443" width="9.5" style="255" customWidth="1"/>
    <col min="6444" max="6445" width="9" style="255" customWidth="1"/>
    <col min="6446" max="6446" width="16.125" style="255" customWidth="1"/>
    <col min="6447" max="6477" width="9" style="255" customWidth="1"/>
    <col min="6478" max="6637" width="25.25" style="255"/>
    <col min="6638" max="6667" width="9" style="255" customWidth="1"/>
    <col min="6668" max="6668" width="0.5" style="255" customWidth="1"/>
    <col min="6669" max="6669" width="25.25" style="255"/>
    <col min="6670" max="6670" width="0.5" style="255" customWidth="1"/>
    <col min="6671" max="6671" width="25.25" style="255"/>
    <col min="6672" max="6672" width="14.75" style="255" customWidth="1"/>
    <col min="6673" max="6673" width="11.5" style="255" customWidth="1"/>
    <col min="6674" max="6674" width="11.25" style="255" customWidth="1"/>
    <col min="6675" max="6675" width="10.75" style="255" customWidth="1"/>
    <col min="6676" max="6676" width="10" style="255" customWidth="1"/>
    <col min="6677" max="6677" width="9.875" style="255" customWidth="1"/>
    <col min="6678" max="6678" width="26.125" style="255" customWidth="1"/>
    <col min="6679" max="6679" width="11.125" style="255" customWidth="1"/>
    <col min="6680" max="6680" width="7.875" style="255" customWidth="1"/>
    <col min="6681" max="6681" width="7.25" style="255" customWidth="1"/>
    <col min="6682" max="6682" width="9.125" style="255" customWidth="1"/>
    <col min="6683" max="6683" width="15.125" style="255" customWidth="1"/>
    <col min="6684" max="6684" width="7.75" style="255" customWidth="1"/>
    <col min="6685" max="6685" width="7.125" style="255" customWidth="1"/>
    <col min="6686" max="6686" width="12.125" style="255" customWidth="1"/>
    <col min="6687" max="6687" width="8.25" style="255" customWidth="1"/>
    <col min="6688" max="6689" width="10.375" style="255" customWidth="1"/>
    <col min="6690" max="6690" width="15.625" style="255" customWidth="1"/>
    <col min="6691" max="6691" width="15.875" style="255" customWidth="1"/>
    <col min="6692" max="6692" width="8.125" style="255" customWidth="1"/>
    <col min="6693" max="6696" width="10.375" style="255" customWidth="1"/>
    <col min="6697" max="6697" width="7.25" style="255" customWidth="1"/>
    <col min="6698" max="6698" width="7.125" style="255" customWidth="1"/>
    <col min="6699" max="6699" width="9.5" style="255" customWidth="1"/>
    <col min="6700" max="6701" width="9" style="255" customWidth="1"/>
    <col min="6702" max="6702" width="16.125" style="255" customWidth="1"/>
    <col min="6703" max="6733" width="9" style="255" customWidth="1"/>
    <col min="6734" max="6893" width="25.25" style="255"/>
    <col min="6894" max="6923" width="9" style="255" customWidth="1"/>
    <col min="6924" max="6924" width="0.5" style="255" customWidth="1"/>
    <col min="6925" max="6925" width="25.25" style="255"/>
    <col min="6926" max="6926" width="0.5" style="255" customWidth="1"/>
    <col min="6927" max="6927" width="25.25" style="255"/>
    <col min="6928" max="6928" width="14.75" style="255" customWidth="1"/>
    <col min="6929" max="6929" width="11.5" style="255" customWidth="1"/>
    <col min="6930" max="6930" width="11.25" style="255" customWidth="1"/>
    <col min="6931" max="6931" width="10.75" style="255" customWidth="1"/>
    <col min="6932" max="6932" width="10" style="255" customWidth="1"/>
    <col min="6933" max="6933" width="9.875" style="255" customWidth="1"/>
    <col min="6934" max="6934" width="26.125" style="255" customWidth="1"/>
    <col min="6935" max="6935" width="11.125" style="255" customWidth="1"/>
    <col min="6936" max="6936" width="7.875" style="255" customWidth="1"/>
    <col min="6937" max="6937" width="7.25" style="255" customWidth="1"/>
    <col min="6938" max="6938" width="9.125" style="255" customWidth="1"/>
    <col min="6939" max="6939" width="15.125" style="255" customWidth="1"/>
    <col min="6940" max="6940" width="7.75" style="255" customWidth="1"/>
    <col min="6941" max="6941" width="7.125" style="255" customWidth="1"/>
    <col min="6942" max="6942" width="12.125" style="255" customWidth="1"/>
    <col min="6943" max="6943" width="8.25" style="255" customWidth="1"/>
    <col min="6944" max="6945" width="10.375" style="255" customWidth="1"/>
    <col min="6946" max="6946" width="15.625" style="255" customWidth="1"/>
    <col min="6947" max="6947" width="15.875" style="255" customWidth="1"/>
    <col min="6948" max="6948" width="8.125" style="255" customWidth="1"/>
    <col min="6949" max="6952" width="10.375" style="255" customWidth="1"/>
    <col min="6953" max="6953" width="7.25" style="255" customWidth="1"/>
    <col min="6954" max="6954" width="7.125" style="255" customWidth="1"/>
    <col min="6955" max="6955" width="9.5" style="255" customWidth="1"/>
    <col min="6956" max="6957" width="9" style="255" customWidth="1"/>
    <col min="6958" max="6958" width="16.125" style="255" customWidth="1"/>
    <col min="6959" max="6989" width="9" style="255" customWidth="1"/>
    <col min="6990" max="7149" width="25.25" style="255"/>
    <col min="7150" max="7179" width="9" style="255" customWidth="1"/>
    <col min="7180" max="7180" width="0.5" style="255" customWidth="1"/>
    <col min="7181" max="7181" width="25.25" style="255"/>
    <col min="7182" max="7182" width="0.5" style="255" customWidth="1"/>
    <col min="7183" max="7183" width="25.25" style="255"/>
    <col min="7184" max="7184" width="14.75" style="255" customWidth="1"/>
    <col min="7185" max="7185" width="11.5" style="255" customWidth="1"/>
    <col min="7186" max="7186" width="11.25" style="255" customWidth="1"/>
    <col min="7187" max="7187" width="10.75" style="255" customWidth="1"/>
    <col min="7188" max="7188" width="10" style="255" customWidth="1"/>
    <col min="7189" max="7189" width="9.875" style="255" customWidth="1"/>
    <col min="7190" max="7190" width="26.125" style="255" customWidth="1"/>
    <col min="7191" max="7191" width="11.125" style="255" customWidth="1"/>
    <col min="7192" max="7192" width="7.875" style="255" customWidth="1"/>
    <col min="7193" max="7193" width="7.25" style="255" customWidth="1"/>
    <col min="7194" max="7194" width="9.125" style="255" customWidth="1"/>
    <col min="7195" max="7195" width="15.125" style="255" customWidth="1"/>
    <col min="7196" max="7196" width="7.75" style="255" customWidth="1"/>
    <col min="7197" max="7197" width="7.125" style="255" customWidth="1"/>
    <col min="7198" max="7198" width="12.125" style="255" customWidth="1"/>
    <col min="7199" max="7199" width="8.25" style="255" customWidth="1"/>
    <col min="7200" max="7201" width="10.375" style="255" customWidth="1"/>
    <col min="7202" max="7202" width="15.625" style="255" customWidth="1"/>
    <col min="7203" max="7203" width="15.875" style="255" customWidth="1"/>
    <col min="7204" max="7204" width="8.125" style="255" customWidth="1"/>
    <col min="7205" max="7208" width="10.375" style="255" customWidth="1"/>
    <col min="7209" max="7209" width="7.25" style="255" customWidth="1"/>
    <col min="7210" max="7210" width="7.125" style="255" customWidth="1"/>
    <col min="7211" max="7211" width="9.5" style="255" customWidth="1"/>
    <col min="7212" max="7213" width="9" style="255" customWidth="1"/>
    <col min="7214" max="7214" width="16.125" style="255" customWidth="1"/>
    <col min="7215" max="7245" width="9" style="255" customWidth="1"/>
    <col min="7246" max="7405" width="25.25" style="255"/>
    <col min="7406" max="7435" width="9" style="255" customWidth="1"/>
    <col min="7436" max="7436" width="0.5" style="255" customWidth="1"/>
    <col min="7437" max="7437" width="25.25" style="255"/>
    <col min="7438" max="7438" width="0.5" style="255" customWidth="1"/>
    <col min="7439" max="7439" width="25.25" style="255"/>
    <col min="7440" max="7440" width="14.75" style="255" customWidth="1"/>
    <col min="7441" max="7441" width="11.5" style="255" customWidth="1"/>
    <col min="7442" max="7442" width="11.25" style="255" customWidth="1"/>
    <col min="7443" max="7443" width="10.75" style="255" customWidth="1"/>
    <col min="7444" max="7444" width="10" style="255" customWidth="1"/>
    <col min="7445" max="7445" width="9.875" style="255" customWidth="1"/>
    <col min="7446" max="7446" width="26.125" style="255" customWidth="1"/>
    <col min="7447" max="7447" width="11.125" style="255" customWidth="1"/>
    <col min="7448" max="7448" width="7.875" style="255" customWidth="1"/>
    <col min="7449" max="7449" width="7.25" style="255" customWidth="1"/>
    <col min="7450" max="7450" width="9.125" style="255" customWidth="1"/>
    <col min="7451" max="7451" width="15.125" style="255" customWidth="1"/>
    <col min="7452" max="7452" width="7.75" style="255" customWidth="1"/>
    <col min="7453" max="7453" width="7.125" style="255" customWidth="1"/>
    <col min="7454" max="7454" width="12.125" style="255" customWidth="1"/>
    <col min="7455" max="7455" width="8.25" style="255" customWidth="1"/>
    <col min="7456" max="7457" width="10.375" style="255" customWidth="1"/>
    <col min="7458" max="7458" width="15.625" style="255" customWidth="1"/>
    <col min="7459" max="7459" width="15.875" style="255" customWidth="1"/>
    <col min="7460" max="7460" width="8.125" style="255" customWidth="1"/>
    <col min="7461" max="7464" width="10.375" style="255" customWidth="1"/>
    <col min="7465" max="7465" width="7.25" style="255" customWidth="1"/>
    <col min="7466" max="7466" width="7.125" style="255" customWidth="1"/>
    <col min="7467" max="7467" width="9.5" style="255" customWidth="1"/>
    <col min="7468" max="7469" width="9" style="255" customWidth="1"/>
    <col min="7470" max="7470" width="16.125" style="255" customWidth="1"/>
    <col min="7471" max="7501" width="9" style="255" customWidth="1"/>
    <col min="7502" max="7661" width="25.25" style="255"/>
    <col min="7662" max="7691" width="9" style="255" customWidth="1"/>
    <col min="7692" max="7692" width="0.5" style="255" customWidth="1"/>
    <col min="7693" max="7693" width="25.25" style="255"/>
    <col min="7694" max="7694" width="0.5" style="255" customWidth="1"/>
    <col min="7695" max="7695" width="25.25" style="255"/>
    <col min="7696" max="7696" width="14.75" style="255" customWidth="1"/>
    <col min="7697" max="7697" width="11.5" style="255" customWidth="1"/>
    <col min="7698" max="7698" width="11.25" style="255" customWidth="1"/>
    <col min="7699" max="7699" width="10.75" style="255" customWidth="1"/>
    <col min="7700" max="7700" width="10" style="255" customWidth="1"/>
    <col min="7701" max="7701" width="9.875" style="255" customWidth="1"/>
    <col min="7702" max="7702" width="26.125" style="255" customWidth="1"/>
    <col min="7703" max="7703" width="11.125" style="255" customWidth="1"/>
    <col min="7704" max="7704" width="7.875" style="255" customWidth="1"/>
    <col min="7705" max="7705" width="7.25" style="255" customWidth="1"/>
    <col min="7706" max="7706" width="9.125" style="255" customWidth="1"/>
    <col min="7707" max="7707" width="15.125" style="255" customWidth="1"/>
    <col min="7708" max="7708" width="7.75" style="255" customWidth="1"/>
    <col min="7709" max="7709" width="7.125" style="255" customWidth="1"/>
    <col min="7710" max="7710" width="12.125" style="255" customWidth="1"/>
    <col min="7711" max="7711" width="8.25" style="255" customWidth="1"/>
    <col min="7712" max="7713" width="10.375" style="255" customWidth="1"/>
    <col min="7714" max="7714" width="15.625" style="255" customWidth="1"/>
    <col min="7715" max="7715" width="15.875" style="255" customWidth="1"/>
    <col min="7716" max="7716" width="8.125" style="255" customWidth="1"/>
    <col min="7717" max="7720" width="10.375" style="255" customWidth="1"/>
    <col min="7721" max="7721" width="7.25" style="255" customWidth="1"/>
    <col min="7722" max="7722" width="7.125" style="255" customWidth="1"/>
    <col min="7723" max="7723" width="9.5" style="255" customWidth="1"/>
    <col min="7724" max="7725" width="9" style="255" customWidth="1"/>
    <col min="7726" max="7726" width="16.125" style="255" customWidth="1"/>
    <col min="7727" max="7757" width="9" style="255" customWidth="1"/>
    <col min="7758" max="7917" width="25.25" style="255"/>
    <col min="7918" max="7947" width="9" style="255" customWidth="1"/>
    <col min="7948" max="7948" width="0.5" style="255" customWidth="1"/>
    <col min="7949" max="7949" width="25.25" style="255"/>
    <col min="7950" max="7950" width="0.5" style="255" customWidth="1"/>
    <col min="7951" max="7951" width="25.25" style="255"/>
    <col min="7952" max="7952" width="14.75" style="255" customWidth="1"/>
    <col min="7953" max="7953" width="11.5" style="255" customWidth="1"/>
    <col min="7954" max="7954" width="11.25" style="255" customWidth="1"/>
    <col min="7955" max="7955" width="10.75" style="255" customWidth="1"/>
    <col min="7956" max="7956" width="10" style="255" customWidth="1"/>
    <col min="7957" max="7957" width="9.875" style="255" customWidth="1"/>
    <col min="7958" max="7958" width="26.125" style="255" customWidth="1"/>
    <col min="7959" max="7959" width="11.125" style="255" customWidth="1"/>
    <col min="7960" max="7960" width="7.875" style="255" customWidth="1"/>
    <col min="7961" max="7961" width="7.25" style="255" customWidth="1"/>
    <col min="7962" max="7962" width="9.125" style="255" customWidth="1"/>
    <col min="7963" max="7963" width="15.125" style="255" customWidth="1"/>
    <col min="7964" max="7964" width="7.75" style="255" customWidth="1"/>
    <col min="7965" max="7965" width="7.125" style="255" customWidth="1"/>
    <col min="7966" max="7966" width="12.125" style="255" customWidth="1"/>
    <col min="7967" max="7967" width="8.25" style="255" customWidth="1"/>
    <col min="7968" max="7969" width="10.375" style="255" customWidth="1"/>
    <col min="7970" max="7970" width="15.625" style="255" customWidth="1"/>
    <col min="7971" max="7971" width="15.875" style="255" customWidth="1"/>
    <col min="7972" max="7972" width="8.125" style="255" customWidth="1"/>
    <col min="7973" max="7976" width="10.375" style="255" customWidth="1"/>
    <col min="7977" max="7977" width="7.25" style="255" customWidth="1"/>
    <col min="7978" max="7978" width="7.125" style="255" customWidth="1"/>
    <col min="7979" max="7979" width="9.5" style="255" customWidth="1"/>
    <col min="7980" max="7981" width="9" style="255" customWidth="1"/>
    <col min="7982" max="7982" width="16.125" style="255" customWidth="1"/>
    <col min="7983" max="8013" width="9" style="255" customWidth="1"/>
    <col min="8014" max="8173" width="25.25" style="255"/>
    <col min="8174" max="8203" width="9" style="255" customWidth="1"/>
    <col min="8204" max="8204" width="0.5" style="255" customWidth="1"/>
    <col min="8205" max="8205" width="25.25" style="255"/>
    <col min="8206" max="8206" width="0.5" style="255" customWidth="1"/>
    <col min="8207" max="8207" width="25.25" style="255"/>
    <col min="8208" max="8208" width="14.75" style="255" customWidth="1"/>
    <col min="8209" max="8209" width="11.5" style="255" customWidth="1"/>
    <col min="8210" max="8210" width="11.25" style="255" customWidth="1"/>
    <col min="8211" max="8211" width="10.75" style="255" customWidth="1"/>
    <col min="8212" max="8212" width="10" style="255" customWidth="1"/>
    <col min="8213" max="8213" width="9.875" style="255" customWidth="1"/>
    <col min="8214" max="8214" width="26.125" style="255" customWidth="1"/>
    <col min="8215" max="8215" width="11.125" style="255" customWidth="1"/>
    <col min="8216" max="8216" width="7.875" style="255" customWidth="1"/>
    <col min="8217" max="8217" width="7.25" style="255" customWidth="1"/>
    <col min="8218" max="8218" width="9.125" style="255" customWidth="1"/>
    <col min="8219" max="8219" width="15.125" style="255" customWidth="1"/>
    <col min="8220" max="8220" width="7.75" style="255" customWidth="1"/>
    <col min="8221" max="8221" width="7.125" style="255" customWidth="1"/>
    <col min="8222" max="8222" width="12.125" style="255" customWidth="1"/>
    <col min="8223" max="8223" width="8.25" style="255" customWidth="1"/>
    <col min="8224" max="8225" width="10.375" style="255" customWidth="1"/>
    <col min="8226" max="8226" width="15.625" style="255" customWidth="1"/>
    <col min="8227" max="8227" width="15.875" style="255" customWidth="1"/>
    <col min="8228" max="8228" width="8.125" style="255" customWidth="1"/>
    <col min="8229" max="8232" width="10.375" style="255" customWidth="1"/>
    <col min="8233" max="8233" width="7.25" style="255" customWidth="1"/>
    <col min="8234" max="8234" width="7.125" style="255" customWidth="1"/>
    <col min="8235" max="8235" width="9.5" style="255" customWidth="1"/>
    <col min="8236" max="8237" width="9" style="255" customWidth="1"/>
    <col min="8238" max="8238" width="16.125" style="255" customWidth="1"/>
    <col min="8239" max="8269" width="9" style="255" customWidth="1"/>
    <col min="8270" max="8429" width="25.25" style="255"/>
    <col min="8430" max="8459" width="9" style="255" customWidth="1"/>
    <col min="8460" max="8460" width="0.5" style="255" customWidth="1"/>
    <col min="8461" max="8461" width="25.25" style="255"/>
    <col min="8462" max="8462" width="0.5" style="255" customWidth="1"/>
    <col min="8463" max="8463" width="25.25" style="255"/>
    <col min="8464" max="8464" width="14.75" style="255" customWidth="1"/>
    <col min="8465" max="8465" width="11.5" style="255" customWidth="1"/>
    <col min="8466" max="8466" width="11.25" style="255" customWidth="1"/>
    <col min="8467" max="8467" width="10.75" style="255" customWidth="1"/>
    <col min="8468" max="8468" width="10" style="255" customWidth="1"/>
    <col min="8469" max="8469" width="9.875" style="255" customWidth="1"/>
    <col min="8470" max="8470" width="26.125" style="255" customWidth="1"/>
    <col min="8471" max="8471" width="11.125" style="255" customWidth="1"/>
    <col min="8472" max="8472" width="7.875" style="255" customWidth="1"/>
    <col min="8473" max="8473" width="7.25" style="255" customWidth="1"/>
    <col min="8474" max="8474" width="9.125" style="255" customWidth="1"/>
    <col min="8475" max="8475" width="15.125" style="255" customWidth="1"/>
    <col min="8476" max="8476" width="7.75" style="255" customWidth="1"/>
    <col min="8477" max="8477" width="7.125" style="255" customWidth="1"/>
    <col min="8478" max="8478" width="12.125" style="255" customWidth="1"/>
    <col min="8479" max="8479" width="8.25" style="255" customWidth="1"/>
    <col min="8480" max="8481" width="10.375" style="255" customWidth="1"/>
    <col min="8482" max="8482" width="15.625" style="255" customWidth="1"/>
    <col min="8483" max="8483" width="15.875" style="255" customWidth="1"/>
    <col min="8484" max="8484" width="8.125" style="255" customWidth="1"/>
    <col min="8485" max="8488" width="10.375" style="255" customWidth="1"/>
    <col min="8489" max="8489" width="7.25" style="255" customWidth="1"/>
    <col min="8490" max="8490" width="7.125" style="255" customWidth="1"/>
    <col min="8491" max="8491" width="9.5" style="255" customWidth="1"/>
    <col min="8492" max="8493" width="9" style="255" customWidth="1"/>
    <col min="8494" max="8494" width="16.125" style="255" customWidth="1"/>
    <col min="8495" max="8525" width="9" style="255" customWidth="1"/>
    <col min="8526" max="8685" width="25.25" style="255"/>
    <col min="8686" max="8715" width="9" style="255" customWidth="1"/>
    <col min="8716" max="8716" width="0.5" style="255" customWidth="1"/>
    <col min="8717" max="8717" width="25.25" style="255"/>
    <col min="8718" max="8718" width="0.5" style="255" customWidth="1"/>
    <col min="8719" max="8719" width="25.25" style="255"/>
    <col min="8720" max="8720" width="14.75" style="255" customWidth="1"/>
    <col min="8721" max="8721" width="11.5" style="255" customWidth="1"/>
    <col min="8722" max="8722" width="11.25" style="255" customWidth="1"/>
    <col min="8723" max="8723" width="10.75" style="255" customWidth="1"/>
    <col min="8724" max="8724" width="10" style="255" customWidth="1"/>
    <col min="8725" max="8725" width="9.875" style="255" customWidth="1"/>
    <col min="8726" max="8726" width="26.125" style="255" customWidth="1"/>
    <col min="8727" max="8727" width="11.125" style="255" customWidth="1"/>
    <col min="8728" max="8728" width="7.875" style="255" customWidth="1"/>
    <col min="8729" max="8729" width="7.25" style="255" customWidth="1"/>
    <col min="8730" max="8730" width="9.125" style="255" customWidth="1"/>
    <col min="8731" max="8731" width="15.125" style="255" customWidth="1"/>
    <col min="8732" max="8732" width="7.75" style="255" customWidth="1"/>
    <col min="8733" max="8733" width="7.125" style="255" customWidth="1"/>
    <col min="8734" max="8734" width="12.125" style="255" customWidth="1"/>
    <col min="8735" max="8735" width="8.25" style="255" customWidth="1"/>
    <col min="8736" max="8737" width="10.375" style="255" customWidth="1"/>
    <col min="8738" max="8738" width="15.625" style="255" customWidth="1"/>
    <col min="8739" max="8739" width="15.875" style="255" customWidth="1"/>
    <col min="8740" max="8740" width="8.125" style="255" customWidth="1"/>
    <col min="8741" max="8744" width="10.375" style="255" customWidth="1"/>
    <col min="8745" max="8745" width="7.25" style="255" customWidth="1"/>
    <col min="8746" max="8746" width="7.125" style="255" customWidth="1"/>
    <col min="8747" max="8747" width="9.5" style="255" customWidth="1"/>
    <col min="8748" max="8749" width="9" style="255" customWidth="1"/>
    <col min="8750" max="8750" width="16.125" style="255" customWidth="1"/>
    <col min="8751" max="8781" width="9" style="255" customWidth="1"/>
    <col min="8782" max="8941" width="25.25" style="255"/>
    <col min="8942" max="8971" width="9" style="255" customWidth="1"/>
    <col min="8972" max="8972" width="0.5" style="255" customWidth="1"/>
    <col min="8973" max="8973" width="25.25" style="255"/>
    <col min="8974" max="8974" width="0.5" style="255" customWidth="1"/>
    <col min="8975" max="8975" width="25.25" style="255"/>
    <col min="8976" max="8976" width="14.75" style="255" customWidth="1"/>
    <col min="8977" max="8977" width="11.5" style="255" customWidth="1"/>
    <col min="8978" max="8978" width="11.25" style="255" customWidth="1"/>
    <col min="8979" max="8979" width="10.75" style="255" customWidth="1"/>
    <col min="8980" max="8980" width="10" style="255" customWidth="1"/>
    <col min="8981" max="8981" width="9.875" style="255" customWidth="1"/>
    <col min="8982" max="8982" width="26.125" style="255" customWidth="1"/>
    <col min="8983" max="8983" width="11.125" style="255" customWidth="1"/>
    <col min="8984" max="8984" width="7.875" style="255" customWidth="1"/>
    <col min="8985" max="8985" width="7.25" style="255" customWidth="1"/>
    <col min="8986" max="8986" width="9.125" style="255" customWidth="1"/>
    <col min="8987" max="8987" width="15.125" style="255" customWidth="1"/>
    <col min="8988" max="8988" width="7.75" style="255" customWidth="1"/>
    <col min="8989" max="8989" width="7.125" style="255" customWidth="1"/>
    <col min="8990" max="8990" width="12.125" style="255" customWidth="1"/>
    <col min="8991" max="8991" width="8.25" style="255" customWidth="1"/>
    <col min="8992" max="8993" width="10.375" style="255" customWidth="1"/>
    <col min="8994" max="8994" width="15.625" style="255" customWidth="1"/>
    <col min="8995" max="8995" width="15.875" style="255" customWidth="1"/>
    <col min="8996" max="8996" width="8.125" style="255" customWidth="1"/>
    <col min="8997" max="9000" width="10.375" style="255" customWidth="1"/>
    <col min="9001" max="9001" width="7.25" style="255" customWidth="1"/>
    <col min="9002" max="9002" width="7.125" style="255" customWidth="1"/>
    <col min="9003" max="9003" width="9.5" style="255" customWidth="1"/>
    <col min="9004" max="9005" width="9" style="255" customWidth="1"/>
    <col min="9006" max="9006" width="16.125" style="255" customWidth="1"/>
    <col min="9007" max="9037" width="9" style="255" customWidth="1"/>
    <col min="9038" max="9197" width="25.25" style="255"/>
    <col min="9198" max="9227" width="9" style="255" customWidth="1"/>
    <col min="9228" max="9228" width="0.5" style="255" customWidth="1"/>
    <col min="9229" max="9229" width="25.25" style="255"/>
    <col min="9230" max="9230" width="0.5" style="255" customWidth="1"/>
    <col min="9231" max="9231" width="25.25" style="255"/>
    <col min="9232" max="9232" width="14.75" style="255" customWidth="1"/>
    <col min="9233" max="9233" width="11.5" style="255" customWidth="1"/>
    <col min="9234" max="9234" width="11.25" style="255" customWidth="1"/>
    <col min="9235" max="9235" width="10.75" style="255" customWidth="1"/>
    <col min="9236" max="9236" width="10" style="255" customWidth="1"/>
    <col min="9237" max="9237" width="9.875" style="255" customWidth="1"/>
    <col min="9238" max="9238" width="26.125" style="255" customWidth="1"/>
    <col min="9239" max="9239" width="11.125" style="255" customWidth="1"/>
    <col min="9240" max="9240" width="7.875" style="255" customWidth="1"/>
    <col min="9241" max="9241" width="7.25" style="255" customWidth="1"/>
    <col min="9242" max="9242" width="9.125" style="255" customWidth="1"/>
    <col min="9243" max="9243" width="15.125" style="255" customWidth="1"/>
    <col min="9244" max="9244" width="7.75" style="255" customWidth="1"/>
    <col min="9245" max="9245" width="7.125" style="255" customWidth="1"/>
    <col min="9246" max="9246" width="12.125" style="255" customWidth="1"/>
    <col min="9247" max="9247" width="8.25" style="255" customWidth="1"/>
    <col min="9248" max="9249" width="10.375" style="255" customWidth="1"/>
    <col min="9250" max="9250" width="15.625" style="255" customWidth="1"/>
    <col min="9251" max="9251" width="15.875" style="255" customWidth="1"/>
    <col min="9252" max="9252" width="8.125" style="255" customWidth="1"/>
    <col min="9253" max="9256" width="10.375" style="255" customWidth="1"/>
    <col min="9257" max="9257" width="7.25" style="255" customWidth="1"/>
    <col min="9258" max="9258" width="7.125" style="255" customWidth="1"/>
    <col min="9259" max="9259" width="9.5" style="255" customWidth="1"/>
    <col min="9260" max="9261" width="9" style="255" customWidth="1"/>
    <col min="9262" max="9262" width="16.125" style="255" customWidth="1"/>
    <col min="9263" max="9293" width="9" style="255" customWidth="1"/>
    <col min="9294" max="9453" width="25.25" style="255"/>
    <col min="9454" max="9483" width="9" style="255" customWidth="1"/>
    <col min="9484" max="9484" width="0.5" style="255" customWidth="1"/>
    <col min="9485" max="9485" width="25.25" style="255"/>
    <col min="9486" max="9486" width="0.5" style="255" customWidth="1"/>
    <col min="9487" max="9487" width="25.25" style="255"/>
    <col min="9488" max="9488" width="14.75" style="255" customWidth="1"/>
    <col min="9489" max="9489" width="11.5" style="255" customWidth="1"/>
    <col min="9490" max="9490" width="11.25" style="255" customWidth="1"/>
    <col min="9491" max="9491" width="10.75" style="255" customWidth="1"/>
    <col min="9492" max="9492" width="10" style="255" customWidth="1"/>
    <col min="9493" max="9493" width="9.875" style="255" customWidth="1"/>
    <col min="9494" max="9494" width="26.125" style="255" customWidth="1"/>
    <col min="9495" max="9495" width="11.125" style="255" customWidth="1"/>
    <col min="9496" max="9496" width="7.875" style="255" customWidth="1"/>
    <col min="9497" max="9497" width="7.25" style="255" customWidth="1"/>
    <col min="9498" max="9498" width="9.125" style="255" customWidth="1"/>
    <col min="9499" max="9499" width="15.125" style="255" customWidth="1"/>
    <col min="9500" max="9500" width="7.75" style="255" customWidth="1"/>
    <col min="9501" max="9501" width="7.125" style="255" customWidth="1"/>
    <col min="9502" max="9502" width="12.125" style="255" customWidth="1"/>
    <col min="9503" max="9503" width="8.25" style="255" customWidth="1"/>
    <col min="9504" max="9505" width="10.375" style="255" customWidth="1"/>
    <col min="9506" max="9506" width="15.625" style="255" customWidth="1"/>
    <col min="9507" max="9507" width="15.875" style="255" customWidth="1"/>
    <col min="9508" max="9508" width="8.125" style="255" customWidth="1"/>
    <col min="9509" max="9512" width="10.375" style="255" customWidth="1"/>
    <col min="9513" max="9513" width="7.25" style="255" customWidth="1"/>
    <col min="9514" max="9514" width="7.125" style="255" customWidth="1"/>
    <col min="9515" max="9515" width="9.5" style="255" customWidth="1"/>
    <col min="9516" max="9517" width="9" style="255" customWidth="1"/>
    <col min="9518" max="9518" width="16.125" style="255" customWidth="1"/>
    <col min="9519" max="9549" width="9" style="255" customWidth="1"/>
    <col min="9550" max="9709" width="25.25" style="255"/>
    <col min="9710" max="9739" width="9" style="255" customWidth="1"/>
    <col min="9740" max="9740" width="0.5" style="255" customWidth="1"/>
    <col min="9741" max="9741" width="25.25" style="255"/>
    <col min="9742" max="9742" width="0.5" style="255" customWidth="1"/>
    <col min="9743" max="9743" width="25.25" style="255"/>
    <col min="9744" max="9744" width="14.75" style="255" customWidth="1"/>
    <col min="9745" max="9745" width="11.5" style="255" customWidth="1"/>
    <col min="9746" max="9746" width="11.25" style="255" customWidth="1"/>
    <col min="9747" max="9747" width="10.75" style="255" customWidth="1"/>
    <col min="9748" max="9748" width="10" style="255" customWidth="1"/>
    <col min="9749" max="9749" width="9.875" style="255" customWidth="1"/>
    <col min="9750" max="9750" width="26.125" style="255" customWidth="1"/>
    <col min="9751" max="9751" width="11.125" style="255" customWidth="1"/>
    <col min="9752" max="9752" width="7.875" style="255" customWidth="1"/>
    <col min="9753" max="9753" width="7.25" style="255" customWidth="1"/>
    <col min="9754" max="9754" width="9.125" style="255" customWidth="1"/>
    <col min="9755" max="9755" width="15.125" style="255" customWidth="1"/>
    <col min="9756" max="9756" width="7.75" style="255" customWidth="1"/>
    <col min="9757" max="9757" width="7.125" style="255" customWidth="1"/>
    <col min="9758" max="9758" width="12.125" style="255" customWidth="1"/>
    <col min="9759" max="9759" width="8.25" style="255" customWidth="1"/>
    <col min="9760" max="9761" width="10.375" style="255" customWidth="1"/>
    <col min="9762" max="9762" width="15.625" style="255" customWidth="1"/>
    <col min="9763" max="9763" width="15.875" style="255" customWidth="1"/>
    <col min="9764" max="9764" width="8.125" style="255" customWidth="1"/>
    <col min="9765" max="9768" width="10.375" style="255" customWidth="1"/>
    <col min="9769" max="9769" width="7.25" style="255" customWidth="1"/>
    <col min="9770" max="9770" width="7.125" style="255" customWidth="1"/>
    <col min="9771" max="9771" width="9.5" style="255" customWidth="1"/>
    <col min="9772" max="9773" width="9" style="255" customWidth="1"/>
    <col min="9774" max="9774" width="16.125" style="255" customWidth="1"/>
    <col min="9775" max="9805" width="9" style="255" customWidth="1"/>
    <col min="9806" max="9965" width="25.25" style="255"/>
    <col min="9966" max="9995" width="9" style="255" customWidth="1"/>
    <col min="9996" max="9996" width="0.5" style="255" customWidth="1"/>
    <col min="9997" max="9997" width="25.25" style="255"/>
    <col min="9998" max="9998" width="0.5" style="255" customWidth="1"/>
    <col min="9999" max="9999" width="25.25" style="255"/>
    <col min="10000" max="10000" width="14.75" style="255" customWidth="1"/>
    <col min="10001" max="10001" width="11.5" style="255" customWidth="1"/>
    <col min="10002" max="10002" width="11.25" style="255" customWidth="1"/>
    <col min="10003" max="10003" width="10.75" style="255" customWidth="1"/>
    <col min="10004" max="10004" width="10" style="255" customWidth="1"/>
    <col min="10005" max="10005" width="9.875" style="255" customWidth="1"/>
    <col min="10006" max="10006" width="26.125" style="255" customWidth="1"/>
    <col min="10007" max="10007" width="11.125" style="255" customWidth="1"/>
    <col min="10008" max="10008" width="7.875" style="255" customWidth="1"/>
    <col min="10009" max="10009" width="7.25" style="255" customWidth="1"/>
    <col min="10010" max="10010" width="9.125" style="255" customWidth="1"/>
    <col min="10011" max="10011" width="15.125" style="255" customWidth="1"/>
    <col min="10012" max="10012" width="7.75" style="255" customWidth="1"/>
    <col min="10013" max="10013" width="7.125" style="255" customWidth="1"/>
    <col min="10014" max="10014" width="12.125" style="255" customWidth="1"/>
    <col min="10015" max="10015" width="8.25" style="255" customWidth="1"/>
    <col min="10016" max="10017" width="10.375" style="255" customWidth="1"/>
    <col min="10018" max="10018" width="15.625" style="255" customWidth="1"/>
    <col min="10019" max="10019" width="15.875" style="255" customWidth="1"/>
    <col min="10020" max="10020" width="8.125" style="255" customWidth="1"/>
    <col min="10021" max="10024" width="10.375" style="255" customWidth="1"/>
    <col min="10025" max="10025" width="7.25" style="255" customWidth="1"/>
    <col min="10026" max="10026" width="7.125" style="255" customWidth="1"/>
    <col min="10027" max="10027" width="9.5" style="255" customWidth="1"/>
    <col min="10028" max="10029" width="9" style="255" customWidth="1"/>
    <col min="10030" max="10030" width="16.125" style="255" customWidth="1"/>
    <col min="10031" max="10061" width="9" style="255" customWidth="1"/>
    <col min="10062" max="10221" width="25.25" style="255"/>
    <col min="10222" max="10251" width="9" style="255" customWidth="1"/>
    <col min="10252" max="10252" width="0.5" style="255" customWidth="1"/>
    <col min="10253" max="10253" width="25.25" style="255"/>
    <col min="10254" max="10254" width="0.5" style="255" customWidth="1"/>
    <col min="10255" max="10255" width="25.25" style="255"/>
    <col min="10256" max="10256" width="14.75" style="255" customWidth="1"/>
    <col min="10257" max="10257" width="11.5" style="255" customWidth="1"/>
    <col min="10258" max="10258" width="11.25" style="255" customWidth="1"/>
    <col min="10259" max="10259" width="10.75" style="255" customWidth="1"/>
    <col min="10260" max="10260" width="10" style="255" customWidth="1"/>
    <col min="10261" max="10261" width="9.875" style="255" customWidth="1"/>
    <col min="10262" max="10262" width="26.125" style="255" customWidth="1"/>
    <col min="10263" max="10263" width="11.125" style="255" customWidth="1"/>
    <col min="10264" max="10264" width="7.875" style="255" customWidth="1"/>
    <col min="10265" max="10265" width="7.25" style="255" customWidth="1"/>
    <col min="10266" max="10266" width="9.125" style="255" customWidth="1"/>
    <col min="10267" max="10267" width="15.125" style="255" customWidth="1"/>
    <col min="10268" max="10268" width="7.75" style="255" customWidth="1"/>
    <col min="10269" max="10269" width="7.125" style="255" customWidth="1"/>
    <col min="10270" max="10270" width="12.125" style="255" customWidth="1"/>
    <col min="10271" max="10271" width="8.25" style="255" customWidth="1"/>
    <col min="10272" max="10273" width="10.375" style="255" customWidth="1"/>
    <col min="10274" max="10274" width="15.625" style="255" customWidth="1"/>
    <col min="10275" max="10275" width="15.875" style="255" customWidth="1"/>
    <col min="10276" max="10276" width="8.125" style="255" customWidth="1"/>
    <col min="10277" max="10280" width="10.375" style="255" customWidth="1"/>
    <col min="10281" max="10281" width="7.25" style="255" customWidth="1"/>
    <col min="10282" max="10282" width="7.125" style="255" customWidth="1"/>
    <col min="10283" max="10283" width="9.5" style="255" customWidth="1"/>
    <col min="10284" max="10285" width="9" style="255" customWidth="1"/>
    <col min="10286" max="10286" width="16.125" style="255" customWidth="1"/>
    <col min="10287" max="10317" width="9" style="255" customWidth="1"/>
    <col min="10318" max="10477" width="25.25" style="255"/>
    <col min="10478" max="10507" width="9" style="255" customWidth="1"/>
    <col min="10508" max="10508" width="0.5" style="255" customWidth="1"/>
    <col min="10509" max="10509" width="25.25" style="255"/>
    <col min="10510" max="10510" width="0.5" style="255" customWidth="1"/>
    <col min="10511" max="10511" width="25.25" style="255"/>
    <col min="10512" max="10512" width="14.75" style="255" customWidth="1"/>
    <col min="10513" max="10513" width="11.5" style="255" customWidth="1"/>
    <col min="10514" max="10514" width="11.25" style="255" customWidth="1"/>
    <col min="10515" max="10515" width="10.75" style="255" customWidth="1"/>
    <col min="10516" max="10516" width="10" style="255" customWidth="1"/>
    <col min="10517" max="10517" width="9.875" style="255" customWidth="1"/>
    <col min="10518" max="10518" width="26.125" style="255" customWidth="1"/>
    <col min="10519" max="10519" width="11.125" style="255" customWidth="1"/>
    <col min="10520" max="10520" width="7.875" style="255" customWidth="1"/>
    <col min="10521" max="10521" width="7.25" style="255" customWidth="1"/>
    <col min="10522" max="10522" width="9.125" style="255" customWidth="1"/>
    <col min="10523" max="10523" width="15.125" style="255" customWidth="1"/>
    <col min="10524" max="10524" width="7.75" style="255" customWidth="1"/>
    <col min="10525" max="10525" width="7.125" style="255" customWidth="1"/>
    <col min="10526" max="10526" width="12.125" style="255" customWidth="1"/>
    <col min="10527" max="10527" width="8.25" style="255" customWidth="1"/>
    <col min="10528" max="10529" width="10.375" style="255" customWidth="1"/>
    <col min="10530" max="10530" width="15.625" style="255" customWidth="1"/>
    <col min="10531" max="10531" width="15.875" style="255" customWidth="1"/>
    <col min="10532" max="10532" width="8.125" style="255" customWidth="1"/>
    <col min="10533" max="10536" width="10.375" style="255" customWidth="1"/>
    <col min="10537" max="10537" width="7.25" style="255" customWidth="1"/>
    <col min="10538" max="10538" width="7.125" style="255" customWidth="1"/>
    <col min="10539" max="10539" width="9.5" style="255" customWidth="1"/>
    <col min="10540" max="10541" width="9" style="255" customWidth="1"/>
    <col min="10542" max="10542" width="16.125" style="255" customWidth="1"/>
    <col min="10543" max="10573" width="9" style="255" customWidth="1"/>
    <col min="10574" max="10733" width="25.25" style="255"/>
    <col min="10734" max="10763" width="9" style="255" customWidth="1"/>
    <col min="10764" max="10764" width="0.5" style="255" customWidth="1"/>
    <col min="10765" max="10765" width="25.25" style="255"/>
    <col min="10766" max="10766" width="0.5" style="255" customWidth="1"/>
    <col min="10767" max="10767" width="25.25" style="255"/>
    <col min="10768" max="10768" width="14.75" style="255" customWidth="1"/>
    <col min="10769" max="10769" width="11.5" style="255" customWidth="1"/>
    <col min="10770" max="10770" width="11.25" style="255" customWidth="1"/>
    <col min="10771" max="10771" width="10.75" style="255" customWidth="1"/>
    <col min="10772" max="10772" width="10" style="255" customWidth="1"/>
    <col min="10773" max="10773" width="9.875" style="255" customWidth="1"/>
    <col min="10774" max="10774" width="26.125" style="255" customWidth="1"/>
    <col min="10775" max="10775" width="11.125" style="255" customWidth="1"/>
    <col min="10776" max="10776" width="7.875" style="255" customWidth="1"/>
    <col min="10777" max="10777" width="7.25" style="255" customWidth="1"/>
    <col min="10778" max="10778" width="9.125" style="255" customWidth="1"/>
    <col min="10779" max="10779" width="15.125" style="255" customWidth="1"/>
    <col min="10780" max="10780" width="7.75" style="255" customWidth="1"/>
    <col min="10781" max="10781" width="7.125" style="255" customWidth="1"/>
    <col min="10782" max="10782" width="12.125" style="255" customWidth="1"/>
    <col min="10783" max="10783" width="8.25" style="255" customWidth="1"/>
    <col min="10784" max="10785" width="10.375" style="255" customWidth="1"/>
    <col min="10786" max="10786" width="15.625" style="255" customWidth="1"/>
    <col min="10787" max="10787" width="15.875" style="255" customWidth="1"/>
    <col min="10788" max="10788" width="8.125" style="255" customWidth="1"/>
    <col min="10789" max="10792" width="10.375" style="255" customWidth="1"/>
    <col min="10793" max="10793" width="7.25" style="255" customWidth="1"/>
    <col min="10794" max="10794" width="7.125" style="255" customWidth="1"/>
    <col min="10795" max="10795" width="9.5" style="255" customWidth="1"/>
    <col min="10796" max="10797" width="9" style="255" customWidth="1"/>
    <col min="10798" max="10798" width="16.125" style="255" customWidth="1"/>
    <col min="10799" max="10829" width="9" style="255" customWidth="1"/>
    <col min="10830" max="10989" width="25.25" style="255"/>
    <col min="10990" max="11019" width="9" style="255" customWidth="1"/>
    <col min="11020" max="11020" width="0.5" style="255" customWidth="1"/>
    <col min="11021" max="11021" width="25.25" style="255"/>
    <col min="11022" max="11022" width="0.5" style="255" customWidth="1"/>
    <col min="11023" max="11023" width="25.25" style="255"/>
    <col min="11024" max="11024" width="14.75" style="255" customWidth="1"/>
    <col min="11025" max="11025" width="11.5" style="255" customWidth="1"/>
    <col min="11026" max="11026" width="11.25" style="255" customWidth="1"/>
    <col min="11027" max="11027" width="10.75" style="255" customWidth="1"/>
    <col min="11028" max="11028" width="10" style="255" customWidth="1"/>
    <col min="11029" max="11029" width="9.875" style="255" customWidth="1"/>
    <col min="11030" max="11030" width="26.125" style="255" customWidth="1"/>
    <col min="11031" max="11031" width="11.125" style="255" customWidth="1"/>
    <col min="11032" max="11032" width="7.875" style="255" customWidth="1"/>
    <col min="11033" max="11033" width="7.25" style="255" customWidth="1"/>
    <col min="11034" max="11034" width="9.125" style="255" customWidth="1"/>
    <col min="11035" max="11035" width="15.125" style="255" customWidth="1"/>
    <col min="11036" max="11036" width="7.75" style="255" customWidth="1"/>
    <col min="11037" max="11037" width="7.125" style="255" customWidth="1"/>
    <col min="11038" max="11038" width="12.125" style="255" customWidth="1"/>
    <col min="11039" max="11039" width="8.25" style="255" customWidth="1"/>
    <col min="11040" max="11041" width="10.375" style="255" customWidth="1"/>
    <col min="11042" max="11042" width="15.625" style="255" customWidth="1"/>
    <col min="11043" max="11043" width="15.875" style="255" customWidth="1"/>
    <col min="11044" max="11044" width="8.125" style="255" customWidth="1"/>
    <col min="11045" max="11048" width="10.375" style="255" customWidth="1"/>
    <col min="11049" max="11049" width="7.25" style="255" customWidth="1"/>
    <col min="11050" max="11050" width="7.125" style="255" customWidth="1"/>
    <col min="11051" max="11051" width="9.5" style="255" customWidth="1"/>
    <col min="11052" max="11053" width="9" style="255" customWidth="1"/>
    <col min="11054" max="11054" width="16.125" style="255" customWidth="1"/>
    <col min="11055" max="11085" width="9" style="255" customWidth="1"/>
    <col min="11086" max="11245" width="25.25" style="255"/>
    <col min="11246" max="11275" width="9" style="255" customWidth="1"/>
    <col min="11276" max="11276" width="0.5" style="255" customWidth="1"/>
    <col min="11277" max="11277" width="25.25" style="255"/>
    <col min="11278" max="11278" width="0.5" style="255" customWidth="1"/>
    <col min="11279" max="11279" width="25.25" style="255"/>
    <col min="11280" max="11280" width="14.75" style="255" customWidth="1"/>
    <col min="11281" max="11281" width="11.5" style="255" customWidth="1"/>
    <col min="11282" max="11282" width="11.25" style="255" customWidth="1"/>
    <col min="11283" max="11283" width="10.75" style="255" customWidth="1"/>
    <col min="11284" max="11284" width="10" style="255" customWidth="1"/>
    <col min="11285" max="11285" width="9.875" style="255" customWidth="1"/>
    <col min="11286" max="11286" width="26.125" style="255" customWidth="1"/>
    <col min="11287" max="11287" width="11.125" style="255" customWidth="1"/>
    <col min="11288" max="11288" width="7.875" style="255" customWidth="1"/>
    <col min="11289" max="11289" width="7.25" style="255" customWidth="1"/>
    <col min="11290" max="11290" width="9.125" style="255" customWidth="1"/>
    <col min="11291" max="11291" width="15.125" style="255" customWidth="1"/>
    <col min="11292" max="11292" width="7.75" style="255" customWidth="1"/>
    <col min="11293" max="11293" width="7.125" style="255" customWidth="1"/>
    <col min="11294" max="11294" width="12.125" style="255" customWidth="1"/>
    <col min="11295" max="11295" width="8.25" style="255" customWidth="1"/>
    <col min="11296" max="11297" width="10.375" style="255" customWidth="1"/>
    <col min="11298" max="11298" width="15.625" style="255" customWidth="1"/>
    <col min="11299" max="11299" width="15.875" style="255" customWidth="1"/>
    <col min="11300" max="11300" width="8.125" style="255" customWidth="1"/>
    <col min="11301" max="11304" width="10.375" style="255" customWidth="1"/>
    <col min="11305" max="11305" width="7.25" style="255" customWidth="1"/>
    <col min="11306" max="11306" width="7.125" style="255" customWidth="1"/>
    <col min="11307" max="11307" width="9.5" style="255" customWidth="1"/>
    <col min="11308" max="11309" width="9" style="255" customWidth="1"/>
    <col min="11310" max="11310" width="16.125" style="255" customWidth="1"/>
    <col min="11311" max="11341" width="9" style="255" customWidth="1"/>
    <col min="11342" max="11501" width="25.25" style="255"/>
    <col min="11502" max="11531" width="9" style="255" customWidth="1"/>
    <col min="11532" max="11532" width="0.5" style="255" customWidth="1"/>
    <col min="11533" max="11533" width="25.25" style="255"/>
    <col min="11534" max="11534" width="0.5" style="255" customWidth="1"/>
    <col min="11535" max="11535" width="25.25" style="255"/>
    <col min="11536" max="11536" width="14.75" style="255" customWidth="1"/>
    <col min="11537" max="11537" width="11.5" style="255" customWidth="1"/>
    <col min="11538" max="11538" width="11.25" style="255" customWidth="1"/>
    <col min="11539" max="11539" width="10.75" style="255" customWidth="1"/>
    <col min="11540" max="11540" width="10" style="255" customWidth="1"/>
    <col min="11541" max="11541" width="9.875" style="255" customWidth="1"/>
    <col min="11542" max="11542" width="26.125" style="255" customWidth="1"/>
    <col min="11543" max="11543" width="11.125" style="255" customWidth="1"/>
    <col min="11544" max="11544" width="7.875" style="255" customWidth="1"/>
    <col min="11545" max="11545" width="7.25" style="255" customWidth="1"/>
    <col min="11546" max="11546" width="9.125" style="255" customWidth="1"/>
    <col min="11547" max="11547" width="15.125" style="255" customWidth="1"/>
    <col min="11548" max="11548" width="7.75" style="255" customWidth="1"/>
    <col min="11549" max="11549" width="7.125" style="255" customWidth="1"/>
    <col min="11550" max="11550" width="12.125" style="255" customWidth="1"/>
    <col min="11551" max="11551" width="8.25" style="255" customWidth="1"/>
    <col min="11552" max="11553" width="10.375" style="255" customWidth="1"/>
    <col min="11554" max="11554" width="15.625" style="255" customWidth="1"/>
    <col min="11555" max="11555" width="15.875" style="255" customWidth="1"/>
    <col min="11556" max="11556" width="8.125" style="255" customWidth="1"/>
    <col min="11557" max="11560" width="10.375" style="255" customWidth="1"/>
    <col min="11561" max="11561" width="7.25" style="255" customWidth="1"/>
    <col min="11562" max="11562" width="7.125" style="255" customWidth="1"/>
    <col min="11563" max="11563" width="9.5" style="255" customWidth="1"/>
    <col min="11564" max="11565" width="9" style="255" customWidth="1"/>
    <col min="11566" max="11566" width="16.125" style="255" customWidth="1"/>
    <col min="11567" max="11597" width="9" style="255" customWidth="1"/>
    <col min="11598" max="11757" width="25.25" style="255"/>
    <col min="11758" max="11787" width="9" style="255" customWidth="1"/>
    <col min="11788" max="11788" width="0.5" style="255" customWidth="1"/>
    <col min="11789" max="11789" width="25.25" style="255"/>
    <col min="11790" max="11790" width="0.5" style="255" customWidth="1"/>
    <col min="11791" max="11791" width="25.25" style="255"/>
    <col min="11792" max="11792" width="14.75" style="255" customWidth="1"/>
    <col min="11793" max="11793" width="11.5" style="255" customWidth="1"/>
    <col min="11794" max="11794" width="11.25" style="255" customWidth="1"/>
    <col min="11795" max="11795" width="10.75" style="255" customWidth="1"/>
    <col min="11796" max="11796" width="10" style="255" customWidth="1"/>
    <col min="11797" max="11797" width="9.875" style="255" customWidth="1"/>
    <col min="11798" max="11798" width="26.125" style="255" customWidth="1"/>
    <col min="11799" max="11799" width="11.125" style="255" customWidth="1"/>
    <col min="11800" max="11800" width="7.875" style="255" customWidth="1"/>
    <col min="11801" max="11801" width="7.25" style="255" customWidth="1"/>
    <col min="11802" max="11802" width="9.125" style="255" customWidth="1"/>
    <col min="11803" max="11803" width="15.125" style="255" customWidth="1"/>
    <col min="11804" max="11804" width="7.75" style="255" customWidth="1"/>
    <col min="11805" max="11805" width="7.125" style="255" customWidth="1"/>
    <col min="11806" max="11806" width="12.125" style="255" customWidth="1"/>
    <col min="11807" max="11807" width="8.25" style="255" customWidth="1"/>
    <col min="11808" max="11809" width="10.375" style="255" customWidth="1"/>
    <col min="11810" max="11810" width="15.625" style="255" customWidth="1"/>
    <col min="11811" max="11811" width="15.875" style="255" customWidth="1"/>
    <col min="11812" max="11812" width="8.125" style="255" customWidth="1"/>
    <col min="11813" max="11816" width="10.375" style="255" customWidth="1"/>
    <col min="11817" max="11817" width="7.25" style="255" customWidth="1"/>
    <col min="11818" max="11818" width="7.125" style="255" customWidth="1"/>
    <col min="11819" max="11819" width="9.5" style="255" customWidth="1"/>
    <col min="11820" max="11821" width="9" style="255" customWidth="1"/>
    <col min="11822" max="11822" width="16.125" style="255" customWidth="1"/>
    <col min="11823" max="11853" width="9" style="255" customWidth="1"/>
    <col min="11854" max="12013" width="25.25" style="255"/>
    <col min="12014" max="12043" width="9" style="255" customWidth="1"/>
    <col min="12044" max="12044" width="0.5" style="255" customWidth="1"/>
    <col min="12045" max="12045" width="25.25" style="255"/>
    <col min="12046" max="12046" width="0.5" style="255" customWidth="1"/>
    <col min="12047" max="12047" width="25.25" style="255"/>
    <col min="12048" max="12048" width="14.75" style="255" customWidth="1"/>
    <col min="12049" max="12049" width="11.5" style="255" customWidth="1"/>
    <col min="12050" max="12050" width="11.25" style="255" customWidth="1"/>
    <col min="12051" max="12051" width="10.75" style="255" customWidth="1"/>
    <col min="12052" max="12052" width="10" style="255" customWidth="1"/>
    <col min="12053" max="12053" width="9.875" style="255" customWidth="1"/>
    <col min="12054" max="12054" width="26.125" style="255" customWidth="1"/>
    <col min="12055" max="12055" width="11.125" style="255" customWidth="1"/>
    <col min="12056" max="12056" width="7.875" style="255" customWidth="1"/>
    <col min="12057" max="12057" width="7.25" style="255" customWidth="1"/>
    <col min="12058" max="12058" width="9.125" style="255" customWidth="1"/>
    <col min="12059" max="12059" width="15.125" style="255" customWidth="1"/>
    <col min="12060" max="12060" width="7.75" style="255" customWidth="1"/>
    <col min="12061" max="12061" width="7.125" style="255" customWidth="1"/>
    <col min="12062" max="12062" width="12.125" style="255" customWidth="1"/>
    <col min="12063" max="12063" width="8.25" style="255" customWidth="1"/>
    <col min="12064" max="12065" width="10.375" style="255" customWidth="1"/>
    <col min="12066" max="12066" width="15.625" style="255" customWidth="1"/>
    <col min="12067" max="12067" width="15.875" style="255" customWidth="1"/>
    <col min="12068" max="12068" width="8.125" style="255" customWidth="1"/>
    <col min="12069" max="12072" width="10.375" style="255" customWidth="1"/>
    <col min="12073" max="12073" width="7.25" style="255" customWidth="1"/>
    <col min="12074" max="12074" width="7.125" style="255" customWidth="1"/>
    <col min="12075" max="12075" width="9.5" style="255" customWidth="1"/>
    <col min="12076" max="12077" width="9" style="255" customWidth="1"/>
    <col min="12078" max="12078" width="16.125" style="255" customWidth="1"/>
    <col min="12079" max="12109" width="9" style="255" customWidth="1"/>
    <col min="12110" max="12269" width="25.25" style="255"/>
    <col min="12270" max="12299" width="9" style="255" customWidth="1"/>
    <col min="12300" max="12300" width="0.5" style="255" customWidth="1"/>
    <col min="12301" max="12301" width="25.25" style="255"/>
    <col min="12302" max="12302" width="0.5" style="255" customWidth="1"/>
    <col min="12303" max="12303" width="25.25" style="255"/>
    <col min="12304" max="12304" width="14.75" style="255" customWidth="1"/>
    <col min="12305" max="12305" width="11.5" style="255" customWidth="1"/>
    <col min="12306" max="12306" width="11.25" style="255" customWidth="1"/>
    <col min="12307" max="12307" width="10.75" style="255" customWidth="1"/>
    <col min="12308" max="12308" width="10" style="255" customWidth="1"/>
    <col min="12309" max="12309" width="9.875" style="255" customWidth="1"/>
    <col min="12310" max="12310" width="26.125" style="255" customWidth="1"/>
    <col min="12311" max="12311" width="11.125" style="255" customWidth="1"/>
    <col min="12312" max="12312" width="7.875" style="255" customWidth="1"/>
    <col min="12313" max="12313" width="7.25" style="255" customWidth="1"/>
    <col min="12314" max="12314" width="9.125" style="255" customWidth="1"/>
    <col min="12315" max="12315" width="15.125" style="255" customWidth="1"/>
    <col min="12316" max="12316" width="7.75" style="255" customWidth="1"/>
    <col min="12317" max="12317" width="7.125" style="255" customWidth="1"/>
    <col min="12318" max="12318" width="12.125" style="255" customWidth="1"/>
    <col min="12319" max="12319" width="8.25" style="255" customWidth="1"/>
    <col min="12320" max="12321" width="10.375" style="255" customWidth="1"/>
    <col min="12322" max="12322" width="15.625" style="255" customWidth="1"/>
    <col min="12323" max="12323" width="15.875" style="255" customWidth="1"/>
    <col min="12324" max="12324" width="8.125" style="255" customWidth="1"/>
    <col min="12325" max="12328" width="10.375" style="255" customWidth="1"/>
    <col min="12329" max="12329" width="7.25" style="255" customWidth="1"/>
    <col min="12330" max="12330" width="7.125" style="255" customWidth="1"/>
    <col min="12331" max="12331" width="9.5" style="255" customWidth="1"/>
    <col min="12332" max="12333" width="9" style="255" customWidth="1"/>
    <col min="12334" max="12334" width="16.125" style="255" customWidth="1"/>
    <col min="12335" max="12365" width="9" style="255" customWidth="1"/>
    <col min="12366" max="12525" width="25.25" style="255"/>
    <col min="12526" max="12555" width="9" style="255" customWidth="1"/>
    <col min="12556" max="12556" width="0.5" style="255" customWidth="1"/>
    <col min="12557" max="12557" width="25.25" style="255"/>
    <col min="12558" max="12558" width="0.5" style="255" customWidth="1"/>
    <col min="12559" max="12559" width="25.25" style="255"/>
    <col min="12560" max="12560" width="14.75" style="255" customWidth="1"/>
    <col min="12561" max="12561" width="11.5" style="255" customWidth="1"/>
    <col min="12562" max="12562" width="11.25" style="255" customWidth="1"/>
    <col min="12563" max="12563" width="10.75" style="255" customWidth="1"/>
    <col min="12564" max="12564" width="10" style="255" customWidth="1"/>
    <col min="12565" max="12565" width="9.875" style="255" customWidth="1"/>
    <col min="12566" max="12566" width="26.125" style="255" customWidth="1"/>
    <col min="12567" max="12567" width="11.125" style="255" customWidth="1"/>
    <col min="12568" max="12568" width="7.875" style="255" customWidth="1"/>
    <col min="12569" max="12569" width="7.25" style="255" customWidth="1"/>
    <col min="12570" max="12570" width="9.125" style="255" customWidth="1"/>
    <col min="12571" max="12571" width="15.125" style="255" customWidth="1"/>
    <col min="12572" max="12572" width="7.75" style="255" customWidth="1"/>
    <col min="12573" max="12573" width="7.125" style="255" customWidth="1"/>
    <col min="12574" max="12574" width="12.125" style="255" customWidth="1"/>
    <col min="12575" max="12575" width="8.25" style="255" customWidth="1"/>
    <col min="12576" max="12577" width="10.375" style="255" customWidth="1"/>
    <col min="12578" max="12578" width="15.625" style="255" customWidth="1"/>
    <col min="12579" max="12579" width="15.875" style="255" customWidth="1"/>
    <col min="12580" max="12580" width="8.125" style="255" customWidth="1"/>
    <col min="12581" max="12584" width="10.375" style="255" customWidth="1"/>
    <col min="12585" max="12585" width="7.25" style="255" customWidth="1"/>
    <col min="12586" max="12586" width="7.125" style="255" customWidth="1"/>
    <col min="12587" max="12587" width="9.5" style="255" customWidth="1"/>
    <col min="12588" max="12589" width="9" style="255" customWidth="1"/>
    <col min="12590" max="12590" width="16.125" style="255" customWidth="1"/>
    <col min="12591" max="12621" width="9" style="255" customWidth="1"/>
    <col min="12622" max="12781" width="25.25" style="255"/>
    <col min="12782" max="12811" width="9" style="255" customWidth="1"/>
    <col min="12812" max="12812" width="0.5" style="255" customWidth="1"/>
    <col min="12813" max="12813" width="25.25" style="255"/>
    <col min="12814" max="12814" width="0.5" style="255" customWidth="1"/>
    <col min="12815" max="12815" width="25.25" style="255"/>
    <col min="12816" max="12816" width="14.75" style="255" customWidth="1"/>
    <col min="12817" max="12817" width="11.5" style="255" customWidth="1"/>
    <col min="12818" max="12818" width="11.25" style="255" customWidth="1"/>
    <col min="12819" max="12819" width="10.75" style="255" customWidth="1"/>
    <col min="12820" max="12820" width="10" style="255" customWidth="1"/>
    <col min="12821" max="12821" width="9.875" style="255" customWidth="1"/>
    <col min="12822" max="12822" width="26.125" style="255" customWidth="1"/>
    <col min="12823" max="12823" width="11.125" style="255" customWidth="1"/>
    <col min="12824" max="12824" width="7.875" style="255" customWidth="1"/>
    <col min="12825" max="12825" width="7.25" style="255" customWidth="1"/>
    <col min="12826" max="12826" width="9.125" style="255" customWidth="1"/>
    <col min="12827" max="12827" width="15.125" style="255" customWidth="1"/>
    <col min="12828" max="12828" width="7.75" style="255" customWidth="1"/>
    <col min="12829" max="12829" width="7.125" style="255" customWidth="1"/>
    <col min="12830" max="12830" width="12.125" style="255" customWidth="1"/>
    <col min="12831" max="12831" width="8.25" style="255" customWidth="1"/>
    <col min="12832" max="12833" width="10.375" style="255" customWidth="1"/>
    <col min="12834" max="12834" width="15.625" style="255" customWidth="1"/>
    <col min="12835" max="12835" width="15.875" style="255" customWidth="1"/>
    <col min="12836" max="12836" width="8.125" style="255" customWidth="1"/>
    <col min="12837" max="12840" width="10.375" style="255" customWidth="1"/>
    <col min="12841" max="12841" width="7.25" style="255" customWidth="1"/>
    <col min="12842" max="12842" width="7.125" style="255" customWidth="1"/>
    <col min="12843" max="12843" width="9.5" style="255" customWidth="1"/>
    <col min="12844" max="12845" width="9" style="255" customWidth="1"/>
    <col min="12846" max="12846" width="16.125" style="255" customWidth="1"/>
    <col min="12847" max="12877" width="9" style="255" customWidth="1"/>
    <col min="12878" max="13037" width="25.25" style="255"/>
    <col min="13038" max="13067" width="9" style="255" customWidth="1"/>
    <col min="13068" max="13068" width="0.5" style="255" customWidth="1"/>
    <col min="13069" max="13069" width="25.25" style="255"/>
    <col min="13070" max="13070" width="0.5" style="255" customWidth="1"/>
    <col min="13071" max="13071" width="25.25" style="255"/>
    <col min="13072" max="13072" width="14.75" style="255" customWidth="1"/>
    <col min="13073" max="13073" width="11.5" style="255" customWidth="1"/>
    <col min="13074" max="13074" width="11.25" style="255" customWidth="1"/>
    <col min="13075" max="13075" width="10.75" style="255" customWidth="1"/>
    <col min="13076" max="13076" width="10" style="255" customWidth="1"/>
    <col min="13077" max="13077" width="9.875" style="255" customWidth="1"/>
    <col min="13078" max="13078" width="26.125" style="255" customWidth="1"/>
    <col min="13079" max="13079" width="11.125" style="255" customWidth="1"/>
    <col min="13080" max="13080" width="7.875" style="255" customWidth="1"/>
    <col min="13081" max="13081" width="7.25" style="255" customWidth="1"/>
    <col min="13082" max="13082" width="9.125" style="255" customWidth="1"/>
    <col min="13083" max="13083" width="15.125" style="255" customWidth="1"/>
    <col min="13084" max="13084" width="7.75" style="255" customWidth="1"/>
    <col min="13085" max="13085" width="7.125" style="255" customWidth="1"/>
    <col min="13086" max="13086" width="12.125" style="255" customWidth="1"/>
    <col min="13087" max="13087" width="8.25" style="255" customWidth="1"/>
    <col min="13088" max="13089" width="10.375" style="255" customWidth="1"/>
    <col min="13090" max="13090" width="15.625" style="255" customWidth="1"/>
    <col min="13091" max="13091" width="15.875" style="255" customWidth="1"/>
    <col min="13092" max="13092" width="8.125" style="255" customWidth="1"/>
    <col min="13093" max="13096" width="10.375" style="255" customWidth="1"/>
    <col min="13097" max="13097" width="7.25" style="255" customWidth="1"/>
    <col min="13098" max="13098" width="7.125" style="255" customWidth="1"/>
    <col min="13099" max="13099" width="9.5" style="255" customWidth="1"/>
    <col min="13100" max="13101" width="9" style="255" customWidth="1"/>
    <col min="13102" max="13102" width="16.125" style="255" customWidth="1"/>
    <col min="13103" max="13133" width="9" style="255" customWidth="1"/>
    <col min="13134" max="13293" width="25.25" style="255"/>
    <col min="13294" max="13323" width="9" style="255" customWidth="1"/>
    <col min="13324" max="13324" width="0.5" style="255" customWidth="1"/>
    <col min="13325" max="13325" width="25.25" style="255"/>
    <col min="13326" max="13326" width="0.5" style="255" customWidth="1"/>
    <col min="13327" max="13327" width="25.25" style="255"/>
    <col min="13328" max="13328" width="14.75" style="255" customWidth="1"/>
    <col min="13329" max="13329" width="11.5" style="255" customWidth="1"/>
    <col min="13330" max="13330" width="11.25" style="255" customWidth="1"/>
    <col min="13331" max="13331" width="10.75" style="255" customWidth="1"/>
    <col min="13332" max="13332" width="10" style="255" customWidth="1"/>
    <col min="13333" max="13333" width="9.875" style="255" customWidth="1"/>
    <col min="13334" max="13334" width="26.125" style="255" customWidth="1"/>
    <col min="13335" max="13335" width="11.125" style="255" customWidth="1"/>
    <col min="13336" max="13336" width="7.875" style="255" customWidth="1"/>
    <col min="13337" max="13337" width="7.25" style="255" customWidth="1"/>
    <col min="13338" max="13338" width="9.125" style="255" customWidth="1"/>
    <col min="13339" max="13339" width="15.125" style="255" customWidth="1"/>
    <col min="13340" max="13340" width="7.75" style="255" customWidth="1"/>
    <col min="13341" max="13341" width="7.125" style="255" customWidth="1"/>
    <col min="13342" max="13342" width="12.125" style="255" customWidth="1"/>
    <col min="13343" max="13343" width="8.25" style="255" customWidth="1"/>
    <col min="13344" max="13345" width="10.375" style="255" customWidth="1"/>
    <col min="13346" max="13346" width="15.625" style="255" customWidth="1"/>
    <col min="13347" max="13347" width="15.875" style="255" customWidth="1"/>
    <col min="13348" max="13348" width="8.125" style="255" customWidth="1"/>
    <col min="13349" max="13352" width="10.375" style="255" customWidth="1"/>
    <col min="13353" max="13353" width="7.25" style="255" customWidth="1"/>
    <col min="13354" max="13354" width="7.125" style="255" customWidth="1"/>
    <col min="13355" max="13355" width="9.5" style="255" customWidth="1"/>
    <col min="13356" max="13357" width="9" style="255" customWidth="1"/>
    <col min="13358" max="13358" width="16.125" style="255" customWidth="1"/>
    <col min="13359" max="13389" width="9" style="255" customWidth="1"/>
    <col min="13390" max="13549" width="25.25" style="255"/>
    <col min="13550" max="13579" width="9" style="255" customWidth="1"/>
    <col min="13580" max="13580" width="0.5" style="255" customWidth="1"/>
    <col min="13581" max="13581" width="25.25" style="255"/>
    <col min="13582" max="13582" width="0.5" style="255" customWidth="1"/>
    <col min="13583" max="13583" width="25.25" style="255"/>
    <col min="13584" max="13584" width="14.75" style="255" customWidth="1"/>
    <col min="13585" max="13585" width="11.5" style="255" customWidth="1"/>
    <col min="13586" max="13586" width="11.25" style="255" customWidth="1"/>
    <col min="13587" max="13587" width="10.75" style="255" customWidth="1"/>
    <col min="13588" max="13588" width="10" style="255" customWidth="1"/>
    <col min="13589" max="13589" width="9.875" style="255" customWidth="1"/>
    <col min="13590" max="13590" width="26.125" style="255" customWidth="1"/>
    <col min="13591" max="13591" width="11.125" style="255" customWidth="1"/>
    <col min="13592" max="13592" width="7.875" style="255" customWidth="1"/>
    <col min="13593" max="13593" width="7.25" style="255" customWidth="1"/>
    <col min="13594" max="13594" width="9.125" style="255" customWidth="1"/>
    <col min="13595" max="13595" width="15.125" style="255" customWidth="1"/>
    <col min="13596" max="13596" width="7.75" style="255" customWidth="1"/>
    <col min="13597" max="13597" width="7.125" style="255" customWidth="1"/>
    <col min="13598" max="13598" width="12.125" style="255" customWidth="1"/>
    <col min="13599" max="13599" width="8.25" style="255" customWidth="1"/>
    <col min="13600" max="13601" width="10.375" style="255" customWidth="1"/>
    <col min="13602" max="13602" width="15.625" style="255" customWidth="1"/>
    <col min="13603" max="13603" width="15.875" style="255" customWidth="1"/>
    <col min="13604" max="13604" width="8.125" style="255" customWidth="1"/>
    <col min="13605" max="13608" width="10.375" style="255" customWidth="1"/>
    <col min="13609" max="13609" width="7.25" style="255" customWidth="1"/>
    <col min="13610" max="13610" width="7.125" style="255" customWidth="1"/>
    <col min="13611" max="13611" width="9.5" style="255" customWidth="1"/>
    <col min="13612" max="13613" width="9" style="255" customWidth="1"/>
    <col min="13614" max="13614" width="16.125" style="255" customWidth="1"/>
    <col min="13615" max="13645" width="9" style="255" customWidth="1"/>
    <col min="13646" max="13805" width="25.25" style="255"/>
    <col min="13806" max="13835" width="9" style="255" customWidth="1"/>
    <col min="13836" max="13836" width="0.5" style="255" customWidth="1"/>
    <col min="13837" max="13837" width="25.25" style="255"/>
    <col min="13838" max="13838" width="0.5" style="255" customWidth="1"/>
    <col min="13839" max="13839" width="25.25" style="255"/>
    <col min="13840" max="13840" width="14.75" style="255" customWidth="1"/>
    <col min="13841" max="13841" width="11.5" style="255" customWidth="1"/>
    <col min="13842" max="13842" width="11.25" style="255" customWidth="1"/>
    <col min="13843" max="13843" width="10.75" style="255" customWidth="1"/>
    <col min="13844" max="13844" width="10" style="255" customWidth="1"/>
    <col min="13845" max="13845" width="9.875" style="255" customWidth="1"/>
    <col min="13846" max="13846" width="26.125" style="255" customWidth="1"/>
    <col min="13847" max="13847" width="11.125" style="255" customWidth="1"/>
    <col min="13848" max="13848" width="7.875" style="255" customWidth="1"/>
    <col min="13849" max="13849" width="7.25" style="255" customWidth="1"/>
    <col min="13850" max="13850" width="9.125" style="255" customWidth="1"/>
    <col min="13851" max="13851" width="15.125" style="255" customWidth="1"/>
    <col min="13852" max="13852" width="7.75" style="255" customWidth="1"/>
    <col min="13853" max="13853" width="7.125" style="255" customWidth="1"/>
    <col min="13854" max="13854" width="12.125" style="255" customWidth="1"/>
    <col min="13855" max="13855" width="8.25" style="255" customWidth="1"/>
    <col min="13856" max="13857" width="10.375" style="255" customWidth="1"/>
    <col min="13858" max="13858" width="15.625" style="255" customWidth="1"/>
    <col min="13859" max="13859" width="15.875" style="255" customWidth="1"/>
    <col min="13860" max="13860" width="8.125" style="255" customWidth="1"/>
    <col min="13861" max="13864" width="10.375" style="255" customWidth="1"/>
    <col min="13865" max="13865" width="7.25" style="255" customWidth="1"/>
    <col min="13866" max="13866" width="7.125" style="255" customWidth="1"/>
    <col min="13867" max="13867" width="9.5" style="255" customWidth="1"/>
    <col min="13868" max="13869" width="9" style="255" customWidth="1"/>
    <col min="13870" max="13870" width="16.125" style="255" customWidth="1"/>
    <col min="13871" max="13901" width="9" style="255" customWidth="1"/>
    <col min="13902" max="14061" width="25.25" style="255"/>
    <col min="14062" max="14091" width="9" style="255" customWidth="1"/>
    <col min="14092" max="14092" width="0.5" style="255" customWidth="1"/>
    <col min="14093" max="14093" width="25.25" style="255"/>
    <col min="14094" max="14094" width="0.5" style="255" customWidth="1"/>
    <col min="14095" max="14095" width="25.25" style="255"/>
    <col min="14096" max="14096" width="14.75" style="255" customWidth="1"/>
    <col min="14097" max="14097" width="11.5" style="255" customWidth="1"/>
    <col min="14098" max="14098" width="11.25" style="255" customWidth="1"/>
    <col min="14099" max="14099" width="10.75" style="255" customWidth="1"/>
    <col min="14100" max="14100" width="10" style="255" customWidth="1"/>
    <col min="14101" max="14101" width="9.875" style="255" customWidth="1"/>
    <col min="14102" max="14102" width="26.125" style="255" customWidth="1"/>
    <col min="14103" max="14103" width="11.125" style="255" customWidth="1"/>
    <col min="14104" max="14104" width="7.875" style="255" customWidth="1"/>
    <col min="14105" max="14105" width="7.25" style="255" customWidth="1"/>
    <col min="14106" max="14106" width="9.125" style="255" customWidth="1"/>
    <col min="14107" max="14107" width="15.125" style="255" customWidth="1"/>
    <col min="14108" max="14108" width="7.75" style="255" customWidth="1"/>
    <col min="14109" max="14109" width="7.125" style="255" customWidth="1"/>
    <col min="14110" max="14110" width="12.125" style="255" customWidth="1"/>
    <col min="14111" max="14111" width="8.25" style="255" customWidth="1"/>
    <col min="14112" max="14113" width="10.375" style="255" customWidth="1"/>
    <col min="14114" max="14114" width="15.625" style="255" customWidth="1"/>
    <col min="14115" max="14115" width="15.875" style="255" customWidth="1"/>
    <col min="14116" max="14116" width="8.125" style="255" customWidth="1"/>
    <col min="14117" max="14120" width="10.375" style="255" customWidth="1"/>
    <col min="14121" max="14121" width="7.25" style="255" customWidth="1"/>
    <col min="14122" max="14122" width="7.125" style="255" customWidth="1"/>
    <col min="14123" max="14123" width="9.5" style="255" customWidth="1"/>
    <col min="14124" max="14125" width="9" style="255" customWidth="1"/>
    <col min="14126" max="14126" width="16.125" style="255" customWidth="1"/>
    <col min="14127" max="14157" width="9" style="255" customWidth="1"/>
    <col min="14158" max="14317" width="25.25" style="255"/>
    <col min="14318" max="14347" width="9" style="255" customWidth="1"/>
    <col min="14348" max="14348" width="0.5" style="255" customWidth="1"/>
    <col min="14349" max="14349" width="25.25" style="255"/>
    <col min="14350" max="14350" width="0.5" style="255" customWidth="1"/>
    <col min="14351" max="14351" width="25.25" style="255"/>
    <col min="14352" max="14352" width="14.75" style="255" customWidth="1"/>
    <col min="14353" max="14353" width="11.5" style="255" customWidth="1"/>
    <col min="14354" max="14354" width="11.25" style="255" customWidth="1"/>
    <col min="14355" max="14355" width="10.75" style="255" customWidth="1"/>
    <col min="14356" max="14356" width="10" style="255" customWidth="1"/>
    <col min="14357" max="14357" width="9.875" style="255" customWidth="1"/>
    <col min="14358" max="14358" width="26.125" style="255" customWidth="1"/>
    <col min="14359" max="14359" width="11.125" style="255" customWidth="1"/>
    <col min="14360" max="14360" width="7.875" style="255" customWidth="1"/>
    <col min="14361" max="14361" width="7.25" style="255" customWidth="1"/>
    <col min="14362" max="14362" width="9.125" style="255" customWidth="1"/>
    <col min="14363" max="14363" width="15.125" style="255" customWidth="1"/>
    <col min="14364" max="14364" width="7.75" style="255" customWidth="1"/>
    <col min="14365" max="14365" width="7.125" style="255" customWidth="1"/>
    <col min="14366" max="14366" width="12.125" style="255" customWidth="1"/>
    <col min="14367" max="14367" width="8.25" style="255" customWidth="1"/>
    <col min="14368" max="14369" width="10.375" style="255" customWidth="1"/>
    <col min="14370" max="14370" width="15.625" style="255" customWidth="1"/>
    <col min="14371" max="14371" width="15.875" style="255" customWidth="1"/>
    <col min="14372" max="14372" width="8.125" style="255" customWidth="1"/>
    <col min="14373" max="14376" width="10.375" style="255" customWidth="1"/>
    <col min="14377" max="14377" width="7.25" style="255" customWidth="1"/>
    <col min="14378" max="14378" width="7.125" style="255" customWidth="1"/>
    <col min="14379" max="14379" width="9.5" style="255" customWidth="1"/>
    <col min="14380" max="14381" width="9" style="255" customWidth="1"/>
    <col min="14382" max="14382" width="16.125" style="255" customWidth="1"/>
    <col min="14383" max="14413" width="9" style="255" customWidth="1"/>
    <col min="14414" max="14573" width="25.25" style="255"/>
    <col min="14574" max="14603" width="9" style="255" customWidth="1"/>
    <col min="14604" max="14604" width="0.5" style="255" customWidth="1"/>
    <col min="14605" max="14605" width="25.25" style="255"/>
    <col min="14606" max="14606" width="0.5" style="255" customWidth="1"/>
    <col min="14607" max="14607" width="25.25" style="255"/>
    <col min="14608" max="14608" width="14.75" style="255" customWidth="1"/>
    <col min="14609" max="14609" width="11.5" style="255" customWidth="1"/>
    <col min="14610" max="14610" width="11.25" style="255" customWidth="1"/>
    <col min="14611" max="14611" width="10.75" style="255" customWidth="1"/>
    <col min="14612" max="14612" width="10" style="255" customWidth="1"/>
    <col min="14613" max="14613" width="9.875" style="255" customWidth="1"/>
    <col min="14614" max="14614" width="26.125" style="255" customWidth="1"/>
    <col min="14615" max="14615" width="11.125" style="255" customWidth="1"/>
    <col min="14616" max="14616" width="7.875" style="255" customWidth="1"/>
    <col min="14617" max="14617" width="7.25" style="255" customWidth="1"/>
    <col min="14618" max="14618" width="9.125" style="255" customWidth="1"/>
    <col min="14619" max="14619" width="15.125" style="255" customWidth="1"/>
    <col min="14620" max="14620" width="7.75" style="255" customWidth="1"/>
    <col min="14621" max="14621" width="7.125" style="255" customWidth="1"/>
    <col min="14622" max="14622" width="12.125" style="255" customWidth="1"/>
    <col min="14623" max="14623" width="8.25" style="255" customWidth="1"/>
    <col min="14624" max="14625" width="10.375" style="255" customWidth="1"/>
    <col min="14626" max="14626" width="15.625" style="255" customWidth="1"/>
    <col min="14627" max="14627" width="15.875" style="255" customWidth="1"/>
    <col min="14628" max="14628" width="8.125" style="255" customWidth="1"/>
    <col min="14629" max="14632" width="10.375" style="255" customWidth="1"/>
    <col min="14633" max="14633" width="7.25" style="255" customWidth="1"/>
    <col min="14634" max="14634" width="7.125" style="255" customWidth="1"/>
    <col min="14635" max="14635" width="9.5" style="255" customWidth="1"/>
    <col min="14636" max="14637" width="9" style="255" customWidth="1"/>
    <col min="14638" max="14638" width="16.125" style="255" customWidth="1"/>
    <col min="14639" max="14669" width="9" style="255" customWidth="1"/>
    <col min="14670" max="14829" width="25.25" style="255"/>
    <col min="14830" max="14859" width="9" style="255" customWidth="1"/>
    <col min="14860" max="14860" width="0.5" style="255" customWidth="1"/>
    <col min="14861" max="14861" width="25.25" style="255"/>
    <col min="14862" max="14862" width="0.5" style="255" customWidth="1"/>
    <col min="14863" max="14863" width="25.25" style="255"/>
    <col min="14864" max="14864" width="14.75" style="255" customWidth="1"/>
    <col min="14865" max="14865" width="11.5" style="255" customWidth="1"/>
    <col min="14866" max="14866" width="11.25" style="255" customWidth="1"/>
    <col min="14867" max="14867" width="10.75" style="255" customWidth="1"/>
    <col min="14868" max="14868" width="10" style="255" customWidth="1"/>
    <col min="14869" max="14869" width="9.875" style="255" customWidth="1"/>
    <col min="14870" max="14870" width="26.125" style="255" customWidth="1"/>
    <col min="14871" max="14871" width="11.125" style="255" customWidth="1"/>
    <col min="14872" max="14872" width="7.875" style="255" customWidth="1"/>
    <col min="14873" max="14873" width="7.25" style="255" customWidth="1"/>
    <col min="14874" max="14874" width="9.125" style="255" customWidth="1"/>
    <col min="14875" max="14875" width="15.125" style="255" customWidth="1"/>
    <col min="14876" max="14876" width="7.75" style="255" customWidth="1"/>
    <col min="14877" max="14877" width="7.125" style="255" customWidth="1"/>
    <col min="14878" max="14878" width="12.125" style="255" customWidth="1"/>
    <col min="14879" max="14879" width="8.25" style="255" customWidth="1"/>
    <col min="14880" max="14881" width="10.375" style="255" customWidth="1"/>
    <col min="14882" max="14882" width="15.625" style="255" customWidth="1"/>
    <col min="14883" max="14883" width="15.875" style="255" customWidth="1"/>
    <col min="14884" max="14884" width="8.125" style="255" customWidth="1"/>
    <col min="14885" max="14888" width="10.375" style="255" customWidth="1"/>
    <col min="14889" max="14889" width="7.25" style="255" customWidth="1"/>
    <col min="14890" max="14890" width="7.125" style="255" customWidth="1"/>
    <col min="14891" max="14891" width="9.5" style="255" customWidth="1"/>
    <col min="14892" max="14893" width="9" style="255" customWidth="1"/>
    <col min="14894" max="14894" width="16.125" style="255" customWidth="1"/>
    <col min="14895" max="14925" width="9" style="255" customWidth="1"/>
    <col min="14926" max="15085" width="25.25" style="255"/>
    <col min="15086" max="15115" width="9" style="255" customWidth="1"/>
    <col min="15116" max="15116" width="0.5" style="255" customWidth="1"/>
    <col min="15117" max="15117" width="25.25" style="255"/>
    <col min="15118" max="15118" width="0.5" style="255" customWidth="1"/>
    <col min="15119" max="15119" width="25.25" style="255"/>
    <col min="15120" max="15120" width="14.75" style="255" customWidth="1"/>
    <col min="15121" max="15121" width="11.5" style="255" customWidth="1"/>
    <col min="15122" max="15122" width="11.25" style="255" customWidth="1"/>
    <col min="15123" max="15123" width="10.75" style="255" customWidth="1"/>
    <col min="15124" max="15124" width="10" style="255" customWidth="1"/>
    <col min="15125" max="15125" width="9.875" style="255" customWidth="1"/>
    <col min="15126" max="15126" width="26.125" style="255" customWidth="1"/>
    <col min="15127" max="15127" width="11.125" style="255" customWidth="1"/>
    <col min="15128" max="15128" width="7.875" style="255" customWidth="1"/>
    <col min="15129" max="15129" width="7.25" style="255" customWidth="1"/>
    <col min="15130" max="15130" width="9.125" style="255" customWidth="1"/>
    <col min="15131" max="15131" width="15.125" style="255" customWidth="1"/>
    <col min="15132" max="15132" width="7.75" style="255" customWidth="1"/>
    <col min="15133" max="15133" width="7.125" style="255" customWidth="1"/>
    <col min="15134" max="15134" width="12.125" style="255" customWidth="1"/>
    <col min="15135" max="15135" width="8.25" style="255" customWidth="1"/>
    <col min="15136" max="15137" width="10.375" style="255" customWidth="1"/>
    <col min="15138" max="15138" width="15.625" style="255" customWidth="1"/>
    <col min="15139" max="15139" width="15.875" style="255" customWidth="1"/>
    <col min="15140" max="15140" width="8.125" style="255" customWidth="1"/>
    <col min="15141" max="15144" width="10.375" style="255" customWidth="1"/>
    <col min="15145" max="15145" width="7.25" style="255" customWidth="1"/>
    <col min="15146" max="15146" width="7.125" style="255" customWidth="1"/>
    <col min="15147" max="15147" width="9.5" style="255" customWidth="1"/>
    <col min="15148" max="15149" width="9" style="255" customWidth="1"/>
    <col min="15150" max="15150" width="16.125" style="255" customWidth="1"/>
    <col min="15151" max="15181" width="9" style="255" customWidth="1"/>
    <col min="15182" max="15341" width="25.25" style="255"/>
    <col min="15342" max="15371" width="9" style="255" customWidth="1"/>
    <col min="15372" max="15372" width="0.5" style="255" customWidth="1"/>
    <col min="15373" max="15373" width="25.25" style="255"/>
    <col min="15374" max="15374" width="0.5" style="255" customWidth="1"/>
    <col min="15375" max="15375" width="25.25" style="255"/>
    <col min="15376" max="15376" width="14.75" style="255" customWidth="1"/>
    <col min="15377" max="15377" width="11.5" style="255" customWidth="1"/>
    <col min="15378" max="15378" width="11.25" style="255" customWidth="1"/>
    <col min="15379" max="15379" width="10.75" style="255" customWidth="1"/>
    <col min="15380" max="15380" width="10" style="255" customWidth="1"/>
    <col min="15381" max="15381" width="9.875" style="255" customWidth="1"/>
    <col min="15382" max="15382" width="26.125" style="255" customWidth="1"/>
    <col min="15383" max="15383" width="11.125" style="255" customWidth="1"/>
    <col min="15384" max="15384" width="7.875" style="255" customWidth="1"/>
    <col min="15385" max="15385" width="7.25" style="255" customWidth="1"/>
    <col min="15386" max="15386" width="9.125" style="255" customWidth="1"/>
    <col min="15387" max="15387" width="15.125" style="255" customWidth="1"/>
    <col min="15388" max="15388" width="7.75" style="255" customWidth="1"/>
    <col min="15389" max="15389" width="7.125" style="255" customWidth="1"/>
    <col min="15390" max="15390" width="12.125" style="255" customWidth="1"/>
    <col min="15391" max="15391" width="8.25" style="255" customWidth="1"/>
    <col min="15392" max="15393" width="10.375" style="255" customWidth="1"/>
    <col min="15394" max="15394" width="15.625" style="255" customWidth="1"/>
    <col min="15395" max="15395" width="15.875" style="255" customWidth="1"/>
    <col min="15396" max="15396" width="8.125" style="255" customWidth="1"/>
    <col min="15397" max="15400" width="10.375" style="255" customWidth="1"/>
    <col min="15401" max="15401" width="7.25" style="255" customWidth="1"/>
    <col min="15402" max="15402" width="7.125" style="255" customWidth="1"/>
    <col min="15403" max="15403" width="9.5" style="255" customWidth="1"/>
    <col min="15404" max="15405" width="9" style="255" customWidth="1"/>
    <col min="15406" max="15406" width="16.125" style="255" customWidth="1"/>
    <col min="15407" max="15437" width="9" style="255" customWidth="1"/>
    <col min="15438" max="15597" width="25.25" style="255"/>
    <col min="15598" max="15627" width="9" style="255" customWidth="1"/>
    <col min="15628" max="15628" width="0.5" style="255" customWidth="1"/>
    <col min="15629" max="15629" width="25.25" style="255"/>
    <col min="15630" max="15630" width="0.5" style="255" customWidth="1"/>
    <col min="15631" max="15631" width="25.25" style="255"/>
    <col min="15632" max="15632" width="14.75" style="255" customWidth="1"/>
    <col min="15633" max="15633" width="11.5" style="255" customWidth="1"/>
    <col min="15634" max="15634" width="11.25" style="255" customWidth="1"/>
    <col min="15635" max="15635" width="10.75" style="255" customWidth="1"/>
    <col min="15636" max="15636" width="10" style="255" customWidth="1"/>
    <col min="15637" max="15637" width="9.875" style="255" customWidth="1"/>
    <col min="15638" max="15638" width="26.125" style="255" customWidth="1"/>
    <col min="15639" max="15639" width="11.125" style="255" customWidth="1"/>
    <col min="15640" max="15640" width="7.875" style="255" customWidth="1"/>
    <col min="15641" max="15641" width="7.25" style="255" customWidth="1"/>
    <col min="15642" max="15642" width="9.125" style="255" customWidth="1"/>
    <col min="15643" max="15643" width="15.125" style="255" customWidth="1"/>
    <col min="15644" max="15644" width="7.75" style="255" customWidth="1"/>
    <col min="15645" max="15645" width="7.125" style="255" customWidth="1"/>
    <col min="15646" max="15646" width="12.125" style="255" customWidth="1"/>
    <col min="15647" max="15647" width="8.25" style="255" customWidth="1"/>
    <col min="15648" max="15649" width="10.375" style="255" customWidth="1"/>
    <col min="15650" max="15650" width="15.625" style="255" customWidth="1"/>
    <col min="15651" max="15651" width="15.875" style="255" customWidth="1"/>
    <col min="15652" max="15652" width="8.125" style="255" customWidth="1"/>
    <col min="15653" max="15656" width="10.375" style="255" customWidth="1"/>
    <col min="15657" max="15657" width="7.25" style="255" customWidth="1"/>
    <col min="15658" max="15658" width="7.125" style="255" customWidth="1"/>
    <col min="15659" max="15659" width="9.5" style="255" customWidth="1"/>
    <col min="15660" max="15661" width="9" style="255" customWidth="1"/>
    <col min="15662" max="15662" width="16.125" style="255" customWidth="1"/>
    <col min="15663" max="15693" width="9" style="255" customWidth="1"/>
    <col min="15694" max="15853" width="25.25" style="255"/>
    <col min="15854" max="15883" width="9" style="255" customWidth="1"/>
    <col min="15884" max="15884" width="0.5" style="255" customWidth="1"/>
    <col min="15885" max="15885" width="25.25" style="255"/>
    <col min="15886" max="15886" width="0.5" style="255" customWidth="1"/>
    <col min="15887" max="15887" width="25.25" style="255"/>
    <col min="15888" max="15888" width="14.75" style="255" customWidth="1"/>
    <col min="15889" max="15889" width="11.5" style="255" customWidth="1"/>
    <col min="15890" max="15890" width="11.25" style="255" customWidth="1"/>
    <col min="15891" max="15891" width="10.75" style="255" customWidth="1"/>
    <col min="15892" max="15892" width="10" style="255" customWidth="1"/>
    <col min="15893" max="15893" width="9.875" style="255" customWidth="1"/>
    <col min="15894" max="15894" width="26.125" style="255" customWidth="1"/>
    <col min="15895" max="15895" width="11.125" style="255" customWidth="1"/>
    <col min="15896" max="15896" width="7.875" style="255" customWidth="1"/>
    <col min="15897" max="15897" width="7.25" style="255" customWidth="1"/>
    <col min="15898" max="15898" width="9.125" style="255" customWidth="1"/>
    <col min="15899" max="15899" width="15.125" style="255" customWidth="1"/>
    <col min="15900" max="15900" width="7.75" style="255" customWidth="1"/>
    <col min="15901" max="15901" width="7.125" style="255" customWidth="1"/>
    <col min="15902" max="15902" width="12.125" style="255" customWidth="1"/>
    <col min="15903" max="15903" width="8.25" style="255" customWidth="1"/>
    <col min="15904" max="15905" width="10.375" style="255" customWidth="1"/>
    <col min="15906" max="15906" width="15.625" style="255" customWidth="1"/>
    <col min="15907" max="15907" width="15.875" style="255" customWidth="1"/>
    <col min="15908" max="15908" width="8.125" style="255" customWidth="1"/>
    <col min="15909" max="15912" width="10.375" style="255" customWidth="1"/>
    <col min="15913" max="15913" width="7.25" style="255" customWidth="1"/>
    <col min="15914" max="15914" width="7.125" style="255" customWidth="1"/>
    <col min="15915" max="15915" width="9.5" style="255" customWidth="1"/>
    <col min="15916" max="15917" width="9" style="255" customWidth="1"/>
    <col min="15918" max="15918" width="16.125" style="255" customWidth="1"/>
    <col min="15919" max="15949" width="9" style="255" customWidth="1"/>
    <col min="15950" max="16109" width="25.25" style="255"/>
    <col min="16110" max="16139" width="9" style="255" customWidth="1"/>
    <col min="16140" max="16140" width="0.5" style="255" customWidth="1"/>
    <col min="16141" max="16384" width="25.25" style="255"/>
  </cols>
  <sheetData>
    <row r="1" spans="1:16" ht="14.25" thickBot="1"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1"/>
      <c r="O1" s="1"/>
      <c r="P1" s="1"/>
    </row>
    <row r="2" spans="1:16" ht="18" customHeight="1">
      <c r="A2" s="5"/>
      <c r="B2" s="6" t="s">
        <v>402</v>
      </c>
      <c r="C2" s="444"/>
      <c r="D2" s="444" t="s">
        <v>9</v>
      </c>
      <c r="E2" s="444" t="s">
        <v>10</v>
      </c>
      <c r="F2" s="661" t="s">
        <v>11</v>
      </c>
      <c r="G2" s="661"/>
      <c r="H2" s="661"/>
      <c r="I2" s="662" t="s">
        <v>12</v>
      </c>
      <c r="J2" s="664" t="s">
        <v>13</v>
      </c>
      <c r="K2" s="665"/>
      <c r="L2" s="665"/>
      <c r="M2" s="666"/>
      <c r="N2" s="8"/>
      <c r="O2" s="8"/>
      <c r="P2" s="8"/>
    </row>
    <row r="3" spans="1:16" ht="18" customHeight="1">
      <c r="B3" s="9" t="s">
        <v>14</v>
      </c>
      <c r="C3" s="10" t="s">
        <v>15</v>
      </c>
      <c r="D3" s="10" t="s">
        <v>16</v>
      </c>
      <c r="E3" s="10" t="s">
        <v>17</v>
      </c>
      <c r="F3" s="10" t="s">
        <v>7</v>
      </c>
      <c r="G3" s="10" t="s">
        <v>5</v>
      </c>
      <c r="H3" s="10" t="s">
        <v>18</v>
      </c>
      <c r="I3" s="663"/>
      <c r="J3" s="11" t="s">
        <v>19</v>
      </c>
      <c r="K3" s="12" t="s">
        <v>20</v>
      </c>
      <c r="L3" s="12" t="s">
        <v>21</v>
      </c>
      <c r="M3" s="13" t="s">
        <v>22</v>
      </c>
      <c r="N3" s="14"/>
      <c r="P3" s="15"/>
    </row>
    <row r="4" spans="1:16" ht="18" customHeight="1">
      <c r="B4" s="667" t="str">
        <f ca="1">MID(CELL("filename",Q13),FIND("]",CELL("filename",Q13))+1,30)</f>
        <v>C0410</v>
      </c>
      <c r="C4" s="17" t="s">
        <v>23</v>
      </c>
      <c r="D4" s="17">
        <v>400</v>
      </c>
      <c r="E4" s="17">
        <v>1000</v>
      </c>
      <c r="F4" s="222">
        <f>D4*E4/10^6</f>
        <v>0.4</v>
      </c>
      <c r="G4" s="17">
        <v>1</v>
      </c>
      <c r="H4" s="17">
        <f>F4*G4</f>
        <v>0.4</v>
      </c>
      <c r="I4" s="663"/>
      <c r="J4" s="19">
        <v>40</v>
      </c>
      <c r="K4" s="20">
        <v>20</v>
      </c>
      <c r="L4" s="21">
        <v>1.5</v>
      </c>
      <c r="M4" s="22">
        <f t="shared" ref="M4:M11" si="0">ROUND(((J4*K4)-(J4-2*L4)*(K4-2*L4))*7.8/1000,3)</f>
        <v>1.3340000000000001</v>
      </c>
    </row>
    <row r="5" spans="1:16" ht="18" customHeight="1">
      <c r="B5" s="668"/>
      <c r="C5" s="221" t="s">
        <v>299</v>
      </c>
      <c r="D5" s="221">
        <f>D4-70</f>
        <v>330</v>
      </c>
      <c r="E5" s="221">
        <f>E4-70</f>
        <v>930</v>
      </c>
      <c r="F5" s="222">
        <f>D5*E5/10^6</f>
        <v>0.30690000000000001</v>
      </c>
      <c r="G5" s="221">
        <v>1</v>
      </c>
      <c r="H5" s="222">
        <f>F5*G5</f>
        <v>0.30690000000000001</v>
      </c>
      <c r="I5" s="663"/>
      <c r="J5" s="19">
        <v>40</v>
      </c>
      <c r="K5" s="20">
        <v>20</v>
      </c>
      <c r="L5" s="21">
        <v>2</v>
      </c>
      <c r="M5" s="22">
        <f t="shared" si="0"/>
        <v>1.7470000000000001</v>
      </c>
    </row>
    <row r="6" spans="1:16" ht="18" customHeight="1">
      <c r="B6" s="669"/>
      <c r="C6" s="17" t="s">
        <v>24</v>
      </c>
      <c r="D6" s="17">
        <f>D4-80</f>
        <v>320</v>
      </c>
      <c r="E6" s="17">
        <f>E4-80</f>
        <v>920</v>
      </c>
      <c r="F6" s="18">
        <f>D6*E6/10^6</f>
        <v>0.2944</v>
      </c>
      <c r="G6" s="17">
        <v>1</v>
      </c>
      <c r="H6" s="18">
        <f>F6*G6</f>
        <v>0.2944</v>
      </c>
      <c r="I6" s="663"/>
      <c r="J6" s="19">
        <v>40</v>
      </c>
      <c r="K6" s="20">
        <v>20</v>
      </c>
      <c r="L6" s="21">
        <v>2</v>
      </c>
      <c r="M6" s="22">
        <f t="shared" si="0"/>
        <v>1.7470000000000001</v>
      </c>
    </row>
    <row r="7" spans="1:16" ht="18" customHeight="1">
      <c r="B7" s="23" t="s">
        <v>25</v>
      </c>
      <c r="C7" s="442" t="s">
        <v>16</v>
      </c>
      <c r="D7" s="442" t="s">
        <v>26</v>
      </c>
      <c r="E7" s="442" t="s">
        <v>17</v>
      </c>
      <c r="F7" s="442" t="s">
        <v>27</v>
      </c>
      <c r="G7" s="442" t="s">
        <v>22</v>
      </c>
      <c r="H7" s="442" t="s">
        <v>28</v>
      </c>
      <c r="I7" s="25" t="s">
        <v>29</v>
      </c>
      <c r="J7" s="19">
        <v>80</v>
      </c>
      <c r="K7" s="20">
        <v>40</v>
      </c>
      <c r="L7" s="21">
        <v>2</v>
      </c>
      <c r="M7" s="22">
        <f t="shared" si="0"/>
        <v>3.6190000000000002</v>
      </c>
    </row>
    <row r="8" spans="1:16" ht="18" customHeight="1">
      <c r="B8" s="441" t="s">
        <v>30</v>
      </c>
      <c r="C8" s="27">
        <f>D4-30</f>
        <v>370</v>
      </c>
      <c r="D8" s="27">
        <v>2</v>
      </c>
      <c r="E8" s="27">
        <f>E4-30</f>
        <v>970</v>
      </c>
      <c r="F8" s="27">
        <v>2</v>
      </c>
      <c r="G8" s="28">
        <v>1.7470000000000001</v>
      </c>
      <c r="H8" s="29">
        <f>材料价格!B3</f>
        <v>7.5</v>
      </c>
      <c r="I8" s="30">
        <f>ROUND((C8*D8+E8*F8)*G8*H8/1000*1.1,2)</f>
        <v>38.630000000000003</v>
      </c>
      <c r="J8" s="19">
        <v>40</v>
      </c>
      <c r="K8" s="20">
        <v>20</v>
      </c>
      <c r="L8" s="21">
        <v>1.4</v>
      </c>
      <c r="M8" s="22">
        <f>ROUND(((J8*K8)-(J8-2*L8)*(K8-2*L8))*2.71/1000,3)</f>
        <v>0.434</v>
      </c>
    </row>
    <row r="9" spans="1:16" ht="18" customHeight="1">
      <c r="B9" s="441" t="s">
        <v>30</v>
      </c>
      <c r="C9" s="440"/>
      <c r="D9" s="440"/>
      <c r="E9" s="440"/>
      <c r="F9" s="440"/>
      <c r="G9" s="28">
        <v>1.7470000000000001</v>
      </c>
      <c r="H9" s="32">
        <f>H8</f>
        <v>7.5</v>
      </c>
      <c r="I9" s="30">
        <f>ROUND((C9*D9+E9*F9)*G9*H9/1000*1.1,2)</f>
        <v>0</v>
      </c>
      <c r="J9" s="19"/>
      <c r="K9" s="20"/>
      <c r="L9" s="21"/>
      <c r="M9" s="22">
        <f t="shared" si="0"/>
        <v>0</v>
      </c>
    </row>
    <row r="10" spans="1:16" ht="18" customHeight="1">
      <c r="B10" s="441" t="s">
        <v>31</v>
      </c>
      <c r="C10" s="440"/>
      <c r="D10" s="440"/>
      <c r="E10" s="440"/>
      <c r="F10" s="440"/>
      <c r="G10" s="28">
        <v>3.6190000000000002</v>
      </c>
      <c r="H10" s="32">
        <f>H9</f>
        <v>7.5</v>
      </c>
      <c r="I10" s="30">
        <f>ROUND((C10*D10+E10*F10)*G10*H10/1000*1.1,2)</f>
        <v>0</v>
      </c>
      <c r="J10" s="19"/>
      <c r="K10" s="20"/>
      <c r="L10" s="12"/>
      <c r="M10" s="22">
        <f t="shared" si="0"/>
        <v>0</v>
      </c>
    </row>
    <row r="11" spans="1:16" ht="18" customHeight="1" thickBot="1">
      <c r="B11" s="441" t="s">
        <v>32</v>
      </c>
      <c r="C11" s="440"/>
      <c r="D11" s="440"/>
      <c r="E11" s="440"/>
      <c r="F11" s="440"/>
      <c r="G11" s="28">
        <v>2.9950000000000001</v>
      </c>
      <c r="H11" s="32">
        <f>H10</f>
        <v>7.5</v>
      </c>
      <c r="I11" s="30">
        <f>ROUND((C11*D11+E11*F11)*G11*H11/1000*1.1,2)</f>
        <v>0</v>
      </c>
      <c r="J11" s="33"/>
      <c r="K11" s="34"/>
      <c r="L11" s="35"/>
      <c r="M11" s="36">
        <f t="shared" si="0"/>
        <v>0</v>
      </c>
    </row>
    <row r="12" spans="1:16" ht="18" customHeight="1">
      <c r="B12" s="37" t="s">
        <v>33</v>
      </c>
      <c r="C12" s="38">
        <f>((I9+I10+I8+I11)/H8)/F4</f>
        <v>12.876666666666667</v>
      </c>
      <c r="D12" s="39" t="s">
        <v>34</v>
      </c>
      <c r="E12" s="38">
        <f>(I9+I10+I8+I11)/F4</f>
        <v>96.575000000000003</v>
      </c>
      <c r="F12" s="40" t="s">
        <v>35</v>
      </c>
      <c r="G12" s="39"/>
      <c r="H12" s="39">
        <f>ROUND(SUM(I8:I11)/H8,2)</f>
        <v>5.15</v>
      </c>
      <c r="I12" s="41">
        <f>SUM(I8:I11)</f>
        <v>38.630000000000003</v>
      </c>
      <c r="J12" s="42"/>
    </row>
    <row r="13" spans="1:16" ht="18" customHeight="1">
      <c r="B13" s="23" t="s">
        <v>36</v>
      </c>
      <c r="C13" s="442" t="s">
        <v>14</v>
      </c>
      <c r="D13" s="442" t="s">
        <v>37</v>
      </c>
      <c r="E13" s="442" t="s">
        <v>38</v>
      </c>
      <c r="F13" s="442" t="s">
        <v>39</v>
      </c>
      <c r="G13" s="442" t="s">
        <v>8</v>
      </c>
      <c r="H13" s="442" t="s">
        <v>22</v>
      </c>
      <c r="I13" s="25" t="s">
        <v>40</v>
      </c>
    </row>
    <row r="14" spans="1:16" ht="18" customHeight="1">
      <c r="B14" s="648" t="s">
        <v>41</v>
      </c>
      <c r="C14" s="649" t="s">
        <v>404</v>
      </c>
      <c r="D14" s="440">
        <f>D6-D108</f>
        <v>320</v>
      </c>
      <c r="E14" s="440">
        <f>E6</f>
        <v>920</v>
      </c>
      <c r="F14" s="44">
        <f>ROUND((D14+E14)*2/1000,4)</f>
        <v>2.48</v>
      </c>
      <c r="G14" s="440">
        <v>1</v>
      </c>
      <c r="H14" s="440">
        <v>1.47</v>
      </c>
      <c r="I14" s="437">
        <f t="shared" ref="I14:I21" si="1">ROUND(F14*G14*H14,3)</f>
        <v>3.6459999999999999</v>
      </c>
      <c r="J14" s="42"/>
      <c r="K14" s="46"/>
      <c r="L14" s="46"/>
      <c r="M14" s="42"/>
    </row>
    <row r="15" spans="1:16" ht="18" customHeight="1">
      <c r="B15" s="648"/>
      <c r="C15" s="650"/>
      <c r="D15" s="440"/>
      <c r="E15" s="440"/>
      <c r="F15" s="44">
        <f t="shared" ref="F15:F21" si="2">ROUND((D15+E15)*2/1000,4)</f>
        <v>0</v>
      </c>
      <c r="G15" s="440"/>
      <c r="H15" s="440">
        <f t="shared" ref="H15:H21" si="3">H14</f>
        <v>1.47</v>
      </c>
      <c r="I15" s="437">
        <f t="shared" si="1"/>
        <v>0</v>
      </c>
      <c r="K15" s="47"/>
      <c r="M15" s="255"/>
    </row>
    <row r="16" spans="1:16" ht="18" customHeight="1">
      <c r="B16" s="648"/>
      <c r="C16" s="650"/>
      <c r="D16" s="440"/>
      <c r="E16" s="440"/>
      <c r="F16" s="44">
        <f t="shared" si="2"/>
        <v>0</v>
      </c>
      <c r="G16" s="440"/>
      <c r="H16" s="440">
        <f t="shared" si="3"/>
        <v>1.47</v>
      </c>
      <c r="I16" s="437">
        <f t="shared" si="1"/>
        <v>0</v>
      </c>
      <c r="K16" s="47"/>
      <c r="L16" s="46"/>
      <c r="M16" s="42"/>
    </row>
    <row r="17" spans="2:15" ht="18" customHeight="1">
      <c r="B17" s="648"/>
      <c r="C17" s="650"/>
      <c r="D17" s="440"/>
      <c r="E17" s="440"/>
      <c r="F17" s="44">
        <f t="shared" si="2"/>
        <v>0</v>
      </c>
      <c r="G17" s="440"/>
      <c r="H17" s="440">
        <f t="shared" si="3"/>
        <v>1.47</v>
      </c>
      <c r="I17" s="437">
        <f t="shared" si="1"/>
        <v>0</v>
      </c>
      <c r="K17" s="47"/>
      <c r="M17" s="42"/>
    </row>
    <row r="18" spans="2:15" ht="18" customHeight="1">
      <c r="B18" s="648"/>
      <c r="C18" s="650"/>
      <c r="D18" s="440"/>
      <c r="E18" s="440"/>
      <c r="F18" s="44">
        <f t="shared" si="2"/>
        <v>0</v>
      </c>
      <c r="G18" s="440"/>
      <c r="H18" s="440">
        <f t="shared" si="3"/>
        <v>1.47</v>
      </c>
      <c r="I18" s="437">
        <f t="shared" si="1"/>
        <v>0</v>
      </c>
      <c r="M18" s="42"/>
    </row>
    <row r="19" spans="2:15" ht="18" customHeight="1">
      <c r="B19" s="648"/>
      <c r="C19" s="650"/>
      <c r="D19" s="440"/>
      <c r="E19" s="440"/>
      <c r="F19" s="44">
        <f t="shared" si="2"/>
        <v>0</v>
      </c>
      <c r="G19" s="440"/>
      <c r="H19" s="440">
        <f t="shared" si="3"/>
        <v>1.47</v>
      </c>
      <c r="I19" s="437">
        <f t="shared" si="1"/>
        <v>0</v>
      </c>
      <c r="M19" s="42"/>
    </row>
    <row r="20" spans="2:15" ht="18" customHeight="1">
      <c r="B20" s="648"/>
      <c r="C20" s="650"/>
      <c r="D20" s="440"/>
      <c r="E20" s="440"/>
      <c r="F20" s="44">
        <f t="shared" si="2"/>
        <v>0</v>
      </c>
      <c r="G20" s="440"/>
      <c r="H20" s="440">
        <f t="shared" si="3"/>
        <v>1.47</v>
      </c>
      <c r="I20" s="437">
        <f t="shared" si="1"/>
        <v>0</v>
      </c>
      <c r="K20" s="47"/>
      <c r="M20" s="42"/>
    </row>
    <row r="21" spans="2:15" ht="18" customHeight="1">
      <c r="B21" s="648"/>
      <c r="C21" s="651"/>
      <c r="D21" s="440"/>
      <c r="E21" s="440"/>
      <c r="F21" s="44">
        <f t="shared" si="2"/>
        <v>0</v>
      </c>
      <c r="G21" s="440"/>
      <c r="H21" s="440">
        <f t="shared" si="3"/>
        <v>1.47</v>
      </c>
      <c r="I21" s="437">
        <f t="shared" si="1"/>
        <v>0</v>
      </c>
    </row>
    <row r="22" spans="2:15" ht="18" customHeight="1">
      <c r="B22" s="48" t="s">
        <v>42</v>
      </c>
      <c r="C22" s="49">
        <f>SUMPRODUCT(F14:F21*G14:G21)</f>
        <v>2.48</v>
      </c>
      <c r="D22" s="50" t="s">
        <v>43</v>
      </c>
      <c r="E22" s="49">
        <f>SUM(I14:I21)*1.1</f>
        <v>4.0106000000000002</v>
      </c>
      <c r="F22" s="50" t="s">
        <v>44</v>
      </c>
      <c r="G22" s="51">
        <f>(C$218+C$219)/1000</f>
        <v>46.081499999999998</v>
      </c>
      <c r="H22" s="52" t="s">
        <v>45</v>
      </c>
      <c r="I22" s="53">
        <f>ROUND(E22*G22,2)</f>
        <v>184.81</v>
      </c>
      <c r="J22" s="243">
        <f>SUM(G14:G21)</f>
        <v>1</v>
      </c>
    </row>
    <row r="23" spans="2:15" ht="18" customHeight="1">
      <c r="B23" s="48" t="s">
        <v>46</v>
      </c>
      <c r="C23" s="50">
        <v>207.36</v>
      </c>
      <c r="D23" s="50" t="s">
        <v>47</v>
      </c>
      <c r="E23" s="49">
        <f>ROUND(C22*(C23/1000),2)</f>
        <v>0.51</v>
      </c>
      <c r="F23" s="50" t="s">
        <v>48</v>
      </c>
      <c r="G23" s="50">
        <v>10</v>
      </c>
      <c r="H23" s="52" t="s">
        <v>49</v>
      </c>
      <c r="I23" s="53">
        <f>E23*G23</f>
        <v>5.0999999999999996</v>
      </c>
    </row>
    <row r="24" spans="2:15" ht="18" customHeight="1" thickBot="1">
      <c r="B24" s="48" t="s">
        <v>50</v>
      </c>
      <c r="C24" s="50">
        <v>169.96</v>
      </c>
      <c r="D24" s="50" t="s">
        <v>51</v>
      </c>
      <c r="E24" s="49">
        <f>ROUND(C22*(C24/1000),2)</f>
        <v>0.42</v>
      </c>
      <c r="F24" s="50" t="s">
        <v>48</v>
      </c>
      <c r="G24" s="50">
        <v>10</v>
      </c>
      <c r="H24" s="52" t="s">
        <v>49</v>
      </c>
      <c r="I24" s="53">
        <f>E24*G24</f>
        <v>4.2</v>
      </c>
    </row>
    <row r="25" spans="2:15" ht="18" customHeight="1">
      <c r="B25" s="23" t="s">
        <v>36</v>
      </c>
      <c r="C25" s="442" t="s">
        <v>14</v>
      </c>
      <c r="D25" s="442" t="s">
        <v>37</v>
      </c>
      <c r="E25" s="442" t="s">
        <v>38</v>
      </c>
      <c r="F25" s="442" t="s">
        <v>39</v>
      </c>
      <c r="G25" s="442" t="s">
        <v>8</v>
      </c>
      <c r="H25" s="442" t="s">
        <v>22</v>
      </c>
      <c r="I25" s="25" t="s">
        <v>40</v>
      </c>
      <c r="J25" s="54" t="s">
        <v>2</v>
      </c>
      <c r="K25" s="55" t="s">
        <v>3</v>
      </c>
      <c r="L25" s="55" t="s">
        <v>52</v>
      </c>
      <c r="M25" s="55" t="s">
        <v>53</v>
      </c>
      <c r="N25" s="56" t="s">
        <v>14</v>
      </c>
    </row>
    <row r="26" spans="2:15" ht="18" customHeight="1">
      <c r="B26" s="648" t="s">
        <v>54</v>
      </c>
      <c r="C26" s="649" t="s">
        <v>55</v>
      </c>
      <c r="D26" s="443">
        <f>J26-IF(L26=1,44,IF(L26=2,30,IF(L26=3,16,0)))</f>
        <v>0</v>
      </c>
      <c r="E26" s="443">
        <f>K26-IF(M26=1,44,IF(M26=2,30,IF(M26=3,16,0)))</f>
        <v>0</v>
      </c>
      <c r="F26" s="44">
        <f>ROUND((D26+E26)*2/1000,4)</f>
        <v>0</v>
      </c>
      <c r="G26" s="440"/>
      <c r="H26" s="58">
        <v>1.62</v>
      </c>
      <c r="I26" s="59">
        <f>IF(AND(D26&gt;0,E26&gt;0,F26&gt;0),F26*G26*H26,0)</f>
        <v>0</v>
      </c>
      <c r="J26" s="60"/>
      <c r="K26" s="61"/>
      <c r="L26" s="61"/>
      <c r="M26" s="61"/>
      <c r="N26" s="62" t="s">
        <v>56</v>
      </c>
      <c r="O26" s="63" t="s">
        <v>57</v>
      </c>
    </row>
    <row r="27" spans="2:15" ht="18" customHeight="1">
      <c r="B27" s="648"/>
      <c r="C27" s="650"/>
      <c r="D27" s="443">
        <f t="shared" ref="D27:E30" si="4">J27-IF(L27=1,44,IF(L27=2,30,IF(L27=3,16,0)))</f>
        <v>0</v>
      </c>
      <c r="E27" s="443">
        <f t="shared" si="4"/>
        <v>0</v>
      </c>
      <c r="F27" s="44">
        <f>ROUND((D27+E27)*2/1000,4)</f>
        <v>0</v>
      </c>
      <c r="G27" s="440"/>
      <c r="H27" s="58">
        <f>H26</f>
        <v>1.62</v>
      </c>
      <c r="I27" s="59">
        <f>IF(AND(D27&gt;0,E27&gt;0,F27&gt;0),F27*G27*H27,0)</f>
        <v>0</v>
      </c>
      <c r="J27" s="60"/>
      <c r="K27" s="61"/>
      <c r="L27" s="61"/>
      <c r="M27" s="61"/>
      <c r="N27" s="62" t="s">
        <v>58</v>
      </c>
      <c r="O27" s="63" t="s">
        <v>59</v>
      </c>
    </row>
    <row r="28" spans="2:15" ht="18" customHeight="1">
      <c r="B28" s="648"/>
      <c r="C28" s="650"/>
      <c r="D28" s="443">
        <f t="shared" si="4"/>
        <v>0</v>
      </c>
      <c r="E28" s="443">
        <f t="shared" si="4"/>
        <v>0</v>
      </c>
      <c r="F28" s="44">
        <f>ROUND((D28+E28)*2/1000,4)</f>
        <v>0</v>
      </c>
      <c r="G28" s="440"/>
      <c r="H28" s="58">
        <f>H27</f>
        <v>1.62</v>
      </c>
      <c r="I28" s="59">
        <f>IF(AND(D28&gt;0,E28&gt;0,F28&gt;0),F28*G28*H28,0)</f>
        <v>0</v>
      </c>
      <c r="J28" s="60"/>
      <c r="K28" s="61"/>
      <c r="L28" s="61"/>
      <c r="M28" s="61"/>
      <c r="N28" s="62" t="s">
        <v>60</v>
      </c>
      <c r="O28" s="63" t="s">
        <v>59</v>
      </c>
    </row>
    <row r="29" spans="2:15" ht="18" customHeight="1">
      <c r="B29" s="648"/>
      <c r="C29" s="650"/>
      <c r="D29" s="443">
        <f t="shared" si="4"/>
        <v>0</v>
      </c>
      <c r="E29" s="443">
        <f t="shared" si="4"/>
        <v>0</v>
      </c>
      <c r="F29" s="44">
        <f>ROUND((D29+E29)*2/1000,4)</f>
        <v>0</v>
      </c>
      <c r="G29" s="440"/>
      <c r="H29" s="58">
        <f>H28</f>
        <v>1.62</v>
      </c>
      <c r="I29" s="59">
        <f>IF(AND(D29&gt;0,E29&gt;0,F29&gt;0),F29*G29*H29,0)</f>
        <v>0</v>
      </c>
      <c r="J29" s="60"/>
      <c r="K29" s="61"/>
      <c r="L29" s="61"/>
      <c r="M29" s="61"/>
      <c r="N29" s="62"/>
    </row>
    <row r="30" spans="2:15" ht="18" customHeight="1" thickBot="1">
      <c r="B30" s="648"/>
      <c r="C30" s="651"/>
      <c r="D30" s="443">
        <f t="shared" si="4"/>
        <v>0</v>
      </c>
      <c r="E30" s="443">
        <f t="shared" si="4"/>
        <v>0</v>
      </c>
      <c r="F30" s="44">
        <f>ROUND((D30+E30)*2/1000,4)</f>
        <v>0</v>
      </c>
      <c r="G30" s="440"/>
      <c r="H30" s="58">
        <f>H29</f>
        <v>1.62</v>
      </c>
      <c r="I30" s="59">
        <f>IF(AND(D30&gt;0,E30&gt;0,F30&gt;0),F30*G30*H30,0)</f>
        <v>0</v>
      </c>
      <c r="J30" s="64"/>
      <c r="K30" s="65"/>
      <c r="L30" s="65"/>
      <c r="M30" s="65"/>
      <c r="N30" s="66"/>
    </row>
    <row r="31" spans="2:15" ht="18" customHeight="1">
      <c r="B31" s="48" t="s">
        <v>42</v>
      </c>
      <c r="C31" s="49">
        <f>SUMPRODUCT(F26:F30*G26:G30)</f>
        <v>0</v>
      </c>
      <c r="D31" s="50" t="s">
        <v>43</v>
      </c>
      <c r="E31" s="49">
        <f>SUM(I26:I30)*1.1</f>
        <v>0</v>
      </c>
      <c r="F31" s="50" t="s">
        <v>44</v>
      </c>
      <c r="G31" s="51">
        <f>(C$218+C$221)/1000</f>
        <v>46.081499999999998</v>
      </c>
      <c r="H31" s="52" t="s">
        <v>45</v>
      </c>
      <c r="I31" s="53">
        <f>ROUND(E31*G31,2)</f>
        <v>0</v>
      </c>
      <c r="J31" s="243">
        <f>SUM(G26:G30)</f>
        <v>0</v>
      </c>
    </row>
    <row r="32" spans="2:15" ht="18" customHeight="1">
      <c r="B32" s="48" t="s">
        <v>46</v>
      </c>
      <c r="C32" s="50">
        <v>183.32</v>
      </c>
      <c r="D32" s="50" t="s">
        <v>47</v>
      </c>
      <c r="E32" s="49">
        <f>ROUND(C31*(C32/1000),2)</f>
        <v>0</v>
      </c>
      <c r="F32" s="50" t="s">
        <v>48</v>
      </c>
      <c r="G32" s="50">
        <f>G$23</f>
        <v>10</v>
      </c>
      <c r="H32" s="52" t="s">
        <v>49</v>
      </c>
      <c r="I32" s="53">
        <f>E32*G32</f>
        <v>0</v>
      </c>
    </row>
    <row r="33" spans="2:14" ht="18" customHeight="1" thickBot="1">
      <c r="B33" s="48" t="s">
        <v>50</v>
      </c>
      <c r="C33" s="50">
        <v>257.82</v>
      </c>
      <c r="D33" s="50" t="s">
        <v>51</v>
      </c>
      <c r="E33" s="49">
        <f>ROUND(C31*(C33/1000),2)</f>
        <v>0</v>
      </c>
      <c r="F33" s="50" t="s">
        <v>48</v>
      </c>
      <c r="G33" s="50">
        <f>G$24</f>
        <v>10</v>
      </c>
      <c r="H33" s="52" t="s">
        <v>49</v>
      </c>
      <c r="I33" s="53">
        <f>E33*G33</f>
        <v>0</v>
      </c>
    </row>
    <row r="34" spans="2:14" ht="18" customHeight="1" thickBot="1">
      <c r="B34" s="67" t="s">
        <v>36</v>
      </c>
      <c r="C34" s="68" t="s">
        <v>14</v>
      </c>
      <c r="D34" s="68" t="s">
        <v>37</v>
      </c>
      <c r="E34" s="68" t="s">
        <v>38</v>
      </c>
      <c r="F34" s="68" t="s">
        <v>39</v>
      </c>
      <c r="G34" s="68" t="s">
        <v>8</v>
      </c>
      <c r="H34" s="68" t="s">
        <v>22</v>
      </c>
      <c r="I34" s="69" t="s">
        <v>40</v>
      </c>
      <c r="J34" s="54" t="s">
        <v>2</v>
      </c>
      <c r="K34" s="55" t="s">
        <v>3</v>
      </c>
      <c r="L34" s="55" t="s">
        <v>61</v>
      </c>
      <c r="M34" s="55" t="s">
        <v>62</v>
      </c>
      <c r="N34" s="70" t="s">
        <v>14</v>
      </c>
    </row>
    <row r="35" spans="2:14" ht="18" customHeight="1">
      <c r="B35" s="648" t="s">
        <v>63</v>
      </c>
      <c r="C35" s="649" t="s">
        <v>64</v>
      </c>
      <c r="D35" s="443">
        <f t="shared" ref="D35:E37" si="5">J35-IF(L35=1,44,IF(L35=2,30,IF(L35=3,16,IF(L35=11,118,IF(L35=12,100,IF(L35=13,76.8,0))))))</f>
        <v>0</v>
      </c>
      <c r="E35" s="443">
        <f t="shared" si="5"/>
        <v>0</v>
      </c>
      <c r="F35" s="440">
        <f>ROUND((D35+E35)*2/1000,4)</f>
        <v>0</v>
      </c>
      <c r="G35" s="440"/>
      <c r="H35" s="58">
        <v>1.8140000000000001</v>
      </c>
      <c r="I35" s="59">
        <f>ROUND(F35*G35*H35,3)</f>
        <v>0</v>
      </c>
      <c r="J35" s="60"/>
      <c r="K35" s="61"/>
      <c r="L35" s="61"/>
      <c r="M35" s="61"/>
      <c r="N35" s="71" t="s">
        <v>56</v>
      </c>
    </row>
    <row r="36" spans="2:14" ht="18" customHeight="1">
      <c r="B36" s="660"/>
      <c r="C36" s="650"/>
      <c r="D36" s="443">
        <f t="shared" si="5"/>
        <v>0</v>
      </c>
      <c r="E36" s="443">
        <f t="shared" si="5"/>
        <v>0</v>
      </c>
      <c r="F36" s="440">
        <f>ROUND((D36+E36)*2/1000,4)</f>
        <v>0</v>
      </c>
      <c r="G36" s="440"/>
      <c r="H36" s="58">
        <f>H35</f>
        <v>1.8140000000000001</v>
      </c>
      <c r="I36" s="59">
        <f>ROUND(F36*G36*H36,3)</f>
        <v>0</v>
      </c>
      <c r="J36" s="60"/>
      <c r="K36" s="61"/>
      <c r="L36" s="61"/>
      <c r="M36" s="61"/>
      <c r="N36" s="72" t="s">
        <v>58</v>
      </c>
    </row>
    <row r="37" spans="2:14" ht="18" customHeight="1">
      <c r="B37" s="660"/>
      <c r="C37" s="651"/>
      <c r="D37" s="443">
        <f t="shared" si="5"/>
        <v>0</v>
      </c>
      <c r="E37" s="443">
        <f t="shared" si="5"/>
        <v>0</v>
      </c>
      <c r="F37" s="440">
        <f>ROUND((D37+E37)*2/1000,4)</f>
        <v>0</v>
      </c>
      <c r="G37" s="440"/>
      <c r="H37" s="58">
        <f>H36</f>
        <v>1.8140000000000001</v>
      </c>
      <c r="I37" s="59">
        <f>ROUND(F37*G37*H37,3)</f>
        <v>0</v>
      </c>
      <c r="J37" s="60"/>
      <c r="K37" s="61"/>
      <c r="L37" s="61"/>
      <c r="M37" s="61"/>
      <c r="N37" s="72" t="s">
        <v>60</v>
      </c>
    </row>
    <row r="38" spans="2:14" ht="18" customHeight="1">
      <c r="B38" s="48" t="s">
        <v>42</v>
      </c>
      <c r="C38" s="49">
        <f>SUMPRODUCT(F35:F37*G35:G37)</f>
        <v>0</v>
      </c>
      <c r="D38" s="50" t="s">
        <v>43</v>
      </c>
      <c r="E38" s="49">
        <f>SUM(I35:I37)*1.1</f>
        <v>0</v>
      </c>
      <c r="F38" s="50" t="s">
        <v>44</v>
      </c>
      <c r="G38" s="51">
        <f>(C$218+C$219)/1000</f>
        <v>46.081499999999998</v>
      </c>
      <c r="H38" s="52" t="s">
        <v>45</v>
      </c>
      <c r="I38" s="53">
        <f>ROUND(E38*G38,2)</f>
        <v>0</v>
      </c>
      <c r="J38" s="243">
        <f>SUM(G35:G37)</f>
        <v>0</v>
      </c>
      <c r="K38" s="255"/>
      <c r="L38" s="255"/>
      <c r="M38" s="255"/>
      <c r="N38" s="73" t="s">
        <v>65</v>
      </c>
    </row>
    <row r="39" spans="2:14" ht="18" customHeight="1">
      <c r="B39" s="48" t="s">
        <v>46</v>
      </c>
      <c r="C39" s="50">
        <v>320.14</v>
      </c>
      <c r="D39" s="50" t="s">
        <v>47</v>
      </c>
      <c r="E39" s="49">
        <f>ROUND(C38*(C39/1000),2)</f>
        <v>0</v>
      </c>
      <c r="F39" s="50" t="s">
        <v>48</v>
      </c>
      <c r="G39" s="50">
        <f>G$23</f>
        <v>10</v>
      </c>
      <c r="H39" s="52" t="s">
        <v>49</v>
      </c>
      <c r="I39" s="53">
        <f>E39*G39</f>
        <v>0</v>
      </c>
      <c r="J39" s="255"/>
      <c r="K39" s="255"/>
      <c r="L39" s="255"/>
      <c r="M39" s="255"/>
      <c r="N39" s="73" t="s">
        <v>66</v>
      </c>
    </row>
    <row r="40" spans="2:14" ht="18" customHeight="1" thickBot="1">
      <c r="B40" s="48" t="s">
        <v>50</v>
      </c>
      <c r="C40" s="50">
        <v>156.99</v>
      </c>
      <c r="D40" s="50" t="s">
        <v>51</v>
      </c>
      <c r="E40" s="49">
        <f>ROUND(C38*(C40/1000),2)</f>
        <v>0</v>
      </c>
      <c r="F40" s="50" t="s">
        <v>48</v>
      </c>
      <c r="G40" s="50">
        <f>G$24</f>
        <v>10</v>
      </c>
      <c r="H40" s="52" t="s">
        <v>49</v>
      </c>
      <c r="I40" s="53">
        <f>E40*G40</f>
        <v>0</v>
      </c>
      <c r="J40" s="255"/>
      <c r="K40" s="255"/>
      <c r="L40" s="255"/>
      <c r="M40" s="255"/>
      <c r="N40" s="74" t="s">
        <v>67</v>
      </c>
    </row>
    <row r="41" spans="2:14" ht="18" customHeight="1" thickBot="1">
      <c r="B41" s="23" t="s">
        <v>36</v>
      </c>
      <c r="C41" s="442" t="s">
        <v>14</v>
      </c>
      <c r="D41" s="442" t="s">
        <v>37</v>
      </c>
      <c r="E41" s="442" t="s">
        <v>38</v>
      </c>
      <c r="F41" s="442" t="s">
        <v>39</v>
      </c>
      <c r="G41" s="442" t="s">
        <v>8</v>
      </c>
      <c r="H41" s="442" t="s">
        <v>22</v>
      </c>
      <c r="I41" s="25" t="s">
        <v>40</v>
      </c>
      <c r="J41" s="54" t="s">
        <v>2</v>
      </c>
      <c r="K41" s="55" t="s">
        <v>3</v>
      </c>
      <c r="L41" s="55" t="s">
        <v>61</v>
      </c>
      <c r="M41" s="55" t="s">
        <v>62</v>
      </c>
      <c r="N41" s="70" t="s">
        <v>14</v>
      </c>
    </row>
    <row r="42" spans="2:14" ht="18" customHeight="1">
      <c r="B42" s="648" t="s">
        <v>68</v>
      </c>
      <c r="C42" s="649" t="s">
        <v>69</v>
      </c>
      <c r="D42" s="443">
        <f>J42-IF(L42=1,46,IF(L42=2,34.5,IF(L42=3,23)))</f>
        <v>0</v>
      </c>
      <c r="E42" s="443">
        <f>K42-IF(M42=1,46,IF(M42=2,34.5,IF(M42=3,23)))</f>
        <v>0</v>
      </c>
      <c r="F42" s="440">
        <f t="shared" ref="F42:F47" si="6">ROUND((D42+E42)*2/1000,4)</f>
        <v>0</v>
      </c>
      <c r="G42" s="440"/>
      <c r="H42" s="440">
        <v>1.26</v>
      </c>
      <c r="I42" s="59">
        <f t="shared" ref="I42:I47" si="7">ROUND(F42*G42*H42,3)</f>
        <v>0</v>
      </c>
      <c r="J42" s="60"/>
      <c r="K42" s="61"/>
      <c r="L42" s="61"/>
      <c r="M42" s="61"/>
      <c r="N42" s="71" t="s">
        <v>56</v>
      </c>
    </row>
    <row r="43" spans="2:14" ht="18" customHeight="1">
      <c r="B43" s="648"/>
      <c r="C43" s="650"/>
      <c r="D43" s="443">
        <f t="shared" ref="D43:E47" si="8">J43-IF(L43=1,46,IF(L43=2,34.5,IF(L43=3,23)))</f>
        <v>0</v>
      </c>
      <c r="E43" s="443">
        <f t="shared" si="8"/>
        <v>0</v>
      </c>
      <c r="F43" s="440">
        <f t="shared" si="6"/>
        <v>0</v>
      </c>
      <c r="G43" s="440"/>
      <c r="H43" s="440">
        <f>H42</f>
        <v>1.26</v>
      </c>
      <c r="I43" s="59">
        <f t="shared" si="7"/>
        <v>0</v>
      </c>
      <c r="J43" s="60"/>
      <c r="K43" s="61"/>
      <c r="L43" s="61"/>
      <c r="M43" s="61"/>
      <c r="N43" s="72" t="s">
        <v>58</v>
      </c>
    </row>
    <row r="44" spans="2:14" ht="18" customHeight="1">
      <c r="B44" s="648"/>
      <c r="C44" s="651"/>
      <c r="D44" s="443">
        <f t="shared" si="8"/>
        <v>0</v>
      </c>
      <c r="E44" s="443">
        <f t="shared" si="8"/>
        <v>0</v>
      </c>
      <c r="F44" s="440">
        <f t="shared" si="6"/>
        <v>0</v>
      </c>
      <c r="G44" s="440"/>
      <c r="H44" s="440">
        <f>H43</f>
        <v>1.26</v>
      </c>
      <c r="I44" s="59">
        <f t="shared" si="7"/>
        <v>0</v>
      </c>
      <c r="J44" s="60"/>
      <c r="K44" s="61"/>
      <c r="L44" s="61"/>
      <c r="M44" s="61"/>
      <c r="N44" s="72" t="s">
        <v>60</v>
      </c>
    </row>
    <row r="45" spans="2:14" ht="18" customHeight="1">
      <c r="B45" s="648"/>
      <c r="C45" s="649" t="s">
        <v>70</v>
      </c>
      <c r="D45" s="443">
        <f t="shared" si="8"/>
        <v>0</v>
      </c>
      <c r="E45" s="443">
        <f t="shared" si="8"/>
        <v>0</v>
      </c>
      <c r="F45" s="440">
        <f t="shared" si="6"/>
        <v>0</v>
      </c>
      <c r="G45" s="440"/>
      <c r="H45" s="440">
        <f>H44</f>
        <v>1.26</v>
      </c>
      <c r="I45" s="59">
        <f t="shared" si="7"/>
        <v>0</v>
      </c>
      <c r="J45" s="60"/>
      <c r="K45" s="61"/>
      <c r="L45" s="61"/>
      <c r="M45" s="61"/>
      <c r="N45" s="71" t="s">
        <v>56</v>
      </c>
    </row>
    <row r="46" spans="2:14" ht="18" customHeight="1">
      <c r="B46" s="648"/>
      <c r="C46" s="650"/>
      <c r="D46" s="443">
        <f t="shared" si="8"/>
        <v>0</v>
      </c>
      <c r="E46" s="443">
        <f t="shared" si="8"/>
        <v>0</v>
      </c>
      <c r="F46" s="440">
        <f t="shared" si="6"/>
        <v>0</v>
      </c>
      <c r="G46" s="440"/>
      <c r="H46" s="440">
        <f>H45</f>
        <v>1.26</v>
      </c>
      <c r="I46" s="59">
        <f t="shared" si="7"/>
        <v>0</v>
      </c>
      <c r="J46" s="60"/>
      <c r="K46" s="61"/>
      <c r="L46" s="61"/>
      <c r="M46" s="61"/>
      <c r="N46" s="72" t="s">
        <v>58</v>
      </c>
    </row>
    <row r="47" spans="2:14" ht="18" customHeight="1" thickBot="1">
      <c r="B47" s="648"/>
      <c r="C47" s="651"/>
      <c r="D47" s="443">
        <f t="shared" si="8"/>
        <v>0</v>
      </c>
      <c r="E47" s="443">
        <f t="shared" si="8"/>
        <v>0</v>
      </c>
      <c r="F47" s="440">
        <f t="shared" si="6"/>
        <v>0</v>
      </c>
      <c r="G47" s="440"/>
      <c r="H47" s="440">
        <f>H46</f>
        <v>1.26</v>
      </c>
      <c r="I47" s="59">
        <f t="shared" si="7"/>
        <v>0</v>
      </c>
      <c r="J47" s="64"/>
      <c r="K47" s="65"/>
      <c r="L47" s="65"/>
      <c r="M47" s="65"/>
      <c r="N47" s="75" t="s">
        <v>60</v>
      </c>
    </row>
    <row r="48" spans="2:14" ht="18" customHeight="1">
      <c r="B48" s="48" t="s">
        <v>42</v>
      </c>
      <c r="C48" s="49">
        <f>SUMPRODUCT(F42:F47*G42:G47)</f>
        <v>0</v>
      </c>
      <c r="D48" s="50" t="s">
        <v>43</v>
      </c>
      <c r="E48" s="49">
        <f>SUM(I42:I47)*1.1</f>
        <v>0</v>
      </c>
      <c r="F48" s="50" t="s">
        <v>44</v>
      </c>
      <c r="G48" s="51">
        <f>(C$218+C$219)/1000</f>
        <v>46.081499999999998</v>
      </c>
      <c r="H48" s="52" t="s">
        <v>45</v>
      </c>
      <c r="I48" s="53">
        <f>ROUND(E48*G48,2)</f>
        <v>0</v>
      </c>
      <c r="J48" s="243">
        <f>SUM(G42:G47)</f>
        <v>0</v>
      </c>
      <c r="K48" s="255"/>
      <c r="L48" s="255"/>
      <c r="M48" s="255"/>
    </row>
    <row r="49" spans="2:14" ht="18" customHeight="1">
      <c r="B49" s="48" t="s">
        <v>46</v>
      </c>
      <c r="C49" s="50">
        <v>132.47999999999999</v>
      </c>
      <c r="D49" s="50" t="s">
        <v>47</v>
      </c>
      <c r="E49" s="49">
        <f>ROUND(C48*(C49/1000),2)</f>
        <v>0</v>
      </c>
      <c r="F49" s="50" t="s">
        <v>48</v>
      </c>
      <c r="G49" s="50">
        <f>G$23</f>
        <v>10</v>
      </c>
      <c r="H49" s="52" t="s">
        <v>49</v>
      </c>
      <c r="I49" s="53">
        <f>E49*G49</f>
        <v>0</v>
      </c>
      <c r="J49" s="255"/>
      <c r="K49" s="255"/>
      <c r="L49" s="255"/>
      <c r="M49" s="255"/>
    </row>
    <row r="50" spans="2:14" ht="18" customHeight="1" thickBot="1">
      <c r="B50" s="48" t="s">
        <v>50</v>
      </c>
      <c r="C50" s="50">
        <v>202.06</v>
      </c>
      <c r="D50" s="50" t="s">
        <v>51</v>
      </c>
      <c r="E50" s="49">
        <f>ROUND(C48*(C50/1000),2)</f>
        <v>0</v>
      </c>
      <c r="F50" s="50" t="s">
        <v>48</v>
      </c>
      <c r="G50" s="50">
        <f>G$24</f>
        <v>10</v>
      </c>
      <c r="H50" s="52" t="s">
        <v>49</v>
      </c>
      <c r="I50" s="53">
        <f>E50*G50</f>
        <v>0</v>
      </c>
      <c r="J50" s="255"/>
    </row>
    <row r="51" spans="2:14" ht="18" customHeight="1" thickBot="1">
      <c r="B51" s="23" t="s">
        <v>36</v>
      </c>
      <c r="C51" s="442" t="s">
        <v>14</v>
      </c>
      <c r="D51" s="442" t="s">
        <v>37</v>
      </c>
      <c r="E51" s="442" t="s">
        <v>71</v>
      </c>
      <c r="F51" s="442" t="s">
        <v>38</v>
      </c>
      <c r="G51" s="442" t="s">
        <v>72</v>
      </c>
      <c r="H51" s="442" t="s">
        <v>22</v>
      </c>
      <c r="I51" s="25" t="s">
        <v>40</v>
      </c>
      <c r="J51" s="54" t="s">
        <v>2</v>
      </c>
      <c r="K51" s="55" t="s">
        <v>3</v>
      </c>
      <c r="L51" s="55" t="s">
        <v>61</v>
      </c>
      <c r="M51" s="55" t="s">
        <v>62</v>
      </c>
      <c r="N51" s="70" t="s">
        <v>14</v>
      </c>
    </row>
    <row r="52" spans="2:14" ht="18" customHeight="1">
      <c r="B52" s="648" t="s">
        <v>73</v>
      </c>
      <c r="C52" s="649" t="s">
        <v>405</v>
      </c>
      <c r="D52" s="443">
        <f>J52-IF(L52=1,46,IF(L52=2,32,IF(L52=3,18,0)))</f>
        <v>0</v>
      </c>
      <c r="E52" s="443"/>
      <c r="F52" s="443">
        <f>K52-IF(M52=1,46,IF(M52=2,32,IF(M52=3,118,0)))</f>
        <v>0</v>
      </c>
      <c r="G52" s="440"/>
      <c r="H52" s="440">
        <v>1.6379999999999999</v>
      </c>
      <c r="I52" s="59">
        <f>ROUND((D52*E52+F52*G52)/1000*H52,3)</f>
        <v>0</v>
      </c>
      <c r="J52" s="60"/>
      <c r="K52" s="61"/>
      <c r="L52" s="61"/>
      <c r="M52" s="61"/>
      <c r="N52" s="76" t="s">
        <v>56</v>
      </c>
    </row>
    <row r="53" spans="2:14" ht="18" customHeight="1">
      <c r="B53" s="648"/>
      <c r="C53" s="650"/>
      <c r="D53" s="443">
        <f t="shared" ref="D53:D55" si="9">J53-IF(L53=1,46,IF(L53=2,32,IF(L53=3,18,0)))</f>
        <v>0</v>
      </c>
      <c r="E53" s="443"/>
      <c r="F53" s="443">
        <f t="shared" ref="F53:F55" si="10">K53-IF(M53=1,46,IF(M53=2,32,IF(M53=3,118,0)))</f>
        <v>0</v>
      </c>
      <c r="G53" s="440"/>
      <c r="H53" s="440">
        <f>H52</f>
        <v>1.6379999999999999</v>
      </c>
      <c r="I53" s="59">
        <f>ROUND((D53*E53+F53*G53)/1000*H53,3)</f>
        <v>0</v>
      </c>
      <c r="J53" s="60"/>
      <c r="K53" s="61"/>
      <c r="L53" s="61"/>
      <c r="M53" s="61"/>
      <c r="N53" s="76" t="s">
        <v>58</v>
      </c>
    </row>
    <row r="54" spans="2:14" ht="18" customHeight="1">
      <c r="B54" s="648"/>
      <c r="C54" s="650"/>
      <c r="D54" s="443">
        <f t="shared" si="9"/>
        <v>0</v>
      </c>
      <c r="E54" s="443"/>
      <c r="F54" s="443">
        <f t="shared" si="10"/>
        <v>0</v>
      </c>
      <c r="G54" s="440"/>
      <c r="H54" s="440">
        <f>H53</f>
        <v>1.6379999999999999</v>
      </c>
      <c r="I54" s="59">
        <f>ROUND((D54*E54+F54*G54)/1000*H54,3)</f>
        <v>0</v>
      </c>
      <c r="J54" s="60"/>
      <c r="K54" s="61"/>
      <c r="L54" s="61"/>
      <c r="M54" s="61"/>
      <c r="N54" s="76" t="s">
        <v>60</v>
      </c>
    </row>
    <row r="55" spans="2:14" ht="18" customHeight="1" thickBot="1">
      <c r="B55" s="648"/>
      <c r="C55" s="651"/>
      <c r="D55" s="443">
        <f t="shared" si="9"/>
        <v>0</v>
      </c>
      <c r="E55" s="443"/>
      <c r="F55" s="443">
        <f t="shared" si="10"/>
        <v>0</v>
      </c>
      <c r="G55" s="440"/>
      <c r="H55" s="77">
        <f>H54</f>
        <v>1.6379999999999999</v>
      </c>
      <c r="I55" s="59">
        <f>ROUND((D55*E55+F55*G55)/1000*H55,3)</f>
        <v>0</v>
      </c>
      <c r="J55" s="78"/>
      <c r="K55" s="79"/>
      <c r="L55" s="79"/>
      <c r="M55" s="79"/>
      <c r="N55" s="80"/>
    </row>
    <row r="56" spans="2:14" ht="18" customHeight="1">
      <c r="B56" s="48" t="s">
        <v>42</v>
      </c>
      <c r="C56" s="49">
        <f>SUMPRODUCT(D52:D55*E52:E55+F52:F55*G52:G55)/1000</f>
        <v>0</v>
      </c>
      <c r="D56" s="50" t="s">
        <v>43</v>
      </c>
      <c r="E56" s="49">
        <f>SUM(I52:I55)*1.1</f>
        <v>0</v>
      </c>
      <c r="F56" s="50" t="s">
        <v>44</v>
      </c>
      <c r="G56" s="51">
        <f>(C$218+C$219)/1000</f>
        <v>46.081499999999998</v>
      </c>
      <c r="H56" s="52" t="s">
        <v>45</v>
      </c>
      <c r="I56" s="53">
        <f>ROUND(E56*G56,2)</f>
        <v>0</v>
      </c>
      <c r="J56" s="243">
        <f>SUM(E52:E55)+SUM(G52:G55)</f>
        <v>0</v>
      </c>
    </row>
    <row r="57" spans="2:14" ht="18" customHeight="1">
      <c r="B57" s="48" t="s">
        <v>46</v>
      </c>
      <c r="C57" s="50">
        <v>265.52999999999997</v>
      </c>
      <c r="D57" s="50" t="s">
        <v>47</v>
      </c>
      <c r="E57" s="49">
        <f>ROUND(C56*(C57/1000),2)</f>
        <v>0</v>
      </c>
      <c r="F57" s="50" t="s">
        <v>48</v>
      </c>
      <c r="G57" s="50">
        <f>G$23</f>
        <v>10</v>
      </c>
      <c r="H57" s="52" t="s">
        <v>49</v>
      </c>
      <c r="I57" s="53">
        <f>E57*G57</f>
        <v>0</v>
      </c>
      <c r="L57" s="47"/>
    </row>
    <row r="58" spans="2:14" ht="18" customHeight="1">
      <c r="B58" s="48" t="s">
        <v>50</v>
      </c>
      <c r="C58" s="50">
        <v>173.62</v>
      </c>
      <c r="D58" s="50" t="s">
        <v>51</v>
      </c>
      <c r="E58" s="49">
        <f>ROUND(C56*(C58/1000),2)</f>
        <v>0</v>
      </c>
      <c r="F58" s="50" t="s">
        <v>48</v>
      </c>
      <c r="G58" s="50">
        <f>G$24</f>
        <v>10</v>
      </c>
      <c r="H58" s="52" t="s">
        <v>49</v>
      </c>
      <c r="I58" s="53">
        <f>E58*G58</f>
        <v>0</v>
      </c>
      <c r="L58" s="47"/>
    </row>
    <row r="59" spans="2:14" ht="18" customHeight="1">
      <c r="B59" s="23" t="s">
        <v>36</v>
      </c>
      <c r="C59" s="442" t="s">
        <v>14</v>
      </c>
      <c r="D59" s="652" t="s">
        <v>74</v>
      </c>
      <c r="E59" s="652"/>
      <c r="F59" s="652"/>
      <c r="G59" s="442" t="s">
        <v>75</v>
      </c>
      <c r="H59" s="442" t="s">
        <v>22</v>
      </c>
      <c r="I59" s="25" t="s">
        <v>40</v>
      </c>
      <c r="L59" s="47"/>
    </row>
    <row r="60" spans="2:14" ht="18" customHeight="1">
      <c r="B60" s="648" t="s">
        <v>76</v>
      </c>
      <c r="C60" s="649" t="s">
        <v>77</v>
      </c>
      <c r="D60" s="646"/>
      <c r="E60" s="646"/>
      <c r="F60" s="646"/>
      <c r="G60" s="440"/>
      <c r="H60" s="440">
        <v>1.9339999999999999</v>
      </c>
      <c r="I60" s="59">
        <f>ROUND(D60*G60*H60/1000,3)</f>
        <v>0</v>
      </c>
      <c r="L60" s="47"/>
    </row>
    <row r="61" spans="2:14" ht="18" customHeight="1">
      <c r="B61" s="648"/>
      <c r="C61" s="651"/>
      <c r="D61" s="646"/>
      <c r="E61" s="646"/>
      <c r="F61" s="646"/>
      <c r="G61" s="440"/>
      <c r="H61" s="440">
        <v>1.9339999999999999</v>
      </c>
      <c r="I61" s="59">
        <f>ROUND(D61*G61*H61/1000,3)</f>
        <v>0</v>
      </c>
    </row>
    <row r="62" spans="2:14" ht="18" customHeight="1">
      <c r="B62" s="648"/>
      <c r="C62" s="649" t="s">
        <v>78</v>
      </c>
      <c r="D62" s="646">
        <f>E14</f>
        <v>920</v>
      </c>
      <c r="E62" s="646"/>
      <c r="F62" s="646"/>
      <c r="G62" s="440"/>
      <c r="H62" s="440">
        <v>2.3130000000000002</v>
      </c>
      <c r="I62" s="59">
        <f>ROUND(D62*G62*H62/1000,3)</f>
        <v>0</v>
      </c>
    </row>
    <row r="63" spans="2:14" ht="18" customHeight="1">
      <c r="B63" s="648"/>
      <c r="C63" s="651"/>
      <c r="D63" s="646"/>
      <c r="E63" s="646"/>
      <c r="F63" s="646"/>
      <c r="G63" s="440"/>
      <c r="H63" s="440">
        <v>2.3130000000000002</v>
      </c>
      <c r="I63" s="59">
        <f>ROUND(D63*G63*H63/1000,3)</f>
        <v>0</v>
      </c>
    </row>
    <row r="64" spans="2:14" ht="18" customHeight="1">
      <c r="B64" s="48" t="s">
        <v>42</v>
      </c>
      <c r="C64" s="49">
        <f>SUMPRODUCT(D60:F63*G60:G63)/1000</f>
        <v>0</v>
      </c>
      <c r="D64" s="50" t="s">
        <v>43</v>
      </c>
      <c r="E64" s="49">
        <f>SUM(I60:I63)*1.1</f>
        <v>0</v>
      </c>
      <c r="F64" s="50" t="s">
        <v>44</v>
      </c>
      <c r="G64" s="51">
        <f>(C$218+C$219)/1000</f>
        <v>46.081499999999998</v>
      </c>
      <c r="H64" s="52" t="s">
        <v>45</v>
      </c>
      <c r="I64" s="53">
        <f>ROUND(E64*G64,2)</f>
        <v>0</v>
      </c>
      <c r="J64" s="43">
        <f>SUM(G60:G63)</f>
        <v>0</v>
      </c>
    </row>
    <row r="65" spans="2:14" ht="18" customHeight="1">
      <c r="B65" s="48" t="s">
        <v>46</v>
      </c>
      <c r="C65" s="50">
        <v>337.92</v>
      </c>
      <c r="D65" s="50" t="s">
        <v>47</v>
      </c>
      <c r="E65" s="49">
        <f>ROUND(C64*(C65/1000),2)</f>
        <v>0</v>
      </c>
      <c r="F65" s="50" t="s">
        <v>48</v>
      </c>
      <c r="G65" s="50">
        <f>G$23</f>
        <v>10</v>
      </c>
      <c r="H65" s="52" t="s">
        <v>49</v>
      </c>
      <c r="I65" s="53">
        <f>E65*G65</f>
        <v>0</v>
      </c>
    </row>
    <row r="66" spans="2:14" ht="18" customHeight="1" thickBot="1">
      <c r="B66" s="48" t="s">
        <v>50</v>
      </c>
      <c r="C66" s="50">
        <v>175.93</v>
      </c>
      <c r="D66" s="50" t="s">
        <v>51</v>
      </c>
      <c r="E66" s="49">
        <f>ROUND(C64*(C66/1000),2)</f>
        <v>0</v>
      </c>
      <c r="F66" s="50" t="s">
        <v>48</v>
      </c>
      <c r="G66" s="50">
        <f>G$24</f>
        <v>10</v>
      </c>
      <c r="H66" s="52" t="s">
        <v>49</v>
      </c>
      <c r="I66" s="53">
        <f>E66*G66</f>
        <v>0</v>
      </c>
    </row>
    <row r="67" spans="2:14" ht="18" customHeight="1" thickBot="1">
      <c r="B67" s="23" t="s">
        <v>36</v>
      </c>
      <c r="C67" s="442" t="s">
        <v>14</v>
      </c>
      <c r="D67" s="442" t="s">
        <v>37</v>
      </c>
      <c r="E67" s="442" t="s">
        <v>38</v>
      </c>
      <c r="F67" s="442" t="s">
        <v>39</v>
      </c>
      <c r="G67" s="442" t="s">
        <v>8</v>
      </c>
      <c r="H67" s="442" t="s">
        <v>22</v>
      </c>
      <c r="I67" s="25" t="s">
        <v>40</v>
      </c>
      <c r="J67" s="54" t="s">
        <v>2</v>
      </c>
      <c r="K67" s="55" t="s">
        <v>3</v>
      </c>
      <c r="L67" s="55" t="s">
        <v>52</v>
      </c>
      <c r="M67" s="55" t="s">
        <v>53</v>
      </c>
      <c r="N67" s="70" t="s">
        <v>14</v>
      </c>
    </row>
    <row r="68" spans="2:14" ht="18" customHeight="1">
      <c r="B68" s="648" t="s">
        <v>79</v>
      </c>
      <c r="C68" s="649" t="s">
        <v>323</v>
      </c>
      <c r="D68" s="81">
        <f>J68-IF(L68=1,72,IF(L68=2,54,IF(L68=3,26,IF(L68=11,102.8,IF(L68=12,88.8,IF(L68=13,74.8,0))))))</f>
        <v>248</v>
      </c>
      <c r="E68" s="81">
        <f>K68-IF(M68=1,72,IF(M68=2,24,IF(M68=3,26,IF(M68=11,102.8,IF(M68=12,88.8,IF(M68=13,74.8,0))))))</f>
        <v>848</v>
      </c>
      <c r="F68" s="81">
        <f>2*(D68+E68)/1000</f>
        <v>2.1920000000000002</v>
      </c>
      <c r="G68" s="82">
        <v>1</v>
      </c>
      <c r="H68" s="440">
        <v>0.224</v>
      </c>
      <c r="I68" s="59">
        <f t="shared" ref="I68:I87" si="11">ROUND(F68*G68*H68,3)</f>
        <v>0.49099999999999999</v>
      </c>
      <c r="J68" s="83">
        <f>D14</f>
        <v>320</v>
      </c>
      <c r="K68" s="83">
        <f>E14</f>
        <v>920</v>
      </c>
      <c r="L68" s="84">
        <v>1</v>
      </c>
      <c r="M68" s="84">
        <v>1</v>
      </c>
      <c r="N68" s="71" t="s">
        <v>56</v>
      </c>
    </row>
    <row r="69" spans="2:14" ht="18" customHeight="1">
      <c r="B69" s="648"/>
      <c r="C69" s="650"/>
      <c r="D69" s="81">
        <f t="shared" ref="D69:D87" si="12">J69-IF(L69=1,72,IF(L69=2,54,IF(L69=3,26,IF(L69=11,102.8,IF(L69=12,88.8,IF(L69=13,74.8,0))))))</f>
        <v>0</v>
      </c>
      <c r="E69" s="81">
        <f t="shared" ref="E69:E87" si="13">K69-IF(M69=1,72,IF(M69=2,24,IF(M69=3,26,IF(M69=11,102.8,IF(M69=12,88.8,IF(M69=13,74.8,0))))))</f>
        <v>0</v>
      </c>
      <c r="F69" s="81">
        <f t="shared" ref="F69:F87" si="14">2*(D69+E69)/1000</f>
        <v>0</v>
      </c>
      <c r="G69" s="82"/>
      <c r="H69" s="440">
        <f>H68</f>
        <v>0.224</v>
      </c>
      <c r="I69" s="59">
        <f t="shared" si="11"/>
        <v>0</v>
      </c>
      <c r="J69" s="83"/>
      <c r="K69" s="84"/>
      <c r="L69" s="84"/>
      <c r="M69" s="84"/>
      <c r="N69" s="72" t="s">
        <v>58</v>
      </c>
    </row>
    <row r="70" spans="2:14" ht="18" customHeight="1">
      <c r="B70" s="648"/>
      <c r="C70" s="650"/>
      <c r="D70" s="81">
        <f t="shared" si="12"/>
        <v>0</v>
      </c>
      <c r="E70" s="81">
        <f t="shared" si="13"/>
        <v>0</v>
      </c>
      <c r="F70" s="81">
        <f t="shared" si="14"/>
        <v>0</v>
      </c>
      <c r="G70" s="82"/>
      <c r="H70" s="440">
        <f>H69</f>
        <v>0.224</v>
      </c>
      <c r="I70" s="59">
        <f t="shared" si="11"/>
        <v>0</v>
      </c>
      <c r="J70" s="83"/>
      <c r="K70" s="84"/>
      <c r="L70" s="84"/>
      <c r="M70" s="84"/>
      <c r="N70" s="72" t="s">
        <v>60</v>
      </c>
    </row>
    <row r="71" spans="2:14" ht="18" customHeight="1">
      <c r="B71" s="648"/>
      <c r="C71" s="650"/>
      <c r="D71" s="81">
        <f t="shared" si="12"/>
        <v>0</v>
      </c>
      <c r="E71" s="81">
        <f t="shared" si="13"/>
        <v>0</v>
      </c>
      <c r="F71" s="81">
        <f t="shared" si="14"/>
        <v>0</v>
      </c>
      <c r="G71" s="82"/>
      <c r="H71" s="77">
        <f>H70</f>
        <v>0.224</v>
      </c>
      <c r="I71" s="59">
        <f t="shared" si="11"/>
        <v>0</v>
      </c>
      <c r="J71" s="85"/>
      <c r="K71" s="86"/>
      <c r="L71" s="86"/>
      <c r="M71" s="86"/>
      <c r="N71" s="72" t="s">
        <v>65</v>
      </c>
    </row>
    <row r="72" spans="2:14" ht="18" customHeight="1">
      <c r="B72" s="648"/>
      <c r="C72" s="650"/>
      <c r="D72" s="81">
        <f t="shared" si="12"/>
        <v>0</v>
      </c>
      <c r="E72" s="81">
        <f t="shared" si="13"/>
        <v>0</v>
      </c>
      <c r="F72" s="81">
        <f t="shared" si="14"/>
        <v>0</v>
      </c>
      <c r="G72" s="82"/>
      <c r="H72" s="77">
        <f>H71</f>
        <v>0.224</v>
      </c>
      <c r="I72" s="87">
        <f t="shared" si="11"/>
        <v>0</v>
      </c>
      <c r="J72" s="85"/>
      <c r="K72" s="86"/>
      <c r="L72" s="86"/>
      <c r="M72" s="86"/>
      <c r="N72" s="72" t="s">
        <v>66</v>
      </c>
    </row>
    <row r="73" spans="2:14" ht="18" customHeight="1">
      <c r="B73" s="648"/>
      <c r="C73" s="650"/>
      <c r="D73" s="81">
        <f t="shared" si="12"/>
        <v>0</v>
      </c>
      <c r="E73" s="81">
        <f t="shared" si="13"/>
        <v>0</v>
      </c>
      <c r="F73" s="81">
        <f t="shared" si="14"/>
        <v>0</v>
      </c>
      <c r="G73" s="82"/>
      <c r="H73" s="440">
        <f>H70</f>
        <v>0.224</v>
      </c>
      <c r="I73" s="87">
        <f t="shared" si="11"/>
        <v>0</v>
      </c>
      <c r="J73" s="83"/>
      <c r="K73" s="84"/>
      <c r="L73" s="84"/>
      <c r="M73" s="84"/>
      <c r="N73" s="72" t="s">
        <v>67</v>
      </c>
    </row>
    <row r="74" spans="2:14" ht="18" customHeight="1">
      <c r="B74" s="648"/>
      <c r="C74" s="651"/>
      <c r="D74" s="81">
        <f t="shared" si="12"/>
        <v>0</v>
      </c>
      <c r="E74" s="81">
        <f t="shared" si="13"/>
        <v>0</v>
      </c>
      <c r="F74" s="81">
        <f t="shared" si="14"/>
        <v>0</v>
      </c>
      <c r="G74" s="82"/>
      <c r="H74" s="440">
        <f>H73</f>
        <v>0.224</v>
      </c>
      <c r="I74" s="87">
        <f t="shared" si="11"/>
        <v>0</v>
      </c>
      <c r="J74" s="83"/>
      <c r="K74" s="84"/>
      <c r="L74" s="84"/>
      <c r="M74" s="84"/>
      <c r="N74" s="88"/>
    </row>
    <row r="75" spans="2:14" ht="18" customHeight="1">
      <c r="B75" s="648"/>
      <c r="C75" s="649" t="s">
        <v>324</v>
      </c>
      <c r="D75" s="89">
        <f t="shared" si="12"/>
        <v>0</v>
      </c>
      <c r="E75" s="89">
        <f t="shared" si="13"/>
        <v>0</v>
      </c>
      <c r="F75" s="89">
        <f t="shared" si="14"/>
        <v>0</v>
      </c>
      <c r="G75" s="90"/>
      <c r="H75" s="91">
        <f>H74</f>
        <v>0.224</v>
      </c>
      <c r="I75" s="92">
        <f t="shared" si="11"/>
        <v>0</v>
      </c>
      <c r="J75" s="83"/>
      <c r="K75" s="84"/>
      <c r="L75" s="84"/>
      <c r="M75" s="84"/>
      <c r="N75" s="93" t="s">
        <v>80</v>
      </c>
    </row>
    <row r="76" spans="2:14" ht="18" customHeight="1">
      <c r="B76" s="648"/>
      <c r="C76" s="650"/>
      <c r="D76" s="89">
        <f t="shared" si="12"/>
        <v>0</v>
      </c>
      <c r="E76" s="89">
        <f t="shared" si="13"/>
        <v>0</v>
      </c>
      <c r="F76" s="89">
        <f t="shared" si="14"/>
        <v>0</v>
      </c>
      <c r="G76" s="90"/>
      <c r="H76" s="91">
        <f>H72</f>
        <v>0.224</v>
      </c>
      <c r="I76" s="92">
        <f t="shared" si="11"/>
        <v>0</v>
      </c>
      <c r="J76" s="83"/>
      <c r="K76" s="84"/>
      <c r="L76" s="84"/>
      <c r="M76" s="84"/>
      <c r="N76" s="93" t="s">
        <v>80</v>
      </c>
    </row>
    <row r="77" spans="2:14" ht="18" customHeight="1">
      <c r="B77" s="648"/>
      <c r="C77" s="650"/>
      <c r="D77" s="89">
        <f t="shared" si="12"/>
        <v>0</v>
      </c>
      <c r="E77" s="89">
        <f t="shared" si="13"/>
        <v>0</v>
      </c>
      <c r="F77" s="89">
        <f t="shared" si="14"/>
        <v>0</v>
      </c>
      <c r="G77" s="90"/>
      <c r="H77" s="91">
        <f t="shared" ref="H77:H87" si="15">H76</f>
        <v>0.224</v>
      </c>
      <c r="I77" s="92">
        <f t="shared" si="11"/>
        <v>0</v>
      </c>
      <c r="J77" s="83"/>
      <c r="K77" s="84"/>
      <c r="L77" s="84"/>
      <c r="M77" s="84"/>
      <c r="N77" s="93" t="s">
        <v>80</v>
      </c>
    </row>
    <row r="78" spans="2:14" ht="18" customHeight="1">
      <c r="B78" s="648"/>
      <c r="C78" s="650"/>
      <c r="D78" s="89">
        <f t="shared" si="12"/>
        <v>0</v>
      </c>
      <c r="E78" s="89">
        <f t="shared" si="13"/>
        <v>0</v>
      </c>
      <c r="F78" s="89">
        <f t="shared" si="14"/>
        <v>0</v>
      </c>
      <c r="G78" s="90"/>
      <c r="H78" s="91">
        <f t="shared" si="15"/>
        <v>0.224</v>
      </c>
      <c r="I78" s="92">
        <f t="shared" si="11"/>
        <v>0</v>
      </c>
      <c r="J78" s="83"/>
      <c r="K78" s="84"/>
      <c r="L78" s="84"/>
      <c r="M78" s="84"/>
      <c r="N78" s="93" t="s">
        <v>80</v>
      </c>
    </row>
    <row r="79" spans="2:14" ht="18" customHeight="1">
      <c r="B79" s="648"/>
      <c r="C79" s="650"/>
      <c r="D79" s="89">
        <f t="shared" si="12"/>
        <v>0</v>
      </c>
      <c r="E79" s="89">
        <f t="shared" si="13"/>
        <v>0</v>
      </c>
      <c r="F79" s="89">
        <f t="shared" si="14"/>
        <v>0</v>
      </c>
      <c r="G79" s="90"/>
      <c r="H79" s="91">
        <f t="shared" si="15"/>
        <v>0.224</v>
      </c>
      <c r="I79" s="94">
        <f t="shared" si="11"/>
        <v>0</v>
      </c>
      <c r="J79" s="83"/>
      <c r="K79" s="84"/>
      <c r="L79" s="84"/>
      <c r="M79" s="84"/>
      <c r="N79" s="93" t="s">
        <v>80</v>
      </c>
    </row>
    <row r="80" spans="2:14" ht="18" customHeight="1">
      <c r="B80" s="648"/>
      <c r="C80" s="650"/>
      <c r="D80" s="89">
        <f t="shared" si="12"/>
        <v>0</v>
      </c>
      <c r="E80" s="89">
        <f t="shared" si="13"/>
        <v>0</v>
      </c>
      <c r="F80" s="89">
        <f t="shared" si="14"/>
        <v>0</v>
      </c>
      <c r="G80" s="90"/>
      <c r="H80" s="91">
        <f t="shared" si="15"/>
        <v>0.224</v>
      </c>
      <c r="I80" s="94">
        <f t="shared" si="11"/>
        <v>0</v>
      </c>
      <c r="J80" s="83"/>
      <c r="K80" s="84"/>
      <c r="L80" s="84"/>
      <c r="M80" s="84"/>
      <c r="N80" s="93" t="s">
        <v>80</v>
      </c>
    </row>
    <row r="81" spans="2:14" ht="18" customHeight="1">
      <c r="B81" s="648"/>
      <c r="C81" s="651"/>
      <c r="D81" s="89">
        <f t="shared" si="12"/>
        <v>0</v>
      </c>
      <c r="E81" s="89">
        <f t="shared" si="13"/>
        <v>0</v>
      </c>
      <c r="F81" s="89">
        <f t="shared" si="14"/>
        <v>0</v>
      </c>
      <c r="G81" s="90"/>
      <c r="H81" s="91">
        <f t="shared" si="15"/>
        <v>0.224</v>
      </c>
      <c r="I81" s="94">
        <f t="shared" si="11"/>
        <v>0</v>
      </c>
      <c r="J81" s="95"/>
      <c r="K81" s="96"/>
      <c r="L81" s="96"/>
      <c r="M81" s="96"/>
      <c r="N81" s="93" t="s">
        <v>81</v>
      </c>
    </row>
    <row r="82" spans="2:14" ht="18" customHeight="1">
      <c r="B82" s="648"/>
      <c r="C82" s="639" t="s">
        <v>325</v>
      </c>
      <c r="D82" s="81">
        <f t="shared" si="12"/>
        <v>0</v>
      </c>
      <c r="E82" s="81">
        <f t="shared" si="13"/>
        <v>0</v>
      </c>
      <c r="F82" s="81">
        <f t="shared" si="14"/>
        <v>0</v>
      </c>
      <c r="G82" s="82"/>
      <c r="H82" s="440">
        <f t="shared" si="15"/>
        <v>0.224</v>
      </c>
      <c r="I82" s="59">
        <f t="shared" si="11"/>
        <v>0</v>
      </c>
      <c r="J82" s="83"/>
      <c r="K82" s="84"/>
      <c r="L82" s="84"/>
      <c r="M82" s="84"/>
      <c r="N82" s="88"/>
    </row>
    <row r="83" spans="2:14" ht="18" customHeight="1">
      <c r="B83" s="648"/>
      <c r="C83" s="645"/>
      <c r="D83" s="81">
        <f t="shared" si="12"/>
        <v>0</v>
      </c>
      <c r="E83" s="81">
        <f t="shared" si="13"/>
        <v>0</v>
      </c>
      <c r="F83" s="81">
        <f t="shared" si="14"/>
        <v>0</v>
      </c>
      <c r="G83" s="82"/>
      <c r="H83" s="440">
        <f t="shared" si="15"/>
        <v>0.224</v>
      </c>
      <c r="I83" s="59">
        <f t="shared" si="11"/>
        <v>0</v>
      </c>
      <c r="J83" s="83"/>
      <c r="K83" s="84"/>
      <c r="L83" s="84"/>
      <c r="M83" s="84"/>
      <c r="N83" s="88"/>
    </row>
    <row r="84" spans="2:14" ht="18" customHeight="1">
      <c r="B84" s="648"/>
      <c r="C84" s="645"/>
      <c r="D84" s="81">
        <f t="shared" si="12"/>
        <v>0</v>
      </c>
      <c r="E84" s="81">
        <f t="shared" si="13"/>
        <v>0</v>
      </c>
      <c r="F84" s="81">
        <f t="shared" si="14"/>
        <v>0</v>
      </c>
      <c r="G84" s="82"/>
      <c r="H84" s="440">
        <f t="shared" si="15"/>
        <v>0.224</v>
      </c>
      <c r="I84" s="59">
        <f t="shared" si="11"/>
        <v>0</v>
      </c>
      <c r="J84" s="83"/>
      <c r="K84" s="84"/>
      <c r="L84" s="84"/>
      <c r="M84" s="84"/>
      <c r="N84" s="76"/>
    </row>
    <row r="85" spans="2:14" ht="18" customHeight="1">
      <c r="B85" s="648"/>
      <c r="C85" s="645"/>
      <c r="D85" s="81">
        <f t="shared" si="12"/>
        <v>0</v>
      </c>
      <c r="E85" s="81">
        <f t="shared" si="13"/>
        <v>0</v>
      </c>
      <c r="F85" s="81">
        <f t="shared" si="14"/>
        <v>0</v>
      </c>
      <c r="G85" s="82"/>
      <c r="H85" s="440">
        <f t="shared" si="15"/>
        <v>0.224</v>
      </c>
      <c r="I85" s="59">
        <f t="shared" si="11"/>
        <v>0</v>
      </c>
      <c r="J85" s="83"/>
      <c r="K85" s="84"/>
      <c r="L85" s="84"/>
      <c r="M85" s="84"/>
      <c r="N85" s="76"/>
    </row>
    <row r="86" spans="2:14" ht="18" customHeight="1">
      <c r="B86" s="648"/>
      <c r="C86" s="645"/>
      <c r="D86" s="81">
        <f t="shared" si="12"/>
        <v>0</v>
      </c>
      <c r="E86" s="81">
        <f t="shared" si="13"/>
        <v>0</v>
      </c>
      <c r="F86" s="81">
        <f t="shared" si="14"/>
        <v>0</v>
      </c>
      <c r="G86" s="82"/>
      <c r="H86" s="440">
        <f t="shared" si="15"/>
        <v>0.224</v>
      </c>
      <c r="I86" s="59">
        <f t="shared" si="11"/>
        <v>0</v>
      </c>
      <c r="J86" s="85"/>
      <c r="K86" s="86"/>
      <c r="L86" s="86"/>
      <c r="M86" s="86"/>
      <c r="N86" s="76"/>
    </row>
    <row r="87" spans="2:14" ht="18" customHeight="1" thickBot="1">
      <c r="B87" s="648"/>
      <c r="C87" s="640"/>
      <c r="D87" s="81">
        <f t="shared" si="12"/>
        <v>0</v>
      </c>
      <c r="E87" s="81">
        <f t="shared" si="13"/>
        <v>0</v>
      </c>
      <c r="F87" s="81">
        <f t="shared" si="14"/>
        <v>0</v>
      </c>
      <c r="G87" s="82"/>
      <c r="H87" s="440">
        <f t="shared" si="15"/>
        <v>0.224</v>
      </c>
      <c r="I87" s="59">
        <f t="shared" si="11"/>
        <v>0</v>
      </c>
      <c r="J87" s="97"/>
      <c r="K87" s="98"/>
      <c r="L87" s="98"/>
      <c r="M87" s="98"/>
      <c r="N87" s="80"/>
    </row>
    <row r="88" spans="2:14" ht="18" customHeight="1">
      <c r="B88" s="48" t="s">
        <v>42</v>
      </c>
      <c r="C88" s="49">
        <f>SUMPRODUCT(F68:F87*G68:G87)</f>
        <v>2.1920000000000002</v>
      </c>
      <c r="D88" s="50" t="s">
        <v>43</v>
      </c>
      <c r="E88" s="49">
        <f>SUM(I68:I87)*1.1</f>
        <v>0.54010000000000002</v>
      </c>
      <c r="F88" s="50" t="s">
        <v>44</v>
      </c>
      <c r="G88" s="51">
        <f>(C$218+C$222)/1000</f>
        <v>39.781500000000001</v>
      </c>
      <c r="H88" s="52" t="s">
        <v>45</v>
      </c>
      <c r="I88" s="53">
        <f>ROUND(E88*G88,2)</f>
        <v>21.49</v>
      </c>
      <c r="J88" s="255"/>
      <c r="K88" s="255"/>
      <c r="L88" s="255"/>
      <c r="M88" s="255"/>
    </row>
    <row r="89" spans="2:14" ht="18" customHeight="1">
      <c r="B89" s="48" t="s">
        <v>46</v>
      </c>
      <c r="C89" s="50">
        <v>181.72</v>
      </c>
      <c r="D89" s="50" t="s">
        <v>47</v>
      </c>
      <c r="E89" s="49">
        <f>ROUND(C88*(C89/1000),2)</f>
        <v>0.4</v>
      </c>
      <c r="F89" s="50" t="s">
        <v>48</v>
      </c>
      <c r="G89" s="50">
        <f>G$23</f>
        <v>10</v>
      </c>
      <c r="H89" s="52" t="s">
        <v>49</v>
      </c>
      <c r="I89" s="53">
        <f>E89*G89</f>
        <v>4</v>
      </c>
      <c r="J89" s="255"/>
      <c r="K89" s="255"/>
      <c r="L89" s="255"/>
      <c r="M89" s="255"/>
    </row>
    <row r="90" spans="2:14" ht="18" customHeight="1">
      <c r="B90" s="48" t="s">
        <v>50</v>
      </c>
      <c r="C90" s="50"/>
      <c r="D90" s="50" t="s">
        <v>51</v>
      </c>
      <c r="E90" s="49">
        <f>ROUND(C88*(C90/1000),2)</f>
        <v>0</v>
      </c>
      <c r="F90" s="50" t="s">
        <v>48</v>
      </c>
      <c r="G90" s="50">
        <f>G$24</f>
        <v>10</v>
      </c>
      <c r="H90" s="52" t="s">
        <v>49</v>
      </c>
      <c r="I90" s="53">
        <f>E90*G90</f>
        <v>0</v>
      </c>
      <c r="J90" s="255"/>
      <c r="K90" s="255"/>
      <c r="L90" s="255"/>
      <c r="M90" s="255"/>
    </row>
    <row r="91" spans="2:14" ht="18" customHeight="1">
      <c r="B91" s="23" t="s">
        <v>36</v>
      </c>
      <c r="C91" s="442" t="s">
        <v>14</v>
      </c>
      <c r="D91" s="442" t="s">
        <v>37</v>
      </c>
      <c r="E91" s="442" t="s">
        <v>38</v>
      </c>
      <c r="F91" s="442" t="s">
        <v>39</v>
      </c>
      <c r="G91" s="442" t="s">
        <v>8</v>
      </c>
      <c r="H91" s="442" t="s">
        <v>22</v>
      </c>
      <c r="I91" s="25" t="s">
        <v>40</v>
      </c>
      <c r="J91" s="255"/>
      <c r="K91" s="255"/>
      <c r="L91" s="255"/>
      <c r="M91" s="255"/>
    </row>
    <row r="92" spans="2:14" ht="18" customHeight="1">
      <c r="B92" s="648" t="s">
        <v>82</v>
      </c>
      <c r="C92" s="653" t="s">
        <v>326</v>
      </c>
      <c r="D92" s="443">
        <f>D26-90</f>
        <v>-90</v>
      </c>
      <c r="E92" s="443">
        <f>E26-90</f>
        <v>-90</v>
      </c>
      <c r="F92" s="443">
        <f>2*(D92+E92)/1000</f>
        <v>-0.36</v>
      </c>
      <c r="G92" s="440">
        <f>G26</f>
        <v>0</v>
      </c>
      <c r="H92" s="440">
        <v>0.27100000000000002</v>
      </c>
      <c r="I92" s="59">
        <f>ROUND(F92*G92*H92,3)</f>
        <v>0</v>
      </c>
    </row>
    <row r="93" spans="2:14" ht="18" customHeight="1">
      <c r="B93" s="648"/>
      <c r="C93" s="658"/>
      <c r="D93" s="443">
        <f t="shared" ref="D93:E96" si="16">D27-90</f>
        <v>-90</v>
      </c>
      <c r="E93" s="443">
        <f t="shared" si="16"/>
        <v>-90</v>
      </c>
      <c r="F93" s="443">
        <f>2*(D93+E93)/1000</f>
        <v>-0.36</v>
      </c>
      <c r="G93" s="440">
        <f>G27</f>
        <v>0</v>
      </c>
      <c r="H93" s="440">
        <f>H92</f>
        <v>0.27100000000000002</v>
      </c>
      <c r="I93" s="59">
        <f>ROUND(F93*G93*H93,3)</f>
        <v>0</v>
      </c>
      <c r="M93" s="42"/>
    </row>
    <row r="94" spans="2:14" ht="18" customHeight="1">
      <c r="B94" s="648"/>
      <c r="C94" s="658"/>
      <c r="D94" s="443">
        <f t="shared" si="16"/>
        <v>-90</v>
      </c>
      <c r="E94" s="443">
        <f t="shared" si="16"/>
        <v>-90</v>
      </c>
      <c r="F94" s="443">
        <f>2*(D94+E94)/1000</f>
        <v>-0.36</v>
      </c>
      <c r="G94" s="440">
        <f>G28</f>
        <v>0</v>
      </c>
      <c r="H94" s="440">
        <f>H93</f>
        <v>0.27100000000000002</v>
      </c>
      <c r="I94" s="59">
        <f>ROUND(F94*G94*H94,3)</f>
        <v>0</v>
      </c>
    </row>
    <row r="95" spans="2:14" ht="18" customHeight="1">
      <c r="B95" s="648"/>
      <c r="C95" s="658"/>
      <c r="D95" s="443">
        <f t="shared" si="16"/>
        <v>-90</v>
      </c>
      <c r="E95" s="443">
        <f t="shared" si="16"/>
        <v>-90</v>
      </c>
      <c r="F95" s="443">
        <f>2*(D95+E95)/1000</f>
        <v>-0.36</v>
      </c>
      <c r="G95" s="440">
        <f>G29</f>
        <v>0</v>
      </c>
      <c r="H95" s="440">
        <f>H94</f>
        <v>0.27100000000000002</v>
      </c>
      <c r="I95" s="59">
        <f>ROUND(F95*G95*H95,3)</f>
        <v>0</v>
      </c>
    </row>
    <row r="96" spans="2:14" ht="18" customHeight="1">
      <c r="B96" s="648"/>
      <c r="C96" s="659"/>
      <c r="D96" s="443">
        <f t="shared" si="16"/>
        <v>-90</v>
      </c>
      <c r="E96" s="443">
        <f t="shared" si="16"/>
        <v>-90</v>
      </c>
      <c r="F96" s="443">
        <f>2*(D96+E96)/1000</f>
        <v>-0.36</v>
      </c>
      <c r="G96" s="440">
        <f>G30</f>
        <v>0</v>
      </c>
      <c r="H96" s="440">
        <f>H95</f>
        <v>0.27100000000000002</v>
      </c>
      <c r="I96" s="59">
        <f>ROUND(F96*G96*H96,3)</f>
        <v>0</v>
      </c>
    </row>
    <row r="97" spans="2:13" ht="18" customHeight="1">
      <c r="B97" s="48" t="s">
        <v>42</v>
      </c>
      <c r="C97" s="49">
        <f>SUMPRODUCT(F92:F96*G92:G96)</f>
        <v>0</v>
      </c>
      <c r="D97" s="50" t="s">
        <v>43</v>
      </c>
      <c r="E97" s="49">
        <f>SUM(I92:I96)*1.1</f>
        <v>0</v>
      </c>
      <c r="F97" s="50" t="s">
        <v>44</v>
      </c>
      <c r="G97" s="51">
        <f>(C$218+C$222)/1000</f>
        <v>39.781500000000001</v>
      </c>
      <c r="H97" s="52" t="s">
        <v>45</v>
      </c>
      <c r="I97" s="53">
        <f>ROUND(E97*G97,2)</f>
        <v>0</v>
      </c>
    </row>
    <row r="98" spans="2:13" ht="18" customHeight="1">
      <c r="B98" s="48" t="s">
        <v>46</v>
      </c>
      <c r="C98" s="50">
        <v>186.72</v>
      </c>
      <c r="D98" s="50" t="s">
        <v>47</v>
      </c>
      <c r="E98" s="49">
        <f>ROUND(C97*(C98/1000),2)</f>
        <v>0</v>
      </c>
      <c r="F98" s="50" t="s">
        <v>48</v>
      </c>
      <c r="G98" s="50">
        <f>G$23</f>
        <v>10</v>
      </c>
      <c r="H98" s="52" t="s">
        <v>49</v>
      </c>
      <c r="I98" s="53">
        <f>E98*G98</f>
        <v>0</v>
      </c>
    </row>
    <row r="99" spans="2:13" ht="18" customHeight="1">
      <c r="B99" s="48" t="s">
        <v>50</v>
      </c>
      <c r="C99" s="50">
        <v>0</v>
      </c>
      <c r="D99" s="50" t="s">
        <v>51</v>
      </c>
      <c r="E99" s="49">
        <f>ROUND(C97*(C99/1000),2)</f>
        <v>0</v>
      </c>
      <c r="F99" s="50" t="s">
        <v>48</v>
      </c>
      <c r="G99" s="50">
        <f>G$24</f>
        <v>10</v>
      </c>
      <c r="H99" s="52" t="s">
        <v>49</v>
      </c>
      <c r="I99" s="53">
        <f>E99*G99</f>
        <v>0</v>
      </c>
    </row>
    <row r="100" spans="2:13" ht="18" customHeight="1">
      <c r="B100" s="23" t="s">
        <v>36</v>
      </c>
      <c r="C100" s="442" t="s">
        <v>14</v>
      </c>
      <c r="D100" s="442" t="s">
        <v>37</v>
      </c>
      <c r="E100" s="442" t="s">
        <v>38</v>
      </c>
      <c r="F100" s="442" t="s">
        <v>39</v>
      </c>
      <c r="G100" s="442" t="s">
        <v>8</v>
      </c>
      <c r="H100" s="442" t="s">
        <v>22</v>
      </c>
      <c r="I100" s="25" t="s">
        <v>40</v>
      </c>
    </row>
    <row r="101" spans="2:13" ht="18" customHeight="1">
      <c r="B101" s="648" t="s">
        <v>84</v>
      </c>
      <c r="C101" s="653" t="str">
        <f>C92</f>
        <v>SDL2281</v>
      </c>
      <c r="D101" s="443">
        <f>D35-122</f>
        <v>-122</v>
      </c>
      <c r="E101" s="443">
        <f t="shared" ref="D101:E103" si="17">E35-122</f>
        <v>-122</v>
      </c>
      <c r="F101" s="443">
        <f>2*(D101+E101)/1000</f>
        <v>-0.48799999999999999</v>
      </c>
      <c r="G101" s="440">
        <f>G35</f>
        <v>0</v>
      </c>
      <c r="H101" s="440">
        <f>H96</f>
        <v>0.27100000000000002</v>
      </c>
      <c r="I101" s="59">
        <f>ROUND(F101*G101*H101,3)</f>
        <v>0</v>
      </c>
    </row>
    <row r="102" spans="2:13" ht="18" customHeight="1">
      <c r="B102" s="648"/>
      <c r="C102" s="650"/>
      <c r="D102" s="443">
        <f t="shared" si="17"/>
        <v>-122</v>
      </c>
      <c r="E102" s="443">
        <f t="shared" si="17"/>
        <v>-122</v>
      </c>
      <c r="F102" s="443">
        <f>2*(D102+E102)/1000</f>
        <v>-0.48799999999999999</v>
      </c>
      <c r="G102" s="440">
        <f>G36</f>
        <v>0</v>
      </c>
      <c r="H102" s="440">
        <f>H101</f>
        <v>0.27100000000000002</v>
      </c>
      <c r="I102" s="59">
        <f>ROUND(F102*G102*H102,3)</f>
        <v>0</v>
      </c>
      <c r="K102" s="99"/>
      <c r="M102" s="99"/>
    </row>
    <row r="103" spans="2:13" ht="18" customHeight="1">
      <c r="B103" s="648"/>
      <c r="C103" s="651"/>
      <c r="D103" s="443">
        <f t="shared" si="17"/>
        <v>-122</v>
      </c>
      <c r="E103" s="443">
        <f t="shared" si="17"/>
        <v>-122</v>
      </c>
      <c r="F103" s="443">
        <f>2*(D103+E103)/1000</f>
        <v>-0.48799999999999999</v>
      </c>
      <c r="G103" s="440">
        <f>G37</f>
        <v>0</v>
      </c>
      <c r="H103" s="440">
        <f>H102</f>
        <v>0.27100000000000002</v>
      </c>
      <c r="I103" s="59">
        <f>ROUND(F103*G103*H103,3)</f>
        <v>0</v>
      </c>
      <c r="M103" s="99"/>
    </row>
    <row r="104" spans="2:13" ht="18" customHeight="1">
      <c r="B104" s="48" t="s">
        <v>42</v>
      </c>
      <c r="C104" s="49">
        <f>SUMPRODUCT(F101:F103*G101:G103)</f>
        <v>0</v>
      </c>
      <c r="D104" s="50" t="s">
        <v>43</v>
      </c>
      <c r="E104" s="49">
        <f>SUM(I101:I103)*1.1</f>
        <v>0</v>
      </c>
      <c r="F104" s="50" t="s">
        <v>44</v>
      </c>
      <c r="G104" s="51">
        <f>(C$218+C$222)/1000</f>
        <v>39.781500000000001</v>
      </c>
      <c r="H104" s="52" t="s">
        <v>45</v>
      </c>
      <c r="I104" s="53">
        <f>ROUND(E104*G104,2)</f>
        <v>0</v>
      </c>
    </row>
    <row r="105" spans="2:13" ht="18" customHeight="1">
      <c r="B105" s="48" t="s">
        <v>46</v>
      </c>
      <c r="C105" s="50">
        <v>186.72</v>
      </c>
      <c r="D105" s="50" t="s">
        <v>47</v>
      </c>
      <c r="E105" s="49">
        <f>ROUND(C104*(C105/1000),2)</f>
        <v>0</v>
      </c>
      <c r="F105" s="50" t="s">
        <v>48</v>
      </c>
      <c r="G105" s="50">
        <f>G$23</f>
        <v>10</v>
      </c>
      <c r="H105" s="52" t="s">
        <v>49</v>
      </c>
      <c r="I105" s="53">
        <f>ROUND(E105*G105,2)</f>
        <v>0</v>
      </c>
    </row>
    <row r="106" spans="2:13" ht="18" customHeight="1">
      <c r="B106" s="48" t="s">
        <v>50</v>
      </c>
      <c r="C106" s="50">
        <v>0</v>
      </c>
      <c r="D106" s="50" t="s">
        <v>51</v>
      </c>
      <c r="E106" s="49">
        <f>ROUND(C104*(C106/1000),2)</f>
        <v>0</v>
      </c>
      <c r="F106" s="50" t="s">
        <v>48</v>
      </c>
      <c r="G106" s="50">
        <f>G$24</f>
        <v>10</v>
      </c>
      <c r="H106" s="52" t="s">
        <v>49</v>
      </c>
      <c r="I106" s="53">
        <f>ROUND(E106*G106,2)</f>
        <v>0</v>
      </c>
    </row>
    <row r="107" spans="2:13" ht="18" customHeight="1">
      <c r="B107" s="23" t="s">
        <v>36</v>
      </c>
      <c r="C107" s="442" t="s">
        <v>14</v>
      </c>
      <c r="D107" s="442" t="s">
        <v>37</v>
      </c>
      <c r="E107" s="442" t="s">
        <v>38</v>
      </c>
      <c r="F107" s="442" t="s">
        <v>39</v>
      </c>
      <c r="G107" s="442" t="s">
        <v>8</v>
      </c>
      <c r="H107" s="442" t="s">
        <v>22</v>
      </c>
      <c r="I107" s="25" t="s">
        <v>40</v>
      </c>
    </row>
    <row r="108" spans="2:13" ht="18" customHeight="1">
      <c r="B108" s="648" t="s">
        <v>85</v>
      </c>
      <c r="C108" s="655" t="s">
        <v>86</v>
      </c>
      <c r="D108" s="440"/>
      <c r="E108" s="440"/>
      <c r="F108" s="440">
        <f>ROUND((D108+E108)*2/1000,4)</f>
        <v>0</v>
      </c>
      <c r="G108" s="440"/>
      <c r="H108" s="440">
        <v>1.857</v>
      </c>
      <c r="I108" s="59">
        <f>ROUND(F108*G108*H108,3)</f>
        <v>0</v>
      </c>
    </row>
    <row r="109" spans="2:13" ht="18" customHeight="1">
      <c r="B109" s="648"/>
      <c r="C109" s="656"/>
      <c r="D109" s="440"/>
      <c r="E109" s="440"/>
      <c r="F109" s="440">
        <f>ROUND((D109+E109)*2/1000,4)</f>
        <v>0</v>
      </c>
      <c r="G109" s="440"/>
      <c r="H109" s="440">
        <f>H108</f>
        <v>1.857</v>
      </c>
      <c r="I109" s="59">
        <f>ROUND(F109*G109*H109,3)</f>
        <v>0</v>
      </c>
      <c r="K109" s="42"/>
      <c r="L109" s="42"/>
      <c r="M109" s="42"/>
    </row>
    <row r="110" spans="2:13" ht="18" customHeight="1">
      <c r="B110" s="648"/>
      <c r="C110" s="656"/>
      <c r="D110" s="440"/>
      <c r="E110" s="440"/>
      <c r="F110" s="440">
        <f>ROUND((D110+E110)*2/1000,4)</f>
        <v>0</v>
      </c>
      <c r="G110" s="440"/>
      <c r="H110" s="440">
        <f>H109</f>
        <v>1.857</v>
      </c>
      <c r="I110" s="59">
        <f>ROUND(F110*G110*H110,3)</f>
        <v>0</v>
      </c>
      <c r="K110" s="42"/>
      <c r="L110" s="42"/>
      <c r="M110" s="42"/>
    </row>
    <row r="111" spans="2:13" ht="18" customHeight="1">
      <c r="B111" s="648"/>
      <c r="C111" s="657"/>
      <c r="D111" s="440"/>
      <c r="E111" s="440"/>
      <c r="F111" s="440">
        <f>ROUND((D111+E111)*2/1000,4)</f>
        <v>0</v>
      </c>
      <c r="G111" s="440"/>
      <c r="H111" s="440">
        <f>H110</f>
        <v>1.857</v>
      </c>
      <c r="I111" s="59">
        <f>ROUND(F111*G111*H111,3)</f>
        <v>0</v>
      </c>
      <c r="K111" s="42"/>
      <c r="L111" s="42"/>
      <c r="M111" s="42"/>
    </row>
    <row r="112" spans="2:13" ht="18" customHeight="1">
      <c r="B112" s="48" t="s">
        <v>42</v>
      </c>
      <c r="C112" s="49">
        <f>SUMPRODUCT(F108:F111*G108:G111)</f>
        <v>0</v>
      </c>
      <c r="D112" s="50" t="s">
        <v>43</v>
      </c>
      <c r="E112" s="49">
        <f>SUM(I108:I111)*1.1</f>
        <v>0</v>
      </c>
      <c r="F112" s="50" t="s">
        <v>44</v>
      </c>
      <c r="G112" s="51">
        <f>(C$218+C$219)/1000</f>
        <v>46.081499999999998</v>
      </c>
      <c r="H112" s="52" t="s">
        <v>45</v>
      </c>
      <c r="I112" s="53">
        <f>ROUND(E112*G112,2)</f>
        <v>0</v>
      </c>
      <c r="J112" s="243">
        <f>SUM(G108:G111)</f>
        <v>0</v>
      </c>
      <c r="K112" s="42"/>
      <c r="L112" s="42"/>
      <c r="M112" s="42"/>
    </row>
    <row r="113" spans="2:14" ht="18" customHeight="1">
      <c r="B113" s="48" t="s">
        <v>46</v>
      </c>
      <c r="C113" s="50">
        <v>241.03</v>
      </c>
      <c r="D113" s="50" t="s">
        <v>47</v>
      </c>
      <c r="E113" s="49">
        <f>ROUND(C112*(C113/1000),2)</f>
        <v>0</v>
      </c>
      <c r="F113" s="50" t="s">
        <v>48</v>
      </c>
      <c r="G113" s="50">
        <f>G$23</f>
        <v>10</v>
      </c>
      <c r="H113" s="52" t="s">
        <v>49</v>
      </c>
      <c r="I113" s="53">
        <f>E113*G113</f>
        <v>0</v>
      </c>
      <c r="K113" s="42"/>
      <c r="L113" s="42"/>
      <c r="M113" s="42"/>
    </row>
    <row r="114" spans="2:14" ht="18" customHeight="1" thickBot="1">
      <c r="B114" s="48" t="s">
        <v>50</v>
      </c>
      <c r="C114" s="50">
        <v>204.38</v>
      </c>
      <c r="D114" s="50" t="s">
        <v>51</v>
      </c>
      <c r="E114" s="49">
        <f>ROUND(C112*(C114/1000),2)</f>
        <v>0</v>
      </c>
      <c r="F114" s="50" t="s">
        <v>48</v>
      </c>
      <c r="G114" s="50">
        <f>G$24</f>
        <v>10</v>
      </c>
      <c r="H114" s="52" t="s">
        <v>49</v>
      </c>
      <c r="I114" s="53">
        <f>E114*G114</f>
        <v>0</v>
      </c>
    </row>
    <row r="115" spans="2:14" ht="18" customHeight="1" thickBot="1">
      <c r="B115" s="23" t="s">
        <v>36</v>
      </c>
      <c r="C115" s="442" t="s">
        <v>14</v>
      </c>
      <c r="D115" s="442" t="s">
        <v>37</v>
      </c>
      <c r="E115" s="442" t="s">
        <v>38</v>
      </c>
      <c r="F115" s="442" t="s">
        <v>39</v>
      </c>
      <c r="G115" s="442" t="s">
        <v>8</v>
      </c>
      <c r="H115" s="442" t="s">
        <v>22</v>
      </c>
      <c r="I115" s="25" t="s">
        <v>40</v>
      </c>
      <c r="J115" s="54" t="s">
        <v>2</v>
      </c>
      <c r="K115" s="55" t="s">
        <v>3</v>
      </c>
      <c r="L115" s="55" t="s">
        <v>61</v>
      </c>
      <c r="M115" s="55" t="s">
        <v>62</v>
      </c>
      <c r="N115" s="70" t="s">
        <v>14</v>
      </c>
    </row>
    <row r="116" spans="2:14" ht="18" customHeight="1">
      <c r="B116" s="648" t="s">
        <v>87</v>
      </c>
      <c r="C116" s="649" t="s">
        <v>88</v>
      </c>
      <c r="D116" s="443">
        <f t="shared" ref="D116:E118" si="18">J116-IF(L116=1,78,IF(L116=2,55.5,IF(L116=3,41,0)))</f>
        <v>0</v>
      </c>
      <c r="E116" s="443">
        <f t="shared" si="18"/>
        <v>0</v>
      </c>
      <c r="F116" s="440">
        <f>ROUND((D116+E116)*2/1000,4)</f>
        <v>0</v>
      </c>
      <c r="G116" s="440"/>
      <c r="H116" s="58">
        <v>2.456</v>
      </c>
      <c r="I116" s="59">
        <f>ROUND(F116*G116*H116,3)</f>
        <v>0</v>
      </c>
      <c r="J116" s="60"/>
      <c r="K116" s="61"/>
      <c r="L116" s="61"/>
      <c r="M116" s="61"/>
      <c r="N116" s="76" t="s">
        <v>56</v>
      </c>
    </row>
    <row r="117" spans="2:14" ht="18" customHeight="1">
      <c r="B117" s="648"/>
      <c r="C117" s="650"/>
      <c r="D117" s="443">
        <f t="shared" si="18"/>
        <v>0</v>
      </c>
      <c r="E117" s="443">
        <f t="shared" si="18"/>
        <v>0</v>
      </c>
      <c r="F117" s="440">
        <f>ROUND((D117+E117)*2/1000,4)</f>
        <v>0</v>
      </c>
      <c r="G117" s="440">
        <v>0</v>
      </c>
      <c r="H117" s="58">
        <f>H116</f>
        <v>2.456</v>
      </c>
      <c r="I117" s="59">
        <f>ROUND(F117*G117*H117,3)</f>
        <v>0</v>
      </c>
      <c r="J117" s="60"/>
      <c r="K117" s="61"/>
      <c r="L117" s="61"/>
      <c r="M117" s="61"/>
      <c r="N117" s="76" t="s">
        <v>58</v>
      </c>
    </row>
    <row r="118" spans="2:14" ht="18" customHeight="1" thickBot="1">
      <c r="B118" s="648"/>
      <c r="C118" s="651"/>
      <c r="D118" s="443">
        <f t="shared" si="18"/>
        <v>0</v>
      </c>
      <c r="E118" s="443">
        <f t="shared" si="18"/>
        <v>0</v>
      </c>
      <c r="F118" s="440">
        <f>ROUND((D118+E118)*2/1000,4)</f>
        <v>0</v>
      </c>
      <c r="G118" s="440">
        <v>0</v>
      </c>
      <c r="H118" s="58">
        <f>H117</f>
        <v>2.456</v>
      </c>
      <c r="I118" s="59">
        <f>ROUND(F118*G118*H118,3)</f>
        <v>0</v>
      </c>
      <c r="J118" s="64"/>
      <c r="K118" s="65"/>
      <c r="L118" s="65"/>
      <c r="M118" s="65"/>
      <c r="N118" s="80" t="s">
        <v>89</v>
      </c>
    </row>
    <row r="119" spans="2:14" ht="18" customHeight="1">
      <c r="B119" s="48" t="s">
        <v>42</v>
      </c>
      <c r="C119" s="49">
        <f>SUMPRODUCT(F116:F118*G116:G118)</f>
        <v>0</v>
      </c>
      <c r="D119" s="100" t="s">
        <v>43</v>
      </c>
      <c r="E119" s="100">
        <f>SUM(I116:I118)*1.1</f>
        <v>0</v>
      </c>
      <c r="F119" s="50" t="s">
        <v>44</v>
      </c>
      <c r="G119" s="51">
        <f>(C$218+C$219)/1000</f>
        <v>46.081499999999998</v>
      </c>
      <c r="H119" s="52" t="s">
        <v>45</v>
      </c>
      <c r="I119" s="53">
        <f>ROUND(E119*G119,2)</f>
        <v>0</v>
      </c>
      <c r="J119" s="243">
        <f>SUM(G116:G118)</f>
        <v>0</v>
      </c>
      <c r="K119" s="255"/>
      <c r="L119" s="255"/>
      <c r="M119" s="255"/>
    </row>
    <row r="120" spans="2:14" ht="18" customHeight="1">
      <c r="B120" s="48" t="s">
        <v>46</v>
      </c>
      <c r="C120" s="50">
        <v>350.56</v>
      </c>
      <c r="D120" s="100" t="s">
        <v>47</v>
      </c>
      <c r="E120" s="100">
        <f>ROUND(C119*(C120/1000),2)</f>
        <v>0</v>
      </c>
      <c r="F120" s="50" t="s">
        <v>48</v>
      </c>
      <c r="G120" s="50">
        <f>G$23</f>
        <v>10</v>
      </c>
      <c r="H120" s="52" t="s">
        <v>49</v>
      </c>
      <c r="I120" s="53">
        <f>E120*G120</f>
        <v>0</v>
      </c>
      <c r="J120" s="255"/>
      <c r="K120" s="255"/>
      <c r="L120" s="255"/>
      <c r="M120" s="255"/>
    </row>
    <row r="121" spans="2:14" ht="18" customHeight="1" thickBot="1">
      <c r="B121" s="48" t="s">
        <v>50</v>
      </c>
      <c r="C121" s="50">
        <v>189.03</v>
      </c>
      <c r="D121" s="100" t="s">
        <v>51</v>
      </c>
      <c r="E121" s="100">
        <f>ROUND(C119*(C121/1000),2)</f>
        <v>0</v>
      </c>
      <c r="F121" s="50" t="s">
        <v>48</v>
      </c>
      <c r="G121" s="50">
        <f>G$24</f>
        <v>10</v>
      </c>
      <c r="H121" s="52" t="s">
        <v>49</v>
      </c>
      <c r="I121" s="53">
        <f>E121*G121</f>
        <v>0</v>
      </c>
      <c r="J121" s="255"/>
    </row>
    <row r="122" spans="2:14" ht="18" customHeight="1" thickBot="1">
      <c r="B122" s="23" t="s">
        <v>36</v>
      </c>
      <c r="C122" s="442" t="s">
        <v>14</v>
      </c>
      <c r="D122" s="101" t="s">
        <v>37</v>
      </c>
      <c r="E122" s="101" t="s">
        <v>38</v>
      </c>
      <c r="F122" s="442" t="s">
        <v>39</v>
      </c>
      <c r="G122" s="442" t="s">
        <v>8</v>
      </c>
      <c r="H122" s="442" t="s">
        <v>22</v>
      </c>
      <c r="I122" s="25" t="s">
        <v>40</v>
      </c>
      <c r="J122" s="54" t="s">
        <v>2</v>
      </c>
      <c r="K122" s="55" t="s">
        <v>3</v>
      </c>
      <c r="L122" s="55" t="s">
        <v>61</v>
      </c>
      <c r="M122" s="55" t="s">
        <v>62</v>
      </c>
      <c r="N122" s="70" t="s">
        <v>14</v>
      </c>
    </row>
    <row r="123" spans="2:14" ht="18" customHeight="1">
      <c r="B123" s="648" t="s">
        <v>90</v>
      </c>
      <c r="C123" s="649" t="s">
        <v>91</v>
      </c>
      <c r="D123" s="443">
        <f t="shared" ref="D123:E125" si="19">J123-IF(L123=1,78,IF(L123=2,55.5,IF(L123=3,41,0)))</f>
        <v>0</v>
      </c>
      <c r="E123" s="443">
        <f t="shared" si="19"/>
        <v>0</v>
      </c>
      <c r="F123" s="440">
        <f>ROUND((D123+E123)*2/1000,4)</f>
        <v>0</v>
      </c>
      <c r="G123" s="440"/>
      <c r="H123" s="58">
        <v>2.4710000000000001</v>
      </c>
      <c r="I123" s="59">
        <f>ROUND(F123*G123*H123,3)</f>
        <v>0</v>
      </c>
      <c r="J123" s="60"/>
      <c r="K123" s="61"/>
      <c r="L123" s="61"/>
      <c r="M123" s="61"/>
      <c r="N123" s="76" t="s">
        <v>56</v>
      </c>
    </row>
    <row r="124" spans="2:14" ht="18" customHeight="1">
      <c r="B124" s="648"/>
      <c r="C124" s="650"/>
      <c r="D124" s="443">
        <f t="shared" si="19"/>
        <v>0</v>
      </c>
      <c r="E124" s="443">
        <f t="shared" si="19"/>
        <v>0</v>
      </c>
      <c r="F124" s="440">
        <f>ROUND((D124+E124)*2/1000,4)</f>
        <v>0</v>
      </c>
      <c r="G124" s="440"/>
      <c r="H124" s="58">
        <f>H123</f>
        <v>2.4710000000000001</v>
      </c>
      <c r="I124" s="59">
        <f>ROUND(F124*G124*H124,3)</f>
        <v>0</v>
      </c>
      <c r="J124" s="60"/>
      <c r="K124" s="61"/>
      <c r="L124" s="61"/>
      <c r="M124" s="61"/>
      <c r="N124" s="76" t="s">
        <v>58</v>
      </c>
    </row>
    <row r="125" spans="2:14" ht="18" customHeight="1" thickBot="1">
      <c r="B125" s="648"/>
      <c r="C125" s="651"/>
      <c r="D125" s="443">
        <f t="shared" si="19"/>
        <v>0</v>
      </c>
      <c r="E125" s="443">
        <f t="shared" si="19"/>
        <v>0</v>
      </c>
      <c r="F125" s="440">
        <f>ROUND((D125+E125)*2/1000,4)</f>
        <v>0</v>
      </c>
      <c r="G125" s="440"/>
      <c r="H125" s="58">
        <f>H124</f>
        <v>2.4710000000000001</v>
      </c>
      <c r="I125" s="59">
        <f>ROUND(F125*G125*H125,3)</f>
        <v>0</v>
      </c>
      <c r="J125" s="64"/>
      <c r="K125" s="65"/>
      <c r="L125" s="65"/>
      <c r="M125" s="65"/>
      <c r="N125" s="80" t="s">
        <v>89</v>
      </c>
    </row>
    <row r="126" spans="2:14" ht="18" customHeight="1">
      <c r="B126" s="48" t="s">
        <v>42</v>
      </c>
      <c r="C126" s="49">
        <f>SUMPRODUCT(F123:F125*G123:G125)</f>
        <v>0</v>
      </c>
      <c r="D126" s="50" t="s">
        <v>43</v>
      </c>
      <c r="E126" s="49">
        <f>SUM(I123:I125)*1.1</f>
        <v>0</v>
      </c>
      <c r="F126" s="50" t="s">
        <v>44</v>
      </c>
      <c r="G126" s="51">
        <f>(C$218+C$221)/1000</f>
        <v>46.081499999999998</v>
      </c>
      <c r="H126" s="52" t="s">
        <v>45</v>
      </c>
      <c r="I126" s="53">
        <f>ROUND(E126*G126,2)</f>
        <v>0</v>
      </c>
      <c r="J126" s="243">
        <f>SUM(G123:G125)</f>
        <v>0</v>
      </c>
      <c r="K126" s="255"/>
      <c r="L126" s="255"/>
      <c r="M126" s="255"/>
    </row>
    <row r="127" spans="2:14" ht="18" customHeight="1">
      <c r="B127" s="48" t="s">
        <v>46</v>
      </c>
      <c r="C127" s="50">
        <v>236.53</v>
      </c>
      <c r="D127" s="50" t="s">
        <v>47</v>
      </c>
      <c r="E127" s="49">
        <f>ROUND(C126*(C127/1000),2)</f>
        <v>0</v>
      </c>
      <c r="F127" s="50" t="s">
        <v>48</v>
      </c>
      <c r="G127" s="50">
        <f>G$23</f>
        <v>10</v>
      </c>
      <c r="H127" s="52" t="s">
        <v>49</v>
      </c>
      <c r="I127" s="53">
        <f>E127*G127</f>
        <v>0</v>
      </c>
      <c r="J127" s="255"/>
      <c r="K127" s="255"/>
      <c r="L127" s="255"/>
      <c r="M127" s="255"/>
    </row>
    <row r="128" spans="2:14" ht="18" customHeight="1" thickBot="1">
      <c r="B128" s="48" t="s">
        <v>50</v>
      </c>
      <c r="C128" s="50">
        <v>311.02999999999997</v>
      </c>
      <c r="D128" s="50" t="s">
        <v>51</v>
      </c>
      <c r="E128" s="49">
        <f>ROUND(C126*(C128/1000),2)</f>
        <v>0</v>
      </c>
      <c r="F128" s="50" t="s">
        <v>48</v>
      </c>
      <c r="G128" s="50">
        <f>G$24</f>
        <v>10</v>
      </c>
      <c r="H128" s="52" t="s">
        <v>49</v>
      </c>
      <c r="I128" s="53">
        <f>E128*G128</f>
        <v>0</v>
      </c>
      <c r="J128" s="255"/>
    </row>
    <row r="129" spans="2:14" ht="18" customHeight="1" thickBot="1">
      <c r="B129" s="23" t="s">
        <v>36</v>
      </c>
      <c r="C129" s="442" t="s">
        <v>14</v>
      </c>
      <c r="D129" s="442" t="s">
        <v>37</v>
      </c>
      <c r="E129" s="442" t="s">
        <v>71</v>
      </c>
      <c r="F129" s="442" t="s">
        <v>38</v>
      </c>
      <c r="G129" s="442" t="s">
        <v>72</v>
      </c>
      <c r="H129" s="442" t="s">
        <v>22</v>
      </c>
      <c r="I129" s="25" t="s">
        <v>40</v>
      </c>
      <c r="J129" s="54" t="s">
        <v>2</v>
      </c>
      <c r="K129" s="55" t="s">
        <v>3</v>
      </c>
      <c r="L129" s="55" t="s">
        <v>61</v>
      </c>
      <c r="M129" s="55" t="s">
        <v>62</v>
      </c>
      <c r="N129" s="70" t="s">
        <v>14</v>
      </c>
    </row>
    <row r="130" spans="2:14" ht="18" customHeight="1">
      <c r="B130" s="648" t="s">
        <v>92</v>
      </c>
      <c r="C130" s="649" t="s">
        <v>93</v>
      </c>
      <c r="D130" s="443">
        <f>J130-IF(L130=1,81,IF(L130=2,58.5,IF(L130=3,36,0)))</f>
        <v>0</v>
      </c>
      <c r="E130" s="443">
        <v>0</v>
      </c>
      <c r="F130" s="443">
        <f>K130-IF(M130=1,81,IF(M130=2,58.5,IF(M130=3,36,0)))</f>
        <v>0</v>
      </c>
      <c r="G130" s="440">
        <v>0</v>
      </c>
      <c r="H130" s="440">
        <v>2.0489999999999999</v>
      </c>
      <c r="I130" s="59">
        <f>ROUND((D130*E130+F130*G130)/1000*H130,3)</f>
        <v>0</v>
      </c>
      <c r="J130" s="60"/>
      <c r="K130" s="61"/>
      <c r="L130" s="61"/>
      <c r="M130" s="61"/>
      <c r="N130" s="76" t="s">
        <v>56</v>
      </c>
    </row>
    <row r="131" spans="2:14" ht="18" customHeight="1">
      <c r="B131" s="648"/>
      <c r="C131" s="650"/>
      <c r="D131" s="443">
        <f>J131-IF(L131=1,81,IF(L131=2,58.5,IF(L131=3,36,0)))</f>
        <v>0</v>
      </c>
      <c r="E131" s="443">
        <v>0</v>
      </c>
      <c r="F131" s="443">
        <f>K131-IF(M131=1,81,IF(M131=2,58.5,IF(M131=3,36,0)))</f>
        <v>0</v>
      </c>
      <c r="G131" s="440"/>
      <c r="H131" s="440">
        <f>H130</f>
        <v>2.0489999999999999</v>
      </c>
      <c r="I131" s="59">
        <f>ROUND((D131*E131+F131*G131)/1000*H131,3)</f>
        <v>0</v>
      </c>
      <c r="J131" s="60"/>
      <c r="K131" s="61"/>
      <c r="L131" s="61"/>
      <c r="M131" s="61"/>
      <c r="N131" s="76" t="s">
        <v>58</v>
      </c>
    </row>
    <row r="132" spans="2:14" ht="18" customHeight="1" thickBot="1">
      <c r="B132" s="648"/>
      <c r="C132" s="651"/>
      <c r="D132" s="443">
        <f>J132-IF(L132=1,81,IF(L132=2,58.5,IF(L132=3,36,0)))</f>
        <v>0</v>
      </c>
      <c r="E132" s="443"/>
      <c r="F132" s="443">
        <f>K132-IF(M132=1,81,IF(M132=2,58.5,IF(M132=3,36,0)))</f>
        <v>0</v>
      </c>
      <c r="G132" s="440"/>
      <c r="H132" s="440">
        <f>H131</f>
        <v>2.0489999999999999</v>
      </c>
      <c r="I132" s="59">
        <f>ROUND((D132*E132+F132*G132)/1000*H132,3)</f>
        <v>0</v>
      </c>
      <c r="J132" s="64"/>
      <c r="K132" s="65"/>
      <c r="L132" s="65"/>
      <c r="M132" s="65"/>
      <c r="N132" s="80" t="s">
        <v>89</v>
      </c>
    </row>
    <row r="133" spans="2:14" ht="18" customHeight="1">
      <c r="B133" s="48" t="s">
        <v>42</v>
      </c>
      <c r="C133" s="49">
        <f>SUMPRODUCT(D130:D132*E130:E132+F130:F132*G130:G132)/1000</f>
        <v>0</v>
      </c>
      <c r="D133" s="50" t="s">
        <v>43</v>
      </c>
      <c r="E133" s="49">
        <f>SUM(I130:I132)*1.1</f>
        <v>0</v>
      </c>
      <c r="F133" s="50" t="s">
        <v>44</v>
      </c>
      <c r="G133" s="51">
        <f>(C$218+C$219)/1000</f>
        <v>46.081499999999998</v>
      </c>
      <c r="H133" s="52" t="s">
        <v>45</v>
      </c>
      <c r="I133" s="53">
        <f>ROUND(E133*G133,2)</f>
        <v>0</v>
      </c>
      <c r="J133" s="243">
        <f>SUM(G130:G132)+SUM(E130:E132)</f>
        <v>0</v>
      </c>
    </row>
    <row r="134" spans="2:14" ht="18" customHeight="1">
      <c r="B134" s="48" t="s">
        <v>46</v>
      </c>
      <c r="C134" s="50">
        <v>298.42</v>
      </c>
      <c r="D134" s="50" t="s">
        <v>47</v>
      </c>
      <c r="E134" s="49">
        <f>ROUND(C133*(C134/1000),2)</f>
        <v>0</v>
      </c>
      <c r="F134" s="50" t="s">
        <v>48</v>
      </c>
      <c r="G134" s="50">
        <f>G$23</f>
        <v>10</v>
      </c>
      <c r="H134" s="52" t="s">
        <v>49</v>
      </c>
      <c r="I134" s="53">
        <f>ROUND(E134*G134,2)</f>
        <v>0</v>
      </c>
    </row>
    <row r="135" spans="2:14" ht="18" customHeight="1">
      <c r="B135" s="48" t="s">
        <v>50</v>
      </c>
      <c r="C135" s="50">
        <v>208.08</v>
      </c>
      <c r="D135" s="50" t="s">
        <v>51</v>
      </c>
      <c r="E135" s="49">
        <f>ROUND(C133*(C135/1000),2)</f>
        <v>0</v>
      </c>
      <c r="F135" s="50" t="s">
        <v>48</v>
      </c>
      <c r="G135" s="50">
        <f>G$24</f>
        <v>10</v>
      </c>
      <c r="H135" s="52" t="s">
        <v>49</v>
      </c>
      <c r="I135" s="53">
        <f>ROUND(E135*G135,2)</f>
        <v>0</v>
      </c>
    </row>
    <row r="136" spans="2:14" ht="18" customHeight="1">
      <c r="B136" s="23" t="s">
        <v>36</v>
      </c>
      <c r="C136" s="442" t="s">
        <v>14</v>
      </c>
      <c r="D136" s="652" t="s">
        <v>38</v>
      </c>
      <c r="E136" s="652"/>
      <c r="F136" s="652"/>
      <c r="G136" s="442" t="s">
        <v>72</v>
      </c>
      <c r="H136" s="442" t="s">
        <v>22</v>
      </c>
      <c r="I136" s="25" t="s">
        <v>40</v>
      </c>
    </row>
    <row r="137" spans="2:14" ht="18" customHeight="1">
      <c r="B137" s="648" t="s">
        <v>94</v>
      </c>
      <c r="C137" s="649" t="s">
        <v>95</v>
      </c>
      <c r="D137" s="654">
        <f>E116</f>
        <v>0</v>
      </c>
      <c r="E137" s="646"/>
      <c r="F137" s="646"/>
      <c r="G137" s="440"/>
      <c r="H137" s="440">
        <v>1.3360000000000001</v>
      </c>
      <c r="I137" s="59">
        <f>ROUND(D137*H137*G137/1000,3)</f>
        <v>0</v>
      </c>
    </row>
    <row r="138" spans="2:14" ht="18" customHeight="1">
      <c r="B138" s="648"/>
      <c r="C138" s="651"/>
      <c r="D138" s="654"/>
      <c r="E138" s="646"/>
      <c r="F138" s="646"/>
      <c r="G138" s="440"/>
      <c r="H138" s="440">
        <f>H137</f>
        <v>1.3360000000000001</v>
      </c>
      <c r="I138" s="59">
        <f>ROUND(D138*H138*G138/1000,3)</f>
        <v>0</v>
      </c>
    </row>
    <row r="139" spans="2:14" ht="18" customHeight="1">
      <c r="B139" s="48" t="s">
        <v>42</v>
      </c>
      <c r="C139" s="49">
        <f>SUMPRODUCT(D137:F138*G137:G138)/1000</f>
        <v>0</v>
      </c>
      <c r="D139" s="50" t="s">
        <v>43</v>
      </c>
      <c r="E139" s="49">
        <f>SUM(I137:I138)*1.1</f>
        <v>0</v>
      </c>
      <c r="F139" s="50" t="s">
        <v>44</v>
      </c>
      <c r="G139" s="51">
        <f>(C$218+C$219)/1000</f>
        <v>46.081499999999998</v>
      </c>
      <c r="H139" s="52" t="s">
        <v>45</v>
      </c>
      <c r="I139" s="53">
        <f>ROUND(E139*G139,2)</f>
        <v>0</v>
      </c>
    </row>
    <row r="140" spans="2:14" ht="18" customHeight="1">
      <c r="B140" s="48" t="s">
        <v>46</v>
      </c>
      <c r="C140" s="50">
        <v>143.24</v>
      </c>
      <c r="D140" s="50" t="s">
        <v>47</v>
      </c>
      <c r="E140" s="49">
        <f>ROUND(C139*(C140/1000),2)</f>
        <v>0</v>
      </c>
      <c r="F140" s="50" t="s">
        <v>48</v>
      </c>
      <c r="G140" s="50">
        <f>G$23</f>
        <v>10</v>
      </c>
      <c r="H140" s="52" t="s">
        <v>49</v>
      </c>
      <c r="I140" s="53">
        <f>E140*G140</f>
        <v>0</v>
      </c>
    </row>
    <row r="141" spans="2:14" ht="18" customHeight="1">
      <c r="B141" s="48" t="s">
        <v>50</v>
      </c>
      <c r="C141" s="50">
        <v>85.04</v>
      </c>
      <c r="D141" s="50" t="s">
        <v>51</v>
      </c>
      <c r="E141" s="49">
        <f>ROUND(C139*(C141/1000),2)</f>
        <v>0</v>
      </c>
      <c r="F141" s="50" t="s">
        <v>48</v>
      </c>
      <c r="G141" s="50">
        <f>G$24</f>
        <v>10</v>
      </c>
      <c r="H141" s="52" t="s">
        <v>49</v>
      </c>
      <c r="I141" s="53">
        <f>E141*G141</f>
        <v>0</v>
      </c>
    </row>
    <row r="142" spans="2:14" ht="18" customHeight="1">
      <c r="B142" s="23" t="s">
        <v>36</v>
      </c>
      <c r="C142" s="442" t="s">
        <v>14</v>
      </c>
      <c r="D142" s="442" t="s">
        <v>37</v>
      </c>
      <c r="E142" s="442" t="s">
        <v>38</v>
      </c>
      <c r="F142" s="442" t="s">
        <v>39</v>
      </c>
      <c r="G142" s="442" t="s">
        <v>8</v>
      </c>
      <c r="H142" s="442" t="s">
        <v>22</v>
      </c>
      <c r="I142" s="25" t="s">
        <v>40</v>
      </c>
    </row>
    <row r="143" spans="2:14" ht="18" customHeight="1">
      <c r="B143" s="648" t="s">
        <v>96</v>
      </c>
      <c r="C143" s="653" t="s">
        <v>83</v>
      </c>
      <c r="D143" s="443">
        <f t="shared" ref="D143:E145" si="20">D116-154</f>
        <v>-154</v>
      </c>
      <c r="E143" s="443">
        <f t="shared" si="20"/>
        <v>-154</v>
      </c>
      <c r="F143" s="443">
        <f>(D143+E143)*2/1000</f>
        <v>-0.61599999999999999</v>
      </c>
      <c r="G143" s="440">
        <f>G116</f>
        <v>0</v>
      </c>
      <c r="H143" s="440">
        <v>0.27100000000000002</v>
      </c>
      <c r="I143" s="59">
        <f>ROUND((F143*G143)*H143,3)</f>
        <v>0</v>
      </c>
    </row>
    <row r="144" spans="2:14" ht="18" customHeight="1">
      <c r="B144" s="648"/>
      <c r="C144" s="650"/>
      <c r="D144" s="443">
        <f t="shared" si="20"/>
        <v>-154</v>
      </c>
      <c r="E144" s="443">
        <f t="shared" si="20"/>
        <v>-154</v>
      </c>
      <c r="F144" s="443">
        <f>(D144+E144)*2/1000</f>
        <v>-0.61599999999999999</v>
      </c>
      <c r="G144" s="440">
        <f>G117</f>
        <v>0</v>
      </c>
      <c r="H144" s="440">
        <f>H143</f>
        <v>0.27100000000000002</v>
      </c>
      <c r="I144" s="59">
        <f>ROUND((F144*G144)*H144,3)</f>
        <v>0</v>
      </c>
    </row>
    <row r="145" spans="2:14" ht="18" customHeight="1">
      <c r="B145" s="648"/>
      <c r="C145" s="651"/>
      <c r="D145" s="443">
        <f t="shared" si="20"/>
        <v>-154</v>
      </c>
      <c r="E145" s="443">
        <f t="shared" si="20"/>
        <v>-154</v>
      </c>
      <c r="F145" s="443">
        <f>(D145+E145)*2/1000</f>
        <v>-0.61599999999999999</v>
      </c>
      <c r="G145" s="440">
        <f>G118</f>
        <v>0</v>
      </c>
      <c r="H145" s="440">
        <f>H144</f>
        <v>0.27100000000000002</v>
      </c>
      <c r="I145" s="59">
        <f>ROUND((F145*G145)*H145,3)</f>
        <v>0</v>
      </c>
    </row>
    <row r="146" spans="2:14" ht="18" customHeight="1">
      <c r="B146" s="48" t="s">
        <v>42</v>
      </c>
      <c r="C146" s="49">
        <f>SUMPRODUCT(F143:F145*G143:G145)</f>
        <v>0</v>
      </c>
      <c r="D146" s="50" t="s">
        <v>43</v>
      </c>
      <c r="E146" s="49">
        <f>SUM(I143:I145)*1.1</f>
        <v>0</v>
      </c>
      <c r="F146" s="50" t="s">
        <v>44</v>
      </c>
      <c r="G146" s="51">
        <f>(C$218+C$222)/1000</f>
        <v>39.781500000000001</v>
      </c>
      <c r="H146" s="52" t="s">
        <v>45</v>
      </c>
      <c r="I146" s="53">
        <f>ROUND(E146*G146,2)</f>
        <v>0</v>
      </c>
    </row>
    <row r="147" spans="2:14" ht="18" customHeight="1">
      <c r="B147" s="48" t="s">
        <v>46</v>
      </c>
      <c r="C147" s="50">
        <v>186.72</v>
      </c>
      <c r="D147" s="50" t="s">
        <v>47</v>
      </c>
      <c r="E147" s="49">
        <f>ROUND(C146*(C147/1000),2)</f>
        <v>0</v>
      </c>
      <c r="F147" s="50" t="s">
        <v>48</v>
      </c>
      <c r="G147" s="50">
        <f>G$23</f>
        <v>10</v>
      </c>
      <c r="H147" s="52" t="s">
        <v>49</v>
      </c>
      <c r="I147" s="53">
        <f>E147*G147</f>
        <v>0</v>
      </c>
      <c r="K147" s="42"/>
      <c r="L147" s="42"/>
      <c r="M147" s="42"/>
    </row>
    <row r="148" spans="2:14" ht="18" customHeight="1">
      <c r="B148" s="48" t="s">
        <v>50</v>
      </c>
      <c r="C148" s="50">
        <v>0</v>
      </c>
      <c r="D148" s="50" t="s">
        <v>51</v>
      </c>
      <c r="E148" s="49">
        <f>ROUND(C146*(C148/1000),2)</f>
        <v>0</v>
      </c>
      <c r="F148" s="50" t="s">
        <v>48</v>
      </c>
      <c r="G148" s="50">
        <f>G$24</f>
        <v>10</v>
      </c>
      <c r="H148" s="52" t="s">
        <v>49</v>
      </c>
      <c r="I148" s="53">
        <f>E148*G148</f>
        <v>0</v>
      </c>
      <c r="K148" s="42"/>
      <c r="L148" s="42"/>
      <c r="M148" s="42"/>
    </row>
    <row r="149" spans="2:14" ht="18" customHeight="1">
      <c r="B149" s="23" t="s">
        <v>36</v>
      </c>
      <c r="C149" s="442" t="s">
        <v>14</v>
      </c>
      <c r="D149" s="442" t="s">
        <v>37</v>
      </c>
      <c r="E149" s="442" t="s">
        <v>38</v>
      </c>
      <c r="F149" s="442" t="s">
        <v>39</v>
      </c>
      <c r="G149" s="442" t="s">
        <v>8</v>
      </c>
      <c r="H149" s="442" t="s">
        <v>22</v>
      </c>
      <c r="I149" s="25" t="s">
        <v>40</v>
      </c>
      <c r="K149" s="42"/>
      <c r="L149" s="42"/>
      <c r="M149" s="42"/>
    </row>
    <row r="150" spans="2:14" ht="18" customHeight="1">
      <c r="B150" s="648" t="s">
        <v>97</v>
      </c>
      <c r="C150" s="653" t="s">
        <v>83</v>
      </c>
      <c r="D150" s="443">
        <f t="shared" ref="D150:E152" si="21">D123-160</f>
        <v>-160</v>
      </c>
      <c r="E150" s="443">
        <f t="shared" si="21"/>
        <v>-160</v>
      </c>
      <c r="F150" s="443">
        <f>(D150+E150)*2/1000</f>
        <v>-0.64</v>
      </c>
      <c r="G150" s="440">
        <f>G123</f>
        <v>0</v>
      </c>
      <c r="H150" s="440">
        <f>H145</f>
        <v>0.27100000000000002</v>
      </c>
      <c r="I150" s="59">
        <f>ROUND((F150*G150)*H150,3)</f>
        <v>0</v>
      </c>
      <c r="K150" s="42"/>
      <c r="L150" s="42"/>
      <c r="M150" s="42"/>
    </row>
    <row r="151" spans="2:14" ht="18" customHeight="1">
      <c r="B151" s="648"/>
      <c r="C151" s="650"/>
      <c r="D151" s="443">
        <f t="shared" si="21"/>
        <v>-160</v>
      </c>
      <c r="E151" s="443">
        <f t="shared" si="21"/>
        <v>-160</v>
      </c>
      <c r="F151" s="443">
        <f>(D151+E151)*2/1000</f>
        <v>-0.64</v>
      </c>
      <c r="G151" s="440">
        <f>G124</f>
        <v>0</v>
      </c>
      <c r="H151" s="440">
        <f>H150</f>
        <v>0.27100000000000002</v>
      </c>
      <c r="I151" s="59">
        <f>ROUND((F151*G151)*H151,3)</f>
        <v>0</v>
      </c>
      <c r="K151" s="42"/>
      <c r="L151" s="42"/>
      <c r="M151" s="42"/>
    </row>
    <row r="152" spans="2:14" ht="18" customHeight="1">
      <c r="B152" s="648"/>
      <c r="C152" s="651"/>
      <c r="D152" s="443">
        <f t="shared" si="21"/>
        <v>-160</v>
      </c>
      <c r="E152" s="443">
        <f t="shared" si="21"/>
        <v>-160</v>
      </c>
      <c r="F152" s="443">
        <f>(D152+E152)*2/1000</f>
        <v>-0.64</v>
      </c>
      <c r="G152" s="440">
        <f>G125</f>
        <v>0</v>
      </c>
      <c r="H152" s="440">
        <f>H151</f>
        <v>0.27100000000000002</v>
      </c>
      <c r="I152" s="59">
        <f>ROUND((F152*G152)*H152,3)</f>
        <v>0</v>
      </c>
      <c r="K152" s="42"/>
      <c r="L152" s="42"/>
      <c r="M152" s="42"/>
    </row>
    <row r="153" spans="2:14" ht="18" customHeight="1">
      <c r="B153" s="48" t="s">
        <v>42</v>
      </c>
      <c r="C153" s="49">
        <f>SUMPRODUCT(F150:F152*G150:G152)</f>
        <v>0</v>
      </c>
      <c r="D153" s="50" t="s">
        <v>43</v>
      </c>
      <c r="E153" s="49">
        <f>SUM(I150:I152)*1.1</f>
        <v>0</v>
      </c>
      <c r="F153" s="50" t="s">
        <v>44</v>
      </c>
      <c r="G153" s="51">
        <f>(C$218+C$222)/1000</f>
        <v>39.781500000000001</v>
      </c>
      <c r="H153" s="52" t="s">
        <v>45</v>
      </c>
      <c r="I153" s="53">
        <f>ROUND(E153*G153,2)</f>
        <v>0</v>
      </c>
      <c r="K153" s="42"/>
      <c r="L153" s="42"/>
      <c r="M153" s="42"/>
    </row>
    <row r="154" spans="2:14" ht="18" customHeight="1">
      <c r="B154" s="48" t="s">
        <v>46</v>
      </c>
      <c r="C154" s="50">
        <v>186.72</v>
      </c>
      <c r="D154" s="50" t="s">
        <v>47</v>
      </c>
      <c r="E154" s="49">
        <f>ROUND(C153*(C154/1000),2)</f>
        <v>0</v>
      </c>
      <c r="F154" s="50" t="s">
        <v>48</v>
      </c>
      <c r="G154" s="50">
        <f>G$23</f>
        <v>10</v>
      </c>
      <c r="H154" s="52" t="s">
        <v>49</v>
      </c>
      <c r="I154" s="53">
        <f>E154*G154</f>
        <v>0</v>
      </c>
    </row>
    <row r="155" spans="2:14" ht="18" customHeight="1" thickBot="1">
      <c r="B155" s="48" t="s">
        <v>50</v>
      </c>
      <c r="C155" s="50">
        <v>0</v>
      </c>
      <c r="D155" s="50" t="s">
        <v>51</v>
      </c>
      <c r="E155" s="49">
        <f>ROUND(C153*(C155/1000),2)</f>
        <v>0</v>
      </c>
      <c r="F155" s="50" t="s">
        <v>48</v>
      </c>
      <c r="G155" s="50">
        <f>G$24</f>
        <v>10</v>
      </c>
      <c r="H155" s="52" t="s">
        <v>49</v>
      </c>
      <c r="I155" s="53">
        <f>E155*G155</f>
        <v>0</v>
      </c>
    </row>
    <row r="156" spans="2:14" ht="18" customHeight="1" thickBot="1">
      <c r="B156" s="23" t="s">
        <v>36</v>
      </c>
      <c r="C156" s="442" t="s">
        <v>14</v>
      </c>
      <c r="D156" s="442" t="s">
        <v>37</v>
      </c>
      <c r="E156" s="442" t="s">
        <v>38</v>
      </c>
      <c r="F156" s="442" t="s">
        <v>39</v>
      </c>
      <c r="G156" s="442" t="s">
        <v>8</v>
      </c>
      <c r="H156" s="442" t="s">
        <v>22</v>
      </c>
      <c r="I156" s="25" t="s">
        <v>40</v>
      </c>
      <c r="J156" s="54" t="s">
        <v>2</v>
      </c>
      <c r="K156" s="55" t="s">
        <v>3</v>
      </c>
      <c r="L156" s="55" t="s">
        <v>61</v>
      </c>
      <c r="M156" s="55" t="s">
        <v>62</v>
      </c>
      <c r="N156" s="70" t="s">
        <v>14</v>
      </c>
    </row>
    <row r="157" spans="2:14" ht="18" customHeight="1">
      <c r="B157" s="648" t="s">
        <v>98</v>
      </c>
      <c r="C157" s="649" t="s">
        <v>99</v>
      </c>
      <c r="D157" s="443">
        <f t="shared" ref="D157:E162" si="22">J157-IF(L157=1,90,IF(L157=2,67.5,IF(L157=3,45,0)))</f>
        <v>0</v>
      </c>
      <c r="E157" s="443">
        <f t="shared" si="22"/>
        <v>0</v>
      </c>
      <c r="F157" s="443">
        <f t="shared" ref="F157:F162" si="23">2*(D157+E157)/1000</f>
        <v>0</v>
      </c>
      <c r="G157" s="440">
        <v>0</v>
      </c>
      <c r="H157" s="440">
        <f>H68</f>
        <v>0.224</v>
      </c>
      <c r="I157" s="59">
        <f t="shared" ref="I157:I162" si="24">ROUND((F157*G157)*H157,3)</f>
        <v>0</v>
      </c>
      <c r="J157" s="60"/>
      <c r="K157" s="61"/>
      <c r="L157" s="61"/>
      <c r="M157" s="61"/>
      <c r="N157" s="76" t="s">
        <v>56</v>
      </c>
    </row>
    <row r="158" spans="2:14" ht="18" customHeight="1">
      <c r="B158" s="648"/>
      <c r="C158" s="650"/>
      <c r="D158" s="443">
        <f t="shared" si="22"/>
        <v>0</v>
      </c>
      <c r="E158" s="443">
        <f t="shared" si="22"/>
        <v>0</v>
      </c>
      <c r="F158" s="443">
        <f t="shared" si="23"/>
        <v>0</v>
      </c>
      <c r="G158" s="440"/>
      <c r="H158" s="440">
        <f>H157</f>
        <v>0.224</v>
      </c>
      <c r="I158" s="59">
        <f t="shared" si="24"/>
        <v>0</v>
      </c>
      <c r="J158" s="60"/>
      <c r="K158" s="61"/>
      <c r="L158" s="61"/>
      <c r="M158" s="61"/>
      <c r="N158" s="76" t="s">
        <v>58</v>
      </c>
    </row>
    <row r="159" spans="2:14" ht="18" customHeight="1">
      <c r="B159" s="648"/>
      <c r="C159" s="650"/>
      <c r="D159" s="443">
        <f t="shared" si="22"/>
        <v>0</v>
      </c>
      <c r="E159" s="443">
        <f t="shared" si="22"/>
        <v>0</v>
      </c>
      <c r="F159" s="443">
        <f t="shared" si="23"/>
        <v>0</v>
      </c>
      <c r="G159" s="440"/>
      <c r="H159" s="440">
        <f>H158</f>
        <v>0.224</v>
      </c>
      <c r="I159" s="59">
        <f t="shared" si="24"/>
        <v>0</v>
      </c>
      <c r="J159" s="60"/>
      <c r="K159" s="61"/>
      <c r="L159" s="61"/>
      <c r="M159" s="61"/>
      <c r="N159" s="76" t="s">
        <v>60</v>
      </c>
    </row>
    <row r="160" spans="2:14" ht="18" customHeight="1">
      <c r="B160" s="648"/>
      <c r="C160" s="650"/>
      <c r="D160" s="443">
        <f t="shared" si="22"/>
        <v>0</v>
      </c>
      <c r="E160" s="443">
        <f t="shared" si="22"/>
        <v>0</v>
      </c>
      <c r="F160" s="443">
        <f t="shared" si="23"/>
        <v>0</v>
      </c>
      <c r="G160" s="440">
        <v>0</v>
      </c>
      <c r="H160" s="77">
        <f>H159</f>
        <v>0.224</v>
      </c>
      <c r="I160" s="59">
        <f t="shared" si="24"/>
        <v>0</v>
      </c>
      <c r="J160" s="60"/>
      <c r="K160" s="61"/>
      <c r="L160" s="61"/>
      <c r="M160" s="61"/>
      <c r="N160" s="76"/>
    </row>
    <row r="161" spans="2:16" ht="18" customHeight="1">
      <c r="B161" s="648"/>
      <c r="C161" s="650"/>
      <c r="D161" s="443">
        <f t="shared" si="22"/>
        <v>0</v>
      </c>
      <c r="E161" s="443">
        <f t="shared" si="22"/>
        <v>0</v>
      </c>
      <c r="F161" s="443">
        <f t="shared" si="23"/>
        <v>0</v>
      </c>
      <c r="G161" s="440"/>
      <c r="H161" s="440">
        <f>H160</f>
        <v>0.224</v>
      </c>
      <c r="I161" s="59">
        <f t="shared" si="24"/>
        <v>0</v>
      </c>
      <c r="J161" s="60"/>
      <c r="K161" s="61"/>
      <c r="L161" s="61"/>
      <c r="M161" s="61"/>
      <c r="N161" s="76"/>
    </row>
    <row r="162" spans="2:16" ht="18" customHeight="1" thickBot="1">
      <c r="B162" s="648"/>
      <c r="C162" s="651"/>
      <c r="D162" s="443">
        <f t="shared" si="22"/>
        <v>0</v>
      </c>
      <c r="E162" s="443">
        <f t="shared" si="22"/>
        <v>0</v>
      </c>
      <c r="F162" s="443">
        <f t="shared" si="23"/>
        <v>0</v>
      </c>
      <c r="G162" s="440"/>
      <c r="H162" s="440">
        <f>H160</f>
        <v>0.224</v>
      </c>
      <c r="I162" s="59">
        <f t="shared" si="24"/>
        <v>0</v>
      </c>
      <c r="J162" s="64"/>
      <c r="K162" s="65"/>
      <c r="L162" s="65"/>
      <c r="M162" s="65"/>
      <c r="N162" s="80"/>
    </row>
    <row r="163" spans="2:16" ht="18" customHeight="1">
      <c r="B163" s="48" t="s">
        <v>42</v>
      </c>
      <c r="C163" s="49">
        <f>SUMPRODUCT(F157:F162*G157:G162)</f>
        <v>0</v>
      </c>
      <c r="D163" s="50" t="s">
        <v>43</v>
      </c>
      <c r="E163" s="49">
        <f>SUM(I157:I162)*1.1</f>
        <v>0</v>
      </c>
      <c r="F163" s="50" t="s">
        <v>44</v>
      </c>
      <c r="G163" s="51">
        <f>(C$218+C$222)/1000</f>
        <v>39.781500000000001</v>
      </c>
      <c r="H163" s="52" t="s">
        <v>45</v>
      </c>
      <c r="I163" s="53">
        <f>ROUND(E163*G163,2)</f>
        <v>0</v>
      </c>
      <c r="J163" s="102"/>
      <c r="K163" s="102"/>
      <c r="L163" s="102"/>
      <c r="M163" s="102"/>
      <c r="O163" s="102"/>
      <c r="P163" s="102"/>
    </row>
    <row r="164" spans="2:16" ht="18" customHeight="1">
      <c r="B164" s="48" t="s">
        <v>46</v>
      </c>
      <c r="C164" s="50">
        <v>181.72</v>
      </c>
      <c r="D164" s="50" t="s">
        <v>47</v>
      </c>
      <c r="E164" s="49">
        <f>ROUND(C163*(C164/1000),2)</f>
        <v>0</v>
      </c>
      <c r="F164" s="50" t="s">
        <v>48</v>
      </c>
      <c r="G164" s="50">
        <f>G$23</f>
        <v>10</v>
      </c>
      <c r="H164" s="52" t="s">
        <v>49</v>
      </c>
      <c r="I164" s="53">
        <f>E164*G164</f>
        <v>0</v>
      </c>
      <c r="J164" s="102"/>
      <c r="K164" s="102"/>
      <c r="L164" s="102"/>
      <c r="M164" s="102"/>
      <c r="O164" s="102"/>
      <c r="P164" s="102"/>
    </row>
    <row r="165" spans="2:16" ht="18" customHeight="1">
      <c r="B165" s="48" t="s">
        <v>50</v>
      </c>
      <c r="C165" s="50"/>
      <c r="D165" s="50" t="s">
        <v>51</v>
      </c>
      <c r="E165" s="49">
        <f>ROUND(C163*(C165/1000),2)</f>
        <v>0</v>
      </c>
      <c r="F165" s="50" t="s">
        <v>48</v>
      </c>
      <c r="G165" s="50">
        <f>G$24</f>
        <v>10</v>
      </c>
      <c r="H165" s="52" t="s">
        <v>49</v>
      </c>
      <c r="I165" s="53">
        <f>E165*G165</f>
        <v>0</v>
      </c>
      <c r="K165" s="43">
        <f>J165*E165</f>
        <v>0</v>
      </c>
    </row>
    <row r="166" spans="2:16" ht="18" customHeight="1">
      <c r="B166" s="23" t="s">
        <v>36</v>
      </c>
      <c r="C166" s="442" t="s">
        <v>14</v>
      </c>
      <c r="D166" s="442" t="s">
        <v>37</v>
      </c>
      <c r="E166" s="442" t="s">
        <v>71</v>
      </c>
      <c r="F166" s="442" t="s">
        <v>38</v>
      </c>
      <c r="G166" s="442" t="s">
        <v>72</v>
      </c>
      <c r="H166" s="442" t="s">
        <v>22</v>
      </c>
      <c r="I166" s="25" t="s">
        <v>40</v>
      </c>
    </row>
    <row r="167" spans="2:16" ht="18" customHeight="1">
      <c r="B167" s="648" t="s">
        <v>100</v>
      </c>
      <c r="C167" s="649" t="s">
        <v>101</v>
      </c>
      <c r="D167" s="440"/>
      <c r="E167" s="440"/>
      <c r="F167" s="440"/>
      <c r="G167" s="440"/>
      <c r="H167" s="28">
        <v>6.3E-2</v>
      </c>
      <c r="I167" s="59">
        <f>ROUND((D167*E167+F167*G167)/1000*H167,3)</f>
        <v>0</v>
      </c>
    </row>
    <row r="168" spans="2:16" ht="18" customHeight="1">
      <c r="B168" s="648"/>
      <c r="C168" s="650"/>
      <c r="D168" s="440"/>
      <c r="E168" s="440"/>
      <c r="F168" s="440"/>
      <c r="G168" s="440"/>
      <c r="H168" s="28">
        <f>H167</f>
        <v>6.3E-2</v>
      </c>
      <c r="I168" s="59">
        <f>ROUND((D168*E168+F168*G168)/1000*H168,3)</f>
        <v>0</v>
      </c>
    </row>
    <row r="169" spans="2:16" ht="18" customHeight="1">
      <c r="B169" s="648"/>
      <c r="C169" s="651"/>
      <c r="D169" s="440"/>
      <c r="E169" s="440"/>
      <c r="F169" s="440"/>
      <c r="G169" s="440"/>
      <c r="H169" s="28">
        <f>H168</f>
        <v>6.3E-2</v>
      </c>
      <c r="I169" s="59">
        <f>ROUND((D169*E169+F169*G169)/1000*H169,3)</f>
        <v>0</v>
      </c>
    </row>
    <row r="170" spans="2:16" ht="18" customHeight="1">
      <c r="B170" s="48" t="s">
        <v>42</v>
      </c>
      <c r="C170" s="49">
        <f>SUMPRODUCT(D167:D169*E167:E169+F167:F169*G167:G169)/1000</f>
        <v>0</v>
      </c>
      <c r="D170" s="50" t="s">
        <v>43</v>
      </c>
      <c r="E170" s="49">
        <f>SUM(I167:I169)*1.1</f>
        <v>0</v>
      </c>
      <c r="F170" s="50" t="s">
        <v>44</v>
      </c>
      <c r="G170" s="51">
        <f>(C$218+$C$222)/1000</f>
        <v>39.781500000000001</v>
      </c>
      <c r="H170" s="52" t="s">
        <v>45</v>
      </c>
      <c r="I170" s="53">
        <f>ROUND(E170*G170,2)</f>
        <v>0</v>
      </c>
    </row>
    <row r="171" spans="2:16" ht="18" customHeight="1">
      <c r="B171" s="48" t="s">
        <v>46</v>
      </c>
      <c r="C171" s="50">
        <v>105.66</v>
      </c>
      <c r="D171" s="50" t="s">
        <v>47</v>
      </c>
      <c r="E171" s="49">
        <f>ROUND(C170*(C171/1000),2)</f>
        <v>0</v>
      </c>
      <c r="F171" s="50" t="s">
        <v>48</v>
      </c>
      <c r="G171" s="50">
        <f>G$23</f>
        <v>10</v>
      </c>
      <c r="H171" s="52" t="s">
        <v>49</v>
      </c>
      <c r="I171" s="53">
        <f>E171*G171</f>
        <v>0</v>
      </c>
    </row>
    <row r="172" spans="2:16" ht="18" customHeight="1">
      <c r="B172" s="48" t="s">
        <v>50</v>
      </c>
      <c r="C172" s="50">
        <v>125.66</v>
      </c>
      <c r="D172" s="50" t="s">
        <v>51</v>
      </c>
      <c r="E172" s="49">
        <f>ROUND(C170*(C172/1000),2)</f>
        <v>0</v>
      </c>
      <c r="F172" s="50" t="s">
        <v>48</v>
      </c>
      <c r="G172" s="50">
        <f>G$24</f>
        <v>10</v>
      </c>
      <c r="H172" s="52" t="s">
        <v>49</v>
      </c>
      <c r="I172" s="53">
        <f>E172*G172</f>
        <v>0</v>
      </c>
    </row>
    <row r="173" spans="2:16" ht="18" customHeight="1">
      <c r="B173" s="23" t="s">
        <v>36</v>
      </c>
      <c r="C173" s="442" t="s">
        <v>14</v>
      </c>
      <c r="D173" s="442" t="s">
        <v>37</v>
      </c>
      <c r="E173" s="442" t="s">
        <v>71</v>
      </c>
      <c r="F173" s="442" t="s">
        <v>38</v>
      </c>
      <c r="G173" s="442" t="s">
        <v>72</v>
      </c>
      <c r="H173" s="442" t="s">
        <v>22</v>
      </c>
      <c r="I173" s="25" t="s">
        <v>40</v>
      </c>
    </row>
    <row r="174" spans="2:16" ht="18" customHeight="1">
      <c r="B174" s="648" t="s">
        <v>102</v>
      </c>
      <c r="C174" s="649" t="s">
        <v>103</v>
      </c>
      <c r="D174" s="440"/>
      <c r="E174" s="440"/>
      <c r="F174" s="440"/>
      <c r="G174" s="440"/>
      <c r="H174" s="28">
        <v>1.0980000000000001</v>
      </c>
      <c r="I174" s="59">
        <f>ROUND((D174*E174+F174*G174)/1000*H174,3)</f>
        <v>0</v>
      </c>
    </row>
    <row r="175" spans="2:16" ht="18" customHeight="1">
      <c r="B175" s="648"/>
      <c r="C175" s="650"/>
      <c r="D175" s="440"/>
      <c r="E175" s="440"/>
      <c r="F175" s="440"/>
      <c r="G175" s="440"/>
      <c r="H175" s="28">
        <f>H174</f>
        <v>1.0980000000000001</v>
      </c>
      <c r="I175" s="59">
        <f>ROUND((D175*E175+F175*G175)/1000*H175,3)</f>
        <v>0</v>
      </c>
    </row>
    <row r="176" spans="2:16" ht="18" customHeight="1">
      <c r="B176" s="648"/>
      <c r="C176" s="651"/>
      <c r="D176" s="440"/>
      <c r="E176" s="440"/>
      <c r="F176" s="440"/>
      <c r="G176" s="440"/>
      <c r="H176" s="28">
        <f>H175</f>
        <v>1.0980000000000001</v>
      </c>
      <c r="I176" s="59">
        <f>ROUND((D176*E176+F176*G176)/1000*H176,3)</f>
        <v>0</v>
      </c>
    </row>
    <row r="177" spans="2:9" ht="18" customHeight="1">
      <c r="B177" s="48" t="s">
        <v>42</v>
      </c>
      <c r="C177" s="49">
        <f>SUMPRODUCT(D174:D176*E174:E176+F174:F176*G174:G176)/1000</f>
        <v>0</v>
      </c>
      <c r="D177" s="50" t="s">
        <v>43</v>
      </c>
      <c r="E177" s="49">
        <f>SUM(I174:I176)*1.1</f>
        <v>0</v>
      </c>
      <c r="F177" s="50" t="s">
        <v>44</v>
      </c>
      <c r="G177" s="51">
        <f>(C$218+C$219)/1000</f>
        <v>46.081499999999998</v>
      </c>
      <c r="H177" s="52" t="s">
        <v>45</v>
      </c>
      <c r="I177" s="53">
        <f>ROUND(E177*G177,2)</f>
        <v>0</v>
      </c>
    </row>
    <row r="178" spans="2:9" ht="18" customHeight="1">
      <c r="B178" s="48" t="s">
        <v>46</v>
      </c>
      <c r="C178" s="50">
        <v>105.66</v>
      </c>
      <c r="D178" s="50" t="s">
        <v>47</v>
      </c>
      <c r="E178" s="49">
        <f>ROUND(C177*(C178/1000),2)</f>
        <v>0</v>
      </c>
      <c r="F178" s="50" t="s">
        <v>48</v>
      </c>
      <c r="G178" s="50">
        <f>G$23</f>
        <v>10</v>
      </c>
      <c r="H178" s="52" t="s">
        <v>49</v>
      </c>
      <c r="I178" s="53">
        <f>E178*G178</f>
        <v>0</v>
      </c>
    </row>
    <row r="179" spans="2:9" ht="18" customHeight="1">
      <c r="B179" s="48" t="s">
        <v>50</v>
      </c>
      <c r="C179" s="50">
        <v>125.66</v>
      </c>
      <c r="D179" s="50" t="s">
        <v>51</v>
      </c>
      <c r="E179" s="49">
        <f>ROUND(C177*(C179/1000),2)</f>
        <v>0</v>
      </c>
      <c r="F179" s="50" t="s">
        <v>48</v>
      </c>
      <c r="G179" s="50">
        <f>G$24</f>
        <v>10</v>
      </c>
      <c r="H179" s="52" t="s">
        <v>49</v>
      </c>
      <c r="I179" s="53">
        <f>E179*G179</f>
        <v>0</v>
      </c>
    </row>
    <row r="180" spans="2:9" ht="18" customHeight="1">
      <c r="B180" s="23" t="s">
        <v>36</v>
      </c>
      <c r="C180" s="442" t="s">
        <v>14</v>
      </c>
      <c r="D180" s="442" t="s">
        <v>37</v>
      </c>
      <c r="E180" s="442" t="s">
        <v>71</v>
      </c>
      <c r="F180" s="442" t="s">
        <v>38</v>
      </c>
      <c r="G180" s="442" t="s">
        <v>72</v>
      </c>
      <c r="H180" s="442" t="s">
        <v>22</v>
      </c>
      <c r="I180" s="25" t="s">
        <v>40</v>
      </c>
    </row>
    <row r="181" spans="2:9" ht="18" customHeight="1">
      <c r="B181" s="648" t="s">
        <v>104</v>
      </c>
      <c r="C181" s="649" t="s">
        <v>105</v>
      </c>
      <c r="D181" s="440"/>
      <c r="E181" s="440"/>
      <c r="F181" s="440">
        <f>E14</f>
        <v>920</v>
      </c>
      <c r="G181" s="440"/>
      <c r="H181" s="28">
        <v>1.5629999999999999</v>
      </c>
      <c r="I181" s="59">
        <f>ROUND((D181*E181+F181*G181)/1000*H181,3)</f>
        <v>0</v>
      </c>
    </row>
    <row r="182" spans="2:9" ht="18" customHeight="1">
      <c r="B182" s="648"/>
      <c r="C182" s="650"/>
      <c r="D182" s="440"/>
      <c r="E182" s="440"/>
      <c r="F182" s="440"/>
      <c r="G182" s="440"/>
      <c r="H182" s="28">
        <f>H181</f>
        <v>1.5629999999999999</v>
      </c>
      <c r="I182" s="59">
        <f>ROUND((D182*E182+F182*G182)/1000*H182,3)</f>
        <v>0</v>
      </c>
    </row>
    <row r="183" spans="2:9" ht="18" customHeight="1">
      <c r="B183" s="648"/>
      <c r="C183" s="651"/>
      <c r="D183" s="440"/>
      <c r="E183" s="440"/>
      <c r="F183" s="440"/>
      <c r="G183" s="440"/>
      <c r="H183" s="28">
        <f>H182</f>
        <v>1.5629999999999999</v>
      </c>
      <c r="I183" s="59">
        <f>ROUND((D183*E183+F183*G183)/1000*H183,3)</f>
        <v>0</v>
      </c>
    </row>
    <row r="184" spans="2:9" ht="18" customHeight="1">
      <c r="B184" s="48" t="s">
        <v>42</v>
      </c>
      <c r="C184" s="49">
        <f>SUMPRODUCT(D181:D183*E181:E183+F181:F183*G181:G183)/1000</f>
        <v>0</v>
      </c>
      <c r="D184" s="50" t="s">
        <v>43</v>
      </c>
      <c r="E184" s="49">
        <f>SUM(I181:I183)*1.1</f>
        <v>0</v>
      </c>
      <c r="F184" s="50" t="s">
        <v>44</v>
      </c>
      <c r="G184" s="51">
        <f>(C$218+C$219)/1000</f>
        <v>46.081499999999998</v>
      </c>
      <c r="H184" s="52" t="s">
        <v>45</v>
      </c>
      <c r="I184" s="53">
        <f>ROUND(E184*G184,2)</f>
        <v>0</v>
      </c>
    </row>
    <row r="185" spans="2:9" ht="18" customHeight="1">
      <c r="B185" s="48" t="s">
        <v>46</v>
      </c>
      <c r="C185" s="50">
        <v>105.66</v>
      </c>
      <c r="D185" s="50" t="s">
        <v>47</v>
      </c>
      <c r="E185" s="49">
        <f>ROUND(C184*(C185/1000),2)</f>
        <v>0</v>
      </c>
      <c r="F185" s="50" t="s">
        <v>48</v>
      </c>
      <c r="G185" s="50">
        <f>G$23</f>
        <v>10</v>
      </c>
      <c r="H185" s="52" t="s">
        <v>49</v>
      </c>
      <c r="I185" s="53">
        <f>E185*G185</f>
        <v>0</v>
      </c>
    </row>
    <row r="186" spans="2:9" ht="18" customHeight="1">
      <c r="B186" s="48" t="s">
        <v>50</v>
      </c>
      <c r="C186" s="50">
        <v>125.66</v>
      </c>
      <c r="D186" s="50" t="s">
        <v>51</v>
      </c>
      <c r="E186" s="49">
        <f>ROUND(C184*(C186/1000),2)</f>
        <v>0</v>
      </c>
      <c r="F186" s="50" t="s">
        <v>48</v>
      </c>
      <c r="G186" s="50">
        <f>G$24</f>
        <v>10</v>
      </c>
      <c r="H186" s="52" t="s">
        <v>49</v>
      </c>
      <c r="I186" s="53">
        <f>E186*G186</f>
        <v>0</v>
      </c>
    </row>
    <row r="187" spans="2:9" ht="18" customHeight="1">
      <c r="B187" s="23" t="s">
        <v>36</v>
      </c>
      <c r="C187" s="442" t="s">
        <v>14</v>
      </c>
      <c r="D187" s="442" t="s">
        <v>37</v>
      </c>
      <c r="E187" s="442" t="s">
        <v>71</v>
      </c>
      <c r="F187" s="442" t="s">
        <v>38</v>
      </c>
      <c r="G187" s="442" t="s">
        <v>72</v>
      </c>
      <c r="H187" s="442" t="s">
        <v>22</v>
      </c>
      <c r="I187" s="25" t="s">
        <v>40</v>
      </c>
    </row>
    <row r="188" spans="2:9" ht="18" customHeight="1">
      <c r="B188" s="648" t="s">
        <v>106</v>
      </c>
      <c r="C188" s="649" t="s">
        <v>107</v>
      </c>
      <c r="D188" s="440"/>
      <c r="E188" s="440"/>
      <c r="F188" s="440"/>
      <c r="G188" s="440"/>
      <c r="H188" s="28">
        <v>1.732</v>
      </c>
      <c r="I188" s="59">
        <f>ROUND((D188*E188+F188*G188)/1000*H188,3)</f>
        <v>0</v>
      </c>
    </row>
    <row r="189" spans="2:9" ht="18" customHeight="1">
      <c r="B189" s="648"/>
      <c r="C189" s="650"/>
      <c r="D189" s="440"/>
      <c r="E189" s="440"/>
      <c r="F189" s="440"/>
      <c r="G189" s="440"/>
      <c r="H189" s="28">
        <f>H188</f>
        <v>1.732</v>
      </c>
      <c r="I189" s="59">
        <f>ROUND((D189*E189+F189*G189)/1000*H189,3)</f>
        <v>0</v>
      </c>
    </row>
    <row r="190" spans="2:9" ht="18" customHeight="1">
      <c r="B190" s="648"/>
      <c r="C190" s="651"/>
      <c r="D190" s="440"/>
      <c r="E190" s="440"/>
      <c r="F190" s="440">
        <f>E6</f>
        <v>920</v>
      </c>
      <c r="G190" s="440"/>
      <c r="H190" s="28">
        <f>H189</f>
        <v>1.732</v>
      </c>
      <c r="I190" s="59">
        <f>ROUND((D190*E190+F190*G190)/1000*H190,3)</f>
        <v>0</v>
      </c>
    </row>
    <row r="191" spans="2:9" ht="18" customHeight="1">
      <c r="B191" s="48" t="s">
        <v>42</v>
      </c>
      <c r="C191" s="49">
        <f>SUMPRODUCT(D188:D190*E188:E190+F188:F190*G188:G190)/1000</f>
        <v>0</v>
      </c>
      <c r="D191" s="50" t="s">
        <v>43</v>
      </c>
      <c r="E191" s="49">
        <f>SUM(I188:I190)*1.1</f>
        <v>0</v>
      </c>
      <c r="F191" s="50" t="s">
        <v>44</v>
      </c>
      <c r="G191" s="51">
        <f>(C$218+C$219)/1000</f>
        <v>46.081499999999998</v>
      </c>
      <c r="H191" s="52" t="s">
        <v>45</v>
      </c>
      <c r="I191" s="53">
        <f>ROUND(E191*G191,2)</f>
        <v>0</v>
      </c>
    </row>
    <row r="192" spans="2:9" ht="18" customHeight="1">
      <c r="B192" s="48" t="s">
        <v>46</v>
      </c>
      <c r="C192" s="50">
        <v>105.66</v>
      </c>
      <c r="D192" s="50" t="s">
        <v>47</v>
      </c>
      <c r="E192" s="49">
        <f>ROUND(C191*(C192/1000),2)</f>
        <v>0</v>
      </c>
      <c r="F192" s="50" t="s">
        <v>48</v>
      </c>
      <c r="G192" s="50">
        <f>G$23</f>
        <v>10</v>
      </c>
      <c r="H192" s="52" t="s">
        <v>49</v>
      </c>
      <c r="I192" s="53">
        <f>E192*G192</f>
        <v>0</v>
      </c>
    </row>
    <row r="193" spans="2:15" ht="18" customHeight="1">
      <c r="B193" s="48" t="s">
        <v>50</v>
      </c>
      <c r="C193" s="50">
        <v>125.66</v>
      </c>
      <c r="D193" s="50" t="s">
        <v>51</v>
      </c>
      <c r="E193" s="49">
        <f>ROUND(C191*(C193/1000),2)</f>
        <v>0</v>
      </c>
      <c r="F193" s="50" t="s">
        <v>48</v>
      </c>
      <c r="G193" s="50">
        <f>G$24</f>
        <v>10</v>
      </c>
      <c r="H193" s="52" t="s">
        <v>49</v>
      </c>
      <c r="I193" s="53">
        <f>E193*G193</f>
        <v>0</v>
      </c>
    </row>
    <row r="194" spans="2:15" ht="18" customHeight="1">
      <c r="B194" s="23" t="s">
        <v>36</v>
      </c>
      <c r="C194" s="442" t="s">
        <v>14</v>
      </c>
      <c r="D194" s="652" t="s">
        <v>38</v>
      </c>
      <c r="E194" s="652"/>
      <c r="F194" s="652"/>
      <c r="G194" s="442" t="s">
        <v>72</v>
      </c>
      <c r="H194" s="442" t="s">
        <v>22</v>
      </c>
      <c r="I194" s="25" t="s">
        <v>40</v>
      </c>
    </row>
    <row r="195" spans="2:15" ht="18" customHeight="1">
      <c r="B195" s="643" t="s">
        <v>108</v>
      </c>
      <c r="C195" s="645" t="s">
        <v>109</v>
      </c>
      <c r="D195" s="646"/>
      <c r="E195" s="646"/>
      <c r="F195" s="646"/>
      <c r="G195" s="440"/>
      <c r="H195" s="440">
        <v>1.796</v>
      </c>
      <c r="I195" s="59">
        <f>ROUND((D195*G195*H195)/1000,3)</f>
        <v>0</v>
      </c>
    </row>
    <row r="196" spans="2:15" ht="18" customHeight="1">
      <c r="B196" s="644"/>
      <c r="C196" s="640"/>
      <c r="D196" s="646"/>
      <c r="E196" s="646"/>
      <c r="F196" s="646"/>
      <c r="G196" s="440"/>
      <c r="H196" s="440">
        <f>H195</f>
        <v>1.796</v>
      </c>
      <c r="I196" s="59">
        <f>ROUND((D196*G196*H196)/1000,3)</f>
        <v>0</v>
      </c>
    </row>
    <row r="197" spans="2:15" ht="18" customHeight="1">
      <c r="B197" s="643" t="s">
        <v>110</v>
      </c>
      <c r="C197" s="645" t="s">
        <v>111</v>
      </c>
      <c r="D197" s="646"/>
      <c r="E197" s="646"/>
      <c r="F197" s="646"/>
      <c r="G197" s="440"/>
      <c r="H197" s="440">
        <v>1.355</v>
      </c>
      <c r="I197" s="59"/>
    </row>
    <row r="198" spans="2:15" ht="18" customHeight="1">
      <c r="B198" s="644"/>
      <c r="C198" s="640"/>
      <c r="D198" s="646"/>
      <c r="E198" s="646"/>
      <c r="F198" s="646"/>
      <c r="G198" s="440"/>
      <c r="H198" s="440">
        <f>H197</f>
        <v>1.355</v>
      </c>
      <c r="I198" s="59"/>
    </row>
    <row r="199" spans="2:15" ht="18" customHeight="1">
      <c r="B199" s="48" t="s">
        <v>42</v>
      </c>
      <c r="C199" s="49">
        <f>SUMPRODUCT(D195:F198*G195:G198)/1000</f>
        <v>0</v>
      </c>
      <c r="D199" s="50" t="s">
        <v>43</v>
      </c>
      <c r="E199" s="49">
        <f>SUM(I195:I198)*1.1</f>
        <v>0</v>
      </c>
      <c r="F199" s="50" t="s">
        <v>44</v>
      </c>
      <c r="G199" s="51">
        <f>(C$218+C$219)/1000</f>
        <v>46.081499999999998</v>
      </c>
      <c r="H199" s="52" t="s">
        <v>45</v>
      </c>
      <c r="I199" s="53">
        <f>ROUND(E199*G199,2)</f>
        <v>0</v>
      </c>
    </row>
    <row r="200" spans="2:15" ht="18" customHeight="1">
      <c r="B200" s="48" t="s">
        <v>46</v>
      </c>
      <c r="C200" s="50">
        <v>267.77999999999997</v>
      </c>
      <c r="D200" s="50" t="s">
        <v>47</v>
      </c>
      <c r="E200" s="49">
        <f>ROUND(C199*(C200/1000),2)</f>
        <v>0</v>
      </c>
      <c r="F200" s="50" t="s">
        <v>48</v>
      </c>
      <c r="G200" s="50">
        <f>G$23</f>
        <v>10</v>
      </c>
      <c r="H200" s="52" t="s">
        <v>49</v>
      </c>
      <c r="I200" s="53">
        <f>E200*G200</f>
        <v>0</v>
      </c>
    </row>
    <row r="201" spans="2:15" ht="18" customHeight="1">
      <c r="B201" s="48" t="s">
        <v>50</v>
      </c>
      <c r="C201" s="50">
        <v>104.29</v>
      </c>
      <c r="D201" s="50" t="s">
        <v>51</v>
      </c>
      <c r="E201" s="49">
        <f>ROUND(C199*(C201/1000),2)</f>
        <v>0</v>
      </c>
      <c r="F201" s="50" t="s">
        <v>48</v>
      </c>
      <c r="G201" s="50">
        <f>G$24</f>
        <v>10</v>
      </c>
      <c r="H201" s="52" t="s">
        <v>49</v>
      </c>
      <c r="I201" s="53">
        <f>E201*G201</f>
        <v>0</v>
      </c>
    </row>
    <row r="202" spans="2:15" ht="18" customHeight="1">
      <c r="B202" s="103" t="s">
        <v>112</v>
      </c>
      <c r="C202" s="104" t="s">
        <v>113</v>
      </c>
      <c r="D202" s="104" t="s">
        <v>28</v>
      </c>
      <c r="E202" s="104" t="s">
        <v>8</v>
      </c>
      <c r="F202" s="104" t="s">
        <v>112</v>
      </c>
      <c r="G202" s="104" t="s">
        <v>113</v>
      </c>
      <c r="H202" s="104" t="s">
        <v>28</v>
      </c>
      <c r="I202" s="105" t="s">
        <v>8</v>
      </c>
      <c r="N202" s="106"/>
      <c r="O202" s="102"/>
    </row>
    <row r="203" spans="2:15" ht="18" customHeight="1">
      <c r="B203" s="441" t="s">
        <v>327</v>
      </c>
      <c r="C203" s="107" t="s">
        <v>114</v>
      </c>
      <c r="D203" s="108">
        <v>2.15</v>
      </c>
      <c r="E203" s="443">
        <f>SUM(G14:G21)*4</f>
        <v>4</v>
      </c>
      <c r="F203" s="647" t="s">
        <v>115</v>
      </c>
      <c r="G203" s="107" t="s">
        <v>116</v>
      </c>
      <c r="H203" s="108">
        <v>2.46</v>
      </c>
      <c r="I203" s="437">
        <f>SUM(G108:G111)*4</f>
        <v>0</v>
      </c>
      <c r="J203" s="42"/>
      <c r="N203" s="106"/>
      <c r="O203" s="102"/>
    </row>
    <row r="204" spans="2:15" ht="18" customHeight="1">
      <c r="B204" s="441" t="s">
        <v>328</v>
      </c>
      <c r="C204" s="107" t="s">
        <v>117</v>
      </c>
      <c r="D204" s="108">
        <v>1.72</v>
      </c>
      <c r="E204" s="443">
        <f>E203</f>
        <v>4</v>
      </c>
      <c r="F204" s="646"/>
      <c r="G204" s="107" t="s">
        <v>118</v>
      </c>
      <c r="H204" s="108">
        <v>3.11</v>
      </c>
      <c r="I204" s="437">
        <f>I203</f>
        <v>0</v>
      </c>
      <c r="J204" s="42"/>
      <c r="N204" s="106"/>
      <c r="O204" s="102"/>
    </row>
    <row r="205" spans="2:15" ht="18" customHeight="1">
      <c r="B205" s="109" t="s">
        <v>330</v>
      </c>
      <c r="C205" s="107" t="s">
        <v>119</v>
      </c>
      <c r="D205" s="108">
        <v>2.68</v>
      </c>
      <c r="E205" s="443">
        <f>SUM(G26:G30)*4</f>
        <v>0</v>
      </c>
      <c r="F205" s="110" t="s">
        <v>120</v>
      </c>
      <c r="G205" s="107" t="s">
        <v>121</v>
      </c>
      <c r="H205" s="111">
        <v>4.76</v>
      </c>
      <c r="I205" s="437">
        <f>SUM(G123:G125)*4</f>
        <v>0</v>
      </c>
      <c r="J205" s="42"/>
      <c r="N205" s="106"/>
      <c r="O205" s="102"/>
    </row>
    <row r="206" spans="2:15" ht="18" customHeight="1">
      <c r="B206" s="109" t="s">
        <v>329</v>
      </c>
      <c r="C206" s="107" t="s">
        <v>122</v>
      </c>
      <c r="D206" s="108">
        <v>1.27</v>
      </c>
      <c r="E206" s="443">
        <f>E205</f>
        <v>0</v>
      </c>
      <c r="F206" s="110" t="s">
        <v>123</v>
      </c>
      <c r="G206" s="107" t="s">
        <v>124</v>
      </c>
      <c r="H206" s="111">
        <v>3.85</v>
      </c>
      <c r="I206" s="437">
        <f>I205</f>
        <v>0</v>
      </c>
      <c r="J206" s="42"/>
      <c r="N206" s="106"/>
      <c r="O206" s="102"/>
    </row>
    <row r="207" spans="2:15" ht="18" customHeight="1">
      <c r="B207" s="109" t="s">
        <v>331</v>
      </c>
      <c r="C207" s="107" t="s">
        <v>125</v>
      </c>
      <c r="D207" s="111" t="s">
        <v>126</v>
      </c>
      <c r="E207" s="443">
        <f>SUM(G35:G37)*4</f>
        <v>0</v>
      </c>
      <c r="F207" s="110" t="s">
        <v>127</v>
      </c>
      <c r="G207" s="107" t="s">
        <v>128</v>
      </c>
      <c r="H207" s="111">
        <v>4.29</v>
      </c>
      <c r="I207" s="437">
        <f>SUM(G116:G118)*4</f>
        <v>0</v>
      </c>
      <c r="J207" s="42"/>
      <c r="N207" s="106"/>
      <c r="O207" s="102"/>
    </row>
    <row r="208" spans="2:15" ht="18" customHeight="1">
      <c r="B208" s="109" t="s">
        <v>332</v>
      </c>
      <c r="C208" s="107" t="s">
        <v>129</v>
      </c>
      <c r="D208" s="111" t="s">
        <v>130</v>
      </c>
      <c r="E208" s="443">
        <f>E207</f>
        <v>0</v>
      </c>
      <c r="F208" s="110" t="s">
        <v>131</v>
      </c>
      <c r="G208" s="107" t="s">
        <v>132</v>
      </c>
      <c r="H208" s="111">
        <v>4.5</v>
      </c>
      <c r="I208" s="437">
        <f>I207</f>
        <v>0</v>
      </c>
      <c r="J208" s="42"/>
      <c r="N208" s="106"/>
      <c r="O208" s="102"/>
    </row>
    <row r="209" spans="2:15" ht="18" customHeight="1">
      <c r="B209" s="439" t="s">
        <v>333</v>
      </c>
      <c r="C209" s="440">
        <v>12.6</v>
      </c>
      <c r="D209" s="111">
        <v>1.32</v>
      </c>
      <c r="E209" s="443">
        <f>SUM(G42:G47)*4</f>
        <v>0</v>
      </c>
      <c r="F209" s="639"/>
      <c r="G209" s="107"/>
      <c r="H209" s="28"/>
      <c r="I209" s="437"/>
      <c r="N209" s="106"/>
      <c r="O209" s="102"/>
    </row>
    <row r="210" spans="2:15" ht="18" customHeight="1">
      <c r="B210" s="439" t="s">
        <v>334</v>
      </c>
      <c r="C210" s="440">
        <v>15.8</v>
      </c>
      <c r="D210" s="111">
        <v>1.18</v>
      </c>
      <c r="E210" s="443">
        <f>E209</f>
        <v>0</v>
      </c>
      <c r="F210" s="640"/>
      <c r="G210" s="107"/>
      <c r="H210" s="28"/>
      <c r="I210" s="231"/>
      <c r="N210" s="106"/>
      <c r="O210" s="102"/>
    </row>
    <row r="211" spans="2:15" ht="18" customHeight="1">
      <c r="B211" s="441" t="s">
        <v>335</v>
      </c>
      <c r="C211" s="107" t="s">
        <v>337</v>
      </c>
      <c r="D211" s="111">
        <v>2.81</v>
      </c>
      <c r="E211" s="440">
        <f>SUM(E52+E53+E54+E55+G52+G53+G54+G55+G60+G61+G62+G63)*2</f>
        <v>0</v>
      </c>
      <c r="F211" s="641" t="s">
        <v>133</v>
      </c>
      <c r="G211" s="111">
        <f>SUMPRODUCT(D35:D37,G35:G37)/1000</f>
        <v>0</v>
      </c>
      <c r="H211" s="28">
        <v>0.16</v>
      </c>
      <c r="I211" s="232">
        <f>G211*H211</f>
        <v>0</v>
      </c>
      <c r="N211" s="106"/>
      <c r="O211" s="102"/>
    </row>
    <row r="212" spans="2:15" ht="18" customHeight="1">
      <c r="B212" s="441" t="s">
        <v>336</v>
      </c>
      <c r="C212" s="107" t="s">
        <v>338</v>
      </c>
      <c r="D212" s="111">
        <v>3.51</v>
      </c>
      <c r="E212" s="440">
        <f>E211</f>
        <v>0</v>
      </c>
      <c r="F212" s="641"/>
      <c r="G212" s="111">
        <f>SUMPRODUCT(D26:D30,G26:G30)/1000</f>
        <v>0</v>
      </c>
      <c r="H212" s="28">
        <v>0.16</v>
      </c>
      <c r="I212" s="232">
        <f>G212*H212</f>
        <v>0</v>
      </c>
      <c r="N212" s="106"/>
      <c r="O212" s="102"/>
    </row>
    <row r="213" spans="2:15" ht="18" customHeight="1">
      <c r="B213" s="441" t="s">
        <v>134</v>
      </c>
      <c r="C213" s="440">
        <v>30.6</v>
      </c>
      <c r="D213" s="111">
        <v>2.81</v>
      </c>
      <c r="E213" s="443">
        <f>SUM(+E130+E131+E132+G130+G131+G132)*2</f>
        <v>0</v>
      </c>
      <c r="F213" s="641" t="s">
        <v>135</v>
      </c>
      <c r="G213" s="111">
        <f>SUMPRODUCT(E26:E30,G26:G30)/1000</f>
        <v>0</v>
      </c>
      <c r="H213" s="28">
        <v>0.16</v>
      </c>
      <c r="I213" s="232">
        <f>G213*H213</f>
        <v>0</v>
      </c>
      <c r="N213" s="106"/>
      <c r="O213" s="102"/>
    </row>
    <row r="214" spans="2:15" ht="18" customHeight="1">
      <c r="B214" s="441" t="s">
        <v>136</v>
      </c>
      <c r="C214" s="440">
        <v>30.6</v>
      </c>
      <c r="D214" s="111">
        <v>3.51</v>
      </c>
      <c r="E214" s="443">
        <f>E213</f>
        <v>0</v>
      </c>
      <c r="F214" s="641"/>
      <c r="G214" s="111">
        <f>SUMPRODUCT(E35:E37,G35:G37)/1000</f>
        <v>0</v>
      </c>
      <c r="H214" s="28">
        <v>0.16</v>
      </c>
      <c r="I214" s="232">
        <f>G214*H214</f>
        <v>0</v>
      </c>
      <c r="N214" s="106"/>
      <c r="O214" s="102"/>
    </row>
    <row r="215" spans="2:15" ht="18" customHeight="1">
      <c r="B215" s="52" t="s">
        <v>137</v>
      </c>
      <c r="C215" s="112" cm="1">
        <f t="array" ref="C215">SUMPRODUCT(D203:D214*E203:E214)+SUMPRODUCT(H203:H210*I203:I210)</f>
        <v>15.48</v>
      </c>
      <c r="D215" s="52"/>
      <c r="E215" s="52"/>
      <c r="F215" s="52"/>
      <c r="G215" s="52" t="s">
        <v>138</v>
      </c>
      <c r="H215" s="52" cm="1">
        <f t="array" ref="H215">SUMPRODUCT(G211:G214*H211:H214)</f>
        <v>0</v>
      </c>
      <c r="I215" s="233">
        <f>H215*1.08</f>
        <v>0</v>
      </c>
      <c r="N215" s="106"/>
      <c r="O215" s="102"/>
    </row>
    <row r="216" spans="2:15" ht="18" customHeight="1">
      <c r="B216" s="23" t="s">
        <v>139</v>
      </c>
      <c r="C216" s="442" t="s">
        <v>14</v>
      </c>
      <c r="D216" s="442" t="s">
        <v>22</v>
      </c>
      <c r="E216" s="442" t="s">
        <v>8</v>
      </c>
      <c r="F216" s="442" t="s">
        <v>113</v>
      </c>
      <c r="G216" s="442" t="s">
        <v>40</v>
      </c>
      <c r="H216" s="442" t="s">
        <v>28</v>
      </c>
      <c r="I216" s="25" t="s">
        <v>29</v>
      </c>
      <c r="N216" s="106"/>
      <c r="O216" s="102"/>
    </row>
    <row r="217" spans="2:15" ht="18" customHeight="1">
      <c r="B217" s="48" t="s">
        <v>140</v>
      </c>
      <c r="C217" s="52" t="s">
        <v>141</v>
      </c>
      <c r="D217" s="50">
        <v>0.14199999999999999</v>
      </c>
      <c r="E217" s="50">
        <v>1</v>
      </c>
      <c r="F217" s="50">
        <f>D6</f>
        <v>320</v>
      </c>
      <c r="G217" s="128">
        <f>D217*F217*E217/1000*1.1</f>
        <v>4.9984000000000001E-2</v>
      </c>
      <c r="H217" s="52">
        <f>(C218+C222)/1000</f>
        <v>39.781500000000001</v>
      </c>
      <c r="I217" s="193">
        <f>G217*H217</f>
        <v>1.9884384960000001</v>
      </c>
      <c r="N217" s="106"/>
      <c r="O217" s="102"/>
    </row>
    <row r="218" spans="2:15" ht="18" customHeight="1">
      <c r="B218" s="37" t="s">
        <v>142</v>
      </c>
      <c r="C218" s="113">
        <f>材料价格!B4</f>
        <v>22081.5</v>
      </c>
      <c r="D218" s="39" t="s">
        <v>143</v>
      </c>
      <c r="E218" s="114">
        <f>E139+E133+E126+E119+E112+E199+E177+E64+E56+E48+E38+E31+E22+E184+E191</f>
        <v>4.0106000000000002</v>
      </c>
      <c r="F218" s="39" t="s">
        <v>144</v>
      </c>
      <c r="G218" s="115">
        <f>I218/E218-C218/1000</f>
        <v>23.998886974517532</v>
      </c>
      <c r="H218" s="39" t="s">
        <v>145</v>
      </c>
      <c r="I218" s="116">
        <f>I22+I31+I38+I48+I56+I64+I199+I112+I119+I126+I133+I139+I177+I184+I191</f>
        <v>184.81</v>
      </c>
      <c r="N218" s="106"/>
      <c r="O218" s="102"/>
    </row>
    <row r="219" spans="2:15" ht="18" customHeight="1">
      <c r="B219" s="117" t="s">
        <v>146</v>
      </c>
      <c r="C219" s="118">
        <f>材料价格!B5</f>
        <v>24000</v>
      </c>
      <c r="D219" s="39" t="s">
        <v>147</v>
      </c>
      <c r="E219" s="114">
        <f>E163+E153+E146+E104+E97+E88+G217+E170</f>
        <v>0.59008400000000005</v>
      </c>
      <c r="F219" s="39" t="s">
        <v>148</v>
      </c>
      <c r="G219" s="119">
        <f>I219/E219-C218/1000</f>
        <v>17.706798777801126</v>
      </c>
      <c r="H219" s="39" t="s">
        <v>149</v>
      </c>
      <c r="I219" s="116">
        <f>I88+I97+I104+I146+I153+I163+I217+I170</f>
        <v>23.478438495999999</v>
      </c>
      <c r="N219" s="106"/>
      <c r="O219" s="102"/>
    </row>
    <row r="220" spans="2:15" ht="18" customHeight="1">
      <c r="B220" s="117" t="s">
        <v>150</v>
      </c>
      <c r="C220" s="118">
        <f>C219</f>
        <v>24000</v>
      </c>
      <c r="D220" s="39" t="s">
        <v>151</v>
      </c>
      <c r="E220" s="120">
        <f>I215</f>
        <v>0</v>
      </c>
      <c r="F220" s="39" t="s">
        <v>152</v>
      </c>
      <c r="G220" s="119" t="e">
        <f>I220/E220-C218/1000</f>
        <v>#DIV/0!</v>
      </c>
      <c r="H220" s="39" t="s">
        <v>153</v>
      </c>
      <c r="I220" s="116">
        <f>ROUND(E220*(C218+C223)/1000,2)</f>
        <v>0</v>
      </c>
      <c r="N220" s="106"/>
      <c r="O220" s="102"/>
    </row>
    <row r="221" spans="2:15" ht="18" customHeight="1">
      <c r="B221" s="117" t="s">
        <v>154</v>
      </c>
      <c r="C221" s="121">
        <f>C220</f>
        <v>24000</v>
      </c>
      <c r="D221" s="39" t="s">
        <v>155</v>
      </c>
      <c r="E221" s="39"/>
      <c r="F221" s="39" t="s">
        <v>156</v>
      </c>
      <c r="G221" s="39"/>
      <c r="H221" s="39" t="s">
        <v>49</v>
      </c>
      <c r="I221" s="116">
        <f>E221*G221</f>
        <v>0</v>
      </c>
      <c r="J221" s="42"/>
      <c r="K221" s="255"/>
    </row>
    <row r="222" spans="2:15" ht="18" customHeight="1">
      <c r="B222" s="117" t="s">
        <v>148</v>
      </c>
      <c r="C222" s="122">
        <f>材料价格!B6</f>
        <v>17700</v>
      </c>
      <c r="D222" s="39" t="s">
        <v>157</v>
      </c>
      <c r="E222" s="39"/>
      <c r="F222" s="39" t="s">
        <v>156</v>
      </c>
      <c r="G222" s="39"/>
      <c r="H222" s="39" t="s">
        <v>49</v>
      </c>
      <c r="I222" s="116">
        <f>E222*G222</f>
        <v>0</v>
      </c>
      <c r="J222" s="123"/>
      <c r="K222" s="123"/>
      <c r="L222" s="123"/>
    </row>
    <row r="223" spans="2:15" ht="18" customHeight="1">
      <c r="B223" s="117" t="s">
        <v>152</v>
      </c>
      <c r="C223" s="122">
        <f>材料价格!B9</f>
        <v>2900</v>
      </c>
      <c r="D223" s="39" t="s">
        <v>158</v>
      </c>
      <c r="E223" s="114">
        <f>SUM(E218:E220)</f>
        <v>4.6006840000000002</v>
      </c>
      <c r="F223" s="39"/>
      <c r="G223" s="39" t="s">
        <v>339</v>
      </c>
      <c r="H223" s="39"/>
      <c r="I223" s="234">
        <f>SUM(I218:I222)+C215</f>
        <v>223.76843849599999</v>
      </c>
      <c r="J223" s="123"/>
      <c r="K223" s="123"/>
      <c r="L223" s="123"/>
    </row>
    <row r="224" spans="2:15" ht="18" customHeight="1">
      <c r="B224" s="23" t="s">
        <v>159</v>
      </c>
      <c r="C224" s="442" t="s">
        <v>113</v>
      </c>
      <c r="D224" s="442" t="s">
        <v>16</v>
      </c>
      <c r="E224" s="442" t="s">
        <v>7</v>
      </c>
      <c r="F224" s="442" t="s">
        <v>8</v>
      </c>
      <c r="G224" s="442" t="s">
        <v>28</v>
      </c>
      <c r="H224" s="442" t="s">
        <v>160</v>
      </c>
      <c r="I224" s="25" t="s">
        <v>1</v>
      </c>
      <c r="J224" s="255"/>
      <c r="K224" s="255"/>
      <c r="L224" s="255"/>
      <c r="M224" s="255"/>
    </row>
    <row r="225" spans="2:13" ht="18" customHeight="1">
      <c r="B225" s="124" t="str">
        <f>材料价格!A10</f>
        <v>6单银Low-E+12A+6</v>
      </c>
      <c r="C225" s="443">
        <f t="shared" ref="C225:D229" si="25">D92</f>
        <v>-90</v>
      </c>
      <c r="D225" s="443">
        <f t="shared" si="25"/>
        <v>-90</v>
      </c>
      <c r="E225" s="32">
        <f>C225*D225/10^6</f>
        <v>8.0999999999999996E-3</v>
      </c>
      <c r="F225" s="440">
        <f>G26</f>
        <v>0</v>
      </c>
      <c r="G225" s="125">
        <f>材料价格!B10</f>
        <v>148</v>
      </c>
      <c r="H225" s="440">
        <f>ROUND(E225*G225*F225,2)</f>
        <v>0</v>
      </c>
      <c r="I225" s="437" t="s">
        <v>161</v>
      </c>
      <c r="J225" s="255"/>
      <c r="K225" s="255"/>
      <c r="L225" s="255"/>
      <c r="M225" s="255"/>
    </row>
    <row r="226" spans="2:13" ht="18" customHeight="1">
      <c r="B226" s="124" t="str">
        <f t="shared" ref="B226:B232" si="26">B225</f>
        <v>6单银Low-E+12A+6</v>
      </c>
      <c r="C226" s="443">
        <f t="shared" si="25"/>
        <v>-90</v>
      </c>
      <c r="D226" s="443">
        <f t="shared" si="25"/>
        <v>-90</v>
      </c>
      <c r="E226" s="32">
        <f t="shared" ref="E226:E284" si="27">C226*D226/10^6</f>
        <v>8.0999999999999996E-3</v>
      </c>
      <c r="F226" s="440">
        <f>G27</f>
        <v>0</v>
      </c>
      <c r="G226" s="126">
        <f t="shared" ref="G226:G232" si="28">G225</f>
        <v>148</v>
      </c>
      <c r="H226" s="440">
        <f t="shared" ref="H226:H241" si="29">ROUND(E226*G226*F226,2)</f>
        <v>0</v>
      </c>
      <c r="I226" s="437" t="s">
        <v>162</v>
      </c>
      <c r="J226" s="255"/>
      <c r="K226" s="255"/>
      <c r="L226" s="255"/>
      <c r="M226" s="255"/>
    </row>
    <row r="227" spans="2:13" ht="18" customHeight="1">
      <c r="B227" s="124" t="str">
        <f t="shared" si="26"/>
        <v>6单银Low-E+12A+6</v>
      </c>
      <c r="C227" s="443">
        <f t="shared" si="25"/>
        <v>-90</v>
      </c>
      <c r="D227" s="443">
        <f t="shared" si="25"/>
        <v>-90</v>
      </c>
      <c r="E227" s="32">
        <f t="shared" si="27"/>
        <v>8.0999999999999996E-3</v>
      </c>
      <c r="F227" s="440">
        <f>G28</f>
        <v>0</v>
      </c>
      <c r="G227" s="126">
        <f t="shared" si="28"/>
        <v>148</v>
      </c>
      <c r="H227" s="440">
        <f t="shared" si="29"/>
        <v>0</v>
      </c>
      <c r="I227" s="437" t="s">
        <v>162</v>
      </c>
      <c r="J227" s="255"/>
      <c r="K227" s="255"/>
      <c r="L227" s="255"/>
      <c r="M227" s="255"/>
    </row>
    <row r="228" spans="2:13" ht="18" customHeight="1">
      <c r="B228" s="124" t="str">
        <f t="shared" si="26"/>
        <v>6单银Low-E+12A+6</v>
      </c>
      <c r="C228" s="443">
        <f t="shared" si="25"/>
        <v>-90</v>
      </c>
      <c r="D228" s="443">
        <f t="shared" si="25"/>
        <v>-90</v>
      </c>
      <c r="E228" s="32">
        <f t="shared" si="27"/>
        <v>8.0999999999999996E-3</v>
      </c>
      <c r="F228" s="440">
        <f>G29</f>
        <v>0</v>
      </c>
      <c r="G228" s="126">
        <f t="shared" si="28"/>
        <v>148</v>
      </c>
      <c r="H228" s="440">
        <f t="shared" si="29"/>
        <v>0</v>
      </c>
      <c r="I228" s="437" t="s">
        <v>162</v>
      </c>
      <c r="J228" s="255"/>
      <c r="K228" s="255"/>
      <c r="L228" s="255"/>
      <c r="M228" s="255"/>
    </row>
    <row r="229" spans="2:13" ht="18" customHeight="1">
      <c r="B229" s="124" t="str">
        <f t="shared" si="26"/>
        <v>6单银Low-E+12A+6</v>
      </c>
      <c r="C229" s="443">
        <f t="shared" si="25"/>
        <v>-90</v>
      </c>
      <c r="D229" s="443">
        <f t="shared" si="25"/>
        <v>-90</v>
      </c>
      <c r="E229" s="32">
        <f t="shared" si="27"/>
        <v>8.0999999999999996E-3</v>
      </c>
      <c r="F229" s="440">
        <f>G30</f>
        <v>0</v>
      </c>
      <c r="G229" s="126">
        <f t="shared" si="28"/>
        <v>148</v>
      </c>
      <c r="H229" s="440">
        <f t="shared" si="29"/>
        <v>0</v>
      </c>
      <c r="I229" s="437" t="s">
        <v>162</v>
      </c>
      <c r="J229" s="123"/>
      <c r="K229" s="123"/>
      <c r="L229" s="123"/>
    </row>
    <row r="230" spans="2:13" ht="18" customHeight="1">
      <c r="B230" s="124" t="str">
        <f t="shared" si="26"/>
        <v>6单银Low-E+12A+6</v>
      </c>
      <c r="C230" s="443">
        <f t="shared" ref="C230:D232" si="30">D101</f>
        <v>-122</v>
      </c>
      <c r="D230" s="443">
        <f t="shared" si="30"/>
        <v>-122</v>
      </c>
      <c r="E230" s="32">
        <f t="shared" si="27"/>
        <v>1.4884E-2</v>
      </c>
      <c r="F230" s="440">
        <f>G101</f>
        <v>0</v>
      </c>
      <c r="G230" s="126">
        <f t="shared" si="28"/>
        <v>148</v>
      </c>
      <c r="H230" s="440">
        <f t="shared" si="29"/>
        <v>0</v>
      </c>
      <c r="I230" s="127" t="s">
        <v>163</v>
      </c>
      <c r="J230" s="123"/>
      <c r="K230" s="123"/>
      <c r="L230" s="123"/>
    </row>
    <row r="231" spans="2:13" ht="18" customHeight="1">
      <c r="B231" s="124" t="str">
        <f t="shared" si="26"/>
        <v>6单银Low-E+12A+6</v>
      </c>
      <c r="C231" s="443">
        <f t="shared" si="30"/>
        <v>-122</v>
      </c>
      <c r="D231" s="443">
        <f t="shared" si="30"/>
        <v>-122</v>
      </c>
      <c r="E231" s="32">
        <f t="shared" si="27"/>
        <v>1.4884E-2</v>
      </c>
      <c r="F231" s="440">
        <f>G102</f>
        <v>0</v>
      </c>
      <c r="G231" s="126">
        <f t="shared" si="28"/>
        <v>148</v>
      </c>
      <c r="H231" s="440">
        <f t="shared" si="29"/>
        <v>0</v>
      </c>
      <c r="I231" s="127" t="s">
        <v>163</v>
      </c>
    </row>
    <row r="232" spans="2:13" ht="18" customHeight="1">
      <c r="B232" s="124" t="str">
        <f t="shared" si="26"/>
        <v>6单银Low-E+12A+6</v>
      </c>
      <c r="C232" s="443">
        <f t="shared" si="30"/>
        <v>-122</v>
      </c>
      <c r="D232" s="443">
        <f t="shared" si="30"/>
        <v>-122</v>
      </c>
      <c r="E232" s="32">
        <f t="shared" si="27"/>
        <v>1.4884E-2</v>
      </c>
      <c r="F232" s="440">
        <f>G103</f>
        <v>0</v>
      </c>
      <c r="G232" s="126">
        <f t="shared" si="28"/>
        <v>148</v>
      </c>
      <c r="H232" s="440">
        <f t="shared" si="29"/>
        <v>0</v>
      </c>
      <c r="I232" s="127" t="s">
        <v>163</v>
      </c>
    </row>
    <row r="233" spans="2:13" ht="18" customHeight="1">
      <c r="B233" s="48" t="s">
        <v>164</v>
      </c>
      <c r="C233" s="52"/>
      <c r="D233" s="50"/>
      <c r="E233" s="128"/>
      <c r="F233" s="50">
        <f>SUM(F225:F232)</f>
        <v>0</v>
      </c>
      <c r="G233" s="50"/>
      <c r="H233" s="52">
        <f>SUM(H225:H232)</f>
        <v>0</v>
      </c>
      <c r="I233" s="53">
        <f>ROUND((E225*F225+E226*F226+E227*F227+E228*F228+E229*F229+E230*F230+E231*F231+E232*F232),2)</f>
        <v>0</v>
      </c>
    </row>
    <row r="234" spans="2:13" ht="18" customHeight="1">
      <c r="B234" s="124" t="str">
        <f>B232</f>
        <v>6单银Low-E+12A+6</v>
      </c>
      <c r="C234" s="443">
        <f>C225</f>
        <v>-90</v>
      </c>
      <c r="D234" s="443">
        <f>D225</f>
        <v>-90</v>
      </c>
      <c r="E234" s="32">
        <f t="shared" si="27"/>
        <v>8.0999999999999996E-3</v>
      </c>
      <c r="F234" s="440">
        <f>IF(F225=0,G26,0)</f>
        <v>0</v>
      </c>
      <c r="G234" s="126">
        <f>G232</f>
        <v>148</v>
      </c>
      <c r="H234" s="440">
        <f t="shared" si="29"/>
        <v>0</v>
      </c>
      <c r="I234" s="437" t="s">
        <v>165</v>
      </c>
      <c r="J234" s="129"/>
    </row>
    <row r="235" spans="2:13" ht="18" customHeight="1">
      <c r="B235" s="124" t="str">
        <f t="shared" ref="B235:B241" si="31">B234</f>
        <v>6单银Low-E+12A+6</v>
      </c>
      <c r="C235" s="443">
        <f t="shared" ref="C235:D241" si="32">C226</f>
        <v>-90</v>
      </c>
      <c r="D235" s="443">
        <f t="shared" si="32"/>
        <v>-90</v>
      </c>
      <c r="E235" s="32">
        <f t="shared" si="27"/>
        <v>8.0999999999999996E-3</v>
      </c>
      <c r="F235" s="440">
        <f>IF(F226=0,G27,0)</f>
        <v>0</v>
      </c>
      <c r="G235" s="126">
        <f>G234</f>
        <v>148</v>
      </c>
      <c r="H235" s="440">
        <f t="shared" si="29"/>
        <v>0</v>
      </c>
      <c r="I235" s="437" t="s">
        <v>165</v>
      </c>
      <c r="J235" s="129"/>
    </row>
    <row r="236" spans="2:13" ht="18" customHeight="1">
      <c r="B236" s="124" t="str">
        <f t="shared" si="31"/>
        <v>6单银Low-E+12A+6</v>
      </c>
      <c r="C236" s="443">
        <f t="shared" si="32"/>
        <v>-90</v>
      </c>
      <c r="D236" s="443">
        <f t="shared" si="32"/>
        <v>-90</v>
      </c>
      <c r="E236" s="32">
        <f t="shared" si="27"/>
        <v>8.0999999999999996E-3</v>
      </c>
      <c r="F236" s="440">
        <f>IF(F227=0,G28,0)</f>
        <v>0</v>
      </c>
      <c r="G236" s="126">
        <f t="shared" ref="G236:G241" si="33">G234</f>
        <v>148</v>
      </c>
      <c r="H236" s="440">
        <f t="shared" si="29"/>
        <v>0</v>
      </c>
      <c r="I236" s="437" t="s">
        <v>165</v>
      </c>
      <c r="J236" s="129"/>
    </row>
    <row r="237" spans="2:13" ht="18" customHeight="1">
      <c r="B237" s="124" t="str">
        <f t="shared" si="31"/>
        <v>6单银Low-E+12A+6</v>
      </c>
      <c r="C237" s="443">
        <f t="shared" si="32"/>
        <v>-90</v>
      </c>
      <c r="D237" s="443">
        <f t="shared" si="32"/>
        <v>-90</v>
      </c>
      <c r="E237" s="32">
        <f t="shared" si="27"/>
        <v>8.0999999999999996E-3</v>
      </c>
      <c r="F237" s="440">
        <f>IF(F228=0,G29,0)</f>
        <v>0</v>
      </c>
      <c r="G237" s="126">
        <f t="shared" si="33"/>
        <v>148</v>
      </c>
      <c r="H237" s="440">
        <f t="shared" si="29"/>
        <v>0</v>
      </c>
      <c r="I237" s="437" t="s">
        <v>165</v>
      </c>
      <c r="J237" s="129"/>
    </row>
    <row r="238" spans="2:13" ht="18" customHeight="1">
      <c r="B238" s="124" t="str">
        <f t="shared" si="31"/>
        <v>6单银Low-E+12A+6</v>
      </c>
      <c r="C238" s="443">
        <f t="shared" si="32"/>
        <v>-90</v>
      </c>
      <c r="D238" s="443">
        <f t="shared" si="32"/>
        <v>-90</v>
      </c>
      <c r="E238" s="32">
        <f t="shared" si="27"/>
        <v>8.0999999999999996E-3</v>
      </c>
      <c r="F238" s="440">
        <f>IF(F229=0,G30,0)</f>
        <v>0</v>
      </c>
      <c r="G238" s="126">
        <f t="shared" si="33"/>
        <v>148</v>
      </c>
      <c r="H238" s="440">
        <f t="shared" si="29"/>
        <v>0</v>
      </c>
      <c r="I238" s="437" t="s">
        <v>165</v>
      </c>
      <c r="J238" s="129"/>
    </row>
    <row r="239" spans="2:13" ht="18" customHeight="1">
      <c r="B239" s="124" t="str">
        <f t="shared" si="31"/>
        <v>6单银Low-E+12A+6</v>
      </c>
      <c r="C239" s="443">
        <f t="shared" si="32"/>
        <v>-122</v>
      </c>
      <c r="D239" s="443">
        <f t="shared" si="32"/>
        <v>-122</v>
      </c>
      <c r="E239" s="32">
        <f t="shared" si="27"/>
        <v>1.4884E-2</v>
      </c>
      <c r="F239" s="440">
        <f>IF(F230=0,G35,0)</f>
        <v>0</v>
      </c>
      <c r="G239" s="126">
        <f t="shared" si="33"/>
        <v>148</v>
      </c>
      <c r="H239" s="440">
        <f t="shared" si="29"/>
        <v>0</v>
      </c>
      <c r="I239" s="127" t="s">
        <v>166</v>
      </c>
      <c r="J239" s="129"/>
    </row>
    <row r="240" spans="2:13" ht="18" customHeight="1">
      <c r="B240" s="124" t="str">
        <f t="shared" si="31"/>
        <v>6单银Low-E+12A+6</v>
      </c>
      <c r="C240" s="443">
        <f t="shared" si="32"/>
        <v>-122</v>
      </c>
      <c r="D240" s="443">
        <f t="shared" si="32"/>
        <v>-122</v>
      </c>
      <c r="E240" s="32">
        <f t="shared" si="27"/>
        <v>1.4884E-2</v>
      </c>
      <c r="F240" s="440">
        <f>IF(F231=0,G36,0)</f>
        <v>0</v>
      </c>
      <c r="G240" s="126">
        <f t="shared" si="33"/>
        <v>148</v>
      </c>
      <c r="H240" s="440">
        <f t="shared" si="29"/>
        <v>0</v>
      </c>
      <c r="I240" s="127" t="s">
        <v>166</v>
      </c>
      <c r="J240" s="129"/>
    </row>
    <row r="241" spans="1:16" ht="18" customHeight="1">
      <c r="B241" s="124" t="str">
        <f t="shared" si="31"/>
        <v>6单银Low-E+12A+6</v>
      </c>
      <c r="C241" s="443">
        <f t="shared" si="32"/>
        <v>-122</v>
      </c>
      <c r="D241" s="443">
        <f t="shared" si="32"/>
        <v>-122</v>
      </c>
      <c r="E241" s="32">
        <f t="shared" si="27"/>
        <v>1.4884E-2</v>
      </c>
      <c r="F241" s="440">
        <f>IF(F232=0,G37,0)</f>
        <v>0</v>
      </c>
      <c r="G241" s="126">
        <f t="shared" si="33"/>
        <v>148</v>
      </c>
      <c r="H241" s="440">
        <f t="shared" si="29"/>
        <v>0</v>
      </c>
      <c r="I241" s="127" t="s">
        <v>166</v>
      </c>
      <c r="J241" s="129"/>
    </row>
    <row r="242" spans="1:16" s="43" customFormat="1" ht="18" customHeight="1">
      <c r="A242" s="1"/>
      <c r="B242" s="48" t="s">
        <v>167</v>
      </c>
      <c r="C242" s="52"/>
      <c r="D242" s="50"/>
      <c r="E242" s="128"/>
      <c r="F242" s="50">
        <f>SUM(F234:F241)</f>
        <v>0</v>
      </c>
      <c r="G242" s="50"/>
      <c r="H242" s="52">
        <f>SUM(H234:H241)</f>
        <v>0</v>
      </c>
      <c r="I242" s="53">
        <f>ROUND(SUMPRODUCT(E234:E241*F234:F241),2)</f>
        <v>0</v>
      </c>
      <c r="J242" s="129"/>
      <c r="N242" s="255"/>
      <c r="O242" s="255"/>
      <c r="P242" s="255"/>
    </row>
    <row r="243" spans="1:16" s="43" customFormat="1" ht="18" customHeight="1">
      <c r="A243" s="1"/>
      <c r="B243" s="124" t="str">
        <f>B240</f>
        <v>6单银Low-E+12A+6</v>
      </c>
      <c r="C243" s="443">
        <f t="shared" ref="C243:D249" si="34">D68-12</f>
        <v>236</v>
      </c>
      <c r="D243" s="443">
        <f t="shared" si="34"/>
        <v>836</v>
      </c>
      <c r="E243" s="32">
        <f t="shared" si="27"/>
        <v>0.197296</v>
      </c>
      <c r="F243" s="82">
        <f t="shared" ref="F243:F249" si="35">G68</f>
        <v>1</v>
      </c>
      <c r="G243" s="130">
        <f>G241</f>
        <v>148</v>
      </c>
      <c r="H243" s="440">
        <f t="shared" ref="H243:H249" si="36">ROUND(E243*G243*F243,2)</f>
        <v>29.2</v>
      </c>
      <c r="I243" s="437" t="s">
        <v>168</v>
      </c>
      <c r="J243" s="129"/>
      <c r="N243" s="255"/>
      <c r="O243" s="255"/>
      <c r="P243" s="255"/>
    </row>
    <row r="244" spans="1:16" s="43" customFormat="1" ht="18" customHeight="1">
      <c r="A244" s="1"/>
      <c r="B244" s="124" t="str">
        <f t="shared" ref="B244:B249" si="37">B243</f>
        <v>6单银Low-E+12A+6</v>
      </c>
      <c r="C244" s="443">
        <f t="shared" si="34"/>
        <v>-12</v>
      </c>
      <c r="D244" s="443">
        <f t="shared" si="34"/>
        <v>-12</v>
      </c>
      <c r="E244" s="32">
        <f t="shared" si="27"/>
        <v>1.44E-4</v>
      </c>
      <c r="F244" s="82">
        <f t="shared" si="35"/>
        <v>0</v>
      </c>
      <c r="G244" s="130">
        <f t="shared" ref="G244:G249" si="38">G243</f>
        <v>148</v>
      </c>
      <c r="H244" s="440">
        <f t="shared" si="36"/>
        <v>0</v>
      </c>
      <c r="I244" s="437" t="s">
        <v>168</v>
      </c>
      <c r="J244" s="129"/>
      <c r="N244" s="255"/>
      <c r="O244" s="255"/>
      <c r="P244" s="255"/>
    </row>
    <row r="245" spans="1:16" s="43" customFormat="1" ht="18" customHeight="1">
      <c r="A245" s="1"/>
      <c r="B245" s="124" t="str">
        <f t="shared" si="37"/>
        <v>6单银Low-E+12A+6</v>
      </c>
      <c r="C245" s="443">
        <f t="shared" si="34"/>
        <v>-12</v>
      </c>
      <c r="D245" s="443">
        <f t="shared" si="34"/>
        <v>-12</v>
      </c>
      <c r="E245" s="32">
        <f t="shared" si="27"/>
        <v>1.44E-4</v>
      </c>
      <c r="F245" s="82">
        <f t="shared" si="35"/>
        <v>0</v>
      </c>
      <c r="G245" s="130">
        <f t="shared" si="38"/>
        <v>148</v>
      </c>
      <c r="H245" s="440">
        <f t="shared" si="36"/>
        <v>0</v>
      </c>
      <c r="I245" s="437" t="s">
        <v>168</v>
      </c>
      <c r="J245" s="129"/>
      <c r="N245" s="255"/>
      <c r="O245" s="255"/>
      <c r="P245" s="255"/>
    </row>
    <row r="246" spans="1:16" s="43" customFormat="1" ht="18" customHeight="1">
      <c r="A246" s="1"/>
      <c r="B246" s="124" t="str">
        <f t="shared" si="37"/>
        <v>6单银Low-E+12A+6</v>
      </c>
      <c r="C246" s="443">
        <f t="shared" si="34"/>
        <v>-12</v>
      </c>
      <c r="D246" s="443">
        <f t="shared" si="34"/>
        <v>-12</v>
      </c>
      <c r="E246" s="32">
        <f t="shared" si="27"/>
        <v>1.44E-4</v>
      </c>
      <c r="F246" s="82">
        <f t="shared" si="35"/>
        <v>0</v>
      </c>
      <c r="G246" s="130">
        <f t="shared" si="38"/>
        <v>148</v>
      </c>
      <c r="H246" s="440">
        <f t="shared" si="36"/>
        <v>0</v>
      </c>
      <c r="I246" s="437" t="s">
        <v>168</v>
      </c>
      <c r="J246" s="129"/>
      <c r="N246" s="255"/>
      <c r="O246" s="255"/>
      <c r="P246" s="255"/>
    </row>
    <row r="247" spans="1:16" s="43" customFormat="1" ht="18" customHeight="1">
      <c r="A247" s="1"/>
      <c r="B247" s="124" t="str">
        <f t="shared" si="37"/>
        <v>6单银Low-E+12A+6</v>
      </c>
      <c r="C247" s="443">
        <f t="shared" si="34"/>
        <v>-12</v>
      </c>
      <c r="D247" s="443">
        <f t="shared" si="34"/>
        <v>-12</v>
      </c>
      <c r="E247" s="32">
        <f t="shared" si="27"/>
        <v>1.44E-4</v>
      </c>
      <c r="F247" s="82">
        <f t="shared" si="35"/>
        <v>0</v>
      </c>
      <c r="G247" s="130">
        <f t="shared" si="38"/>
        <v>148</v>
      </c>
      <c r="H247" s="440">
        <f t="shared" si="36"/>
        <v>0</v>
      </c>
      <c r="I247" s="437" t="s">
        <v>168</v>
      </c>
      <c r="J247" s="129"/>
      <c r="N247" s="255"/>
      <c r="O247" s="255"/>
      <c r="P247" s="255"/>
    </row>
    <row r="248" spans="1:16" s="43" customFormat="1" ht="18" customHeight="1">
      <c r="A248" s="1"/>
      <c r="B248" s="124" t="str">
        <f t="shared" si="37"/>
        <v>6单银Low-E+12A+6</v>
      </c>
      <c r="C248" s="443">
        <f t="shared" si="34"/>
        <v>-12</v>
      </c>
      <c r="D248" s="443">
        <f t="shared" si="34"/>
        <v>-12</v>
      </c>
      <c r="E248" s="32">
        <f t="shared" si="27"/>
        <v>1.44E-4</v>
      </c>
      <c r="F248" s="82">
        <f t="shared" si="35"/>
        <v>0</v>
      </c>
      <c r="G248" s="130">
        <f t="shared" si="38"/>
        <v>148</v>
      </c>
      <c r="H248" s="440">
        <f t="shared" si="36"/>
        <v>0</v>
      </c>
      <c r="I248" s="437" t="s">
        <v>168</v>
      </c>
      <c r="J248" s="129"/>
      <c r="N248" s="255"/>
      <c r="O248" s="255"/>
      <c r="P248" s="255"/>
    </row>
    <row r="249" spans="1:16" s="43" customFormat="1" ht="18" customHeight="1">
      <c r="A249" s="1"/>
      <c r="B249" s="124" t="str">
        <f t="shared" si="37"/>
        <v>6单银Low-E+12A+6</v>
      </c>
      <c r="C249" s="443">
        <f t="shared" si="34"/>
        <v>-12</v>
      </c>
      <c r="D249" s="443">
        <f t="shared" si="34"/>
        <v>-12</v>
      </c>
      <c r="E249" s="32">
        <f t="shared" si="27"/>
        <v>1.44E-4</v>
      </c>
      <c r="F249" s="82">
        <f t="shared" si="35"/>
        <v>0</v>
      </c>
      <c r="G249" s="130">
        <f t="shared" si="38"/>
        <v>148</v>
      </c>
      <c r="H249" s="440">
        <f t="shared" si="36"/>
        <v>0</v>
      </c>
      <c r="I249" s="437" t="s">
        <v>168</v>
      </c>
      <c r="J249" s="129"/>
      <c r="N249" s="255"/>
      <c r="O249" s="255"/>
      <c r="P249" s="255"/>
    </row>
    <row r="250" spans="1:16" s="43" customFormat="1" ht="18" customHeight="1">
      <c r="A250" s="1"/>
      <c r="B250" s="131" t="str">
        <f>B246</f>
        <v>6单银Low-E+12A+6</v>
      </c>
      <c r="C250" s="52"/>
      <c r="D250" s="50"/>
      <c r="E250" s="128"/>
      <c r="F250" s="50">
        <f>SUM(F243:F249)</f>
        <v>1</v>
      </c>
      <c r="G250" s="50"/>
      <c r="H250" s="52">
        <f>SUM(H243:H249)</f>
        <v>29.2</v>
      </c>
      <c r="I250" s="53">
        <f>ROUND((E243*F243+E244*F244+E245*F245+E246*F246+E247*F247+E248*F248+E249*F249),2)</f>
        <v>0.2</v>
      </c>
      <c r="J250" s="43">
        <f>(I242+I258+I273+I280)</f>
        <v>0</v>
      </c>
      <c r="N250" s="255"/>
      <c r="O250" s="255"/>
      <c r="P250" s="255"/>
    </row>
    <row r="251" spans="1:16" s="43" customFormat="1" ht="18" customHeight="1">
      <c r="A251" s="1"/>
      <c r="B251" s="124" t="str">
        <f>B249</f>
        <v>6单银Low-E+12A+6</v>
      </c>
      <c r="C251" s="443">
        <f t="shared" ref="C251:D257" si="39">D75-12</f>
        <v>-12</v>
      </c>
      <c r="D251" s="443">
        <f t="shared" si="39"/>
        <v>-12</v>
      </c>
      <c r="E251" s="32">
        <f t="shared" si="27"/>
        <v>1.44E-4</v>
      </c>
      <c r="F251" s="82">
        <f t="shared" ref="F251:F257" si="40">G75</f>
        <v>0</v>
      </c>
      <c r="G251" s="130">
        <f>G249</f>
        <v>148</v>
      </c>
      <c r="H251" s="440">
        <f>ROUND(E251*G251*F251,2)</f>
        <v>0</v>
      </c>
      <c r="I251" s="132" t="s">
        <v>169</v>
      </c>
      <c r="N251" s="255"/>
      <c r="O251" s="255"/>
      <c r="P251" s="255"/>
    </row>
    <row r="252" spans="1:16" s="43" customFormat="1" ht="18" customHeight="1">
      <c r="A252" s="1"/>
      <c r="B252" s="124" t="str">
        <f t="shared" ref="B252:B257" si="41">B251</f>
        <v>6单银Low-E+12A+6</v>
      </c>
      <c r="C252" s="443">
        <f t="shared" si="39"/>
        <v>-12</v>
      </c>
      <c r="D252" s="443">
        <f t="shared" si="39"/>
        <v>-12</v>
      </c>
      <c r="E252" s="32">
        <f t="shared" si="27"/>
        <v>1.44E-4</v>
      </c>
      <c r="F252" s="82">
        <f t="shared" si="40"/>
        <v>0</v>
      </c>
      <c r="G252" s="130">
        <f t="shared" ref="G252:G257" si="42">G251</f>
        <v>148</v>
      </c>
      <c r="H252" s="440">
        <f t="shared" ref="H252:H264" si="43">ROUND(E252*G252*F252,2)</f>
        <v>0</v>
      </c>
      <c r="I252" s="132" t="str">
        <f t="shared" ref="I252:I257" si="44">I251</f>
        <v>固定钢化中空</v>
      </c>
      <c r="N252" s="255"/>
      <c r="O252" s="255"/>
      <c r="P252" s="255"/>
    </row>
    <row r="253" spans="1:16" s="43" customFormat="1" ht="18" customHeight="1">
      <c r="A253" s="1"/>
      <c r="B253" s="124" t="str">
        <f t="shared" si="41"/>
        <v>6单银Low-E+12A+6</v>
      </c>
      <c r="C253" s="443">
        <f t="shared" si="39"/>
        <v>-12</v>
      </c>
      <c r="D253" s="443">
        <f t="shared" si="39"/>
        <v>-12</v>
      </c>
      <c r="E253" s="32">
        <f t="shared" si="27"/>
        <v>1.44E-4</v>
      </c>
      <c r="F253" s="82">
        <f t="shared" si="40"/>
        <v>0</v>
      </c>
      <c r="G253" s="130">
        <f t="shared" si="42"/>
        <v>148</v>
      </c>
      <c r="H253" s="440">
        <f t="shared" si="43"/>
        <v>0</v>
      </c>
      <c r="I253" s="132" t="str">
        <f t="shared" si="44"/>
        <v>固定钢化中空</v>
      </c>
      <c r="N253" s="255"/>
      <c r="O253" s="255"/>
      <c r="P253" s="255"/>
    </row>
    <row r="254" spans="1:16" s="43" customFormat="1" ht="18" customHeight="1">
      <c r="A254" s="1"/>
      <c r="B254" s="124" t="str">
        <f t="shared" si="41"/>
        <v>6单银Low-E+12A+6</v>
      </c>
      <c r="C254" s="443">
        <f t="shared" si="39"/>
        <v>-12</v>
      </c>
      <c r="D254" s="443">
        <f t="shared" si="39"/>
        <v>-12</v>
      </c>
      <c r="E254" s="32">
        <f t="shared" si="27"/>
        <v>1.44E-4</v>
      </c>
      <c r="F254" s="82">
        <f t="shared" si="40"/>
        <v>0</v>
      </c>
      <c r="G254" s="130">
        <f t="shared" si="42"/>
        <v>148</v>
      </c>
      <c r="H254" s="440">
        <f t="shared" si="43"/>
        <v>0</v>
      </c>
      <c r="I254" s="132" t="str">
        <f t="shared" si="44"/>
        <v>固定钢化中空</v>
      </c>
      <c r="J254" s="42"/>
      <c r="N254" s="255"/>
      <c r="O254" s="255"/>
      <c r="P254" s="255"/>
    </row>
    <row r="255" spans="1:16" s="43" customFormat="1" ht="18" customHeight="1">
      <c r="A255" s="1"/>
      <c r="B255" s="124" t="str">
        <f t="shared" si="41"/>
        <v>6单银Low-E+12A+6</v>
      </c>
      <c r="C255" s="443">
        <f t="shared" si="39"/>
        <v>-12</v>
      </c>
      <c r="D255" s="443">
        <f t="shared" si="39"/>
        <v>-12</v>
      </c>
      <c r="E255" s="32">
        <f t="shared" si="27"/>
        <v>1.44E-4</v>
      </c>
      <c r="F255" s="82">
        <f t="shared" si="40"/>
        <v>0</v>
      </c>
      <c r="G255" s="130">
        <f t="shared" si="42"/>
        <v>148</v>
      </c>
      <c r="H255" s="440">
        <f t="shared" si="43"/>
        <v>0</v>
      </c>
      <c r="I255" s="132" t="str">
        <f t="shared" si="44"/>
        <v>固定钢化中空</v>
      </c>
      <c r="N255" s="255"/>
      <c r="O255" s="255"/>
      <c r="P255" s="255"/>
    </row>
    <row r="256" spans="1:16" s="43" customFormat="1" ht="18" customHeight="1">
      <c r="A256" s="1"/>
      <c r="B256" s="124" t="str">
        <f t="shared" si="41"/>
        <v>6单银Low-E+12A+6</v>
      </c>
      <c r="C256" s="443">
        <f t="shared" si="39"/>
        <v>-12</v>
      </c>
      <c r="D256" s="443">
        <f t="shared" si="39"/>
        <v>-12</v>
      </c>
      <c r="E256" s="32">
        <f t="shared" si="27"/>
        <v>1.44E-4</v>
      </c>
      <c r="F256" s="82">
        <f t="shared" si="40"/>
        <v>0</v>
      </c>
      <c r="G256" s="130">
        <f t="shared" si="42"/>
        <v>148</v>
      </c>
      <c r="H256" s="440">
        <f t="shared" si="43"/>
        <v>0</v>
      </c>
      <c r="I256" s="132" t="str">
        <f t="shared" si="44"/>
        <v>固定钢化中空</v>
      </c>
      <c r="N256" s="255"/>
      <c r="O256" s="255"/>
      <c r="P256" s="255"/>
    </row>
    <row r="257" spans="1:16" s="43" customFormat="1" ht="18" customHeight="1">
      <c r="A257" s="1"/>
      <c r="B257" s="124" t="str">
        <f t="shared" si="41"/>
        <v>6单银Low-E+12A+6</v>
      </c>
      <c r="C257" s="443">
        <f t="shared" si="39"/>
        <v>-12</v>
      </c>
      <c r="D257" s="443">
        <f t="shared" si="39"/>
        <v>-12</v>
      </c>
      <c r="E257" s="32">
        <f t="shared" si="27"/>
        <v>1.44E-4</v>
      </c>
      <c r="F257" s="82">
        <f t="shared" si="40"/>
        <v>0</v>
      </c>
      <c r="G257" s="130">
        <f t="shared" si="42"/>
        <v>148</v>
      </c>
      <c r="H257" s="440">
        <f t="shared" si="43"/>
        <v>0</v>
      </c>
      <c r="I257" s="132" t="str">
        <f t="shared" si="44"/>
        <v>固定钢化中空</v>
      </c>
      <c r="N257" s="255"/>
      <c r="O257" s="255"/>
      <c r="P257" s="255"/>
    </row>
    <row r="258" spans="1:16" s="43" customFormat="1" ht="18" customHeight="1">
      <c r="A258" s="1"/>
      <c r="B258" s="48" t="s">
        <v>170</v>
      </c>
      <c r="C258" s="52"/>
      <c r="D258" s="50"/>
      <c r="E258" s="128"/>
      <c r="F258" s="50">
        <f>SUM(F251:F257)</f>
        <v>0</v>
      </c>
      <c r="G258" s="50"/>
      <c r="H258" s="52">
        <f>SUM(H251:H257)</f>
        <v>0</v>
      </c>
      <c r="I258" s="53">
        <f>ROUND((E251*F251+E252*F252+E253*F253+E254*F254+E255*F255+E256*F256+E257*F257),2)</f>
        <v>0</v>
      </c>
      <c r="N258" s="255"/>
      <c r="O258" s="255"/>
      <c r="P258" s="255"/>
    </row>
    <row r="259" spans="1:16" s="43" customFormat="1" ht="18" customHeight="1">
      <c r="A259" s="1"/>
      <c r="B259" s="124" t="str">
        <f>B257</f>
        <v>6单银Low-E+12A+6</v>
      </c>
      <c r="C259" s="443">
        <f t="shared" ref="C259:D264" si="45">D82-12</f>
        <v>-12</v>
      </c>
      <c r="D259" s="443">
        <f t="shared" si="45"/>
        <v>-12</v>
      </c>
      <c r="E259" s="32">
        <f t="shared" si="27"/>
        <v>1.44E-4</v>
      </c>
      <c r="F259" s="82">
        <f t="shared" ref="F259:F264" si="46">G82</f>
        <v>0</v>
      </c>
      <c r="G259" s="130">
        <f>G257</f>
        <v>148</v>
      </c>
      <c r="H259" s="440">
        <f t="shared" si="43"/>
        <v>0</v>
      </c>
      <c r="I259" s="437" t="s">
        <v>171</v>
      </c>
      <c r="N259" s="255"/>
      <c r="O259" s="255"/>
      <c r="P259" s="255"/>
    </row>
    <row r="260" spans="1:16" s="43" customFormat="1" ht="18" customHeight="1">
      <c r="A260" s="1"/>
      <c r="B260" s="124" t="str">
        <f>B259</f>
        <v>6单银Low-E+12A+6</v>
      </c>
      <c r="C260" s="443">
        <f t="shared" si="45"/>
        <v>-12</v>
      </c>
      <c r="D260" s="443">
        <f t="shared" si="45"/>
        <v>-12</v>
      </c>
      <c r="E260" s="32">
        <f t="shared" si="27"/>
        <v>1.44E-4</v>
      </c>
      <c r="F260" s="82">
        <f t="shared" si="46"/>
        <v>0</v>
      </c>
      <c r="G260" s="130">
        <f>G259</f>
        <v>148</v>
      </c>
      <c r="H260" s="440">
        <f t="shared" si="43"/>
        <v>0</v>
      </c>
      <c r="I260" s="437" t="s">
        <v>171</v>
      </c>
      <c r="N260" s="255"/>
      <c r="O260" s="255"/>
      <c r="P260" s="255"/>
    </row>
    <row r="261" spans="1:16" s="43" customFormat="1" ht="18" customHeight="1">
      <c r="A261" s="1"/>
      <c r="B261" s="124" t="str">
        <f>B260</f>
        <v>6单银Low-E+12A+6</v>
      </c>
      <c r="C261" s="443">
        <f t="shared" si="45"/>
        <v>-12</v>
      </c>
      <c r="D261" s="443">
        <f t="shared" si="45"/>
        <v>-12</v>
      </c>
      <c r="E261" s="32">
        <f t="shared" si="27"/>
        <v>1.44E-4</v>
      </c>
      <c r="F261" s="82">
        <f t="shared" si="46"/>
        <v>0</v>
      </c>
      <c r="G261" s="130">
        <f>G260</f>
        <v>148</v>
      </c>
      <c r="H261" s="440">
        <f t="shared" si="43"/>
        <v>0</v>
      </c>
      <c r="I261" s="437" t="s">
        <v>171</v>
      </c>
      <c r="N261" s="255"/>
      <c r="O261" s="255"/>
      <c r="P261" s="255"/>
    </row>
    <row r="262" spans="1:16" s="43" customFormat="1" ht="18" customHeight="1">
      <c r="A262" s="1"/>
      <c r="B262" s="124" t="str">
        <f>B261</f>
        <v>6单银Low-E+12A+6</v>
      </c>
      <c r="C262" s="443">
        <f t="shared" si="45"/>
        <v>-12</v>
      </c>
      <c r="D262" s="443">
        <f t="shared" si="45"/>
        <v>-12</v>
      </c>
      <c r="E262" s="32">
        <f t="shared" si="27"/>
        <v>1.44E-4</v>
      </c>
      <c r="F262" s="82">
        <f t="shared" si="46"/>
        <v>0</v>
      </c>
      <c r="G262" s="130">
        <f>G261</f>
        <v>148</v>
      </c>
      <c r="H262" s="440">
        <f t="shared" si="43"/>
        <v>0</v>
      </c>
      <c r="I262" s="437" t="s">
        <v>171</v>
      </c>
      <c r="N262" s="255"/>
      <c r="O262" s="255"/>
      <c r="P262" s="255"/>
    </row>
    <row r="263" spans="1:16" s="43" customFormat="1" ht="18" customHeight="1">
      <c r="A263" s="1"/>
      <c r="B263" s="124" t="str">
        <f>B262</f>
        <v>6单银Low-E+12A+6</v>
      </c>
      <c r="C263" s="443">
        <f t="shared" si="45"/>
        <v>-12</v>
      </c>
      <c r="D263" s="443">
        <f t="shared" si="45"/>
        <v>-12</v>
      </c>
      <c r="E263" s="32">
        <f t="shared" si="27"/>
        <v>1.44E-4</v>
      </c>
      <c r="F263" s="82">
        <f t="shared" si="46"/>
        <v>0</v>
      </c>
      <c r="G263" s="130">
        <f>G262</f>
        <v>148</v>
      </c>
      <c r="H263" s="440">
        <f t="shared" si="43"/>
        <v>0</v>
      </c>
      <c r="I263" s="437" t="s">
        <v>171</v>
      </c>
      <c r="N263" s="255"/>
      <c r="O263" s="255"/>
      <c r="P263" s="255"/>
    </row>
    <row r="264" spans="1:16" s="43" customFormat="1" ht="18" customHeight="1">
      <c r="A264" s="1"/>
      <c r="B264" s="124" t="str">
        <f>B263</f>
        <v>6单银Low-E+12A+6</v>
      </c>
      <c r="C264" s="443">
        <f t="shared" si="45"/>
        <v>-12</v>
      </c>
      <c r="D264" s="443">
        <f t="shared" si="45"/>
        <v>-12</v>
      </c>
      <c r="E264" s="32">
        <f t="shared" si="27"/>
        <v>1.44E-4</v>
      </c>
      <c r="F264" s="82">
        <f t="shared" si="46"/>
        <v>0</v>
      </c>
      <c r="G264" s="130">
        <f>G263</f>
        <v>148</v>
      </c>
      <c r="H264" s="440">
        <f t="shared" si="43"/>
        <v>0</v>
      </c>
      <c r="I264" s="437" t="s">
        <v>171</v>
      </c>
      <c r="N264" s="255"/>
      <c r="O264" s="255"/>
      <c r="P264" s="255"/>
    </row>
    <row r="265" spans="1:16" s="43" customFormat="1" ht="18" customHeight="1">
      <c r="A265" s="1"/>
      <c r="B265" s="48" t="s">
        <v>172</v>
      </c>
      <c r="C265" s="52"/>
      <c r="D265" s="50"/>
      <c r="E265" s="128"/>
      <c r="F265" s="50">
        <f>SUM(F259:F264)</f>
        <v>0</v>
      </c>
      <c r="G265" s="50"/>
      <c r="H265" s="52">
        <f>SUM(H259:H264)</f>
        <v>0</v>
      </c>
      <c r="I265" s="53">
        <f>ROUND(SUMPRODUCT(E259:E264*F259:F264),2)</f>
        <v>0</v>
      </c>
      <c r="N265" s="255"/>
      <c r="O265" s="255"/>
      <c r="P265" s="255"/>
    </row>
    <row r="266" spans="1:16" s="43" customFormat="1" ht="18" customHeight="1">
      <c r="A266" s="1"/>
      <c r="B266" s="124" t="str">
        <f>B264</f>
        <v>6单银Low-E+12A+6</v>
      </c>
      <c r="C266" s="133">
        <f t="shared" ref="C266:D268" si="47">D143</f>
        <v>-154</v>
      </c>
      <c r="D266" s="133">
        <f t="shared" si="47"/>
        <v>-154</v>
      </c>
      <c r="E266" s="32">
        <f t="shared" si="27"/>
        <v>2.3716000000000001E-2</v>
      </c>
      <c r="F266" s="134">
        <f>G143</f>
        <v>0</v>
      </c>
      <c r="G266" s="135">
        <f>G264</f>
        <v>148</v>
      </c>
      <c r="H266" s="134">
        <f>ROUND(E266*G266*F266,2)</f>
        <v>0</v>
      </c>
      <c r="I266" s="136" t="s">
        <v>173</v>
      </c>
      <c r="N266" s="255"/>
      <c r="O266" s="255"/>
      <c r="P266" s="255"/>
    </row>
    <row r="267" spans="1:16" s="43" customFormat="1" ht="18" customHeight="1">
      <c r="A267" s="1"/>
      <c r="B267" s="124" t="str">
        <f>B264</f>
        <v>6单银Low-E+12A+6</v>
      </c>
      <c r="C267" s="133">
        <f t="shared" si="47"/>
        <v>-154</v>
      </c>
      <c r="D267" s="133">
        <f t="shared" si="47"/>
        <v>-154</v>
      </c>
      <c r="E267" s="32">
        <f t="shared" si="27"/>
        <v>2.3716000000000001E-2</v>
      </c>
      <c r="F267" s="134">
        <f>G144</f>
        <v>0</v>
      </c>
      <c r="G267" s="135">
        <f>G266</f>
        <v>148</v>
      </c>
      <c r="H267" s="134">
        <f>ROUND(E267*G267*F267,2)</f>
        <v>0</v>
      </c>
      <c r="I267" s="136" t="s">
        <v>173</v>
      </c>
      <c r="N267" s="255"/>
      <c r="O267" s="255"/>
      <c r="P267" s="255"/>
    </row>
    <row r="268" spans="1:16" s="43" customFormat="1" ht="18" customHeight="1">
      <c r="A268" s="1"/>
      <c r="B268" s="124" t="str">
        <f>B267</f>
        <v>6单银Low-E+12A+6</v>
      </c>
      <c r="C268" s="133">
        <f t="shared" si="47"/>
        <v>-154</v>
      </c>
      <c r="D268" s="133">
        <f t="shared" si="47"/>
        <v>-154</v>
      </c>
      <c r="E268" s="32">
        <f t="shared" si="27"/>
        <v>2.3716000000000001E-2</v>
      </c>
      <c r="F268" s="134">
        <f>G145</f>
        <v>0</v>
      </c>
      <c r="G268" s="135">
        <f>G267</f>
        <v>148</v>
      </c>
      <c r="H268" s="134">
        <f>ROUND(E268*G268*F268,2)</f>
        <v>0</v>
      </c>
      <c r="I268" s="136" t="s">
        <v>173</v>
      </c>
      <c r="N268" s="255"/>
      <c r="O268" s="255"/>
      <c r="P268" s="255"/>
    </row>
    <row r="269" spans="1:16" s="43" customFormat="1" ht="18" customHeight="1">
      <c r="A269" s="1"/>
      <c r="B269" s="48" t="s">
        <v>174</v>
      </c>
      <c r="C269" s="52"/>
      <c r="D269" s="50"/>
      <c r="E269" s="128"/>
      <c r="F269" s="50">
        <f>SUM(F266:F268)</f>
        <v>0</v>
      </c>
      <c r="G269" s="50"/>
      <c r="H269" s="52">
        <f>SUM(H266:H268)</f>
        <v>0</v>
      </c>
      <c r="I269" s="53">
        <f>ROUND((E266*F266+E267*F267+E268*F268),2)</f>
        <v>0</v>
      </c>
      <c r="N269" s="255"/>
      <c r="O269" s="255"/>
      <c r="P269" s="255"/>
    </row>
    <row r="270" spans="1:16" s="43" customFormat="1" ht="18" customHeight="1">
      <c r="A270" s="1"/>
      <c r="B270" s="124" t="str">
        <f>B268</f>
        <v>6单银Low-E+12A+6</v>
      </c>
      <c r="C270" s="133">
        <f t="shared" ref="C270:D272" si="48">D150</f>
        <v>-160</v>
      </c>
      <c r="D270" s="133">
        <f t="shared" si="48"/>
        <v>-160</v>
      </c>
      <c r="E270" s="32">
        <f t="shared" si="27"/>
        <v>2.5600000000000001E-2</v>
      </c>
      <c r="F270" s="134">
        <f>G150</f>
        <v>0</v>
      </c>
      <c r="G270" s="135">
        <f>G268</f>
        <v>148</v>
      </c>
      <c r="H270" s="134">
        <f>ROUND(E270*G270*F270,2)</f>
        <v>0</v>
      </c>
      <c r="I270" s="136" t="s">
        <v>173</v>
      </c>
      <c r="N270" s="255"/>
      <c r="O270" s="255"/>
      <c r="P270" s="255"/>
    </row>
    <row r="271" spans="1:16" s="43" customFormat="1" ht="18" customHeight="1">
      <c r="A271" s="1"/>
      <c r="B271" s="124" t="str">
        <f>B270</f>
        <v>6单银Low-E+12A+6</v>
      </c>
      <c r="C271" s="133">
        <f t="shared" si="48"/>
        <v>-160</v>
      </c>
      <c r="D271" s="133">
        <f t="shared" si="48"/>
        <v>-160</v>
      </c>
      <c r="E271" s="32">
        <f t="shared" si="27"/>
        <v>2.5600000000000001E-2</v>
      </c>
      <c r="F271" s="134">
        <f>G151</f>
        <v>0</v>
      </c>
      <c r="G271" s="135">
        <f>G270</f>
        <v>148</v>
      </c>
      <c r="H271" s="134">
        <f>ROUND(E271*G271*F271,2)</f>
        <v>0</v>
      </c>
      <c r="I271" s="136" t="s">
        <v>173</v>
      </c>
      <c r="N271" s="255"/>
      <c r="O271" s="255"/>
      <c r="P271" s="255"/>
    </row>
    <row r="272" spans="1:16" s="43" customFormat="1" ht="18" customHeight="1">
      <c r="A272" s="1"/>
      <c r="B272" s="124" t="str">
        <f>B271</f>
        <v>6单银Low-E+12A+6</v>
      </c>
      <c r="C272" s="133">
        <f t="shared" si="48"/>
        <v>-160</v>
      </c>
      <c r="D272" s="133">
        <f t="shared" si="48"/>
        <v>-160</v>
      </c>
      <c r="E272" s="32">
        <f t="shared" si="27"/>
        <v>2.5600000000000001E-2</v>
      </c>
      <c r="F272" s="134">
        <f>G152</f>
        <v>0</v>
      </c>
      <c r="G272" s="135">
        <f>G271</f>
        <v>148</v>
      </c>
      <c r="H272" s="134">
        <f>ROUND(E272*G272*F272,2)</f>
        <v>0</v>
      </c>
      <c r="I272" s="136" t="s">
        <v>173</v>
      </c>
      <c r="N272" s="255"/>
      <c r="O272" s="255"/>
      <c r="P272" s="255"/>
    </row>
    <row r="273" spans="1:16" s="43" customFormat="1" ht="18" customHeight="1">
      <c r="A273" s="1"/>
      <c r="B273" s="48" t="s">
        <v>175</v>
      </c>
      <c r="C273" s="52"/>
      <c r="D273" s="50"/>
      <c r="E273" s="128"/>
      <c r="F273" s="50">
        <f>SUM(F270:F272)</f>
        <v>0</v>
      </c>
      <c r="G273" s="50"/>
      <c r="H273" s="52">
        <f>SUM(H270:H272)</f>
        <v>0</v>
      </c>
      <c r="I273" s="53">
        <f>ROUND((E270*F270+E271*F271+E272*F272),2)</f>
        <v>0</v>
      </c>
      <c r="N273" s="255"/>
      <c r="O273" s="255"/>
      <c r="P273" s="255"/>
    </row>
    <row r="274" spans="1:16" ht="18" customHeight="1">
      <c r="B274" s="124" t="str">
        <f>B272</f>
        <v>6单银Low-E+12A+6</v>
      </c>
      <c r="C274" s="133">
        <f t="shared" ref="C274:D279" si="49">D157-12</f>
        <v>-12</v>
      </c>
      <c r="D274" s="133">
        <f t="shared" si="49"/>
        <v>-12</v>
      </c>
      <c r="E274" s="32">
        <f t="shared" si="27"/>
        <v>1.44E-4</v>
      </c>
      <c r="F274" s="134">
        <f t="shared" ref="F274:F279" si="50">G157</f>
        <v>0</v>
      </c>
      <c r="G274" s="135">
        <f>G272</f>
        <v>148</v>
      </c>
      <c r="H274" s="134">
        <f t="shared" ref="H274:H279" si="51">ROUND(E274*G274*F274,2)</f>
        <v>0</v>
      </c>
      <c r="I274" s="136" t="s">
        <v>176</v>
      </c>
    </row>
    <row r="275" spans="1:16" ht="18" customHeight="1">
      <c r="B275" s="124" t="str">
        <f>B274</f>
        <v>6单银Low-E+12A+6</v>
      </c>
      <c r="C275" s="133">
        <f t="shared" si="49"/>
        <v>-12</v>
      </c>
      <c r="D275" s="133">
        <f t="shared" si="49"/>
        <v>-12</v>
      </c>
      <c r="E275" s="32">
        <f t="shared" si="27"/>
        <v>1.44E-4</v>
      </c>
      <c r="F275" s="134">
        <f t="shared" si="50"/>
        <v>0</v>
      </c>
      <c r="G275" s="135">
        <f>G274</f>
        <v>148</v>
      </c>
      <c r="H275" s="134">
        <f t="shared" si="51"/>
        <v>0</v>
      </c>
      <c r="I275" s="136" t="str">
        <f>I274</f>
        <v>门钢化中空玻璃</v>
      </c>
      <c r="K275" s="43" t="s">
        <v>177</v>
      </c>
    </row>
    <row r="276" spans="1:16" ht="18" customHeight="1">
      <c r="B276" s="124" t="str">
        <f>B275</f>
        <v>6单银Low-E+12A+6</v>
      </c>
      <c r="C276" s="133">
        <f t="shared" si="49"/>
        <v>-12</v>
      </c>
      <c r="D276" s="133">
        <f t="shared" si="49"/>
        <v>-12</v>
      </c>
      <c r="E276" s="32">
        <f t="shared" si="27"/>
        <v>1.44E-4</v>
      </c>
      <c r="F276" s="134">
        <f t="shared" si="50"/>
        <v>0</v>
      </c>
      <c r="G276" s="135">
        <f>G275</f>
        <v>148</v>
      </c>
      <c r="H276" s="134">
        <f t="shared" si="51"/>
        <v>0</v>
      </c>
      <c r="I276" s="136" t="str">
        <f>I275</f>
        <v>门钢化中空玻璃</v>
      </c>
    </row>
    <row r="277" spans="1:16" ht="18" customHeight="1">
      <c r="B277" s="124" t="str">
        <f>B276</f>
        <v>6单银Low-E+12A+6</v>
      </c>
      <c r="C277" s="133">
        <f t="shared" si="49"/>
        <v>-12</v>
      </c>
      <c r="D277" s="133">
        <f t="shared" si="49"/>
        <v>-12</v>
      </c>
      <c r="E277" s="32">
        <f t="shared" si="27"/>
        <v>1.44E-4</v>
      </c>
      <c r="F277" s="134">
        <f t="shared" si="50"/>
        <v>0</v>
      </c>
      <c r="G277" s="135">
        <f>G276</f>
        <v>148</v>
      </c>
      <c r="H277" s="134">
        <f t="shared" si="51"/>
        <v>0</v>
      </c>
      <c r="I277" s="136" t="str">
        <f>I276</f>
        <v>门钢化中空玻璃</v>
      </c>
    </row>
    <row r="278" spans="1:16" ht="18" customHeight="1">
      <c r="B278" s="124" t="str">
        <f>B277</f>
        <v>6单银Low-E+12A+6</v>
      </c>
      <c r="C278" s="133">
        <f t="shared" si="49"/>
        <v>-12</v>
      </c>
      <c r="D278" s="133">
        <f t="shared" si="49"/>
        <v>-12</v>
      </c>
      <c r="E278" s="32">
        <f t="shared" si="27"/>
        <v>1.44E-4</v>
      </c>
      <c r="F278" s="134">
        <f t="shared" si="50"/>
        <v>0</v>
      </c>
      <c r="G278" s="135">
        <f>G277</f>
        <v>148</v>
      </c>
      <c r="H278" s="134">
        <f t="shared" si="51"/>
        <v>0</v>
      </c>
      <c r="I278" s="136" t="str">
        <f>I277</f>
        <v>门钢化中空玻璃</v>
      </c>
    </row>
    <row r="279" spans="1:16" ht="18" customHeight="1">
      <c r="B279" s="124" t="str">
        <f>B278</f>
        <v>6单银Low-E+12A+6</v>
      </c>
      <c r="C279" s="133">
        <f t="shared" si="49"/>
        <v>-12</v>
      </c>
      <c r="D279" s="133">
        <f t="shared" si="49"/>
        <v>-12</v>
      </c>
      <c r="E279" s="32">
        <f t="shared" si="27"/>
        <v>1.44E-4</v>
      </c>
      <c r="F279" s="134">
        <f t="shared" si="50"/>
        <v>0</v>
      </c>
      <c r="G279" s="135">
        <f>G278</f>
        <v>148</v>
      </c>
      <c r="H279" s="134">
        <f t="shared" si="51"/>
        <v>0</v>
      </c>
      <c r="I279" s="136" t="str">
        <f>I278</f>
        <v>门钢化中空玻璃</v>
      </c>
    </row>
    <row r="280" spans="1:16" ht="18" customHeight="1">
      <c r="B280" s="48" t="s">
        <v>178</v>
      </c>
      <c r="C280" s="52"/>
      <c r="D280" s="50"/>
      <c r="E280" s="128"/>
      <c r="F280" s="50">
        <f>SUM(F274:F279)</f>
        <v>0</v>
      </c>
      <c r="G280" s="50"/>
      <c r="H280" s="52">
        <f>SUM(H274:H279)</f>
        <v>0</v>
      </c>
      <c r="I280" s="53">
        <f>ROUND(SUMPRODUCT(E274:E279*F274:F279),2)</f>
        <v>0</v>
      </c>
    </row>
    <row r="281" spans="1:16" ht="18" customHeight="1">
      <c r="B281" s="124" t="str">
        <f>材料价格!A10</f>
        <v>6单银Low-E+12A+6</v>
      </c>
      <c r="C281" s="133">
        <f>C252</f>
        <v>-12</v>
      </c>
      <c r="D281" s="133">
        <f>D252</f>
        <v>-12</v>
      </c>
      <c r="E281" s="32">
        <f t="shared" si="27"/>
        <v>1.44E-4</v>
      </c>
      <c r="F281" s="134"/>
      <c r="G281" s="137">
        <f>材料价格!B10</f>
        <v>148</v>
      </c>
      <c r="H281" s="134">
        <f>ROUND(E281*G281*F281,2)</f>
        <v>0</v>
      </c>
      <c r="I281" s="437" t="s">
        <v>179</v>
      </c>
    </row>
    <row r="282" spans="1:16" ht="18" customHeight="1">
      <c r="B282" s="124" t="str">
        <f>B281</f>
        <v>6单银Low-E+12A+6</v>
      </c>
      <c r="C282" s="133">
        <f>C253</f>
        <v>-12</v>
      </c>
      <c r="D282" s="133">
        <f>D253</f>
        <v>-12</v>
      </c>
      <c r="E282" s="32">
        <f t="shared" si="27"/>
        <v>1.44E-4</v>
      </c>
      <c r="F282" s="134"/>
      <c r="G282" s="135">
        <f>G281</f>
        <v>148</v>
      </c>
      <c r="H282" s="134">
        <f>ROUND(E282*G282*F282,2)</f>
        <v>0</v>
      </c>
      <c r="I282" s="437" t="s">
        <v>179</v>
      </c>
      <c r="J282" s="255"/>
      <c r="K282" s="255"/>
      <c r="L282" s="255"/>
      <c r="M282" s="255"/>
    </row>
    <row r="283" spans="1:16" ht="18" customHeight="1">
      <c r="B283" s="124" t="str">
        <f>B282</f>
        <v>6单银Low-E+12A+6</v>
      </c>
      <c r="C283" s="133">
        <f>D84-12</f>
        <v>-12</v>
      </c>
      <c r="D283" s="133">
        <f>E84-12</f>
        <v>-12</v>
      </c>
      <c r="E283" s="32">
        <f t="shared" si="27"/>
        <v>1.44E-4</v>
      </c>
      <c r="F283" s="134">
        <f>G84</f>
        <v>0</v>
      </c>
      <c r="G283" s="135">
        <f>G282</f>
        <v>148</v>
      </c>
      <c r="H283" s="134">
        <f>ROUND(E283*G283*F283,2)</f>
        <v>0</v>
      </c>
      <c r="I283" s="437" t="s">
        <v>179</v>
      </c>
      <c r="J283" s="255"/>
      <c r="K283" s="255"/>
      <c r="L283" s="255"/>
      <c r="M283" s="255"/>
    </row>
    <row r="284" spans="1:16" ht="18" customHeight="1">
      <c r="B284" s="124" t="str">
        <f>B283</f>
        <v>6单银Low-E+12A+6</v>
      </c>
      <c r="C284" s="133">
        <f>D85-12</f>
        <v>-12</v>
      </c>
      <c r="D284" s="133">
        <f>E85-12</f>
        <v>-12</v>
      </c>
      <c r="E284" s="32">
        <f t="shared" si="27"/>
        <v>1.44E-4</v>
      </c>
      <c r="F284" s="134">
        <f>G85</f>
        <v>0</v>
      </c>
      <c r="G284" s="135">
        <f>G283</f>
        <v>148</v>
      </c>
      <c r="H284" s="134">
        <f>ROUND(E284*G284*F284,2)</f>
        <v>0</v>
      </c>
      <c r="I284" s="437" t="s">
        <v>179</v>
      </c>
      <c r="J284" s="255"/>
      <c r="K284" s="255"/>
      <c r="L284" s="255"/>
      <c r="M284" s="255"/>
    </row>
    <row r="285" spans="1:16" ht="18" customHeight="1">
      <c r="B285" s="48" t="s">
        <v>180</v>
      </c>
      <c r="C285" s="52"/>
      <c r="D285" s="50"/>
      <c r="E285" s="50"/>
      <c r="F285" s="50">
        <f>SUM(F281:F284)</f>
        <v>0</v>
      </c>
      <c r="G285" s="50"/>
      <c r="H285" s="52">
        <f>SUM(H281:H284)</f>
        <v>0</v>
      </c>
      <c r="I285" s="53">
        <f>ROUND((E281*F281+E282*F282+E283*F283+E284*F284),2)</f>
        <v>0</v>
      </c>
      <c r="J285" s="255"/>
      <c r="K285" s="255"/>
      <c r="L285" s="255"/>
      <c r="M285" s="255"/>
    </row>
    <row r="286" spans="1:16" ht="18" customHeight="1">
      <c r="B286" s="124" t="str">
        <f>材料价格!A11</f>
        <v>8单银Low-E+12Ar+8+12A+8mm</v>
      </c>
      <c r="C286" s="133"/>
      <c r="D286" s="133"/>
      <c r="E286" s="32">
        <f>C286*D286/10^6</f>
        <v>0</v>
      </c>
      <c r="F286" s="134"/>
      <c r="G286" s="137">
        <f>材料价格!B11</f>
        <v>312</v>
      </c>
      <c r="H286" s="134">
        <f>ROUND(E286*G286*F286,2)</f>
        <v>0</v>
      </c>
      <c r="I286" s="437" t="s">
        <v>181</v>
      </c>
      <c r="J286" s="255"/>
      <c r="K286" s="255"/>
      <c r="L286" s="255"/>
      <c r="M286" s="255"/>
    </row>
    <row r="287" spans="1:16" ht="18" customHeight="1">
      <c r="B287" s="124" t="str">
        <f>B286</f>
        <v>8单银Low-E+12Ar+8+12A+8mm</v>
      </c>
      <c r="C287" s="133"/>
      <c r="D287" s="133"/>
      <c r="E287" s="32">
        <f>C287*D287/10^6</f>
        <v>0</v>
      </c>
      <c r="F287" s="134"/>
      <c r="G287" s="135">
        <f>G286</f>
        <v>312</v>
      </c>
      <c r="H287" s="134">
        <f>ROUND(E287*G287*F287,2)</f>
        <v>0</v>
      </c>
      <c r="I287" s="437" t="s">
        <v>181</v>
      </c>
      <c r="J287" s="255"/>
      <c r="K287" s="255"/>
      <c r="L287" s="255"/>
      <c r="M287" s="255"/>
    </row>
    <row r="288" spans="1:16" ht="18" customHeight="1">
      <c r="B288" s="138" t="str">
        <f>材料价格!A12</f>
        <v>10单银Low-E+12Ar+10+12A+10mm</v>
      </c>
      <c r="C288" s="139"/>
      <c r="D288" s="139"/>
      <c r="E288" s="140">
        <f>C288*D288/10^6</f>
        <v>0</v>
      </c>
      <c r="F288" s="141"/>
      <c r="G288" s="142">
        <f>材料价格!B12</f>
        <v>395</v>
      </c>
      <c r="H288" s="141">
        <f>ROUND(E288*G288*F288,2)</f>
        <v>0</v>
      </c>
      <c r="I288" s="143" t="s">
        <v>181</v>
      </c>
      <c r="J288" s="255"/>
      <c r="K288" s="255"/>
      <c r="L288" s="255"/>
      <c r="M288" s="255"/>
    </row>
    <row r="289" spans="2:13" ht="18" customHeight="1">
      <c r="B289" s="138" t="str">
        <f>B288</f>
        <v>10单银Low-E+12Ar+10+12A+10mm</v>
      </c>
      <c r="C289" s="139"/>
      <c r="D289" s="139"/>
      <c r="E289" s="140">
        <f>C289*D289/10^6</f>
        <v>0</v>
      </c>
      <c r="F289" s="141"/>
      <c r="G289" s="142">
        <f>G288</f>
        <v>395</v>
      </c>
      <c r="H289" s="141">
        <f>ROUND(E289*G289*F289,2)</f>
        <v>0</v>
      </c>
      <c r="I289" s="143" t="s">
        <v>181</v>
      </c>
      <c r="J289" s="255"/>
      <c r="K289" s="255"/>
      <c r="L289" s="255"/>
      <c r="M289" s="255"/>
    </row>
    <row r="290" spans="2:13" ht="18" customHeight="1">
      <c r="B290" s="48" t="s">
        <v>180</v>
      </c>
      <c r="C290" s="52"/>
      <c r="D290" s="50"/>
      <c r="E290" s="50"/>
      <c r="F290" s="50">
        <f>SUM(F286:F289)</f>
        <v>0</v>
      </c>
      <c r="G290" s="50"/>
      <c r="H290" s="52">
        <f>SUM(H286:H289)</f>
        <v>0</v>
      </c>
      <c r="I290" s="53">
        <f>ROUND((E286*F286+E287*F287+E288*F288+E289*F289),2)</f>
        <v>0</v>
      </c>
      <c r="J290" s="255"/>
      <c r="K290" s="255"/>
      <c r="L290" s="255"/>
      <c r="M290" s="255"/>
    </row>
    <row r="291" spans="2:13" ht="18" customHeight="1">
      <c r="B291" s="642" t="s">
        <v>182</v>
      </c>
      <c r="C291" s="144" t="s">
        <v>183</v>
      </c>
      <c r="D291" s="144" cm="1">
        <f t="array" ref="D291">SUMPRODUCT(E225:E232*F225:F232)+SUMPRODUCT(E243:E249*F243:F249)</f>
        <v>0.197296</v>
      </c>
      <c r="E291" s="144" t="s">
        <v>184</v>
      </c>
      <c r="F291" s="145">
        <f>F233+F250</f>
        <v>1</v>
      </c>
      <c r="G291" s="145" t="s">
        <v>185</v>
      </c>
      <c r="H291" s="144">
        <f>H233+H250</f>
        <v>29.2</v>
      </c>
      <c r="I291" s="146">
        <f>H291/F366</f>
        <v>95.144998370804814</v>
      </c>
      <c r="J291" s="255"/>
      <c r="K291" s="255"/>
      <c r="L291" s="255"/>
      <c r="M291" s="255"/>
    </row>
    <row r="292" spans="2:13" ht="18" customHeight="1">
      <c r="B292" s="642"/>
      <c r="C292" s="144" t="s">
        <v>186</v>
      </c>
      <c r="D292" s="144">
        <f>SUMPRODUCT(E234:E241*F234:F241)+SUMPRODUCT(E251:E257*F251:F257)+SUMPRODUCT(E259:E264*F259:F264)+SUMPRODUCT(E266:E268*F266:F268)+SUMPRODUCT(E270:E272*F270:F272)+SUMPRODUCT(E281:E284*F281:F284)+SUMPRODUCT(E286:E289*F286:F289)+SUMPRODUCT(E274:E279*F274:F279)</f>
        <v>0</v>
      </c>
      <c r="E292" s="144" t="s">
        <v>186</v>
      </c>
      <c r="F292" s="145">
        <f>F242+F258+F265+F269+F273+F285+F290+F280</f>
        <v>0</v>
      </c>
      <c r="G292" s="145" t="s">
        <v>185</v>
      </c>
      <c r="H292" s="144">
        <f>H242+H258+H265+H269+H273+H280+H285+H290</f>
        <v>0</v>
      </c>
      <c r="I292" s="146">
        <f>H292/F366</f>
        <v>0</v>
      </c>
      <c r="J292" s="255"/>
      <c r="K292" s="255"/>
      <c r="L292" s="255"/>
      <c r="M292" s="255"/>
    </row>
    <row r="293" spans="2:13" ht="18" customHeight="1">
      <c r="B293" s="23" t="s">
        <v>187</v>
      </c>
      <c r="C293" s="442" t="s">
        <v>188</v>
      </c>
      <c r="D293" s="68" t="s">
        <v>189</v>
      </c>
      <c r="E293" s="442" t="s">
        <v>8</v>
      </c>
      <c r="F293" s="442" t="s">
        <v>190</v>
      </c>
      <c r="G293" s="442" t="s">
        <v>191</v>
      </c>
      <c r="H293" s="442" t="s">
        <v>160</v>
      </c>
      <c r="I293" s="25" t="s">
        <v>1</v>
      </c>
      <c r="J293" s="255"/>
      <c r="K293" s="255"/>
      <c r="L293" s="255"/>
      <c r="M293" s="255"/>
    </row>
    <row r="294" spans="2:13" ht="18" customHeight="1">
      <c r="B294" s="629" t="s">
        <v>192</v>
      </c>
      <c r="C294" s="443">
        <f>D26</f>
        <v>0</v>
      </c>
      <c r="D294" s="440"/>
      <c r="E294" s="440"/>
      <c r="F294" s="440" t="s">
        <v>193</v>
      </c>
      <c r="G294" s="108">
        <f>材料价格!B14</f>
        <v>153</v>
      </c>
      <c r="H294" s="147">
        <f>E294*G294</f>
        <v>0</v>
      </c>
      <c r="I294" s="632" t="s">
        <v>194</v>
      </c>
      <c r="J294" s="255"/>
      <c r="K294" s="255"/>
      <c r="L294" s="255"/>
      <c r="M294" s="255"/>
    </row>
    <row r="295" spans="2:13" ht="18" customHeight="1">
      <c r="B295" s="629"/>
      <c r="C295" s="443"/>
      <c r="D295" s="440"/>
      <c r="E295" s="440"/>
      <c r="F295" s="440"/>
      <c r="G295" s="108"/>
      <c r="H295" s="147">
        <f t="shared" ref="H295:H303" si="52">E295*G295</f>
        <v>0</v>
      </c>
      <c r="I295" s="633"/>
      <c r="J295" s="255"/>
      <c r="K295" s="255"/>
      <c r="L295" s="255"/>
      <c r="M295" s="255"/>
    </row>
    <row r="296" spans="2:13" ht="18" customHeight="1">
      <c r="B296" s="629" t="s">
        <v>195</v>
      </c>
      <c r="C296" s="443"/>
      <c r="D296" s="148"/>
      <c r="E296" s="440"/>
      <c r="F296" s="440" t="str">
        <f>F294</f>
        <v>坚朗</v>
      </c>
      <c r="G296" s="108">
        <f>材料价格!B15</f>
        <v>80</v>
      </c>
      <c r="H296" s="147">
        <f t="shared" si="52"/>
        <v>0</v>
      </c>
      <c r="I296" s="632" t="s">
        <v>196</v>
      </c>
      <c r="J296" s="255"/>
      <c r="K296" s="255"/>
      <c r="L296" s="255"/>
      <c r="M296" s="255"/>
    </row>
    <row r="297" spans="2:13" ht="18" customHeight="1">
      <c r="B297" s="629"/>
      <c r="C297" s="443"/>
      <c r="D297" s="148"/>
      <c r="E297" s="440"/>
      <c r="F297" s="440"/>
      <c r="G297" s="108"/>
      <c r="H297" s="147">
        <f t="shared" si="52"/>
        <v>0</v>
      </c>
      <c r="I297" s="633"/>
      <c r="J297" s="255"/>
      <c r="K297" s="255"/>
      <c r="L297" s="255"/>
      <c r="M297" s="255"/>
    </row>
    <row r="298" spans="2:13" ht="18" customHeight="1">
      <c r="B298" s="629" t="s">
        <v>197</v>
      </c>
      <c r="C298" s="443"/>
      <c r="D298" s="148"/>
      <c r="E298" s="440"/>
      <c r="F298" s="440" t="str">
        <f>F296</f>
        <v>坚朗</v>
      </c>
      <c r="G298" s="108">
        <f>材料价格!B16</f>
        <v>88</v>
      </c>
      <c r="H298" s="147">
        <f t="shared" si="52"/>
        <v>0</v>
      </c>
      <c r="I298" s="633"/>
      <c r="J298" s="255"/>
      <c r="K298" s="255"/>
      <c r="L298" s="255"/>
      <c r="M298" s="255"/>
    </row>
    <row r="299" spans="2:13" ht="18" customHeight="1">
      <c r="B299" s="629"/>
      <c r="C299" s="443"/>
      <c r="D299" s="148"/>
      <c r="E299" s="440"/>
      <c r="F299" s="440"/>
      <c r="G299" s="108"/>
      <c r="H299" s="147">
        <f t="shared" si="52"/>
        <v>0</v>
      </c>
      <c r="I299" s="633"/>
      <c r="J299" s="255"/>
      <c r="K299" s="255"/>
      <c r="L299" s="255"/>
      <c r="M299" s="255"/>
    </row>
    <row r="300" spans="2:13" ht="18" customHeight="1">
      <c r="B300" s="629" t="s">
        <v>198</v>
      </c>
      <c r="C300" s="443">
        <f>D35</f>
        <v>0</v>
      </c>
      <c r="D300" s="148"/>
      <c r="E300" s="440"/>
      <c r="F300" s="440" t="str">
        <f>F298</f>
        <v>坚朗</v>
      </c>
      <c r="G300" s="108">
        <f>材料价格!B17</f>
        <v>115</v>
      </c>
      <c r="H300" s="147">
        <f t="shared" si="52"/>
        <v>0</v>
      </c>
      <c r="I300" s="149"/>
      <c r="J300" s="255"/>
      <c r="K300" s="255"/>
      <c r="L300" s="255"/>
      <c r="M300" s="255"/>
    </row>
    <row r="301" spans="2:13" ht="18" customHeight="1">
      <c r="B301" s="629"/>
      <c r="C301" s="443"/>
      <c r="D301" s="148"/>
      <c r="E301" s="440"/>
      <c r="F301" s="440"/>
      <c r="G301" s="108"/>
      <c r="H301" s="147">
        <f t="shared" si="52"/>
        <v>0</v>
      </c>
      <c r="I301" s="149"/>
      <c r="J301" s="255"/>
      <c r="K301" s="255"/>
      <c r="L301" s="255"/>
      <c r="M301" s="255"/>
    </row>
    <row r="302" spans="2:13" ht="18" customHeight="1">
      <c r="B302" s="629" t="s">
        <v>199</v>
      </c>
      <c r="C302" s="440" t="s">
        <v>200</v>
      </c>
      <c r="D302" s="148"/>
      <c r="E302" s="440"/>
      <c r="F302" s="440" t="str">
        <f>F300</f>
        <v>坚朗</v>
      </c>
      <c r="G302" s="108">
        <f>材料价格!B19</f>
        <v>230</v>
      </c>
      <c r="H302" s="147">
        <f t="shared" si="52"/>
        <v>0</v>
      </c>
      <c r="I302" s="437"/>
      <c r="J302" s="255"/>
      <c r="K302" s="255"/>
      <c r="L302" s="255"/>
      <c r="M302" s="255"/>
    </row>
    <row r="303" spans="2:13" ht="18" customHeight="1">
      <c r="B303" s="629"/>
      <c r="C303" s="440" t="s">
        <v>201</v>
      </c>
      <c r="D303" s="148"/>
      <c r="E303" s="440"/>
      <c r="F303" s="440" t="str">
        <f>F302</f>
        <v>坚朗</v>
      </c>
      <c r="G303" s="108">
        <f>材料价格!B20</f>
        <v>335</v>
      </c>
      <c r="H303" s="147">
        <f t="shared" si="52"/>
        <v>0</v>
      </c>
      <c r="I303" s="437"/>
      <c r="J303" s="255"/>
      <c r="K303" s="255"/>
      <c r="L303" s="255"/>
      <c r="M303" s="255"/>
    </row>
    <row r="304" spans="2:13" ht="18" customHeight="1">
      <c r="B304" s="150" t="s">
        <v>202</v>
      </c>
      <c r="C304" s="50"/>
      <c r="D304" s="50"/>
      <c r="E304" s="50">
        <f>SUM(E294:E303)</f>
        <v>0</v>
      </c>
      <c r="F304" s="50"/>
      <c r="G304" s="166"/>
      <c r="H304" s="151">
        <f>SUM(H294:H303)</f>
        <v>0</v>
      </c>
      <c r="I304" s="152"/>
      <c r="J304" s="42"/>
    </row>
    <row r="305" spans="1:16" ht="18" customHeight="1">
      <c r="B305" s="436" t="s">
        <v>300</v>
      </c>
      <c r="C305" s="440"/>
      <c r="D305" s="148"/>
      <c r="E305" s="443">
        <f>E294+E296</f>
        <v>0</v>
      </c>
      <c r="F305" s="148"/>
      <c r="G305" s="148">
        <f>材料价格!B27</f>
        <v>0</v>
      </c>
      <c r="H305" s="154">
        <f>E305*G305</f>
        <v>0</v>
      </c>
      <c r="I305" s="437" t="s">
        <v>203</v>
      </c>
    </row>
    <row r="306" spans="1:16" s="16" customFormat="1" ht="18" customHeight="1">
      <c r="A306" s="1"/>
      <c r="B306" s="436" t="s">
        <v>204</v>
      </c>
      <c r="C306" s="440"/>
      <c r="D306" s="148"/>
      <c r="E306" s="443">
        <f>E298+E299+E300+E301</f>
        <v>0</v>
      </c>
      <c r="F306" s="148"/>
      <c r="G306" s="148">
        <f>材料价格!B28</f>
        <v>118</v>
      </c>
      <c r="H306" s="154">
        <f>E306*G306</f>
        <v>0</v>
      </c>
      <c r="I306" s="437" t="s">
        <v>205</v>
      </c>
      <c r="J306" s="43"/>
      <c r="K306" s="43"/>
      <c r="L306" s="43"/>
      <c r="M306" s="43"/>
      <c r="N306" s="255"/>
      <c r="O306" s="255"/>
      <c r="P306" s="255"/>
    </row>
    <row r="307" spans="1:16" s="16" customFormat="1" ht="18" customHeight="1">
      <c r="A307" s="1"/>
      <c r="B307" s="436" t="s">
        <v>206</v>
      </c>
      <c r="C307" s="440"/>
      <c r="D307" s="148"/>
      <c r="E307" s="443"/>
      <c r="F307" s="148"/>
      <c r="G307" s="148"/>
      <c r="H307" s="154">
        <f>E307*G307</f>
        <v>0</v>
      </c>
      <c r="I307" s="437" t="s">
        <v>207</v>
      </c>
      <c r="J307" s="43"/>
      <c r="K307" s="43"/>
      <c r="L307" s="43"/>
      <c r="M307" s="43"/>
      <c r="N307" s="255"/>
      <c r="O307" s="255"/>
      <c r="P307" s="255"/>
    </row>
    <row r="308" spans="1:16" s="16" customFormat="1" ht="18" customHeight="1">
      <c r="A308" s="1"/>
      <c r="B308" s="150" t="s">
        <v>208</v>
      </c>
      <c r="C308" s="50"/>
      <c r="D308" s="50"/>
      <c r="E308" s="100">
        <f>SUM(E305:E307)</f>
        <v>0</v>
      </c>
      <c r="F308" s="50"/>
      <c r="G308" s="166"/>
      <c r="H308" s="155">
        <f>SUM(H305:H307)</f>
        <v>0</v>
      </c>
      <c r="I308" s="152"/>
      <c r="J308" s="43"/>
      <c r="K308" s="43"/>
      <c r="L308" s="43"/>
      <c r="M308" s="43"/>
      <c r="N308" s="255"/>
      <c r="O308" s="255"/>
      <c r="P308" s="255"/>
    </row>
    <row r="309" spans="1:16" s="16" customFormat="1" ht="18" customHeight="1">
      <c r="A309" s="1"/>
      <c r="B309" s="156" t="s">
        <v>209</v>
      </c>
      <c r="C309" s="157">
        <f>ROUND(IF(D4&lt;=200,4,0)+IF(D4&gt;200,(D4/200+1))+IF(E4&lt;=200,4,0)+IF(E4&gt;200,(E4/200+1)),0)</f>
        <v>9</v>
      </c>
      <c r="D309" s="148"/>
      <c r="E309" s="148"/>
      <c r="F309" s="148"/>
      <c r="G309" s="158">
        <v>0.5</v>
      </c>
      <c r="H309" s="159">
        <f>ROUND(C309*G309,2)</f>
        <v>4.5</v>
      </c>
      <c r="I309" s="437" t="s">
        <v>210</v>
      </c>
      <c r="J309" s="43"/>
      <c r="K309" s="43"/>
      <c r="L309" s="43"/>
      <c r="M309" s="43"/>
      <c r="N309" s="255"/>
      <c r="O309" s="255"/>
      <c r="P309" s="255"/>
    </row>
    <row r="310" spans="1:16" s="16" customFormat="1" ht="18" customHeight="1">
      <c r="A310" s="1"/>
      <c r="B310" s="156" t="s">
        <v>211</v>
      </c>
      <c r="C310" s="157">
        <f>C309*2</f>
        <v>18</v>
      </c>
      <c r="D310" s="148">
        <f>D309*2</f>
        <v>0</v>
      </c>
      <c r="E310" s="148"/>
      <c r="F310" s="148"/>
      <c r="G310" s="158">
        <v>0.3</v>
      </c>
      <c r="H310" s="159">
        <f>ROUND(C310*G310,2)</f>
        <v>5.4</v>
      </c>
      <c r="I310" s="437" t="s">
        <v>212</v>
      </c>
      <c r="J310" s="43"/>
      <c r="K310" s="43"/>
      <c r="L310" s="255"/>
      <c r="M310" s="255"/>
      <c r="N310" s="255"/>
      <c r="O310" s="255"/>
      <c r="P310" s="255"/>
    </row>
    <row r="311" spans="1:16" s="16" customFormat="1" ht="18" customHeight="1">
      <c r="A311" s="1"/>
      <c r="B311" s="160" t="s">
        <v>213</v>
      </c>
      <c r="C311" s="161">
        <f>F6</f>
        <v>0.2944</v>
      </c>
      <c r="D311" s="162"/>
      <c r="E311" s="162"/>
      <c r="F311" s="162"/>
      <c r="G311" s="163">
        <v>5</v>
      </c>
      <c r="H311" s="159">
        <f>ROUND(C311*G311,2)</f>
        <v>1.47</v>
      </c>
      <c r="I311" s="437"/>
      <c r="J311" s="43"/>
      <c r="K311" s="43"/>
      <c r="L311" s="255"/>
      <c r="M311" s="255"/>
      <c r="N311" s="255"/>
      <c r="O311" s="255"/>
      <c r="P311" s="255"/>
    </row>
    <row r="312" spans="1:16" s="16" customFormat="1" ht="18" customHeight="1">
      <c r="A312" s="1"/>
      <c r="B312" s="160" t="s">
        <v>214</v>
      </c>
      <c r="C312" s="161"/>
      <c r="D312" s="162"/>
      <c r="E312" s="162"/>
      <c r="F312" s="162"/>
      <c r="G312" s="163"/>
      <c r="H312" s="159">
        <f>ROUND(C312*G312,2)</f>
        <v>0</v>
      </c>
      <c r="I312" s="437"/>
      <c r="J312" s="43"/>
      <c r="K312" s="43"/>
      <c r="L312" s="255"/>
      <c r="M312" s="255"/>
      <c r="N312" s="255"/>
      <c r="O312" s="255"/>
      <c r="P312" s="255"/>
    </row>
    <row r="313" spans="1:16" s="16" customFormat="1" ht="18" customHeight="1">
      <c r="A313" s="1"/>
      <c r="B313" s="164" t="s">
        <v>397</v>
      </c>
      <c r="C313" s="161">
        <f>D291+D292</f>
        <v>0.197296</v>
      </c>
      <c r="D313" s="162"/>
      <c r="E313" s="162"/>
      <c r="F313" s="162"/>
      <c r="G313" s="163">
        <f>10+5</f>
        <v>15</v>
      </c>
      <c r="H313" s="159">
        <f>ROUND(C313*G313,2)</f>
        <v>2.96</v>
      </c>
      <c r="I313" s="437"/>
      <c r="J313" s="43"/>
      <c r="K313" s="43"/>
      <c r="L313" s="255"/>
      <c r="M313" s="255"/>
      <c r="N313" s="255"/>
      <c r="O313" s="255"/>
      <c r="P313" s="255"/>
    </row>
    <row r="314" spans="1:16" s="16" customFormat="1" ht="18" customHeight="1">
      <c r="A314" s="1"/>
      <c r="B314" s="150" t="s">
        <v>215</v>
      </c>
      <c r="C314" s="165"/>
      <c r="D314" s="50"/>
      <c r="E314" s="50"/>
      <c r="F314" s="50"/>
      <c r="G314" s="166"/>
      <c r="H314" s="155">
        <f>SUM(H309:H313)</f>
        <v>14.330000000000002</v>
      </c>
      <c r="I314" s="152"/>
      <c r="J314" s="43"/>
      <c r="K314" s="43"/>
      <c r="L314" s="255"/>
      <c r="M314" s="255"/>
      <c r="N314" s="255"/>
      <c r="O314" s="255"/>
      <c r="P314" s="255"/>
    </row>
    <row r="315" spans="1:16" s="16" customFormat="1" ht="18" customHeight="1">
      <c r="A315" s="1"/>
      <c r="B315" s="156" t="s">
        <v>216</v>
      </c>
      <c r="C315" s="167">
        <f>E203+E205+E207+I203+I205+E209+I207</f>
        <v>4</v>
      </c>
      <c r="D315" s="148"/>
      <c r="E315" s="148"/>
      <c r="F315" s="148"/>
      <c r="G315" s="168">
        <v>1.9</v>
      </c>
      <c r="H315" s="154">
        <f t="shared" ref="H315:H318" si="53">ROUND(C315*G315,2)</f>
        <v>7.6</v>
      </c>
      <c r="I315" s="224" t="s">
        <v>340</v>
      </c>
      <c r="J315" s="255"/>
      <c r="K315" s="43"/>
      <c r="L315" s="255"/>
      <c r="M315" s="255"/>
      <c r="N315" s="255"/>
      <c r="O315" s="255"/>
      <c r="P315" s="255"/>
    </row>
    <row r="316" spans="1:16" s="16" customFormat="1" ht="18" customHeight="1">
      <c r="A316" s="1"/>
      <c r="B316" s="156" t="s">
        <v>217</v>
      </c>
      <c r="C316" s="167">
        <f>ROUND((D4+E4)*2/1000,2)</f>
        <v>2.8</v>
      </c>
      <c r="D316" s="148"/>
      <c r="E316" s="238">
        <v>4</v>
      </c>
      <c r="F316" s="235">
        <f>材料价格!B25</f>
        <v>8.52</v>
      </c>
      <c r="G316" s="168">
        <f t="shared" ref="G316:G321" si="54">F316/E316</f>
        <v>2.13</v>
      </c>
      <c r="H316" s="154">
        <f t="shared" si="53"/>
        <v>5.96</v>
      </c>
      <c r="I316" s="169" t="s">
        <v>218</v>
      </c>
      <c r="J316" s="255"/>
      <c r="K316" s="43"/>
      <c r="L316" s="255"/>
      <c r="M316" s="255"/>
      <c r="N316" s="255"/>
      <c r="O316" s="255"/>
      <c r="P316" s="255"/>
    </row>
    <row r="317" spans="1:16" s="16" customFormat="1" ht="18" customHeight="1">
      <c r="A317" s="1"/>
      <c r="B317" s="156" t="s">
        <v>219</v>
      </c>
      <c r="C317" s="167">
        <f>C316</f>
        <v>2.8</v>
      </c>
      <c r="D317" s="148"/>
      <c r="E317" s="238">
        <v>3</v>
      </c>
      <c r="F317" s="235">
        <f>F316</f>
        <v>8.52</v>
      </c>
      <c r="G317" s="168">
        <f t="shared" si="54"/>
        <v>2.84</v>
      </c>
      <c r="H317" s="154">
        <f t="shared" si="53"/>
        <v>7.95</v>
      </c>
      <c r="I317" s="169" t="s">
        <v>220</v>
      </c>
      <c r="J317" s="255"/>
      <c r="K317" s="43"/>
      <c r="L317" s="255"/>
      <c r="M317" s="255"/>
      <c r="N317" s="255"/>
      <c r="O317" s="255"/>
      <c r="P317" s="255"/>
    </row>
    <row r="318" spans="1:16" s="16" customFormat="1" ht="18" customHeight="1">
      <c r="A318" s="1"/>
      <c r="B318" s="156" t="s">
        <v>221</v>
      </c>
      <c r="C318" s="167">
        <f>C316</f>
        <v>2.8</v>
      </c>
      <c r="D318" s="148"/>
      <c r="E318" s="238">
        <v>6.5</v>
      </c>
      <c r="F318" s="235">
        <f>材料价格!B26</f>
        <v>23</v>
      </c>
      <c r="G318" s="168">
        <f t="shared" si="54"/>
        <v>3.5384615384615383</v>
      </c>
      <c r="H318" s="154">
        <f t="shared" si="53"/>
        <v>9.91</v>
      </c>
      <c r="I318" s="224" t="s">
        <v>222</v>
      </c>
      <c r="J318" s="255"/>
      <c r="K318" s="43"/>
      <c r="L318" s="255"/>
      <c r="M318" s="255"/>
      <c r="N318" s="255"/>
      <c r="O318" s="255"/>
      <c r="P318" s="255"/>
    </row>
    <row r="319" spans="1:16" s="16" customFormat="1" ht="18" customHeight="1">
      <c r="A319" s="1"/>
      <c r="B319" s="156" t="s">
        <v>341</v>
      </c>
      <c r="C319" s="167">
        <f>ROUND((C97+C104+C88+C146+C153+C163)*1,2)</f>
        <v>2.19</v>
      </c>
      <c r="D319" s="77">
        <v>1</v>
      </c>
      <c r="E319" s="238">
        <f>10</f>
        <v>10</v>
      </c>
      <c r="F319" s="235">
        <f>F317</f>
        <v>8.52</v>
      </c>
      <c r="G319" s="168">
        <f>F319/E319</f>
        <v>0.85199999999999998</v>
      </c>
      <c r="H319" s="154">
        <f>ROUND(C319*G319,2)</f>
        <v>1.87</v>
      </c>
      <c r="I319" s="437" t="s">
        <v>223</v>
      </c>
      <c r="J319" s="255"/>
      <c r="K319" s="43"/>
      <c r="L319" s="255"/>
      <c r="M319" s="255"/>
      <c r="N319" s="255"/>
      <c r="O319" s="255"/>
      <c r="P319" s="255"/>
    </row>
    <row r="320" spans="1:16" s="16" customFormat="1" ht="18" customHeight="1">
      <c r="A320" s="1"/>
      <c r="B320" s="156" t="s">
        <v>342</v>
      </c>
      <c r="C320" s="167">
        <f>C319</f>
        <v>2.19</v>
      </c>
      <c r="D320" s="77">
        <v>1</v>
      </c>
      <c r="E320" s="238">
        <v>6</v>
      </c>
      <c r="F320" s="235">
        <f>F319</f>
        <v>8.52</v>
      </c>
      <c r="G320" s="168">
        <f t="shared" si="54"/>
        <v>1.42</v>
      </c>
      <c r="H320" s="154">
        <f>ROUND(C320*G320,2)</f>
        <v>3.11</v>
      </c>
      <c r="I320" s="437" t="s">
        <v>224</v>
      </c>
      <c r="J320" s="255"/>
      <c r="K320" s="170"/>
      <c r="L320" s="170"/>
      <c r="M320" s="170"/>
      <c r="N320" s="170"/>
      <c r="O320" s="170"/>
      <c r="P320" s="170"/>
    </row>
    <row r="321" spans="1:16" s="16" customFormat="1" ht="18" customHeight="1">
      <c r="A321" s="1"/>
      <c r="B321" s="156" t="s">
        <v>225</v>
      </c>
      <c r="C321" s="167">
        <f>C334*D334+C324*D324+C327*D327</f>
        <v>0.54800000000000004</v>
      </c>
      <c r="D321" s="77">
        <v>1</v>
      </c>
      <c r="E321" s="238">
        <f>10</f>
        <v>10</v>
      </c>
      <c r="F321" s="235">
        <f>F317</f>
        <v>8.52</v>
      </c>
      <c r="G321" s="168">
        <f t="shared" si="54"/>
        <v>0.85199999999999998</v>
      </c>
      <c r="H321" s="154">
        <f>ROUND(C321*G321,2)</f>
        <v>0.47</v>
      </c>
      <c r="I321" s="437" t="s">
        <v>226</v>
      </c>
      <c r="J321" s="255"/>
      <c r="K321" s="170"/>
      <c r="L321" s="170"/>
      <c r="M321" s="170"/>
      <c r="N321" s="170"/>
      <c r="O321" s="170"/>
      <c r="P321" s="170"/>
    </row>
    <row r="322" spans="1:16" s="16" customFormat="1" ht="18" customHeight="1">
      <c r="A322" s="1"/>
      <c r="B322" s="150" t="s">
        <v>227</v>
      </c>
      <c r="C322" s="165"/>
      <c r="D322" s="50"/>
      <c r="E322" s="50"/>
      <c r="F322" s="50"/>
      <c r="G322" s="166" t="s">
        <v>396</v>
      </c>
      <c r="H322" s="155">
        <f>SUM(H315:H321)</f>
        <v>36.869999999999997</v>
      </c>
      <c r="I322" s="152"/>
      <c r="J322" s="244" t="s">
        <v>399</v>
      </c>
      <c r="K322" s="245" t="s">
        <v>379</v>
      </c>
      <c r="L322" s="170"/>
      <c r="M322" s="170"/>
      <c r="N322" s="170"/>
      <c r="O322" s="170"/>
      <c r="P322" s="170"/>
    </row>
    <row r="323" spans="1:16" s="16" customFormat="1" ht="18" customHeight="1">
      <c r="A323" s="1"/>
      <c r="B323" s="156" t="s">
        <v>356</v>
      </c>
      <c r="C323" s="167">
        <f>C31</f>
        <v>0</v>
      </c>
      <c r="D323" s="239">
        <v>1</v>
      </c>
      <c r="E323" s="148"/>
      <c r="F323" s="148"/>
      <c r="G323" s="236">
        <f>0.45+0.85</f>
        <v>1.3</v>
      </c>
      <c r="H323" s="154">
        <f>ROUND(C323*D323*G323,2)</f>
        <v>0</v>
      </c>
      <c r="I323" s="437" t="s">
        <v>345</v>
      </c>
      <c r="J323" s="244">
        <v>1.76</v>
      </c>
      <c r="K323" s="245" t="s">
        <v>400</v>
      </c>
      <c r="L323" s="170"/>
      <c r="M323" s="171"/>
      <c r="N323" s="170"/>
      <c r="O323" s="170"/>
      <c r="P323" s="170"/>
    </row>
    <row r="324" spans="1:16" s="16" customFormat="1" ht="18" customHeight="1">
      <c r="A324" s="1"/>
      <c r="B324" s="156" t="s">
        <v>347</v>
      </c>
      <c r="C324" s="167">
        <f>C323</f>
        <v>0</v>
      </c>
      <c r="D324" s="239">
        <v>1</v>
      </c>
      <c r="E324" s="148"/>
      <c r="F324" s="148"/>
      <c r="G324" s="236">
        <v>6.89</v>
      </c>
      <c r="H324" s="154">
        <f t="shared" ref="H324:H329" si="55">ROUND(C324*D324*G324,2)</f>
        <v>0</v>
      </c>
      <c r="I324" s="437" t="s">
        <v>346</v>
      </c>
      <c r="J324" s="244">
        <v>12.25</v>
      </c>
      <c r="K324" s="245" t="s">
        <v>376</v>
      </c>
      <c r="L324" s="170"/>
      <c r="M324" s="171"/>
      <c r="N324" s="170"/>
      <c r="O324" s="170"/>
      <c r="P324" s="170"/>
    </row>
    <row r="325" spans="1:16" s="16" customFormat="1" ht="18" customHeight="1">
      <c r="A325" s="1"/>
      <c r="B325" s="156" t="s">
        <v>357</v>
      </c>
      <c r="C325" s="167">
        <f>C38</f>
        <v>0</v>
      </c>
      <c r="D325" s="239">
        <v>1</v>
      </c>
      <c r="E325" s="148"/>
      <c r="F325" s="148"/>
      <c r="G325" s="236">
        <f>0.85+0.61</f>
        <v>1.46</v>
      </c>
      <c r="H325" s="154">
        <f t="shared" si="55"/>
        <v>0</v>
      </c>
      <c r="I325" s="437" t="s">
        <v>354</v>
      </c>
      <c r="J325" s="244">
        <v>1.76</v>
      </c>
      <c r="K325" s="245" t="s">
        <v>378</v>
      </c>
      <c r="L325" s="170"/>
      <c r="M325" s="171"/>
      <c r="N325" s="170"/>
      <c r="O325" s="170"/>
      <c r="P325" s="170"/>
    </row>
    <row r="326" spans="1:16" s="16" customFormat="1" ht="18" customHeight="1">
      <c r="A326" s="1"/>
      <c r="B326" s="156" t="s">
        <v>355</v>
      </c>
      <c r="C326" s="167">
        <f>C325</f>
        <v>0</v>
      </c>
      <c r="D326" s="239">
        <v>1</v>
      </c>
      <c r="E326" s="148"/>
      <c r="F326" s="148"/>
      <c r="G326" s="236">
        <v>3.27</v>
      </c>
      <c r="H326" s="154">
        <f>ROUND(C326*D326*G326,2)</f>
        <v>0</v>
      </c>
      <c r="I326" s="437" t="s">
        <v>358</v>
      </c>
      <c r="J326" s="244">
        <v>3.27</v>
      </c>
      <c r="K326" s="245" t="s">
        <v>358</v>
      </c>
      <c r="L326" s="170"/>
      <c r="M326" s="171"/>
      <c r="N326" s="170"/>
      <c r="O326" s="170"/>
      <c r="P326" s="170"/>
    </row>
    <row r="327" spans="1:16" s="16" customFormat="1" ht="18" customHeight="1">
      <c r="A327" s="1"/>
      <c r="B327" s="156" t="s">
        <v>228</v>
      </c>
      <c r="C327" s="167">
        <f>C126</f>
        <v>0</v>
      </c>
      <c r="D327" s="239">
        <v>1</v>
      </c>
      <c r="E327" s="110"/>
      <c r="F327" s="148"/>
      <c r="G327" s="236">
        <v>6.89</v>
      </c>
      <c r="H327" s="154">
        <f t="shared" si="55"/>
        <v>0</v>
      </c>
      <c r="I327" s="437" t="s">
        <v>346</v>
      </c>
      <c r="J327" s="244">
        <v>12.25</v>
      </c>
      <c r="K327" s="245" t="s">
        <v>346</v>
      </c>
      <c r="L327" s="170"/>
      <c r="M327" s="171"/>
      <c r="N327" s="170"/>
      <c r="O327" s="170"/>
      <c r="P327" s="170"/>
    </row>
    <row r="328" spans="1:16" s="16" customFormat="1" ht="18" customHeight="1">
      <c r="A328" s="1"/>
      <c r="B328" s="156" t="s">
        <v>229</v>
      </c>
      <c r="C328" s="167">
        <f>C327</f>
        <v>0</v>
      </c>
      <c r="D328" s="239">
        <v>1</v>
      </c>
      <c r="E328" s="110"/>
      <c r="F328" s="148"/>
      <c r="G328" s="236">
        <f>G3233</f>
        <v>0</v>
      </c>
      <c r="H328" s="154">
        <f t="shared" si="55"/>
        <v>0</v>
      </c>
      <c r="I328" s="437" t="s">
        <v>345</v>
      </c>
      <c r="J328" s="244">
        <v>0</v>
      </c>
      <c r="K328" s="245" t="s">
        <v>400</v>
      </c>
      <c r="L328" s="170"/>
      <c r="M328" s="171"/>
      <c r="N328" s="170"/>
      <c r="O328" s="170"/>
      <c r="P328" s="170"/>
    </row>
    <row r="329" spans="1:16" s="16" customFormat="1" ht="18" customHeight="1">
      <c r="A329" s="1"/>
      <c r="B329" s="156" t="s">
        <v>230</v>
      </c>
      <c r="C329" s="167">
        <f>C119</f>
        <v>0</v>
      </c>
      <c r="D329" s="239">
        <v>1</v>
      </c>
      <c r="E329" s="148"/>
      <c r="F329" s="148"/>
      <c r="G329" s="236">
        <f>G3253</f>
        <v>0</v>
      </c>
      <c r="H329" s="154">
        <f t="shared" si="55"/>
        <v>0</v>
      </c>
      <c r="I329" s="437" t="s">
        <v>354</v>
      </c>
      <c r="J329" s="244">
        <v>0</v>
      </c>
      <c r="K329" s="245" t="s">
        <v>378</v>
      </c>
      <c r="L329" s="170"/>
      <c r="M329" s="171"/>
      <c r="N329" s="170"/>
      <c r="O329" s="170"/>
      <c r="P329" s="170"/>
    </row>
    <row r="330" spans="1:16" s="16" customFormat="1" ht="18" customHeight="1">
      <c r="A330" s="1"/>
      <c r="B330" s="156" t="s">
        <v>362</v>
      </c>
      <c r="C330" s="167">
        <f>C329</f>
        <v>0</v>
      </c>
      <c r="D330" s="239">
        <v>1</v>
      </c>
      <c r="E330" s="148"/>
      <c r="F330" s="148"/>
      <c r="G330" s="236">
        <v>3.27</v>
      </c>
      <c r="H330" s="154">
        <f>ROUND(C330*D330*G330,2)</f>
        <v>0</v>
      </c>
      <c r="I330" s="437" t="s">
        <v>358</v>
      </c>
      <c r="J330" s="244">
        <v>3.27</v>
      </c>
      <c r="K330" s="245" t="s">
        <v>358</v>
      </c>
      <c r="L330" s="170"/>
      <c r="M330" s="171"/>
      <c r="N330" s="170"/>
      <c r="O330" s="170"/>
      <c r="P330" s="170"/>
    </row>
    <row r="331" spans="1:16" s="16" customFormat="1" ht="18" customHeight="1">
      <c r="A331" s="1"/>
      <c r="B331" s="156" t="s">
        <v>343</v>
      </c>
      <c r="C331" s="167">
        <f>C319</f>
        <v>2.19</v>
      </c>
      <c r="D331" s="239">
        <v>1</v>
      </c>
      <c r="E331" s="148"/>
      <c r="F331" s="148"/>
      <c r="G331" s="236">
        <v>1.25</v>
      </c>
      <c r="H331" s="154">
        <f>C331*D331*G331</f>
        <v>2.7374999999999998</v>
      </c>
      <c r="I331" s="437" t="s">
        <v>344</v>
      </c>
      <c r="J331" s="244">
        <v>1.25</v>
      </c>
      <c r="K331" s="245" t="s">
        <v>344</v>
      </c>
      <c r="L331" s="170"/>
      <c r="M331" s="171"/>
      <c r="N331" s="170"/>
      <c r="O331" s="170"/>
      <c r="P331" s="170"/>
    </row>
    <row r="332" spans="1:16" s="16" customFormat="1" ht="18" customHeight="1">
      <c r="A332" s="1"/>
      <c r="B332" s="156" t="s">
        <v>350</v>
      </c>
      <c r="C332" s="167" cm="1">
        <f t="array" ref="C332">SUMPRODUCT(D26:D30*G26:G30)/1000</f>
        <v>0</v>
      </c>
      <c r="D332" s="239">
        <v>1</v>
      </c>
      <c r="E332" s="148"/>
      <c r="F332" s="148"/>
      <c r="G332" s="236">
        <v>0.41</v>
      </c>
      <c r="H332" s="154">
        <f>C332*D332*G332</f>
        <v>0</v>
      </c>
      <c r="I332" s="437" t="s">
        <v>348</v>
      </c>
      <c r="J332" s="244">
        <v>0.41</v>
      </c>
      <c r="K332" s="245" t="s">
        <v>348</v>
      </c>
      <c r="L332" s="170"/>
      <c r="M332" s="171"/>
      <c r="N332" s="170"/>
      <c r="O332" s="170"/>
      <c r="P332" s="170"/>
    </row>
    <row r="333" spans="1:16" s="16" customFormat="1" ht="18" customHeight="1">
      <c r="A333" s="1"/>
      <c r="B333" s="156" t="s">
        <v>349</v>
      </c>
      <c r="C333" s="167">
        <f>C88+C97+C104+C153+C163+C146</f>
        <v>2.1920000000000002</v>
      </c>
      <c r="D333" s="239">
        <v>1</v>
      </c>
      <c r="E333" s="148"/>
      <c r="F333" s="148"/>
      <c r="G333" s="236">
        <v>0.49</v>
      </c>
      <c r="H333" s="154">
        <f>C333*D333*G333</f>
        <v>1.0740800000000001</v>
      </c>
      <c r="I333" s="437" t="s">
        <v>351</v>
      </c>
      <c r="J333" s="244">
        <v>0.49</v>
      </c>
      <c r="K333" s="245" t="s">
        <v>351</v>
      </c>
      <c r="L333" s="170"/>
      <c r="M333" s="171"/>
      <c r="N333" s="170"/>
      <c r="O333" s="170"/>
      <c r="P333" s="170"/>
    </row>
    <row r="334" spans="1:16" s="16" customFormat="1" ht="18" customHeight="1">
      <c r="A334" s="1"/>
      <c r="B334" s="156" t="s">
        <v>353</v>
      </c>
      <c r="C334" s="167">
        <f t="array" ref="C334">SUMPRODUCT(D157:D162*G157:G162)/1000+SUM(G157:G162)*0.3+SUMPRODUCT(D68:D87*G68:G87)/1000+SUM(G68:G87)*0.3</f>
        <v>0.54800000000000004</v>
      </c>
      <c r="D334" s="239">
        <v>1</v>
      </c>
      <c r="E334" s="148"/>
      <c r="F334" s="148"/>
      <c r="G334" s="237">
        <v>5.36</v>
      </c>
      <c r="H334" s="154">
        <f>C334*G334</f>
        <v>2.9372800000000003</v>
      </c>
      <c r="I334" s="437" t="s">
        <v>352</v>
      </c>
      <c r="J334" s="244">
        <v>9.5500000000000007</v>
      </c>
      <c r="K334" s="245" t="s">
        <v>377</v>
      </c>
      <c r="L334" s="170"/>
      <c r="M334" s="171"/>
      <c r="N334" s="170"/>
      <c r="O334" s="170"/>
      <c r="P334" s="170"/>
    </row>
    <row r="335" spans="1:16" s="16" customFormat="1" ht="18" customHeight="1">
      <c r="A335" s="1"/>
      <c r="B335" s="156" t="s">
        <v>364</v>
      </c>
      <c r="C335" s="167">
        <f>C319</f>
        <v>2.19</v>
      </c>
      <c r="D335" s="239">
        <v>1</v>
      </c>
      <c r="E335" s="148"/>
      <c r="F335" s="148"/>
      <c r="G335" s="237">
        <v>1.25</v>
      </c>
      <c r="H335" s="154"/>
      <c r="I335" s="149" t="s">
        <v>363</v>
      </c>
      <c r="J335" s="244">
        <v>1.25</v>
      </c>
      <c r="K335" s="245" t="s">
        <v>363</v>
      </c>
      <c r="L335" s="170"/>
      <c r="M335" s="171"/>
      <c r="N335" s="170"/>
      <c r="O335" s="170"/>
      <c r="P335" s="170"/>
    </row>
    <row r="336" spans="1:16" s="16" customFormat="1" ht="18" customHeight="1">
      <c r="A336" s="1"/>
      <c r="B336" s="156" t="s">
        <v>365</v>
      </c>
      <c r="C336" s="167">
        <f>C320</f>
        <v>2.19</v>
      </c>
      <c r="D336" s="239">
        <v>1</v>
      </c>
      <c r="E336" s="148"/>
      <c r="F336" s="148"/>
      <c r="G336" s="237">
        <v>1.63</v>
      </c>
      <c r="H336" s="154"/>
      <c r="I336" s="149" t="s">
        <v>363</v>
      </c>
      <c r="J336" s="244">
        <v>1.63</v>
      </c>
      <c r="K336" s="245" t="s">
        <v>363</v>
      </c>
      <c r="L336" s="170"/>
      <c r="M336" s="171"/>
      <c r="N336" s="170"/>
      <c r="O336" s="170"/>
      <c r="P336" s="170"/>
    </row>
    <row r="337" spans="1:16" s="16" customFormat="1" ht="18" customHeight="1">
      <c r="A337" s="1"/>
      <c r="B337" s="150" t="s">
        <v>231</v>
      </c>
      <c r="C337" s="165"/>
      <c r="D337" s="50"/>
      <c r="E337" s="50"/>
      <c r="F337" s="50"/>
      <c r="G337" s="166"/>
      <c r="H337" s="155">
        <f>SUM(H323:H336)*1.05</f>
        <v>7.0863030000000009</v>
      </c>
      <c r="I337" s="152"/>
      <c r="J337" s="172"/>
      <c r="K337" s="170"/>
      <c r="L337" s="170"/>
      <c r="M337" s="170"/>
      <c r="N337" s="170"/>
      <c r="O337" s="170"/>
      <c r="P337" s="170"/>
    </row>
    <row r="338" spans="1:16" s="16" customFormat="1" ht="18" customHeight="1">
      <c r="A338" s="1"/>
      <c r="B338" s="173" t="s">
        <v>366</v>
      </c>
      <c r="C338" s="174">
        <f>F250+F258+F265+F280+F285+F290</f>
        <v>1</v>
      </c>
      <c r="D338" s="175">
        <v>2</v>
      </c>
      <c r="E338" s="176"/>
      <c r="F338" s="176"/>
      <c r="G338" s="240">
        <v>0.5</v>
      </c>
      <c r="H338" s="177">
        <f t="shared" ref="H338:H343" si="56">D338*G338*C338</f>
        <v>1</v>
      </c>
      <c r="I338" s="178" t="s">
        <v>233</v>
      </c>
      <c r="J338" s="172"/>
      <c r="K338" s="170"/>
      <c r="L338" s="170"/>
      <c r="M338" s="170"/>
      <c r="N338" s="170"/>
      <c r="O338" s="170"/>
      <c r="P338" s="170"/>
    </row>
    <row r="339" spans="1:16" s="16" customFormat="1" ht="18" customHeight="1">
      <c r="A339" s="1"/>
      <c r="B339" s="173" t="s">
        <v>367</v>
      </c>
      <c r="C339" s="174">
        <f>F233+F242+F269+F273</f>
        <v>0</v>
      </c>
      <c r="D339" s="175">
        <v>4</v>
      </c>
      <c r="E339" s="176"/>
      <c r="F339" s="176"/>
      <c r="G339" s="240">
        <v>0.63</v>
      </c>
      <c r="H339" s="177">
        <f t="shared" si="56"/>
        <v>0</v>
      </c>
      <c r="I339" s="178" t="s">
        <v>234</v>
      </c>
      <c r="J339" s="172"/>
      <c r="K339" s="170"/>
      <c r="L339" s="170"/>
      <c r="M339" s="170"/>
      <c r="N339" s="170"/>
      <c r="O339" s="170"/>
      <c r="P339" s="170"/>
    </row>
    <row r="340" spans="1:16" s="16" customFormat="1" ht="18" customHeight="1">
      <c r="A340" s="1"/>
      <c r="B340" s="173" t="s">
        <v>366</v>
      </c>
      <c r="C340" s="174">
        <f>SUM(G157:G162)</f>
        <v>0</v>
      </c>
      <c r="D340" s="175">
        <f>IF(E113&gt;2200,2,0)</f>
        <v>0</v>
      </c>
      <c r="E340" s="176"/>
      <c r="F340" s="176"/>
      <c r="G340" s="240">
        <v>0.5</v>
      </c>
      <c r="H340" s="177">
        <f t="shared" si="56"/>
        <v>0</v>
      </c>
      <c r="I340" s="178" t="s">
        <v>235</v>
      </c>
      <c r="J340" s="172"/>
      <c r="K340" s="170"/>
      <c r="L340" s="170"/>
      <c r="M340" s="170"/>
      <c r="N340" s="170"/>
      <c r="O340" s="170"/>
      <c r="P340" s="170"/>
    </row>
    <row r="341" spans="1:16" s="16" customFormat="1" ht="18" customHeight="1">
      <c r="A341" s="1"/>
      <c r="B341" s="173" t="s">
        <v>367</v>
      </c>
      <c r="C341" s="174">
        <f>SUM(G116:G118)</f>
        <v>0</v>
      </c>
      <c r="D341" s="175">
        <v>4</v>
      </c>
      <c r="E341" s="176"/>
      <c r="F341" s="176"/>
      <c r="G341" s="240">
        <v>0.63</v>
      </c>
      <c r="H341" s="177">
        <f t="shared" si="56"/>
        <v>0</v>
      </c>
      <c r="I341" s="178" t="s">
        <v>236</v>
      </c>
      <c r="J341" s="172"/>
      <c r="K341" s="170"/>
      <c r="L341" s="170"/>
      <c r="M341" s="170"/>
      <c r="N341" s="170"/>
      <c r="O341" s="170"/>
      <c r="P341" s="170"/>
    </row>
    <row r="342" spans="1:16" ht="18" customHeight="1">
      <c r="B342" s="173" t="s">
        <v>237</v>
      </c>
      <c r="C342" s="174">
        <v>1</v>
      </c>
      <c r="D342" s="175">
        <f>(F291+F292)*10</f>
        <v>10</v>
      </c>
      <c r="E342" s="176"/>
      <c r="F342" s="176"/>
      <c r="G342" s="240">
        <v>0.37</v>
      </c>
      <c r="H342" s="177">
        <f t="shared" si="56"/>
        <v>3.7</v>
      </c>
      <c r="I342" s="178"/>
      <c r="J342" s="172"/>
      <c r="K342" s="172"/>
      <c r="L342" s="172"/>
      <c r="N342" s="43"/>
    </row>
    <row r="343" spans="1:16" ht="18" customHeight="1">
      <c r="B343" s="173" t="s">
        <v>232</v>
      </c>
      <c r="C343" s="174">
        <f>C338</f>
        <v>1</v>
      </c>
      <c r="D343" s="175">
        <v>0</v>
      </c>
      <c r="E343" s="176"/>
      <c r="F343" s="176"/>
      <c r="G343" s="240">
        <v>0.49</v>
      </c>
      <c r="H343" s="177">
        <f t="shared" si="56"/>
        <v>0</v>
      </c>
      <c r="I343" s="178" t="s">
        <v>238</v>
      </c>
      <c r="J343" s="172"/>
      <c r="K343" s="172"/>
      <c r="L343" s="172"/>
      <c r="N343" s="43"/>
    </row>
    <row r="344" spans="1:16" ht="18" customHeight="1">
      <c r="B344" s="156" t="s">
        <v>239</v>
      </c>
      <c r="C344" s="157"/>
      <c r="D344" s="440">
        <f>E203+E205*2+E207*2+I203+I205*2+I207*2</f>
        <v>4</v>
      </c>
      <c r="E344" s="148"/>
      <c r="F344" s="148"/>
      <c r="G344" s="148">
        <v>0.2</v>
      </c>
      <c r="H344" s="179">
        <f>D344*G344</f>
        <v>0.8</v>
      </c>
      <c r="I344" s="437" t="s">
        <v>368</v>
      </c>
      <c r="J344" s="172"/>
      <c r="K344" s="172"/>
      <c r="L344" s="172"/>
    </row>
    <row r="345" spans="1:16" ht="18" customHeight="1">
      <c r="B345" s="156" t="s">
        <v>240</v>
      </c>
      <c r="C345" s="157"/>
      <c r="D345" s="440">
        <f>4*(E52+E53+E54+E55+G52+G53+G54+G55+G60+G61+G62+G63+E130+E131+E132+G130+G131+G132+G137+G138)</f>
        <v>0</v>
      </c>
      <c r="E345" s="148"/>
      <c r="F345" s="148"/>
      <c r="G345" s="148">
        <v>0.22</v>
      </c>
      <c r="H345" s="179">
        <f>D345*G345</f>
        <v>0</v>
      </c>
      <c r="I345" s="437" t="s">
        <v>241</v>
      </c>
      <c r="J345" s="172"/>
      <c r="K345" s="172"/>
      <c r="L345" s="172"/>
    </row>
    <row r="346" spans="1:16" ht="18" customHeight="1">
      <c r="B346" s="156" t="s">
        <v>242</v>
      </c>
      <c r="C346" s="157"/>
      <c r="D346" s="440">
        <f>D345/2</f>
        <v>0</v>
      </c>
      <c r="E346" s="148"/>
      <c r="F346" s="148"/>
      <c r="G346" s="148">
        <v>0.22</v>
      </c>
      <c r="H346" s="179">
        <f>ROUND(D346*G346,2)</f>
        <v>0</v>
      </c>
      <c r="I346" s="437" t="s">
        <v>243</v>
      </c>
      <c r="J346" s="172"/>
      <c r="K346" s="172"/>
      <c r="L346" s="172"/>
    </row>
    <row r="347" spans="1:16" ht="18" customHeight="1">
      <c r="B347" s="156" t="s">
        <v>369</v>
      </c>
      <c r="C347" s="157"/>
      <c r="D347" s="440">
        <f>D346</f>
        <v>0</v>
      </c>
      <c r="E347" s="148"/>
      <c r="F347" s="148"/>
      <c r="G347" s="148">
        <v>1.37</v>
      </c>
      <c r="H347" s="179">
        <f>ROUND(D347*G347,2)</f>
        <v>0</v>
      </c>
      <c r="I347" s="437" t="s">
        <v>370</v>
      </c>
      <c r="J347" s="172"/>
      <c r="K347" s="172"/>
      <c r="L347" s="172"/>
    </row>
    <row r="348" spans="1:16" ht="18" customHeight="1">
      <c r="B348" s="156" t="s">
        <v>244</v>
      </c>
      <c r="C348" s="157"/>
      <c r="D348" s="440">
        <f>(F291+F292)*2</f>
        <v>2</v>
      </c>
      <c r="E348" s="148"/>
      <c r="F348" s="148"/>
      <c r="G348" s="148">
        <v>0.48</v>
      </c>
      <c r="H348" s="179">
        <f>ROUND(D348*G348,2)</f>
        <v>0.96</v>
      </c>
      <c r="I348" s="437" t="s">
        <v>245</v>
      </c>
      <c r="J348" s="255"/>
    </row>
    <row r="349" spans="1:16" ht="18" customHeight="1">
      <c r="B349" s="156" t="s">
        <v>246</v>
      </c>
      <c r="C349" s="157"/>
      <c r="D349" s="440">
        <f>ROUND((D4+E4-240)*2/200+E217*F217/200,0)</f>
        <v>13</v>
      </c>
      <c r="E349" s="148"/>
      <c r="F349" s="148"/>
      <c r="G349" s="148">
        <v>0.05</v>
      </c>
      <c r="H349" s="179">
        <f>ROUND(D349*G349,2)</f>
        <v>0.65</v>
      </c>
      <c r="I349" s="437" t="s">
        <v>247</v>
      </c>
      <c r="J349" s="255"/>
    </row>
    <row r="350" spans="1:16" ht="18" customHeight="1">
      <c r="B350" s="150" t="s">
        <v>248</v>
      </c>
      <c r="C350" s="165"/>
      <c r="D350" s="50"/>
      <c r="E350" s="50"/>
      <c r="F350" s="50"/>
      <c r="G350" s="166"/>
      <c r="H350" s="155">
        <f>SUM(H338:H349)</f>
        <v>7.11</v>
      </c>
      <c r="I350" s="152"/>
    </row>
    <row r="351" spans="1:16" ht="18" customHeight="1">
      <c r="B351" s="156" t="s">
        <v>359</v>
      </c>
      <c r="C351" s="157"/>
      <c r="D351" s="440">
        <f>SUMPRODUCT(G26:G30)*8+SUMPRODUCT(G35:G37)*8+SUMPRODUCT(G116:G118)*8+SUMPRODUCT(G123:G125)*8</f>
        <v>0</v>
      </c>
      <c r="E351" s="148"/>
      <c r="F351" s="148"/>
      <c r="G351" s="148">
        <v>1.26</v>
      </c>
      <c r="H351" s="154">
        <f>ROUND(D351*G351,2)</f>
        <v>0</v>
      </c>
      <c r="I351" s="437" t="s">
        <v>386</v>
      </c>
    </row>
    <row r="352" spans="1:16" ht="18" customHeight="1">
      <c r="B352" s="156" t="s">
        <v>360</v>
      </c>
      <c r="C352" s="157"/>
      <c r="D352" s="440">
        <f>G26*4+G27*4+G28*4+G29*4+G30*4</f>
        <v>0</v>
      </c>
      <c r="E352" s="148"/>
      <c r="F352" s="148"/>
      <c r="G352" s="148">
        <v>2</v>
      </c>
      <c r="H352" s="154">
        <f>ROUND(D352*G352,2)</f>
        <v>0</v>
      </c>
      <c r="I352" s="437" t="s">
        <v>361</v>
      </c>
    </row>
    <row r="353" spans="1:22" ht="18" customHeight="1">
      <c r="B353" s="156" t="s">
        <v>249</v>
      </c>
      <c r="C353" s="157"/>
      <c r="D353" s="440"/>
      <c r="E353" s="148"/>
      <c r="F353" s="148"/>
      <c r="G353" s="148">
        <v>1.6</v>
      </c>
      <c r="H353" s="154"/>
      <c r="I353" s="437"/>
    </row>
    <row r="354" spans="1:22" ht="18" customHeight="1">
      <c r="B354" s="156" t="s">
        <v>250</v>
      </c>
      <c r="C354" s="157"/>
      <c r="D354" s="44">
        <f>C22+C31+C38+C48+C56+C64+C112+C119+C126+C133+C139+C199</f>
        <v>2.48</v>
      </c>
      <c r="E354" s="148"/>
      <c r="F354" s="148"/>
      <c r="G354" s="179">
        <v>4</v>
      </c>
      <c r="H354" s="154">
        <f t="shared" ref="H354:H356" si="57">ROUND(D354*G354,2)</f>
        <v>9.92</v>
      </c>
      <c r="I354" s="437"/>
    </row>
    <row r="355" spans="1:22" ht="18" customHeight="1">
      <c r="B355" s="156" t="s">
        <v>251</v>
      </c>
      <c r="C355" s="157" t="s">
        <v>252</v>
      </c>
      <c r="D355" s="44">
        <f>C88+C163</f>
        <v>2.1920000000000002</v>
      </c>
      <c r="E355" s="148"/>
      <c r="F355" s="148"/>
      <c r="G355" s="179">
        <v>3.15</v>
      </c>
      <c r="H355" s="154">
        <f t="shared" si="57"/>
        <v>6.9</v>
      </c>
      <c r="I355" s="437"/>
    </row>
    <row r="356" spans="1:22" ht="18" customHeight="1">
      <c r="B356" s="156" t="s">
        <v>253</v>
      </c>
      <c r="C356" s="157" t="s">
        <v>254</v>
      </c>
      <c r="D356" s="44">
        <f>C97+C104+C146+C153</f>
        <v>0</v>
      </c>
      <c r="E356" s="148"/>
      <c r="F356" s="148"/>
      <c r="G356" s="179">
        <v>3.65</v>
      </c>
      <c r="H356" s="154">
        <f t="shared" si="57"/>
        <v>0</v>
      </c>
      <c r="I356" s="437"/>
    </row>
    <row r="357" spans="1:22" ht="18" customHeight="1">
      <c r="B357" s="156" t="s">
        <v>387</v>
      </c>
      <c r="C357" s="157"/>
      <c r="D357" s="44">
        <f>F291+F292</f>
        <v>1</v>
      </c>
      <c r="E357" s="148"/>
      <c r="F357" s="148"/>
      <c r="G357" s="179">
        <v>6</v>
      </c>
      <c r="H357" s="154"/>
      <c r="I357" s="437"/>
    </row>
    <row r="358" spans="1:22" ht="18" customHeight="1">
      <c r="B358" s="156" t="s">
        <v>255</v>
      </c>
      <c r="C358" s="157"/>
      <c r="D358" s="180"/>
      <c r="E358" s="148"/>
      <c r="F358" s="148"/>
      <c r="G358" s="148">
        <v>70</v>
      </c>
      <c r="H358" s="154">
        <f>D358*G358</f>
        <v>0</v>
      </c>
      <c r="I358" s="437"/>
    </row>
    <row r="359" spans="1:22" ht="18" customHeight="1">
      <c r="B359" s="156" t="s">
        <v>858</v>
      </c>
      <c r="C359" s="157"/>
      <c r="D359" s="180"/>
      <c r="E359" s="148"/>
      <c r="F359" s="148"/>
      <c r="G359" s="148">
        <v>180</v>
      </c>
      <c r="H359" s="154">
        <f>D359*G359</f>
        <v>0</v>
      </c>
      <c r="I359" s="437"/>
    </row>
    <row r="360" spans="1:22" ht="18" customHeight="1">
      <c r="B360" s="156" t="s">
        <v>388</v>
      </c>
      <c r="C360" s="157"/>
      <c r="D360" s="440">
        <v>1</v>
      </c>
      <c r="E360" s="148"/>
      <c r="F360" s="148"/>
      <c r="G360" s="148">
        <v>9.6</v>
      </c>
      <c r="H360" s="154">
        <f>ROUND(D360*G360,2)</f>
        <v>9.6</v>
      </c>
      <c r="I360" s="437"/>
    </row>
    <row r="361" spans="1:22" ht="18" customHeight="1">
      <c r="B361" s="156" t="s">
        <v>901</v>
      </c>
      <c r="C361" s="157"/>
      <c r="D361" s="463">
        <f>(D4+E4)*2/1000</f>
        <v>2.8</v>
      </c>
      <c r="E361" s="148"/>
      <c r="F361" s="148"/>
      <c r="G361" s="148">
        <v>45</v>
      </c>
      <c r="H361" s="154">
        <f>ROUND(D361*G361,2)</f>
        <v>126</v>
      </c>
      <c r="I361" s="468"/>
    </row>
    <row r="362" spans="1:22" ht="18" customHeight="1">
      <c r="B362" s="181" t="s">
        <v>398</v>
      </c>
      <c r="C362" s="157"/>
      <c r="D362" s="182">
        <f>F366</f>
        <v>0.30690000000000001</v>
      </c>
      <c r="E362" s="148"/>
      <c r="F362" s="148"/>
      <c r="G362" s="148">
        <v>3</v>
      </c>
      <c r="H362" s="154">
        <f>D362*G362</f>
        <v>0.92070000000000007</v>
      </c>
      <c r="I362" s="437"/>
    </row>
    <row r="363" spans="1:22" ht="18" customHeight="1">
      <c r="B363" s="150" t="s">
        <v>256</v>
      </c>
      <c r="C363" s="50"/>
      <c r="D363" s="50"/>
      <c r="E363" s="50"/>
      <c r="F363" s="50"/>
      <c r="G363" s="166"/>
      <c r="H363" s="155">
        <f>SUM(H351:H362)</f>
        <v>153.34070000000003</v>
      </c>
      <c r="I363" s="183"/>
    </row>
    <row r="364" spans="1:22" ht="18" customHeight="1">
      <c r="B364" s="438" t="s">
        <v>257</v>
      </c>
      <c r="C364" s="185"/>
      <c r="D364" s="186"/>
      <c r="E364" s="185"/>
      <c r="F364" s="186"/>
      <c r="G364" s="186"/>
      <c r="H364" s="187">
        <f>SUM(H363,H350,H337,H322,H314,H308,H304)</f>
        <v>218.73700300000004</v>
      </c>
      <c r="I364" s="188"/>
    </row>
    <row r="365" spans="1:22" ht="18" customHeight="1">
      <c r="A365" s="189"/>
      <c r="B365" s="190" t="s">
        <v>258</v>
      </c>
      <c r="C365" s="10" t="s">
        <v>14</v>
      </c>
      <c r="D365" s="10" t="s">
        <v>16</v>
      </c>
      <c r="E365" s="10" t="s">
        <v>17</v>
      </c>
      <c r="F365" s="10" t="s">
        <v>7</v>
      </c>
      <c r="G365" s="10" t="s">
        <v>5</v>
      </c>
      <c r="H365" s="10" t="s">
        <v>18</v>
      </c>
      <c r="I365" s="191" t="s">
        <v>259</v>
      </c>
      <c r="L365" s="192"/>
      <c r="M365" s="192"/>
    </row>
    <row r="366" spans="1:22" ht="18" customHeight="1">
      <c r="B366" s="48">
        <f>ROUND(I366/F366,2)</f>
        <v>1662.87</v>
      </c>
      <c r="C366" s="50" t="s">
        <v>299</v>
      </c>
      <c r="D366" s="50">
        <f>D5</f>
        <v>330</v>
      </c>
      <c r="E366" s="50">
        <f>E5</f>
        <v>930</v>
      </c>
      <c r="F366" s="49">
        <f>E366*D366/1000000</f>
        <v>0.30690000000000001</v>
      </c>
      <c r="G366" s="50">
        <f>G4</f>
        <v>1</v>
      </c>
      <c r="H366" s="49">
        <f>F366</f>
        <v>0.30690000000000001</v>
      </c>
      <c r="I366" s="193">
        <f>H364+H291+H292+I223+I12</f>
        <v>510.33544149600004</v>
      </c>
      <c r="K366" s="192"/>
    </row>
    <row r="367" spans="1:22" ht="18" customHeight="1">
      <c r="B367" s="194" t="s">
        <v>258</v>
      </c>
      <c r="C367" s="195" t="s">
        <v>260</v>
      </c>
      <c r="D367" s="195" t="s">
        <v>261</v>
      </c>
      <c r="E367" s="195" t="s">
        <v>262</v>
      </c>
      <c r="F367" s="195" t="s">
        <v>263</v>
      </c>
      <c r="G367" s="195" t="s">
        <v>264</v>
      </c>
      <c r="H367" s="195" t="s">
        <v>265</v>
      </c>
      <c r="I367" s="196" t="s">
        <v>266</v>
      </c>
    </row>
    <row r="368" spans="1:22" ht="30" customHeight="1" thickBot="1">
      <c r="B368" s="197">
        <f>ROUND(I366/H366,2)</f>
        <v>1662.87</v>
      </c>
      <c r="C368" s="198">
        <f>E294+E296+E298+E300+E302+E303+E297+E299</f>
        <v>0</v>
      </c>
      <c r="D368" s="199"/>
      <c r="E368" s="199"/>
      <c r="F368" s="200"/>
      <c r="G368" s="200"/>
      <c r="H368" s="200"/>
      <c r="I368" s="201"/>
      <c r="O368" s="631" t="s">
        <v>603</v>
      </c>
      <c r="P368" s="631"/>
      <c r="Q368" s="631"/>
      <c r="R368" s="631"/>
      <c r="S368" s="631"/>
      <c r="T368" s="631"/>
      <c r="U368" s="631"/>
      <c r="V368" s="631"/>
    </row>
    <row r="369" spans="2:22" ht="20.100000000000001" customHeight="1">
      <c r="B369" s="42"/>
      <c r="L369" s="202"/>
      <c r="M369" s="202"/>
      <c r="N369" s="202"/>
      <c r="O369" s="634" t="s">
        <v>604</v>
      </c>
      <c r="P369" s="634"/>
      <c r="Q369" s="634"/>
      <c r="R369" s="634"/>
      <c r="S369" s="634"/>
      <c r="T369" s="634"/>
      <c r="U369" s="634"/>
      <c r="V369" s="634"/>
    </row>
    <row r="370" spans="2:22" ht="20.100000000000001" customHeight="1">
      <c r="B370" s="102" t="s">
        <v>862</v>
      </c>
      <c r="C370" s="203"/>
      <c r="D370" s="203" t="s">
        <v>267</v>
      </c>
      <c r="E370" s="203"/>
      <c r="J370" s="102"/>
      <c r="O370" s="285" t="s">
        <v>279</v>
      </c>
      <c r="P370" s="624" t="s">
        <v>629</v>
      </c>
      <c r="Q370" s="625"/>
      <c r="R370" s="312" t="str">
        <f ca="1">B4</f>
        <v>C0410</v>
      </c>
      <c r="S370" s="312"/>
      <c r="T370" s="313"/>
      <c r="U370" s="287" t="s">
        <v>605</v>
      </c>
      <c r="V370" s="288"/>
    </row>
    <row r="371" spans="2:22" ht="24.95" customHeight="1">
      <c r="B371" s="102">
        <f>ROUND(I366/F6,2)</f>
        <v>1733.48</v>
      </c>
      <c r="C371" s="203">
        <f>U392</f>
        <v>1631.1157484879998</v>
      </c>
      <c r="D371" s="203">
        <f>E304</f>
        <v>0</v>
      </c>
      <c r="E371" s="203"/>
      <c r="J371" s="102"/>
      <c r="O371" s="635" t="s">
        <v>606</v>
      </c>
      <c r="P371" s="623" t="s">
        <v>626</v>
      </c>
      <c r="Q371" s="623"/>
      <c r="R371" s="623"/>
      <c r="S371" s="623"/>
      <c r="T371" s="637"/>
      <c r="U371" s="291" t="s">
        <v>607</v>
      </c>
      <c r="V371" s="292" t="s">
        <v>313</v>
      </c>
    </row>
    <row r="372" spans="2:22" ht="24.95" customHeight="1">
      <c r="L372" s="102"/>
      <c r="M372" s="102"/>
      <c r="N372" s="102"/>
      <c r="O372" s="636"/>
      <c r="P372" s="638"/>
      <c r="Q372" s="638"/>
      <c r="R372" s="638"/>
      <c r="S372" s="638"/>
      <c r="T372" s="638"/>
      <c r="U372" s="291" t="s">
        <v>268</v>
      </c>
      <c r="V372" s="293">
        <f>F4</f>
        <v>0.4</v>
      </c>
    </row>
    <row r="373" spans="2:22" ht="24.95" customHeight="1">
      <c r="J373" s="102"/>
      <c r="K373" s="102"/>
      <c r="L373" s="102"/>
      <c r="M373" s="102"/>
      <c r="N373" s="102"/>
      <c r="O373" s="311" t="s">
        <v>0</v>
      </c>
      <c r="P373" s="289" t="s">
        <v>608</v>
      </c>
      <c r="Q373" s="289" t="s">
        <v>627</v>
      </c>
      <c r="R373" s="289" t="s">
        <v>269</v>
      </c>
      <c r="S373" s="294" t="s">
        <v>8</v>
      </c>
      <c r="T373" s="295" t="s">
        <v>609</v>
      </c>
      <c r="U373" s="296" t="s">
        <v>270</v>
      </c>
      <c r="V373" s="295" t="s">
        <v>610</v>
      </c>
    </row>
    <row r="374" spans="2:22" ht="20.100000000000001" customHeight="1">
      <c r="J374" s="102"/>
      <c r="K374" s="102"/>
      <c r="L374" s="102"/>
      <c r="M374" s="102"/>
      <c r="N374" s="102"/>
      <c r="O374" s="297" t="s">
        <v>305</v>
      </c>
      <c r="P374" s="298" t="s">
        <v>611</v>
      </c>
      <c r="Q374" s="298"/>
      <c r="R374" s="286"/>
      <c r="S374" s="299"/>
      <c r="T374" s="300"/>
      <c r="U374" s="301">
        <f>SUM(U375:U383)</f>
        <v>471.70524949599996</v>
      </c>
      <c r="V374" s="286"/>
    </row>
    <row r="375" spans="2:22" ht="20.100000000000001" customHeight="1">
      <c r="J375" s="102"/>
      <c r="K375" s="102"/>
      <c r="L375" s="102"/>
      <c r="M375" s="102"/>
      <c r="N375" s="102"/>
      <c r="O375" s="286">
        <v>1</v>
      </c>
      <c r="P375" s="302" t="s">
        <v>612</v>
      </c>
      <c r="Q375" s="307"/>
      <c r="R375" s="286" t="s">
        <v>271</v>
      </c>
      <c r="S375" s="303">
        <f>E223</f>
        <v>4.6006840000000002</v>
      </c>
      <c r="T375" s="304">
        <f>I223/E223</f>
        <v>48.638080445429416</v>
      </c>
      <c r="U375" s="305">
        <f t="shared" ref="U375:U383" si="58">T375*S375</f>
        <v>223.76843849599999</v>
      </c>
      <c r="V375" s="306"/>
    </row>
    <row r="376" spans="2:22" ht="20.100000000000001" customHeight="1">
      <c r="J376" s="102"/>
      <c r="K376" s="102"/>
      <c r="L376" s="102"/>
      <c r="M376" s="102"/>
      <c r="N376" s="102"/>
      <c r="O376" s="286">
        <v>2</v>
      </c>
      <c r="P376" s="290" t="s">
        <v>613</v>
      </c>
      <c r="Q376" s="307"/>
      <c r="R376" s="286" t="s">
        <v>276</v>
      </c>
      <c r="S376" s="303">
        <f>D358</f>
        <v>0</v>
      </c>
      <c r="T376" s="304">
        <f>G358</f>
        <v>70</v>
      </c>
      <c r="U376" s="305">
        <f t="shared" si="58"/>
        <v>0</v>
      </c>
      <c r="V376" s="306"/>
    </row>
    <row r="377" spans="2:22" ht="20.100000000000001" customHeight="1">
      <c r="J377" s="102"/>
      <c r="K377" s="102"/>
      <c r="L377" s="102"/>
      <c r="M377" s="102"/>
      <c r="N377" s="102"/>
      <c r="O377" s="286">
        <v>3</v>
      </c>
      <c r="P377" s="302" t="s">
        <v>614</v>
      </c>
      <c r="Q377" s="302"/>
      <c r="R377" s="286" t="s">
        <v>312</v>
      </c>
      <c r="S377" s="303">
        <f>D291+D292</f>
        <v>0.197296</v>
      </c>
      <c r="T377" s="304">
        <f>材料价格!B10</f>
        <v>148</v>
      </c>
      <c r="U377" s="305">
        <f t="shared" si="58"/>
        <v>29.199808000000001</v>
      </c>
      <c r="V377" s="306"/>
    </row>
    <row r="378" spans="2:22" ht="20.100000000000001" customHeight="1">
      <c r="B378" s="630" t="s">
        <v>277</v>
      </c>
      <c r="C378" s="630"/>
      <c r="D378" s="630"/>
      <c r="E378" s="630"/>
      <c r="F378" s="630"/>
      <c r="G378" s="630"/>
      <c r="H378" s="630"/>
      <c r="I378" s="630"/>
      <c r="J378" s="102"/>
      <c r="K378" s="102"/>
      <c r="L378" s="102"/>
      <c r="M378" s="102"/>
      <c r="N378" s="102"/>
      <c r="O378" s="286">
        <v>4</v>
      </c>
      <c r="P378" s="302" t="s">
        <v>615</v>
      </c>
      <c r="Q378" s="306"/>
      <c r="R378" s="286" t="s">
        <v>278</v>
      </c>
      <c r="S378" s="303">
        <f>(H316+H317+H319+H320+H321)/F316</f>
        <v>2.272300469483568</v>
      </c>
      <c r="T378" s="304">
        <f>材料价格!B25</f>
        <v>8.52</v>
      </c>
      <c r="U378" s="305">
        <f t="shared" si="58"/>
        <v>19.36</v>
      </c>
      <c r="V378" s="306"/>
    </row>
    <row r="379" spans="2:22" ht="20.100000000000001" customHeight="1">
      <c r="B379" s="204" t="s">
        <v>279</v>
      </c>
      <c r="C379" s="205" t="s">
        <v>280</v>
      </c>
      <c r="D379" s="205" t="s">
        <v>281</v>
      </c>
      <c r="E379" s="205" t="s">
        <v>282</v>
      </c>
      <c r="F379" s="205" t="s">
        <v>379</v>
      </c>
      <c r="G379" s="205"/>
      <c r="H379" s="205" t="s">
        <v>28</v>
      </c>
      <c r="I379" s="205" t="s">
        <v>259</v>
      </c>
      <c r="J379" s="102"/>
      <c r="K379" s="102"/>
      <c r="L379" s="102"/>
      <c r="M379" s="102"/>
      <c r="N379" s="102"/>
      <c r="O379" s="286">
        <v>5</v>
      </c>
      <c r="P379" s="306" t="s">
        <v>616</v>
      </c>
      <c r="Q379" s="302"/>
      <c r="R379" s="286" t="s">
        <v>628</v>
      </c>
      <c r="S379" s="303">
        <f>H337/21</f>
        <v>0.33744300000000005</v>
      </c>
      <c r="T379" s="304">
        <v>21</v>
      </c>
      <c r="U379" s="305">
        <f t="shared" si="58"/>
        <v>7.0863030000000009</v>
      </c>
      <c r="V379" s="306"/>
    </row>
    <row r="380" spans="2:22" ht="20.100000000000001" customHeight="1">
      <c r="B380" s="206" t="s">
        <v>284</v>
      </c>
      <c r="C380" s="208" t="s">
        <v>384</v>
      </c>
      <c r="D380" s="207">
        <f>C22+C31+C38+C48+C56+C112+C119+C126+C133+C139+C177+C184+C191+C199</f>
        <v>2.48</v>
      </c>
      <c r="E380" s="207" t="s">
        <v>383</v>
      </c>
      <c r="F380" s="206"/>
      <c r="G380" s="206"/>
      <c r="H380" s="241">
        <v>2.4</v>
      </c>
      <c r="I380" s="207"/>
      <c r="J380" s="102"/>
      <c r="K380" s="102"/>
      <c r="L380" s="102"/>
      <c r="M380" s="102"/>
      <c r="N380" s="102"/>
      <c r="O380" s="286">
        <v>6</v>
      </c>
      <c r="P380" s="302" t="s">
        <v>319</v>
      </c>
      <c r="Q380" s="302"/>
      <c r="R380" s="286" t="s">
        <v>273</v>
      </c>
      <c r="S380" s="303"/>
      <c r="T380" s="304"/>
      <c r="U380" s="305">
        <f t="shared" si="58"/>
        <v>0</v>
      </c>
      <c r="V380" s="306"/>
    </row>
    <row r="381" spans="2:22" ht="20.100000000000001" customHeight="1">
      <c r="B381" s="206" t="s">
        <v>286</v>
      </c>
      <c r="C381" s="206" t="s">
        <v>287</v>
      </c>
      <c r="D381" s="209">
        <f>(J22+J31+J38+J48+J112+J119+J126)*4+(J56+J133)*2</f>
        <v>4</v>
      </c>
      <c r="E381" s="207" t="s">
        <v>285</v>
      </c>
      <c r="F381" s="206"/>
      <c r="G381" s="206"/>
      <c r="H381" s="241">
        <v>0.5</v>
      </c>
      <c r="I381" s="207">
        <f>H381*D381</f>
        <v>2</v>
      </c>
      <c r="J381" s="102"/>
      <c r="K381" s="102"/>
      <c r="L381" s="102"/>
      <c r="M381" s="102"/>
      <c r="N381" s="102"/>
      <c r="O381" s="286">
        <v>7</v>
      </c>
      <c r="P381" s="302" t="s">
        <v>295</v>
      </c>
      <c r="Q381" s="302"/>
      <c r="R381" s="286" t="s">
        <v>273</v>
      </c>
      <c r="S381" s="303"/>
      <c r="T381" s="304">
        <f>材料价格!B19</f>
        <v>230</v>
      </c>
      <c r="U381" s="305">
        <f t="shared" si="58"/>
        <v>0</v>
      </c>
      <c r="V381" s="306"/>
    </row>
    <row r="382" spans="2:22" ht="20.100000000000001" customHeight="1">
      <c r="B382" s="206" t="s">
        <v>289</v>
      </c>
      <c r="C382" s="206"/>
      <c r="D382" s="210">
        <f>ROUND((C22+C56*2+C64*2+C112+C133*2+C139*2)/0.3,0)+2</f>
        <v>10</v>
      </c>
      <c r="E382" s="207" t="s">
        <v>285</v>
      </c>
      <c r="F382" s="206"/>
      <c r="G382" s="206"/>
      <c r="H382" s="241">
        <v>0.3</v>
      </c>
      <c r="I382" s="207">
        <f t="shared" ref="I382:I387" si="59">H382*D382</f>
        <v>3</v>
      </c>
      <c r="J382" s="102"/>
      <c r="K382" s="102"/>
      <c r="L382" s="102"/>
      <c r="M382" s="102"/>
      <c r="N382" s="102"/>
      <c r="O382" s="286">
        <v>8</v>
      </c>
      <c r="P382" s="302" t="s">
        <v>296</v>
      </c>
      <c r="Q382" s="302"/>
      <c r="R382" s="286" t="s">
        <v>273</v>
      </c>
      <c r="S382" s="303">
        <f>E303</f>
        <v>0</v>
      </c>
      <c r="T382" s="304">
        <f>材料价格!B20</f>
        <v>335</v>
      </c>
      <c r="U382" s="305">
        <f t="shared" si="58"/>
        <v>0</v>
      </c>
      <c r="V382" s="306"/>
    </row>
    <row r="383" spans="2:22" ht="20.100000000000001" customHeight="1">
      <c r="B383" s="206" t="s">
        <v>381</v>
      </c>
      <c r="C383" s="206" t="s">
        <v>389</v>
      </c>
      <c r="D383" s="211">
        <f>C22+C31+C38+C56*2+C64*2+C112+C119+C126+C133*2</f>
        <v>2.48</v>
      </c>
      <c r="E383" s="207" t="s">
        <v>285</v>
      </c>
      <c r="F383" s="206" t="s">
        <v>380</v>
      </c>
      <c r="G383" s="206"/>
      <c r="H383" s="241">
        <v>2.81</v>
      </c>
      <c r="I383" s="207">
        <f>H383*D383</f>
        <v>6.9687999999999999</v>
      </c>
      <c r="J383" s="102"/>
      <c r="K383" s="102"/>
      <c r="L383" s="102"/>
      <c r="M383" s="102"/>
      <c r="N383" s="102"/>
      <c r="O383" s="286">
        <v>9</v>
      </c>
      <c r="P383" s="302" t="s">
        <v>617</v>
      </c>
      <c r="Q383" s="302"/>
      <c r="R383" s="286" t="s">
        <v>618</v>
      </c>
      <c r="S383" s="296">
        <v>1</v>
      </c>
      <c r="T383" s="304">
        <f>H363-H358+H350+H318+H315+H314</f>
        <v>192.29070000000004</v>
      </c>
      <c r="U383" s="305">
        <f t="shared" si="58"/>
        <v>192.29070000000004</v>
      </c>
      <c r="V383" s="306"/>
    </row>
    <row r="384" spans="2:22" ht="20.100000000000001" customHeight="1">
      <c r="B384" s="206" t="s">
        <v>390</v>
      </c>
      <c r="C384" s="206" t="s">
        <v>392</v>
      </c>
      <c r="D384" s="211">
        <f>C22+C88+C112+C163</f>
        <v>4.6720000000000006</v>
      </c>
      <c r="E384" s="207" t="s">
        <v>285</v>
      </c>
      <c r="F384" s="206" t="s">
        <v>394</v>
      </c>
      <c r="G384" s="206"/>
      <c r="H384" s="241">
        <v>3.27</v>
      </c>
      <c r="I384" s="207">
        <f t="shared" ref="I384" si="60">H384*D384</f>
        <v>15.277440000000002</v>
      </c>
      <c r="J384" s="102"/>
      <c r="K384" s="102"/>
      <c r="L384" s="102"/>
      <c r="M384" s="102"/>
      <c r="N384" s="102"/>
      <c r="O384" s="297" t="s">
        <v>306</v>
      </c>
      <c r="P384" s="308" t="s">
        <v>314</v>
      </c>
      <c r="Q384" s="298"/>
      <c r="R384" s="286"/>
      <c r="S384" s="296"/>
      <c r="T384" s="309"/>
      <c r="U384" s="301">
        <f>SUM(U385:U386)</f>
        <v>64</v>
      </c>
      <c r="V384" s="286"/>
    </row>
    <row r="385" spans="2:22" ht="20.100000000000001" customHeight="1">
      <c r="B385" s="206" t="s">
        <v>391</v>
      </c>
      <c r="C385" s="206" t="s">
        <v>393</v>
      </c>
      <c r="D385" s="211">
        <f>(C97+C104+C119+C126)*2</f>
        <v>0</v>
      </c>
      <c r="E385" s="207" t="s">
        <v>285</v>
      </c>
      <c r="F385" s="206" t="s">
        <v>395</v>
      </c>
      <c r="G385" s="206"/>
      <c r="H385" s="241">
        <v>1.74</v>
      </c>
      <c r="I385" s="207">
        <f t="shared" si="59"/>
        <v>0</v>
      </c>
      <c r="J385" s="102"/>
      <c r="K385" s="102"/>
      <c r="L385" s="102"/>
      <c r="M385" s="102"/>
      <c r="N385" s="102"/>
      <c r="O385" s="286">
        <v>1</v>
      </c>
      <c r="P385" s="307" t="s">
        <v>619</v>
      </c>
      <c r="Q385" s="307"/>
      <c r="R385" s="300" t="s">
        <v>312</v>
      </c>
      <c r="S385" s="296">
        <f>V372</f>
        <v>0.4</v>
      </c>
      <c r="T385" s="310">
        <v>60</v>
      </c>
      <c r="U385" s="305">
        <f>T385*S385</f>
        <v>24</v>
      </c>
      <c r="V385" s="286"/>
    </row>
    <row r="386" spans="2:22" ht="20.100000000000001" customHeight="1">
      <c r="B386" s="208" t="s">
        <v>382</v>
      </c>
      <c r="C386" s="206" t="s">
        <v>291</v>
      </c>
      <c r="D386" s="211">
        <f>D338+D339+D341</f>
        <v>10</v>
      </c>
      <c r="E386" s="207" t="s">
        <v>285</v>
      </c>
      <c r="F386" s="206"/>
      <c r="G386" s="206"/>
      <c r="H386" s="241">
        <v>0.56999999999999995</v>
      </c>
      <c r="I386" s="207">
        <f>H386*D386</f>
        <v>5.6999999999999993</v>
      </c>
      <c r="J386" s="102"/>
      <c r="K386" s="102"/>
      <c r="L386" s="102"/>
      <c r="M386" s="102"/>
      <c r="N386" s="102"/>
      <c r="O386" s="286">
        <v>2</v>
      </c>
      <c r="P386" s="307" t="s">
        <v>288</v>
      </c>
      <c r="Q386" s="307"/>
      <c r="R386" s="300" t="s">
        <v>312</v>
      </c>
      <c r="S386" s="296">
        <f>V372</f>
        <v>0.4</v>
      </c>
      <c r="T386" s="310">
        <v>100</v>
      </c>
      <c r="U386" s="305">
        <f>T386*S386</f>
        <v>40</v>
      </c>
      <c r="V386" s="286"/>
    </row>
    <row r="387" spans="2:22" ht="20.100000000000001" customHeight="1">
      <c r="B387" s="206" t="s">
        <v>292</v>
      </c>
      <c r="C387" s="206"/>
      <c r="D387" s="211">
        <f>H366</f>
        <v>0.30690000000000001</v>
      </c>
      <c r="E387" s="207" t="s">
        <v>285</v>
      </c>
      <c r="F387" s="206"/>
      <c r="G387" s="206"/>
      <c r="H387" s="241">
        <v>20</v>
      </c>
      <c r="I387" s="207">
        <f t="shared" si="59"/>
        <v>6.1379999999999999</v>
      </c>
      <c r="J387" s="102"/>
      <c r="K387" s="102"/>
      <c r="L387" s="102"/>
      <c r="M387" s="102"/>
      <c r="N387" s="102"/>
      <c r="O387" s="297" t="s">
        <v>307</v>
      </c>
      <c r="P387" s="308" t="s">
        <v>290</v>
      </c>
      <c r="Q387" s="298"/>
      <c r="R387" s="286"/>
      <c r="S387" s="296"/>
      <c r="T387" s="309"/>
      <c r="U387" s="301">
        <f>SUM(U388)</f>
        <v>8</v>
      </c>
      <c r="V387" s="286"/>
    </row>
    <row r="388" spans="2:22" ht="20.100000000000001" customHeight="1">
      <c r="B388" s="212" t="s">
        <v>4</v>
      </c>
      <c r="C388" s="213"/>
      <c r="D388" s="212"/>
      <c r="E388" s="212"/>
      <c r="F388" s="212"/>
      <c r="G388" s="212"/>
      <c r="H388" s="212"/>
      <c r="I388" s="213">
        <f>SUM(I380:I387)</f>
        <v>39.084240000000001</v>
      </c>
      <c r="J388" s="242"/>
      <c r="K388" s="102"/>
      <c r="L388" s="102"/>
      <c r="M388" s="102"/>
      <c r="N388" s="102"/>
      <c r="O388" s="286">
        <v>1</v>
      </c>
      <c r="P388" s="307" t="s">
        <v>290</v>
      </c>
      <c r="Q388" s="307"/>
      <c r="R388" s="300" t="s">
        <v>312</v>
      </c>
      <c r="S388" s="296">
        <f>V372</f>
        <v>0.4</v>
      </c>
      <c r="T388" s="310">
        <v>20</v>
      </c>
      <c r="U388" s="305">
        <f>T388*S388</f>
        <v>8</v>
      </c>
      <c r="V388" s="286"/>
    </row>
    <row r="389" spans="2:22" ht="20.100000000000001" customHeight="1">
      <c r="J389" s="102"/>
      <c r="K389" s="102"/>
      <c r="L389" s="102"/>
      <c r="M389" s="102"/>
      <c r="N389" s="102"/>
      <c r="O389" s="286" t="s">
        <v>308</v>
      </c>
      <c r="P389" s="618" t="s">
        <v>620</v>
      </c>
      <c r="Q389" s="619"/>
      <c r="R389" s="620"/>
      <c r="S389" s="621"/>
      <c r="T389" s="622"/>
      <c r="U389" s="301">
        <f>U374+U384+U387</f>
        <v>543.70524949599996</v>
      </c>
      <c r="V389" s="286"/>
    </row>
    <row r="390" spans="2:22" ht="20.100000000000001" customHeight="1">
      <c r="J390" s="102"/>
      <c r="K390" s="102"/>
      <c r="L390" s="102"/>
      <c r="M390" s="102"/>
      <c r="N390" s="102"/>
      <c r="O390" s="286" t="s">
        <v>309</v>
      </c>
      <c r="P390" s="618" t="s">
        <v>621</v>
      </c>
      <c r="Q390" s="619"/>
      <c r="R390" s="626">
        <v>0.2</v>
      </c>
      <c r="S390" s="627"/>
      <c r="T390" s="628"/>
      <c r="U390" s="301">
        <f>U389*R390</f>
        <v>108.74104989919999</v>
      </c>
      <c r="V390" s="286"/>
    </row>
    <row r="391" spans="2:22" ht="20.100000000000001" customHeight="1">
      <c r="J391" s="102"/>
      <c r="K391" s="102"/>
      <c r="L391" s="102"/>
      <c r="M391" s="102"/>
      <c r="N391" s="102"/>
      <c r="O391" s="286" t="s">
        <v>310</v>
      </c>
      <c r="P391" s="618" t="s">
        <v>622</v>
      </c>
      <c r="Q391" s="619"/>
      <c r="R391" s="620"/>
      <c r="S391" s="621"/>
      <c r="T391" s="622"/>
      <c r="U391" s="301">
        <f>U389+U390</f>
        <v>652.44629939519996</v>
      </c>
      <c r="V391" s="286"/>
    </row>
    <row r="392" spans="2:22" ht="30" customHeight="1">
      <c r="L392" s="102"/>
      <c r="M392" s="102"/>
      <c r="N392" s="102"/>
      <c r="O392" s="297" t="s">
        <v>311</v>
      </c>
      <c r="P392" s="618" t="s">
        <v>623</v>
      </c>
      <c r="Q392" s="619"/>
      <c r="R392" s="620"/>
      <c r="S392" s="621"/>
      <c r="T392" s="622"/>
      <c r="U392" s="301">
        <f>U391/V372</f>
        <v>1631.1157484879998</v>
      </c>
      <c r="V392" s="286" t="s">
        <v>624</v>
      </c>
    </row>
    <row r="393" spans="2:22" ht="45" customHeight="1">
      <c r="L393" s="102"/>
      <c r="M393" s="102"/>
      <c r="N393" s="102"/>
      <c r="O393" s="623" t="s">
        <v>625</v>
      </c>
      <c r="P393" s="623"/>
      <c r="Q393" s="623"/>
      <c r="R393" s="623"/>
      <c r="S393" s="623"/>
      <c r="T393" s="623"/>
      <c r="U393" s="623"/>
      <c r="V393" s="623"/>
    </row>
    <row r="394" spans="2:22" ht="18" customHeight="1">
      <c r="L394" s="102"/>
      <c r="M394" s="102"/>
      <c r="N394" s="102"/>
      <c r="O394" s="102"/>
      <c r="P394" s="102"/>
    </row>
    <row r="395" spans="2:22">
      <c r="L395" s="102"/>
      <c r="M395" s="102"/>
      <c r="N395" s="102"/>
      <c r="O395" s="102"/>
      <c r="P395" s="102"/>
    </row>
    <row r="396" spans="2:22">
      <c r="L396" s="102"/>
      <c r="M396" s="102"/>
      <c r="N396" s="102"/>
      <c r="O396" s="102"/>
      <c r="P396" s="102"/>
    </row>
    <row r="397" spans="2:22">
      <c r="L397" s="102"/>
      <c r="M397" s="102"/>
      <c r="N397" s="102"/>
      <c r="O397" s="102"/>
      <c r="P397" s="102"/>
    </row>
    <row r="398" spans="2:22">
      <c r="L398" s="102"/>
      <c r="M398" s="102"/>
      <c r="N398" s="102"/>
      <c r="O398" s="102"/>
      <c r="P398" s="102"/>
    </row>
    <row r="399" spans="2:22">
      <c r="L399" s="102"/>
      <c r="M399" s="102"/>
      <c r="N399" s="102"/>
      <c r="O399" s="102"/>
      <c r="P399" s="102"/>
    </row>
    <row r="400" spans="2:22">
      <c r="L400" s="102"/>
      <c r="M400" s="102"/>
      <c r="N400" s="102"/>
      <c r="O400" s="102"/>
      <c r="P400" s="102"/>
    </row>
    <row r="401" spans="12:16">
      <c r="L401" s="102"/>
      <c r="M401" s="102"/>
      <c r="N401" s="102"/>
      <c r="O401" s="102"/>
      <c r="P401" s="102"/>
    </row>
    <row r="402" spans="12:16">
      <c r="L402" s="102"/>
      <c r="M402" s="102"/>
      <c r="N402" s="102"/>
      <c r="O402" s="102"/>
      <c r="P402" s="102"/>
    </row>
    <row r="403" spans="12:16">
      <c r="L403" s="102"/>
      <c r="M403" s="102"/>
      <c r="N403" s="102"/>
      <c r="O403" s="102"/>
      <c r="P403" s="102"/>
    </row>
    <row r="404" spans="12:16">
      <c r="L404" s="102"/>
      <c r="M404" s="102"/>
      <c r="N404" s="102"/>
      <c r="O404" s="102"/>
      <c r="P404" s="102"/>
    </row>
    <row r="405" spans="12:16">
      <c r="L405" s="102"/>
      <c r="M405" s="102"/>
      <c r="N405" s="102"/>
      <c r="O405" s="102"/>
      <c r="P405" s="102"/>
    </row>
    <row r="406" spans="12:16">
      <c r="L406" s="102"/>
      <c r="M406" s="102"/>
      <c r="N406" s="102"/>
      <c r="O406" s="102"/>
      <c r="P406" s="102"/>
    </row>
    <row r="407" spans="12:16">
      <c r="L407" s="102"/>
      <c r="M407" s="102"/>
      <c r="N407" s="102"/>
      <c r="O407" s="102"/>
      <c r="P407" s="102"/>
    </row>
    <row r="408" spans="12:16">
      <c r="L408" s="102"/>
      <c r="M408" s="102"/>
      <c r="N408" s="102"/>
      <c r="O408" s="102"/>
      <c r="P408" s="102"/>
    </row>
    <row r="409" spans="12:16">
      <c r="L409" s="102"/>
      <c r="M409" s="102"/>
      <c r="N409" s="102"/>
      <c r="O409" s="102"/>
      <c r="P409" s="102"/>
    </row>
    <row r="410" spans="12:16">
      <c r="L410" s="102"/>
      <c r="M410" s="102"/>
      <c r="N410" s="102"/>
      <c r="O410" s="102"/>
      <c r="P410" s="102"/>
    </row>
    <row r="411" spans="12:16">
      <c r="L411" s="102"/>
      <c r="M411" s="102"/>
      <c r="N411" s="102"/>
      <c r="O411" s="102"/>
      <c r="P411" s="102"/>
    </row>
    <row r="412" spans="12:16">
      <c r="L412" s="102"/>
      <c r="M412" s="102"/>
      <c r="N412" s="102"/>
      <c r="O412" s="102"/>
      <c r="P412" s="102"/>
    </row>
    <row r="413" spans="12:16">
      <c r="L413" s="102"/>
      <c r="M413" s="102"/>
      <c r="N413" s="102"/>
      <c r="O413" s="102"/>
      <c r="P413" s="102"/>
    </row>
    <row r="414" spans="12:16">
      <c r="L414" s="102"/>
      <c r="M414" s="102"/>
      <c r="N414" s="102"/>
      <c r="O414" s="102"/>
      <c r="P414" s="102"/>
    </row>
    <row r="415" spans="12:16">
      <c r="L415" s="102"/>
      <c r="M415" s="102"/>
      <c r="N415" s="102"/>
      <c r="O415" s="102"/>
      <c r="P415" s="102"/>
    </row>
    <row r="416" spans="12:16">
      <c r="L416" s="102"/>
      <c r="M416" s="102"/>
      <c r="N416" s="102"/>
      <c r="O416" s="102"/>
      <c r="P416" s="102"/>
    </row>
    <row r="417" spans="10:16">
      <c r="L417" s="102"/>
      <c r="M417" s="102"/>
      <c r="N417" s="102"/>
      <c r="O417" s="102"/>
      <c r="P417" s="102"/>
    </row>
    <row r="418" spans="10:16">
      <c r="L418" s="102"/>
      <c r="M418" s="102"/>
      <c r="N418" s="102"/>
      <c r="O418" s="102"/>
      <c r="P418" s="102"/>
    </row>
    <row r="419" spans="10:16">
      <c r="L419" s="102"/>
      <c r="M419" s="102"/>
      <c r="N419" s="102"/>
      <c r="O419" s="102"/>
      <c r="P419" s="102"/>
    </row>
    <row r="420" spans="10:16">
      <c r="L420" s="102"/>
      <c r="M420" s="102"/>
      <c r="N420" s="102"/>
      <c r="O420" s="102"/>
      <c r="P420" s="102"/>
    </row>
    <row r="421" spans="10:16">
      <c r="L421" s="102"/>
      <c r="M421" s="102"/>
      <c r="N421" s="102"/>
      <c r="O421" s="102"/>
      <c r="P421" s="102"/>
    </row>
    <row r="422" spans="10:16">
      <c r="L422" s="102"/>
      <c r="M422" s="102"/>
      <c r="N422" s="102"/>
      <c r="O422" s="102"/>
      <c r="P422" s="102"/>
    </row>
    <row r="423" spans="10:16">
      <c r="L423" s="102"/>
      <c r="M423" s="102"/>
      <c r="N423" s="102"/>
      <c r="O423" s="102"/>
      <c r="P423" s="102"/>
    </row>
    <row r="424" spans="10:16">
      <c r="L424" s="102"/>
      <c r="M424" s="102"/>
      <c r="N424" s="102"/>
      <c r="O424" s="102"/>
      <c r="P424" s="102"/>
    </row>
    <row r="425" spans="10:16">
      <c r="L425" s="102"/>
      <c r="M425" s="102"/>
      <c r="N425" s="102"/>
      <c r="O425" s="102"/>
      <c r="P425" s="102"/>
    </row>
    <row r="426" spans="10:16">
      <c r="L426" s="102"/>
      <c r="M426" s="102"/>
      <c r="N426" s="102"/>
      <c r="O426" s="102"/>
      <c r="P426" s="102"/>
    </row>
    <row r="427" spans="10:16">
      <c r="J427" s="102"/>
      <c r="K427" s="102"/>
      <c r="L427" s="102"/>
      <c r="M427" s="102"/>
      <c r="N427" s="102"/>
      <c r="O427" s="102"/>
      <c r="P427" s="102"/>
    </row>
    <row r="428" spans="10:16">
      <c r="J428" s="102"/>
      <c r="K428" s="102"/>
      <c r="L428" s="102"/>
      <c r="M428" s="102"/>
      <c r="N428" s="102"/>
      <c r="O428" s="102"/>
      <c r="P428" s="102"/>
    </row>
    <row r="429" spans="10:16">
      <c r="J429" s="102"/>
      <c r="K429" s="102"/>
      <c r="L429" s="102"/>
      <c r="M429" s="102"/>
      <c r="N429" s="102"/>
      <c r="O429" s="102"/>
      <c r="P429" s="102"/>
    </row>
    <row r="430" spans="10:16">
      <c r="J430" s="102"/>
      <c r="K430" s="102"/>
      <c r="L430" s="102"/>
      <c r="M430" s="102"/>
      <c r="N430" s="102"/>
      <c r="O430" s="102"/>
      <c r="P430" s="102"/>
    </row>
    <row r="431" spans="10:16">
      <c r="J431" s="102"/>
      <c r="K431" s="102"/>
      <c r="L431" s="102"/>
      <c r="M431" s="102"/>
      <c r="N431" s="102"/>
      <c r="O431" s="102"/>
      <c r="P431" s="102"/>
    </row>
    <row r="432" spans="10:16">
      <c r="J432" s="102"/>
      <c r="K432" s="102"/>
      <c r="L432" s="102"/>
      <c r="M432" s="102"/>
      <c r="N432" s="102"/>
      <c r="O432" s="102"/>
      <c r="P432" s="102"/>
    </row>
    <row r="433" spans="10:16">
      <c r="J433" s="102"/>
      <c r="K433" s="102"/>
      <c r="L433" s="102"/>
      <c r="M433" s="102"/>
      <c r="N433" s="102"/>
      <c r="O433" s="102"/>
      <c r="P433" s="102"/>
    </row>
    <row r="434" spans="10:16">
      <c r="J434" s="102"/>
      <c r="K434" s="102"/>
      <c r="L434" s="102"/>
      <c r="M434" s="102"/>
      <c r="N434" s="102"/>
      <c r="O434" s="102"/>
      <c r="P434" s="102"/>
    </row>
    <row r="435" spans="10:16">
      <c r="J435" s="102"/>
      <c r="K435" s="102"/>
      <c r="L435" s="102"/>
      <c r="M435" s="102"/>
      <c r="N435" s="102"/>
      <c r="O435" s="102"/>
      <c r="P435" s="102"/>
    </row>
    <row r="436" spans="10:16">
      <c r="J436" s="102"/>
      <c r="K436" s="102"/>
      <c r="L436" s="102"/>
      <c r="M436" s="102"/>
      <c r="N436" s="102"/>
      <c r="O436" s="102"/>
      <c r="P436" s="102"/>
    </row>
    <row r="437" spans="10:16">
      <c r="J437" s="102"/>
      <c r="K437" s="102"/>
      <c r="L437" s="102"/>
      <c r="M437" s="102"/>
      <c r="N437" s="102"/>
      <c r="O437" s="102"/>
      <c r="P437" s="102"/>
    </row>
    <row r="438" spans="10:16">
      <c r="J438" s="102"/>
      <c r="K438" s="102"/>
      <c r="L438" s="102"/>
      <c r="M438" s="102"/>
      <c r="N438" s="102"/>
      <c r="O438" s="102"/>
      <c r="P438" s="102"/>
    </row>
    <row r="439" spans="10:16">
      <c r="J439" s="102"/>
      <c r="K439" s="102"/>
      <c r="L439" s="102"/>
      <c r="M439" s="102"/>
      <c r="N439" s="102"/>
      <c r="O439" s="102"/>
      <c r="P439" s="102"/>
    </row>
    <row r="440" spans="10:16">
      <c r="J440" s="102"/>
      <c r="K440" s="102"/>
      <c r="L440" s="102"/>
      <c r="M440" s="102"/>
      <c r="N440" s="102"/>
      <c r="O440" s="102"/>
      <c r="P440" s="102"/>
    </row>
    <row r="441" spans="10:16">
      <c r="J441" s="102"/>
      <c r="K441" s="102"/>
      <c r="L441" s="102"/>
      <c r="M441" s="102"/>
      <c r="N441" s="102"/>
      <c r="O441" s="102"/>
      <c r="P441" s="102"/>
    </row>
    <row r="442" spans="10:16">
      <c r="J442" s="102"/>
      <c r="K442" s="102"/>
      <c r="L442" s="102"/>
      <c r="M442" s="102"/>
      <c r="N442" s="102"/>
      <c r="O442" s="102"/>
      <c r="P442" s="102"/>
    </row>
    <row r="443" spans="10:16">
      <c r="J443" s="102"/>
      <c r="K443" s="102"/>
      <c r="L443" s="102"/>
      <c r="M443" s="102"/>
      <c r="N443" s="102"/>
      <c r="O443" s="102"/>
      <c r="P443" s="102"/>
    </row>
    <row r="444" spans="10:16">
      <c r="J444" s="102"/>
      <c r="K444" s="102"/>
      <c r="L444" s="102"/>
      <c r="M444" s="102"/>
      <c r="N444" s="102"/>
      <c r="O444" s="102"/>
      <c r="P444" s="102"/>
    </row>
    <row r="445" spans="10:16">
      <c r="J445" s="102"/>
      <c r="K445" s="102"/>
      <c r="L445" s="102"/>
      <c r="M445" s="102"/>
      <c r="N445" s="102"/>
      <c r="O445" s="102"/>
      <c r="P445" s="102"/>
    </row>
    <row r="446" spans="10:16">
      <c r="J446" s="102"/>
      <c r="K446" s="102"/>
      <c r="L446" s="102"/>
      <c r="M446" s="102"/>
      <c r="N446" s="102"/>
      <c r="O446" s="102"/>
      <c r="P446" s="102"/>
    </row>
    <row r="447" spans="10:16">
      <c r="J447" s="102"/>
      <c r="K447" s="102"/>
      <c r="L447" s="102"/>
      <c r="M447" s="102"/>
      <c r="N447" s="102"/>
      <c r="O447" s="102"/>
      <c r="P447" s="102"/>
    </row>
    <row r="448" spans="10:16">
      <c r="J448" s="102"/>
      <c r="K448" s="102"/>
      <c r="L448" s="102"/>
      <c r="M448" s="102"/>
      <c r="N448" s="102"/>
      <c r="O448" s="102"/>
      <c r="P448" s="102"/>
    </row>
    <row r="449" spans="10:16">
      <c r="J449" s="102"/>
      <c r="K449" s="102"/>
      <c r="L449" s="102"/>
      <c r="M449" s="102"/>
      <c r="N449" s="102"/>
      <c r="O449" s="102"/>
      <c r="P449" s="102"/>
    </row>
    <row r="450" spans="10:16">
      <c r="J450" s="102"/>
      <c r="K450" s="102"/>
      <c r="L450" s="102"/>
      <c r="M450" s="102"/>
      <c r="N450" s="102"/>
      <c r="O450" s="102"/>
      <c r="P450" s="102"/>
    </row>
    <row r="451" spans="10:16">
      <c r="J451" s="102"/>
      <c r="K451" s="102"/>
      <c r="L451" s="102"/>
      <c r="M451" s="102"/>
      <c r="N451" s="102"/>
      <c r="O451" s="102"/>
      <c r="P451" s="102"/>
    </row>
    <row r="452" spans="10:16">
      <c r="J452" s="102"/>
      <c r="K452" s="102"/>
      <c r="L452" s="102"/>
      <c r="M452" s="102"/>
      <c r="N452" s="102"/>
      <c r="O452" s="102"/>
      <c r="P452" s="102"/>
    </row>
    <row r="453" spans="10:16">
      <c r="J453" s="102"/>
      <c r="K453" s="102"/>
      <c r="L453" s="102"/>
      <c r="M453" s="102"/>
      <c r="N453" s="102"/>
      <c r="O453" s="102"/>
      <c r="P453" s="102"/>
    </row>
    <row r="454" spans="10:16">
      <c r="J454" s="102"/>
      <c r="K454" s="102"/>
      <c r="L454" s="102"/>
      <c r="M454" s="102"/>
      <c r="N454" s="102"/>
      <c r="O454" s="102"/>
      <c r="P454" s="102"/>
    </row>
    <row r="455" spans="10:16">
      <c r="J455" s="102"/>
      <c r="K455" s="102"/>
      <c r="L455" s="102"/>
      <c r="M455" s="102"/>
      <c r="N455" s="102"/>
      <c r="O455" s="102"/>
      <c r="P455" s="102"/>
    </row>
    <row r="456" spans="10:16">
      <c r="J456" s="102"/>
      <c r="K456" s="102"/>
      <c r="L456" s="102"/>
      <c r="M456" s="102"/>
      <c r="N456" s="102"/>
      <c r="O456" s="102"/>
      <c r="P456" s="102"/>
    </row>
    <row r="457" spans="10:16">
      <c r="J457" s="102"/>
      <c r="K457" s="102"/>
      <c r="L457" s="102"/>
      <c r="M457" s="102"/>
      <c r="N457" s="102"/>
      <c r="O457" s="102"/>
      <c r="P457" s="102"/>
    </row>
    <row r="458" spans="10:16">
      <c r="J458" s="102"/>
      <c r="K458" s="102"/>
      <c r="L458" s="102"/>
      <c r="M458" s="102"/>
      <c r="N458" s="102"/>
      <c r="O458" s="102"/>
      <c r="P458" s="102"/>
    </row>
    <row r="459" spans="10:16">
      <c r="J459" s="102"/>
      <c r="K459" s="102"/>
      <c r="L459" s="102"/>
      <c r="M459" s="102"/>
      <c r="N459" s="102"/>
      <c r="O459" s="102"/>
      <c r="P459" s="102"/>
    </row>
    <row r="460" spans="10:16">
      <c r="J460" s="102"/>
      <c r="K460" s="102"/>
      <c r="L460" s="102"/>
      <c r="M460" s="102"/>
      <c r="N460" s="102"/>
      <c r="O460" s="102"/>
      <c r="P460" s="102"/>
    </row>
    <row r="461" spans="10:16">
      <c r="J461" s="102"/>
      <c r="K461" s="102"/>
      <c r="L461" s="102"/>
      <c r="M461" s="102"/>
      <c r="N461" s="102"/>
      <c r="O461" s="102"/>
      <c r="P461" s="102"/>
    </row>
    <row r="462" spans="10:16">
      <c r="J462" s="102"/>
      <c r="K462" s="102"/>
      <c r="L462" s="102"/>
      <c r="M462" s="102"/>
      <c r="N462" s="102"/>
      <c r="O462" s="102"/>
      <c r="P462" s="102"/>
    </row>
    <row r="463" spans="10:16">
      <c r="J463" s="102"/>
      <c r="K463" s="102"/>
      <c r="L463" s="102"/>
      <c r="M463" s="102"/>
      <c r="N463" s="102"/>
      <c r="O463" s="102"/>
      <c r="P463" s="102"/>
    </row>
    <row r="464" spans="10:16">
      <c r="J464" s="102"/>
      <c r="K464" s="102"/>
      <c r="L464" s="102"/>
      <c r="M464" s="102"/>
      <c r="N464" s="102"/>
      <c r="O464" s="102"/>
      <c r="P464" s="102"/>
    </row>
  </sheetData>
  <mergeCells count="95">
    <mergeCell ref="F2:H2"/>
    <mergeCell ref="I2:I6"/>
    <mergeCell ref="J2:M2"/>
    <mergeCell ref="B4:B6"/>
    <mergeCell ref="B14:B21"/>
    <mergeCell ref="C14:C21"/>
    <mergeCell ref="B26:B30"/>
    <mergeCell ref="C26:C30"/>
    <mergeCell ref="B35:B37"/>
    <mergeCell ref="C35:C37"/>
    <mergeCell ref="B42:B47"/>
    <mergeCell ref="C42:C44"/>
    <mergeCell ref="C45:C47"/>
    <mergeCell ref="B52:B55"/>
    <mergeCell ref="C52:C55"/>
    <mergeCell ref="D59:F59"/>
    <mergeCell ref="B60:B63"/>
    <mergeCell ref="C60:C61"/>
    <mergeCell ref="D60:F60"/>
    <mergeCell ref="D61:F61"/>
    <mergeCell ref="C62:C63"/>
    <mergeCell ref="D62:F62"/>
    <mergeCell ref="D63:F63"/>
    <mergeCell ref="B68:B87"/>
    <mergeCell ref="C68:C74"/>
    <mergeCell ref="C75:C81"/>
    <mergeCell ref="C82:C87"/>
    <mergeCell ref="B92:B96"/>
    <mergeCell ref="C92:C96"/>
    <mergeCell ref="B137:B138"/>
    <mergeCell ref="C137:C138"/>
    <mergeCell ref="D137:F137"/>
    <mergeCell ref="D138:F138"/>
    <mergeCell ref="B101:B103"/>
    <mergeCell ref="C101:C103"/>
    <mergeCell ref="B108:B111"/>
    <mergeCell ref="C108:C111"/>
    <mergeCell ref="B116:B118"/>
    <mergeCell ref="C116:C118"/>
    <mergeCell ref="B123:B125"/>
    <mergeCell ref="C123:C125"/>
    <mergeCell ref="B130:B132"/>
    <mergeCell ref="C130:C132"/>
    <mergeCell ref="D136:F136"/>
    <mergeCell ref="B143:B145"/>
    <mergeCell ref="C143:C145"/>
    <mergeCell ref="B150:B152"/>
    <mergeCell ref="C150:C152"/>
    <mergeCell ref="B157:B162"/>
    <mergeCell ref="C157:C162"/>
    <mergeCell ref="B167:B169"/>
    <mergeCell ref="C167:C169"/>
    <mergeCell ref="B174:B176"/>
    <mergeCell ref="C174:C176"/>
    <mergeCell ref="B181:B183"/>
    <mergeCell ref="C181:C183"/>
    <mergeCell ref="F209:F210"/>
    <mergeCell ref="B188:B190"/>
    <mergeCell ref="C188:C190"/>
    <mergeCell ref="D194:F194"/>
    <mergeCell ref="B195:B196"/>
    <mergeCell ref="C195:C196"/>
    <mergeCell ref="D195:F195"/>
    <mergeCell ref="D196:F196"/>
    <mergeCell ref="B197:B198"/>
    <mergeCell ref="C197:C198"/>
    <mergeCell ref="D197:F197"/>
    <mergeCell ref="D198:F198"/>
    <mergeCell ref="F203:F204"/>
    <mergeCell ref="O369:V369"/>
    <mergeCell ref="F211:F212"/>
    <mergeCell ref="F213:F214"/>
    <mergeCell ref="B291:B292"/>
    <mergeCell ref="B294:B295"/>
    <mergeCell ref="I294:I295"/>
    <mergeCell ref="B296:B297"/>
    <mergeCell ref="I296:I297"/>
    <mergeCell ref="B298:B299"/>
    <mergeCell ref="I298:I299"/>
    <mergeCell ref="B300:B301"/>
    <mergeCell ref="B302:B303"/>
    <mergeCell ref="O368:V368"/>
    <mergeCell ref="P370:Q370"/>
    <mergeCell ref="O371:O372"/>
    <mergeCell ref="P371:T372"/>
    <mergeCell ref="B378:I378"/>
    <mergeCell ref="P389:Q389"/>
    <mergeCell ref="R389:T389"/>
    <mergeCell ref="O393:V393"/>
    <mergeCell ref="P390:Q390"/>
    <mergeCell ref="R390:T390"/>
    <mergeCell ref="P391:Q391"/>
    <mergeCell ref="R391:T391"/>
    <mergeCell ref="P392:Q392"/>
    <mergeCell ref="R392:T392"/>
  </mergeCells>
  <phoneticPr fontId="5" type="noConversion"/>
  <pageMargins left="0.19685039370078741" right="0.19685039370078741" top="0.74803149606299213" bottom="0.74803149606299213" header="0.31496062992125984" footer="0.31496062992125984"/>
  <pageSetup paperSize="9" scale="78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629A1-FCEE-4FBA-8408-D8303D9D539B}">
  <sheetPr>
    <tabColor rgb="FF7030A0"/>
    <pageSetUpPr fitToPage="1"/>
  </sheetPr>
  <dimension ref="A1:V464"/>
  <sheetViews>
    <sheetView showZeros="0" topLeftCell="F361" zoomScaleNormal="100" workbookViewId="0">
      <selection activeCell="O368" sqref="O368:V393"/>
    </sheetView>
  </sheetViews>
  <sheetFormatPr defaultColWidth="25.25" defaultRowHeight="13.5"/>
  <cols>
    <col min="1" max="1" width="0.5" style="1" customWidth="1"/>
    <col min="2" max="2" width="25.25" style="102" customWidth="1"/>
    <col min="3" max="3" width="14.75" style="102" customWidth="1"/>
    <col min="4" max="4" width="11.5" style="102" customWidth="1"/>
    <col min="5" max="5" width="11.25" style="102" customWidth="1"/>
    <col min="6" max="6" width="12.25" style="102" customWidth="1"/>
    <col min="7" max="7" width="10" style="102" customWidth="1"/>
    <col min="8" max="8" width="9.875" style="102" customWidth="1"/>
    <col min="9" max="9" width="26.875" style="102" customWidth="1"/>
    <col min="10" max="10" width="11.125" style="43" customWidth="1"/>
    <col min="11" max="11" width="7.875" style="43" customWidth="1"/>
    <col min="12" max="12" width="7.25" style="43" customWidth="1"/>
    <col min="13" max="13" width="9.125" style="43" customWidth="1"/>
    <col min="14" max="14" width="15.125" style="255" customWidth="1"/>
    <col min="15" max="15" width="13.125" style="255" customWidth="1"/>
    <col min="16" max="16" width="24.375" style="255" customWidth="1"/>
    <col min="17" max="17" width="13.75" style="255" customWidth="1"/>
    <col min="18" max="18" width="11.25" style="255" customWidth="1"/>
    <col min="19" max="19" width="10.75" style="255" customWidth="1"/>
    <col min="20" max="20" width="10" style="255" customWidth="1"/>
    <col min="21" max="21" width="9.875" style="255" customWidth="1"/>
    <col min="22" max="22" width="26.125" style="255" customWidth="1"/>
    <col min="23" max="23" width="11.125" style="255" customWidth="1"/>
    <col min="24" max="24" width="7.875" style="255" customWidth="1"/>
    <col min="25" max="25" width="7.25" style="255" customWidth="1"/>
    <col min="26" max="26" width="9.125" style="255" customWidth="1"/>
    <col min="27" max="27" width="15.125" style="255" customWidth="1"/>
    <col min="28" max="28" width="7.75" style="255" customWidth="1"/>
    <col min="29" max="29" width="7.125" style="255" customWidth="1"/>
    <col min="30" max="30" width="12.125" style="255" customWidth="1"/>
    <col min="31" max="31" width="8.25" style="255" customWidth="1"/>
    <col min="32" max="33" width="10.375" style="255" customWidth="1"/>
    <col min="34" max="34" width="15.625" style="255" customWidth="1"/>
    <col min="35" max="35" width="15.875" style="255" customWidth="1"/>
    <col min="36" max="36" width="8.125" style="255" customWidth="1"/>
    <col min="37" max="40" width="10.375" style="255" customWidth="1"/>
    <col min="41" max="41" width="7.25" style="255" customWidth="1"/>
    <col min="42" max="42" width="7.125" style="255" customWidth="1"/>
    <col min="43" max="43" width="9.5" style="255" customWidth="1"/>
    <col min="44" max="45" width="9" style="255" customWidth="1"/>
    <col min="46" max="46" width="16.125" style="255" customWidth="1"/>
    <col min="47" max="77" width="9" style="255" customWidth="1"/>
    <col min="78" max="237" width="25.25" style="255"/>
    <col min="238" max="267" width="9" style="255" customWidth="1"/>
    <col min="268" max="268" width="0.5" style="255" customWidth="1"/>
    <col min="269" max="269" width="25.25" style="255"/>
    <col min="270" max="270" width="0.5" style="255" customWidth="1"/>
    <col min="271" max="271" width="25.25" style="255"/>
    <col min="272" max="272" width="14.75" style="255" customWidth="1"/>
    <col min="273" max="273" width="11.5" style="255" customWidth="1"/>
    <col min="274" max="274" width="11.25" style="255" customWidth="1"/>
    <col min="275" max="275" width="10.75" style="255" customWidth="1"/>
    <col min="276" max="276" width="10" style="255" customWidth="1"/>
    <col min="277" max="277" width="9.875" style="255" customWidth="1"/>
    <col min="278" max="278" width="26.125" style="255" customWidth="1"/>
    <col min="279" max="279" width="11.125" style="255" customWidth="1"/>
    <col min="280" max="280" width="7.875" style="255" customWidth="1"/>
    <col min="281" max="281" width="7.25" style="255" customWidth="1"/>
    <col min="282" max="282" width="9.125" style="255" customWidth="1"/>
    <col min="283" max="283" width="15.125" style="255" customWidth="1"/>
    <col min="284" max="284" width="7.75" style="255" customWidth="1"/>
    <col min="285" max="285" width="7.125" style="255" customWidth="1"/>
    <col min="286" max="286" width="12.125" style="255" customWidth="1"/>
    <col min="287" max="287" width="8.25" style="255" customWidth="1"/>
    <col min="288" max="289" width="10.375" style="255" customWidth="1"/>
    <col min="290" max="290" width="15.625" style="255" customWidth="1"/>
    <col min="291" max="291" width="15.875" style="255" customWidth="1"/>
    <col min="292" max="292" width="8.125" style="255" customWidth="1"/>
    <col min="293" max="296" width="10.375" style="255" customWidth="1"/>
    <col min="297" max="297" width="7.25" style="255" customWidth="1"/>
    <col min="298" max="298" width="7.125" style="255" customWidth="1"/>
    <col min="299" max="299" width="9.5" style="255" customWidth="1"/>
    <col min="300" max="301" width="9" style="255" customWidth="1"/>
    <col min="302" max="302" width="16.125" style="255" customWidth="1"/>
    <col min="303" max="333" width="9" style="255" customWidth="1"/>
    <col min="334" max="493" width="25.25" style="255"/>
    <col min="494" max="523" width="9" style="255" customWidth="1"/>
    <col min="524" max="524" width="0.5" style="255" customWidth="1"/>
    <col min="525" max="525" width="25.25" style="255"/>
    <col min="526" max="526" width="0.5" style="255" customWidth="1"/>
    <col min="527" max="527" width="25.25" style="255"/>
    <col min="528" max="528" width="14.75" style="255" customWidth="1"/>
    <col min="529" max="529" width="11.5" style="255" customWidth="1"/>
    <col min="530" max="530" width="11.25" style="255" customWidth="1"/>
    <col min="531" max="531" width="10.75" style="255" customWidth="1"/>
    <col min="532" max="532" width="10" style="255" customWidth="1"/>
    <col min="533" max="533" width="9.875" style="255" customWidth="1"/>
    <col min="534" max="534" width="26.125" style="255" customWidth="1"/>
    <col min="535" max="535" width="11.125" style="255" customWidth="1"/>
    <col min="536" max="536" width="7.875" style="255" customWidth="1"/>
    <col min="537" max="537" width="7.25" style="255" customWidth="1"/>
    <col min="538" max="538" width="9.125" style="255" customWidth="1"/>
    <col min="539" max="539" width="15.125" style="255" customWidth="1"/>
    <col min="540" max="540" width="7.75" style="255" customWidth="1"/>
    <col min="541" max="541" width="7.125" style="255" customWidth="1"/>
    <col min="542" max="542" width="12.125" style="255" customWidth="1"/>
    <col min="543" max="543" width="8.25" style="255" customWidth="1"/>
    <col min="544" max="545" width="10.375" style="255" customWidth="1"/>
    <col min="546" max="546" width="15.625" style="255" customWidth="1"/>
    <col min="547" max="547" width="15.875" style="255" customWidth="1"/>
    <col min="548" max="548" width="8.125" style="255" customWidth="1"/>
    <col min="549" max="552" width="10.375" style="255" customWidth="1"/>
    <col min="553" max="553" width="7.25" style="255" customWidth="1"/>
    <col min="554" max="554" width="7.125" style="255" customWidth="1"/>
    <col min="555" max="555" width="9.5" style="255" customWidth="1"/>
    <col min="556" max="557" width="9" style="255" customWidth="1"/>
    <col min="558" max="558" width="16.125" style="255" customWidth="1"/>
    <col min="559" max="589" width="9" style="255" customWidth="1"/>
    <col min="590" max="749" width="25.25" style="255"/>
    <col min="750" max="779" width="9" style="255" customWidth="1"/>
    <col min="780" max="780" width="0.5" style="255" customWidth="1"/>
    <col min="781" max="781" width="25.25" style="255"/>
    <col min="782" max="782" width="0.5" style="255" customWidth="1"/>
    <col min="783" max="783" width="25.25" style="255"/>
    <col min="784" max="784" width="14.75" style="255" customWidth="1"/>
    <col min="785" max="785" width="11.5" style="255" customWidth="1"/>
    <col min="786" max="786" width="11.25" style="255" customWidth="1"/>
    <col min="787" max="787" width="10.75" style="255" customWidth="1"/>
    <col min="788" max="788" width="10" style="255" customWidth="1"/>
    <col min="789" max="789" width="9.875" style="255" customWidth="1"/>
    <col min="790" max="790" width="26.125" style="255" customWidth="1"/>
    <col min="791" max="791" width="11.125" style="255" customWidth="1"/>
    <col min="792" max="792" width="7.875" style="255" customWidth="1"/>
    <col min="793" max="793" width="7.25" style="255" customWidth="1"/>
    <col min="794" max="794" width="9.125" style="255" customWidth="1"/>
    <col min="795" max="795" width="15.125" style="255" customWidth="1"/>
    <col min="796" max="796" width="7.75" style="255" customWidth="1"/>
    <col min="797" max="797" width="7.125" style="255" customWidth="1"/>
    <col min="798" max="798" width="12.125" style="255" customWidth="1"/>
    <col min="799" max="799" width="8.25" style="255" customWidth="1"/>
    <col min="800" max="801" width="10.375" style="255" customWidth="1"/>
    <col min="802" max="802" width="15.625" style="255" customWidth="1"/>
    <col min="803" max="803" width="15.875" style="255" customWidth="1"/>
    <col min="804" max="804" width="8.125" style="255" customWidth="1"/>
    <col min="805" max="808" width="10.375" style="255" customWidth="1"/>
    <col min="809" max="809" width="7.25" style="255" customWidth="1"/>
    <col min="810" max="810" width="7.125" style="255" customWidth="1"/>
    <col min="811" max="811" width="9.5" style="255" customWidth="1"/>
    <col min="812" max="813" width="9" style="255" customWidth="1"/>
    <col min="814" max="814" width="16.125" style="255" customWidth="1"/>
    <col min="815" max="845" width="9" style="255" customWidth="1"/>
    <col min="846" max="1005" width="25.25" style="255"/>
    <col min="1006" max="1035" width="9" style="255" customWidth="1"/>
    <col min="1036" max="1036" width="0.5" style="255" customWidth="1"/>
    <col min="1037" max="1037" width="25.25" style="255"/>
    <col min="1038" max="1038" width="0.5" style="255" customWidth="1"/>
    <col min="1039" max="1039" width="25.25" style="255"/>
    <col min="1040" max="1040" width="14.75" style="255" customWidth="1"/>
    <col min="1041" max="1041" width="11.5" style="255" customWidth="1"/>
    <col min="1042" max="1042" width="11.25" style="255" customWidth="1"/>
    <col min="1043" max="1043" width="10.75" style="255" customWidth="1"/>
    <col min="1044" max="1044" width="10" style="255" customWidth="1"/>
    <col min="1045" max="1045" width="9.875" style="255" customWidth="1"/>
    <col min="1046" max="1046" width="26.125" style="255" customWidth="1"/>
    <col min="1047" max="1047" width="11.125" style="255" customWidth="1"/>
    <col min="1048" max="1048" width="7.875" style="255" customWidth="1"/>
    <col min="1049" max="1049" width="7.25" style="255" customWidth="1"/>
    <col min="1050" max="1050" width="9.125" style="255" customWidth="1"/>
    <col min="1051" max="1051" width="15.125" style="255" customWidth="1"/>
    <col min="1052" max="1052" width="7.75" style="255" customWidth="1"/>
    <col min="1053" max="1053" width="7.125" style="255" customWidth="1"/>
    <col min="1054" max="1054" width="12.125" style="255" customWidth="1"/>
    <col min="1055" max="1055" width="8.25" style="255" customWidth="1"/>
    <col min="1056" max="1057" width="10.375" style="255" customWidth="1"/>
    <col min="1058" max="1058" width="15.625" style="255" customWidth="1"/>
    <col min="1059" max="1059" width="15.875" style="255" customWidth="1"/>
    <col min="1060" max="1060" width="8.125" style="255" customWidth="1"/>
    <col min="1061" max="1064" width="10.375" style="255" customWidth="1"/>
    <col min="1065" max="1065" width="7.25" style="255" customWidth="1"/>
    <col min="1066" max="1066" width="7.125" style="255" customWidth="1"/>
    <col min="1067" max="1067" width="9.5" style="255" customWidth="1"/>
    <col min="1068" max="1069" width="9" style="255" customWidth="1"/>
    <col min="1070" max="1070" width="16.125" style="255" customWidth="1"/>
    <col min="1071" max="1101" width="9" style="255" customWidth="1"/>
    <col min="1102" max="1261" width="25.25" style="255"/>
    <col min="1262" max="1291" width="9" style="255" customWidth="1"/>
    <col min="1292" max="1292" width="0.5" style="255" customWidth="1"/>
    <col min="1293" max="1293" width="25.25" style="255"/>
    <col min="1294" max="1294" width="0.5" style="255" customWidth="1"/>
    <col min="1295" max="1295" width="25.25" style="255"/>
    <col min="1296" max="1296" width="14.75" style="255" customWidth="1"/>
    <col min="1297" max="1297" width="11.5" style="255" customWidth="1"/>
    <col min="1298" max="1298" width="11.25" style="255" customWidth="1"/>
    <col min="1299" max="1299" width="10.75" style="255" customWidth="1"/>
    <col min="1300" max="1300" width="10" style="255" customWidth="1"/>
    <col min="1301" max="1301" width="9.875" style="255" customWidth="1"/>
    <col min="1302" max="1302" width="26.125" style="255" customWidth="1"/>
    <col min="1303" max="1303" width="11.125" style="255" customWidth="1"/>
    <col min="1304" max="1304" width="7.875" style="255" customWidth="1"/>
    <col min="1305" max="1305" width="7.25" style="255" customWidth="1"/>
    <col min="1306" max="1306" width="9.125" style="255" customWidth="1"/>
    <col min="1307" max="1307" width="15.125" style="255" customWidth="1"/>
    <col min="1308" max="1308" width="7.75" style="255" customWidth="1"/>
    <col min="1309" max="1309" width="7.125" style="255" customWidth="1"/>
    <col min="1310" max="1310" width="12.125" style="255" customWidth="1"/>
    <col min="1311" max="1311" width="8.25" style="255" customWidth="1"/>
    <col min="1312" max="1313" width="10.375" style="255" customWidth="1"/>
    <col min="1314" max="1314" width="15.625" style="255" customWidth="1"/>
    <col min="1315" max="1315" width="15.875" style="255" customWidth="1"/>
    <col min="1316" max="1316" width="8.125" style="255" customWidth="1"/>
    <col min="1317" max="1320" width="10.375" style="255" customWidth="1"/>
    <col min="1321" max="1321" width="7.25" style="255" customWidth="1"/>
    <col min="1322" max="1322" width="7.125" style="255" customWidth="1"/>
    <col min="1323" max="1323" width="9.5" style="255" customWidth="1"/>
    <col min="1324" max="1325" width="9" style="255" customWidth="1"/>
    <col min="1326" max="1326" width="16.125" style="255" customWidth="1"/>
    <col min="1327" max="1357" width="9" style="255" customWidth="1"/>
    <col min="1358" max="1517" width="25.25" style="255"/>
    <col min="1518" max="1547" width="9" style="255" customWidth="1"/>
    <col min="1548" max="1548" width="0.5" style="255" customWidth="1"/>
    <col min="1549" max="1549" width="25.25" style="255"/>
    <col min="1550" max="1550" width="0.5" style="255" customWidth="1"/>
    <col min="1551" max="1551" width="25.25" style="255"/>
    <col min="1552" max="1552" width="14.75" style="255" customWidth="1"/>
    <col min="1553" max="1553" width="11.5" style="255" customWidth="1"/>
    <col min="1554" max="1554" width="11.25" style="255" customWidth="1"/>
    <col min="1555" max="1555" width="10.75" style="255" customWidth="1"/>
    <col min="1556" max="1556" width="10" style="255" customWidth="1"/>
    <col min="1557" max="1557" width="9.875" style="255" customWidth="1"/>
    <col min="1558" max="1558" width="26.125" style="255" customWidth="1"/>
    <col min="1559" max="1559" width="11.125" style="255" customWidth="1"/>
    <col min="1560" max="1560" width="7.875" style="255" customWidth="1"/>
    <col min="1561" max="1561" width="7.25" style="255" customWidth="1"/>
    <col min="1562" max="1562" width="9.125" style="255" customWidth="1"/>
    <col min="1563" max="1563" width="15.125" style="255" customWidth="1"/>
    <col min="1564" max="1564" width="7.75" style="255" customWidth="1"/>
    <col min="1565" max="1565" width="7.125" style="255" customWidth="1"/>
    <col min="1566" max="1566" width="12.125" style="255" customWidth="1"/>
    <col min="1567" max="1567" width="8.25" style="255" customWidth="1"/>
    <col min="1568" max="1569" width="10.375" style="255" customWidth="1"/>
    <col min="1570" max="1570" width="15.625" style="255" customWidth="1"/>
    <col min="1571" max="1571" width="15.875" style="255" customWidth="1"/>
    <col min="1572" max="1572" width="8.125" style="255" customWidth="1"/>
    <col min="1573" max="1576" width="10.375" style="255" customWidth="1"/>
    <col min="1577" max="1577" width="7.25" style="255" customWidth="1"/>
    <col min="1578" max="1578" width="7.125" style="255" customWidth="1"/>
    <col min="1579" max="1579" width="9.5" style="255" customWidth="1"/>
    <col min="1580" max="1581" width="9" style="255" customWidth="1"/>
    <col min="1582" max="1582" width="16.125" style="255" customWidth="1"/>
    <col min="1583" max="1613" width="9" style="255" customWidth="1"/>
    <col min="1614" max="1773" width="25.25" style="255"/>
    <col min="1774" max="1803" width="9" style="255" customWidth="1"/>
    <col min="1804" max="1804" width="0.5" style="255" customWidth="1"/>
    <col min="1805" max="1805" width="25.25" style="255"/>
    <col min="1806" max="1806" width="0.5" style="255" customWidth="1"/>
    <col min="1807" max="1807" width="25.25" style="255"/>
    <col min="1808" max="1808" width="14.75" style="255" customWidth="1"/>
    <col min="1809" max="1809" width="11.5" style="255" customWidth="1"/>
    <col min="1810" max="1810" width="11.25" style="255" customWidth="1"/>
    <col min="1811" max="1811" width="10.75" style="255" customWidth="1"/>
    <col min="1812" max="1812" width="10" style="255" customWidth="1"/>
    <col min="1813" max="1813" width="9.875" style="255" customWidth="1"/>
    <col min="1814" max="1814" width="26.125" style="255" customWidth="1"/>
    <col min="1815" max="1815" width="11.125" style="255" customWidth="1"/>
    <col min="1816" max="1816" width="7.875" style="255" customWidth="1"/>
    <col min="1817" max="1817" width="7.25" style="255" customWidth="1"/>
    <col min="1818" max="1818" width="9.125" style="255" customWidth="1"/>
    <col min="1819" max="1819" width="15.125" style="255" customWidth="1"/>
    <col min="1820" max="1820" width="7.75" style="255" customWidth="1"/>
    <col min="1821" max="1821" width="7.125" style="255" customWidth="1"/>
    <col min="1822" max="1822" width="12.125" style="255" customWidth="1"/>
    <col min="1823" max="1823" width="8.25" style="255" customWidth="1"/>
    <col min="1824" max="1825" width="10.375" style="255" customWidth="1"/>
    <col min="1826" max="1826" width="15.625" style="255" customWidth="1"/>
    <col min="1827" max="1827" width="15.875" style="255" customWidth="1"/>
    <col min="1828" max="1828" width="8.125" style="255" customWidth="1"/>
    <col min="1829" max="1832" width="10.375" style="255" customWidth="1"/>
    <col min="1833" max="1833" width="7.25" style="255" customWidth="1"/>
    <col min="1834" max="1834" width="7.125" style="255" customWidth="1"/>
    <col min="1835" max="1835" width="9.5" style="255" customWidth="1"/>
    <col min="1836" max="1837" width="9" style="255" customWidth="1"/>
    <col min="1838" max="1838" width="16.125" style="255" customWidth="1"/>
    <col min="1839" max="1869" width="9" style="255" customWidth="1"/>
    <col min="1870" max="2029" width="25.25" style="255"/>
    <col min="2030" max="2059" width="9" style="255" customWidth="1"/>
    <col min="2060" max="2060" width="0.5" style="255" customWidth="1"/>
    <col min="2061" max="2061" width="25.25" style="255"/>
    <col min="2062" max="2062" width="0.5" style="255" customWidth="1"/>
    <col min="2063" max="2063" width="25.25" style="255"/>
    <col min="2064" max="2064" width="14.75" style="255" customWidth="1"/>
    <col min="2065" max="2065" width="11.5" style="255" customWidth="1"/>
    <col min="2066" max="2066" width="11.25" style="255" customWidth="1"/>
    <col min="2067" max="2067" width="10.75" style="255" customWidth="1"/>
    <col min="2068" max="2068" width="10" style="255" customWidth="1"/>
    <col min="2069" max="2069" width="9.875" style="255" customWidth="1"/>
    <col min="2070" max="2070" width="26.125" style="255" customWidth="1"/>
    <col min="2071" max="2071" width="11.125" style="255" customWidth="1"/>
    <col min="2072" max="2072" width="7.875" style="255" customWidth="1"/>
    <col min="2073" max="2073" width="7.25" style="255" customWidth="1"/>
    <col min="2074" max="2074" width="9.125" style="255" customWidth="1"/>
    <col min="2075" max="2075" width="15.125" style="255" customWidth="1"/>
    <col min="2076" max="2076" width="7.75" style="255" customWidth="1"/>
    <col min="2077" max="2077" width="7.125" style="255" customWidth="1"/>
    <col min="2078" max="2078" width="12.125" style="255" customWidth="1"/>
    <col min="2079" max="2079" width="8.25" style="255" customWidth="1"/>
    <col min="2080" max="2081" width="10.375" style="255" customWidth="1"/>
    <col min="2082" max="2082" width="15.625" style="255" customWidth="1"/>
    <col min="2083" max="2083" width="15.875" style="255" customWidth="1"/>
    <col min="2084" max="2084" width="8.125" style="255" customWidth="1"/>
    <col min="2085" max="2088" width="10.375" style="255" customWidth="1"/>
    <col min="2089" max="2089" width="7.25" style="255" customWidth="1"/>
    <col min="2090" max="2090" width="7.125" style="255" customWidth="1"/>
    <col min="2091" max="2091" width="9.5" style="255" customWidth="1"/>
    <col min="2092" max="2093" width="9" style="255" customWidth="1"/>
    <col min="2094" max="2094" width="16.125" style="255" customWidth="1"/>
    <col min="2095" max="2125" width="9" style="255" customWidth="1"/>
    <col min="2126" max="2285" width="25.25" style="255"/>
    <col min="2286" max="2315" width="9" style="255" customWidth="1"/>
    <col min="2316" max="2316" width="0.5" style="255" customWidth="1"/>
    <col min="2317" max="2317" width="25.25" style="255"/>
    <col min="2318" max="2318" width="0.5" style="255" customWidth="1"/>
    <col min="2319" max="2319" width="25.25" style="255"/>
    <col min="2320" max="2320" width="14.75" style="255" customWidth="1"/>
    <col min="2321" max="2321" width="11.5" style="255" customWidth="1"/>
    <col min="2322" max="2322" width="11.25" style="255" customWidth="1"/>
    <col min="2323" max="2323" width="10.75" style="255" customWidth="1"/>
    <col min="2324" max="2324" width="10" style="255" customWidth="1"/>
    <col min="2325" max="2325" width="9.875" style="255" customWidth="1"/>
    <col min="2326" max="2326" width="26.125" style="255" customWidth="1"/>
    <col min="2327" max="2327" width="11.125" style="255" customWidth="1"/>
    <col min="2328" max="2328" width="7.875" style="255" customWidth="1"/>
    <col min="2329" max="2329" width="7.25" style="255" customWidth="1"/>
    <col min="2330" max="2330" width="9.125" style="255" customWidth="1"/>
    <col min="2331" max="2331" width="15.125" style="255" customWidth="1"/>
    <col min="2332" max="2332" width="7.75" style="255" customWidth="1"/>
    <col min="2333" max="2333" width="7.125" style="255" customWidth="1"/>
    <col min="2334" max="2334" width="12.125" style="255" customWidth="1"/>
    <col min="2335" max="2335" width="8.25" style="255" customWidth="1"/>
    <col min="2336" max="2337" width="10.375" style="255" customWidth="1"/>
    <col min="2338" max="2338" width="15.625" style="255" customWidth="1"/>
    <col min="2339" max="2339" width="15.875" style="255" customWidth="1"/>
    <col min="2340" max="2340" width="8.125" style="255" customWidth="1"/>
    <col min="2341" max="2344" width="10.375" style="255" customWidth="1"/>
    <col min="2345" max="2345" width="7.25" style="255" customWidth="1"/>
    <col min="2346" max="2346" width="7.125" style="255" customWidth="1"/>
    <col min="2347" max="2347" width="9.5" style="255" customWidth="1"/>
    <col min="2348" max="2349" width="9" style="255" customWidth="1"/>
    <col min="2350" max="2350" width="16.125" style="255" customWidth="1"/>
    <col min="2351" max="2381" width="9" style="255" customWidth="1"/>
    <col min="2382" max="2541" width="25.25" style="255"/>
    <col min="2542" max="2571" width="9" style="255" customWidth="1"/>
    <col min="2572" max="2572" width="0.5" style="255" customWidth="1"/>
    <col min="2573" max="2573" width="25.25" style="255"/>
    <col min="2574" max="2574" width="0.5" style="255" customWidth="1"/>
    <col min="2575" max="2575" width="25.25" style="255"/>
    <col min="2576" max="2576" width="14.75" style="255" customWidth="1"/>
    <col min="2577" max="2577" width="11.5" style="255" customWidth="1"/>
    <col min="2578" max="2578" width="11.25" style="255" customWidth="1"/>
    <col min="2579" max="2579" width="10.75" style="255" customWidth="1"/>
    <col min="2580" max="2580" width="10" style="255" customWidth="1"/>
    <col min="2581" max="2581" width="9.875" style="255" customWidth="1"/>
    <col min="2582" max="2582" width="26.125" style="255" customWidth="1"/>
    <col min="2583" max="2583" width="11.125" style="255" customWidth="1"/>
    <col min="2584" max="2584" width="7.875" style="255" customWidth="1"/>
    <col min="2585" max="2585" width="7.25" style="255" customWidth="1"/>
    <col min="2586" max="2586" width="9.125" style="255" customWidth="1"/>
    <col min="2587" max="2587" width="15.125" style="255" customWidth="1"/>
    <col min="2588" max="2588" width="7.75" style="255" customWidth="1"/>
    <col min="2589" max="2589" width="7.125" style="255" customWidth="1"/>
    <col min="2590" max="2590" width="12.125" style="255" customWidth="1"/>
    <col min="2591" max="2591" width="8.25" style="255" customWidth="1"/>
    <col min="2592" max="2593" width="10.375" style="255" customWidth="1"/>
    <col min="2594" max="2594" width="15.625" style="255" customWidth="1"/>
    <col min="2595" max="2595" width="15.875" style="255" customWidth="1"/>
    <col min="2596" max="2596" width="8.125" style="255" customWidth="1"/>
    <col min="2597" max="2600" width="10.375" style="255" customWidth="1"/>
    <col min="2601" max="2601" width="7.25" style="255" customWidth="1"/>
    <col min="2602" max="2602" width="7.125" style="255" customWidth="1"/>
    <col min="2603" max="2603" width="9.5" style="255" customWidth="1"/>
    <col min="2604" max="2605" width="9" style="255" customWidth="1"/>
    <col min="2606" max="2606" width="16.125" style="255" customWidth="1"/>
    <col min="2607" max="2637" width="9" style="255" customWidth="1"/>
    <col min="2638" max="2797" width="25.25" style="255"/>
    <col min="2798" max="2827" width="9" style="255" customWidth="1"/>
    <col min="2828" max="2828" width="0.5" style="255" customWidth="1"/>
    <col min="2829" max="2829" width="25.25" style="255"/>
    <col min="2830" max="2830" width="0.5" style="255" customWidth="1"/>
    <col min="2831" max="2831" width="25.25" style="255"/>
    <col min="2832" max="2832" width="14.75" style="255" customWidth="1"/>
    <col min="2833" max="2833" width="11.5" style="255" customWidth="1"/>
    <col min="2834" max="2834" width="11.25" style="255" customWidth="1"/>
    <col min="2835" max="2835" width="10.75" style="255" customWidth="1"/>
    <col min="2836" max="2836" width="10" style="255" customWidth="1"/>
    <col min="2837" max="2837" width="9.875" style="255" customWidth="1"/>
    <col min="2838" max="2838" width="26.125" style="255" customWidth="1"/>
    <col min="2839" max="2839" width="11.125" style="255" customWidth="1"/>
    <col min="2840" max="2840" width="7.875" style="255" customWidth="1"/>
    <col min="2841" max="2841" width="7.25" style="255" customWidth="1"/>
    <col min="2842" max="2842" width="9.125" style="255" customWidth="1"/>
    <col min="2843" max="2843" width="15.125" style="255" customWidth="1"/>
    <col min="2844" max="2844" width="7.75" style="255" customWidth="1"/>
    <col min="2845" max="2845" width="7.125" style="255" customWidth="1"/>
    <col min="2846" max="2846" width="12.125" style="255" customWidth="1"/>
    <col min="2847" max="2847" width="8.25" style="255" customWidth="1"/>
    <col min="2848" max="2849" width="10.375" style="255" customWidth="1"/>
    <col min="2850" max="2850" width="15.625" style="255" customWidth="1"/>
    <col min="2851" max="2851" width="15.875" style="255" customWidth="1"/>
    <col min="2852" max="2852" width="8.125" style="255" customWidth="1"/>
    <col min="2853" max="2856" width="10.375" style="255" customWidth="1"/>
    <col min="2857" max="2857" width="7.25" style="255" customWidth="1"/>
    <col min="2858" max="2858" width="7.125" style="255" customWidth="1"/>
    <col min="2859" max="2859" width="9.5" style="255" customWidth="1"/>
    <col min="2860" max="2861" width="9" style="255" customWidth="1"/>
    <col min="2862" max="2862" width="16.125" style="255" customWidth="1"/>
    <col min="2863" max="2893" width="9" style="255" customWidth="1"/>
    <col min="2894" max="3053" width="25.25" style="255"/>
    <col min="3054" max="3083" width="9" style="255" customWidth="1"/>
    <col min="3084" max="3084" width="0.5" style="255" customWidth="1"/>
    <col min="3085" max="3085" width="25.25" style="255"/>
    <col min="3086" max="3086" width="0.5" style="255" customWidth="1"/>
    <col min="3087" max="3087" width="25.25" style="255"/>
    <col min="3088" max="3088" width="14.75" style="255" customWidth="1"/>
    <col min="3089" max="3089" width="11.5" style="255" customWidth="1"/>
    <col min="3090" max="3090" width="11.25" style="255" customWidth="1"/>
    <col min="3091" max="3091" width="10.75" style="255" customWidth="1"/>
    <col min="3092" max="3092" width="10" style="255" customWidth="1"/>
    <col min="3093" max="3093" width="9.875" style="255" customWidth="1"/>
    <col min="3094" max="3094" width="26.125" style="255" customWidth="1"/>
    <col min="3095" max="3095" width="11.125" style="255" customWidth="1"/>
    <col min="3096" max="3096" width="7.875" style="255" customWidth="1"/>
    <col min="3097" max="3097" width="7.25" style="255" customWidth="1"/>
    <col min="3098" max="3098" width="9.125" style="255" customWidth="1"/>
    <col min="3099" max="3099" width="15.125" style="255" customWidth="1"/>
    <col min="3100" max="3100" width="7.75" style="255" customWidth="1"/>
    <col min="3101" max="3101" width="7.125" style="255" customWidth="1"/>
    <col min="3102" max="3102" width="12.125" style="255" customWidth="1"/>
    <col min="3103" max="3103" width="8.25" style="255" customWidth="1"/>
    <col min="3104" max="3105" width="10.375" style="255" customWidth="1"/>
    <col min="3106" max="3106" width="15.625" style="255" customWidth="1"/>
    <col min="3107" max="3107" width="15.875" style="255" customWidth="1"/>
    <col min="3108" max="3108" width="8.125" style="255" customWidth="1"/>
    <col min="3109" max="3112" width="10.375" style="255" customWidth="1"/>
    <col min="3113" max="3113" width="7.25" style="255" customWidth="1"/>
    <col min="3114" max="3114" width="7.125" style="255" customWidth="1"/>
    <col min="3115" max="3115" width="9.5" style="255" customWidth="1"/>
    <col min="3116" max="3117" width="9" style="255" customWidth="1"/>
    <col min="3118" max="3118" width="16.125" style="255" customWidth="1"/>
    <col min="3119" max="3149" width="9" style="255" customWidth="1"/>
    <col min="3150" max="3309" width="25.25" style="255"/>
    <col min="3310" max="3339" width="9" style="255" customWidth="1"/>
    <col min="3340" max="3340" width="0.5" style="255" customWidth="1"/>
    <col min="3341" max="3341" width="25.25" style="255"/>
    <col min="3342" max="3342" width="0.5" style="255" customWidth="1"/>
    <col min="3343" max="3343" width="25.25" style="255"/>
    <col min="3344" max="3344" width="14.75" style="255" customWidth="1"/>
    <col min="3345" max="3345" width="11.5" style="255" customWidth="1"/>
    <col min="3346" max="3346" width="11.25" style="255" customWidth="1"/>
    <col min="3347" max="3347" width="10.75" style="255" customWidth="1"/>
    <col min="3348" max="3348" width="10" style="255" customWidth="1"/>
    <col min="3349" max="3349" width="9.875" style="255" customWidth="1"/>
    <col min="3350" max="3350" width="26.125" style="255" customWidth="1"/>
    <col min="3351" max="3351" width="11.125" style="255" customWidth="1"/>
    <col min="3352" max="3352" width="7.875" style="255" customWidth="1"/>
    <col min="3353" max="3353" width="7.25" style="255" customWidth="1"/>
    <col min="3354" max="3354" width="9.125" style="255" customWidth="1"/>
    <col min="3355" max="3355" width="15.125" style="255" customWidth="1"/>
    <col min="3356" max="3356" width="7.75" style="255" customWidth="1"/>
    <col min="3357" max="3357" width="7.125" style="255" customWidth="1"/>
    <col min="3358" max="3358" width="12.125" style="255" customWidth="1"/>
    <col min="3359" max="3359" width="8.25" style="255" customWidth="1"/>
    <col min="3360" max="3361" width="10.375" style="255" customWidth="1"/>
    <col min="3362" max="3362" width="15.625" style="255" customWidth="1"/>
    <col min="3363" max="3363" width="15.875" style="255" customWidth="1"/>
    <col min="3364" max="3364" width="8.125" style="255" customWidth="1"/>
    <col min="3365" max="3368" width="10.375" style="255" customWidth="1"/>
    <col min="3369" max="3369" width="7.25" style="255" customWidth="1"/>
    <col min="3370" max="3370" width="7.125" style="255" customWidth="1"/>
    <col min="3371" max="3371" width="9.5" style="255" customWidth="1"/>
    <col min="3372" max="3373" width="9" style="255" customWidth="1"/>
    <col min="3374" max="3374" width="16.125" style="255" customWidth="1"/>
    <col min="3375" max="3405" width="9" style="255" customWidth="1"/>
    <col min="3406" max="3565" width="25.25" style="255"/>
    <col min="3566" max="3595" width="9" style="255" customWidth="1"/>
    <col min="3596" max="3596" width="0.5" style="255" customWidth="1"/>
    <col min="3597" max="3597" width="25.25" style="255"/>
    <col min="3598" max="3598" width="0.5" style="255" customWidth="1"/>
    <col min="3599" max="3599" width="25.25" style="255"/>
    <col min="3600" max="3600" width="14.75" style="255" customWidth="1"/>
    <col min="3601" max="3601" width="11.5" style="255" customWidth="1"/>
    <col min="3602" max="3602" width="11.25" style="255" customWidth="1"/>
    <col min="3603" max="3603" width="10.75" style="255" customWidth="1"/>
    <col min="3604" max="3604" width="10" style="255" customWidth="1"/>
    <col min="3605" max="3605" width="9.875" style="255" customWidth="1"/>
    <col min="3606" max="3606" width="26.125" style="255" customWidth="1"/>
    <col min="3607" max="3607" width="11.125" style="255" customWidth="1"/>
    <col min="3608" max="3608" width="7.875" style="255" customWidth="1"/>
    <col min="3609" max="3609" width="7.25" style="255" customWidth="1"/>
    <col min="3610" max="3610" width="9.125" style="255" customWidth="1"/>
    <col min="3611" max="3611" width="15.125" style="255" customWidth="1"/>
    <col min="3612" max="3612" width="7.75" style="255" customWidth="1"/>
    <col min="3613" max="3613" width="7.125" style="255" customWidth="1"/>
    <col min="3614" max="3614" width="12.125" style="255" customWidth="1"/>
    <col min="3615" max="3615" width="8.25" style="255" customWidth="1"/>
    <col min="3616" max="3617" width="10.375" style="255" customWidth="1"/>
    <col min="3618" max="3618" width="15.625" style="255" customWidth="1"/>
    <col min="3619" max="3619" width="15.875" style="255" customWidth="1"/>
    <col min="3620" max="3620" width="8.125" style="255" customWidth="1"/>
    <col min="3621" max="3624" width="10.375" style="255" customWidth="1"/>
    <col min="3625" max="3625" width="7.25" style="255" customWidth="1"/>
    <col min="3626" max="3626" width="7.125" style="255" customWidth="1"/>
    <col min="3627" max="3627" width="9.5" style="255" customWidth="1"/>
    <col min="3628" max="3629" width="9" style="255" customWidth="1"/>
    <col min="3630" max="3630" width="16.125" style="255" customWidth="1"/>
    <col min="3631" max="3661" width="9" style="255" customWidth="1"/>
    <col min="3662" max="3821" width="25.25" style="255"/>
    <col min="3822" max="3851" width="9" style="255" customWidth="1"/>
    <col min="3852" max="3852" width="0.5" style="255" customWidth="1"/>
    <col min="3853" max="3853" width="25.25" style="255"/>
    <col min="3854" max="3854" width="0.5" style="255" customWidth="1"/>
    <col min="3855" max="3855" width="25.25" style="255"/>
    <col min="3856" max="3856" width="14.75" style="255" customWidth="1"/>
    <col min="3857" max="3857" width="11.5" style="255" customWidth="1"/>
    <col min="3858" max="3858" width="11.25" style="255" customWidth="1"/>
    <col min="3859" max="3859" width="10.75" style="255" customWidth="1"/>
    <col min="3860" max="3860" width="10" style="255" customWidth="1"/>
    <col min="3861" max="3861" width="9.875" style="255" customWidth="1"/>
    <col min="3862" max="3862" width="26.125" style="255" customWidth="1"/>
    <col min="3863" max="3863" width="11.125" style="255" customWidth="1"/>
    <col min="3864" max="3864" width="7.875" style="255" customWidth="1"/>
    <col min="3865" max="3865" width="7.25" style="255" customWidth="1"/>
    <col min="3866" max="3866" width="9.125" style="255" customWidth="1"/>
    <col min="3867" max="3867" width="15.125" style="255" customWidth="1"/>
    <col min="3868" max="3868" width="7.75" style="255" customWidth="1"/>
    <col min="3869" max="3869" width="7.125" style="255" customWidth="1"/>
    <col min="3870" max="3870" width="12.125" style="255" customWidth="1"/>
    <col min="3871" max="3871" width="8.25" style="255" customWidth="1"/>
    <col min="3872" max="3873" width="10.375" style="255" customWidth="1"/>
    <col min="3874" max="3874" width="15.625" style="255" customWidth="1"/>
    <col min="3875" max="3875" width="15.875" style="255" customWidth="1"/>
    <col min="3876" max="3876" width="8.125" style="255" customWidth="1"/>
    <col min="3877" max="3880" width="10.375" style="255" customWidth="1"/>
    <col min="3881" max="3881" width="7.25" style="255" customWidth="1"/>
    <col min="3882" max="3882" width="7.125" style="255" customWidth="1"/>
    <col min="3883" max="3883" width="9.5" style="255" customWidth="1"/>
    <col min="3884" max="3885" width="9" style="255" customWidth="1"/>
    <col min="3886" max="3886" width="16.125" style="255" customWidth="1"/>
    <col min="3887" max="3917" width="9" style="255" customWidth="1"/>
    <col min="3918" max="4077" width="25.25" style="255"/>
    <col min="4078" max="4107" width="9" style="255" customWidth="1"/>
    <col min="4108" max="4108" width="0.5" style="255" customWidth="1"/>
    <col min="4109" max="4109" width="25.25" style="255"/>
    <col min="4110" max="4110" width="0.5" style="255" customWidth="1"/>
    <col min="4111" max="4111" width="25.25" style="255"/>
    <col min="4112" max="4112" width="14.75" style="255" customWidth="1"/>
    <col min="4113" max="4113" width="11.5" style="255" customWidth="1"/>
    <col min="4114" max="4114" width="11.25" style="255" customWidth="1"/>
    <col min="4115" max="4115" width="10.75" style="255" customWidth="1"/>
    <col min="4116" max="4116" width="10" style="255" customWidth="1"/>
    <col min="4117" max="4117" width="9.875" style="255" customWidth="1"/>
    <col min="4118" max="4118" width="26.125" style="255" customWidth="1"/>
    <col min="4119" max="4119" width="11.125" style="255" customWidth="1"/>
    <col min="4120" max="4120" width="7.875" style="255" customWidth="1"/>
    <col min="4121" max="4121" width="7.25" style="255" customWidth="1"/>
    <col min="4122" max="4122" width="9.125" style="255" customWidth="1"/>
    <col min="4123" max="4123" width="15.125" style="255" customWidth="1"/>
    <col min="4124" max="4124" width="7.75" style="255" customWidth="1"/>
    <col min="4125" max="4125" width="7.125" style="255" customWidth="1"/>
    <col min="4126" max="4126" width="12.125" style="255" customWidth="1"/>
    <col min="4127" max="4127" width="8.25" style="255" customWidth="1"/>
    <col min="4128" max="4129" width="10.375" style="255" customWidth="1"/>
    <col min="4130" max="4130" width="15.625" style="255" customWidth="1"/>
    <col min="4131" max="4131" width="15.875" style="255" customWidth="1"/>
    <col min="4132" max="4132" width="8.125" style="255" customWidth="1"/>
    <col min="4133" max="4136" width="10.375" style="255" customWidth="1"/>
    <col min="4137" max="4137" width="7.25" style="255" customWidth="1"/>
    <col min="4138" max="4138" width="7.125" style="255" customWidth="1"/>
    <col min="4139" max="4139" width="9.5" style="255" customWidth="1"/>
    <col min="4140" max="4141" width="9" style="255" customWidth="1"/>
    <col min="4142" max="4142" width="16.125" style="255" customWidth="1"/>
    <col min="4143" max="4173" width="9" style="255" customWidth="1"/>
    <col min="4174" max="4333" width="25.25" style="255"/>
    <col min="4334" max="4363" width="9" style="255" customWidth="1"/>
    <col min="4364" max="4364" width="0.5" style="255" customWidth="1"/>
    <col min="4365" max="4365" width="25.25" style="255"/>
    <col min="4366" max="4366" width="0.5" style="255" customWidth="1"/>
    <col min="4367" max="4367" width="25.25" style="255"/>
    <col min="4368" max="4368" width="14.75" style="255" customWidth="1"/>
    <col min="4369" max="4369" width="11.5" style="255" customWidth="1"/>
    <col min="4370" max="4370" width="11.25" style="255" customWidth="1"/>
    <col min="4371" max="4371" width="10.75" style="255" customWidth="1"/>
    <col min="4372" max="4372" width="10" style="255" customWidth="1"/>
    <col min="4373" max="4373" width="9.875" style="255" customWidth="1"/>
    <col min="4374" max="4374" width="26.125" style="255" customWidth="1"/>
    <col min="4375" max="4375" width="11.125" style="255" customWidth="1"/>
    <col min="4376" max="4376" width="7.875" style="255" customWidth="1"/>
    <col min="4377" max="4377" width="7.25" style="255" customWidth="1"/>
    <col min="4378" max="4378" width="9.125" style="255" customWidth="1"/>
    <col min="4379" max="4379" width="15.125" style="255" customWidth="1"/>
    <col min="4380" max="4380" width="7.75" style="255" customWidth="1"/>
    <col min="4381" max="4381" width="7.125" style="255" customWidth="1"/>
    <col min="4382" max="4382" width="12.125" style="255" customWidth="1"/>
    <col min="4383" max="4383" width="8.25" style="255" customWidth="1"/>
    <col min="4384" max="4385" width="10.375" style="255" customWidth="1"/>
    <col min="4386" max="4386" width="15.625" style="255" customWidth="1"/>
    <col min="4387" max="4387" width="15.875" style="255" customWidth="1"/>
    <col min="4388" max="4388" width="8.125" style="255" customWidth="1"/>
    <col min="4389" max="4392" width="10.375" style="255" customWidth="1"/>
    <col min="4393" max="4393" width="7.25" style="255" customWidth="1"/>
    <col min="4394" max="4394" width="7.125" style="255" customWidth="1"/>
    <col min="4395" max="4395" width="9.5" style="255" customWidth="1"/>
    <col min="4396" max="4397" width="9" style="255" customWidth="1"/>
    <col min="4398" max="4398" width="16.125" style="255" customWidth="1"/>
    <col min="4399" max="4429" width="9" style="255" customWidth="1"/>
    <col min="4430" max="4589" width="25.25" style="255"/>
    <col min="4590" max="4619" width="9" style="255" customWidth="1"/>
    <col min="4620" max="4620" width="0.5" style="255" customWidth="1"/>
    <col min="4621" max="4621" width="25.25" style="255"/>
    <col min="4622" max="4622" width="0.5" style="255" customWidth="1"/>
    <col min="4623" max="4623" width="25.25" style="255"/>
    <col min="4624" max="4624" width="14.75" style="255" customWidth="1"/>
    <col min="4625" max="4625" width="11.5" style="255" customWidth="1"/>
    <col min="4626" max="4626" width="11.25" style="255" customWidth="1"/>
    <col min="4627" max="4627" width="10.75" style="255" customWidth="1"/>
    <col min="4628" max="4628" width="10" style="255" customWidth="1"/>
    <col min="4629" max="4629" width="9.875" style="255" customWidth="1"/>
    <col min="4630" max="4630" width="26.125" style="255" customWidth="1"/>
    <col min="4631" max="4631" width="11.125" style="255" customWidth="1"/>
    <col min="4632" max="4632" width="7.875" style="255" customWidth="1"/>
    <col min="4633" max="4633" width="7.25" style="255" customWidth="1"/>
    <col min="4634" max="4634" width="9.125" style="255" customWidth="1"/>
    <col min="4635" max="4635" width="15.125" style="255" customWidth="1"/>
    <col min="4636" max="4636" width="7.75" style="255" customWidth="1"/>
    <col min="4637" max="4637" width="7.125" style="255" customWidth="1"/>
    <col min="4638" max="4638" width="12.125" style="255" customWidth="1"/>
    <col min="4639" max="4639" width="8.25" style="255" customWidth="1"/>
    <col min="4640" max="4641" width="10.375" style="255" customWidth="1"/>
    <col min="4642" max="4642" width="15.625" style="255" customWidth="1"/>
    <col min="4643" max="4643" width="15.875" style="255" customWidth="1"/>
    <col min="4644" max="4644" width="8.125" style="255" customWidth="1"/>
    <col min="4645" max="4648" width="10.375" style="255" customWidth="1"/>
    <col min="4649" max="4649" width="7.25" style="255" customWidth="1"/>
    <col min="4650" max="4650" width="7.125" style="255" customWidth="1"/>
    <col min="4651" max="4651" width="9.5" style="255" customWidth="1"/>
    <col min="4652" max="4653" width="9" style="255" customWidth="1"/>
    <col min="4654" max="4654" width="16.125" style="255" customWidth="1"/>
    <col min="4655" max="4685" width="9" style="255" customWidth="1"/>
    <col min="4686" max="4845" width="25.25" style="255"/>
    <col min="4846" max="4875" width="9" style="255" customWidth="1"/>
    <col min="4876" max="4876" width="0.5" style="255" customWidth="1"/>
    <col min="4877" max="4877" width="25.25" style="255"/>
    <col min="4878" max="4878" width="0.5" style="255" customWidth="1"/>
    <col min="4879" max="4879" width="25.25" style="255"/>
    <col min="4880" max="4880" width="14.75" style="255" customWidth="1"/>
    <col min="4881" max="4881" width="11.5" style="255" customWidth="1"/>
    <col min="4882" max="4882" width="11.25" style="255" customWidth="1"/>
    <col min="4883" max="4883" width="10.75" style="255" customWidth="1"/>
    <col min="4884" max="4884" width="10" style="255" customWidth="1"/>
    <col min="4885" max="4885" width="9.875" style="255" customWidth="1"/>
    <col min="4886" max="4886" width="26.125" style="255" customWidth="1"/>
    <col min="4887" max="4887" width="11.125" style="255" customWidth="1"/>
    <col min="4888" max="4888" width="7.875" style="255" customWidth="1"/>
    <col min="4889" max="4889" width="7.25" style="255" customWidth="1"/>
    <col min="4890" max="4890" width="9.125" style="255" customWidth="1"/>
    <col min="4891" max="4891" width="15.125" style="255" customWidth="1"/>
    <col min="4892" max="4892" width="7.75" style="255" customWidth="1"/>
    <col min="4893" max="4893" width="7.125" style="255" customWidth="1"/>
    <col min="4894" max="4894" width="12.125" style="255" customWidth="1"/>
    <col min="4895" max="4895" width="8.25" style="255" customWidth="1"/>
    <col min="4896" max="4897" width="10.375" style="255" customWidth="1"/>
    <col min="4898" max="4898" width="15.625" style="255" customWidth="1"/>
    <col min="4899" max="4899" width="15.875" style="255" customWidth="1"/>
    <col min="4900" max="4900" width="8.125" style="255" customWidth="1"/>
    <col min="4901" max="4904" width="10.375" style="255" customWidth="1"/>
    <col min="4905" max="4905" width="7.25" style="255" customWidth="1"/>
    <col min="4906" max="4906" width="7.125" style="255" customWidth="1"/>
    <col min="4907" max="4907" width="9.5" style="255" customWidth="1"/>
    <col min="4908" max="4909" width="9" style="255" customWidth="1"/>
    <col min="4910" max="4910" width="16.125" style="255" customWidth="1"/>
    <col min="4911" max="4941" width="9" style="255" customWidth="1"/>
    <col min="4942" max="5101" width="25.25" style="255"/>
    <col min="5102" max="5131" width="9" style="255" customWidth="1"/>
    <col min="5132" max="5132" width="0.5" style="255" customWidth="1"/>
    <col min="5133" max="5133" width="25.25" style="255"/>
    <col min="5134" max="5134" width="0.5" style="255" customWidth="1"/>
    <col min="5135" max="5135" width="25.25" style="255"/>
    <col min="5136" max="5136" width="14.75" style="255" customWidth="1"/>
    <col min="5137" max="5137" width="11.5" style="255" customWidth="1"/>
    <col min="5138" max="5138" width="11.25" style="255" customWidth="1"/>
    <col min="5139" max="5139" width="10.75" style="255" customWidth="1"/>
    <col min="5140" max="5140" width="10" style="255" customWidth="1"/>
    <col min="5141" max="5141" width="9.875" style="255" customWidth="1"/>
    <col min="5142" max="5142" width="26.125" style="255" customWidth="1"/>
    <col min="5143" max="5143" width="11.125" style="255" customWidth="1"/>
    <col min="5144" max="5144" width="7.875" style="255" customWidth="1"/>
    <col min="5145" max="5145" width="7.25" style="255" customWidth="1"/>
    <col min="5146" max="5146" width="9.125" style="255" customWidth="1"/>
    <col min="5147" max="5147" width="15.125" style="255" customWidth="1"/>
    <col min="5148" max="5148" width="7.75" style="255" customWidth="1"/>
    <col min="5149" max="5149" width="7.125" style="255" customWidth="1"/>
    <col min="5150" max="5150" width="12.125" style="255" customWidth="1"/>
    <col min="5151" max="5151" width="8.25" style="255" customWidth="1"/>
    <col min="5152" max="5153" width="10.375" style="255" customWidth="1"/>
    <col min="5154" max="5154" width="15.625" style="255" customWidth="1"/>
    <col min="5155" max="5155" width="15.875" style="255" customWidth="1"/>
    <col min="5156" max="5156" width="8.125" style="255" customWidth="1"/>
    <col min="5157" max="5160" width="10.375" style="255" customWidth="1"/>
    <col min="5161" max="5161" width="7.25" style="255" customWidth="1"/>
    <col min="5162" max="5162" width="7.125" style="255" customWidth="1"/>
    <col min="5163" max="5163" width="9.5" style="255" customWidth="1"/>
    <col min="5164" max="5165" width="9" style="255" customWidth="1"/>
    <col min="5166" max="5166" width="16.125" style="255" customWidth="1"/>
    <col min="5167" max="5197" width="9" style="255" customWidth="1"/>
    <col min="5198" max="5357" width="25.25" style="255"/>
    <col min="5358" max="5387" width="9" style="255" customWidth="1"/>
    <col min="5388" max="5388" width="0.5" style="255" customWidth="1"/>
    <col min="5389" max="5389" width="25.25" style="255"/>
    <col min="5390" max="5390" width="0.5" style="255" customWidth="1"/>
    <col min="5391" max="5391" width="25.25" style="255"/>
    <col min="5392" max="5392" width="14.75" style="255" customWidth="1"/>
    <col min="5393" max="5393" width="11.5" style="255" customWidth="1"/>
    <col min="5394" max="5394" width="11.25" style="255" customWidth="1"/>
    <col min="5395" max="5395" width="10.75" style="255" customWidth="1"/>
    <col min="5396" max="5396" width="10" style="255" customWidth="1"/>
    <col min="5397" max="5397" width="9.875" style="255" customWidth="1"/>
    <col min="5398" max="5398" width="26.125" style="255" customWidth="1"/>
    <col min="5399" max="5399" width="11.125" style="255" customWidth="1"/>
    <col min="5400" max="5400" width="7.875" style="255" customWidth="1"/>
    <col min="5401" max="5401" width="7.25" style="255" customWidth="1"/>
    <col min="5402" max="5402" width="9.125" style="255" customWidth="1"/>
    <col min="5403" max="5403" width="15.125" style="255" customWidth="1"/>
    <col min="5404" max="5404" width="7.75" style="255" customWidth="1"/>
    <col min="5405" max="5405" width="7.125" style="255" customWidth="1"/>
    <col min="5406" max="5406" width="12.125" style="255" customWidth="1"/>
    <col min="5407" max="5407" width="8.25" style="255" customWidth="1"/>
    <col min="5408" max="5409" width="10.375" style="255" customWidth="1"/>
    <col min="5410" max="5410" width="15.625" style="255" customWidth="1"/>
    <col min="5411" max="5411" width="15.875" style="255" customWidth="1"/>
    <col min="5412" max="5412" width="8.125" style="255" customWidth="1"/>
    <col min="5413" max="5416" width="10.375" style="255" customWidth="1"/>
    <col min="5417" max="5417" width="7.25" style="255" customWidth="1"/>
    <col min="5418" max="5418" width="7.125" style="255" customWidth="1"/>
    <col min="5419" max="5419" width="9.5" style="255" customWidth="1"/>
    <col min="5420" max="5421" width="9" style="255" customWidth="1"/>
    <col min="5422" max="5422" width="16.125" style="255" customWidth="1"/>
    <col min="5423" max="5453" width="9" style="255" customWidth="1"/>
    <col min="5454" max="5613" width="25.25" style="255"/>
    <col min="5614" max="5643" width="9" style="255" customWidth="1"/>
    <col min="5644" max="5644" width="0.5" style="255" customWidth="1"/>
    <col min="5645" max="5645" width="25.25" style="255"/>
    <col min="5646" max="5646" width="0.5" style="255" customWidth="1"/>
    <col min="5647" max="5647" width="25.25" style="255"/>
    <col min="5648" max="5648" width="14.75" style="255" customWidth="1"/>
    <col min="5649" max="5649" width="11.5" style="255" customWidth="1"/>
    <col min="5650" max="5650" width="11.25" style="255" customWidth="1"/>
    <col min="5651" max="5651" width="10.75" style="255" customWidth="1"/>
    <col min="5652" max="5652" width="10" style="255" customWidth="1"/>
    <col min="5653" max="5653" width="9.875" style="255" customWidth="1"/>
    <col min="5654" max="5654" width="26.125" style="255" customWidth="1"/>
    <col min="5655" max="5655" width="11.125" style="255" customWidth="1"/>
    <col min="5656" max="5656" width="7.875" style="255" customWidth="1"/>
    <col min="5657" max="5657" width="7.25" style="255" customWidth="1"/>
    <col min="5658" max="5658" width="9.125" style="255" customWidth="1"/>
    <col min="5659" max="5659" width="15.125" style="255" customWidth="1"/>
    <col min="5660" max="5660" width="7.75" style="255" customWidth="1"/>
    <col min="5661" max="5661" width="7.125" style="255" customWidth="1"/>
    <col min="5662" max="5662" width="12.125" style="255" customWidth="1"/>
    <col min="5663" max="5663" width="8.25" style="255" customWidth="1"/>
    <col min="5664" max="5665" width="10.375" style="255" customWidth="1"/>
    <col min="5666" max="5666" width="15.625" style="255" customWidth="1"/>
    <col min="5667" max="5667" width="15.875" style="255" customWidth="1"/>
    <col min="5668" max="5668" width="8.125" style="255" customWidth="1"/>
    <col min="5669" max="5672" width="10.375" style="255" customWidth="1"/>
    <col min="5673" max="5673" width="7.25" style="255" customWidth="1"/>
    <col min="5674" max="5674" width="7.125" style="255" customWidth="1"/>
    <col min="5675" max="5675" width="9.5" style="255" customWidth="1"/>
    <col min="5676" max="5677" width="9" style="255" customWidth="1"/>
    <col min="5678" max="5678" width="16.125" style="255" customWidth="1"/>
    <col min="5679" max="5709" width="9" style="255" customWidth="1"/>
    <col min="5710" max="5869" width="25.25" style="255"/>
    <col min="5870" max="5899" width="9" style="255" customWidth="1"/>
    <col min="5900" max="5900" width="0.5" style="255" customWidth="1"/>
    <col min="5901" max="5901" width="25.25" style="255"/>
    <col min="5902" max="5902" width="0.5" style="255" customWidth="1"/>
    <col min="5903" max="5903" width="25.25" style="255"/>
    <col min="5904" max="5904" width="14.75" style="255" customWidth="1"/>
    <col min="5905" max="5905" width="11.5" style="255" customWidth="1"/>
    <col min="5906" max="5906" width="11.25" style="255" customWidth="1"/>
    <col min="5907" max="5907" width="10.75" style="255" customWidth="1"/>
    <col min="5908" max="5908" width="10" style="255" customWidth="1"/>
    <col min="5909" max="5909" width="9.875" style="255" customWidth="1"/>
    <col min="5910" max="5910" width="26.125" style="255" customWidth="1"/>
    <col min="5911" max="5911" width="11.125" style="255" customWidth="1"/>
    <col min="5912" max="5912" width="7.875" style="255" customWidth="1"/>
    <col min="5913" max="5913" width="7.25" style="255" customWidth="1"/>
    <col min="5914" max="5914" width="9.125" style="255" customWidth="1"/>
    <col min="5915" max="5915" width="15.125" style="255" customWidth="1"/>
    <col min="5916" max="5916" width="7.75" style="255" customWidth="1"/>
    <col min="5917" max="5917" width="7.125" style="255" customWidth="1"/>
    <col min="5918" max="5918" width="12.125" style="255" customWidth="1"/>
    <col min="5919" max="5919" width="8.25" style="255" customWidth="1"/>
    <col min="5920" max="5921" width="10.375" style="255" customWidth="1"/>
    <col min="5922" max="5922" width="15.625" style="255" customWidth="1"/>
    <col min="5923" max="5923" width="15.875" style="255" customWidth="1"/>
    <col min="5924" max="5924" width="8.125" style="255" customWidth="1"/>
    <col min="5925" max="5928" width="10.375" style="255" customWidth="1"/>
    <col min="5929" max="5929" width="7.25" style="255" customWidth="1"/>
    <col min="5930" max="5930" width="7.125" style="255" customWidth="1"/>
    <col min="5931" max="5931" width="9.5" style="255" customWidth="1"/>
    <col min="5932" max="5933" width="9" style="255" customWidth="1"/>
    <col min="5934" max="5934" width="16.125" style="255" customWidth="1"/>
    <col min="5935" max="5965" width="9" style="255" customWidth="1"/>
    <col min="5966" max="6125" width="25.25" style="255"/>
    <col min="6126" max="6155" width="9" style="255" customWidth="1"/>
    <col min="6156" max="6156" width="0.5" style="255" customWidth="1"/>
    <col min="6157" max="6157" width="25.25" style="255"/>
    <col min="6158" max="6158" width="0.5" style="255" customWidth="1"/>
    <col min="6159" max="6159" width="25.25" style="255"/>
    <col min="6160" max="6160" width="14.75" style="255" customWidth="1"/>
    <col min="6161" max="6161" width="11.5" style="255" customWidth="1"/>
    <col min="6162" max="6162" width="11.25" style="255" customWidth="1"/>
    <col min="6163" max="6163" width="10.75" style="255" customWidth="1"/>
    <col min="6164" max="6164" width="10" style="255" customWidth="1"/>
    <col min="6165" max="6165" width="9.875" style="255" customWidth="1"/>
    <col min="6166" max="6166" width="26.125" style="255" customWidth="1"/>
    <col min="6167" max="6167" width="11.125" style="255" customWidth="1"/>
    <col min="6168" max="6168" width="7.875" style="255" customWidth="1"/>
    <col min="6169" max="6169" width="7.25" style="255" customWidth="1"/>
    <col min="6170" max="6170" width="9.125" style="255" customWidth="1"/>
    <col min="6171" max="6171" width="15.125" style="255" customWidth="1"/>
    <col min="6172" max="6172" width="7.75" style="255" customWidth="1"/>
    <col min="6173" max="6173" width="7.125" style="255" customWidth="1"/>
    <col min="6174" max="6174" width="12.125" style="255" customWidth="1"/>
    <col min="6175" max="6175" width="8.25" style="255" customWidth="1"/>
    <col min="6176" max="6177" width="10.375" style="255" customWidth="1"/>
    <col min="6178" max="6178" width="15.625" style="255" customWidth="1"/>
    <col min="6179" max="6179" width="15.875" style="255" customWidth="1"/>
    <col min="6180" max="6180" width="8.125" style="255" customWidth="1"/>
    <col min="6181" max="6184" width="10.375" style="255" customWidth="1"/>
    <col min="6185" max="6185" width="7.25" style="255" customWidth="1"/>
    <col min="6186" max="6186" width="7.125" style="255" customWidth="1"/>
    <col min="6187" max="6187" width="9.5" style="255" customWidth="1"/>
    <col min="6188" max="6189" width="9" style="255" customWidth="1"/>
    <col min="6190" max="6190" width="16.125" style="255" customWidth="1"/>
    <col min="6191" max="6221" width="9" style="255" customWidth="1"/>
    <col min="6222" max="6381" width="25.25" style="255"/>
    <col min="6382" max="6411" width="9" style="255" customWidth="1"/>
    <col min="6412" max="6412" width="0.5" style="255" customWidth="1"/>
    <col min="6413" max="6413" width="25.25" style="255"/>
    <col min="6414" max="6414" width="0.5" style="255" customWidth="1"/>
    <col min="6415" max="6415" width="25.25" style="255"/>
    <col min="6416" max="6416" width="14.75" style="255" customWidth="1"/>
    <col min="6417" max="6417" width="11.5" style="255" customWidth="1"/>
    <col min="6418" max="6418" width="11.25" style="255" customWidth="1"/>
    <col min="6419" max="6419" width="10.75" style="255" customWidth="1"/>
    <col min="6420" max="6420" width="10" style="255" customWidth="1"/>
    <col min="6421" max="6421" width="9.875" style="255" customWidth="1"/>
    <col min="6422" max="6422" width="26.125" style="255" customWidth="1"/>
    <col min="6423" max="6423" width="11.125" style="255" customWidth="1"/>
    <col min="6424" max="6424" width="7.875" style="255" customWidth="1"/>
    <col min="6425" max="6425" width="7.25" style="255" customWidth="1"/>
    <col min="6426" max="6426" width="9.125" style="255" customWidth="1"/>
    <col min="6427" max="6427" width="15.125" style="255" customWidth="1"/>
    <col min="6428" max="6428" width="7.75" style="255" customWidth="1"/>
    <col min="6429" max="6429" width="7.125" style="255" customWidth="1"/>
    <col min="6430" max="6430" width="12.125" style="255" customWidth="1"/>
    <col min="6431" max="6431" width="8.25" style="255" customWidth="1"/>
    <col min="6432" max="6433" width="10.375" style="255" customWidth="1"/>
    <col min="6434" max="6434" width="15.625" style="255" customWidth="1"/>
    <col min="6435" max="6435" width="15.875" style="255" customWidth="1"/>
    <col min="6436" max="6436" width="8.125" style="255" customWidth="1"/>
    <col min="6437" max="6440" width="10.375" style="255" customWidth="1"/>
    <col min="6441" max="6441" width="7.25" style="255" customWidth="1"/>
    <col min="6442" max="6442" width="7.125" style="255" customWidth="1"/>
    <col min="6443" max="6443" width="9.5" style="255" customWidth="1"/>
    <col min="6444" max="6445" width="9" style="255" customWidth="1"/>
    <col min="6446" max="6446" width="16.125" style="255" customWidth="1"/>
    <col min="6447" max="6477" width="9" style="255" customWidth="1"/>
    <col min="6478" max="6637" width="25.25" style="255"/>
    <col min="6638" max="6667" width="9" style="255" customWidth="1"/>
    <col min="6668" max="6668" width="0.5" style="255" customWidth="1"/>
    <col min="6669" max="6669" width="25.25" style="255"/>
    <col min="6670" max="6670" width="0.5" style="255" customWidth="1"/>
    <col min="6671" max="6671" width="25.25" style="255"/>
    <col min="6672" max="6672" width="14.75" style="255" customWidth="1"/>
    <col min="6673" max="6673" width="11.5" style="255" customWidth="1"/>
    <col min="6674" max="6674" width="11.25" style="255" customWidth="1"/>
    <col min="6675" max="6675" width="10.75" style="255" customWidth="1"/>
    <col min="6676" max="6676" width="10" style="255" customWidth="1"/>
    <col min="6677" max="6677" width="9.875" style="255" customWidth="1"/>
    <col min="6678" max="6678" width="26.125" style="255" customWidth="1"/>
    <col min="6679" max="6679" width="11.125" style="255" customWidth="1"/>
    <col min="6680" max="6680" width="7.875" style="255" customWidth="1"/>
    <col min="6681" max="6681" width="7.25" style="255" customWidth="1"/>
    <col min="6682" max="6682" width="9.125" style="255" customWidth="1"/>
    <col min="6683" max="6683" width="15.125" style="255" customWidth="1"/>
    <col min="6684" max="6684" width="7.75" style="255" customWidth="1"/>
    <col min="6685" max="6685" width="7.125" style="255" customWidth="1"/>
    <col min="6686" max="6686" width="12.125" style="255" customWidth="1"/>
    <col min="6687" max="6687" width="8.25" style="255" customWidth="1"/>
    <col min="6688" max="6689" width="10.375" style="255" customWidth="1"/>
    <col min="6690" max="6690" width="15.625" style="255" customWidth="1"/>
    <col min="6691" max="6691" width="15.875" style="255" customWidth="1"/>
    <col min="6692" max="6692" width="8.125" style="255" customWidth="1"/>
    <col min="6693" max="6696" width="10.375" style="255" customWidth="1"/>
    <col min="6697" max="6697" width="7.25" style="255" customWidth="1"/>
    <col min="6698" max="6698" width="7.125" style="255" customWidth="1"/>
    <col min="6699" max="6699" width="9.5" style="255" customWidth="1"/>
    <col min="6700" max="6701" width="9" style="255" customWidth="1"/>
    <col min="6702" max="6702" width="16.125" style="255" customWidth="1"/>
    <col min="6703" max="6733" width="9" style="255" customWidth="1"/>
    <col min="6734" max="6893" width="25.25" style="255"/>
    <col min="6894" max="6923" width="9" style="255" customWidth="1"/>
    <col min="6924" max="6924" width="0.5" style="255" customWidth="1"/>
    <col min="6925" max="6925" width="25.25" style="255"/>
    <col min="6926" max="6926" width="0.5" style="255" customWidth="1"/>
    <col min="6927" max="6927" width="25.25" style="255"/>
    <col min="6928" max="6928" width="14.75" style="255" customWidth="1"/>
    <col min="6929" max="6929" width="11.5" style="255" customWidth="1"/>
    <col min="6930" max="6930" width="11.25" style="255" customWidth="1"/>
    <col min="6931" max="6931" width="10.75" style="255" customWidth="1"/>
    <col min="6932" max="6932" width="10" style="255" customWidth="1"/>
    <col min="6933" max="6933" width="9.875" style="255" customWidth="1"/>
    <col min="6934" max="6934" width="26.125" style="255" customWidth="1"/>
    <col min="6935" max="6935" width="11.125" style="255" customWidth="1"/>
    <col min="6936" max="6936" width="7.875" style="255" customWidth="1"/>
    <col min="6937" max="6937" width="7.25" style="255" customWidth="1"/>
    <col min="6938" max="6938" width="9.125" style="255" customWidth="1"/>
    <col min="6939" max="6939" width="15.125" style="255" customWidth="1"/>
    <col min="6940" max="6940" width="7.75" style="255" customWidth="1"/>
    <col min="6941" max="6941" width="7.125" style="255" customWidth="1"/>
    <col min="6942" max="6942" width="12.125" style="255" customWidth="1"/>
    <col min="6943" max="6943" width="8.25" style="255" customWidth="1"/>
    <col min="6944" max="6945" width="10.375" style="255" customWidth="1"/>
    <col min="6946" max="6946" width="15.625" style="255" customWidth="1"/>
    <col min="6947" max="6947" width="15.875" style="255" customWidth="1"/>
    <col min="6948" max="6948" width="8.125" style="255" customWidth="1"/>
    <col min="6949" max="6952" width="10.375" style="255" customWidth="1"/>
    <col min="6953" max="6953" width="7.25" style="255" customWidth="1"/>
    <col min="6954" max="6954" width="7.125" style="255" customWidth="1"/>
    <col min="6955" max="6955" width="9.5" style="255" customWidth="1"/>
    <col min="6956" max="6957" width="9" style="255" customWidth="1"/>
    <col min="6958" max="6958" width="16.125" style="255" customWidth="1"/>
    <col min="6959" max="6989" width="9" style="255" customWidth="1"/>
    <col min="6990" max="7149" width="25.25" style="255"/>
    <col min="7150" max="7179" width="9" style="255" customWidth="1"/>
    <col min="7180" max="7180" width="0.5" style="255" customWidth="1"/>
    <col min="7181" max="7181" width="25.25" style="255"/>
    <col min="7182" max="7182" width="0.5" style="255" customWidth="1"/>
    <col min="7183" max="7183" width="25.25" style="255"/>
    <col min="7184" max="7184" width="14.75" style="255" customWidth="1"/>
    <col min="7185" max="7185" width="11.5" style="255" customWidth="1"/>
    <col min="7186" max="7186" width="11.25" style="255" customWidth="1"/>
    <col min="7187" max="7187" width="10.75" style="255" customWidth="1"/>
    <col min="7188" max="7188" width="10" style="255" customWidth="1"/>
    <col min="7189" max="7189" width="9.875" style="255" customWidth="1"/>
    <col min="7190" max="7190" width="26.125" style="255" customWidth="1"/>
    <col min="7191" max="7191" width="11.125" style="255" customWidth="1"/>
    <col min="7192" max="7192" width="7.875" style="255" customWidth="1"/>
    <col min="7193" max="7193" width="7.25" style="255" customWidth="1"/>
    <col min="7194" max="7194" width="9.125" style="255" customWidth="1"/>
    <col min="7195" max="7195" width="15.125" style="255" customWidth="1"/>
    <col min="7196" max="7196" width="7.75" style="255" customWidth="1"/>
    <col min="7197" max="7197" width="7.125" style="255" customWidth="1"/>
    <col min="7198" max="7198" width="12.125" style="255" customWidth="1"/>
    <col min="7199" max="7199" width="8.25" style="255" customWidth="1"/>
    <col min="7200" max="7201" width="10.375" style="255" customWidth="1"/>
    <col min="7202" max="7202" width="15.625" style="255" customWidth="1"/>
    <col min="7203" max="7203" width="15.875" style="255" customWidth="1"/>
    <col min="7204" max="7204" width="8.125" style="255" customWidth="1"/>
    <col min="7205" max="7208" width="10.375" style="255" customWidth="1"/>
    <col min="7209" max="7209" width="7.25" style="255" customWidth="1"/>
    <col min="7210" max="7210" width="7.125" style="255" customWidth="1"/>
    <col min="7211" max="7211" width="9.5" style="255" customWidth="1"/>
    <col min="7212" max="7213" width="9" style="255" customWidth="1"/>
    <col min="7214" max="7214" width="16.125" style="255" customWidth="1"/>
    <col min="7215" max="7245" width="9" style="255" customWidth="1"/>
    <col min="7246" max="7405" width="25.25" style="255"/>
    <col min="7406" max="7435" width="9" style="255" customWidth="1"/>
    <col min="7436" max="7436" width="0.5" style="255" customWidth="1"/>
    <col min="7437" max="7437" width="25.25" style="255"/>
    <col min="7438" max="7438" width="0.5" style="255" customWidth="1"/>
    <col min="7439" max="7439" width="25.25" style="255"/>
    <col min="7440" max="7440" width="14.75" style="255" customWidth="1"/>
    <col min="7441" max="7441" width="11.5" style="255" customWidth="1"/>
    <col min="7442" max="7442" width="11.25" style="255" customWidth="1"/>
    <col min="7443" max="7443" width="10.75" style="255" customWidth="1"/>
    <col min="7444" max="7444" width="10" style="255" customWidth="1"/>
    <col min="7445" max="7445" width="9.875" style="255" customWidth="1"/>
    <col min="7446" max="7446" width="26.125" style="255" customWidth="1"/>
    <col min="7447" max="7447" width="11.125" style="255" customWidth="1"/>
    <col min="7448" max="7448" width="7.875" style="255" customWidth="1"/>
    <col min="7449" max="7449" width="7.25" style="255" customWidth="1"/>
    <col min="7450" max="7450" width="9.125" style="255" customWidth="1"/>
    <col min="7451" max="7451" width="15.125" style="255" customWidth="1"/>
    <col min="7452" max="7452" width="7.75" style="255" customWidth="1"/>
    <col min="7453" max="7453" width="7.125" style="255" customWidth="1"/>
    <col min="7454" max="7454" width="12.125" style="255" customWidth="1"/>
    <col min="7455" max="7455" width="8.25" style="255" customWidth="1"/>
    <col min="7456" max="7457" width="10.375" style="255" customWidth="1"/>
    <col min="7458" max="7458" width="15.625" style="255" customWidth="1"/>
    <col min="7459" max="7459" width="15.875" style="255" customWidth="1"/>
    <col min="7460" max="7460" width="8.125" style="255" customWidth="1"/>
    <col min="7461" max="7464" width="10.375" style="255" customWidth="1"/>
    <col min="7465" max="7465" width="7.25" style="255" customWidth="1"/>
    <col min="7466" max="7466" width="7.125" style="255" customWidth="1"/>
    <col min="7467" max="7467" width="9.5" style="255" customWidth="1"/>
    <col min="7468" max="7469" width="9" style="255" customWidth="1"/>
    <col min="7470" max="7470" width="16.125" style="255" customWidth="1"/>
    <col min="7471" max="7501" width="9" style="255" customWidth="1"/>
    <col min="7502" max="7661" width="25.25" style="255"/>
    <col min="7662" max="7691" width="9" style="255" customWidth="1"/>
    <col min="7692" max="7692" width="0.5" style="255" customWidth="1"/>
    <col min="7693" max="7693" width="25.25" style="255"/>
    <col min="7694" max="7694" width="0.5" style="255" customWidth="1"/>
    <col min="7695" max="7695" width="25.25" style="255"/>
    <col min="7696" max="7696" width="14.75" style="255" customWidth="1"/>
    <col min="7697" max="7697" width="11.5" style="255" customWidth="1"/>
    <col min="7698" max="7698" width="11.25" style="255" customWidth="1"/>
    <col min="7699" max="7699" width="10.75" style="255" customWidth="1"/>
    <col min="7700" max="7700" width="10" style="255" customWidth="1"/>
    <col min="7701" max="7701" width="9.875" style="255" customWidth="1"/>
    <col min="7702" max="7702" width="26.125" style="255" customWidth="1"/>
    <col min="7703" max="7703" width="11.125" style="255" customWidth="1"/>
    <col min="7704" max="7704" width="7.875" style="255" customWidth="1"/>
    <col min="7705" max="7705" width="7.25" style="255" customWidth="1"/>
    <col min="7706" max="7706" width="9.125" style="255" customWidth="1"/>
    <col min="7707" max="7707" width="15.125" style="255" customWidth="1"/>
    <col min="7708" max="7708" width="7.75" style="255" customWidth="1"/>
    <col min="7709" max="7709" width="7.125" style="255" customWidth="1"/>
    <col min="7710" max="7710" width="12.125" style="255" customWidth="1"/>
    <col min="7711" max="7711" width="8.25" style="255" customWidth="1"/>
    <col min="7712" max="7713" width="10.375" style="255" customWidth="1"/>
    <col min="7714" max="7714" width="15.625" style="255" customWidth="1"/>
    <col min="7715" max="7715" width="15.875" style="255" customWidth="1"/>
    <col min="7716" max="7716" width="8.125" style="255" customWidth="1"/>
    <col min="7717" max="7720" width="10.375" style="255" customWidth="1"/>
    <col min="7721" max="7721" width="7.25" style="255" customWidth="1"/>
    <col min="7722" max="7722" width="7.125" style="255" customWidth="1"/>
    <col min="7723" max="7723" width="9.5" style="255" customWidth="1"/>
    <col min="7724" max="7725" width="9" style="255" customWidth="1"/>
    <col min="7726" max="7726" width="16.125" style="255" customWidth="1"/>
    <col min="7727" max="7757" width="9" style="255" customWidth="1"/>
    <col min="7758" max="7917" width="25.25" style="255"/>
    <col min="7918" max="7947" width="9" style="255" customWidth="1"/>
    <col min="7948" max="7948" width="0.5" style="255" customWidth="1"/>
    <col min="7949" max="7949" width="25.25" style="255"/>
    <col min="7950" max="7950" width="0.5" style="255" customWidth="1"/>
    <col min="7951" max="7951" width="25.25" style="255"/>
    <col min="7952" max="7952" width="14.75" style="255" customWidth="1"/>
    <col min="7953" max="7953" width="11.5" style="255" customWidth="1"/>
    <col min="7954" max="7954" width="11.25" style="255" customWidth="1"/>
    <col min="7955" max="7955" width="10.75" style="255" customWidth="1"/>
    <col min="7956" max="7956" width="10" style="255" customWidth="1"/>
    <col min="7957" max="7957" width="9.875" style="255" customWidth="1"/>
    <col min="7958" max="7958" width="26.125" style="255" customWidth="1"/>
    <col min="7959" max="7959" width="11.125" style="255" customWidth="1"/>
    <col min="7960" max="7960" width="7.875" style="255" customWidth="1"/>
    <col min="7961" max="7961" width="7.25" style="255" customWidth="1"/>
    <col min="7962" max="7962" width="9.125" style="255" customWidth="1"/>
    <col min="7963" max="7963" width="15.125" style="255" customWidth="1"/>
    <col min="7964" max="7964" width="7.75" style="255" customWidth="1"/>
    <col min="7965" max="7965" width="7.125" style="255" customWidth="1"/>
    <col min="7966" max="7966" width="12.125" style="255" customWidth="1"/>
    <col min="7967" max="7967" width="8.25" style="255" customWidth="1"/>
    <col min="7968" max="7969" width="10.375" style="255" customWidth="1"/>
    <col min="7970" max="7970" width="15.625" style="255" customWidth="1"/>
    <col min="7971" max="7971" width="15.875" style="255" customWidth="1"/>
    <col min="7972" max="7972" width="8.125" style="255" customWidth="1"/>
    <col min="7973" max="7976" width="10.375" style="255" customWidth="1"/>
    <col min="7977" max="7977" width="7.25" style="255" customWidth="1"/>
    <col min="7978" max="7978" width="7.125" style="255" customWidth="1"/>
    <col min="7979" max="7979" width="9.5" style="255" customWidth="1"/>
    <col min="7980" max="7981" width="9" style="255" customWidth="1"/>
    <col min="7982" max="7982" width="16.125" style="255" customWidth="1"/>
    <col min="7983" max="8013" width="9" style="255" customWidth="1"/>
    <col min="8014" max="8173" width="25.25" style="255"/>
    <col min="8174" max="8203" width="9" style="255" customWidth="1"/>
    <col min="8204" max="8204" width="0.5" style="255" customWidth="1"/>
    <col min="8205" max="8205" width="25.25" style="255"/>
    <col min="8206" max="8206" width="0.5" style="255" customWidth="1"/>
    <col min="8207" max="8207" width="25.25" style="255"/>
    <col min="8208" max="8208" width="14.75" style="255" customWidth="1"/>
    <col min="8209" max="8209" width="11.5" style="255" customWidth="1"/>
    <col min="8210" max="8210" width="11.25" style="255" customWidth="1"/>
    <col min="8211" max="8211" width="10.75" style="255" customWidth="1"/>
    <col min="8212" max="8212" width="10" style="255" customWidth="1"/>
    <col min="8213" max="8213" width="9.875" style="255" customWidth="1"/>
    <col min="8214" max="8214" width="26.125" style="255" customWidth="1"/>
    <col min="8215" max="8215" width="11.125" style="255" customWidth="1"/>
    <col min="8216" max="8216" width="7.875" style="255" customWidth="1"/>
    <col min="8217" max="8217" width="7.25" style="255" customWidth="1"/>
    <col min="8218" max="8218" width="9.125" style="255" customWidth="1"/>
    <col min="8219" max="8219" width="15.125" style="255" customWidth="1"/>
    <col min="8220" max="8220" width="7.75" style="255" customWidth="1"/>
    <col min="8221" max="8221" width="7.125" style="255" customWidth="1"/>
    <col min="8222" max="8222" width="12.125" style="255" customWidth="1"/>
    <col min="8223" max="8223" width="8.25" style="255" customWidth="1"/>
    <col min="8224" max="8225" width="10.375" style="255" customWidth="1"/>
    <col min="8226" max="8226" width="15.625" style="255" customWidth="1"/>
    <col min="8227" max="8227" width="15.875" style="255" customWidth="1"/>
    <col min="8228" max="8228" width="8.125" style="255" customWidth="1"/>
    <col min="8229" max="8232" width="10.375" style="255" customWidth="1"/>
    <col min="8233" max="8233" width="7.25" style="255" customWidth="1"/>
    <col min="8234" max="8234" width="7.125" style="255" customWidth="1"/>
    <col min="8235" max="8235" width="9.5" style="255" customWidth="1"/>
    <col min="8236" max="8237" width="9" style="255" customWidth="1"/>
    <col min="8238" max="8238" width="16.125" style="255" customWidth="1"/>
    <col min="8239" max="8269" width="9" style="255" customWidth="1"/>
    <col min="8270" max="8429" width="25.25" style="255"/>
    <col min="8430" max="8459" width="9" style="255" customWidth="1"/>
    <col min="8460" max="8460" width="0.5" style="255" customWidth="1"/>
    <col min="8461" max="8461" width="25.25" style="255"/>
    <col min="8462" max="8462" width="0.5" style="255" customWidth="1"/>
    <col min="8463" max="8463" width="25.25" style="255"/>
    <col min="8464" max="8464" width="14.75" style="255" customWidth="1"/>
    <col min="8465" max="8465" width="11.5" style="255" customWidth="1"/>
    <col min="8466" max="8466" width="11.25" style="255" customWidth="1"/>
    <col min="8467" max="8467" width="10.75" style="255" customWidth="1"/>
    <col min="8468" max="8468" width="10" style="255" customWidth="1"/>
    <col min="8469" max="8469" width="9.875" style="255" customWidth="1"/>
    <col min="8470" max="8470" width="26.125" style="255" customWidth="1"/>
    <col min="8471" max="8471" width="11.125" style="255" customWidth="1"/>
    <col min="8472" max="8472" width="7.875" style="255" customWidth="1"/>
    <col min="8473" max="8473" width="7.25" style="255" customWidth="1"/>
    <col min="8474" max="8474" width="9.125" style="255" customWidth="1"/>
    <col min="8475" max="8475" width="15.125" style="255" customWidth="1"/>
    <col min="8476" max="8476" width="7.75" style="255" customWidth="1"/>
    <col min="8477" max="8477" width="7.125" style="255" customWidth="1"/>
    <col min="8478" max="8478" width="12.125" style="255" customWidth="1"/>
    <col min="8479" max="8479" width="8.25" style="255" customWidth="1"/>
    <col min="8480" max="8481" width="10.375" style="255" customWidth="1"/>
    <col min="8482" max="8482" width="15.625" style="255" customWidth="1"/>
    <col min="8483" max="8483" width="15.875" style="255" customWidth="1"/>
    <col min="8484" max="8484" width="8.125" style="255" customWidth="1"/>
    <col min="8485" max="8488" width="10.375" style="255" customWidth="1"/>
    <col min="8489" max="8489" width="7.25" style="255" customWidth="1"/>
    <col min="8490" max="8490" width="7.125" style="255" customWidth="1"/>
    <col min="8491" max="8491" width="9.5" style="255" customWidth="1"/>
    <col min="8492" max="8493" width="9" style="255" customWidth="1"/>
    <col min="8494" max="8494" width="16.125" style="255" customWidth="1"/>
    <col min="8495" max="8525" width="9" style="255" customWidth="1"/>
    <col min="8526" max="8685" width="25.25" style="255"/>
    <col min="8686" max="8715" width="9" style="255" customWidth="1"/>
    <col min="8716" max="8716" width="0.5" style="255" customWidth="1"/>
    <col min="8717" max="8717" width="25.25" style="255"/>
    <col min="8718" max="8718" width="0.5" style="255" customWidth="1"/>
    <col min="8719" max="8719" width="25.25" style="255"/>
    <col min="8720" max="8720" width="14.75" style="255" customWidth="1"/>
    <col min="8721" max="8721" width="11.5" style="255" customWidth="1"/>
    <col min="8722" max="8722" width="11.25" style="255" customWidth="1"/>
    <col min="8723" max="8723" width="10.75" style="255" customWidth="1"/>
    <col min="8724" max="8724" width="10" style="255" customWidth="1"/>
    <col min="8725" max="8725" width="9.875" style="255" customWidth="1"/>
    <col min="8726" max="8726" width="26.125" style="255" customWidth="1"/>
    <col min="8727" max="8727" width="11.125" style="255" customWidth="1"/>
    <col min="8728" max="8728" width="7.875" style="255" customWidth="1"/>
    <col min="8729" max="8729" width="7.25" style="255" customWidth="1"/>
    <col min="8730" max="8730" width="9.125" style="255" customWidth="1"/>
    <col min="8731" max="8731" width="15.125" style="255" customWidth="1"/>
    <col min="8732" max="8732" width="7.75" style="255" customWidth="1"/>
    <col min="8733" max="8733" width="7.125" style="255" customWidth="1"/>
    <col min="8734" max="8734" width="12.125" style="255" customWidth="1"/>
    <col min="8735" max="8735" width="8.25" style="255" customWidth="1"/>
    <col min="8736" max="8737" width="10.375" style="255" customWidth="1"/>
    <col min="8738" max="8738" width="15.625" style="255" customWidth="1"/>
    <col min="8739" max="8739" width="15.875" style="255" customWidth="1"/>
    <col min="8740" max="8740" width="8.125" style="255" customWidth="1"/>
    <col min="8741" max="8744" width="10.375" style="255" customWidth="1"/>
    <col min="8745" max="8745" width="7.25" style="255" customWidth="1"/>
    <col min="8746" max="8746" width="7.125" style="255" customWidth="1"/>
    <col min="8747" max="8747" width="9.5" style="255" customWidth="1"/>
    <col min="8748" max="8749" width="9" style="255" customWidth="1"/>
    <col min="8750" max="8750" width="16.125" style="255" customWidth="1"/>
    <col min="8751" max="8781" width="9" style="255" customWidth="1"/>
    <col min="8782" max="8941" width="25.25" style="255"/>
    <col min="8942" max="8971" width="9" style="255" customWidth="1"/>
    <col min="8972" max="8972" width="0.5" style="255" customWidth="1"/>
    <col min="8973" max="8973" width="25.25" style="255"/>
    <col min="8974" max="8974" width="0.5" style="255" customWidth="1"/>
    <col min="8975" max="8975" width="25.25" style="255"/>
    <col min="8976" max="8976" width="14.75" style="255" customWidth="1"/>
    <col min="8977" max="8977" width="11.5" style="255" customWidth="1"/>
    <col min="8978" max="8978" width="11.25" style="255" customWidth="1"/>
    <col min="8979" max="8979" width="10.75" style="255" customWidth="1"/>
    <col min="8980" max="8980" width="10" style="255" customWidth="1"/>
    <col min="8981" max="8981" width="9.875" style="255" customWidth="1"/>
    <col min="8982" max="8982" width="26.125" style="255" customWidth="1"/>
    <col min="8983" max="8983" width="11.125" style="255" customWidth="1"/>
    <col min="8984" max="8984" width="7.875" style="255" customWidth="1"/>
    <col min="8985" max="8985" width="7.25" style="255" customWidth="1"/>
    <col min="8986" max="8986" width="9.125" style="255" customWidth="1"/>
    <col min="8987" max="8987" width="15.125" style="255" customWidth="1"/>
    <col min="8988" max="8988" width="7.75" style="255" customWidth="1"/>
    <col min="8989" max="8989" width="7.125" style="255" customWidth="1"/>
    <col min="8990" max="8990" width="12.125" style="255" customWidth="1"/>
    <col min="8991" max="8991" width="8.25" style="255" customWidth="1"/>
    <col min="8992" max="8993" width="10.375" style="255" customWidth="1"/>
    <col min="8994" max="8994" width="15.625" style="255" customWidth="1"/>
    <col min="8995" max="8995" width="15.875" style="255" customWidth="1"/>
    <col min="8996" max="8996" width="8.125" style="255" customWidth="1"/>
    <col min="8997" max="9000" width="10.375" style="255" customWidth="1"/>
    <col min="9001" max="9001" width="7.25" style="255" customWidth="1"/>
    <col min="9002" max="9002" width="7.125" style="255" customWidth="1"/>
    <col min="9003" max="9003" width="9.5" style="255" customWidth="1"/>
    <col min="9004" max="9005" width="9" style="255" customWidth="1"/>
    <col min="9006" max="9006" width="16.125" style="255" customWidth="1"/>
    <col min="9007" max="9037" width="9" style="255" customWidth="1"/>
    <col min="9038" max="9197" width="25.25" style="255"/>
    <col min="9198" max="9227" width="9" style="255" customWidth="1"/>
    <col min="9228" max="9228" width="0.5" style="255" customWidth="1"/>
    <col min="9229" max="9229" width="25.25" style="255"/>
    <col min="9230" max="9230" width="0.5" style="255" customWidth="1"/>
    <col min="9231" max="9231" width="25.25" style="255"/>
    <col min="9232" max="9232" width="14.75" style="255" customWidth="1"/>
    <col min="9233" max="9233" width="11.5" style="255" customWidth="1"/>
    <col min="9234" max="9234" width="11.25" style="255" customWidth="1"/>
    <col min="9235" max="9235" width="10.75" style="255" customWidth="1"/>
    <col min="9236" max="9236" width="10" style="255" customWidth="1"/>
    <col min="9237" max="9237" width="9.875" style="255" customWidth="1"/>
    <col min="9238" max="9238" width="26.125" style="255" customWidth="1"/>
    <col min="9239" max="9239" width="11.125" style="255" customWidth="1"/>
    <col min="9240" max="9240" width="7.875" style="255" customWidth="1"/>
    <col min="9241" max="9241" width="7.25" style="255" customWidth="1"/>
    <col min="9242" max="9242" width="9.125" style="255" customWidth="1"/>
    <col min="9243" max="9243" width="15.125" style="255" customWidth="1"/>
    <col min="9244" max="9244" width="7.75" style="255" customWidth="1"/>
    <col min="9245" max="9245" width="7.125" style="255" customWidth="1"/>
    <col min="9246" max="9246" width="12.125" style="255" customWidth="1"/>
    <col min="9247" max="9247" width="8.25" style="255" customWidth="1"/>
    <col min="9248" max="9249" width="10.375" style="255" customWidth="1"/>
    <col min="9250" max="9250" width="15.625" style="255" customWidth="1"/>
    <col min="9251" max="9251" width="15.875" style="255" customWidth="1"/>
    <col min="9252" max="9252" width="8.125" style="255" customWidth="1"/>
    <col min="9253" max="9256" width="10.375" style="255" customWidth="1"/>
    <col min="9257" max="9257" width="7.25" style="255" customWidth="1"/>
    <col min="9258" max="9258" width="7.125" style="255" customWidth="1"/>
    <col min="9259" max="9259" width="9.5" style="255" customWidth="1"/>
    <col min="9260" max="9261" width="9" style="255" customWidth="1"/>
    <col min="9262" max="9262" width="16.125" style="255" customWidth="1"/>
    <col min="9263" max="9293" width="9" style="255" customWidth="1"/>
    <col min="9294" max="9453" width="25.25" style="255"/>
    <col min="9454" max="9483" width="9" style="255" customWidth="1"/>
    <col min="9484" max="9484" width="0.5" style="255" customWidth="1"/>
    <col min="9485" max="9485" width="25.25" style="255"/>
    <col min="9486" max="9486" width="0.5" style="255" customWidth="1"/>
    <col min="9487" max="9487" width="25.25" style="255"/>
    <col min="9488" max="9488" width="14.75" style="255" customWidth="1"/>
    <col min="9489" max="9489" width="11.5" style="255" customWidth="1"/>
    <col min="9490" max="9490" width="11.25" style="255" customWidth="1"/>
    <col min="9491" max="9491" width="10.75" style="255" customWidth="1"/>
    <col min="9492" max="9492" width="10" style="255" customWidth="1"/>
    <col min="9493" max="9493" width="9.875" style="255" customWidth="1"/>
    <col min="9494" max="9494" width="26.125" style="255" customWidth="1"/>
    <col min="9495" max="9495" width="11.125" style="255" customWidth="1"/>
    <col min="9496" max="9496" width="7.875" style="255" customWidth="1"/>
    <col min="9497" max="9497" width="7.25" style="255" customWidth="1"/>
    <col min="9498" max="9498" width="9.125" style="255" customWidth="1"/>
    <col min="9499" max="9499" width="15.125" style="255" customWidth="1"/>
    <col min="9500" max="9500" width="7.75" style="255" customWidth="1"/>
    <col min="9501" max="9501" width="7.125" style="255" customWidth="1"/>
    <col min="9502" max="9502" width="12.125" style="255" customWidth="1"/>
    <col min="9503" max="9503" width="8.25" style="255" customWidth="1"/>
    <col min="9504" max="9505" width="10.375" style="255" customWidth="1"/>
    <col min="9506" max="9506" width="15.625" style="255" customWidth="1"/>
    <col min="9507" max="9507" width="15.875" style="255" customWidth="1"/>
    <col min="9508" max="9508" width="8.125" style="255" customWidth="1"/>
    <col min="9509" max="9512" width="10.375" style="255" customWidth="1"/>
    <col min="9513" max="9513" width="7.25" style="255" customWidth="1"/>
    <col min="9514" max="9514" width="7.125" style="255" customWidth="1"/>
    <col min="9515" max="9515" width="9.5" style="255" customWidth="1"/>
    <col min="9516" max="9517" width="9" style="255" customWidth="1"/>
    <col min="9518" max="9518" width="16.125" style="255" customWidth="1"/>
    <col min="9519" max="9549" width="9" style="255" customWidth="1"/>
    <col min="9550" max="9709" width="25.25" style="255"/>
    <col min="9710" max="9739" width="9" style="255" customWidth="1"/>
    <col min="9740" max="9740" width="0.5" style="255" customWidth="1"/>
    <col min="9741" max="9741" width="25.25" style="255"/>
    <col min="9742" max="9742" width="0.5" style="255" customWidth="1"/>
    <col min="9743" max="9743" width="25.25" style="255"/>
    <col min="9744" max="9744" width="14.75" style="255" customWidth="1"/>
    <col min="9745" max="9745" width="11.5" style="255" customWidth="1"/>
    <col min="9746" max="9746" width="11.25" style="255" customWidth="1"/>
    <col min="9747" max="9747" width="10.75" style="255" customWidth="1"/>
    <col min="9748" max="9748" width="10" style="255" customWidth="1"/>
    <col min="9749" max="9749" width="9.875" style="255" customWidth="1"/>
    <col min="9750" max="9750" width="26.125" style="255" customWidth="1"/>
    <col min="9751" max="9751" width="11.125" style="255" customWidth="1"/>
    <col min="9752" max="9752" width="7.875" style="255" customWidth="1"/>
    <col min="9753" max="9753" width="7.25" style="255" customWidth="1"/>
    <col min="9754" max="9754" width="9.125" style="255" customWidth="1"/>
    <col min="9755" max="9755" width="15.125" style="255" customWidth="1"/>
    <col min="9756" max="9756" width="7.75" style="255" customWidth="1"/>
    <col min="9757" max="9757" width="7.125" style="255" customWidth="1"/>
    <col min="9758" max="9758" width="12.125" style="255" customWidth="1"/>
    <col min="9759" max="9759" width="8.25" style="255" customWidth="1"/>
    <col min="9760" max="9761" width="10.375" style="255" customWidth="1"/>
    <col min="9762" max="9762" width="15.625" style="255" customWidth="1"/>
    <col min="9763" max="9763" width="15.875" style="255" customWidth="1"/>
    <col min="9764" max="9764" width="8.125" style="255" customWidth="1"/>
    <col min="9765" max="9768" width="10.375" style="255" customWidth="1"/>
    <col min="9769" max="9769" width="7.25" style="255" customWidth="1"/>
    <col min="9770" max="9770" width="7.125" style="255" customWidth="1"/>
    <col min="9771" max="9771" width="9.5" style="255" customWidth="1"/>
    <col min="9772" max="9773" width="9" style="255" customWidth="1"/>
    <col min="9774" max="9774" width="16.125" style="255" customWidth="1"/>
    <col min="9775" max="9805" width="9" style="255" customWidth="1"/>
    <col min="9806" max="9965" width="25.25" style="255"/>
    <col min="9966" max="9995" width="9" style="255" customWidth="1"/>
    <col min="9996" max="9996" width="0.5" style="255" customWidth="1"/>
    <col min="9997" max="9997" width="25.25" style="255"/>
    <col min="9998" max="9998" width="0.5" style="255" customWidth="1"/>
    <col min="9999" max="9999" width="25.25" style="255"/>
    <col min="10000" max="10000" width="14.75" style="255" customWidth="1"/>
    <col min="10001" max="10001" width="11.5" style="255" customWidth="1"/>
    <col min="10002" max="10002" width="11.25" style="255" customWidth="1"/>
    <col min="10003" max="10003" width="10.75" style="255" customWidth="1"/>
    <col min="10004" max="10004" width="10" style="255" customWidth="1"/>
    <col min="10005" max="10005" width="9.875" style="255" customWidth="1"/>
    <col min="10006" max="10006" width="26.125" style="255" customWidth="1"/>
    <col min="10007" max="10007" width="11.125" style="255" customWidth="1"/>
    <col min="10008" max="10008" width="7.875" style="255" customWidth="1"/>
    <col min="10009" max="10009" width="7.25" style="255" customWidth="1"/>
    <col min="10010" max="10010" width="9.125" style="255" customWidth="1"/>
    <col min="10011" max="10011" width="15.125" style="255" customWidth="1"/>
    <col min="10012" max="10012" width="7.75" style="255" customWidth="1"/>
    <col min="10013" max="10013" width="7.125" style="255" customWidth="1"/>
    <col min="10014" max="10014" width="12.125" style="255" customWidth="1"/>
    <col min="10015" max="10015" width="8.25" style="255" customWidth="1"/>
    <col min="10016" max="10017" width="10.375" style="255" customWidth="1"/>
    <col min="10018" max="10018" width="15.625" style="255" customWidth="1"/>
    <col min="10019" max="10019" width="15.875" style="255" customWidth="1"/>
    <col min="10020" max="10020" width="8.125" style="255" customWidth="1"/>
    <col min="10021" max="10024" width="10.375" style="255" customWidth="1"/>
    <col min="10025" max="10025" width="7.25" style="255" customWidth="1"/>
    <col min="10026" max="10026" width="7.125" style="255" customWidth="1"/>
    <col min="10027" max="10027" width="9.5" style="255" customWidth="1"/>
    <col min="10028" max="10029" width="9" style="255" customWidth="1"/>
    <col min="10030" max="10030" width="16.125" style="255" customWidth="1"/>
    <col min="10031" max="10061" width="9" style="255" customWidth="1"/>
    <col min="10062" max="10221" width="25.25" style="255"/>
    <col min="10222" max="10251" width="9" style="255" customWidth="1"/>
    <col min="10252" max="10252" width="0.5" style="255" customWidth="1"/>
    <col min="10253" max="10253" width="25.25" style="255"/>
    <col min="10254" max="10254" width="0.5" style="255" customWidth="1"/>
    <col min="10255" max="10255" width="25.25" style="255"/>
    <col min="10256" max="10256" width="14.75" style="255" customWidth="1"/>
    <col min="10257" max="10257" width="11.5" style="255" customWidth="1"/>
    <col min="10258" max="10258" width="11.25" style="255" customWidth="1"/>
    <col min="10259" max="10259" width="10.75" style="255" customWidth="1"/>
    <col min="10260" max="10260" width="10" style="255" customWidth="1"/>
    <col min="10261" max="10261" width="9.875" style="255" customWidth="1"/>
    <col min="10262" max="10262" width="26.125" style="255" customWidth="1"/>
    <col min="10263" max="10263" width="11.125" style="255" customWidth="1"/>
    <col min="10264" max="10264" width="7.875" style="255" customWidth="1"/>
    <col min="10265" max="10265" width="7.25" style="255" customWidth="1"/>
    <col min="10266" max="10266" width="9.125" style="255" customWidth="1"/>
    <col min="10267" max="10267" width="15.125" style="255" customWidth="1"/>
    <col min="10268" max="10268" width="7.75" style="255" customWidth="1"/>
    <col min="10269" max="10269" width="7.125" style="255" customWidth="1"/>
    <col min="10270" max="10270" width="12.125" style="255" customWidth="1"/>
    <col min="10271" max="10271" width="8.25" style="255" customWidth="1"/>
    <col min="10272" max="10273" width="10.375" style="255" customWidth="1"/>
    <col min="10274" max="10274" width="15.625" style="255" customWidth="1"/>
    <col min="10275" max="10275" width="15.875" style="255" customWidth="1"/>
    <col min="10276" max="10276" width="8.125" style="255" customWidth="1"/>
    <col min="10277" max="10280" width="10.375" style="255" customWidth="1"/>
    <col min="10281" max="10281" width="7.25" style="255" customWidth="1"/>
    <col min="10282" max="10282" width="7.125" style="255" customWidth="1"/>
    <col min="10283" max="10283" width="9.5" style="255" customWidth="1"/>
    <col min="10284" max="10285" width="9" style="255" customWidth="1"/>
    <col min="10286" max="10286" width="16.125" style="255" customWidth="1"/>
    <col min="10287" max="10317" width="9" style="255" customWidth="1"/>
    <col min="10318" max="10477" width="25.25" style="255"/>
    <col min="10478" max="10507" width="9" style="255" customWidth="1"/>
    <col min="10508" max="10508" width="0.5" style="255" customWidth="1"/>
    <col min="10509" max="10509" width="25.25" style="255"/>
    <col min="10510" max="10510" width="0.5" style="255" customWidth="1"/>
    <col min="10511" max="10511" width="25.25" style="255"/>
    <col min="10512" max="10512" width="14.75" style="255" customWidth="1"/>
    <col min="10513" max="10513" width="11.5" style="255" customWidth="1"/>
    <col min="10514" max="10514" width="11.25" style="255" customWidth="1"/>
    <col min="10515" max="10515" width="10.75" style="255" customWidth="1"/>
    <col min="10516" max="10516" width="10" style="255" customWidth="1"/>
    <col min="10517" max="10517" width="9.875" style="255" customWidth="1"/>
    <col min="10518" max="10518" width="26.125" style="255" customWidth="1"/>
    <col min="10519" max="10519" width="11.125" style="255" customWidth="1"/>
    <col min="10520" max="10520" width="7.875" style="255" customWidth="1"/>
    <col min="10521" max="10521" width="7.25" style="255" customWidth="1"/>
    <col min="10522" max="10522" width="9.125" style="255" customWidth="1"/>
    <col min="10523" max="10523" width="15.125" style="255" customWidth="1"/>
    <col min="10524" max="10524" width="7.75" style="255" customWidth="1"/>
    <col min="10525" max="10525" width="7.125" style="255" customWidth="1"/>
    <col min="10526" max="10526" width="12.125" style="255" customWidth="1"/>
    <col min="10527" max="10527" width="8.25" style="255" customWidth="1"/>
    <col min="10528" max="10529" width="10.375" style="255" customWidth="1"/>
    <col min="10530" max="10530" width="15.625" style="255" customWidth="1"/>
    <col min="10531" max="10531" width="15.875" style="255" customWidth="1"/>
    <col min="10532" max="10532" width="8.125" style="255" customWidth="1"/>
    <col min="10533" max="10536" width="10.375" style="255" customWidth="1"/>
    <col min="10537" max="10537" width="7.25" style="255" customWidth="1"/>
    <col min="10538" max="10538" width="7.125" style="255" customWidth="1"/>
    <col min="10539" max="10539" width="9.5" style="255" customWidth="1"/>
    <col min="10540" max="10541" width="9" style="255" customWidth="1"/>
    <col min="10542" max="10542" width="16.125" style="255" customWidth="1"/>
    <col min="10543" max="10573" width="9" style="255" customWidth="1"/>
    <col min="10574" max="10733" width="25.25" style="255"/>
    <col min="10734" max="10763" width="9" style="255" customWidth="1"/>
    <col min="10764" max="10764" width="0.5" style="255" customWidth="1"/>
    <col min="10765" max="10765" width="25.25" style="255"/>
    <col min="10766" max="10766" width="0.5" style="255" customWidth="1"/>
    <col min="10767" max="10767" width="25.25" style="255"/>
    <col min="10768" max="10768" width="14.75" style="255" customWidth="1"/>
    <col min="10769" max="10769" width="11.5" style="255" customWidth="1"/>
    <col min="10770" max="10770" width="11.25" style="255" customWidth="1"/>
    <col min="10771" max="10771" width="10.75" style="255" customWidth="1"/>
    <col min="10772" max="10772" width="10" style="255" customWidth="1"/>
    <col min="10773" max="10773" width="9.875" style="255" customWidth="1"/>
    <col min="10774" max="10774" width="26.125" style="255" customWidth="1"/>
    <col min="10775" max="10775" width="11.125" style="255" customWidth="1"/>
    <col min="10776" max="10776" width="7.875" style="255" customWidth="1"/>
    <col min="10777" max="10777" width="7.25" style="255" customWidth="1"/>
    <col min="10778" max="10778" width="9.125" style="255" customWidth="1"/>
    <col min="10779" max="10779" width="15.125" style="255" customWidth="1"/>
    <col min="10780" max="10780" width="7.75" style="255" customWidth="1"/>
    <col min="10781" max="10781" width="7.125" style="255" customWidth="1"/>
    <col min="10782" max="10782" width="12.125" style="255" customWidth="1"/>
    <col min="10783" max="10783" width="8.25" style="255" customWidth="1"/>
    <col min="10784" max="10785" width="10.375" style="255" customWidth="1"/>
    <col min="10786" max="10786" width="15.625" style="255" customWidth="1"/>
    <col min="10787" max="10787" width="15.875" style="255" customWidth="1"/>
    <col min="10788" max="10788" width="8.125" style="255" customWidth="1"/>
    <col min="10789" max="10792" width="10.375" style="255" customWidth="1"/>
    <col min="10793" max="10793" width="7.25" style="255" customWidth="1"/>
    <col min="10794" max="10794" width="7.125" style="255" customWidth="1"/>
    <col min="10795" max="10795" width="9.5" style="255" customWidth="1"/>
    <col min="10796" max="10797" width="9" style="255" customWidth="1"/>
    <col min="10798" max="10798" width="16.125" style="255" customWidth="1"/>
    <col min="10799" max="10829" width="9" style="255" customWidth="1"/>
    <col min="10830" max="10989" width="25.25" style="255"/>
    <col min="10990" max="11019" width="9" style="255" customWidth="1"/>
    <col min="11020" max="11020" width="0.5" style="255" customWidth="1"/>
    <col min="11021" max="11021" width="25.25" style="255"/>
    <col min="11022" max="11022" width="0.5" style="255" customWidth="1"/>
    <col min="11023" max="11023" width="25.25" style="255"/>
    <col min="11024" max="11024" width="14.75" style="255" customWidth="1"/>
    <col min="11025" max="11025" width="11.5" style="255" customWidth="1"/>
    <col min="11026" max="11026" width="11.25" style="255" customWidth="1"/>
    <col min="11027" max="11027" width="10.75" style="255" customWidth="1"/>
    <col min="11028" max="11028" width="10" style="255" customWidth="1"/>
    <col min="11029" max="11029" width="9.875" style="255" customWidth="1"/>
    <col min="11030" max="11030" width="26.125" style="255" customWidth="1"/>
    <col min="11031" max="11031" width="11.125" style="255" customWidth="1"/>
    <col min="11032" max="11032" width="7.875" style="255" customWidth="1"/>
    <col min="11033" max="11033" width="7.25" style="255" customWidth="1"/>
    <col min="11034" max="11034" width="9.125" style="255" customWidth="1"/>
    <col min="11035" max="11035" width="15.125" style="255" customWidth="1"/>
    <col min="11036" max="11036" width="7.75" style="255" customWidth="1"/>
    <col min="11037" max="11037" width="7.125" style="255" customWidth="1"/>
    <col min="11038" max="11038" width="12.125" style="255" customWidth="1"/>
    <col min="11039" max="11039" width="8.25" style="255" customWidth="1"/>
    <col min="11040" max="11041" width="10.375" style="255" customWidth="1"/>
    <col min="11042" max="11042" width="15.625" style="255" customWidth="1"/>
    <col min="11043" max="11043" width="15.875" style="255" customWidth="1"/>
    <col min="11044" max="11044" width="8.125" style="255" customWidth="1"/>
    <col min="11045" max="11048" width="10.375" style="255" customWidth="1"/>
    <col min="11049" max="11049" width="7.25" style="255" customWidth="1"/>
    <col min="11050" max="11050" width="7.125" style="255" customWidth="1"/>
    <col min="11051" max="11051" width="9.5" style="255" customWidth="1"/>
    <col min="11052" max="11053" width="9" style="255" customWidth="1"/>
    <col min="11054" max="11054" width="16.125" style="255" customWidth="1"/>
    <col min="11055" max="11085" width="9" style="255" customWidth="1"/>
    <col min="11086" max="11245" width="25.25" style="255"/>
    <col min="11246" max="11275" width="9" style="255" customWidth="1"/>
    <col min="11276" max="11276" width="0.5" style="255" customWidth="1"/>
    <col min="11277" max="11277" width="25.25" style="255"/>
    <col min="11278" max="11278" width="0.5" style="255" customWidth="1"/>
    <col min="11279" max="11279" width="25.25" style="255"/>
    <col min="11280" max="11280" width="14.75" style="255" customWidth="1"/>
    <col min="11281" max="11281" width="11.5" style="255" customWidth="1"/>
    <col min="11282" max="11282" width="11.25" style="255" customWidth="1"/>
    <col min="11283" max="11283" width="10.75" style="255" customWidth="1"/>
    <col min="11284" max="11284" width="10" style="255" customWidth="1"/>
    <col min="11285" max="11285" width="9.875" style="255" customWidth="1"/>
    <col min="11286" max="11286" width="26.125" style="255" customWidth="1"/>
    <col min="11287" max="11287" width="11.125" style="255" customWidth="1"/>
    <col min="11288" max="11288" width="7.875" style="255" customWidth="1"/>
    <col min="11289" max="11289" width="7.25" style="255" customWidth="1"/>
    <col min="11290" max="11290" width="9.125" style="255" customWidth="1"/>
    <col min="11291" max="11291" width="15.125" style="255" customWidth="1"/>
    <col min="11292" max="11292" width="7.75" style="255" customWidth="1"/>
    <col min="11293" max="11293" width="7.125" style="255" customWidth="1"/>
    <col min="11294" max="11294" width="12.125" style="255" customWidth="1"/>
    <col min="11295" max="11295" width="8.25" style="255" customWidth="1"/>
    <col min="11296" max="11297" width="10.375" style="255" customWidth="1"/>
    <col min="11298" max="11298" width="15.625" style="255" customWidth="1"/>
    <col min="11299" max="11299" width="15.875" style="255" customWidth="1"/>
    <col min="11300" max="11300" width="8.125" style="255" customWidth="1"/>
    <col min="11301" max="11304" width="10.375" style="255" customWidth="1"/>
    <col min="11305" max="11305" width="7.25" style="255" customWidth="1"/>
    <col min="11306" max="11306" width="7.125" style="255" customWidth="1"/>
    <col min="11307" max="11307" width="9.5" style="255" customWidth="1"/>
    <col min="11308" max="11309" width="9" style="255" customWidth="1"/>
    <col min="11310" max="11310" width="16.125" style="255" customWidth="1"/>
    <col min="11311" max="11341" width="9" style="255" customWidth="1"/>
    <col min="11342" max="11501" width="25.25" style="255"/>
    <col min="11502" max="11531" width="9" style="255" customWidth="1"/>
    <col min="11532" max="11532" width="0.5" style="255" customWidth="1"/>
    <col min="11533" max="11533" width="25.25" style="255"/>
    <col min="11534" max="11534" width="0.5" style="255" customWidth="1"/>
    <col min="11535" max="11535" width="25.25" style="255"/>
    <col min="11536" max="11536" width="14.75" style="255" customWidth="1"/>
    <col min="11537" max="11537" width="11.5" style="255" customWidth="1"/>
    <col min="11538" max="11538" width="11.25" style="255" customWidth="1"/>
    <col min="11539" max="11539" width="10.75" style="255" customWidth="1"/>
    <col min="11540" max="11540" width="10" style="255" customWidth="1"/>
    <col min="11541" max="11541" width="9.875" style="255" customWidth="1"/>
    <col min="11542" max="11542" width="26.125" style="255" customWidth="1"/>
    <col min="11543" max="11543" width="11.125" style="255" customWidth="1"/>
    <col min="11544" max="11544" width="7.875" style="255" customWidth="1"/>
    <col min="11545" max="11545" width="7.25" style="255" customWidth="1"/>
    <col min="11546" max="11546" width="9.125" style="255" customWidth="1"/>
    <col min="11547" max="11547" width="15.125" style="255" customWidth="1"/>
    <col min="11548" max="11548" width="7.75" style="255" customWidth="1"/>
    <col min="11549" max="11549" width="7.125" style="255" customWidth="1"/>
    <col min="11550" max="11550" width="12.125" style="255" customWidth="1"/>
    <col min="11551" max="11551" width="8.25" style="255" customWidth="1"/>
    <col min="11552" max="11553" width="10.375" style="255" customWidth="1"/>
    <col min="11554" max="11554" width="15.625" style="255" customWidth="1"/>
    <col min="11555" max="11555" width="15.875" style="255" customWidth="1"/>
    <col min="11556" max="11556" width="8.125" style="255" customWidth="1"/>
    <col min="11557" max="11560" width="10.375" style="255" customWidth="1"/>
    <col min="11561" max="11561" width="7.25" style="255" customWidth="1"/>
    <col min="11562" max="11562" width="7.125" style="255" customWidth="1"/>
    <col min="11563" max="11563" width="9.5" style="255" customWidth="1"/>
    <col min="11564" max="11565" width="9" style="255" customWidth="1"/>
    <col min="11566" max="11566" width="16.125" style="255" customWidth="1"/>
    <col min="11567" max="11597" width="9" style="255" customWidth="1"/>
    <col min="11598" max="11757" width="25.25" style="255"/>
    <col min="11758" max="11787" width="9" style="255" customWidth="1"/>
    <col min="11788" max="11788" width="0.5" style="255" customWidth="1"/>
    <col min="11789" max="11789" width="25.25" style="255"/>
    <col min="11790" max="11790" width="0.5" style="255" customWidth="1"/>
    <col min="11791" max="11791" width="25.25" style="255"/>
    <col min="11792" max="11792" width="14.75" style="255" customWidth="1"/>
    <col min="11793" max="11793" width="11.5" style="255" customWidth="1"/>
    <col min="11794" max="11794" width="11.25" style="255" customWidth="1"/>
    <col min="11795" max="11795" width="10.75" style="255" customWidth="1"/>
    <col min="11796" max="11796" width="10" style="255" customWidth="1"/>
    <col min="11797" max="11797" width="9.875" style="255" customWidth="1"/>
    <col min="11798" max="11798" width="26.125" style="255" customWidth="1"/>
    <col min="11799" max="11799" width="11.125" style="255" customWidth="1"/>
    <col min="11800" max="11800" width="7.875" style="255" customWidth="1"/>
    <col min="11801" max="11801" width="7.25" style="255" customWidth="1"/>
    <col min="11802" max="11802" width="9.125" style="255" customWidth="1"/>
    <col min="11803" max="11803" width="15.125" style="255" customWidth="1"/>
    <col min="11804" max="11804" width="7.75" style="255" customWidth="1"/>
    <col min="11805" max="11805" width="7.125" style="255" customWidth="1"/>
    <col min="11806" max="11806" width="12.125" style="255" customWidth="1"/>
    <col min="11807" max="11807" width="8.25" style="255" customWidth="1"/>
    <col min="11808" max="11809" width="10.375" style="255" customWidth="1"/>
    <col min="11810" max="11810" width="15.625" style="255" customWidth="1"/>
    <col min="11811" max="11811" width="15.875" style="255" customWidth="1"/>
    <col min="11812" max="11812" width="8.125" style="255" customWidth="1"/>
    <col min="11813" max="11816" width="10.375" style="255" customWidth="1"/>
    <col min="11817" max="11817" width="7.25" style="255" customWidth="1"/>
    <col min="11818" max="11818" width="7.125" style="255" customWidth="1"/>
    <col min="11819" max="11819" width="9.5" style="255" customWidth="1"/>
    <col min="11820" max="11821" width="9" style="255" customWidth="1"/>
    <col min="11822" max="11822" width="16.125" style="255" customWidth="1"/>
    <col min="11823" max="11853" width="9" style="255" customWidth="1"/>
    <col min="11854" max="12013" width="25.25" style="255"/>
    <col min="12014" max="12043" width="9" style="255" customWidth="1"/>
    <col min="12044" max="12044" width="0.5" style="255" customWidth="1"/>
    <col min="12045" max="12045" width="25.25" style="255"/>
    <col min="12046" max="12046" width="0.5" style="255" customWidth="1"/>
    <col min="12047" max="12047" width="25.25" style="255"/>
    <col min="12048" max="12048" width="14.75" style="255" customWidth="1"/>
    <col min="12049" max="12049" width="11.5" style="255" customWidth="1"/>
    <col min="12050" max="12050" width="11.25" style="255" customWidth="1"/>
    <col min="12051" max="12051" width="10.75" style="255" customWidth="1"/>
    <col min="12052" max="12052" width="10" style="255" customWidth="1"/>
    <col min="12053" max="12053" width="9.875" style="255" customWidth="1"/>
    <col min="12054" max="12054" width="26.125" style="255" customWidth="1"/>
    <col min="12055" max="12055" width="11.125" style="255" customWidth="1"/>
    <col min="12056" max="12056" width="7.875" style="255" customWidth="1"/>
    <col min="12057" max="12057" width="7.25" style="255" customWidth="1"/>
    <col min="12058" max="12058" width="9.125" style="255" customWidth="1"/>
    <col min="12059" max="12059" width="15.125" style="255" customWidth="1"/>
    <col min="12060" max="12060" width="7.75" style="255" customWidth="1"/>
    <col min="12061" max="12061" width="7.125" style="255" customWidth="1"/>
    <col min="12062" max="12062" width="12.125" style="255" customWidth="1"/>
    <col min="12063" max="12063" width="8.25" style="255" customWidth="1"/>
    <col min="12064" max="12065" width="10.375" style="255" customWidth="1"/>
    <col min="12066" max="12066" width="15.625" style="255" customWidth="1"/>
    <col min="12067" max="12067" width="15.875" style="255" customWidth="1"/>
    <col min="12068" max="12068" width="8.125" style="255" customWidth="1"/>
    <col min="12069" max="12072" width="10.375" style="255" customWidth="1"/>
    <col min="12073" max="12073" width="7.25" style="255" customWidth="1"/>
    <col min="12074" max="12074" width="7.125" style="255" customWidth="1"/>
    <col min="12075" max="12075" width="9.5" style="255" customWidth="1"/>
    <col min="12076" max="12077" width="9" style="255" customWidth="1"/>
    <col min="12078" max="12078" width="16.125" style="255" customWidth="1"/>
    <col min="12079" max="12109" width="9" style="255" customWidth="1"/>
    <col min="12110" max="12269" width="25.25" style="255"/>
    <col min="12270" max="12299" width="9" style="255" customWidth="1"/>
    <col min="12300" max="12300" width="0.5" style="255" customWidth="1"/>
    <col min="12301" max="12301" width="25.25" style="255"/>
    <col min="12302" max="12302" width="0.5" style="255" customWidth="1"/>
    <col min="12303" max="12303" width="25.25" style="255"/>
    <col min="12304" max="12304" width="14.75" style="255" customWidth="1"/>
    <col min="12305" max="12305" width="11.5" style="255" customWidth="1"/>
    <col min="12306" max="12306" width="11.25" style="255" customWidth="1"/>
    <col min="12307" max="12307" width="10.75" style="255" customWidth="1"/>
    <col min="12308" max="12308" width="10" style="255" customWidth="1"/>
    <col min="12309" max="12309" width="9.875" style="255" customWidth="1"/>
    <col min="12310" max="12310" width="26.125" style="255" customWidth="1"/>
    <col min="12311" max="12311" width="11.125" style="255" customWidth="1"/>
    <col min="12312" max="12312" width="7.875" style="255" customWidth="1"/>
    <col min="12313" max="12313" width="7.25" style="255" customWidth="1"/>
    <col min="12314" max="12314" width="9.125" style="255" customWidth="1"/>
    <col min="12315" max="12315" width="15.125" style="255" customWidth="1"/>
    <col min="12316" max="12316" width="7.75" style="255" customWidth="1"/>
    <col min="12317" max="12317" width="7.125" style="255" customWidth="1"/>
    <col min="12318" max="12318" width="12.125" style="255" customWidth="1"/>
    <col min="12319" max="12319" width="8.25" style="255" customWidth="1"/>
    <col min="12320" max="12321" width="10.375" style="255" customWidth="1"/>
    <col min="12322" max="12322" width="15.625" style="255" customWidth="1"/>
    <col min="12323" max="12323" width="15.875" style="255" customWidth="1"/>
    <col min="12324" max="12324" width="8.125" style="255" customWidth="1"/>
    <col min="12325" max="12328" width="10.375" style="255" customWidth="1"/>
    <col min="12329" max="12329" width="7.25" style="255" customWidth="1"/>
    <col min="12330" max="12330" width="7.125" style="255" customWidth="1"/>
    <col min="12331" max="12331" width="9.5" style="255" customWidth="1"/>
    <col min="12332" max="12333" width="9" style="255" customWidth="1"/>
    <col min="12334" max="12334" width="16.125" style="255" customWidth="1"/>
    <col min="12335" max="12365" width="9" style="255" customWidth="1"/>
    <col min="12366" max="12525" width="25.25" style="255"/>
    <col min="12526" max="12555" width="9" style="255" customWidth="1"/>
    <col min="12556" max="12556" width="0.5" style="255" customWidth="1"/>
    <col min="12557" max="12557" width="25.25" style="255"/>
    <col min="12558" max="12558" width="0.5" style="255" customWidth="1"/>
    <col min="12559" max="12559" width="25.25" style="255"/>
    <col min="12560" max="12560" width="14.75" style="255" customWidth="1"/>
    <col min="12561" max="12561" width="11.5" style="255" customWidth="1"/>
    <col min="12562" max="12562" width="11.25" style="255" customWidth="1"/>
    <col min="12563" max="12563" width="10.75" style="255" customWidth="1"/>
    <col min="12564" max="12564" width="10" style="255" customWidth="1"/>
    <col min="12565" max="12565" width="9.875" style="255" customWidth="1"/>
    <col min="12566" max="12566" width="26.125" style="255" customWidth="1"/>
    <col min="12567" max="12567" width="11.125" style="255" customWidth="1"/>
    <col min="12568" max="12568" width="7.875" style="255" customWidth="1"/>
    <col min="12569" max="12569" width="7.25" style="255" customWidth="1"/>
    <col min="12570" max="12570" width="9.125" style="255" customWidth="1"/>
    <col min="12571" max="12571" width="15.125" style="255" customWidth="1"/>
    <col min="12572" max="12572" width="7.75" style="255" customWidth="1"/>
    <col min="12573" max="12573" width="7.125" style="255" customWidth="1"/>
    <col min="12574" max="12574" width="12.125" style="255" customWidth="1"/>
    <col min="12575" max="12575" width="8.25" style="255" customWidth="1"/>
    <col min="12576" max="12577" width="10.375" style="255" customWidth="1"/>
    <col min="12578" max="12578" width="15.625" style="255" customWidth="1"/>
    <col min="12579" max="12579" width="15.875" style="255" customWidth="1"/>
    <col min="12580" max="12580" width="8.125" style="255" customWidth="1"/>
    <col min="12581" max="12584" width="10.375" style="255" customWidth="1"/>
    <col min="12585" max="12585" width="7.25" style="255" customWidth="1"/>
    <col min="12586" max="12586" width="7.125" style="255" customWidth="1"/>
    <col min="12587" max="12587" width="9.5" style="255" customWidth="1"/>
    <col min="12588" max="12589" width="9" style="255" customWidth="1"/>
    <col min="12590" max="12590" width="16.125" style="255" customWidth="1"/>
    <col min="12591" max="12621" width="9" style="255" customWidth="1"/>
    <col min="12622" max="12781" width="25.25" style="255"/>
    <col min="12782" max="12811" width="9" style="255" customWidth="1"/>
    <col min="12812" max="12812" width="0.5" style="255" customWidth="1"/>
    <col min="12813" max="12813" width="25.25" style="255"/>
    <col min="12814" max="12814" width="0.5" style="255" customWidth="1"/>
    <col min="12815" max="12815" width="25.25" style="255"/>
    <col min="12816" max="12816" width="14.75" style="255" customWidth="1"/>
    <col min="12817" max="12817" width="11.5" style="255" customWidth="1"/>
    <col min="12818" max="12818" width="11.25" style="255" customWidth="1"/>
    <col min="12819" max="12819" width="10.75" style="255" customWidth="1"/>
    <col min="12820" max="12820" width="10" style="255" customWidth="1"/>
    <col min="12821" max="12821" width="9.875" style="255" customWidth="1"/>
    <col min="12822" max="12822" width="26.125" style="255" customWidth="1"/>
    <col min="12823" max="12823" width="11.125" style="255" customWidth="1"/>
    <col min="12824" max="12824" width="7.875" style="255" customWidth="1"/>
    <col min="12825" max="12825" width="7.25" style="255" customWidth="1"/>
    <col min="12826" max="12826" width="9.125" style="255" customWidth="1"/>
    <col min="12827" max="12827" width="15.125" style="255" customWidth="1"/>
    <col min="12828" max="12828" width="7.75" style="255" customWidth="1"/>
    <col min="12829" max="12829" width="7.125" style="255" customWidth="1"/>
    <col min="12830" max="12830" width="12.125" style="255" customWidth="1"/>
    <col min="12831" max="12831" width="8.25" style="255" customWidth="1"/>
    <col min="12832" max="12833" width="10.375" style="255" customWidth="1"/>
    <col min="12834" max="12834" width="15.625" style="255" customWidth="1"/>
    <col min="12835" max="12835" width="15.875" style="255" customWidth="1"/>
    <col min="12836" max="12836" width="8.125" style="255" customWidth="1"/>
    <col min="12837" max="12840" width="10.375" style="255" customWidth="1"/>
    <col min="12841" max="12841" width="7.25" style="255" customWidth="1"/>
    <col min="12842" max="12842" width="7.125" style="255" customWidth="1"/>
    <col min="12843" max="12843" width="9.5" style="255" customWidth="1"/>
    <col min="12844" max="12845" width="9" style="255" customWidth="1"/>
    <col min="12846" max="12846" width="16.125" style="255" customWidth="1"/>
    <col min="12847" max="12877" width="9" style="255" customWidth="1"/>
    <col min="12878" max="13037" width="25.25" style="255"/>
    <col min="13038" max="13067" width="9" style="255" customWidth="1"/>
    <col min="13068" max="13068" width="0.5" style="255" customWidth="1"/>
    <col min="13069" max="13069" width="25.25" style="255"/>
    <col min="13070" max="13070" width="0.5" style="255" customWidth="1"/>
    <col min="13071" max="13071" width="25.25" style="255"/>
    <col min="13072" max="13072" width="14.75" style="255" customWidth="1"/>
    <col min="13073" max="13073" width="11.5" style="255" customWidth="1"/>
    <col min="13074" max="13074" width="11.25" style="255" customWidth="1"/>
    <col min="13075" max="13075" width="10.75" style="255" customWidth="1"/>
    <col min="13076" max="13076" width="10" style="255" customWidth="1"/>
    <col min="13077" max="13077" width="9.875" style="255" customWidth="1"/>
    <col min="13078" max="13078" width="26.125" style="255" customWidth="1"/>
    <col min="13079" max="13079" width="11.125" style="255" customWidth="1"/>
    <col min="13080" max="13080" width="7.875" style="255" customWidth="1"/>
    <col min="13081" max="13081" width="7.25" style="255" customWidth="1"/>
    <col min="13082" max="13082" width="9.125" style="255" customWidth="1"/>
    <col min="13083" max="13083" width="15.125" style="255" customWidth="1"/>
    <col min="13084" max="13084" width="7.75" style="255" customWidth="1"/>
    <col min="13085" max="13085" width="7.125" style="255" customWidth="1"/>
    <col min="13086" max="13086" width="12.125" style="255" customWidth="1"/>
    <col min="13087" max="13087" width="8.25" style="255" customWidth="1"/>
    <col min="13088" max="13089" width="10.375" style="255" customWidth="1"/>
    <col min="13090" max="13090" width="15.625" style="255" customWidth="1"/>
    <col min="13091" max="13091" width="15.875" style="255" customWidth="1"/>
    <col min="13092" max="13092" width="8.125" style="255" customWidth="1"/>
    <col min="13093" max="13096" width="10.375" style="255" customWidth="1"/>
    <col min="13097" max="13097" width="7.25" style="255" customWidth="1"/>
    <col min="13098" max="13098" width="7.125" style="255" customWidth="1"/>
    <col min="13099" max="13099" width="9.5" style="255" customWidth="1"/>
    <col min="13100" max="13101" width="9" style="255" customWidth="1"/>
    <col min="13102" max="13102" width="16.125" style="255" customWidth="1"/>
    <col min="13103" max="13133" width="9" style="255" customWidth="1"/>
    <col min="13134" max="13293" width="25.25" style="255"/>
    <col min="13294" max="13323" width="9" style="255" customWidth="1"/>
    <col min="13324" max="13324" width="0.5" style="255" customWidth="1"/>
    <col min="13325" max="13325" width="25.25" style="255"/>
    <col min="13326" max="13326" width="0.5" style="255" customWidth="1"/>
    <col min="13327" max="13327" width="25.25" style="255"/>
    <col min="13328" max="13328" width="14.75" style="255" customWidth="1"/>
    <col min="13329" max="13329" width="11.5" style="255" customWidth="1"/>
    <col min="13330" max="13330" width="11.25" style="255" customWidth="1"/>
    <col min="13331" max="13331" width="10.75" style="255" customWidth="1"/>
    <col min="13332" max="13332" width="10" style="255" customWidth="1"/>
    <col min="13333" max="13333" width="9.875" style="255" customWidth="1"/>
    <col min="13334" max="13334" width="26.125" style="255" customWidth="1"/>
    <col min="13335" max="13335" width="11.125" style="255" customWidth="1"/>
    <col min="13336" max="13336" width="7.875" style="255" customWidth="1"/>
    <col min="13337" max="13337" width="7.25" style="255" customWidth="1"/>
    <col min="13338" max="13338" width="9.125" style="255" customWidth="1"/>
    <col min="13339" max="13339" width="15.125" style="255" customWidth="1"/>
    <col min="13340" max="13340" width="7.75" style="255" customWidth="1"/>
    <col min="13341" max="13341" width="7.125" style="255" customWidth="1"/>
    <col min="13342" max="13342" width="12.125" style="255" customWidth="1"/>
    <col min="13343" max="13343" width="8.25" style="255" customWidth="1"/>
    <col min="13344" max="13345" width="10.375" style="255" customWidth="1"/>
    <col min="13346" max="13346" width="15.625" style="255" customWidth="1"/>
    <col min="13347" max="13347" width="15.875" style="255" customWidth="1"/>
    <col min="13348" max="13348" width="8.125" style="255" customWidth="1"/>
    <col min="13349" max="13352" width="10.375" style="255" customWidth="1"/>
    <col min="13353" max="13353" width="7.25" style="255" customWidth="1"/>
    <col min="13354" max="13354" width="7.125" style="255" customWidth="1"/>
    <col min="13355" max="13355" width="9.5" style="255" customWidth="1"/>
    <col min="13356" max="13357" width="9" style="255" customWidth="1"/>
    <col min="13358" max="13358" width="16.125" style="255" customWidth="1"/>
    <col min="13359" max="13389" width="9" style="255" customWidth="1"/>
    <col min="13390" max="13549" width="25.25" style="255"/>
    <col min="13550" max="13579" width="9" style="255" customWidth="1"/>
    <col min="13580" max="13580" width="0.5" style="255" customWidth="1"/>
    <col min="13581" max="13581" width="25.25" style="255"/>
    <col min="13582" max="13582" width="0.5" style="255" customWidth="1"/>
    <col min="13583" max="13583" width="25.25" style="255"/>
    <col min="13584" max="13584" width="14.75" style="255" customWidth="1"/>
    <col min="13585" max="13585" width="11.5" style="255" customWidth="1"/>
    <col min="13586" max="13586" width="11.25" style="255" customWidth="1"/>
    <col min="13587" max="13587" width="10.75" style="255" customWidth="1"/>
    <col min="13588" max="13588" width="10" style="255" customWidth="1"/>
    <col min="13589" max="13589" width="9.875" style="255" customWidth="1"/>
    <col min="13590" max="13590" width="26.125" style="255" customWidth="1"/>
    <col min="13591" max="13591" width="11.125" style="255" customWidth="1"/>
    <col min="13592" max="13592" width="7.875" style="255" customWidth="1"/>
    <col min="13593" max="13593" width="7.25" style="255" customWidth="1"/>
    <col min="13594" max="13594" width="9.125" style="255" customWidth="1"/>
    <col min="13595" max="13595" width="15.125" style="255" customWidth="1"/>
    <col min="13596" max="13596" width="7.75" style="255" customWidth="1"/>
    <col min="13597" max="13597" width="7.125" style="255" customWidth="1"/>
    <col min="13598" max="13598" width="12.125" style="255" customWidth="1"/>
    <col min="13599" max="13599" width="8.25" style="255" customWidth="1"/>
    <col min="13600" max="13601" width="10.375" style="255" customWidth="1"/>
    <col min="13602" max="13602" width="15.625" style="255" customWidth="1"/>
    <col min="13603" max="13603" width="15.875" style="255" customWidth="1"/>
    <col min="13604" max="13604" width="8.125" style="255" customWidth="1"/>
    <col min="13605" max="13608" width="10.375" style="255" customWidth="1"/>
    <col min="13609" max="13609" width="7.25" style="255" customWidth="1"/>
    <col min="13610" max="13610" width="7.125" style="255" customWidth="1"/>
    <col min="13611" max="13611" width="9.5" style="255" customWidth="1"/>
    <col min="13612" max="13613" width="9" style="255" customWidth="1"/>
    <col min="13614" max="13614" width="16.125" style="255" customWidth="1"/>
    <col min="13615" max="13645" width="9" style="255" customWidth="1"/>
    <col min="13646" max="13805" width="25.25" style="255"/>
    <col min="13806" max="13835" width="9" style="255" customWidth="1"/>
    <col min="13836" max="13836" width="0.5" style="255" customWidth="1"/>
    <col min="13837" max="13837" width="25.25" style="255"/>
    <col min="13838" max="13838" width="0.5" style="255" customWidth="1"/>
    <col min="13839" max="13839" width="25.25" style="255"/>
    <col min="13840" max="13840" width="14.75" style="255" customWidth="1"/>
    <col min="13841" max="13841" width="11.5" style="255" customWidth="1"/>
    <col min="13842" max="13842" width="11.25" style="255" customWidth="1"/>
    <col min="13843" max="13843" width="10.75" style="255" customWidth="1"/>
    <col min="13844" max="13844" width="10" style="255" customWidth="1"/>
    <col min="13845" max="13845" width="9.875" style="255" customWidth="1"/>
    <col min="13846" max="13846" width="26.125" style="255" customWidth="1"/>
    <col min="13847" max="13847" width="11.125" style="255" customWidth="1"/>
    <col min="13848" max="13848" width="7.875" style="255" customWidth="1"/>
    <col min="13849" max="13849" width="7.25" style="255" customWidth="1"/>
    <col min="13850" max="13850" width="9.125" style="255" customWidth="1"/>
    <col min="13851" max="13851" width="15.125" style="255" customWidth="1"/>
    <col min="13852" max="13852" width="7.75" style="255" customWidth="1"/>
    <col min="13853" max="13853" width="7.125" style="255" customWidth="1"/>
    <col min="13854" max="13854" width="12.125" style="255" customWidth="1"/>
    <col min="13855" max="13855" width="8.25" style="255" customWidth="1"/>
    <col min="13856" max="13857" width="10.375" style="255" customWidth="1"/>
    <col min="13858" max="13858" width="15.625" style="255" customWidth="1"/>
    <col min="13859" max="13859" width="15.875" style="255" customWidth="1"/>
    <col min="13860" max="13860" width="8.125" style="255" customWidth="1"/>
    <col min="13861" max="13864" width="10.375" style="255" customWidth="1"/>
    <col min="13865" max="13865" width="7.25" style="255" customWidth="1"/>
    <col min="13866" max="13866" width="7.125" style="255" customWidth="1"/>
    <col min="13867" max="13867" width="9.5" style="255" customWidth="1"/>
    <col min="13868" max="13869" width="9" style="255" customWidth="1"/>
    <col min="13870" max="13870" width="16.125" style="255" customWidth="1"/>
    <col min="13871" max="13901" width="9" style="255" customWidth="1"/>
    <col min="13902" max="14061" width="25.25" style="255"/>
    <col min="14062" max="14091" width="9" style="255" customWidth="1"/>
    <col min="14092" max="14092" width="0.5" style="255" customWidth="1"/>
    <col min="14093" max="14093" width="25.25" style="255"/>
    <col min="14094" max="14094" width="0.5" style="255" customWidth="1"/>
    <col min="14095" max="14095" width="25.25" style="255"/>
    <col min="14096" max="14096" width="14.75" style="255" customWidth="1"/>
    <col min="14097" max="14097" width="11.5" style="255" customWidth="1"/>
    <col min="14098" max="14098" width="11.25" style="255" customWidth="1"/>
    <col min="14099" max="14099" width="10.75" style="255" customWidth="1"/>
    <col min="14100" max="14100" width="10" style="255" customWidth="1"/>
    <col min="14101" max="14101" width="9.875" style="255" customWidth="1"/>
    <col min="14102" max="14102" width="26.125" style="255" customWidth="1"/>
    <col min="14103" max="14103" width="11.125" style="255" customWidth="1"/>
    <col min="14104" max="14104" width="7.875" style="255" customWidth="1"/>
    <col min="14105" max="14105" width="7.25" style="255" customWidth="1"/>
    <col min="14106" max="14106" width="9.125" style="255" customWidth="1"/>
    <col min="14107" max="14107" width="15.125" style="255" customWidth="1"/>
    <col min="14108" max="14108" width="7.75" style="255" customWidth="1"/>
    <col min="14109" max="14109" width="7.125" style="255" customWidth="1"/>
    <col min="14110" max="14110" width="12.125" style="255" customWidth="1"/>
    <col min="14111" max="14111" width="8.25" style="255" customWidth="1"/>
    <col min="14112" max="14113" width="10.375" style="255" customWidth="1"/>
    <col min="14114" max="14114" width="15.625" style="255" customWidth="1"/>
    <col min="14115" max="14115" width="15.875" style="255" customWidth="1"/>
    <col min="14116" max="14116" width="8.125" style="255" customWidth="1"/>
    <col min="14117" max="14120" width="10.375" style="255" customWidth="1"/>
    <col min="14121" max="14121" width="7.25" style="255" customWidth="1"/>
    <col min="14122" max="14122" width="7.125" style="255" customWidth="1"/>
    <col min="14123" max="14123" width="9.5" style="255" customWidth="1"/>
    <col min="14124" max="14125" width="9" style="255" customWidth="1"/>
    <col min="14126" max="14126" width="16.125" style="255" customWidth="1"/>
    <col min="14127" max="14157" width="9" style="255" customWidth="1"/>
    <col min="14158" max="14317" width="25.25" style="255"/>
    <col min="14318" max="14347" width="9" style="255" customWidth="1"/>
    <col min="14348" max="14348" width="0.5" style="255" customWidth="1"/>
    <col min="14349" max="14349" width="25.25" style="255"/>
    <col min="14350" max="14350" width="0.5" style="255" customWidth="1"/>
    <col min="14351" max="14351" width="25.25" style="255"/>
    <col min="14352" max="14352" width="14.75" style="255" customWidth="1"/>
    <col min="14353" max="14353" width="11.5" style="255" customWidth="1"/>
    <col min="14354" max="14354" width="11.25" style="255" customWidth="1"/>
    <col min="14355" max="14355" width="10.75" style="255" customWidth="1"/>
    <col min="14356" max="14356" width="10" style="255" customWidth="1"/>
    <col min="14357" max="14357" width="9.875" style="255" customWidth="1"/>
    <col min="14358" max="14358" width="26.125" style="255" customWidth="1"/>
    <col min="14359" max="14359" width="11.125" style="255" customWidth="1"/>
    <col min="14360" max="14360" width="7.875" style="255" customWidth="1"/>
    <col min="14361" max="14361" width="7.25" style="255" customWidth="1"/>
    <col min="14362" max="14362" width="9.125" style="255" customWidth="1"/>
    <col min="14363" max="14363" width="15.125" style="255" customWidth="1"/>
    <col min="14364" max="14364" width="7.75" style="255" customWidth="1"/>
    <col min="14365" max="14365" width="7.125" style="255" customWidth="1"/>
    <col min="14366" max="14366" width="12.125" style="255" customWidth="1"/>
    <col min="14367" max="14367" width="8.25" style="255" customWidth="1"/>
    <col min="14368" max="14369" width="10.375" style="255" customWidth="1"/>
    <col min="14370" max="14370" width="15.625" style="255" customWidth="1"/>
    <col min="14371" max="14371" width="15.875" style="255" customWidth="1"/>
    <col min="14372" max="14372" width="8.125" style="255" customWidth="1"/>
    <col min="14373" max="14376" width="10.375" style="255" customWidth="1"/>
    <col min="14377" max="14377" width="7.25" style="255" customWidth="1"/>
    <col min="14378" max="14378" width="7.125" style="255" customWidth="1"/>
    <col min="14379" max="14379" width="9.5" style="255" customWidth="1"/>
    <col min="14380" max="14381" width="9" style="255" customWidth="1"/>
    <col min="14382" max="14382" width="16.125" style="255" customWidth="1"/>
    <col min="14383" max="14413" width="9" style="255" customWidth="1"/>
    <col min="14414" max="14573" width="25.25" style="255"/>
    <col min="14574" max="14603" width="9" style="255" customWidth="1"/>
    <col min="14604" max="14604" width="0.5" style="255" customWidth="1"/>
    <col min="14605" max="14605" width="25.25" style="255"/>
    <col min="14606" max="14606" width="0.5" style="255" customWidth="1"/>
    <col min="14607" max="14607" width="25.25" style="255"/>
    <col min="14608" max="14608" width="14.75" style="255" customWidth="1"/>
    <col min="14609" max="14609" width="11.5" style="255" customWidth="1"/>
    <col min="14610" max="14610" width="11.25" style="255" customWidth="1"/>
    <col min="14611" max="14611" width="10.75" style="255" customWidth="1"/>
    <col min="14612" max="14612" width="10" style="255" customWidth="1"/>
    <col min="14613" max="14613" width="9.875" style="255" customWidth="1"/>
    <col min="14614" max="14614" width="26.125" style="255" customWidth="1"/>
    <col min="14615" max="14615" width="11.125" style="255" customWidth="1"/>
    <col min="14616" max="14616" width="7.875" style="255" customWidth="1"/>
    <col min="14617" max="14617" width="7.25" style="255" customWidth="1"/>
    <col min="14618" max="14618" width="9.125" style="255" customWidth="1"/>
    <col min="14619" max="14619" width="15.125" style="255" customWidth="1"/>
    <col min="14620" max="14620" width="7.75" style="255" customWidth="1"/>
    <col min="14621" max="14621" width="7.125" style="255" customWidth="1"/>
    <col min="14622" max="14622" width="12.125" style="255" customWidth="1"/>
    <col min="14623" max="14623" width="8.25" style="255" customWidth="1"/>
    <col min="14624" max="14625" width="10.375" style="255" customWidth="1"/>
    <col min="14626" max="14626" width="15.625" style="255" customWidth="1"/>
    <col min="14627" max="14627" width="15.875" style="255" customWidth="1"/>
    <col min="14628" max="14628" width="8.125" style="255" customWidth="1"/>
    <col min="14629" max="14632" width="10.375" style="255" customWidth="1"/>
    <col min="14633" max="14633" width="7.25" style="255" customWidth="1"/>
    <col min="14634" max="14634" width="7.125" style="255" customWidth="1"/>
    <col min="14635" max="14635" width="9.5" style="255" customWidth="1"/>
    <col min="14636" max="14637" width="9" style="255" customWidth="1"/>
    <col min="14638" max="14638" width="16.125" style="255" customWidth="1"/>
    <col min="14639" max="14669" width="9" style="255" customWidth="1"/>
    <col min="14670" max="14829" width="25.25" style="255"/>
    <col min="14830" max="14859" width="9" style="255" customWidth="1"/>
    <col min="14860" max="14860" width="0.5" style="255" customWidth="1"/>
    <col min="14861" max="14861" width="25.25" style="255"/>
    <col min="14862" max="14862" width="0.5" style="255" customWidth="1"/>
    <col min="14863" max="14863" width="25.25" style="255"/>
    <col min="14864" max="14864" width="14.75" style="255" customWidth="1"/>
    <col min="14865" max="14865" width="11.5" style="255" customWidth="1"/>
    <col min="14866" max="14866" width="11.25" style="255" customWidth="1"/>
    <col min="14867" max="14867" width="10.75" style="255" customWidth="1"/>
    <col min="14868" max="14868" width="10" style="255" customWidth="1"/>
    <col min="14869" max="14869" width="9.875" style="255" customWidth="1"/>
    <col min="14870" max="14870" width="26.125" style="255" customWidth="1"/>
    <col min="14871" max="14871" width="11.125" style="255" customWidth="1"/>
    <col min="14872" max="14872" width="7.875" style="255" customWidth="1"/>
    <col min="14873" max="14873" width="7.25" style="255" customWidth="1"/>
    <col min="14874" max="14874" width="9.125" style="255" customWidth="1"/>
    <col min="14875" max="14875" width="15.125" style="255" customWidth="1"/>
    <col min="14876" max="14876" width="7.75" style="255" customWidth="1"/>
    <col min="14877" max="14877" width="7.125" style="255" customWidth="1"/>
    <col min="14878" max="14878" width="12.125" style="255" customWidth="1"/>
    <col min="14879" max="14879" width="8.25" style="255" customWidth="1"/>
    <col min="14880" max="14881" width="10.375" style="255" customWidth="1"/>
    <col min="14882" max="14882" width="15.625" style="255" customWidth="1"/>
    <col min="14883" max="14883" width="15.875" style="255" customWidth="1"/>
    <col min="14884" max="14884" width="8.125" style="255" customWidth="1"/>
    <col min="14885" max="14888" width="10.375" style="255" customWidth="1"/>
    <col min="14889" max="14889" width="7.25" style="255" customWidth="1"/>
    <col min="14890" max="14890" width="7.125" style="255" customWidth="1"/>
    <col min="14891" max="14891" width="9.5" style="255" customWidth="1"/>
    <col min="14892" max="14893" width="9" style="255" customWidth="1"/>
    <col min="14894" max="14894" width="16.125" style="255" customWidth="1"/>
    <col min="14895" max="14925" width="9" style="255" customWidth="1"/>
    <col min="14926" max="15085" width="25.25" style="255"/>
    <col min="15086" max="15115" width="9" style="255" customWidth="1"/>
    <col min="15116" max="15116" width="0.5" style="255" customWidth="1"/>
    <col min="15117" max="15117" width="25.25" style="255"/>
    <col min="15118" max="15118" width="0.5" style="255" customWidth="1"/>
    <col min="15119" max="15119" width="25.25" style="255"/>
    <col min="15120" max="15120" width="14.75" style="255" customWidth="1"/>
    <col min="15121" max="15121" width="11.5" style="255" customWidth="1"/>
    <col min="15122" max="15122" width="11.25" style="255" customWidth="1"/>
    <col min="15123" max="15123" width="10.75" style="255" customWidth="1"/>
    <col min="15124" max="15124" width="10" style="255" customWidth="1"/>
    <col min="15125" max="15125" width="9.875" style="255" customWidth="1"/>
    <col min="15126" max="15126" width="26.125" style="255" customWidth="1"/>
    <col min="15127" max="15127" width="11.125" style="255" customWidth="1"/>
    <col min="15128" max="15128" width="7.875" style="255" customWidth="1"/>
    <col min="15129" max="15129" width="7.25" style="255" customWidth="1"/>
    <col min="15130" max="15130" width="9.125" style="255" customWidth="1"/>
    <col min="15131" max="15131" width="15.125" style="255" customWidth="1"/>
    <col min="15132" max="15132" width="7.75" style="255" customWidth="1"/>
    <col min="15133" max="15133" width="7.125" style="255" customWidth="1"/>
    <col min="15134" max="15134" width="12.125" style="255" customWidth="1"/>
    <col min="15135" max="15135" width="8.25" style="255" customWidth="1"/>
    <col min="15136" max="15137" width="10.375" style="255" customWidth="1"/>
    <col min="15138" max="15138" width="15.625" style="255" customWidth="1"/>
    <col min="15139" max="15139" width="15.875" style="255" customWidth="1"/>
    <col min="15140" max="15140" width="8.125" style="255" customWidth="1"/>
    <col min="15141" max="15144" width="10.375" style="255" customWidth="1"/>
    <col min="15145" max="15145" width="7.25" style="255" customWidth="1"/>
    <col min="15146" max="15146" width="7.125" style="255" customWidth="1"/>
    <col min="15147" max="15147" width="9.5" style="255" customWidth="1"/>
    <col min="15148" max="15149" width="9" style="255" customWidth="1"/>
    <col min="15150" max="15150" width="16.125" style="255" customWidth="1"/>
    <col min="15151" max="15181" width="9" style="255" customWidth="1"/>
    <col min="15182" max="15341" width="25.25" style="255"/>
    <col min="15342" max="15371" width="9" style="255" customWidth="1"/>
    <col min="15372" max="15372" width="0.5" style="255" customWidth="1"/>
    <col min="15373" max="15373" width="25.25" style="255"/>
    <col min="15374" max="15374" width="0.5" style="255" customWidth="1"/>
    <col min="15375" max="15375" width="25.25" style="255"/>
    <col min="15376" max="15376" width="14.75" style="255" customWidth="1"/>
    <col min="15377" max="15377" width="11.5" style="255" customWidth="1"/>
    <col min="15378" max="15378" width="11.25" style="255" customWidth="1"/>
    <col min="15379" max="15379" width="10.75" style="255" customWidth="1"/>
    <col min="15380" max="15380" width="10" style="255" customWidth="1"/>
    <col min="15381" max="15381" width="9.875" style="255" customWidth="1"/>
    <col min="15382" max="15382" width="26.125" style="255" customWidth="1"/>
    <col min="15383" max="15383" width="11.125" style="255" customWidth="1"/>
    <col min="15384" max="15384" width="7.875" style="255" customWidth="1"/>
    <col min="15385" max="15385" width="7.25" style="255" customWidth="1"/>
    <col min="15386" max="15386" width="9.125" style="255" customWidth="1"/>
    <col min="15387" max="15387" width="15.125" style="255" customWidth="1"/>
    <col min="15388" max="15388" width="7.75" style="255" customWidth="1"/>
    <col min="15389" max="15389" width="7.125" style="255" customWidth="1"/>
    <col min="15390" max="15390" width="12.125" style="255" customWidth="1"/>
    <col min="15391" max="15391" width="8.25" style="255" customWidth="1"/>
    <col min="15392" max="15393" width="10.375" style="255" customWidth="1"/>
    <col min="15394" max="15394" width="15.625" style="255" customWidth="1"/>
    <col min="15395" max="15395" width="15.875" style="255" customWidth="1"/>
    <col min="15396" max="15396" width="8.125" style="255" customWidth="1"/>
    <col min="15397" max="15400" width="10.375" style="255" customWidth="1"/>
    <col min="15401" max="15401" width="7.25" style="255" customWidth="1"/>
    <col min="15402" max="15402" width="7.125" style="255" customWidth="1"/>
    <col min="15403" max="15403" width="9.5" style="255" customWidth="1"/>
    <col min="15404" max="15405" width="9" style="255" customWidth="1"/>
    <col min="15406" max="15406" width="16.125" style="255" customWidth="1"/>
    <col min="15407" max="15437" width="9" style="255" customWidth="1"/>
    <col min="15438" max="15597" width="25.25" style="255"/>
    <col min="15598" max="15627" width="9" style="255" customWidth="1"/>
    <col min="15628" max="15628" width="0.5" style="255" customWidth="1"/>
    <col min="15629" max="15629" width="25.25" style="255"/>
    <col min="15630" max="15630" width="0.5" style="255" customWidth="1"/>
    <col min="15631" max="15631" width="25.25" style="255"/>
    <col min="15632" max="15632" width="14.75" style="255" customWidth="1"/>
    <col min="15633" max="15633" width="11.5" style="255" customWidth="1"/>
    <col min="15634" max="15634" width="11.25" style="255" customWidth="1"/>
    <col min="15635" max="15635" width="10.75" style="255" customWidth="1"/>
    <col min="15636" max="15636" width="10" style="255" customWidth="1"/>
    <col min="15637" max="15637" width="9.875" style="255" customWidth="1"/>
    <col min="15638" max="15638" width="26.125" style="255" customWidth="1"/>
    <col min="15639" max="15639" width="11.125" style="255" customWidth="1"/>
    <col min="15640" max="15640" width="7.875" style="255" customWidth="1"/>
    <col min="15641" max="15641" width="7.25" style="255" customWidth="1"/>
    <col min="15642" max="15642" width="9.125" style="255" customWidth="1"/>
    <col min="15643" max="15643" width="15.125" style="255" customWidth="1"/>
    <col min="15644" max="15644" width="7.75" style="255" customWidth="1"/>
    <col min="15645" max="15645" width="7.125" style="255" customWidth="1"/>
    <col min="15646" max="15646" width="12.125" style="255" customWidth="1"/>
    <col min="15647" max="15647" width="8.25" style="255" customWidth="1"/>
    <col min="15648" max="15649" width="10.375" style="255" customWidth="1"/>
    <col min="15650" max="15650" width="15.625" style="255" customWidth="1"/>
    <col min="15651" max="15651" width="15.875" style="255" customWidth="1"/>
    <col min="15652" max="15652" width="8.125" style="255" customWidth="1"/>
    <col min="15653" max="15656" width="10.375" style="255" customWidth="1"/>
    <col min="15657" max="15657" width="7.25" style="255" customWidth="1"/>
    <col min="15658" max="15658" width="7.125" style="255" customWidth="1"/>
    <col min="15659" max="15659" width="9.5" style="255" customWidth="1"/>
    <col min="15660" max="15661" width="9" style="255" customWidth="1"/>
    <col min="15662" max="15662" width="16.125" style="255" customWidth="1"/>
    <col min="15663" max="15693" width="9" style="255" customWidth="1"/>
    <col min="15694" max="15853" width="25.25" style="255"/>
    <col min="15854" max="15883" width="9" style="255" customWidth="1"/>
    <col min="15884" max="15884" width="0.5" style="255" customWidth="1"/>
    <col min="15885" max="15885" width="25.25" style="255"/>
    <col min="15886" max="15886" width="0.5" style="255" customWidth="1"/>
    <col min="15887" max="15887" width="25.25" style="255"/>
    <col min="15888" max="15888" width="14.75" style="255" customWidth="1"/>
    <col min="15889" max="15889" width="11.5" style="255" customWidth="1"/>
    <col min="15890" max="15890" width="11.25" style="255" customWidth="1"/>
    <col min="15891" max="15891" width="10.75" style="255" customWidth="1"/>
    <col min="15892" max="15892" width="10" style="255" customWidth="1"/>
    <col min="15893" max="15893" width="9.875" style="255" customWidth="1"/>
    <col min="15894" max="15894" width="26.125" style="255" customWidth="1"/>
    <col min="15895" max="15895" width="11.125" style="255" customWidth="1"/>
    <col min="15896" max="15896" width="7.875" style="255" customWidth="1"/>
    <col min="15897" max="15897" width="7.25" style="255" customWidth="1"/>
    <col min="15898" max="15898" width="9.125" style="255" customWidth="1"/>
    <col min="15899" max="15899" width="15.125" style="255" customWidth="1"/>
    <col min="15900" max="15900" width="7.75" style="255" customWidth="1"/>
    <col min="15901" max="15901" width="7.125" style="255" customWidth="1"/>
    <col min="15902" max="15902" width="12.125" style="255" customWidth="1"/>
    <col min="15903" max="15903" width="8.25" style="255" customWidth="1"/>
    <col min="15904" max="15905" width="10.375" style="255" customWidth="1"/>
    <col min="15906" max="15906" width="15.625" style="255" customWidth="1"/>
    <col min="15907" max="15907" width="15.875" style="255" customWidth="1"/>
    <col min="15908" max="15908" width="8.125" style="255" customWidth="1"/>
    <col min="15909" max="15912" width="10.375" style="255" customWidth="1"/>
    <col min="15913" max="15913" width="7.25" style="255" customWidth="1"/>
    <col min="15914" max="15914" width="7.125" style="255" customWidth="1"/>
    <col min="15915" max="15915" width="9.5" style="255" customWidth="1"/>
    <col min="15916" max="15917" width="9" style="255" customWidth="1"/>
    <col min="15918" max="15918" width="16.125" style="255" customWidth="1"/>
    <col min="15919" max="15949" width="9" style="255" customWidth="1"/>
    <col min="15950" max="16109" width="25.25" style="255"/>
    <col min="16110" max="16139" width="9" style="255" customWidth="1"/>
    <col min="16140" max="16140" width="0.5" style="255" customWidth="1"/>
    <col min="16141" max="16384" width="25.25" style="255"/>
  </cols>
  <sheetData>
    <row r="1" spans="1:16" ht="14.25" thickBot="1"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1"/>
      <c r="O1" s="1"/>
      <c r="P1" s="1"/>
    </row>
    <row r="2" spans="1:16" ht="18" customHeight="1">
      <c r="A2" s="5"/>
      <c r="B2" s="6" t="s">
        <v>402</v>
      </c>
      <c r="C2" s="444"/>
      <c r="D2" s="444" t="s">
        <v>9</v>
      </c>
      <c r="E2" s="444" t="s">
        <v>10</v>
      </c>
      <c r="F2" s="661" t="s">
        <v>11</v>
      </c>
      <c r="G2" s="661"/>
      <c r="H2" s="661"/>
      <c r="I2" s="662" t="s">
        <v>12</v>
      </c>
      <c r="J2" s="664" t="s">
        <v>13</v>
      </c>
      <c r="K2" s="665"/>
      <c r="L2" s="665"/>
      <c r="M2" s="666"/>
      <c r="N2" s="8"/>
      <c r="O2" s="8"/>
      <c r="P2" s="8"/>
    </row>
    <row r="3" spans="1:16" ht="18" customHeight="1">
      <c r="B3" s="9" t="s">
        <v>14</v>
      </c>
      <c r="C3" s="10" t="s">
        <v>15</v>
      </c>
      <c r="D3" s="10" t="s">
        <v>16</v>
      </c>
      <c r="E3" s="10" t="s">
        <v>17</v>
      </c>
      <c r="F3" s="10" t="s">
        <v>7</v>
      </c>
      <c r="G3" s="10" t="s">
        <v>5</v>
      </c>
      <c r="H3" s="10" t="s">
        <v>18</v>
      </c>
      <c r="I3" s="663"/>
      <c r="J3" s="11" t="s">
        <v>19</v>
      </c>
      <c r="K3" s="12" t="s">
        <v>20</v>
      </c>
      <c r="L3" s="12" t="s">
        <v>21</v>
      </c>
      <c r="M3" s="13" t="s">
        <v>22</v>
      </c>
      <c r="N3" s="14"/>
      <c r="P3" s="15"/>
    </row>
    <row r="4" spans="1:16" ht="18" customHeight="1">
      <c r="B4" s="667" t="str">
        <f ca="1">MID(CELL("filename",Q13),FIND("]",CELL("filename",Q13))+1,30)</f>
        <v>GDC1212</v>
      </c>
      <c r="C4" s="17" t="s">
        <v>23</v>
      </c>
      <c r="D4" s="17">
        <v>1200</v>
      </c>
      <c r="E4" s="17">
        <v>1200</v>
      </c>
      <c r="F4" s="222">
        <f>D4*E4/10^6</f>
        <v>1.44</v>
      </c>
      <c r="G4" s="17">
        <v>1</v>
      </c>
      <c r="H4" s="17">
        <f>F4*G4</f>
        <v>1.44</v>
      </c>
      <c r="I4" s="663"/>
      <c r="J4" s="19">
        <v>40</v>
      </c>
      <c r="K4" s="20">
        <v>20</v>
      </c>
      <c r="L4" s="21">
        <v>1.5</v>
      </c>
      <c r="M4" s="22">
        <f t="shared" ref="M4:M11" si="0">ROUND(((J4*K4)-(J4-2*L4)*(K4-2*L4))*7.8/1000,3)</f>
        <v>1.3340000000000001</v>
      </c>
    </row>
    <row r="5" spans="1:16" ht="18" customHeight="1">
      <c r="B5" s="668"/>
      <c r="C5" s="221" t="s">
        <v>299</v>
      </c>
      <c r="D5" s="221">
        <f>D4-70</f>
        <v>1130</v>
      </c>
      <c r="E5" s="221">
        <f>E4-70</f>
        <v>1130</v>
      </c>
      <c r="F5" s="222">
        <f>D5*E5/10^6</f>
        <v>1.2768999999999999</v>
      </c>
      <c r="G5" s="221">
        <v>1</v>
      </c>
      <c r="H5" s="222">
        <f>F5*G5</f>
        <v>1.2768999999999999</v>
      </c>
      <c r="I5" s="663"/>
      <c r="J5" s="19">
        <v>40</v>
      </c>
      <c r="K5" s="20">
        <v>20</v>
      </c>
      <c r="L5" s="21">
        <v>2</v>
      </c>
      <c r="M5" s="22">
        <f t="shared" si="0"/>
        <v>1.7470000000000001</v>
      </c>
    </row>
    <row r="6" spans="1:16" ht="18" customHeight="1">
      <c r="B6" s="669"/>
      <c r="C6" s="17" t="s">
        <v>24</v>
      </c>
      <c r="D6" s="17">
        <f>D4-80</f>
        <v>1120</v>
      </c>
      <c r="E6" s="17">
        <f>E4-80</f>
        <v>1120</v>
      </c>
      <c r="F6" s="18">
        <f>D6*E6/10^6</f>
        <v>1.2544</v>
      </c>
      <c r="G6" s="17">
        <v>1</v>
      </c>
      <c r="H6" s="18">
        <f>F6*G6</f>
        <v>1.2544</v>
      </c>
      <c r="I6" s="663"/>
      <c r="J6" s="19">
        <v>40</v>
      </c>
      <c r="K6" s="20">
        <v>20</v>
      </c>
      <c r="L6" s="21">
        <v>2</v>
      </c>
      <c r="M6" s="22">
        <f t="shared" si="0"/>
        <v>1.7470000000000001</v>
      </c>
    </row>
    <row r="7" spans="1:16" ht="18" customHeight="1">
      <c r="B7" s="23" t="s">
        <v>25</v>
      </c>
      <c r="C7" s="442" t="s">
        <v>16</v>
      </c>
      <c r="D7" s="442" t="s">
        <v>26</v>
      </c>
      <c r="E7" s="442" t="s">
        <v>17</v>
      </c>
      <c r="F7" s="442" t="s">
        <v>27</v>
      </c>
      <c r="G7" s="442" t="s">
        <v>22</v>
      </c>
      <c r="H7" s="442" t="s">
        <v>28</v>
      </c>
      <c r="I7" s="25" t="s">
        <v>29</v>
      </c>
      <c r="J7" s="19">
        <v>80</v>
      </c>
      <c r="K7" s="20">
        <v>40</v>
      </c>
      <c r="L7" s="21">
        <v>2</v>
      </c>
      <c r="M7" s="22">
        <f t="shared" si="0"/>
        <v>3.6190000000000002</v>
      </c>
    </row>
    <row r="8" spans="1:16" ht="18" customHeight="1">
      <c r="B8" s="441" t="s">
        <v>30</v>
      </c>
      <c r="C8" s="27">
        <f>D4-30</f>
        <v>1170</v>
      </c>
      <c r="D8" s="27">
        <v>2</v>
      </c>
      <c r="E8" s="27">
        <f>E4-30</f>
        <v>1170</v>
      </c>
      <c r="F8" s="27">
        <v>2</v>
      </c>
      <c r="G8" s="28">
        <v>1.7470000000000001</v>
      </c>
      <c r="H8" s="29">
        <f>材料价格!B3</f>
        <v>7.5</v>
      </c>
      <c r="I8" s="30">
        <f>ROUND((C8*D8+E8*F8)*G8*H8/1000*1.1,2)</f>
        <v>67.45</v>
      </c>
      <c r="J8" s="19">
        <v>40</v>
      </c>
      <c r="K8" s="20">
        <v>20</v>
      </c>
      <c r="L8" s="21">
        <v>1.4</v>
      </c>
      <c r="M8" s="22">
        <f>ROUND(((J8*K8)-(J8-2*L8)*(K8-2*L8))*2.71/1000,3)</f>
        <v>0.434</v>
      </c>
    </row>
    <row r="9" spans="1:16" ht="18" customHeight="1">
      <c r="B9" s="441" t="s">
        <v>30</v>
      </c>
      <c r="C9" s="440"/>
      <c r="D9" s="440"/>
      <c r="E9" s="440"/>
      <c r="F9" s="440"/>
      <c r="G9" s="28">
        <v>1.7470000000000001</v>
      </c>
      <c r="H9" s="32">
        <f>H8</f>
        <v>7.5</v>
      </c>
      <c r="I9" s="30">
        <f>ROUND((C9*D9+E9*F9)*G9*H9/1000*1.1,2)</f>
        <v>0</v>
      </c>
      <c r="J9" s="19"/>
      <c r="K9" s="20"/>
      <c r="L9" s="21"/>
      <c r="M9" s="22">
        <f t="shared" si="0"/>
        <v>0</v>
      </c>
    </row>
    <row r="10" spans="1:16" ht="18" customHeight="1">
      <c r="B10" s="441" t="s">
        <v>31</v>
      </c>
      <c r="C10" s="440"/>
      <c r="D10" s="440"/>
      <c r="E10" s="440"/>
      <c r="F10" s="440"/>
      <c r="G10" s="28">
        <v>3.6190000000000002</v>
      </c>
      <c r="H10" s="32">
        <f>H9</f>
        <v>7.5</v>
      </c>
      <c r="I10" s="30">
        <f>ROUND((C10*D10+E10*F10)*G10*H10/1000*1.1,2)</f>
        <v>0</v>
      </c>
      <c r="J10" s="19"/>
      <c r="K10" s="20"/>
      <c r="L10" s="12"/>
      <c r="M10" s="22">
        <f t="shared" si="0"/>
        <v>0</v>
      </c>
    </row>
    <row r="11" spans="1:16" ht="18" customHeight="1" thickBot="1">
      <c r="B11" s="441" t="s">
        <v>32</v>
      </c>
      <c r="C11" s="440"/>
      <c r="D11" s="440"/>
      <c r="E11" s="440"/>
      <c r="F11" s="440"/>
      <c r="G11" s="28">
        <v>2.9950000000000001</v>
      </c>
      <c r="H11" s="32">
        <f>H10</f>
        <v>7.5</v>
      </c>
      <c r="I11" s="30">
        <f>ROUND((C11*D11+E11*F11)*G11*H11/1000*1.1,2)</f>
        <v>0</v>
      </c>
      <c r="J11" s="33"/>
      <c r="K11" s="34"/>
      <c r="L11" s="35"/>
      <c r="M11" s="36">
        <f t="shared" si="0"/>
        <v>0</v>
      </c>
    </row>
    <row r="12" spans="1:16" ht="18" customHeight="1">
      <c r="B12" s="37" t="s">
        <v>33</v>
      </c>
      <c r="C12" s="38">
        <f>((I9+I10+I8+I11)/H8)/F4</f>
        <v>6.2453703703703711</v>
      </c>
      <c r="D12" s="39" t="s">
        <v>34</v>
      </c>
      <c r="E12" s="38">
        <f>(I9+I10+I8+I11)/F4</f>
        <v>46.840277777777779</v>
      </c>
      <c r="F12" s="40" t="s">
        <v>35</v>
      </c>
      <c r="G12" s="39"/>
      <c r="H12" s="39">
        <f>ROUND(SUM(I8:I11)/H8,2)</f>
        <v>8.99</v>
      </c>
      <c r="I12" s="41">
        <f>SUM(I8:I11)</f>
        <v>67.45</v>
      </c>
      <c r="J12" s="42"/>
    </row>
    <row r="13" spans="1:16" ht="18" customHeight="1">
      <c r="B13" s="23" t="s">
        <v>36</v>
      </c>
      <c r="C13" s="442" t="s">
        <v>14</v>
      </c>
      <c r="D13" s="442" t="s">
        <v>37</v>
      </c>
      <c r="E13" s="442" t="s">
        <v>38</v>
      </c>
      <c r="F13" s="442" t="s">
        <v>39</v>
      </c>
      <c r="G13" s="442" t="s">
        <v>8</v>
      </c>
      <c r="H13" s="442" t="s">
        <v>22</v>
      </c>
      <c r="I13" s="25" t="s">
        <v>40</v>
      </c>
    </row>
    <row r="14" spans="1:16" ht="18" customHeight="1">
      <c r="B14" s="648" t="s">
        <v>41</v>
      </c>
      <c r="C14" s="649" t="s">
        <v>404</v>
      </c>
      <c r="D14" s="440">
        <f>D6-D108</f>
        <v>1120</v>
      </c>
      <c r="E14" s="440">
        <f>E6</f>
        <v>1120</v>
      </c>
      <c r="F14" s="44">
        <f>ROUND((D14+E14)*2/1000,4)</f>
        <v>4.4800000000000004</v>
      </c>
      <c r="G14" s="440">
        <v>1</v>
      </c>
      <c r="H14" s="440">
        <v>1.47</v>
      </c>
      <c r="I14" s="437">
        <f t="shared" ref="I14:I21" si="1">ROUND(F14*G14*H14,3)</f>
        <v>6.5860000000000003</v>
      </c>
      <c r="J14" s="42"/>
      <c r="K14" s="46"/>
      <c r="L14" s="46"/>
      <c r="M14" s="42"/>
    </row>
    <row r="15" spans="1:16" ht="18" customHeight="1">
      <c r="B15" s="648"/>
      <c r="C15" s="650"/>
      <c r="D15" s="440"/>
      <c r="E15" s="440"/>
      <c r="F15" s="44">
        <f t="shared" ref="F15:F21" si="2">ROUND((D15+E15)*2/1000,4)</f>
        <v>0</v>
      </c>
      <c r="G15" s="440"/>
      <c r="H15" s="440">
        <f t="shared" ref="H15:H21" si="3">H14</f>
        <v>1.47</v>
      </c>
      <c r="I15" s="437">
        <f t="shared" si="1"/>
        <v>0</v>
      </c>
      <c r="K15" s="47"/>
      <c r="M15" s="255"/>
    </row>
    <row r="16" spans="1:16" ht="18" customHeight="1">
      <c r="B16" s="648"/>
      <c r="C16" s="650"/>
      <c r="D16" s="440"/>
      <c r="E16" s="440"/>
      <c r="F16" s="44">
        <f t="shared" si="2"/>
        <v>0</v>
      </c>
      <c r="G16" s="440"/>
      <c r="H16" s="440">
        <f t="shared" si="3"/>
        <v>1.47</v>
      </c>
      <c r="I16" s="437">
        <f t="shared" si="1"/>
        <v>0</v>
      </c>
      <c r="K16" s="47"/>
      <c r="L16" s="46"/>
      <c r="M16" s="42"/>
    </row>
    <row r="17" spans="2:15" ht="18" customHeight="1">
      <c r="B17" s="648"/>
      <c r="C17" s="650"/>
      <c r="D17" s="440"/>
      <c r="E17" s="440"/>
      <c r="F17" s="44">
        <f t="shared" si="2"/>
        <v>0</v>
      </c>
      <c r="G17" s="440"/>
      <c r="H17" s="440">
        <f t="shared" si="3"/>
        <v>1.47</v>
      </c>
      <c r="I17" s="437">
        <f t="shared" si="1"/>
        <v>0</v>
      </c>
      <c r="K17" s="47"/>
      <c r="M17" s="42"/>
    </row>
    <row r="18" spans="2:15" ht="18" customHeight="1">
      <c r="B18" s="648"/>
      <c r="C18" s="650"/>
      <c r="D18" s="440"/>
      <c r="E18" s="440"/>
      <c r="F18" s="44">
        <f t="shared" si="2"/>
        <v>0</v>
      </c>
      <c r="G18" s="440"/>
      <c r="H18" s="440">
        <f t="shared" si="3"/>
        <v>1.47</v>
      </c>
      <c r="I18" s="437">
        <f t="shared" si="1"/>
        <v>0</v>
      </c>
      <c r="M18" s="42"/>
    </row>
    <row r="19" spans="2:15" ht="18" customHeight="1">
      <c r="B19" s="648"/>
      <c r="C19" s="650"/>
      <c r="D19" s="440"/>
      <c r="E19" s="440"/>
      <c r="F19" s="44">
        <f t="shared" si="2"/>
        <v>0</v>
      </c>
      <c r="G19" s="440"/>
      <c r="H19" s="440">
        <f t="shared" si="3"/>
        <v>1.47</v>
      </c>
      <c r="I19" s="437">
        <f t="shared" si="1"/>
        <v>0</v>
      </c>
      <c r="M19" s="42"/>
    </row>
    <row r="20" spans="2:15" ht="18" customHeight="1">
      <c r="B20" s="648"/>
      <c r="C20" s="650"/>
      <c r="D20" s="440"/>
      <c r="E20" s="440"/>
      <c r="F20" s="44">
        <f t="shared" si="2"/>
        <v>0</v>
      </c>
      <c r="G20" s="440"/>
      <c r="H20" s="440">
        <f t="shared" si="3"/>
        <v>1.47</v>
      </c>
      <c r="I20" s="437">
        <f t="shared" si="1"/>
        <v>0</v>
      </c>
      <c r="K20" s="47"/>
      <c r="M20" s="42"/>
    </row>
    <row r="21" spans="2:15" ht="18" customHeight="1">
      <c r="B21" s="648"/>
      <c r="C21" s="651"/>
      <c r="D21" s="440"/>
      <c r="E21" s="440"/>
      <c r="F21" s="44">
        <f t="shared" si="2"/>
        <v>0</v>
      </c>
      <c r="G21" s="440"/>
      <c r="H21" s="440">
        <f t="shared" si="3"/>
        <v>1.47</v>
      </c>
      <c r="I21" s="437">
        <f t="shared" si="1"/>
        <v>0</v>
      </c>
    </row>
    <row r="22" spans="2:15" ht="18" customHeight="1">
      <c r="B22" s="48" t="s">
        <v>42</v>
      </c>
      <c r="C22" s="49">
        <f>SUMPRODUCT(F14:F21*G14:G21)</f>
        <v>4.4800000000000004</v>
      </c>
      <c r="D22" s="50" t="s">
        <v>43</v>
      </c>
      <c r="E22" s="49">
        <f>SUM(I14:I21)*1.1</f>
        <v>7.244600000000001</v>
      </c>
      <c r="F22" s="50" t="s">
        <v>44</v>
      </c>
      <c r="G22" s="51">
        <f>(C$218+C$219)/1000</f>
        <v>46.081499999999998</v>
      </c>
      <c r="H22" s="52" t="s">
        <v>45</v>
      </c>
      <c r="I22" s="53">
        <f>ROUND(E22*G22,2)</f>
        <v>333.84</v>
      </c>
      <c r="J22" s="243">
        <f>SUM(G14:G21)</f>
        <v>1</v>
      </c>
    </row>
    <row r="23" spans="2:15" ht="18" customHeight="1">
      <c r="B23" s="48" t="s">
        <v>46</v>
      </c>
      <c r="C23" s="50">
        <v>207.36</v>
      </c>
      <c r="D23" s="50" t="s">
        <v>47</v>
      </c>
      <c r="E23" s="49">
        <f>ROUND(C22*(C23/1000),2)</f>
        <v>0.93</v>
      </c>
      <c r="F23" s="50" t="s">
        <v>48</v>
      </c>
      <c r="G23" s="50">
        <v>10</v>
      </c>
      <c r="H23" s="52" t="s">
        <v>49</v>
      </c>
      <c r="I23" s="53">
        <f>E23*G23</f>
        <v>9.3000000000000007</v>
      </c>
    </row>
    <row r="24" spans="2:15" ht="18" customHeight="1" thickBot="1">
      <c r="B24" s="48" t="s">
        <v>50</v>
      </c>
      <c r="C24" s="50">
        <v>169.96</v>
      </c>
      <c r="D24" s="50" t="s">
        <v>51</v>
      </c>
      <c r="E24" s="49">
        <f>ROUND(C22*(C24/1000),2)</f>
        <v>0.76</v>
      </c>
      <c r="F24" s="50" t="s">
        <v>48</v>
      </c>
      <c r="G24" s="50">
        <v>10</v>
      </c>
      <c r="H24" s="52" t="s">
        <v>49</v>
      </c>
      <c r="I24" s="53">
        <f>E24*G24</f>
        <v>7.6</v>
      </c>
    </row>
    <row r="25" spans="2:15" ht="18" customHeight="1">
      <c r="B25" s="23" t="s">
        <v>36</v>
      </c>
      <c r="C25" s="442" t="s">
        <v>14</v>
      </c>
      <c r="D25" s="442" t="s">
        <v>37</v>
      </c>
      <c r="E25" s="442" t="s">
        <v>38</v>
      </c>
      <c r="F25" s="442" t="s">
        <v>39</v>
      </c>
      <c r="G25" s="442" t="s">
        <v>8</v>
      </c>
      <c r="H25" s="442" t="s">
        <v>22</v>
      </c>
      <c r="I25" s="25" t="s">
        <v>40</v>
      </c>
      <c r="J25" s="54" t="s">
        <v>2</v>
      </c>
      <c r="K25" s="55" t="s">
        <v>3</v>
      </c>
      <c r="L25" s="55" t="s">
        <v>52</v>
      </c>
      <c r="M25" s="55" t="s">
        <v>53</v>
      </c>
      <c r="N25" s="56" t="s">
        <v>14</v>
      </c>
    </row>
    <row r="26" spans="2:15" ht="18" customHeight="1">
      <c r="B26" s="648" t="s">
        <v>54</v>
      </c>
      <c r="C26" s="649" t="s">
        <v>55</v>
      </c>
      <c r="D26" s="443">
        <f>J26-IF(L26=1,44,IF(L26=2,30,IF(L26=3,16,0)))</f>
        <v>0</v>
      </c>
      <c r="E26" s="443">
        <f>K26-IF(M26=1,44,IF(M26=2,30,IF(M26=3,16,0)))</f>
        <v>0</v>
      </c>
      <c r="F26" s="44">
        <f>ROUND((D26+E26)*2/1000,4)</f>
        <v>0</v>
      </c>
      <c r="G26" s="440"/>
      <c r="H26" s="58">
        <v>1.62</v>
      </c>
      <c r="I26" s="59">
        <f>IF(AND(D26&gt;0,E26&gt;0,F26&gt;0),F26*G26*H26,0)</f>
        <v>0</v>
      </c>
      <c r="J26" s="60"/>
      <c r="K26" s="61"/>
      <c r="L26" s="61"/>
      <c r="M26" s="61"/>
      <c r="N26" s="62" t="s">
        <v>56</v>
      </c>
      <c r="O26" s="63" t="s">
        <v>57</v>
      </c>
    </row>
    <row r="27" spans="2:15" ht="18" customHeight="1">
      <c r="B27" s="648"/>
      <c r="C27" s="650"/>
      <c r="D27" s="443">
        <f t="shared" ref="D27:E30" si="4">J27-IF(L27=1,44,IF(L27=2,30,IF(L27=3,16,0)))</f>
        <v>0</v>
      </c>
      <c r="E27" s="443">
        <f t="shared" si="4"/>
        <v>0</v>
      </c>
      <c r="F27" s="44">
        <f>ROUND((D27+E27)*2/1000,4)</f>
        <v>0</v>
      </c>
      <c r="G27" s="440"/>
      <c r="H27" s="58">
        <f>H26</f>
        <v>1.62</v>
      </c>
      <c r="I27" s="59">
        <f>IF(AND(D27&gt;0,E27&gt;0,F27&gt;0),F27*G27*H27,0)</f>
        <v>0</v>
      </c>
      <c r="J27" s="60"/>
      <c r="K27" s="61"/>
      <c r="L27" s="61"/>
      <c r="M27" s="61"/>
      <c r="N27" s="62" t="s">
        <v>58</v>
      </c>
      <c r="O27" s="63" t="s">
        <v>59</v>
      </c>
    </row>
    <row r="28" spans="2:15" ht="18" customHeight="1">
      <c r="B28" s="648"/>
      <c r="C28" s="650"/>
      <c r="D28" s="443">
        <f t="shared" si="4"/>
        <v>0</v>
      </c>
      <c r="E28" s="443">
        <f t="shared" si="4"/>
        <v>0</v>
      </c>
      <c r="F28" s="44">
        <f>ROUND((D28+E28)*2/1000,4)</f>
        <v>0</v>
      </c>
      <c r="G28" s="440"/>
      <c r="H28" s="58">
        <f>H27</f>
        <v>1.62</v>
      </c>
      <c r="I28" s="59">
        <f>IF(AND(D28&gt;0,E28&gt;0,F28&gt;0),F28*G28*H28,0)</f>
        <v>0</v>
      </c>
      <c r="J28" s="60"/>
      <c r="K28" s="61"/>
      <c r="L28" s="61"/>
      <c r="M28" s="61"/>
      <c r="N28" s="62" t="s">
        <v>60</v>
      </c>
      <c r="O28" s="63" t="s">
        <v>59</v>
      </c>
    </row>
    <row r="29" spans="2:15" ht="18" customHeight="1">
      <c r="B29" s="648"/>
      <c r="C29" s="650"/>
      <c r="D29" s="443">
        <f t="shared" si="4"/>
        <v>0</v>
      </c>
      <c r="E29" s="443">
        <f t="shared" si="4"/>
        <v>0</v>
      </c>
      <c r="F29" s="44">
        <f>ROUND((D29+E29)*2/1000,4)</f>
        <v>0</v>
      </c>
      <c r="G29" s="440"/>
      <c r="H29" s="58">
        <f>H28</f>
        <v>1.62</v>
      </c>
      <c r="I29" s="59">
        <f>IF(AND(D29&gt;0,E29&gt;0,F29&gt;0),F29*G29*H29,0)</f>
        <v>0</v>
      </c>
      <c r="J29" s="60"/>
      <c r="K29" s="61"/>
      <c r="L29" s="61"/>
      <c r="M29" s="61"/>
      <c r="N29" s="62"/>
    </row>
    <row r="30" spans="2:15" ht="18" customHeight="1" thickBot="1">
      <c r="B30" s="648"/>
      <c r="C30" s="651"/>
      <c r="D30" s="443">
        <f t="shared" si="4"/>
        <v>0</v>
      </c>
      <c r="E30" s="443">
        <f t="shared" si="4"/>
        <v>0</v>
      </c>
      <c r="F30" s="44">
        <f>ROUND((D30+E30)*2/1000,4)</f>
        <v>0</v>
      </c>
      <c r="G30" s="440"/>
      <c r="H30" s="58">
        <f>H29</f>
        <v>1.62</v>
      </c>
      <c r="I30" s="59">
        <f>IF(AND(D30&gt;0,E30&gt;0,F30&gt;0),F30*G30*H30,0)</f>
        <v>0</v>
      </c>
      <c r="J30" s="64"/>
      <c r="K30" s="65"/>
      <c r="L30" s="65"/>
      <c r="M30" s="65"/>
      <c r="N30" s="66"/>
    </row>
    <row r="31" spans="2:15" ht="18" customHeight="1">
      <c r="B31" s="48" t="s">
        <v>42</v>
      </c>
      <c r="C31" s="49">
        <f>SUMPRODUCT(F26:F30*G26:G30)</f>
        <v>0</v>
      </c>
      <c r="D31" s="50" t="s">
        <v>43</v>
      </c>
      <c r="E31" s="49">
        <f>SUM(I26:I30)*1.1</f>
        <v>0</v>
      </c>
      <c r="F31" s="50" t="s">
        <v>44</v>
      </c>
      <c r="G31" s="51">
        <f>(C$218+C$221)/1000</f>
        <v>46.081499999999998</v>
      </c>
      <c r="H31" s="52" t="s">
        <v>45</v>
      </c>
      <c r="I31" s="53">
        <f>ROUND(E31*G31,2)</f>
        <v>0</v>
      </c>
      <c r="J31" s="243">
        <f>SUM(G26:G30)</f>
        <v>0</v>
      </c>
    </row>
    <row r="32" spans="2:15" ht="18" customHeight="1">
      <c r="B32" s="48" t="s">
        <v>46</v>
      </c>
      <c r="C32" s="50">
        <v>183.32</v>
      </c>
      <c r="D32" s="50" t="s">
        <v>47</v>
      </c>
      <c r="E32" s="49">
        <f>ROUND(C31*(C32/1000),2)</f>
        <v>0</v>
      </c>
      <c r="F32" s="50" t="s">
        <v>48</v>
      </c>
      <c r="G32" s="50">
        <f>G$23</f>
        <v>10</v>
      </c>
      <c r="H32" s="52" t="s">
        <v>49</v>
      </c>
      <c r="I32" s="53">
        <f>E32*G32</f>
        <v>0</v>
      </c>
    </row>
    <row r="33" spans="2:14" ht="18" customHeight="1" thickBot="1">
      <c r="B33" s="48" t="s">
        <v>50</v>
      </c>
      <c r="C33" s="50">
        <v>257.82</v>
      </c>
      <c r="D33" s="50" t="s">
        <v>51</v>
      </c>
      <c r="E33" s="49">
        <f>ROUND(C31*(C33/1000),2)</f>
        <v>0</v>
      </c>
      <c r="F33" s="50" t="s">
        <v>48</v>
      </c>
      <c r="G33" s="50">
        <f>G$24</f>
        <v>10</v>
      </c>
      <c r="H33" s="52" t="s">
        <v>49</v>
      </c>
      <c r="I33" s="53">
        <f>E33*G33</f>
        <v>0</v>
      </c>
    </row>
    <row r="34" spans="2:14" ht="18" customHeight="1" thickBot="1">
      <c r="B34" s="67" t="s">
        <v>36</v>
      </c>
      <c r="C34" s="68" t="s">
        <v>14</v>
      </c>
      <c r="D34" s="68" t="s">
        <v>37</v>
      </c>
      <c r="E34" s="68" t="s">
        <v>38</v>
      </c>
      <c r="F34" s="68" t="s">
        <v>39</v>
      </c>
      <c r="G34" s="68" t="s">
        <v>8</v>
      </c>
      <c r="H34" s="68" t="s">
        <v>22</v>
      </c>
      <c r="I34" s="69" t="s">
        <v>40</v>
      </c>
      <c r="J34" s="54" t="s">
        <v>2</v>
      </c>
      <c r="K34" s="55" t="s">
        <v>3</v>
      </c>
      <c r="L34" s="55" t="s">
        <v>61</v>
      </c>
      <c r="M34" s="55" t="s">
        <v>62</v>
      </c>
      <c r="N34" s="70" t="s">
        <v>14</v>
      </c>
    </row>
    <row r="35" spans="2:14" ht="18" customHeight="1">
      <c r="B35" s="648" t="s">
        <v>63</v>
      </c>
      <c r="C35" s="649" t="s">
        <v>64</v>
      </c>
      <c r="D35" s="443">
        <f t="shared" ref="D35:E37" si="5">J35-IF(L35=1,44,IF(L35=2,30,IF(L35=3,16,IF(L35=11,118,IF(L35=12,100,IF(L35=13,76.8,0))))))</f>
        <v>0</v>
      </c>
      <c r="E35" s="443">
        <f t="shared" si="5"/>
        <v>0</v>
      </c>
      <c r="F35" s="440">
        <f>ROUND((D35+E35)*2/1000,4)</f>
        <v>0</v>
      </c>
      <c r="G35" s="440"/>
      <c r="H35" s="58">
        <v>1.8140000000000001</v>
      </c>
      <c r="I35" s="59">
        <f>ROUND(F35*G35*H35,3)</f>
        <v>0</v>
      </c>
      <c r="J35" s="60"/>
      <c r="K35" s="61"/>
      <c r="L35" s="61"/>
      <c r="M35" s="61"/>
      <c r="N35" s="71" t="s">
        <v>56</v>
      </c>
    </row>
    <row r="36" spans="2:14" ht="18" customHeight="1">
      <c r="B36" s="660"/>
      <c r="C36" s="650"/>
      <c r="D36" s="443">
        <f t="shared" si="5"/>
        <v>0</v>
      </c>
      <c r="E36" s="443">
        <f t="shared" si="5"/>
        <v>0</v>
      </c>
      <c r="F36" s="440">
        <f>ROUND((D36+E36)*2/1000,4)</f>
        <v>0</v>
      </c>
      <c r="G36" s="440"/>
      <c r="H36" s="58">
        <f>H35</f>
        <v>1.8140000000000001</v>
      </c>
      <c r="I36" s="59">
        <f>ROUND(F36*G36*H36,3)</f>
        <v>0</v>
      </c>
      <c r="J36" s="60"/>
      <c r="K36" s="61"/>
      <c r="L36" s="61"/>
      <c r="M36" s="61"/>
      <c r="N36" s="72" t="s">
        <v>58</v>
      </c>
    </row>
    <row r="37" spans="2:14" ht="18" customHeight="1">
      <c r="B37" s="660"/>
      <c r="C37" s="651"/>
      <c r="D37" s="443">
        <f t="shared" si="5"/>
        <v>0</v>
      </c>
      <c r="E37" s="443">
        <f t="shared" si="5"/>
        <v>0</v>
      </c>
      <c r="F37" s="440">
        <f>ROUND((D37+E37)*2/1000,4)</f>
        <v>0</v>
      </c>
      <c r="G37" s="440"/>
      <c r="H37" s="58">
        <f>H36</f>
        <v>1.8140000000000001</v>
      </c>
      <c r="I37" s="59">
        <f>ROUND(F37*G37*H37,3)</f>
        <v>0</v>
      </c>
      <c r="J37" s="60"/>
      <c r="K37" s="61"/>
      <c r="L37" s="61"/>
      <c r="M37" s="61"/>
      <c r="N37" s="72" t="s">
        <v>60</v>
      </c>
    </row>
    <row r="38" spans="2:14" ht="18" customHeight="1">
      <c r="B38" s="48" t="s">
        <v>42</v>
      </c>
      <c r="C38" s="49">
        <f>SUMPRODUCT(F35:F37*G35:G37)</f>
        <v>0</v>
      </c>
      <c r="D38" s="50" t="s">
        <v>43</v>
      </c>
      <c r="E38" s="49">
        <f>SUM(I35:I37)*1.1</f>
        <v>0</v>
      </c>
      <c r="F38" s="50" t="s">
        <v>44</v>
      </c>
      <c r="G38" s="51">
        <f>(C$218+C$219)/1000</f>
        <v>46.081499999999998</v>
      </c>
      <c r="H38" s="52" t="s">
        <v>45</v>
      </c>
      <c r="I38" s="53">
        <f>ROUND(E38*G38,2)</f>
        <v>0</v>
      </c>
      <c r="J38" s="243">
        <f>SUM(G35:G37)</f>
        <v>0</v>
      </c>
      <c r="K38" s="255"/>
      <c r="L38" s="255"/>
      <c r="M38" s="255"/>
      <c r="N38" s="73" t="s">
        <v>65</v>
      </c>
    </row>
    <row r="39" spans="2:14" ht="18" customHeight="1">
      <c r="B39" s="48" t="s">
        <v>46</v>
      </c>
      <c r="C39" s="50">
        <v>320.14</v>
      </c>
      <c r="D39" s="50" t="s">
        <v>47</v>
      </c>
      <c r="E39" s="49">
        <f>ROUND(C38*(C39/1000),2)</f>
        <v>0</v>
      </c>
      <c r="F39" s="50" t="s">
        <v>48</v>
      </c>
      <c r="G39" s="50">
        <f>G$23</f>
        <v>10</v>
      </c>
      <c r="H39" s="52" t="s">
        <v>49</v>
      </c>
      <c r="I39" s="53">
        <f>E39*G39</f>
        <v>0</v>
      </c>
      <c r="J39" s="255"/>
      <c r="K39" s="255"/>
      <c r="L39" s="255"/>
      <c r="M39" s="255"/>
      <c r="N39" s="73" t="s">
        <v>66</v>
      </c>
    </row>
    <row r="40" spans="2:14" ht="18" customHeight="1" thickBot="1">
      <c r="B40" s="48" t="s">
        <v>50</v>
      </c>
      <c r="C40" s="50">
        <v>156.99</v>
      </c>
      <c r="D40" s="50" t="s">
        <v>51</v>
      </c>
      <c r="E40" s="49">
        <f>ROUND(C38*(C40/1000),2)</f>
        <v>0</v>
      </c>
      <c r="F40" s="50" t="s">
        <v>48</v>
      </c>
      <c r="G40" s="50">
        <f>G$24</f>
        <v>10</v>
      </c>
      <c r="H40" s="52" t="s">
        <v>49</v>
      </c>
      <c r="I40" s="53">
        <f>E40*G40</f>
        <v>0</v>
      </c>
      <c r="J40" s="255"/>
      <c r="K40" s="255"/>
      <c r="L40" s="255"/>
      <c r="M40" s="255"/>
      <c r="N40" s="74" t="s">
        <v>67</v>
      </c>
    </row>
    <row r="41" spans="2:14" ht="18" customHeight="1" thickBot="1">
      <c r="B41" s="23" t="s">
        <v>36</v>
      </c>
      <c r="C41" s="442" t="s">
        <v>14</v>
      </c>
      <c r="D41" s="442" t="s">
        <v>37</v>
      </c>
      <c r="E41" s="442" t="s">
        <v>38</v>
      </c>
      <c r="F41" s="442" t="s">
        <v>39</v>
      </c>
      <c r="G41" s="442" t="s">
        <v>8</v>
      </c>
      <c r="H41" s="442" t="s">
        <v>22</v>
      </c>
      <c r="I41" s="25" t="s">
        <v>40</v>
      </c>
      <c r="J41" s="54" t="s">
        <v>2</v>
      </c>
      <c r="K41" s="55" t="s">
        <v>3</v>
      </c>
      <c r="L41" s="55" t="s">
        <v>61</v>
      </c>
      <c r="M41" s="55" t="s">
        <v>62</v>
      </c>
      <c r="N41" s="70" t="s">
        <v>14</v>
      </c>
    </row>
    <row r="42" spans="2:14" ht="18" customHeight="1">
      <c r="B42" s="648" t="s">
        <v>68</v>
      </c>
      <c r="C42" s="649" t="s">
        <v>69</v>
      </c>
      <c r="D42" s="443">
        <f>J42-IF(L42=1,46,IF(L42=2,34.5,IF(L42=3,23)))</f>
        <v>0</v>
      </c>
      <c r="E42" s="443">
        <f>K42-IF(M42=1,46,IF(M42=2,34.5,IF(M42=3,23)))</f>
        <v>0</v>
      </c>
      <c r="F42" s="440">
        <f t="shared" ref="F42:F47" si="6">ROUND((D42+E42)*2/1000,4)</f>
        <v>0</v>
      </c>
      <c r="G42" s="440"/>
      <c r="H42" s="440">
        <v>1.26</v>
      </c>
      <c r="I42" s="59">
        <f t="shared" ref="I42:I47" si="7">ROUND(F42*G42*H42,3)</f>
        <v>0</v>
      </c>
      <c r="J42" s="60"/>
      <c r="K42" s="61"/>
      <c r="L42" s="61"/>
      <c r="M42" s="61"/>
      <c r="N42" s="71" t="s">
        <v>56</v>
      </c>
    </row>
    <row r="43" spans="2:14" ht="18" customHeight="1">
      <c r="B43" s="648"/>
      <c r="C43" s="650"/>
      <c r="D43" s="443">
        <f t="shared" ref="D43:E47" si="8">J43-IF(L43=1,46,IF(L43=2,34.5,IF(L43=3,23)))</f>
        <v>0</v>
      </c>
      <c r="E43" s="443">
        <f t="shared" si="8"/>
        <v>0</v>
      </c>
      <c r="F43" s="440">
        <f t="shared" si="6"/>
        <v>0</v>
      </c>
      <c r="G43" s="440"/>
      <c r="H43" s="440">
        <f>H42</f>
        <v>1.26</v>
      </c>
      <c r="I43" s="59">
        <f t="shared" si="7"/>
        <v>0</v>
      </c>
      <c r="J43" s="60"/>
      <c r="K43" s="61"/>
      <c r="L43" s="61"/>
      <c r="M43" s="61"/>
      <c r="N43" s="72" t="s">
        <v>58</v>
      </c>
    </row>
    <row r="44" spans="2:14" ht="18" customHeight="1">
      <c r="B44" s="648"/>
      <c r="C44" s="651"/>
      <c r="D44" s="443">
        <f t="shared" si="8"/>
        <v>0</v>
      </c>
      <c r="E44" s="443">
        <f t="shared" si="8"/>
        <v>0</v>
      </c>
      <c r="F44" s="440">
        <f t="shared" si="6"/>
        <v>0</v>
      </c>
      <c r="G44" s="440"/>
      <c r="H44" s="440">
        <f>H43</f>
        <v>1.26</v>
      </c>
      <c r="I44" s="59">
        <f t="shared" si="7"/>
        <v>0</v>
      </c>
      <c r="J44" s="60"/>
      <c r="K44" s="61"/>
      <c r="L44" s="61"/>
      <c r="M44" s="61"/>
      <c r="N44" s="72" t="s">
        <v>60</v>
      </c>
    </row>
    <row r="45" spans="2:14" ht="18" customHeight="1">
      <c r="B45" s="648"/>
      <c r="C45" s="649" t="s">
        <v>70</v>
      </c>
      <c r="D45" s="443">
        <f t="shared" si="8"/>
        <v>0</v>
      </c>
      <c r="E45" s="443">
        <f t="shared" si="8"/>
        <v>0</v>
      </c>
      <c r="F45" s="440">
        <f t="shared" si="6"/>
        <v>0</v>
      </c>
      <c r="G45" s="440"/>
      <c r="H45" s="440">
        <f>H44</f>
        <v>1.26</v>
      </c>
      <c r="I45" s="59">
        <f t="shared" si="7"/>
        <v>0</v>
      </c>
      <c r="J45" s="60"/>
      <c r="K45" s="61"/>
      <c r="L45" s="61"/>
      <c r="M45" s="61"/>
      <c r="N45" s="71" t="s">
        <v>56</v>
      </c>
    </row>
    <row r="46" spans="2:14" ht="18" customHeight="1">
      <c r="B46" s="648"/>
      <c r="C46" s="650"/>
      <c r="D46" s="443">
        <f t="shared" si="8"/>
        <v>0</v>
      </c>
      <c r="E46" s="443">
        <f t="shared" si="8"/>
        <v>0</v>
      </c>
      <c r="F46" s="440">
        <f t="shared" si="6"/>
        <v>0</v>
      </c>
      <c r="G46" s="440"/>
      <c r="H46" s="440">
        <f>H45</f>
        <v>1.26</v>
      </c>
      <c r="I46" s="59">
        <f t="shared" si="7"/>
        <v>0</v>
      </c>
      <c r="J46" s="60"/>
      <c r="K46" s="61"/>
      <c r="L46" s="61"/>
      <c r="M46" s="61"/>
      <c r="N46" s="72" t="s">
        <v>58</v>
      </c>
    </row>
    <row r="47" spans="2:14" ht="18" customHeight="1" thickBot="1">
      <c r="B47" s="648"/>
      <c r="C47" s="651"/>
      <c r="D47" s="443">
        <f t="shared" si="8"/>
        <v>0</v>
      </c>
      <c r="E47" s="443">
        <f t="shared" si="8"/>
        <v>0</v>
      </c>
      <c r="F47" s="440">
        <f t="shared" si="6"/>
        <v>0</v>
      </c>
      <c r="G47" s="440"/>
      <c r="H47" s="440">
        <f>H46</f>
        <v>1.26</v>
      </c>
      <c r="I47" s="59">
        <f t="shared" si="7"/>
        <v>0</v>
      </c>
      <c r="J47" s="64"/>
      <c r="K47" s="65"/>
      <c r="L47" s="65"/>
      <c r="M47" s="65"/>
      <c r="N47" s="75" t="s">
        <v>60</v>
      </c>
    </row>
    <row r="48" spans="2:14" ht="18" customHeight="1">
      <c r="B48" s="48" t="s">
        <v>42</v>
      </c>
      <c r="C48" s="49">
        <f>SUMPRODUCT(F42:F47*G42:G47)</f>
        <v>0</v>
      </c>
      <c r="D48" s="50" t="s">
        <v>43</v>
      </c>
      <c r="E48" s="49">
        <f>SUM(I42:I47)*1.1</f>
        <v>0</v>
      </c>
      <c r="F48" s="50" t="s">
        <v>44</v>
      </c>
      <c r="G48" s="51">
        <f>(C$218+C$219)/1000</f>
        <v>46.081499999999998</v>
      </c>
      <c r="H48" s="52" t="s">
        <v>45</v>
      </c>
      <c r="I48" s="53">
        <f>ROUND(E48*G48,2)</f>
        <v>0</v>
      </c>
      <c r="J48" s="243">
        <f>SUM(G42:G47)</f>
        <v>0</v>
      </c>
      <c r="K48" s="255"/>
      <c r="L48" s="255"/>
      <c r="M48" s="255"/>
    </row>
    <row r="49" spans="2:14" ht="18" customHeight="1">
      <c r="B49" s="48" t="s">
        <v>46</v>
      </c>
      <c r="C49" s="50">
        <v>132.47999999999999</v>
      </c>
      <c r="D49" s="50" t="s">
        <v>47</v>
      </c>
      <c r="E49" s="49">
        <f>ROUND(C48*(C49/1000),2)</f>
        <v>0</v>
      </c>
      <c r="F49" s="50" t="s">
        <v>48</v>
      </c>
      <c r="G49" s="50">
        <f>G$23</f>
        <v>10</v>
      </c>
      <c r="H49" s="52" t="s">
        <v>49</v>
      </c>
      <c r="I49" s="53">
        <f>E49*G49</f>
        <v>0</v>
      </c>
      <c r="J49" s="255"/>
      <c r="K49" s="255"/>
      <c r="L49" s="255"/>
      <c r="M49" s="255"/>
    </row>
    <row r="50" spans="2:14" ht="18" customHeight="1" thickBot="1">
      <c r="B50" s="48" t="s">
        <v>50</v>
      </c>
      <c r="C50" s="50">
        <v>202.06</v>
      </c>
      <c r="D50" s="50" t="s">
        <v>51</v>
      </c>
      <c r="E50" s="49">
        <f>ROUND(C48*(C50/1000),2)</f>
        <v>0</v>
      </c>
      <c r="F50" s="50" t="s">
        <v>48</v>
      </c>
      <c r="G50" s="50">
        <f>G$24</f>
        <v>10</v>
      </c>
      <c r="H50" s="52" t="s">
        <v>49</v>
      </c>
      <c r="I50" s="53">
        <f>E50*G50</f>
        <v>0</v>
      </c>
      <c r="J50" s="255"/>
    </row>
    <row r="51" spans="2:14" ht="18" customHeight="1" thickBot="1">
      <c r="B51" s="23" t="s">
        <v>36</v>
      </c>
      <c r="C51" s="442" t="s">
        <v>14</v>
      </c>
      <c r="D51" s="442" t="s">
        <v>37</v>
      </c>
      <c r="E51" s="442" t="s">
        <v>71</v>
      </c>
      <c r="F51" s="442" t="s">
        <v>38</v>
      </c>
      <c r="G51" s="442" t="s">
        <v>72</v>
      </c>
      <c r="H51" s="442" t="s">
        <v>22</v>
      </c>
      <c r="I51" s="25" t="s">
        <v>40</v>
      </c>
      <c r="J51" s="54" t="s">
        <v>2</v>
      </c>
      <c r="K51" s="55" t="s">
        <v>3</v>
      </c>
      <c r="L51" s="55" t="s">
        <v>61</v>
      </c>
      <c r="M51" s="55" t="s">
        <v>62</v>
      </c>
      <c r="N51" s="70" t="s">
        <v>14</v>
      </c>
    </row>
    <row r="52" spans="2:14" ht="18" customHeight="1">
      <c r="B52" s="648" t="s">
        <v>73</v>
      </c>
      <c r="C52" s="649" t="s">
        <v>405</v>
      </c>
      <c r="D52" s="443">
        <f>J52-IF(L52=1,46,IF(L52=2,32,IF(L52=3,18,0)))</f>
        <v>0</v>
      </c>
      <c r="E52" s="443"/>
      <c r="F52" s="443">
        <f>K52-IF(M52=1,46,IF(M52=2,32,IF(M52=3,118,0)))</f>
        <v>0</v>
      </c>
      <c r="G52" s="440"/>
      <c r="H52" s="440">
        <v>1.6379999999999999</v>
      </c>
      <c r="I52" s="59">
        <f>ROUND((D52*E52+F52*G52)/1000*H52,3)</f>
        <v>0</v>
      </c>
      <c r="J52" s="60"/>
      <c r="K52" s="61"/>
      <c r="L52" s="61"/>
      <c r="M52" s="61"/>
      <c r="N52" s="76" t="s">
        <v>56</v>
      </c>
    </row>
    <row r="53" spans="2:14" ht="18" customHeight="1">
      <c r="B53" s="648"/>
      <c r="C53" s="650"/>
      <c r="D53" s="443">
        <f t="shared" ref="D53:D55" si="9">J53-IF(L53=1,46,IF(L53=2,32,IF(L53=3,18,0)))</f>
        <v>0</v>
      </c>
      <c r="E53" s="443"/>
      <c r="F53" s="443">
        <f t="shared" ref="F53:F55" si="10">K53-IF(M53=1,46,IF(M53=2,32,IF(M53=3,118,0)))</f>
        <v>0</v>
      </c>
      <c r="G53" s="440"/>
      <c r="H53" s="440">
        <f>H52</f>
        <v>1.6379999999999999</v>
      </c>
      <c r="I53" s="59">
        <f>ROUND((D53*E53+F53*G53)/1000*H53,3)</f>
        <v>0</v>
      </c>
      <c r="J53" s="60"/>
      <c r="K53" s="61"/>
      <c r="L53" s="61"/>
      <c r="M53" s="61"/>
      <c r="N53" s="76" t="s">
        <v>58</v>
      </c>
    </row>
    <row r="54" spans="2:14" ht="18" customHeight="1">
      <c r="B54" s="648"/>
      <c r="C54" s="650"/>
      <c r="D54" s="443">
        <f t="shared" si="9"/>
        <v>0</v>
      </c>
      <c r="E54" s="443"/>
      <c r="F54" s="443">
        <f t="shared" si="10"/>
        <v>0</v>
      </c>
      <c r="G54" s="440"/>
      <c r="H54" s="440">
        <f>H53</f>
        <v>1.6379999999999999</v>
      </c>
      <c r="I54" s="59">
        <f>ROUND((D54*E54+F54*G54)/1000*H54,3)</f>
        <v>0</v>
      </c>
      <c r="J54" s="60"/>
      <c r="K54" s="61"/>
      <c r="L54" s="61"/>
      <c r="M54" s="61"/>
      <c r="N54" s="76" t="s">
        <v>60</v>
      </c>
    </row>
    <row r="55" spans="2:14" ht="18" customHeight="1" thickBot="1">
      <c r="B55" s="648"/>
      <c r="C55" s="651"/>
      <c r="D55" s="443">
        <f t="shared" si="9"/>
        <v>0</v>
      </c>
      <c r="E55" s="443"/>
      <c r="F55" s="443">
        <f t="shared" si="10"/>
        <v>0</v>
      </c>
      <c r="G55" s="440"/>
      <c r="H55" s="77">
        <f>H54</f>
        <v>1.6379999999999999</v>
      </c>
      <c r="I55" s="59">
        <f>ROUND((D55*E55+F55*G55)/1000*H55,3)</f>
        <v>0</v>
      </c>
      <c r="J55" s="78"/>
      <c r="K55" s="79"/>
      <c r="L55" s="79"/>
      <c r="M55" s="79"/>
      <c r="N55" s="80"/>
    </row>
    <row r="56" spans="2:14" ht="18" customHeight="1">
      <c r="B56" s="48" t="s">
        <v>42</v>
      </c>
      <c r="C56" s="49">
        <f>SUMPRODUCT(D52:D55*E52:E55+F52:F55*G52:G55)/1000</f>
        <v>0</v>
      </c>
      <c r="D56" s="50" t="s">
        <v>43</v>
      </c>
      <c r="E56" s="49">
        <f>SUM(I52:I55)*1.1</f>
        <v>0</v>
      </c>
      <c r="F56" s="50" t="s">
        <v>44</v>
      </c>
      <c r="G56" s="51">
        <f>(C$218+C$219)/1000</f>
        <v>46.081499999999998</v>
      </c>
      <c r="H56" s="52" t="s">
        <v>45</v>
      </c>
      <c r="I56" s="53">
        <f>ROUND(E56*G56,2)</f>
        <v>0</v>
      </c>
      <c r="J56" s="243">
        <f>SUM(E52:E55)+SUM(G52:G55)</f>
        <v>0</v>
      </c>
    </row>
    <row r="57" spans="2:14" ht="18" customHeight="1">
      <c r="B57" s="48" t="s">
        <v>46</v>
      </c>
      <c r="C57" s="50">
        <v>265.52999999999997</v>
      </c>
      <c r="D57" s="50" t="s">
        <v>47</v>
      </c>
      <c r="E57" s="49">
        <f>ROUND(C56*(C57/1000),2)</f>
        <v>0</v>
      </c>
      <c r="F57" s="50" t="s">
        <v>48</v>
      </c>
      <c r="G57" s="50">
        <f>G$23</f>
        <v>10</v>
      </c>
      <c r="H57" s="52" t="s">
        <v>49</v>
      </c>
      <c r="I57" s="53">
        <f>E57*G57</f>
        <v>0</v>
      </c>
      <c r="L57" s="47"/>
    </row>
    <row r="58" spans="2:14" ht="18" customHeight="1">
      <c r="B58" s="48" t="s">
        <v>50</v>
      </c>
      <c r="C58" s="50">
        <v>173.62</v>
      </c>
      <c r="D58" s="50" t="s">
        <v>51</v>
      </c>
      <c r="E58" s="49">
        <f>ROUND(C56*(C58/1000),2)</f>
        <v>0</v>
      </c>
      <c r="F58" s="50" t="s">
        <v>48</v>
      </c>
      <c r="G58" s="50">
        <f>G$24</f>
        <v>10</v>
      </c>
      <c r="H58" s="52" t="s">
        <v>49</v>
      </c>
      <c r="I58" s="53">
        <f>E58*G58</f>
        <v>0</v>
      </c>
      <c r="L58" s="47"/>
    </row>
    <row r="59" spans="2:14" ht="18" customHeight="1">
      <c r="B59" s="23" t="s">
        <v>36</v>
      </c>
      <c r="C59" s="442" t="s">
        <v>14</v>
      </c>
      <c r="D59" s="652" t="s">
        <v>74</v>
      </c>
      <c r="E59" s="652"/>
      <c r="F59" s="652"/>
      <c r="G59" s="442" t="s">
        <v>75</v>
      </c>
      <c r="H59" s="442" t="s">
        <v>22</v>
      </c>
      <c r="I59" s="25" t="s">
        <v>40</v>
      </c>
      <c r="L59" s="47"/>
    </row>
    <row r="60" spans="2:14" ht="18" customHeight="1">
      <c r="B60" s="648" t="s">
        <v>76</v>
      </c>
      <c r="C60" s="649" t="s">
        <v>77</v>
      </c>
      <c r="D60" s="646"/>
      <c r="E60" s="646"/>
      <c r="F60" s="646"/>
      <c r="G60" s="440"/>
      <c r="H60" s="440">
        <v>1.9339999999999999</v>
      </c>
      <c r="I60" s="59">
        <f>ROUND(D60*G60*H60/1000,3)</f>
        <v>0</v>
      </c>
      <c r="L60" s="47"/>
    </row>
    <row r="61" spans="2:14" ht="18" customHeight="1">
      <c r="B61" s="648"/>
      <c r="C61" s="651"/>
      <c r="D61" s="646"/>
      <c r="E61" s="646"/>
      <c r="F61" s="646"/>
      <c r="G61" s="440"/>
      <c r="H61" s="440">
        <v>1.9339999999999999</v>
      </c>
      <c r="I61" s="59">
        <f>ROUND(D61*G61*H61/1000,3)</f>
        <v>0</v>
      </c>
    </row>
    <row r="62" spans="2:14" ht="18" customHeight="1">
      <c r="B62" s="648"/>
      <c r="C62" s="649" t="s">
        <v>78</v>
      </c>
      <c r="D62" s="646">
        <f>E14</f>
        <v>1120</v>
      </c>
      <c r="E62" s="646"/>
      <c r="F62" s="646"/>
      <c r="G62" s="440"/>
      <c r="H62" s="440">
        <v>2.3130000000000002</v>
      </c>
      <c r="I62" s="59">
        <f>ROUND(D62*G62*H62/1000,3)</f>
        <v>0</v>
      </c>
    </row>
    <row r="63" spans="2:14" ht="18" customHeight="1">
      <c r="B63" s="648"/>
      <c r="C63" s="651"/>
      <c r="D63" s="646"/>
      <c r="E63" s="646"/>
      <c r="F63" s="646"/>
      <c r="G63" s="440"/>
      <c r="H63" s="440">
        <v>2.3130000000000002</v>
      </c>
      <c r="I63" s="59">
        <f>ROUND(D63*G63*H63/1000,3)</f>
        <v>0</v>
      </c>
    </row>
    <row r="64" spans="2:14" ht="18" customHeight="1">
      <c r="B64" s="48" t="s">
        <v>42</v>
      </c>
      <c r="C64" s="49">
        <f>SUMPRODUCT(D60:F63*G60:G63)/1000</f>
        <v>0</v>
      </c>
      <c r="D64" s="50" t="s">
        <v>43</v>
      </c>
      <c r="E64" s="49">
        <f>SUM(I60:I63)*1.1</f>
        <v>0</v>
      </c>
      <c r="F64" s="50" t="s">
        <v>44</v>
      </c>
      <c r="G64" s="51">
        <f>(C$218+C$219)/1000</f>
        <v>46.081499999999998</v>
      </c>
      <c r="H64" s="52" t="s">
        <v>45</v>
      </c>
      <c r="I64" s="53">
        <f>ROUND(E64*G64,2)</f>
        <v>0</v>
      </c>
      <c r="J64" s="43">
        <f>SUM(G60:G63)</f>
        <v>0</v>
      </c>
    </row>
    <row r="65" spans="2:14" ht="18" customHeight="1">
      <c r="B65" s="48" t="s">
        <v>46</v>
      </c>
      <c r="C65" s="50">
        <v>337.92</v>
      </c>
      <c r="D65" s="50" t="s">
        <v>47</v>
      </c>
      <c r="E65" s="49">
        <f>ROUND(C64*(C65/1000),2)</f>
        <v>0</v>
      </c>
      <c r="F65" s="50" t="s">
        <v>48</v>
      </c>
      <c r="G65" s="50">
        <f>G$23</f>
        <v>10</v>
      </c>
      <c r="H65" s="52" t="s">
        <v>49</v>
      </c>
      <c r="I65" s="53">
        <f>E65*G65</f>
        <v>0</v>
      </c>
    </row>
    <row r="66" spans="2:14" ht="18" customHeight="1" thickBot="1">
      <c r="B66" s="48" t="s">
        <v>50</v>
      </c>
      <c r="C66" s="50">
        <v>175.93</v>
      </c>
      <c r="D66" s="50" t="s">
        <v>51</v>
      </c>
      <c r="E66" s="49">
        <f>ROUND(C64*(C66/1000),2)</f>
        <v>0</v>
      </c>
      <c r="F66" s="50" t="s">
        <v>48</v>
      </c>
      <c r="G66" s="50">
        <f>G$24</f>
        <v>10</v>
      </c>
      <c r="H66" s="52" t="s">
        <v>49</v>
      </c>
      <c r="I66" s="53">
        <f>E66*G66</f>
        <v>0</v>
      </c>
    </row>
    <row r="67" spans="2:14" ht="18" customHeight="1" thickBot="1">
      <c r="B67" s="23" t="s">
        <v>36</v>
      </c>
      <c r="C67" s="442" t="s">
        <v>14</v>
      </c>
      <c r="D67" s="442" t="s">
        <v>37</v>
      </c>
      <c r="E67" s="442" t="s">
        <v>38</v>
      </c>
      <c r="F67" s="442" t="s">
        <v>39</v>
      </c>
      <c r="G67" s="442" t="s">
        <v>8</v>
      </c>
      <c r="H67" s="442" t="s">
        <v>22</v>
      </c>
      <c r="I67" s="25" t="s">
        <v>40</v>
      </c>
      <c r="J67" s="54" t="s">
        <v>2</v>
      </c>
      <c r="K67" s="55" t="s">
        <v>3</v>
      </c>
      <c r="L67" s="55" t="s">
        <v>52</v>
      </c>
      <c r="M67" s="55" t="s">
        <v>53</v>
      </c>
      <c r="N67" s="70" t="s">
        <v>14</v>
      </c>
    </row>
    <row r="68" spans="2:14" ht="18" customHeight="1">
      <c r="B68" s="648" t="s">
        <v>79</v>
      </c>
      <c r="C68" s="649" t="s">
        <v>323</v>
      </c>
      <c r="D68" s="81">
        <f>J68-IF(L68=1,72,IF(L68=2,54,IF(L68=3,26,IF(L68=11,102.8,IF(L68=12,88.8,IF(L68=13,74.8,0))))))</f>
        <v>1048</v>
      </c>
      <c r="E68" s="81">
        <f>K68-IF(M68=1,72,IF(M68=2,24,IF(M68=3,26,IF(M68=11,102.8,IF(M68=12,88.8,IF(M68=13,74.8,0))))))</f>
        <v>1048</v>
      </c>
      <c r="F68" s="81">
        <f>2*(D68+E68)/1000</f>
        <v>4.1920000000000002</v>
      </c>
      <c r="G68" s="82">
        <v>1</v>
      </c>
      <c r="H68" s="440">
        <v>0.224</v>
      </c>
      <c r="I68" s="59">
        <f t="shared" ref="I68:I87" si="11">ROUND(F68*G68*H68,3)</f>
        <v>0.93899999999999995</v>
      </c>
      <c r="J68" s="83">
        <f>D14</f>
        <v>1120</v>
      </c>
      <c r="K68" s="83">
        <f>E14</f>
        <v>1120</v>
      </c>
      <c r="L68" s="84">
        <v>1</v>
      </c>
      <c r="M68" s="84">
        <v>1</v>
      </c>
      <c r="N68" s="71" t="s">
        <v>56</v>
      </c>
    </row>
    <row r="69" spans="2:14" ht="18" customHeight="1">
      <c r="B69" s="648"/>
      <c r="C69" s="650"/>
      <c r="D69" s="81">
        <f t="shared" ref="D69:D87" si="12">J69-IF(L69=1,72,IF(L69=2,54,IF(L69=3,26,IF(L69=11,102.8,IF(L69=12,88.8,IF(L69=13,74.8,0))))))</f>
        <v>0</v>
      </c>
      <c r="E69" s="81">
        <f t="shared" ref="E69:E87" si="13">K69-IF(M69=1,72,IF(M69=2,24,IF(M69=3,26,IF(M69=11,102.8,IF(M69=12,88.8,IF(M69=13,74.8,0))))))</f>
        <v>0</v>
      </c>
      <c r="F69" s="81">
        <f t="shared" ref="F69:F87" si="14">2*(D69+E69)/1000</f>
        <v>0</v>
      </c>
      <c r="G69" s="82"/>
      <c r="H69" s="440">
        <f>H68</f>
        <v>0.224</v>
      </c>
      <c r="I69" s="59">
        <f t="shared" si="11"/>
        <v>0</v>
      </c>
      <c r="J69" s="83"/>
      <c r="K69" s="84"/>
      <c r="L69" s="84"/>
      <c r="M69" s="84"/>
      <c r="N69" s="72" t="s">
        <v>58</v>
      </c>
    </row>
    <row r="70" spans="2:14" ht="18" customHeight="1">
      <c r="B70" s="648"/>
      <c r="C70" s="650"/>
      <c r="D70" s="81">
        <f t="shared" si="12"/>
        <v>0</v>
      </c>
      <c r="E70" s="81">
        <f t="shared" si="13"/>
        <v>0</v>
      </c>
      <c r="F70" s="81">
        <f t="shared" si="14"/>
        <v>0</v>
      </c>
      <c r="G70" s="82"/>
      <c r="H70" s="440">
        <f>H69</f>
        <v>0.224</v>
      </c>
      <c r="I70" s="59">
        <f t="shared" si="11"/>
        <v>0</v>
      </c>
      <c r="J70" s="83"/>
      <c r="K70" s="84"/>
      <c r="L70" s="84"/>
      <c r="M70" s="84"/>
      <c r="N70" s="72" t="s">
        <v>60</v>
      </c>
    </row>
    <row r="71" spans="2:14" ht="18" customHeight="1">
      <c r="B71" s="648"/>
      <c r="C71" s="650"/>
      <c r="D71" s="81">
        <f t="shared" si="12"/>
        <v>0</v>
      </c>
      <c r="E71" s="81">
        <f t="shared" si="13"/>
        <v>0</v>
      </c>
      <c r="F71" s="81">
        <f t="shared" si="14"/>
        <v>0</v>
      </c>
      <c r="G71" s="82"/>
      <c r="H71" s="77">
        <f>H70</f>
        <v>0.224</v>
      </c>
      <c r="I71" s="59">
        <f t="shared" si="11"/>
        <v>0</v>
      </c>
      <c r="J71" s="85"/>
      <c r="K71" s="86"/>
      <c r="L71" s="86"/>
      <c r="M71" s="86"/>
      <c r="N71" s="72" t="s">
        <v>65</v>
      </c>
    </row>
    <row r="72" spans="2:14" ht="18" customHeight="1">
      <c r="B72" s="648"/>
      <c r="C72" s="650"/>
      <c r="D72" s="81">
        <f t="shared" si="12"/>
        <v>0</v>
      </c>
      <c r="E72" s="81">
        <f t="shared" si="13"/>
        <v>0</v>
      </c>
      <c r="F72" s="81">
        <f t="shared" si="14"/>
        <v>0</v>
      </c>
      <c r="G72" s="82"/>
      <c r="H72" s="77">
        <f>H71</f>
        <v>0.224</v>
      </c>
      <c r="I72" s="87">
        <f t="shared" si="11"/>
        <v>0</v>
      </c>
      <c r="J72" s="85"/>
      <c r="K72" s="86"/>
      <c r="L72" s="86"/>
      <c r="M72" s="86"/>
      <c r="N72" s="72" t="s">
        <v>66</v>
      </c>
    </row>
    <row r="73" spans="2:14" ht="18" customHeight="1">
      <c r="B73" s="648"/>
      <c r="C73" s="650"/>
      <c r="D73" s="81">
        <f t="shared" si="12"/>
        <v>0</v>
      </c>
      <c r="E73" s="81">
        <f t="shared" si="13"/>
        <v>0</v>
      </c>
      <c r="F73" s="81">
        <f t="shared" si="14"/>
        <v>0</v>
      </c>
      <c r="G73" s="82"/>
      <c r="H73" s="440">
        <f>H70</f>
        <v>0.224</v>
      </c>
      <c r="I73" s="87">
        <f t="shared" si="11"/>
        <v>0</v>
      </c>
      <c r="J73" s="83"/>
      <c r="K73" s="84"/>
      <c r="L73" s="84"/>
      <c r="M73" s="84"/>
      <c r="N73" s="72" t="s">
        <v>67</v>
      </c>
    </row>
    <row r="74" spans="2:14" ht="18" customHeight="1">
      <c r="B74" s="648"/>
      <c r="C74" s="651"/>
      <c r="D74" s="81">
        <f t="shared" si="12"/>
        <v>0</v>
      </c>
      <c r="E74" s="81">
        <f t="shared" si="13"/>
        <v>0</v>
      </c>
      <c r="F74" s="81">
        <f t="shared" si="14"/>
        <v>0</v>
      </c>
      <c r="G74" s="82"/>
      <c r="H74" s="440">
        <f>H73</f>
        <v>0.224</v>
      </c>
      <c r="I74" s="87">
        <f t="shared" si="11"/>
        <v>0</v>
      </c>
      <c r="J74" s="83"/>
      <c r="K74" s="84"/>
      <c r="L74" s="84"/>
      <c r="M74" s="84"/>
      <c r="N74" s="88"/>
    </row>
    <row r="75" spans="2:14" ht="18" customHeight="1">
      <c r="B75" s="648"/>
      <c r="C75" s="649" t="s">
        <v>324</v>
      </c>
      <c r="D75" s="89">
        <f t="shared" si="12"/>
        <v>0</v>
      </c>
      <c r="E75" s="89">
        <f t="shared" si="13"/>
        <v>0</v>
      </c>
      <c r="F75" s="89">
        <f t="shared" si="14"/>
        <v>0</v>
      </c>
      <c r="G75" s="90"/>
      <c r="H75" s="91">
        <f>H74</f>
        <v>0.224</v>
      </c>
      <c r="I75" s="92">
        <f t="shared" si="11"/>
        <v>0</v>
      </c>
      <c r="J75" s="83"/>
      <c r="K75" s="84"/>
      <c r="L75" s="84"/>
      <c r="M75" s="84"/>
      <c r="N75" s="93" t="s">
        <v>80</v>
      </c>
    </row>
    <row r="76" spans="2:14" ht="18" customHeight="1">
      <c r="B76" s="648"/>
      <c r="C76" s="650"/>
      <c r="D76" s="89">
        <f t="shared" si="12"/>
        <v>0</v>
      </c>
      <c r="E76" s="89">
        <f t="shared" si="13"/>
        <v>0</v>
      </c>
      <c r="F76" s="89">
        <f t="shared" si="14"/>
        <v>0</v>
      </c>
      <c r="G76" s="90"/>
      <c r="H76" s="91">
        <f>H72</f>
        <v>0.224</v>
      </c>
      <c r="I76" s="92">
        <f t="shared" si="11"/>
        <v>0</v>
      </c>
      <c r="J76" s="83"/>
      <c r="K76" s="84"/>
      <c r="L76" s="84"/>
      <c r="M76" s="84"/>
      <c r="N76" s="93" t="s">
        <v>80</v>
      </c>
    </row>
    <row r="77" spans="2:14" ht="18" customHeight="1">
      <c r="B77" s="648"/>
      <c r="C77" s="650"/>
      <c r="D77" s="89">
        <f t="shared" si="12"/>
        <v>0</v>
      </c>
      <c r="E77" s="89">
        <f t="shared" si="13"/>
        <v>0</v>
      </c>
      <c r="F77" s="89">
        <f t="shared" si="14"/>
        <v>0</v>
      </c>
      <c r="G77" s="90"/>
      <c r="H77" s="91">
        <f t="shared" ref="H77:H87" si="15">H76</f>
        <v>0.224</v>
      </c>
      <c r="I77" s="92">
        <f t="shared" si="11"/>
        <v>0</v>
      </c>
      <c r="J77" s="83"/>
      <c r="K77" s="84"/>
      <c r="L77" s="84"/>
      <c r="M77" s="84"/>
      <c r="N77" s="93" t="s">
        <v>80</v>
      </c>
    </row>
    <row r="78" spans="2:14" ht="18" customHeight="1">
      <c r="B78" s="648"/>
      <c r="C78" s="650"/>
      <c r="D78" s="89">
        <f t="shared" si="12"/>
        <v>0</v>
      </c>
      <c r="E78" s="89">
        <f t="shared" si="13"/>
        <v>0</v>
      </c>
      <c r="F78" s="89">
        <f t="shared" si="14"/>
        <v>0</v>
      </c>
      <c r="G78" s="90"/>
      <c r="H78" s="91">
        <f t="shared" si="15"/>
        <v>0.224</v>
      </c>
      <c r="I78" s="92">
        <f t="shared" si="11"/>
        <v>0</v>
      </c>
      <c r="J78" s="83"/>
      <c r="K78" s="84"/>
      <c r="L78" s="84"/>
      <c r="M78" s="84"/>
      <c r="N78" s="93" t="s">
        <v>80</v>
      </c>
    </row>
    <row r="79" spans="2:14" ht="18" customHeight="1">
      <c r="B79" s="648"/>
      <c r="C79" s="650"/>
      <c r="D79" s="89">
        <f t="shared" si="12"/>
        <v>0</v>
      </c>
      <c r="E79" s="89">
        <f t="shared" si="13"/>
        <v>0</v>
      </c>
      <c r="F79" s="89">
        <f t="shared" si="14"/>
        <v>0</v>
      </c>
      <c r="G79" s="90"/>
      <c r="H79" s="91">
        <f t="shared" si="15"/>
        <v>0.224</v>
      </c>
      <c r="I79" s="94">
        <f t="shared" si="11"/>
        <v>0</v>
      </c>
      <c r="J79" s="83"/>
      <c r="K79" s="84"/>
      <c r="L79" s="84"/>
      <c r="M79" s="84"/>
      <c r="N79" s="93" t="s">
        <v>80</v>
      </c>
    </row>
    <row r="80" spans="2:14" ht="18" customHeight="1">
      <c r="B80" s="648"/>
      <c r="C80" s="650"/>
      <c r="D80" s="89">
        <f t="shared" si="12"/>
        <v>0</v>
      </c>
      <c r="E80" s="89">
        <f t="shared" si="13"/>
        <v>0</v>
      </c>
      <c r="F80" s="89">
        <f t="shared" si="14"/>
        <v>0</v>
      </c>
      <c r="G80" s="90"/>
      <c r="H80" s="91">
        <f t="shared" si="15"/>
        <v>0.224</v>
      </c>
      <c r="I80" s="94">
        <f t="shared" si="11"/>
        <v>0</v>
      </c>
      <c r="J80" s="83"/>
      <c r="K80" s="84"/>
      <c r="L80" s="84"/>
      <c r="M80" s="84"/>
      <c r="N80" s="93" t="s">
        <v>80</v>
      </c>
    </row>
    <row r="81" spans="2:14" ht="18" customHeight="1">
      <c r="B81" s="648"/>
      <c r="C81" s="651"/>
      <c r="D81" s="89">
        <f t="shared" si="12"/>
        <v>0</v>
      </c>
      <c r="E81" s="89">
        <f t="shared" si="13"/>
        <v>0</v>
      </c>
      <c r="F81" s="89">
        <f t="shared" si="14"/>
        <v>0</v>
      </c>
      <c r="G81" s="90"/>
      <c r="H81" s="91">
        <f t="shared" si="15"/>
        <v>0.224</v>
      </c>
      <c r="I81" s="94">
        <f t="shared" si="11"/>
        <v>0</v>
      </c>
      <c r="J81" s="95"/>
      <c r="K81" s="96"/>
      <c r="L81" s="96"/>
      <c r="M81" s="96"/>
      <c r="N81" s="93" t="s">
        <v>81</v>
      </c>
    </row>
    <row r="82" spans="2:14" ht="18" customHeight="1">
      <c r="B82" s="648"/>
      <c r="C82" s="639" t="s">
        <v>325</v>
      </c>
      <c r="D82" s="81">
        <f t="shared" si="12"/>
        <v>0</v>
      </c>
      <c r="E82" s="81">
        <f t="shared" si="13"/>
        <v>0</v>
      </c>
      <c r="F82" s="81">
        <f t="shared" si="14"/>
        <v>0</v>
      </c>
      <c r="G82" s="82"/>
      <c r="H82" s="440">
        <f t="shared" si="15"/>
        <v>0.224</v>
      </c>
      <c r="I82" s="59">
        <f t="shared" si="11"/>
        <v>0</v>
      </c>
      <c r="J82" s="83"/>
      <c r="K82" s="84"/>
      <c r="L82" s="84"/>
      <c r="M82" s="84"/>
      <c r="N82" s="88"/>
    </row>
    <row r="83" spans="2:14" ht="18" customHeight="1">
      <c r="B83" s="648"/>
      <c r="C83" s="645"/>
      <c r="D83" s="81">
        <f t="shared" si="12"/>
        <v>0</v>
      </c>
      <c r="E83" s="81">
        <f t="shared" si="13"/>
        <v>0</v>
      </c>
      <c r="F83" s="81">
        <f t="shared" si="14"/>
        <v>0</v>
      </c>
      <c r="G83" s="82"/>
      <c r="H83" s="440">
        <f t="shared" si="15"/>
        <v>0.224</v>
      </c>
      <c r="I83" s="59">
        <f t="shared" si="11"/>
        <v>0</v>
      </c>
      <c r="J83" s="83"/>
      <c r="K83" s="84"/>
      <c r="L83" s="84"/>
      <c r="M83" s="84"/>
      <c r="N83" s="88"/>
    </row>
    <row r="84" spans="2:14" ht="18" customHeight="1">
      <c r="B84" s="648"/>
      <c r="C84" s="645"/>
      <c r="D84" s="81">
        <f t="shared" si="12"/>
        <v>0</v>
      </c>
      <c r="E84" s="81">
        <f t="shared" si="13"/>
        <v>0</v>
      </c>
      <c r="F84" s="81">
        <f t="shared" si="14"/>
        <v>0</v>
      </c>
      <c r="G84" s="82"/>
      <c r="H84" s="440">
        <f t="shared" si="15"/>
        <v>0.224</v>
      </c>
      <c r="I84" s="59">
        <f t="shared" si="11"/>
        <v>0</v>
      </c>
      <c r="J84" s="83"/>
      <c r="K84" s="84"/>
      <c r="L84" s="84"/>
      <c r="M84" s="84"/>
      <c r="N84" s="76"/>
    </row>
    <row r="85" spans="2:14" ht="18" customHeight="1">
      <c r="B85" s="648"/>
      <c r="C85" s="645"/>
      <c r="D85" s="81">
        <f t="shared" si="12"/>
        <v>0</v>
      </c>
      <c r="E85" s="81">
        <f t="shared" si="13"/>
        <v>0</v>
      </c>
      <c r="F85" s="81">
        <f t="shared" si="14"/>
        <v>0</v>
      </c>
      <c r="G85" s="82"/>
      <c r="H85" s="440">
        <f t="shared" si="15"/>
        <v>0.224</v>
      </c>
      <c r="I85" s="59">
        <f t="shared" si="11"/>
        <v>0</v>
      </c>
      <c r="J85" s="83"/>
      <c r="K85" s="84"/>
      <c r="L85" s="84"/>
      <c r="M85" s="84"/>
      <c r="N85" s="76"/>
    </row>
    <row r="86" spans="2:14" ht="18" customHeight="1">
      <c r="B86" s="648"/>
      <c r="C86" s="645"/>
      <c r="D86" s="81">
        <f t="shared" si="12"/>
        <v>0</v>
      </c>
      <c r="E86" s="81">
        <f t="shared" si="13"/>
        <v>0</v>
      </c>
      <c r="F86" s="81">
        <f t="shared" si="14"/>
        <v>0</v>
      </c>
      <c r="G86" s="82"/>
      <c r="H86" s="440">
        <f t="shared" si="15"/>
        <v>0.224</v>
      </c>
      <c r="I86" s="59">
        <f t="shared" si="11"/>
        <v>0</v>
      </c>
      <c r="J86" s="85"/>
      <c r="K86" s="86"/>
      <c r="L86" s="86"/>
      <c r="M86" s="86"/>
      <c r="N86" s="76"/>
    </row>
    <row r="87" spans="2:14" ht="18" customHeight="1" thickBot="1">
      <c r="B87" s="648"/>
      <c r="C87" s="640"/>
      <c r="D87" s="81">
        <f t="shared" si="12"/>
        <v>0</v>
      </c>
      <c r="E87" s="81">
        <f t="shared" si="13"/>
        <v>0</v>
      </c>
      <c r="F87" s="81">
        <f t="shared" si="14"/>
        <v>0</v>
      </c>
      <c r="G87" s="82"/>
      <c r="H87" s="440">
        <f t="shared" si="15"/>
        <v>0.224</v>
      </c>
      <c r="I87" s="59">
        <f t="shared" si="11"/>
        <v>0</v>
      </c>
      <c r="J87" s="97"/>
      <c r="K87" s="98"/>
      <c r="L87" s="98"/>
      <c r="M87" s="98"/>
      <c r="N87" s="80"/>
    </row>
    <row r="88" spans="2:14" ht="18" customHeight="1">
      <c r="B88" s="48" t="s">
        <v>42</v>
      </c>
      <c r="C88" s="49">
        <f>SUMPRODUCT(F68:F87*G68:G87)</f>
        <v>4.1920000000000002</v>
      </c>
      <c r="D88" s="50" t="s">
        <v>43</v>
      </c>
      <c r="E88" s="49">
        <f>SUM(I68:I87)*1.1</f>
        <v>1.0328999999999999</v>
      </c>
      <c r="F88" s="50" t="s">
        <v>44</v>
      </c>
      <c r="G88" s="51">
        <f>(C$218+C$222)/1000</f>
        <v>39.781500000000001</v>
      </c>
      <c r="H88" s="52" t="s">
        <v>45</v>
      </c>
      <c r="I88" s="53">
        <f>ROUND(E88*G88,2)</f>
        <v>41.09</v>
      </c>
      <c r="J88" s="255"/>
      <c r="K88" s="255"/>
      <c r="L88" s="255"/>
      <c r="M88" s="255"/>
    </row>
    <row r="89" spans="2:14" ht="18" customHeight="1">
      <c r="B89" s="48" t="s">
        <v>46</v>
      </c>
      <c r="C89" s="50">
        <v>181.72</v>
      </c>
      <c r="D89" s="50" t="s">
        <v>47</v>
      </c>
      <c r="E89" s="49">
        <f>ROUND(C88*(C89/1000),2)</f>
        <v>0.76</v>
      </c>
      <c r="F89" s="50" t="s">
        <v>48</v>
      </c>
      <c r="G89" s="50">
        <f>G$23</f>
        <v>10</v>
      </c>
      <c r="H89" s="52" t="s">
        <v>49</v>
      </c>
      <c r="I89" s="53">
        <f>E89*G89</f>
        <v>7.6</v>
      </c>
      <c r="J89" s="255"/>
      <c r="K89" s="255"/>
      <c r="L89" s="255"/>
      <c r="M89" s="255"/>
    </row>
    <row r="90" spans="2:14" ht="18" customHeight="1">
      <c r="B90" s="48" t="s">
        <v>50</v>
      </c>
      <c r="C90" s="50"/>
      <c r="D90" s="50" t="s">
        <v>51</v>
      </c>
      <c r="E90" s="49">
        <f>ROUND(C88*(C90/1000),2)</f>
        <v>0</v>
      </c>
      <c r="F90" s="50" t="s">
        <v>48</v>
      </c>
      <c r="G90" s="50">
        <f>G$24</f>
        <v>10</v>
      </c>
      <c r="H90" s="52" t="s">
        <v>49</v>
      </c>
      <c r="I90" s="53">
        <f>E90*G90</f>
        <v>0</v>
      </c>
      <c r="J90" s="255"/>
      <c r="K90" s="255"/>
      <c r="L90" s="255"/>
      <c r="M90" s="255"/>
    </row>
    <row r="91" spans="2:14" ht="18" customHeight="1">
      <c r="B91" s="23" t="s">
        <v>36</v>
      </c>
      <c r="C91" s="442" t="s">
        <v>14</v>
      </c>
      <c r="D91" s="442" t="s">
        <v>37</v>
      </c>
      <c r="E91" s="442" t="s">
        <v>38</v>
      </c>
      <c r="F91" s="442" t="s">
        <v>39</v>
      </c>
      <c r="G91" s="442" t="s">
        <v>8</v>
      </c>
      <c r="H91" s="442" t="s">
        <v>22</v>
      </c>
      <c r="I91" s="25" t="s">
        <v>40</v>
      </c>
      <c r="J91" s="255"/>
      <c r="K91" s="255"/>
      <c r="L91" s="255"/>
      <c r="M91" s="255"/>
    </row>
    <row r="92" spans="2:14" ht="18" customHeight="1">
      <c r="B92" s="648" t="s">
        <v>82</v>
      </c>
      <c r="C92" s="653" t="s">
        <v>326</v>
      </c>
      <c r="D92" s="443">
        <f>D26-90</f>
        <v>-90</v>
      </c>
      <c r="E92" s="443">
        <f>E26-90</f>
        <v>-90</v>
      </c>
      <c r="F92" s="443">
        <f>2*(D92+E92)/1000</f>
        <v>-0.36</v>
      </c>
      <c r="G92" s="440">
        <f>G26</f>
        <v>0</v>
      </c>
      <c r="H92" s="440">
        <v>0.27100000000000002</v>
      </c>
      <c r="I92" s="59">
        <f>ROUND(F92*G92*H92,3)</f>
        <v>0</v>
      </c>
    </row>
    <row r="93" spans="2:14" ht="18" customHeight="1">
      <c r="B93" s="648"/>
      <c r="C93" s="658"/>
      <c r="D93" s="443">
        <f t="shared" ref="D93:E96" si="16">D27-90</f>
        <v>-90</v>
      </c>
      <c r="E93" s="443">
        <f t="shared" si="16"/>
        <v>-90</v>
      </c>
      <c r="F93" s="443">
        <f>2*(D93+E93)/1000</f>
        <v>-0.36</v>
      </c>
      <c r="G93" s="440">
        <f>G27</f>
        <v>0</v>
      </c>
      <c r="H93" s="440">
        <f>H92</f>
        <v>0.27100000000000002</v>
      </c>
      <c r="I93" s="59">
        <f>ROUND(F93*G93*H93,3)</f>
        <v>0</v>
      </c>
      <c r="M93" s="42"/>
    </row>
    <row r="94" spans="2:14" ht="18" customHeight="1">
      <c r="B94" s="648"/>
      <c r="C94" s="658"/>
      <c r="D94" s="443">
        <f t="shared" si="16"/>
        <v>-90</v>
      </c>
      <c r="E94" s="443">
        <f t="shared" si="16"/>
        <v>-90</v>
      </c>
      <c r="F94" s="443">
        <f>2*(D94+E94)/1000</f>
        <v>-0.36</v>
      </c>
      <c r="G94" s="440">
        <f>G28</f>
        <v>0</v>
      </c>
      <c r="H94" s="440">
        <f>H93</f>
        <v>0.27100000000000002</v>
      </c>
      <c r="I94" s="59">
        <f>ROUND(F94*G94*H94,3)</f>
        <v>0</v>
      </c>
    </row>
    <row r="95" spans="2:14" ht="18" customHeight="1">
      <c r="B95" s="648"/>
      <c r="C95" s="658"/>
      <c r="D95" s="443">
        <f t="shared" si="16"/>
        <v>-90</v>
      </c>
      <c r="E95" s="443">
        <f t="shared" si="16"/>
        <v>-90</v>
      </c>
      <c r="F95" s="443">
        <f>2*(D95+E95)/1000</f>
        <v>-0.36</v>
      </c>
      <c r="G95" s="440">
        <f>G29</f>
        <v>0</v>
      </c>
      <c r="H95" s="440">
        <f>H94</f>
        <v>0.27100000000000002</v>
      </c>
      <c r="I95" s="59">
        <f>ROUND(F95*G95*H95,3)</f>
        <v>0</v>
      </c>
    </row>
    <row r="96" spans="2:14" ht="18" customHeight="1">
      <c r="B96" s="648"/>
      <c r="C96" s="659"/>
      <c r="D96" s="443">
        <f t="shared" si="16"/>
        <v>-90</v>
      </c>
      <c r="E96" s="443">
        <f t="shared" si="16"/>
        <v>-90</v>
      </c>
      <c r="F96" s="443">
        <f>2*(D96+E96)/1000</f>
        <v>-0.36</v>
      </c>
      <c r="G96" s="440">
        <f>G30</f>
        <v>0</v>
      </c>
      <c r="H96" s="440">
        <f>H95</f>
        <v>0.27100000000000002</v>
      </c>
      <c r="I96" s="59">
        <f>ROUND(F96*G96*H96,3)</f>
        <v>0</v>
      </c>
    </row>
    <row r="97" spans="2:13" ht="18" customHeight="1">
      <c r="B97" s="48" t="s">
        <v>42</v>
      </c>
      <c r="C97" s="49">
        <f>SUMPRODUCT(F92:F96*G92:G96)</f>
        <v>0</v>
      </c>
      <c r="D97" s="50" t="s">
        <v>43</v>
      </c>
      <c r="E97" s="49">
        <f>SUM(I92:I96)*1.1</f>
        <v>0</v>
      </c>
      <c r="F97" s="50" t="s">
        <v>44</v>
      </c>
      <c r="G97" s="51">
        <f>(C$218+C$222)/1000</f>
        <v>39.781500000000001</v>
      </c>
      <c r="H97" s="52" t="s">
        <v>45</v>
      </c>
      <c r="I97" s="53">
        <f>ROUND(E97*G97,2)</f>
        <v>0</v>
      </c>
    </row>
    <row r="98" spans="2:13" ht="18" customHeight="1">
      <c r="B98" s="48" t="s">
        <v>46</v>
      </c>
      <c r="C98" s="50">
        <v>186.72</v>
      </c>
      <c r="D98" s="50" t="s">
        <v>47</v>
      </c>
      <c r="E98" s="49">
        <f>ROUND(C97*(C98/1000),2)</f>
        <v>0</v>
      </c>
      <c r="F98" s="50" t="s">
        <v>48</v>
      </c>
      <c r="G98" s="50">
        <f>G$23</f>
        <v>10</v>
      </c>
      <c r="H98" s="52" t="s">
        <v>49</v>
      </c>
      <c r="I98" s="53">
        <f>E98*G98</f>
        <v>0</v>
      </c>
    </row>
    <row r="99" spans="2:13" ht="18" customHeight="1">
      <c r="B99" s="48" t="s">
        <v>50</v>
      </c>
      <c r="C99" s="50">
        <v>0</v>
      </c>
      <c r="D99" s="50" t="s">
        <v>51</v>
      </c>
      <c r="E99" s="49">
        <f>ROUND(C97*(C99/1000),2)</f>
        <v>0</v>
      </c>
      <c r="F99" s="50" t="s">
        <v>48</v>
      </c>
      <c r="G99" s="50">
        <f>G$24</f>
        <v>10</v>
      </c>
      <c r="H99" s="52" t="s">
        <v>49</v>
      </c>
      <c r="I99" s="53">
        <f>E99*G99</f>
        <v>0</v>
      </c>
    </row>
    <row r="100" spans="2:13" ht="18" customHeight="1">
      <c r="B100" s="23" t="s">
        <v>36</v>
      </c>
      <c r="C100" s="442" t="s">
        <v>14</v>
      </c>
      <c r="D100" s="442" t="s">
        <v>37</v>
      </c>
      <c r="E100" s="442" t="s">
        <v>38</v>
      </c>
      <c r="F100" s="442" t="s">
        <v>39</v>
      </c>
      <c r="G100" s="442" t="s">
        <v>8</v>
      </c>
      <c r="H100" s="442" t="s">
        <v>22</v>
      </c>
      <c r="I100" s="25" t="s">
        <v>40</v>
      </c>
    </row>
    <row r="101" spans="2:13" ht="18" customHeight="1">
      <c r="B101" s="648" t="s">
        <v>84</v>
      </c>
      <c r="C101" s="653" t="str">
        <f>C92</f>
        <v>SDL2281</v>
      </c>
      <c r="D101" s="443">
        <f>D35-122</f>
        <v>-122</v>
      </c>
      <c r="E101" s="443">
        <f t="shared" ref="D101:E103" si="17">E35-122</f>
        <v>-122</v>
      </c>
      <c r="F101" s="443">
        <f>2*(D101+E101)/1000</f>
        <v>-0.48799999999999999</v>
      </c>
      <c r="G101" s="440">
        <f>G35</f>
        <v>0</v>
      </c>
      <c r="H101" s="440">
        <f>H96</f>
        <v>0.27100000000000002</v>
      </c>
      <c r="I101" s="59">
        <f>ROUND(F101*G101*H101,3)</f>
        <v>0</v>
      </c>
    </row>
    <row r="102" spans="2:13" ht="18" customHeight="1">
      <c r="B102" s="648"/>
      <c r="C102" s="650"/>
      <c r="D102" s="443">
        <f t="shared" si="17"/>
        <v>-122</v>
      </c>
      <c r="E102" s="443">
        <f t="shared" si="17"/>
        <v>-122</v>
      </c>
      <c r="F102" s="443">
        <f>2*(D102+E102)/1000</f>
        <v>-0.48799999999999999</v>
      </c>
      <c r="G102" s="440">
        <f>G36</f>
        <v>0</v>
      </c>
      <c r="H102" s="440">
        <f>H101</f>
        <v>0.27100000000000002</v>
      </c>
      <c r="I102" s="59">
        <f>ROUND(F102*G102*H102,3)</f>
        <v>0</v>
      </c>
      <c r="K102" s="99"/>
      <c r="M102" s="99"/>
    </row>
    <row r="103" spans="2:13" ht="18" customHeight="1">
      <c r="B103" s="648"/>
      <c r="C103" s="651"/>
      <c r="D103" s="443">
        <f t="shared" si="17"/>
        <v>-122</v>
      </c>
      <c r="E103" s="443">
        <f t="shared" si="17"/>
        <v>-122</v>
      </c>
      <c r="F103" s="443">
        <f>2*(D103+E103)/1000</f>
        <v>-0.48799999999999999</v>
      </c>
      <c r="G103" s="440">
        <f>G37</f>
        <v>0</v>
      </c>
      <c r="H103" s="440">
        <f>H102</f>
        <v>0.27100000000000002</v>
      </c>
      <c r="I103" s="59">
        <f>ROUND(F103*G103*H103,3)</f>
        <v>0</v>
      </c>
      <c r="M103" s="99"/>
    </row>
    <row r="104" spans="2:13" ht="18" customHeight="1">
      <c r="B104" s="48" t="s">
        <v>42</v>
      </c>
      <c r="C104" s="49">
        <f>SUMPRODUCT(F101:F103*G101:G103)</f>
        <v>0</v>
      </c>
      <c r="D104" s="50" t="s">
        <v>43</v>
      </c>
      <c r="E104" s="49">
        <f>SUM(I101:I103)*1.1</f>
        <v>0</v>
      </c>
      <c r="F104" s="50" t="s">
        <v>44</v>
      </c>
      <c r="G104" s="51">
        <f>(C$218+C$222)/1000</f>
        <v>39.781500000000001</v>
      </c>
      <c r="H104" s="52" t="s">
        <v>45</v>
      </c>
      <c r="I104" s="53">
        <f>ROUND(E104*G104,2)</f>
        <v>0</v>
      </c>
    </row>
    <row r="105" spans="2:13" ht="18" customHeight="1">
      <c r="B105" s="48" t="s">
        <v>46</v>
      </c>
      <c r="C105" s="50">
        <v>186.72</v>
      </c>
      <c r="D105" s="50" t="s">
        <v>47</v>
      </c>
      <c r="E105" s="49">
        <f>ROUND(C104*(C105/1000),2)</f>
        <v>0</v>
      </c>
      <c r="F105" s="50" t="s">
        <v>48</v>
      </c>
      <c r="G105" s="50">
        <f>G$23</f>
        <v>10</v>
      </c>
      <c r="H105" s="52" t="s">
        <v>49</v>
      </c>
      <c r="I105" s="53">
        <f>ROUND(E105*G105,2)</f>
        <v>0</v>
      </c>
    </row>
    <row r="106" spans="2:13" ht="18" customHeight="1">
      <c r="B106" s="48" t="s">
        <v>50</v>
      </c>
      <c r="C106" s="50">
        <v>0</v>
      </c>
      <c r="D106" s="50" t="s">
        <v>51</v>
      </c>
      <c r="E106" s="49">
        <f>ROUND(C104*(C106/1000),2)</f>
        <v>0</v>
      </c>
      <c r="F106" s="50" t="s">
        <v>48</v>
      </c>
      <c r="G106" s="50">
        <f>G$24</f>
        <v>10</v>
      </c>
      <c r="H106" s="52" t="s">
        <v>49</v>
      </c>
      <c r="I106" s="53">
        <f>ROUND(E106*G106,2)</f>
        <v>0</v>
      </c>
    </row>
    <row r="107" spans="2:13" ht="18" customHeight="1">
      <c r="B107" s="23" t="s">
        <v>36</v>
      </c>
      <c r="C107" s="442" t="s">
        <v>14</v>
      </c>
      <c r="D107" s="442" t="s">
        <v>37</v>
      </c>
      <c r="E107" s="442" t="s">
        <v>38</v>
      </c>
      <c r="F107" s="442" t="s">
        <v>39</v>
      </c>
      <c r="G107" s="442" t="s">
        <v>8</v>
      </c>
      <c r="H107" s="442" t="s">
        <v>22</v>
      </c>
      <c r="I107" s="25" t="s">
        <v>40</v>
      </c>
    </row>
    <row r="108" spans="2:13" ht="18" customHeight="1">
      <c r="B108" s="648" t="s">
        <v>85</v>
      </c>
      <c r="C108" s="655" t="s">
        <v>86</v>
      </c>
      <c r="D108" s="440"/>
      <c r="E108" s="440"/>
      <c r="F108" s="440">
        <f>ROUND((D108+E108)*2/1000,4)</f>
        <v>0</v>
      </c>
      <c r="G108" s="440"/>
      <c r="H108" s="440">
        <v>1.857</v>
      </c>
      <c r="I108" s="59">
        <f>ROUND(F108*G108*H108,3)</f>
        <v>0</v>
      </c>
    </row>
    <row r="109" spans="2:13" ht="18" customHeight="1">
      <c r="B109" s="648"/>
      <c r="C109" s="656"/>
      <c r="D109" s="440"/>
      <c r="E109" s="440"/>
      <c r="F109" s="440">
        <f>ROUND((D109+E109)*2/1000,4)</f>
        <v>0</v>
      </c>
      <c r="G109" s="440"/>
      <c r="H109" s="440">
        <f>H108</f>
        <v>1.857</v>
      </c>
      <c r="I109" s="59">
        <f>ROUND(F109*G109*H109,3)</f>
        <v>0</v>
      </c>
      <c r="K109" s="42"/>
      <c r="L109" s="42"/>
      <c r="M109" s="42"/>
    </row>
    <row r="110" spans="2:13" ht="18" customHeight="1">
      <c r="B110" s="648"/>
      <c r="C110" s="656"/>
      <c r="D110" s="440"/>
      <c r="E110" s="440"/>
      <c r="F110" s="440">
        <f>ROUND((D110+E110)*2/1000,4)</f>
        <v>0</v>
      </c>
      <c r="G110" s="440"/>
      <c r="H110" s="440">
        <f>H109</f>
        <v>1.857</v>
      </c>
      <c r="I110" s="59">
        <f>ROUND(F110*G110*H110,3)</f>
        <v>0</v>
      </c>
      <c r="K110" s="42"/>
      <c r="L110" s="42"/>
      <c r="M110" s="42"/>
    </row>
    <row r="111" spans="2:13" ht="18" customHeight="1">
      <c r="B111" s="648"/>
      <c r="C111" s="657"/>
      <c r="D111" s="440"/>
      <c r="E111" s="440"/>
      <c r="F111" s="440">
        <f>ROUND((D111+E111)*2/1000,4)</f>
        <v>0</v>
      </c>
      <c r="G111" s="440"/>
      <c r="H111" s="440">
        <f>H110</f>
        <v>1.857</v>
      </c>
      <c r="I111" s="59">
        <f>ROUND(F111*G111*H111,3)</f>
        <v>0</v>
      </c>
      <c r="K111" s="42"/>
      <c r="L111" s="42"/>
      <c r="M111" s="42"/>
    </row>
    <row r="112" spans="2:13" ht="18" customHeight="1">
      <c r="B112" s="48" t="s">
        <v>42</v>
      </c>
      <c r="C112" s="49">
        <f>SUMPRODUCT(F108:F111*G108:G111)</f>
        <v>0</v>
      </c>
      <c r="D112" s="50" t="s">
        <v>43</v>
      </c>
      <c r="E112" s="49">
        <f>SUM(I108:I111)*1.1</f>
        <v>0</v>
      </c>
      <c r="F112" s="50" t="s">
        <v>44</v>
      </c>
      <c r="G112" s="51">
        <f>(C$218+C$219)/1000</f>
        <v>46.081499999999998</v>
      </c>
      <c r="H112" s="52" t="s">
        <v>45</v>
      </c>
      <c r="I112" s="53">
        <f>ROUND(E112*G112,2)</f>
        <v>0</v>
      </c>
      <c r="J112" s="243">
        <f>SUM(G108:G111)</f>
        <v>0</v>
      </c>
      <c r="K112" s="42"/>
      <c r="L112" s="42"/>
      <c r="M112" s="42"/>
    </row>
    <row r="113" spans="2:14" ht="18" customHeight="1">
      <c r="B113" s="48" t="s">
        <v>46</v>
      </c>
      <c r="C113" s="50">
        <v>241.03</v>
      </c>
      <c r="D113" s="50" t="s">
        <v>47</v>
      </c>
      <c r="E113" s="49">
        <f>ROUND(C112*(C113/1000),2)</f>
        <v>0</v>
      </c>
      <c r="F113" s="50" t="s">
        <v>48</v>
      </c>
      <c r="G113" s="50">
        <f>G$23</f>
        <v>10</v>
      </c>
      <c r="H113" s="52" t="s">
        <v>49</v>
      </c>
      <c r="I113" s="53">
        <f>E113*G113</f>
        <v>0</v>
      </c>
      <c r="K113" s="42"/>
      <c r="L113" s="42"/>
      <c r="M113" s="42"/>
    </row>
    <row r="114" spans="2:14" ht="18" customHeight="1" thickBot="1">
      <c r="B114" s="48" t="s">
        <v>50</v>
      </c>
      <c r="C114" s="50">
        <v>204.38</v>
      </c>
      <c r="D114" s="50" t="s">
        <v>51</v>
      </c>
      <c r="E114" s="49">
        <f>ROUND(C112*(C114/1000),2)</f>
        <v>0</v>
      </c>
      <c r="F114" s="50" t="s">
        <v>48</v>
      </c>
      <c r="G114" s="50">
        <f>G$24</f>
        <v>10</v>
      </c>
      <c r="H114" s="52" t="s">
        <v>49</v>
      </c>
      <c r="I114" s="53">
        <f>E114*G114</f>
        <v>0</v>
      </c>
    </row>
    <row r="115" spans="2:14" ht="18" customHeight="1" thickBot="1">
      <c r="B115" s="23" t="s">
        <v>36</v>
      </c>
      <c r="C115" s="442" t="s">
        <v>14</v>
      </c>
      <c r="D115" s="442" t="s">
        <v>37</v>
      </c>
      <c r="E115" s="442" t="s">
        <v>38</v>
      </c>
      <c r="F115" s="442" t="s">
        <v>39</v>
      </c>
      <c r="G115" s="442" t="s">
        <v>8</v>
      </c>
      <c r="H115" s="442" t="s">
        <v>22</v>
      </c>
      <c r="I115" s="25" t="s">
        <v>40</v>
      </c>
      <c r="J115" s="54" t="s">
        <v>2</v>
      </c>
      <c r="K115" s="55" t="s">
        <v>3</v>
      </c>
      <c r="L115" s="55" t="s">
        <v>61</v>
      </c>
      <c r="M115" s="55" t="s">
        <v>62</v>
      </c>
      <c r="N115" s="70" t="s">
        <v>14</v>
      </c>
    </row>
    <row r="116" spans="2:14" ht="18" customHeight="1">
      <c r="B116" s="648" t="s">
        <v>87</v>
      </c>
      <c r="C116" s="649" t="s">
        <v>88</v>
      </c>
      <c r="D116" s="443">
        <f t="shared" ref="D116:E118" si="18">J116-IF(L116=1,78,IF(L116=2,55.5,IF(L116=3,41,0)))</f>
        <v>0</v>
      </c>
      <c r="E116" s="443">
        <f t="shared" si="18"/>
        <v>0</v>
      </c>
      <c r="F116" s="440">
        <f>ROUND((D116+E116)*2/1000,4)</f>
        <v>0</v>
      </c>
      <c r="G116" s="440"/>
      <c r="H116" s="58">
        <v>2.456</v>
      </c>
      <c r="I116" s="59">
        <f>ROUND(F116*G116*H116,3)</f>
        <v>0</v>
      </c>
      <c r="J116" s="60"/>
      <c r="K116" s="61"/>
      <c r="L116" s="61"/>
      <c r="M116" s="61"/>
      <c r="N116" s="76" t="s">
        <v>56</v>
      </c>
    </row>
    <row r="117" spans="2:14" ht="18" customHeight="1">
      <c r="B117" s="648"/>
      <c r="C117" s="650"/>
      <c r="D117" s="443">
        <f t="shared" si="18"/>
        <v>0</v>
      </c>
      <c r="E117" s="443">
        <f t="shared" si="18"/>
        <v>0</v>
      </c>
      <c r="F117" s="440">
        <f>ROUND((D117+E117)*2/1000,4)</f>
        <v>0</v>
      </c>
      <c r="G117" s="440">
        <v>0</v>
      </c>
      <c r="H117" s="58">
        <f>H116</f>
        <v>2.456</v>
      </c>
      <c r="I117" s="59">
        <f>ROUND(F117*G117*H117,3)</f>
        <v>0</v>
      </c>
      <c r="J117" s="60"/>
      <c r="K117" s="61"/>
      <c r="L117" s="61"/>
      <c r="M117" s="61"/>
      <c r="N117" s="76" t="s">
        <v>58</v>
      </c>
    </row>
    <row r="118" spans="2:14" ht="18" customHeight="1" thickBot="1">
      <c r="B118" s="648"/>
      <c r="C118" s="651"/>
      <c r="D118" s="443">
        <f t="shared" si="18"/>
        <v>0</v>
      </c>
      <c r="E118" s="443">
        <f t="shared" si="18"/>
        <v>0</v>
      </c>
      <c r="F118" s="440">
        <f>ROUND((D118+E118)*2/1000,4)</f>
        <v>0</v>
      </c>
      <c r="G118" s="440">
        <v>0</v>
      </c>
      <c r="H118" s="58">
        <f>H117</f>
        <v>2.456</v>
      </c>
      <c r="I118" s="59">
        <f>ROUND(F118*G118*H118,3)</f>
        <v>0</v>
      </c>
      <c r="J118" s="64"/>
      <c r="K118" s="65"/>
      <c r="L118" s="65"/>
      <c r="M118" s="65"/>
      <c r="N118" s="80" t="s">
        <v>89</v>
      </c>
    </row>
    <row r="119" spans="2:14" ht="18" customHeight="1">
      <c r="B119" s="48" t="s">
        <v>42</v>
      </c>
      <c r="C119" s="49">
        <f>SUMPRODUCT(F116:F118*G116:G118)</f>
        <v>0</v>
      </c>
      <c r="D119" s="100" t="s">
        <v>43</v>
      </c>
      <c r="E119" s="100">
        <f>SUM(I116:I118)*1.1</f>
        <v>0</v>
      </c>
      <c r="F119" s="50" t="s">
        <v>44</v>
      </c>
      <c r="G119" s="51">
        <f>(C$218+C$219)/1000</f>
        <v>46.081499999999998</v>
      </c>
      <c r="H119" s="52" t="s">
        <v>45</v>
      </c>
      <c r="I119" s="53">
        <f>ROUND(E119*G119,2)</f>
        <v>0</v>
      </c>
      <c r="J119" s="243">
        <f>SUM(G116:G118)</f>
        <v>0</v>
      </c>
      <c r="K119" s="255"/>
      <c r="L119" s="255"/>
      <c r="M119" s="255"/>
    </row>
    <row r="120" spans="2:14" ht="18" customHeight="1">
      <c r="B120" s="48" t="s">
        <v>46</v>
      </c>
      <c r="C120" s="50">
        <v>350.56</v>
      </c>
      <c r="D120" s="100" t="s">
        <v>47</v>
      </c>
      <c r="E120" s="100">
        <f>ROUND(C119*(C120/1000),2)</f>
        <v>0</v>
      </c>
      <c r="F120" s="50" t="s">
        <v>48</v>
      </c>
      <c r="G120" s="50">
        <f>G$23</f>
        <v>10</v>
      </c>
      <c r="H120" s="52" t="s">
        <v>49</v>
      </c>
      <c r="I120" s="53">
        <f>E120*G120</f>
        <v>0</v>
      </c>
      <c r="J120" s="255"/>
      <c r="K120" s="255"/>
      <c r="L120" s="255"/>
      <c r="M120" s="255"/>
    </row>
    <row r="121" spans="2:14" ht="18" customHeight="1" thickBot="1">
      <c r="B121" s="48" t="s">
        <v>50</v>
      </c>
      <c r="C121" s="50">
        <v>189.03</v>
      </c>
      <c r="D121" s="100" t="s">
        <v>51</v>
      </c>
      <c r="E121" s="100">
        <f>ROUND(C119*(C121/1000),2)</f>
        <v>0</v>
      </c>
      <c r="F121" s="50" t="s">
        <v>48</v>
      </c>
      <c r="G121" s="50">
        <f>G$24</f>
        <v>10</v>
      </c>
      <c r="H121" s="52" t="s">
        <v>49</v>
      </c>
      <c r="I121" s="53">
        <f>E121*G121</f>
        <v>0</v>
      </c>
      <c r="J121" s="255"/>
    </row>
    <row r="122" spans="2:14" ht="18" customHeight="1" thickBot="1">
      <c r="B122" s="23" t="s">
        <v>36</v>
      </c>
      <c r="C122" s="442" t="s">
        <v>14</v>
      </c>
      <c r="D122" s="101" t="s">
        <v>37</v>
      </c>
      <c r="E122" s="101" t="s">
        <v>38</v>
      </c>
      <c r="F122" s="442" t="s">
        <v>39</v>
      </c>
      <c r="G122" s="442" t="s">
        <v>8</v>
      </c>
      <c r="H122" s="442" t="s">
        <v>22</v>
      </c>
      <c r="I122" s="25" t="s">
        <v>40</v>
      </c>
      <c r="J122" s="54" t="s">
        <v>2</v>
      </c>
      <c r="K122" s="55" t="s">
        <v>3</v>
      </c>
      <c r="L122" s="55" t="s">
        <v>61</v>
      </c>
      <c r="M122" s="55" t="s">
        <v>62</v>
      </c>
      <c r="N122" s="70" t="s">
        <v>14</v>
      </c>
    </row>
    <row r="123" spans="2:14" ht="18" customHeight="1">
      <c r="B123" s="648" t="s">
        <v>90</v>
      </c>
      <c r="C123" s="649" t="s">
        <v>91</v>
      </c>
      <c r="D123" s="443">
        <f t="shared" ref="D123:E125" si="19">J123-IF(L123=1,78,IF(L123=2,55.5,IF(L123=3,41,0)))</f>
        <v>0</v>
      </c>
      <c r="E123" s="443">
        <f t="shared" si="19"/>
        <v>0</v>
      </c>
      <c r="F123" s="440">
        <f>ROUND((D123+E123)*2/1000,4)</f>
        <v>0</v>
      </c>
      <c r="G123" s="440"/>
      <c r="H123" s="58">
        <v>2.4710000000000001</v>
      </c>
      <c r="I123" s="59">
        <f>ROUND(F123*G123*H123,3)</f>
        <v>0</v>
      </c>
      <c r="J123" s="60"/>
      <c r="K123" s="61"/>
      <c r="L123" s="61"/>
      <c r="M123" s="61"/>
      <c r="N123" s="76" t="s">
        <v>56</v>
      </c>
    </row>
    <row r="124" spans="2:14" ht="18" customHeight="1">
      <c r="B124" s="648"/>
      <c r="C124" s="650"/>
      <c r="D124" s="443">
        <f t="shared" si="19"/>
        <v>0</v>
      </c>
      <c r="E124" s="443">
        <f t="shared" si="19"/>
        <v>0</v>
      </c>
      <c r="F124" s="440">
        <f>ROUND((D124+E124)*2/1000,4)</f>
        <v>0</v>
      </c>
      <c r="G124" s="440"/>
      <c r="H124" s="58">
        <f>H123</f>
        <v>2.4710000000000001</v>
      </c>
      <c r="I124" s="59">
        <f>ROUND(F124*G124*H124,3)</f>
        <v>0</v>
      </c>
      <c r="J124" s="60"/>
      <c r="K124" s="61"/>
      <c r="L124" s="61"/>
      <c r="M124" s="61"/>
      <c r="N124" s="76" t="s">
        <v>58</v>
      </c>
    </row>
    <row r="125" spans="2:14" ht="18" customHeight="1" thickBot="1">
      <c r="B125" s="648"/>
      <c r="C125" s="651"/>
      <c r="D125" s="443">
        <f t="shared" si="19"/>
        <v>0</v>
      </c>
      <c r="E125" s="443">
        <f t="shared" si="19"/>
        <v>0</v>
      </c>
      <c r="F125" s="440">
        <f>ROUND((D125+E125)*2/1000,4)</f>
        <v>0</v>
      </c>
      <c r="G125" s="440"/>
      <c r="H125" s="58">
        <f>H124</f>
        <v>2.4710000000000001</v>
      </c>
      <c r="I125" s="59">
        <f>ROUND(F125*G125*H125,3)</f>
        <v>0</v>
      </c>
      <c r="J125" s="64"/>
      <c r="K125" s="65"/>
      <c r="L125" s="65"/>
      <c r="M125" s="65"/>
      <c r="N125" s="80" t="s">
        <v>89</v>
      </c>
    </row>
    <row r="126" spans="2:14" ht="18" customHeight="1">
      <c r="B126" s="48" t="s">
        <v>42</v>
      </c>
      <c r="C126" s="49">
        <f>SUMPRODUCT(F123:F125*G123:G125)</f>
        <v>0</v>
      </c>
      <c r="D126" s="50" t="s">
        <v>43</v>
      </c>
      <c r="E126" s="49">
        <f>SUM(I123:I125)*1.1</f>
        <v>0</v>
      </c>
      <c r="F126" s="50" t="s">
        <v>44</v>
      </c>
      <c r="G126" s="51">
        <f>(C$218+C$221)/1000</f>
        <v>46.081499999999998</v>
      </c>
      <c r="H126" s="52" t="s">
        <v>45</v>
      </c>
      <c r="I126" s="53">
        <f>ROUND(E126*G126,2)</f>
        <v>0</v>
      </c>
      <c r="J126" s="243">
        <f>SUM(G123:G125)</f>
        <v>0</v>
      </c>
      <c r="K126" s="255"/>
      <c r="L126" s="255"/>
      <c r="M126" s="255"/>
    </row>
    <row r="127" spans="2:14" ht="18" customHeight="1">
      <c r="B127" s="48" t="s">
        <v>46</v>
      </c>
      <c r="C127" s="50">
        <v>236.53</v>
      </c>
      <c r="D127" s="50" t="s">
        <v>47</v>
      </c>
      <c r="E127" s="49">
        <f>ROUND(C126*(C127/1000),2)</f>
        <v>0</v>
      </c>
      <c r="F127" s="50" t="s">
        <v>48</v>
      </c>
      <c r="G127" s="50">
        <f>G$23</f>
        <v>10</v>
      </c>
      <c r="H127" s="52" t="s">
        <v>49</v>
      </c>
      <c r="I127" s="53">
        <f>E127*G127</f>
        <v>0</v>
      </c>
      <c r="J127" s="255"/>
      <c r="K127" s="255"/>
      <c r="L127" s="255"/>
      <c r="M127" s="255"/>
    </row>
    <row r="128" spans="2:14" ht="18" customHeight="1" thickBot="1">
      <c r="B128" s="48" t="s">
        <v>50</v>
      </c>
      <c r="C128" s="50">
        <v>311.02999999999997</v>
      </c>
      <c r="D128" s="50" t="s">
        <v>51</v>
      </c>
      <c r="E128" s="49">
        <f>ROUND(C126*(C128/1000),2)</f>
        <v>0</v>
      </c>
      <c r="F128" s="50" t="s">
        <v>48</v>
      </c>
      <c r="G128" s="50">
        <f>G$24</f>
        <v>10</v>
      </c>
      <c r="H128" s="52" t="s">
        <v>49</v>
      </c>
      <c r="I128" s="53">
        <f>E128*G128</f>
        <v>0</v>
      </c>
      <c r="J128" s="255"/>
    </row>
    <row r="129" spans="2:14" ht="18" customHeight="1" thickBot="1">
      <c r="B129" s="23" t="s">
        <v>36</v>
      </c>
      <c r="C129" s="442" t="s">
        <v>14</v>
      </c>
      <c r="D129" s="442" t="s">
        <v>37</v>
      </c>
      <c r="E129" s="442" t="s">
        <v>71</v>
      </c>
      <c r="F129" s="442" t="s">
        <v>38</v>
      </c>
      <c r="G129" s="442" t="s">
        <v>72</v>
      </c>
      <c r="H129" s="442" t="s">
        <v>22</v>
      </c>
      <c r="I129" s="25" t="s">
        <v>40</v>
      </c>
      <c r="J129" s="54" t="s">
        <v>2</v>
      </c>
      <c r="K129" s="55" t="s">
        <v>3</v>
      </c>
      <c r="L129" s="55" t="s">
        <v>61</v>
      </c>
      <c r="M129" s="55" t="s">
        <v>62</v>
      </c>
      <c r="N129" s="70" t="s">
        <v>14</v>
      </c>
    </row>
    <row r="130" spans="2:14" ht="18" customHeight="1">
      <c r="B130" s="648" t="s">
        <v>92</v>
      </c>
      <c r="C130" s="649" t="s">
        <v>93</v>
      </c>
      <c r="D130" s="443">
        <f>J130-IF(L130=1,81,IF(L130=2,58.5,IF(L130=3,36,0)))</f>
        <v>0</v>
      </c>
      <c r="E130" s="443">
        <v>0</v>
      </c>
      <c r="F130" s="443">
        <f>K130-IF(M130=1,81,IF(M130=2,58.5,IF(M130=3,36,0)))</f>
        <v>0</v>
      </c>
      <c r="G130" s="440">
        <v>0</v>
      </c>
      <c r="H130" s="440">
        <v>2.0489999999999999</v>
      </c>
      <c r="I130" s="59">
        <f>ROUND((D130*E130+F130*G130)/1000*H130,3)</f>
        <v>0</v>
      </c>
      <c r="J130" s="60"/>
      <c r="K130" s="61"/>
      <c r="L130" s="61"/>
      <c r="M130" s="61"/>
      <c r="N130" s="76" t="s">
        <v>56</v>
      </c>
    </row>
    <row r="131" spans="2:14" ht="18" customHeight="1">
      <c r="B131" s="648"/>
      <c r="C131" s="650"/>
      <c r="D131" s="443">
        <f>J131-IF(L131=1,81,IF(L131=2,58.5,IF(L131=3,36,0)))</f>
        <v>0</v>
      </c>
      <c r="E131" s="443">
        <v>0</v>
      </c>
      <c r="F131" s="443">
        <f>K131-IF(M131=1,81,IF(M131=2,58.5,IF(M131=3,36,0)))</f>
        <v>0</v>
      </c>
      <c r="G131" s="440"/>
      <c r="H131" s="440">
        <f>H130</f>
        <v>2.0489999999999999</v>
      </c>
      <c r="I131" s="59">
        <f>ROUND((D131*E131+F131*G131)/1000*H131,3)</f>
        <v>0</v>
      </c>
      <c r="J131" s="60"/>
      <c r="K131" s="61"/>
      <c r="L131" s="61"/>
      <c r="M131" s="61"/>
      <c r="N131" s="76" t="s">
        <v>58</v>
      </c>
    </row>
    <row r="132" spans="2:14" ht="18" customHeight="1" thickBot="1">
      <c r="B132" s="648"/>
      <c r="C132" s="651"/>
      <c r="D132" s="443">
        <f>J132-IF(L132=1,81,IF(L132=2,58.5,IF(L132=3,36,0)))</f>
        <v>0</v>
      </c>
      <c r="E132" s="443"/>
      <c r="F132" s="443">
        <f>K132-IF(M132=1,81,IF(M132=2,58.5,IF(M132=3,36,0)))</f>
        <v>0</v>
      </c>
      <c r="G132" s="440"/>
      <c r="H132" s="440">
        <f>H131</f>
        <v>2.0489999999999999</v>
      </c>
      <c r="I132" s="59">
        <f>ROUND((D132*E132+F132*G132)/1000*H132,3)</f>
        <v>0</v>
      </c>
      <c r="J132" s="64"/>
      <c r="K132" s="65"/>
      <c r="L132" s="65"/>
      <c r="M132" s="65"/>
      <c r="N132" s="80" t="s">
        <v>89</v>
      </c>
    </row>
    <row r="133" spans="2:14" ht="18" customHeight="1">
      <c r="B133" s="48" t="s">
        <v>42</v>
      </c>
      <c r="C133" s="49">
        <f>SUMPRODUCT(D130:D132*E130:E132+F130:F132*G130:G132)/1000</f>
        <v>0</v>
      </c>
      <c r="D133" s="50" t="s">
        <v>43</v>
      </c>
      <c r="E133" s="49">
        <f>SUM(I130:I132)*1.1</f>
        <v>0</v>
      </c>
      <c r="F133" s="50" t="s">
        <v>44</v>
      </c>
      <c r="G133" s="51">
        <f>(C$218+C$219)/1000</f>
        <v>46.081499999999998</v>
      </c>
      <c r="H133" s="52" t="s">
        <v>45</v>
      </c>
      <c r="I133" s="53">
        <f>ROUND(E133*G133,2)</f>
        <v>0</v>
      </c>
      <c r="J133" s="243">
        <f>SUM(G130:G132)+SUM(E130:E132)</f>
        <v>0</v>
      </c>
    </row>
    <row r="134" spans="2:14" ht="18" customHeight="1">
      <c r="B134" s="48" t="s">
        <v>46</v>
      </c>
      <c r="C134" s="50">
        <v>298.42</v>
      </c>
      <c r="D134" s="50" t="s">
        <v>47</v>
      </c>
      <c r="E134" s="49">
        <f>ROUND(C133*(C134/1000),2)</f>
        <v>0</v>
      </c>
      <c r="F134" s="50" t="s">
        <v>48</v>
      </c>
      <c r="G134" s="50">
        <f>G$23</f>
        <v>10</v>
      </c>
      <c r="H134" s="52" t="s">
        <v>49</v>
      </c>
      <c r="I134" s="53">
        <f>ROUND(E134*G134,2)</f>
        <v>0</v>
      </c>
    </row>
    <row r="135" spans="2:14" ht="18" customHeight="1">
      <c r="B135" s="48" t="s">
        <v>50</v>
      </c>
      <c r="C135" s="50">
        <v>208.08</v>
      </c>
      <c r="D135" s="50" t="s">
        <v>51</v>
      </c>
      <c r="E135" s="49">
        <f>ROUND(C133*(C135/1000),2)</f>
        <v>0</v>
      </c>
      <c r="F135" s="50" t="s">
        <v>48</v>
      </c>
      <c r="G135" s="50">
        <f>G$24</f>
        <v>10</v>
      </c>
      <c r="H135" s="52" t="s">
        <v>49</v>
      </c>
      <c r="I135" s="53">
        <f>ROUND(E135*G135,2)</f>
        <v>0</v>
      </c>
    </row>
    <row r="136" spans="2:14" ht="18" customHeight="1">
      <c r="B136" s="23" t="s">
        <v>36</v>
      </c>
      <c r="C136" s="442" t="s">
        <v>14</v>
      </c>
      <c r="D136" s="652" t="s">
        <v>38</v>
      </c>
      <c r="E136" s="652"/>
      <c r="F136" s="652"/>
      <c r="G136" s="442" t="s">
        <v>72</v>
      </c>
      <c r="H136" s="442" t="s">
        <v>22</v>
      </c>
      <c r="I136" s="25" t="s">
        <v>40</v>
      </c>
    </row>
    <row r="137" spans="2:14" ht="18" customHeight="1">
      <c r="B137" s="648" t="s">
        <v>94</v>
      </c>
      <c r="C137" s="649" t="s">
        <v>95</v>
      </c>
      <c r="D137" s="654">
        <f>E116</f>
        <v>0</v>
      </c>
      <c r="E137" s="646"/>
      <c r="F137" s="646"/>
      <c r="G137" s="440"/>
      <c r="H137" s="440">
        <v>1.3360000000000001</v>
      </c>
      <c r="I137" s="59">
        <f>ROUND(D137*H137*G137/1000,3)</f>
        <v>0</v>
      </c>
    </row>
    <row r="138" spans="2:14" ht="18" customHeight="1">
      <c r="B138" s="648"/>
      <c r="C138" s="651"/>
      <c r="D138" s="654"/>
      <c r="E138" s="646"/>
      <c r="F138" s="646"/>
      <c r="G138" s="440"/>
      <c r="H138" s="440">
        <f>H137</f>
        <v>1.3360000000000001</v>
      </c>
      <c r="I138" s="59">
        <f>ROUND(D138*H138*G138/1000,3)</f>
        <v>0</v>
      </c>
    </row>
    <row r="139" spans="2:14" ht="18" customHeight="1">
      <c r="B139" s="48" t="s">
        <v>42</v>
      </c>
      <c r="C139" s="49">
        <f>SUMPRODUCT(D137:F138*G137:G138)/1000</f>
        <v>0</v>
      </c>
      <c r="D139" s="50" t="s">
        <v>43</v>
      </c>
      <c r="E139" s="49">
        <f>SUM(I137:I138)*1.1</f>
        <v>0</v>
      </c>
      <c r="F139" s="50" t="s">
        <v>44</v>
      </c>
      <c r="G139" s="51">
        <f>(C$218+C$219)/1000</f>
        <v>46.081499999999998</v>
      </c>
      <c r="H139" s="52" t="s">
        <v>45</v>
      </c>
      <c r="I139" s="53">
        <f>ROUND(E139*G139,2)</f>
        <v>0</v>
      </c>
    </row>
    <row r="140" spans="2:14" ht="18" customHeight="1">
      <c r="B140" s="48" t="s">
        <v>46</v>
      </c>
      <c r="C140" s="50">
        <v>143.24</v>
      </c>
      <c r="D140" s="50" t="s">
        <v>47</v>
      </c>
      <c r="E140" s="49">
        <f>ROUND(C139*(C140/1000),2)</f>
        <v>0</v>
      </c>
      <c r="F140" s="50" t="s">
        <v>48</v>
      </c>
      <c r="G140" s="50">
        <f>G$23</f>
        <v>10</v>
      </c>
      <c r="H140" s="52" t="s">
        <v>49</v>
      </c>
      <c r="I140" s="53">
        <f>E140*G140</f>
        <v>0</v>
      </c>
    </row>
    <row r="141" spans="2:14" ht="18" customHeight="1">
      <c r="B141" s="48" t="s">
        <v>50</v>
      </c>
      <c r="C141" s="50">
        <v>85.04</v>
      </c>
      <c r="D141" s="50" t="s">
        <v>51</v>
      </c>
      <c r="E141" s="49">
        <f>ROUND(C139*(C141/1000),2)</f>
        <v>0</v>
      </c>
      <c r="F141" s="50" t="s">
        <v>48</v>
      </c>
      <c r="G141" s="50">
        <f>G$24</f>
        <v>10</v>
      </c>
      <c r="H141" s="52" t="s">
        <v>49</v>
      </c>
      <c r="I141" s="53">
        <f>E141*G141</f>
        <v>0</v>
      </c>
    </row>
    <row r="142" spans="2:14" ht="18" customHeight="1">
      <c r="B142" s="23" t="s">
        <v>36</v>
      </c>
      <c r="C142" s="442" t="s">
        <v>14</v>
      </c>
      <c r="D142" s="442" t="s">
        <v>37</v>
      </c>
      <c r="E142" s="442" t="s">
        <v>38</v>
      </c>
      <c r="F142" s="442" t="s">
        <v>39</v>
      </c>
      <c r="G142" s="442" t="s">
        <v>8</v>
      </c>
      <c r="H142" s="442" t="s">
        <v>22</v>
      </c>
      <c r="I142" s="25" t="s">
        <v>40</v>
      </c>
    </row>
    <row r="143" spans="2:14" ht="18" customHeight="1">
      <c r="B143" s="648" t="s">
        <v>96</v>
      </c>
      <c r="C143" s="653" t="s">
        <v>83</v>
      </c>
      <c r="D143" s="443">
        <f t="shared" ref="D143:E145" si="20">D116-154</f>
        <v>-154</v>
      </c>
      <c r="E143" s="443">
        <f t="shared" si="20"/>
        <v>-154</v>
      </c>
      <c r="F143" s="443">
        <f>(D143+E143)*2/1000</f>
        <v>-0.61599999999999999</v>
      </c>
      <c r="G143" s="440">
        <f>G116</f>
        <v>0</v>
      </c>
      <c r="H143" s="440">
        <v>0.27100000000000002</v>
      </c>
      <c r="I143" s="59">
        <f>ROUND((F143*G143)*H143,3)</f>
        <v>0</v>
      </c>
    </row>
    <row r="144" spans="2:14" ht="18" customHeight="1">
      <c r="B144" s="648"/>
      <c r="C144" s="650"/>
      <c r="D144" s="443">
        <f t="shared" si="20"/>
        <v>-154</v>
      </c>
      <c r="E144" s="443">
        <f t="shared" si="20"/>
        <v>-154</v>
      </c>
      <c r="F144" s="443">
        <f>(D144+E144)*2/1000</f>
        <v>-0.61599999999999999</v>
      </c>
      <c r="G144" s="440">
        <f>G117</f>
        <v>0</v>
      </c>
      <c r="H144" s="440">
        <f>H143</f>
        <v>0.27100000000000002</v>
      </c>
      <c r="I144" s="59">
        <f>ROUND((F144*G144)*H144,3)</f>
        <v>0</v>
      </c>
    </row>
    <row r="145" spans="2:14" ht="18" customHeight="1">
      <c r="B145" s="648"/>
      <c r="C145" s="651"/>
      <c r="D145" s="443">
        <f t="shared" si="20"/>
        <v>-154</v>
      </c>
      <c r="E145" s="443">
        <f t="shared" si="20"/>
        <v>-154</v>
      </c>
      <c r="F145" s="443">
        <f>(D145+E145)*2/1000</f>
        <v>-0.61599999999999999</v>
      </c>
      <c r="G145" s="440">
        <f>G118</f>
        <v>0</v>
      </c>
      <c r="H145" s="440">
        <f>H144</f>
        <v>0.27100000000000002</v>
      </c>
      <c r="I145" s="59">
        <f>ROUND((F145*G145)*H145,3)</f>
        <v>0</v>
      </c>
    </row>
    <row r="146" spans="2:14" ht="18" customHeight="1">
      <c r="B146" s="48" t="s">
        <v>42</v>
      </c>
      <c r="C146" s="49">
        <f>SUMPRODUCT(F143:F145*G143:G145)</f>
        <v>0</v>
      </c>
      <c r="D146" s="50" t="s">
        <v>43</v>
      </c>
      <c r="E146" s="49">
        <f>SUM(I143:I145)*1.1</f>
        <v>0</v>
      </c>
      <c r="F146" s="50" t="s">
        <v>44</v>
      </c>
      <c r="G146" s="51">
        <f>(C$218+C$222)/1000</f>
        <v>39.781500000000001</v>
      </c>
      <c r="H146" s="52" t="s">
        <v>45</v>
      </c>
      <c r="I146" s="53">
        <f>ROUND(E146*G146,2)</f>
        <v>0</v>
      </c>
    </row>
    <row r="147" spans="2:14" ht="18" customHeight="1">
      <c r="B147" s="48" t="s">
        <v>46</v>
      </c>
      <c r="C147" s="50">
        <v>186.72</v>
      </c>
      <c r="D147" s="50" t="s">
        <v>47</v>
      </c>
      <c r="E147" s="49">
        <f>ROUND(C146*(C147/1000),2)</f>
        <v>0</v>
      </c>
      <c r="F147" s="50" t="s">
        <v>48</v>
      </c>
      <c r="G147" s="50">
        <f>G$23</f>
        <v>10</v>
      </c>
      <c r="H147" s="52" t="s">
        <v>49</v>
      </c>
      <c r="I147" s="53">
        <f>E147*G147</f>
        <v>0</v>
      </c>
      <c r="K147" s="42"/>
      <c r="L147" s="42"/>
      <c r="M147" s="42"/>
    </row>
    <row r="148" spans="2:14" ht="18" customHeight="1">
      <c r="B148" s="48" t="s">
        <v>50</v>
      </c>
      <c r="C148" s="50">
        <v>0</v>
      </c>
      <c r="D148" s="50" t="s">
        <v>51</v>
      </c>
      <c r="E148" s="49">
        <f>ROUND(C146*(C148/1000),2)</f>
        <v>0</v>
      </c>
      <c r="F148" s="50" t="s">
        <v>48</v>
      </c>
      <c r="G148" s="50">
        <f>G$24</f>
        <v>10</v>
      </c>
      <c r="H148" s="52" t="s">
        <v>49</v>
      </c>
      <c r="I148" s="53">
        <f>E148*G148</f>
        <v>0</v>
      </c>
      <c r="K148" s="42"/>
      <c r="L148" s="42"/>
      <c r="M148" s="42"/>
    </row>
    <row r="149" spans="2:14" ht="18" customHeight="1">
      <c r="B149" s="23" t="s">
        <v>36</v>
      </c>
      <c r="C149" s="442" t="s">
        <v>14</v>
      </c>
      <c r="D149" s="442" t="s">
        <v>37</v>
      </c>
      <c r="E149" s="442" t="s">
        <v>38</v>
      </c>
      <c r="F149" s="442" t="s">
        <v>39</v>
      </c>
      <c r="G149" s="442" t="s">
        <v>8</v>
      </c>
      <c r="H149" s="442" t="s">
        <v>22</v>
      </c>
      <c r="I149" s="25" t="s">
        <v>40</v>
      </c>
      <c r="K149" s="42"/>
      <c r="L149" s="42"/>
      <c r="M149" s="42"/>
    </row>
    <row r="150" spans="2:14" ht="18" customHeight="1">
      <c r="B150" s="648" t="s">
        <v>97</v>
      </c>
      <c r="C150" s="653" t="s">
        <v>83</v>
      </c>
      <c r="D150" s="443">
        <f t="shared" ref="D150:E152" si="21">D123-160</f>
        <v>-160</v>
      </c>
      <c r="E150" s="443">
        <f t="shared" si="21"/>
        <v>-160</v>
      </c>
      <c r="F150" s="443">
        <f>(D150+E150)*2/1000</f>
        <v>-0.64</v>
      </c>
      <c r="G150" s="440">
        <f>G123</f>
        <v>0</v>
      </c>
      <c r="H150" s="440">
        <f>H145</f>
        <v>0.27100000000000002</v>
      </c>
      <c r="I150" s="59">
        <f>ROUND((F150*G150)*H150,3)</f>
        <v>0</v>
      </c>
      <c r="K150" s="42"/>
      <c r="L150" s="42"/>
      <c r="M150" s="42"/>
    </row>
    <row r="151" spans="2:14" ht="18" customHeight="1">
      <c r="B151" s="648"/>
      <c r="C151" s="650"/>
      <c r="D151" s="443">
        <f t="shared" si="21"/>
        <v>-160</v>
      </c>
      <c r="E151" s="443">
        <f t="shared" si="21"/>
        <v>-160</v>
      </c>
      <c r="F151" s="443">
        <f>(D151+E151)*2/1000</f>
        <v>-0.64</v>
      </c>
      <c r="G151" s="440">
        <f>G124</f>
        <v>0</v>
      </c>
      <c r="H151" s="440">
        <f>H150</f>
        <v>0.27100000000000002</v>
      </c>
      <c r="I151" s="59">
        <f>ROUND((F151*G151)*H151,3)</f>
        <v>0</v>
      </c>
      <c r="K151" s="42"/>
      <c r="L151" s="42"/>
      <c r="M151" s="42"/>
    </row>
    <row r="152" spans="2:14" ht="18" customHeight="1">
      <c r="B152" s="648"/>
      <c r="C152" s="651"/>
      <c r="D152" s="443">
        <f t="shared" si="21"/>
        <v>-160</v>
      </c>
      <c r="E152" s="443">
        <f t="shared" si="21"/>
        <v>-160</v>
      </c>
      <c r="F152" s="443">
        <f>(D152+E152)*2/1000</f>
        <v>-0.64</v>
      </c>
      <c r="G152" s="440">
        <f>G125</f>
        <v>0</v>
      </c>
      <c r="H152" s="440">
        <f>H151</f>
        <v>0.27100000000000002</v>
      </c>
      <c r="I152" s="59">
        <f>ROUND((F152*G152)*H152,3)</f>
        <v>0</v>
      </c>
      <c r="K152" s="42"/>
      <c r="L152" s="42"/>
      <c r="M152" s="42"/>
    </row>
    <row r="153" spans="2:14" ht="18" customHeight="1">
      <c r="B153" s="48" t="s">
        <v>42</v>
      </c>
      <c r="C153" s="49">
        <f>SUMPRODUCT(F150:F152*G150:G152)</f>
        <v>0</v>
      </c>
      <c r="D153" s="50" t="s">
        <v>43</v>
      </c>
      <c r="E153" s="49">
        <f>SUM(I150:I152)*1.1</f>
        <v>0</v>
      </c>
      <c r="F153" s="50" t="s">
        <v>44</v>
      </c>
      <c r="G153" s="51">
        <f>(C$218+C$222)/1000</f>
        <v>39.781500000000001</v>
      </c>
      <c r="H153" s="52" t="s">
        <v>45</v>
      </c>
      <c r="I153" s="53">
        <f>ROUND(E153*G153,2)</f>
        <v>0</v>
      </c>
      <c r="K153" s="42"/>
      <c r="L153" s="42"/>
      <c r="M153" s="42"/>
    </row>
    <row r="154" spans="2:14" ht="18" customHeight="1">
      <c r="B154" s="48" t="s">
        <v>46</v>
      </c>
      <c r="C154" s="50">
        <v>186.72</v>
      </c>
      <c r="D154" s="50" t="s">
        <v>47</v>
      </c>
      <c r="E154" s="49">
        <f>ROUND(C153*(C154/1000),2)</f>
        <v>0</v>
      </c>
      <c r="F154" s="50" t="s">
        <v>48</v>
      </c>
      <c r="G154" s="50">
        <f>G$23</f>
        <v>10</v>
      </c>
      <c r="H154" s="52" t="s">
        <v>49</v>
      </c>
      <c r="I154" s="53">
        <f>E154*G154</f>
        <v>0</v>
      </c>
    </row>
    <row r="155" spans="2:14" ht="18" customHeight="1" thickBot="1">
      <c r="B155" s="48" t="s">
        <v>50</v>
      </c>
      <c r="C155" s="50">
        <v>0</v>
      </c>
      <c r="D155" s="50" t="s">
        <v>51</v>
      </c>
      <c r="E155" s="49">
        <f>ROUND(C153*(C155/1000),2)</f>
        <v>0</v>
      </c>
      <c r="F155" s="50" t="s">
        <v>48</v>
      </c>
      <c r="G155" s="50">
        <f>G$24</f>
        <v>10</v>
      </c>
      <c r="H155" s="52" t="s">
        <v>49</v>
      </c>
      <c r="I155" s="53">
        <f>E155*G155</f>
        <v>0</v>
      </c>
    </row>
    <row r="156" spans="2:14" ht="18" customHeight="1" thickBot="1">
      <c r="B156" s="23" t="s">
        <v>36</v>
      </c>
      <c r="C156" s="442" t="s">
        <v>14</v>
      </c>
      <c r="D156" s="442" t="s">
        <v>37</v>
      </c>
      <c r="E156" s="442" t="s">
        <v>38</v>
      </c>
      <c r="F156" s="442" t="s">
        <v>39</v>
      </c>
      <c r="G156" s="442" t="s">
        <v>8</v>
      </c>
      <c r="H156" s="442" t="s">
        <v>22</v>
      </c>
      <c r="I156" s="25" t="s">
        <v>40</v>
      </c>
      <c r="J156" s="54" t="s">
        <v>2</v>
      </c>
      <c r="K156" s="55" t="s">
        <v>3</v>
      </c>
      <c r="L156" s="55" t="s">
        <v>61</v>
      </c>
      <c r="M156" s="55" t="s">
        <v>62</v>
      </c>
      <c r="N156" s="70" t="s">
        <v>14</v>
      </c>
    </row>
    <row r="157" spans="2:14" ht="18" customHeight="1">
      <c r="B157" s="648" t="s">
        <v>98</v>
      </c>
      <c r="C157" s="649" t="s">
        <v>99</v>
      </c>
      <c r="D157" s="443">
        <f t="shared" ref="D157:E162" si="22">J157-IF(L157=1,90,IF(L157=2,67.5,IF(L157=3,45,0)))</f>
        <v>0</v>
      </c>
      <c r="E157" s="443">
        <f t="shared" si="22"/>
        <v>0</v>
      </c>
      <c r="F157" s="443">
        <f t="shared" ref="F157:F162" si="23">2*(D157+E157)/1000</f>
        <v>0</v>
      </c>
      <c r="G157" s="440">
        <v>0</v>
      </c>
      <c r="H157" s="440">
        <f>H68</f>
        <v>0.224</v>
      </c>
      <c r="I157" s="59">
        <f t="shared" ref="I157:I162" si="24">ROUND((F157*G157)*H157,3)</f>
        <v>0</v>
      </c>
      <c r="J157" s="60"/>
      <c r="K157" s="61"/>
      <c r="L157" s="61"/>
      <c r="M157" s="61"/>
      <c r="N157" s="76" t="s">
        <v>56</v>
      </c>
    </row>
    <row r="158" spans="2:14" ht="18" customHeight="1">
      <c r="B158" s="648"/>
      <c r="C158" s="650"/>
      <c r="D158" s="443">
        <f t="shared" si="22"/>
        <v>0</v>
      </c>
      <c r="E158" s="443">
        <f t="shared" si="22"/>
        <v>0</v>
      </c>
      <c r="F158" s="443">
        <f t="shared" si="23"/>
        <v>0</v>
      </c>
      <c r="G158" s="440"/>
      <c r="H158" s="440">
        <f>H157</f>
        <v>0.224</v>
      </c>
      <c r="I158" s="59">
        <f t="shared" si="24"/>
        <v>0</v>
      </c>
      <c r="J158" s="60"/>
      <c r="K158" s="61"/>
      <c r="L158" s="61"/>
      <c r="M158" s="61"/>
      <c r="N158" s="76" t="s">
        <v>58</v>
      </c>
    </row>
    <row r="159" spans="2:14" ht="18" customHeight="1">
      <c r="B159" s="648"/>
      <c r="C159" s="650"/>
      <c r="D159" s="443">
        <f t="shared" si="22"/>
        <v>0</v>
      </c>
      <c r="E159" s="443">
        <f t="shared" si="22"/>
        <v>0</v>
      </c>
      <c r="F159" s="443">
        <f t="shared" si="23"/>
        <v>0</v>
      </c>
      <c r="G159" s="440"/>
      <c r="H159" s="440">
        <f>H158</f>
        <v>0.224</v>
      </c>
      <c r="I159" s="59">
        <f t="shared" si="24"/>
        <v>0</v>
      </c>
      <c r="J159" s="60"/>
      <c r="K159" s="61"/>
      <c r="L159" s="61"/>
      <c r="M159" s="61"/>
      <c r="N159" s="76" t="s">
        <v>60</v>
      </c>
    </row>
    <row r="160" spans="2:14" ht="18" customHeight="1">
      <c r="B160" s="648"/>
      <c r="C160" s="650"/>
      <c r="D160" s="443">
        <f t="shared" si="22"/>
        <v>0</v>
      </c>
      <c r="E160" s="443">
        <f t="shared" si="22"/>
        <v>0</v>
      </c>
      <c r="F160" s="443">
        <f t="shared" si="23"/>
        <v>0</v>
      </c>
      <c r="G160" s="440">
        <v>0</v>
      </c>
      <c r="H160" s="77">
        <f>H159</f>
        <v>0.224</v>
      </c>
      <c r="I160" s="59">
        <f t="shared" si="24"/>
        <v>0</v>
      </c>
      <c r="J160" s="60"/>
      <c r="K160" s="61"/>
      <c r="L160" s="61"/>
      <c r="M160" s="61"/>
      <c r="N160" s="76"/>
    </row>
    <row r="161" spans="2:16" ht="18" customHeight="1">
      <c r="B161" s="648"/>
      <c r="C161" s="650"/>
      <c r="D161" s="443">
        <f t="shared" si="22"/>
        <v>0</v>
      </c>
      <c r="E161" s="443">
        <f t="shared" si="22"/>
        <v>0</v>
      </c>
      <c r="F161" s="443">
        <f t="shared" si="23"/>
        <v>0</v>
      </c>
      <c r="G161" s="440"/>
      <c r="H161" s="440">
        <f>H160</f>
        <v>0.224</v>
      </c>
      <c r="I161" s="59">
        <f t="shared" si="24"/>
        <v>0</v>
      </c>
      <c r="J161" s="60"/>
      <c r="K161" s="61"/>
      <c r="L161" s="61"/>
      <c r="M161" s="61"/>
      <c r="N161" s="76"/>
    </row>
    <row r="162" spans="2:16" ht="18" customHeight="1" thickBot="1">
      <c r="B162" s="648"/>
      <c r="C162" s="651"/>
      <c r="D162" s="443">
        <f t="shared" si="22"/>
        <v>0</v>
      </c>
      <c r="E162" s="443">
        <f t="shared" si="22"/>
        <v>0</v>
      </c>
      <c r="F162" s="443">
        <f t="shared" si="23"/>
        <v>0</v>
      </c>
      <c r="G162" s="440"/>
      <c r="H162" s="440">
        <f>H160</f>
        <v>0.224</v>
      </c>
      <c r="I162" s="59">
        <f t="shared" si="24"/>
        <v>0</v>
      </c>
      <c r="J162" s="64"/>
      <c r="K162" s="65"/>
      <c r="L162" s="65"/>
      <c r="M162" s="65"/>
      <c r="N162" s="80"/>
    </row>
    <row r="163" spans="2:16" ht="18" customHeight="1">
      <c r="B163" s="48" t="s">
        <v>42</v>
      </c>
      <c r="C163" s="49">
        <f>SUMPRODUCT(F157:F162*G157:G162)</f>
        <v>0</v>
      </c>
      <c r="D163" s="50" t="s">
        <v>43</v>
      </c>
      <c r="E163" s="49">
        <f>SUM(I157:I162)*1.1</f>
        <v>0</v>
      </c>
      <c r="F163" s="50" t="s">
        <v>44</v>
      </c>
      <c r="G163" s="51">
        <f>(C$218+C$222)/1000</f>
        <v>39.781500000000001</v>
      </c>
      <c r="H163" s="52" t="s">
        <v>45</v>
      </c>
      <c r="I163" s="53">
        <f>ROUND(E163*G163,2)</f>
        <v>0</v>
      </c>
      <c r="J163" s="102"/>
      <c r="K163" s="102"/>
      <c r="L163" s="102"/>
      <c r="M163" s="102"/>
      <c r="O163" s="102"/>
      <c r="P163" s="102"/>
    </row>
    <row r="164" spans="2:16" ht="18" customHeight="1">
      <c r="B164" s="48" t="s">
        <v>46</v>
      </c>
      <c r="C164" s="50">
        <v>181.72</v>
      </c>
      <c r="D164" s="50" t="s">
        <v>47</v>
      </c>
      <c r="E164" s="49">
        <f>ROUND(C163*(C164/1000),2)</f>
        <v>0</v>
      </c>
      <c r="F164" s="50" t="s">
        <v>48</v>
      </c>
      <c r="G164" s="50">
        <f>G$23</f>
        <v>10</v>
      </c>
      <c r="H164" s="52" t="s">
        <v>49</v>
      </c>
      <c r="I164" s="53">
        <f>E164*G164</f>
        <v>0</v>
      </c>
      <c r="J164" s="102"/>
      <c r="K164" s="102"/>
      <c r="L164" s="102"/>
      <c r="M164" s="102"/>
      <c r="O164" s="102"/>
      <c r="P164" s="102"/>
    </row>
    <row r="165" spans="2:16" ht="18" customHeight="1">
      <c r="B165" s="48" t="s">
        <v>50</v>
      </c>
      <c r="C165" s="50"/>
      <c r="D165" s="50" t="s">
        <v>51</v>
      </c>
      <c r="E165" s="49">
        <f>ROUND(C163*(C165/1000),2)</f>
        <v>0</v>
      </c>
      <c r="F165" s="50" t="s">
        <v>48</v>
      </c>
      <c r="G165" s="50">
        <f>G$24</f>
        <v>10</v>
      </c>
      <c r="H165" s="52" t="s">
        <v>49</v>
      </c>
      <c r="I165" s="53">
        <f>E165*G165</f>
        <v>0</v>
      </c>
      <c r="K165" s="43">
        <f>J165*E165</f>
        <v>0</v>
      </c>
    </row>
    <row r="166" spans="2:16" ht="18" customHeight="1">
      <c r="B166" s="23" t="s">
        <v>36</v>
      </c>
      <c r="C166" s="442" t="s">
        <v>14</v>
      </c>
      <c r="D166" s="442" t="s">
        <v>37</v>
      </c>
      <c r="E166" s="442" t="s">
        <v>71</v>
      </c>
      <c r="F166" s="442" t="s">
        <v>38</v>
      </c>
      <c r="G166" s="442" t="s">
        <v>72</v>
      </c>
      <c r="H166" s="442" t="s">
        <v>22</v>
      </c>
      <c r="I166" s="25" t="s">
        <v>40</v>
      </c>
    </row>
    <row r="167" spans="2:16" ht="18" customHeight="1">
      <c r="B167" s="648" t="s">
        <v>100</v>
      </c>
      <c r="C167" s="649" t="s">
        <v>101</v>
      </c>
      <c r="D167" s="440"/>
      <c r="E167" s="440"/>
      <c r="F167" s="440"/>
      <c r="G167" s="440"/>
      <c r="H167" s="28">
        <v>6.3E-2</v>
      </c>
      <c r="I167" s="59">
        <f>ROUND((D167*E167+F167*G167)/1000*H167,3)</f>
        <v>0</v>
      </c>
    </row>
    <row r="168" spans="2:16" ht="18" customHeight="1">
      <c r="B168" s="648"/>
      <c r="C168" s="650"/>
      <c r="D168" s="440"/>
      <c r="E168" s="440"/>
      <c r="F168" s="440"/>
      <c r="G168" s="440"/>
      <c r="H168" s="28">
        <f>H167</f>
        <v>6.3E-2</v>
      </c>
      <c r="I168" s="59">
        <f>ROUND((D168*E168+F168*G168)/1000*H168,3)</f>
        <v>0</v>
      </c>
    </row>
    <row r="169" spans="2:16" ht="18" customHeight="1">
      <c r="B169" s="648"/>
      <c r="C169" s="651"/>
      <c r="D169" s="440"/>
      <c r="E169" s="440"/>
      <c r="F169" s="440"/>
      <c r="G169" s="440"/>
      <c r="H169" s="28">
        <f>H168</f>
        <v>6.3E-2</v>
      </c>
      <c r="I169" s="59">
        <f>ROUND((D169*E169+F169*G169)/1000*H169,3)</f>
        <v>0</v>
      </c>
    </row>
    <row r="170" spans="2:16" ht="18" customHeight="1">
      <c r="B170" s="48" t="s">
        <v>42</v>
      </c>
      <c r="C170" s="49">
        <f>SUMPRODUCT(D167:D169*E167:E169+F167:F169*G167:G169)/1000</f>
        <v>0</v>
      </c>
      <c r="D170" s="50" t="s">
        <v>43</v>
      </c>
      <c r="E170" s="49">
        <f>SUM(I167:I169)*1.1</f>
        <v>0</v>
      </c>
      <c r="F170" s="50" t="s">
        <v>44</v>
      </c>
      <c r="G170" s="51">
        <f>(C$218+$C$222)/1000</f>
        <v>39.781500000000001</v>
      </c>
      <c r="H170" s="52" t="s">
        <v>45</v>
      </c>
      <c r="I170" s="53">
        <f>ROUND(E170*G170,2)</f>
        <v>0</v>
      </c>
    </row>
    <row r="171" spans="2:16" ht="18" customHeight="1">
      <c r="B171" s="48" t="s">
        <v>46</v>
      </c>
      <c r="C171" s="50">
        <v>105.66</v>
      </c>
      <c r="D171" s="50" t="s">
        <v>47</v>
      </c>
      <c r="E171" s="49">
        <f>ROUND(C170*(C171/1000),2)</f>
        <v>0</v>
      </c>
      <c r="F171" s="50" t="s">
        <v>48</v>
      </c>
      <c r="G171" s="50">
        <f>G$23</f>
        <v>10</v>
      </c>
      <c r="H171" s="52" t="s">
        <v>49</v>
      </c>
      <c r="I171" s="53">
        <f>E171*G171</f>
        <v>0</v>
      </c>
    </row>
    <row r="172" spans="2:16" ht="18" customHeight="1">
      <c r="B172" s="48" t="s">
        <v>50</v>
      </c>
      <c r="C172" s="50">
        <v>125.66</v>
      </c>
      <c r="D172" s="50" t="s">
        <v>51</v>
      </c>
      <c r="E172" s="49">
        <f>ROUND(C170*(C172/1000),2)</f>
        <v>0</v>
      </c>
      <c r="F172" s="50" t="s">
        <v>48</v>
      </c>
      <c r="G172" s="50">
        <f>G$24</f>
        <v>10</v>
      </c>
      <c r="H172" s="52" t="s">
        <v>49</v>
      </c>
      <c r="I172" s="53">
        <f>E172*G172</f>
        <v>0</v>
      </c>
    </row>
    <row r="173" spans="2:16" ht="18" customHeight="1">
      <c r="B173" s="23" t="s">
        <v>36</v>
      </c>
      <c r="C173" s="442" t="s">
        <v>14</v>
      </c>
      <c r="D173" s="442" t="s">
        <v>37</v>
      </c>
      <c r="E173" s="442" t="s">
        <v>71</v>
      </c>
      <c r="F173" s="442" t="s">
        <v>38</v>
      </c>
      <c r="G173" s="442" t="s">
        <v>72</v>
      </c>
      <c r="H173" s="442" t="s">
        <v>22</v>
      </c>
      <c r="I173" s="25" t="s">
        <v>40</v>
      </c>
    </row>
    <row r="174" spans="2:16" ht="18" customHeight="1">
      <c r="B174" s="648" t="s">
        <v>102</v>
      </c>
      <c r="C174" s="649" t="s">
        <v>103</v>
      </c>
      <c r="D174" s="440"/>
      <c r="E174" s="440"/>
      <c r="F174" s="440"/>
      <c r="G174" s="440"/>
      <c r="H174" s="28">
        <v>1.0980000000000001</v>
      </c>
      <c r="I174" s="59">
        <f>ROUND((D174*E174+F174*G174)/1000*H174,3)</f>
        <v>0</v>
      </c>
    </row>
    <row r="175" spans="2:16" ht="18" customHeight="1">
      <c r="B175" s="648"/>
      <c r="C175" s="650"/>
      <c r="D175" s="440"/>
      <c r="E175" s="440"/>
      <c r="F175" s="440"/>
      <c r="G175" s="440"/>
      <c r="H175" s="28">
        <f>H174</f>
        <v>1.0980000000000001</v>
      </c>
      <c r="I175" s="59">
        <f>ROUND((D175*E175+F175*G175)/1000*H175,3)</f>
        <v>0</v>
      </c>
    </row>
    <row r="176" spans="2:16" ht="18" customHeight="1">
      <c r="B176" s="648"/>
      <c r="C176" s="651"/>
      <c r="D176" s="440"/>
      <c r="E176" s="440"/>
      <c r="F176" s="440"/>
      <c r="G176" s="440"/>
      <c r="H176" s="28">
        <f>H175</f>
        <v>1.0980000000000001</v>
      </c>
      <c r="I176" s="59">
        <f>ROUND((D176*E176+F176*G176)/1000*H176,3)</f>
        <v>0</v>
      </c>
    </row>
    <row r="177" spans="2:9" ht="18" customHeight="1">
      <c r="B177" s="48" t="s">
        <v>42</v>
      </c>
      <c r="C177" s="49">
        <f>SUMPRODUCT(D174:D176*E174:E176+F174:F176*G174:G176)/1000</f>
        <v>0</v>
      </c>
      <c r="D177" s="50" t="s">
        <v>43</v>
      </c>
      <c r="E177" s="49">
        <f>SUM(I174:I176)*1.1</f>
        <v>0</v>
      </c>
      <c r="F177" s="50" t="s">
        <v>44</v>
      </c>
      <c r="G177" s="51">
        <f>(C$218+C$219)/1000</f>
        <v>46.081499999999998</v>
      </c>
      <c r="H177" s="52" t="s">
        <v>45</v>
      </c>
      <c r="I177" s="53">
        <f>ROUND(E177*G177,2)</f>
        <v>0</v>
      </c>
    </row>
    <row r="178" spans="2:9" ht="18" customHeight="1">
      <c r="B178" s="48" t="s">
        <v>46</v>
      </c>
      <c r="C178" s="50">
        <v>105.66</v>
      </c>
      <c r="D178" s="50" t="s">
        <v>47</v>
      </c>
      <c r="E178" s="49">
        <f>ROUND(C177*(C178/1000),2)</f>
        <v>0</v>
      </c>
      <c r="F178" s="50" t="s">
        <v>48</v>
      </c>
      <c r="G178" s="50">
        <f>G$23</f>
        <v>10</v>
      </c>
      <c r="H178" s="52" t="s">
        <v>49</v>
      </c>
      <c r="I178" s="53">
        <f>E178*G178</f>
        <v>0</v>
      </c>
    </row>
    <row r="179" spans="2:9" ht="18" customHeight="1">
      <c r="B179" s="48" t="s">
        <v>50</v>
      </c>
      <c r="C179" s="50">
        <v>125.66</v>
      </c>
      <c r="D179" s="50" t="s">
        <v>51</v>
      </c>
      <c r="E179" s="49">
        <f>ROUND(C177*(C179/1000),2)</f>
        <v>0</v>
      </c>
      <c r="F179" s="50" t="s">
        <v>48</v>
      </c>
      <c r="G179" s="50">
        <f>G$24</f>
        <v>10</v>
      </c>
      <c r="H179" s="52" t="s">
        <v>49</v>
      </c>
      <c r="I179" s="53">
        <f>E179*G179</f>
        <v>0</v>
      </c>
    </row>
    <row r="180" spans="2:9" ht="18" customHeight="1">
      <c r="B180" s="23" t="s">
        <v>36</v>
      </c>
      <c r="C180" s="442" t="s">
        <v>14</v>
      </c>
      <c r="D180" s="442" t="s">
        <v>37</v>
      </c>
      <c r="E180" s="442" t="s">
        <v>71</v>
      </c>
      <c r="F180" s="442" t="s">
        <v>38</v>
      </c>
      <c r="G180" s="442" t="s">
        <v>72</v>
      </c>
      <c r="H180" s="442" t="s">
        <v>22</v>
      </c>
      <c r="I180" s="25" t="s">
        <v>40</v>
      </c>
    </row>
    <row r="181" spans="2:9" ht="18" customHeight="1">
      <c r="B181" s="648" t="s">
        <v>104</v>
      </c>
      <c r="C181" s="649" t="s">
        <v>105</v>
      </c>
      <c r="D181" s="440"/>
      <c r="E181" s="440"/>
      <c r="F181" s="440">
        <f>E14</f>
        <v>1120</v>
      </c>
      <c r="G181" s="440"/>
      <c r="H181" s="28">
        <v>1.5629999999999999</v>
      </c>
      <c r="I181" s="59">
        <f>ROUND((D181*E181+F181*G181)/1000*H181,3)</f>
        <v>0</v>
      </c>
    </row>
    <row r="182" spans="2:9" ht="18" customHeight="1">
      <c r="B182" s="648"/>
      <c r="C182" s="650"/>
      <c r="D182" s="440"/>
      <c r="E182" s="440"/>
      <c r="F182" s="440"/>
      <c r="G182" s="440"/>
      <c r="H182" s="28">
        <f>H181</f>
        <v>1.5629999999999999</v>
      </c>
      <c r="I182" s="59">
        <f>ROUND((D182*E182+F182*G182)/1000*H182,3)</f>
        <v>0</v>
      </c>
    </row>
    <row r="183" spans="2:9" ht="18" customHeight="1">
      <c r="B183" s="648"/>
      <c r="C183" s="651"/>
      <c r="D183" s="440"/>
      <c r="E183" s="440"/>
      <c r="F183" s="440"/>
      <c r="G183" s="440"/>
      <c r="H183" s="28">
        <f>H182</f>
        <v>1.5629999999999999</v>
      </c>
      <c r="I183" s="59">
        <f>ROUND((D183*E183+F183*G183)/1000*H183,3)</f>
        <v>0</v>
      </c>
    </row>
    <row r="184" spans="2:9" ht="18" customHeight="1">
      <c r="B184" s="48" t="s">
        <v>42</v>
      </c>
      <c r="C184" s="49">
        <f>SUMPRODUCT(D181:D183*E181:E183+F181:F183*G181:G183)/1000</f>
        <v>0</v>
      </c>
      <c r="D184" s="50" t="s">
        <v>43</v>
      </c>
      <c r="E184" s="49">
        <f>SUM(I181:I183)*1.1</f>
        <v>0</v>
      </c>
      <c r="F184" s="50" t="s">
        <v>44</v>
      </c>
      <c r="G184" s="51">
        <f>(C$218+C$219)/1000</f>
        <v>46.081499999999998</v>
      </c>
      <c r="H184" s="52" t="s">
        <v>45</v>
      </c>
      <c r="I184" s="53">
        <f>ROUND(E184*G184,2)</f>
        <v>0</v>
      </c>
    </row>
    <row r="185" spans="2:9" ht="18" customHeight="1">
      <c r="B185" s="48" t="s">
        <v>46</v>
      </c>
      <c r="C185" s="50">
        <v>105.66</v>
      </c>
      <c r="D185" s="50" t="s">
        <v>47</v>
      </c>
      <c r="E185" s="49">
        <f>ROUND(C184*(C185/1000),2)</f>
        <v>0</v>
      </c>
      <c r="F185" s="50" t="s">
        <v>48</v>
      </c>
      <c r="G185" s="50">
        <f>G$23</f>
        <v>10</v>
      </c>
      <c r="H185" s="52" t="s">
        <v>49</v>
      </c>
      <c r="I185" s="53">
        <f>E185*G185</f>
        <v>0</v>
      </c>
    </row>
    <row r="186" spans="2:9" ht="18" customHeight="1">
      <c r="B186" s="48" t="s">
        <v>50</v>
      </c>
      <c r="C186" s="50">
        <v>125.66</v>
      </c>
      <c r="D186" s="50" t="s">
        <v>51</v>
      </c>
      <c r="E186" s="49">
        <f>ROUND(C184*(C186/1000),2)</f>
        <v>0</v>
      </c>
      <c r="F186" s="50" t="s">
        <v>48</v>
      </c>
      <c r="G186" s="50">
        <f>G$24</f>
        <v>10</v>
      </c>
      <c r="H186" s="52" t="s">
        <v>49</v>
      </c>
      <c r="I186" s="53">
        <f>E186*G186</f>
        <v>0</v>
      </c>
    </row>
    <row r="187" spans="2:9" ht="18" customHeight="1">
      <c r="B187" s="23" t="s">
        <v>36</v>
      </c>
      <c r="C187" s="442" t="s">
        <v>14</v>
      </c>
      <c r="D187" s="442" t="s">
        <v>37</v>
      </c>
      <c r="E187" s="442" t="s">
        <v>71</v>
      </c>
      <c r="F187" s="442" t="s">
        <v>38</v>
      </c>
      <c r="G187" s="442" t="s">
        <v>72</v>
      </c>
      <c r="H187" s="442" t="s">
        <v>22</v>
      </c>
      <c r="I187" s="25" t="s">
        <v>40</v>
      </c>
    </row>
    <row r="188" spans="2:9" ht="18" customHeight="1">
      <c r="B188" s="648" t="s">
        <v>106</v>
      </c>
      <c r="C188" s="649" t="s">
        <v>107</v>
      </c>
      <c r="D188" s="440"/>
      <c r="E188" s="440"/>
      <c r="F188" s="440"/>
      <c r="G188" s="440"/>
      <c r="H188" s="28">
        <v>1.732</v>
      </c>
      <c r="I188" s="59">
        <f>ROUND((D188*E188+F188*G188)/1000*H188,3)</f>
        <v>0</v>
      </c>
    </row>
    <row r="189" spans="2:9" ht="18" customHeight="1">
      <c r="B189" s="648"/>
      <c r="C189" s="650"/>
      <c r="D189" s="440"/>
      <c r="E189" s="440"/>
      <c r="F189" s="440"/>
      <c r="G189" s="440"/>
      <c r="H189" s="28">
        <f>H188</f>
        <v>1.732</v>
      </c>
      <c r="I189" s="59">
        <f>ROUND((D189*E189+F189*G189)/1000*H189,3)</f>
        <v>0</v>
      </c>
    </row>
    <row r="190" spans="2:9" ht="18" customHeight="1">
      <c r="B190" s="648"/>
      <c r="C190" s="651"/>
      <c r="D190" s="440"/>
      <c r="E190" s="440"/>
      <c r="F190" s="440">
        <f>E6</f>
        <v>1120</v>
      </c>
      <c r="G190" s="440"/>
      <c r="H190" s="28">
        <f>H189</f>
        <v>1.732</v>
      </c>
      <c r="I190" s="59">
        <f>ROUND((D190*E190+F190*G190)/1000*H190,3)</f>
        <v>0</v>
      </c>
    </row>
    <row r="191" spans="2:9" ht="18" customHeight="1">
      <c r="B191" s="48" t="s">
        <v>42</v>
      </c>
      <c r="C191" s="49">
        <f>SUMPRODUCT(D188:D190*E188:E190+F188:F190*G188:G190)/1000</f>
        <v>0</v>
      </c>
      <c r="D191" s="50" t="s">
        <v>43</v>
      </c>
      <c r="E191" s="49">
        <f>SUM(I188:I190)*1.1</f>
        <v>0</v>
      </c>
      <c r="F191" s="50" t="s">
        <v>44</v>
      </c>
      <c r="G191" s="51">
        <f>(C$218+C$219)/1000</f>
        <v>46.081499999999998</v>
      </c>
      <c r="H191" s="52" t="s">
        <v>45</v>
      </c>
      <c r="I191" s="53">
        <f>ROUND(E191*G191,2)</f>
        <v>0</v>
      </c>
    </row>
    <row r="192" spans="2:9" ht="18" customHeight="1">
      <c r="B192" s="48" t="s">
        <v>46</v>
      </c>
      <c r="C192" s="50">
        <v>105.66</v>
      </c>
      <c r="D192" s="50" t="s">
        <v>47</v>
      </c>
      <c r="E192" s="49">
        <f>ROUND(C191*(C192/1000),2)</f>
        <v>0</v>
      </c>
      <c r="F192" s="50" t="s">
        <v>48</v>
      </c>
      <c r="G192" s="50">
        <f>G$23</f>
        <v>10</v>
      </c>
      <c r="H192" s="52" t="s">
        <v>49</v>
      </c>
      <c r="I192" s="53">
        <f>E192*G192</f>
        <v>0</v>
      </c>
    </row>
    <row r="193" spans="2:15" ht="18" customHeight="1">
      <c r="B193" s="48" t="s">
        <v>50</v>
      </c>
      <c r="C193" s="50">
        <v>125.66</v>
      </c>
      <c r="D193" s="50" t="s">
        <v>51</v>
      </c>
      <c r="E193" s="49">
        <f>ROUND(C191*(C193/1000),2)</f>
        <v>0</v>
      </c>
      <c r="F193" s="50" t="s">
        <v>48</v>
      </c>
      <c r="G193" s="50">
        <f>G$24</f>
        <v>10</v>
      </c>
      <c r="H193" s="52" t="s">
        <v>49</v>
      </c>
      <c r="I193" s="53">
        <f>E193*G193</f>
        <v>0</v>
      </c>
    </row>
    <row r="194" spans="2:15" ht="18" customHeight="1">
      <c r="B194" s="23" t="s">
        <v>36</v>
      </c>
      <c r="C194" s="442" t="s">
        <v>14</v>
      </c>
      <c r="D194" s="652" t="s">
        <v>38</v>
      </c>
      <c r="E194" s="652"/>
      <c r="F194" s="652"/>
      <c r="G194" s="442" t="s">
        <v>72</v>
      </c>
      <c r="H194" s="442" t="s">
        <v>22</v>
      </c>
      <c r="I194" s="25" t="s">
        <v>40</v>
      </c>
    </row>
    <row r="195" spans="2:15" ht="18" customHeight="1">
      <c r="B195" s="643" t="s">
        <v>108</v>
      </c>
      <c r="C195" s="645" t="s">
        <v>109</v>
      </c>
      <c r="D195" s="646"/>
      <c r="E195" s="646"/>
      <c r="F195" s="646"/>
      <c r="G195" s="440"/>
      <c r="H195" s="440">
        <v>1.796</v>
      </c>
      <c r="I195" s="59">
        <f>ROUND((D195*G195*H195)/1000,3)</f>
        <v>0</v>
      </c>
    </row>
    <row r="196" spans="2:15" ht="18" customHeight="1">
      <c r="B196" s="644"/>
      <c r="C196" s="640"/>
      <c r="D196" s="646"/>
      <c r="E196" s="646"/>
      <c r="F196" s="646"/>
      <c r="G196" s="440"/>
      <c r="H196" s="440">
        <f>H195</f>
        <v>1.796</v>
      </c>
      <c r="I196" s="59">
        <f>ROUND((D196*G196*H196)/1000,3)</f>
        <v>0</v>
      </c>
    </row>
    <row r="197" spans="2:15" ht="18" customHeight="1">
      <c r="B197" s="643" t="s">
        <v>110</v>
      </c>
      <c r="C197" s="645" t="s">
        <v>111</v>
      </c>
      <c r="D197" s="646"/>
      <c r="E197" s="646"/>
      <c r="F197" s="646"/>
      <c r="G197" s="440"/>
      <c r="H197" s="440">
        <v>1.355</v>
      </c>
      <c r="I197" s="59"/>
    </row>
    <row r="198" spans="2:15" ht="18" customHeight="1">
      <c r="B198" s="644"/>
      <c r="C198" s="640"/>
      <c r="D198" s="646"/>
      <c r="E198" s="646"/>
      <c r="F198" s="646"/>
      <c r="G198" s="440"/>
      <c r="H198" s="440">
        <f>H197</f>
        <v>1.355</v>
      </c>
      <c r="I198" s="59"/>
    </row>
    <row r="199" spans="2:15" ht="18" customHeight="1">
      <c r="B199" s="48" t="s">
        <v>42</v>
      </c>
      <c r="C199" s="49">
        <f>SUMPRODUCT(D195:F198*G195:G198)/1000</f>
        <v>0</v>
      </c>
      <c r="D199" s="50" t="s">
        <v>43</v>
      </c>
      <c r="E199" s="49">
        <f>SUM(I195:I198)*1.1</f>
        <v>0</v>
      </c>
      <c r="F199" s="50" t="s">
        <v>44</v>
      </c>
      <c r="G199" s="51">
        <f>(C$218+C$219)/1000</f>
        <v>46.081499999999998</v>
      </c>
      <c r="H199" s="52" t="s">
        <v>45</v>
      </c>
      <c r="I199" s="53">
        <f>ROUND(E199*G199,2)</f>
        <v>0</v>
      </c>
    </row>
    <row r="200" spans="2:15" ht="18" customHeight="1">
      <c r="B200" s="48" t="s">
        <v>46</v>
      </c>
      <c r="C200" s="50">
        <v>267.77999999999997</v>
      </c>
      <c r="D200" s="50" t="s">
        <v>47</v>
      </c>
      <c r="E200" s="49">
        <f>ROUND(C199*(C200/1000),2)</f>
        <v>0</v>
      </c>
      <c r="F200" s="50" t="s">
        <v>48</v>
      </c>
      <c r="G200" s="50">
        <f>G$23</f>
        <v>10</v>
      </c>
      <c r="H200" s="52" t="s">
        <v>49</v>
      </c>
      <c r="I200" s="53">
        <f>E200*G200</f>
        <v>0</v>
      </c>
    </row>
    <row r="201" spans="2:15" ht="18" customHeight="1">
      <c r="B201" s="48" t="s">
        <v>50</v>
      </c>
      <c r="C201" s="50">
        <v>104.29</v>
      </c>
      <c r="D201" s="50" t="s">
        <v>51</v>
      </c>
      <c r="E201" s="49">
        <f>ROUND(C199*(C201/1000),2)</f>
        <v>0</v>
      </c>
      <c r="F201" s="50" t="s">
        <v>48</v>
      </c>
      <c r="G201" s="50">
        <f>G$24</f>
        <v>10</v>
      </c>
      <c r="H201" s="52" t="s">
        <v>49</v>
      </c>
      <c r="I201" s="53">
        <f>E201*G201</f>
        <v>0</v>
      </c>
    </row>
    <row r="202" spans="2:15" ht="18" customHeight="1">
      <c r="B202" s="103" t="s">
        <v>112</v>
      </c>
      <c r="C202" s="104" t="s">
        <v>113</v>
      </c>
      <c r="D202" s="104" t="s">
        <v>28</v>
      </c>
      <c r="E202" s="104" t="s">
        <v>8</v>
      </c>
      <c r="F202" s="104" t="s">
        <v>112</v>
      </c>
      <c r="G202" s="104" t="s">
        <v>113</v>
      </c>
      <c r="H202" s="104" t="s">
        <v>28</v>
      </c>
      <c r="I202" s="105" t="s">
        <v>8</v>
      </c>
      <c r="N202" s="106"/>
      <c r="O202" s="102"/>
    </row>
    <row r="203" spans="2:15" ht="18" customHeight="1">
      <c r="B203" s="441" t="s">
        <v>327</v>
      </c>
      <c r="C203" s="107" t="s">
        <v>114</v>
      </c>
      <c r="D203" s="108">
        <v>2.15</v>
      </c>
      <c r="E203" s="443">
        <f>SUM(G14:G21)*4</f>
        <v>4</v>
      </c>
      <c r="F203" s="647" t="s">
        <v>115</v>
      </c>
      <c r="G203" s="107" t="s">
        <v>116</v>
      </c>
      <c r="H203" s="108">
        <v>2.46</v>
      </c>
      <c r="I203" s="437">
        <f>SUM(G108:G111)*4</f>
        <v>0</v>
      </c>
      <c r="J203" s="42"/>
      <c r="N203" s="106"/>
      <c r="O203" s="102"/>
    </row>
    <row r="204" spans="2:15" ht="18" customHeight="1">
      <c r="B204" s="441" t="s">
        <v>328</v>
      </c>
      <c r="C204" s="107" t="s">
        <v>117</v>
      </c>
      <c r="D204" s="108">
        <v>1.72</v>
      </c>
      <c r="E204" s="443">
        <f>E203</f>
        <v>4</v>
      </c>
      <c r="F204" s="646"/>
      <c r="G204" s="107" t="s">
        <v>118</v>
      </c>
      <c r="H204" s="108">
        <v>3.11</v>
      </c>
      <c r="I204" s="437">
        <f>I203</f>
        <v>0</v>
      </c>
      <c r="J204" s="42"/>
      <c r="N204" s="106"/>
      <c r="O204" s="102"/>
    </row>
    <row r="205" spans="2:15" ht="18" customHeight="1">
      <c r="B205" s="109" t="s">
        <v>330</v>
      </c>
      <c r="C205" s="107" t="s">
        <v>119</v>
      </c>
      <c r="D205" s="108">
        <v>2.68</v>
      </c>
      <c r="E205" s="443">
        <f>SUM(G26:G30)*4</f>
        <v>0</v>
      </c>
      <c r="F205" s="110" t="s">
        <v>120</v>
      </c>
      <c r="G205" s="107" t="s">
        <v>121</v>
      </c>
      <c r="H205" s="111">
        <v>4.76</v>
      </c>
      <c r="I205" s="437">
        <f>SUM(G123:G125)*4</f>
        <v>0</v>
      </c>
      <c r="J205" s="42"/>
      <c r="N205" s="106"/>
      <c r="O205" s="102"/>
    </row>
    <row r="206" spans="2:15" ht="18" customHeight="1">
      <c r="B206" s="109" t="s">
        <v>329</v>
      </c>
      <c r="C206" s="107" t="s">
        <v>122</v>
      </c>
      <c r="D206" s="108">
        <v>1.27</v>
      </c>
      <c r="E206" s="443">
        <f>E205</f>
        <v>0</v>
      </c>
      <c r="F206" s="110" t="s">
        <v>123</v>
      </c>
      <c r="G206" s="107" t="s">
        <v>124</v>
      </c>
      <c r="H206" s="111">
        <v>3.85</v>
      </c>
      <c r="I206" s="437">
        <f>I205</f>
        <v>0</v>
      </c>
      <c r="J206" s="42"/>
      <c r="N206" s="106"/>
      <c r="O206" s="102"/>
    </row>
    <row r="207" spans="2:15" ht="18" customHeight="1">
      <c r="B207" s="109" t="s">
        <v>331</v>
      </c>
      <c r="C207" s="107" t="s">
        <v>125</v>
      </c>
      <c r="D207" s="111" t="s">
        <v>126</v>
      </c>
      <c r="E207" s="443">
        <f>SUM(G35:G37)*4</f>
        <v>0</v>
      </c>
      <c r="F207" s="110" t="s">
        <v>127</v>
      </c>
      <c r="G207" s="107" t="s">
        <v>128</v>
      </c>
      <c r="H207" s="111">
        <v>4.29</v>
      </c>
      <c r="I207" s="437">
        <f>SUM(G116:G118)*4</f>
        <v>0</v>
      </c>
      <c r="J207" s="42"/>
      <c r="N207" s="106"/>
      <c r="O207" s="102"/>
    </row>
    <row r="208" spans="2:15" ht="18" customHeight="1">
      <c r="B208" s="109" t="s">
        <v>332</v>
      </c>
      <c r="C208" s="107" t="s">
        <v>129</v>
      </c>
      <c r="D208" s="111" t="s">
        <v>130</v>
      </c>
      <c r="E208" s="443">
        <f>E207</f>
        <v>0</v>
      </c>
      <c r="F208" s="110" t="s">
        <v>131</v>
      </c>
      <c r="G208" s="107" t="s">
        <v>132</v>
      </c>
      <c r="H208" s="111">
        <v>4.5</v>
      </c>
      <c r="I208" s="437">
        <f>I207</f>
        <v>0</v>
      </c>
      <c r="J208" s="42"/>
      <c r="N208" s="106"/>
      <c r="O208" s="102"/>
    </row>
    <row r="209" spans="2:15" ht="18" customHeight="1">
      <c r="B209" s="439" t="s">
        <v>333</v>
      </c>
      <c r="C209" s="440">
        <v>12.6</v>
      </c>
      <c r="D209" s="111">
        <v>1.32</v>
      </c>
      <c r="E209" s="443">
        <f>SUM(G42:G47)*4</f>
        <v>0</v>
      </c>
      <c r="F209" s="639"/>
      <c r="G209" s="107"/>
      <c r="H209" s="28"/>
      <c r="I209" s="437"/>
      <c r="N209" s="106"/>
      <c r="O209" s="102"/>
    </row>
    <row r="210" spans="2:15" ht="18" customHeight="1">
      <c r="B210" s="439" t="s">
        <v>334</v>
      </c>
      <c r="C210" s="440">
        <v>15.8</v>
      </c>
      <c r="D210" s="111">
        <v>1.18</v>
      </c>
      <c r="E210" s="443">
        <f>E209</f>
        <v>0</v>
      </c>
      <c r="F210" s="640"/>
      <c r="G210" s="107"/>
      <c r="H210" s="28"/>
      <c r="I210" s="231"/>
      <c r="N210" s="106"/>
      <c r="O210" s="102"/>
    </row>
    <row r="211" spans="2:15" ht="18" customHeight="1">
      <c r="B211" s="441" t="s">
        <v>335</v>
      </c>
      <c r="C211" s="107" t="s">
        <v>337</v>
      </c>
      <c r="D211" s="111">
        <v>2.81</v>
      </c>
      <c r="E211" s="440">
        <f>SUM(E52+E53+E54+E55+G52+G53+G54+G55+G60+G61+G62+G63)*2</f>
        <v>0</v>
      </c>
      <c r="F211" s="641" t="s">
        <v>133</v>
      </c>
      <c r="G211" s="111">
        <f>SUMPRODUCT(D35:D37,G35:G37)/1000</f>
        <v>0</v>
      </c>
      <c r="H211" s="28">
        <v>0.16</v>
      </c>
      <c r="I211" s="232">
        <f>G211*H211</f>
        <v>0</v>
      </c>
      <c r="N211" s="106"/>
      <c r="O211" s="102"/>
    </row>
    <row r="212" spans="2:15" ht="18" customHeight="1">
      <c r="B212" s="441" t="s">
        <v>336</v>
      </c>
      <c r="C212" s="107" t="s">
        <v>338</v>
      </c>
      <c r="D212" s="111">
        <v>3.51</v>
      </c>
      <c r="E212" s="440">
        <f>E211</f>
        <v>0</v>
      </c>
      <c r="F212" s="641"/>
      <c r="G212" s="111">
        <f>SUMPRODUCT(D26:D30,G26:G30)/1000</f>
        <v>0</v>
      </c>
      <c r="H212" s="28">
        <v>0.16</v>
      </c>
      <c r="I212" s="232">
        <f>G212*H212</f>
        <v>0</v>
      </c>
      <c r="N212" s="106"/>
      <c r="O212" s="102"/>
    </row>
    <row r="213" spans="2:15" ht="18" customHeight="1">
      <c r="B213" s="441" t="s">
        <v>134</v>
      </c>
      <c r="C213" s="440">
        <v>30.6</v>
      </c>
      <c r="D213" s="111">
        <v>2.81</v>
      </c>
      <c r="E213" s="443">
        <f>SUM(+E130+E131+E132+G130+G131+G132)*2</f>
        <v>0</v>
      </c>
      <c r="F213" s="641" t="s">
        <v>135</v>
      </c>
      <c r="G213" s="111">
        <f>SUMPRODUCT(E26:E30,G26:G30)/1000</f>
        <v>0</v>
      </c>
      <c r="H213" s="28">
        <v>0.16</v>
      </c>
      <c r="I213" s="232">
        <f>G213*H213</f>
        <v>0</v>
      </c>
      <c r="N213" s="106"/>
      <c r="O213" s="102"/>
    </row>
    <row r="214" spans="2:15" ht="18" customHeight="1">
      <c r="B214" s="441" t="s">
        <v>136</v>
      </c>
      <c r="C214" s="440">
        <v>30.6</v>
      </c>
      <c r="D214" s="111">
        <v>3.51</v>
      </c>
      <c r="E214" s="443">
        <f>E213</f>
        <v>0</v>
      </c>
      <c r="F214" s="641"/>
      <c r="G214" s="111">
        <f>SUMPRODUCT(E35:E37,G35:G37)/1000</f>
        <v>0</v>
      </c>
      <c r="H214" s="28">
        <v>0.16</v>
      </c>
      <c r="I214" s="232">
        <f>G214*H214</f>
        <v>0</v>
      </c>
      <c r="N214" s="106"/>
      <c r="O214" s="102"/>
    </row>
    <row r="215" spans="2:15" ht="18" customHeight="1">
      <c r="B215" s="52" t="s">
        <v>137</v>
      </c>
      <c r="C215" s="112" cm="1">
        <f t="array" ref="C215">SUMPRODUCT(D203:D214*E203:E214)+SUMPRODUCT(H203:H210*I203:I210)</f>
        <v>15.48</v>
      </c>
      <c r="D215" s="52"/>
      <c r="E215" s="52"/>
      <c r="F215" s="52"/>
      <c r="G215" s="52" t="s">
        <v>138</v>
      </c>
      <c r="H215" s="52" cm="1">
        <f t="array" ref="H215">SUMPRODUCT(G211:G214*H211:H214)</f>
        <v>0</v>
      </c>
      <c r="I215" s="233">
        <f>H215*1.08</f>
        <v>0</v>
      </c>
      <c r="N215" s="106"/>
      <c r="O215" s="102"/>
    </row>
    <row r="216" spans="2:15" ht="18" customHeight="1">
      <c r="B216" s="23" t="s">
        <v>139</v>
      </c>
      <c r="C216" s="442" t="s">
        <v>14</v>
      </c>
      <c r="D216" s="442" t="s">
        <v>22</v>
      </c>
      <c r="E216" s="442" t="s">
        <v>8</v>
      </c>
      <c r="F216" s="442" t="s">
        <v>113</v>
      </c>
      <c r="G216" s="442" t="s">
        <v>40</v>
      </c>
      <c r="H216" s="442" t="s">
        <v>28</v>
      </c>
      <c r="I216" s="25" t="s">
        <v>29</v>
      </c>
      <c r="N216" s="106"/>
      <c r="O216" s="102"/>
    </row>
    <row r="217" spans="2:15" ht="18" customHeight="1">
      <c r="B217" s="48" t="s">
        <v>140</v>
      </c>
      <c r="C217" s="52" t="s">
        <v>141</v>
      </c>
      <c r="D217" s="50">
        <v>0.14199999999999999</v>
      </c>
      <c r="E217" s="50">
        <v>1</v>
      </c>
      <c r="F217" s="50">
        <f>D6</f>
        <v>1120</v>
      </c>
      <c r="G217" s="128">
        <f>D217*F217*E217/1000*1.1</f>
        <v>0.17494399999999999</v>
      </c>
      <c r="H217" s="52">
        <f>(C218+C222)/1000</f>
        <v>39.781500000000001</v>
      </c>
      <c r="I217" s="193">
        <f>G217*H217</f>
        <v>6.9595347360000002</v>
      </c>
      <c r="N217" s="106"/>
      <c r="O217" s="102"/>
    </row>
    <row r="218" spans="2:15" ht="18" customHeight="1">
      <c r="B218" s="37" t="s">
        <v>142</v>
      </c>
      <c r="C218" s="113">
        <f>材料价格!B4</f>
        <v>22081.5</v>
      </c>
      <c r="D218" s="39" t="s">
        <v>143</v>
      </c>
      <c r="E218" s="114">
        <f>E139+E133+E126+E119+E112+E199+E177+E64+E56+E48+E38+E31+E22+E184+E191</f>
        <v>7.244600000000001</v>
      </c>
      <c r="F218" s="39" t="s">
        <v>144</v>
      </c>
      <c r="G218" s="115">
        <f>I218/E218-C218/1000</f>
        <v>23.999719114926968</v>
      </c>
      <c r="H218" s="39" t="s">
        <v>145</v>
      </c>
      <c r="I218" s="116">
        <f>I22+I31+I38+I48+I56+I64+I199+I112+I119+I126+I133+I139+I177+I184+I191</f>
        <v>333.84</v>
      </c>
      <c r="N218" s="106"/>
      <c r="O218" s="102"/>
    </row>
    <row r="219" spans="2:15" ht="18" customHeight="1">
      <c r="B219" s="117" t="s">
        <v>146</v>
      </c>
      <c r="C219" s="118">
        <f>材料价格!B5</f>
        <v>24000</v>
      </c>
      <c r="D219" s="39" t="s">
        <v>147</v>
      </c>
      <c r="E219" s="114">
        <f>E163+E153+E146+E104+E97+E88+G217+E170</f>
        <v>1.2078439999999999</v>
      </c>
      <c r="F219" s="39" t="s">
        <v>148</v>
      </c>
      <c r="G219" s="119">
        <f>I219/E219-C218/1000</f>
        <v>17.699742226645171</v>
      </c>
      <c r="H219" s="39" t="s">
        <v>149</v>
      </c>
      <c r="I219" s="116">
        <f>I88+I97+I104+I146+I153+I163+I217+I170</f>
        <v>48.049534736000005</v>
      </c>
      <c r="N219" s="106"/>
      <c r="O219" s="102"/>
    </row>
    <row r="220" spans="2:15" ht="18" customHeight="1">
      <c r="B220" s="117" t="s">
        <v>150</v>
      </c>
      <c r="C220" s="118">
        <f>C219</f>
        <v>24000</v>
      </c>
      <c r="D220" s="39" t="s">
        <v>151</v>
      </c>
      <c r="E220" s="120">
        <f>I215</f>
        <v>0</v>
      </c>
      <c r="F220" s="39" t="s">
        <v>152</v>
      </c>
      <c r="G220" s="119" t="e">
        <f>I220/E220-C218/1000</f>
        <v>#DIV/0!</v>
      </c>
      <c r="H220" s="39" t="s">
        <v>153</v>
      </c>
      <c r="I220" s="116">
        <f>ROUND(E220*(C218+C223)/1000,2)</f>
        <v>0</v>
      </c>
      <c r="N220" s="106"/>
      <c r="O220" s="102"/>
    </row>
    <row r="221" spans="2:15" ht="18" customHeight="1">
      <c r="B221" s="117" t="s">
        <v>154</v>
      </c>
      <c r="C221" s="121">
        <f>C220</f>
        <v>24000</v>
      </c>
      <c r="D221" s="39" t="s">
        <v>155</v>
      </c>
      <c r="E221" s="39"/>
      <c r="F221" s="39" t="s">
        <v>156</v>
      </c>
      <c r="G221" s="39"/>
      <c r="H221" s="39" t="s">
        <v>49</v>
      </c>
      <c r="I221" s="116">
        <f>E221*G221</f>
        <v>0</v>
      </c>
      <c r="J221" s="42"/>
      <c r="K221" s="255"/>
    </row>
    <row r="222" spans="2:15" ht="18" customHeight="1">
      <c r="B222" s="117" t="s">
        <v>148</v>
      </c>
      <c r="C222" s="122">
        <f>材料价格!B6</f>
        <v>17700</v>
      </c>
      <c r="D222" s="39" t="s">
        <v>157</v>
      </c>
      <c r="E222" s="39"/>
      <c r="F222" s="39" t="s">
        <v>156</v>
      </c>
      <c r="G222" s="39"/>
      <c r="H222" s="39" t="s">
        <v>49</v>
      </c>
      <c r="I222" s="116">
        <f>E222*G222</f>
        <v>0</v>
      </c>
      <c r="J222" s="123"/>
      <c r="K222" s="123"/>
      <c r="L222" s="123"/>
    </row>
    <row r="223" spans="2:15" ht="18" customHeight="1">
      <c r="B223" s="117" t="s">
        <v>152</v>
      </c>
      <c r="C223" s="122">
        <f>材料价格!B9</f>
        <v>2900</v>
      </c>
      <c r="D223" s="39" t="s">
        <v>158</v>
      </c>
      <c r="E223" s="114">
        <f>SUM(E218:E220)</f>
        <v>8.4524440000000016</v>
      </c>
      <c r="F223" s="39"/>
      <c r="G223" s="39" t="s">
        <v>339</v>
      </c>
      <c r="H223" s="39"/>
      <c r="I223" s="234">
        <f>SUM(I218:I222)+C215</f>
        <v>397.36953473599999</v>
      </c>
      <c r="J223" s="123"/>
      <c r="K223" s="123"/>
      <c r="L223" s="123"/>
    </row>
    <row r="224" spans="2:15" ht="18" customHeight="1">
      <c r="B224" s="23" t="s">
        <v>159</v>
      </c>
      <c r="C224" s="442" t="s">
        <v>113</v>
      </c>
      <c r="D224" s="442" t="s">
        <v>16</v>
      </c>
      <c r="E224" s="442" t="s">
        <v>7</v>
      </c>
      <c r="F224" s="442" t="s">
        <v>8</v>
      </c>
      <c r="G224" s="442" t="s">
        <v>28</v>
      </c>
      <c r="H224" s="442" t="s">
        <v>160</v>
      </c>
      <c r="I224" s="25" t="s">
        <v>1</v>
      </c>
      <c r="J224" s="255"/>
      <c r="K224" s="255"/>
      <c r="L224" s="255"/>
      <c r="M224" s="255"/>
    </row>
    <row r="225" spans="2:13" ht="18" customHeight="1">
      <c r="B225" s="124" t="str">
        <f>材料价格!A10</f>
        <v>6单银Low-E+12A+6</v>
      </c>
      <c r="C225" s="443">
        <f t="shared" ref="C225:D229" si="25">D92</f>
        <v>-90</v>
      </c>
      <c r="D225" s="443">
        <f t="shared" si="25"/>
        <v>-90</v>
      </c>
      <c r="E225" s="32">
        <f>C225*D225/10^6</f>
        <v>8.0999999999999996E-3</v>
      </c>
      <c r="F225" s="440">
        <f>G26</f>
        <v>0</v>
      </c>
      <c r="G225" s="125">
        <f>材料价格!B10</f>
        <v>148</v>
      </c>
      <c r="H225" s="440">
        <f>ROUND(E225*G225*F225,2)</f>
        <v>0</v>
      </c>
      <c r="I225" s="437" t="s">
        <v>161</v>
      </c>
      <c r="J225" s="255"/>
      <c r="K225" s="255"/>
      <c r="L225" s="255"/>
      <c r="M225" s="255"/>
    </row>
    <row r="226" spans="2:13" ht="18" customHeight="1">
      <c r="B226" s="124" t="str">
        <f t="shared" ref="B226:B232" si="26">B225</f>
        <v>6单银Low-E+12A+6</v>
      </c>
      <c r="C226" s="443">
        <f t="shared" si="25"/>
        <v>-90</v>
      </c>
      <c r="D226" s="443">
        <f t="shared" si="25"/>
        <v>-90</v>
      </c>
      <c r="E226" s="32">
        <f t="shared" ref="E226:E284" si="27">C226*D226/10^6</f>
        <v>8.0999999999999996E-3</v>
      </c>
      <c r="F226" s="440">
        <f>G27</f>
        <v>0</v>
      </c>
      <c r="G226" s="126">
        <f t="shared" ref="G226:G232" si="28">G225</f>
        <v>148</v>
      </c>
      <c r="H226" s="440">
        <f t="shared" ref="H226:H241" si="29">ROUND(E226*G226*F226,2)</f>
        <v>0</v>
      </c>
      <c r="I226" s="437" t="s">
        <v>162</v>
      </c>
      <c r="J226" s="255"/>
      <c r="K226" s="255"/>
      <c r="L226" s="255"/>
      <c r="M226" s="255"/>
    </row>
    <row r="227" spans="2:13" ht="18" customHeight="1">
      <c r="B227" s="124" t="str">
        <f t="shared" si="26"/>
        <v>6单银Low-E+12A+6</v>
      </c>
      <c r="C227" s="443">
        <f t="shared" si="25"/>
        <v>-90</v>
      </c>
      <c r="D227" s="443">
        <f t="shared" si="25"/>
        <v>-90</v>
      </c>
      <c r="E227" s="32">
        <f t="shared" si="27"/>
        <v>8.0999999999999996E-3</v>
      </c>
      <c r="F227" s="440">
        <f>G28</f>
        <v>0</v>
      </c>
      <c r="G227" s="126">
        <f t="shared" si="28"/>
        <v>148</v>
      </c>
      <c r="H227" s="440">
        <f t="shared" si="29"/>
        <v>0</v>
      </c>
      <c r="I227" s="437" t="s">
        <v>162</v>
      </c>
      <c r="J227" s="255"/>
      <c r="K227" s="255"/>
      <c r="L227" s="255"/>
      <c r="M227" s="255"/>
    </row>
    <row r="228" spans="2:13" ht="18" customHeight="1">
      <c r="B228" s="124" t="str">
        <f t="shared" si="26"/>
        <v>6单银Low-E+12A+6</v>
      </c>
      <c r="C228" s="443">
        <f t="shared" si="25"/>
        <v>-90</v>
      </c>
      <c r="D228" s="443">
        <f t="shared" si="25"/>
        <v>-90</v>
      </c>
      <c r="E228" s="32">
        <f t="shared" si="27"/>
        <v>8.0999999999999996E-3</v>
      </c>
      <c r="F228" s="440">
        <f>G29</f>
        <v>0</v>
      </c>
      <c r="G228" s="126">
        <f t="shared" si="28"/>
        <v>148</v>
      </c>
      <c r="H228" s="440">
        <f t="shared" si="29"/>
        <v>0</v>
      </c>
      <c r="I228" s="437" t="s">
        <v>162</v>
      </c>
      <c r="J228" s="255"/>
      <c r="K228" s="255"/>
      <c r="L228" s="255"/>
      <c r="M228" s="255"/>
    </row>
    <row r="229" spans="2:13" ht="18" customHeight="1">
      <c r="B229" s="124" t="str">
        <f t="shared" si="26"/>
        <v>6单银Low-E+12A+6</v>
      </c>
      <c r="C229" s="443">
        <f t="shared" si="25"/>
        <v>-90</v>
      </c>
      <c r="D229" s="443">
        <f t="shared" si="25"/>
        <v>-90</v>
      </c>
      <c r="E229" s="32">
        <f t="shared" si="27"/>
        <v>8.0999999999999996E-3</v>
      </c>
      <c r="F229" s="440">
        <f>G30</f>
        <v>0</v>
      </c>
      <c r="G229" s="126">
        <f t="shared" si="28"/>
        <v>148</v>
      </c>
      <c r="H229" s="440">
        <f t="shared" si="29"/>
        <v>0</v>
      </c>
      <c r="I229" s="437" t="s">
        <v>162</v>
      </c>
      <c r="J229" s="123"/>
      <c r="K229" s="123"/>
      <c r="L229" s="123"/>
    </row>
    <row r="230" spans="2:13" ht="18" customHeight="1">
      <c r="B230" s="124" t="str">
        <f t="shared" si="26"/>
        <v>6单银Low-E+12A+6</v>
      </c>
      <c r="C230" s="443">
        <f t="shared" ref="C230:D232" si="30">D101</f>
        <v>-122</v>
      </c>
      <c r="D230" s="443">
        <f t="shared" si="30"/>
        <v>-122</v>
      </c>
      <c r="E230" s="32">
        <f t="shared" si="27"/>
        <v>1.4884E-2</v>
      </c>
      <c r="F230" s="440">
        <f>G101</f>
        <v>0</v>
      </c>
      <c r="G230" s="126">
        <f t="shared" si="28"/>
        <v>148</v>
      </c>
      <c r="H230" s="440">
        <f t="shared" si="29"/>
        <v>0</v>
      </c>
      <c r="I230" s="127" t="s">
        <v>163</v>
      </c>
      <c r="J230" s="123"/>
      <c r="K230" s="123"/>
      <c r="L230" s="123"/>
    </row>
    <row r="231" spans="2:13" ht="18" customHeight="1">
      <c r="B231" s="124" t="str">
        <f t="shared" si="26"/>
        <v>6单银Low-E+12A+6</v>
      </c>
      <c r="C231" s="443">
        <f t="shared" si="30"/>
        <v>-122</v>
      </c>
      <c r="D231" s="443">
        <f t="shared" si="30"/>
        <v>-122</v>
      </c>
      <c r="E231" s="32">
        <f t="shared" si="27"/>
        <v>1.4884E-2</v>
      </c>
      <c r="F231" s="440">
        <f>G102</f>
        <v>0</v>
      </c>
      <c r="G231" s="126">
        <f t="shared" si="28"/>
        <v>148</v>
      </c>
      <c r="H231" s="440">
        <f t="shared" si="29"/>
        <v>0</v>
      </c>
      <c r="I231" s="127" t="s">
        <v>163</v>
      </c>
    </row>
    <row r="232" spans="2:13" ht="18" customHeight="1">
      <c r="B232" s="124" t="str">
        <f t="shared" si="26"/>
        <v>6单银Low-E+12A+6</v>
      </c>
      <c r="C232" s="443">
        <f t="shared" si="30"/>
        <v>-122</v>
      </c>
      <c r="D232" s="443">
        <f t="shared" si="30"/>
        <v>-122</v>
      </c>
      <c r="E232" s="32">
        <f t="shared" si="27"/>
        <v>1.4884E-2</v>
      </c>
      <c r="F232" s="440">
        <f>G103</f>
        <v>0</v>
      </c>
      <c r="G232" s="126">
        <f t="shared" si="28"/>
        <v>148</v>
      </c>
      <c r="H232" s="440">
        <f t="shared" si="29"/>
        <v>0</v>
      </c>
      <c r="I232" s="127" t="s">
        <v>163</v>
      </c>
    </row>
    <row r="233" spans="2:13" ht="18" customHeight="1">
      <c r="B233" s="48" t="s">
        <v>164</v>
      </c>
      <c r="C233" s="52"/>
      <c r="D233" s="50"/>
      <c r="E233" s="128"/>
      <c r="F233" s="50">
        <f>SUM(F225:F232)</f>
        <v>0</v>
      </c>
      <c r="G233" s="50"/>
      <c r="H233" s="52">
        <f>SUM(H225:H232)</f>
        <v>0</v>
      </c>
      <c r="I233" s="53">
        <f>ROUND((E225*F225+E226*F226+E227*F227+E228*F228+E229*F229+E230*F230+E231*F231+E232*F232),2)</f>
        <v>0</v>
      </c>
    </row>
    <row r="234" spans="2:13" ht="18" customHeight="1">
      <c r="B234" s="124" t="str">
        <f>B232</f>
        <v>6单银Low-E+12A+6</v>
      </c>
      <c r="C234" s="443">
        <f>C225</f>
        <v>-90</v>
      </c>
      <c r="D234" s="443">
        <f>D225</f>
        <v>-90</v>
      </c>
      <c r="E234" s="32">
        <f t="shared" si="27"/>
        <v>8.0999999999999996E-3</v>
      </c>
      <c r="F234" s="440">
        <f>IF(F225=0,G26,0)</f>
        <v>0</v>
      </c>
      <c r="G234" s="126">
        <f>G232</f>
        <v>148</v>
      </c>
      <c r="H234" s="440">
        <f t="shared" si="29"/>
        <v>0</v>
      </c>
      <c r="I234" s="437" t="s">
        <v>165</v>
      </c>
      <c r="J234" s="129"/>
    </row>
    <row r="235" spans="2:13" ht="18" customHeight="1">
      <c r="B235" s="124" t="str">
        <f t="shared" ref="B235:B241" si="31">B234</f>
        <v>6单银Low-E+12A+6</v>
      </c>
      <c r="C235" s="443">
        <f t="shared" ref="C235:D241" si="32">C226</f>
        <v>-90</v>
      </c>
      <c r="D235" s="443">
        <f t="shared" si="32"/>
        <v>-90</v>
      </c>
      <c r="E235" s="32">
        <f t="shared" si="27"/>
        <v>8.0999999999999996E-3</v>
      </c>
      <c r="F235" s="440">
        <f>IF(F226=0,G27,0)</f>
        <v>0</v>
      </c>
      <c r="G235" s="126">
        <f>G234</f>
        <v>148</v>
      </c>
      <c r="H235" s="440">
        <f t="shared" si="29"/>
        <v>0</v>
      </c>
      <c r="I235" s="437" t="s">
        <v>165</v>
      </c>
      <c r="J235" s="129"/>
    </row>
    <row r="236" spans="2:13" ht="18" customHeight="1">
      <c r="B236" s="124" t="str">
        <f t="shared" si="31"/>
        <v>6单银Low-E+12A+6</v>
      </c>
      <c r="C236" s="443">
        <f t="shared" si="32"/>
        <v>-90</v>
      </c>
      <c r="D236" s="443">
        <f t="shared" si="32"/>
        <v>-90</v>
      </c>
      <c r="E236" s="32">
        <f t="shared" si="27"/>
        <v>8.0999999999999996E-3</v>
      </c>
      <c r="F236" s="440">
        <f>IF(F227=0,G28,0)</f>
        <v>0</v>
      </c>
      <c r="G236" s="126">
        <f t="shared" ref="G236:G241" si="33">G234</f>
        <v>148</v>
      </c>
      <c r="H236" s="440">
        <f t="shared" si="29"/>
        <v>0</v>
      </c>
      <c r="I236" s="437" t="s">
        <v>165</v>
      </c>
      <c r="J236" s="129"/>
    </row>
    <row r="237" spans="2:13" ht="18" customHeight="1">
      <c r="B237" s="124" t="str">
        <f t="shared" si="31"/>
        <v>6单银Low-E+12A+6</v>
      </c>
      <c r="C237" s="443">
        <f t="shared" si="32"/>
        <v>-90</v>
      </c>
      <c r="D237" s="443">
        <f t="shared" si="32"/>
        <v>-90</v>
      </c>
      <c r="E237" s="32">
        <f t="shared" si="27"/>
        <v>8.0999999999999996E-3</v>
      </c>
      <c r="F237" s="440">
        <f>IF(F228=0,G29,0)</f>
        <v>0</v>
      </c>
      <c r="G237" s="126">
        <f t="shared" si="33"/>
        <v>148</v>
      </c>
      <c r="H237" s="440">
        <f t="shared" si="29"/>
        <v>0</v>
      </c>
      <c r="I237" s="437" t="s">
        <v>165</v>
      </c>
      <c r="J237" s="129"/>
    </row>
    <row r="238" spans="2:13" ht="18" customHeight="1">
      <c r="B238" s="124" t="str">
        <f t="shared" si="31"/>
        <v>6单银Low-E+12A+6</v>
      </c>
      <c r="C238" s="443">
        <f t="shared" si="32"/>
        <v>-90</v>
      </c>
      <c r="D238" s="443">
        <f t="shared" si="32"/>
        <v>-90</v>
      </c>
      <c r="E238" s="32">
        <f t="shared" si="27"/>
        <v>8.0999999999999996E-3</v>
      </c>
      <c r="F238" s="440">
        <f>IF(F229=0,G30,0)</f>
        <v>0</v>
      </c>
      <c r="G238" s="126">
        <f t="shared" si="33"/>
        <v>148</v>
      </c>
      <c r="H238" s="440">
        <f t="shared" si="29"/>
        <v>0</v>
      </c>
      <c r="I238" s="437" t="s">
        <v>165</v>
      </c>
      <c r="J238" s="129"/>
    </row>
    <row r="239" spans="2:13" ht="18" customHeight="1">
      <c r="B239" s="124" t="str">
        <f t="shared" si="31"/>
        <v>6单银Low-E+12A+6</v>
      </c>
      <c r="C239" s="443">
        <f t="shared" si="32"/>
        <v>-122</v>
      </c>
      <c r="D239" s="443">
        <f t="shared" si="32"/>
        <v>-122</v>
      </c>
      <c r="E239" s="32">
        <f t="shared" si="27"/>
        <v>1.4884E-2</v>
      </c>
      <c r="F239" s="440">
        <f>IF(F230=0,G35,0)</f>
        <v>0</v>
      </c>
      <c r="G239" s="126">
        <f t="shared" si="33"/>
        <v>148</v>
      </c>
      <c r="H239" s="440">
        <f t="shared" si="29"/>
        <v>0</v>
      </c>
      <c r="I239" s="127" t="s">
        <v>166</v>
      </c>
      <c r="J239" s="129"/>
    </row>
    <row r="240" spans="2:13" ht="18" customHeight="1">
      <c r="B240" s="124" t="str">
        <f t="shared" si="31"/>
        <v>6单银Low-E+12A+6</v>
      </c>
      <c r="C240" s="443">
        <f t="shared" si="32"/>
        <v>-122</v>
      </c>
      <c r="D240" s="443">
        <f t="shared" si="32"/>
        <v>-122</v>
      </c>
      <c r="E240" s="32">
        <f t="shared" si="27"/>
        <v>1.4884E-2</v>
      </c>
      <c r="F240" s="440">
        <f>IF(F231=0,G36,0)</f>
        <v>0</v>
      </c>
      <c r="G240" s="126">
        <f t="shared" si="33"/>
        <v>148</v>
      </c>
      <c r="H240" s="440">
        <f t="shared" si="29"/>
        <v>0</v>
      </c>
      <c r="I240" s="127" t="s">
        <v>166</v>
      </c>
      <c r="J240" s="129"/>
    </row>
    <row r="241" spans="1:16" ht="18" customHeight="1">
      <c r="B241" s="124" t="str">
        <f t="shared" si="31"/>
        <v>6单银Low-E+12A+6</v>
      </c>
      <c r="C241" s="443">
        <f t="shared" si="32"/>
        <v>-122</v>
      </c>
      <c r="D241" s="443">
        <f t="shared" si="32"/>
        <v>-122</v>
      </c>
      <c r="E241" s="32">
        <f t="shared" si="27"/>
        <v>1.4884E-2</v>
      </c>
      <c r="F241" s="440">
        <f>IF(F232=0,G37,0)</f>
        <v>0</v>
      </c>
      <c r="G241" s="126">
        <f t="shared" si="33"/>
        <v>148</v>
      </c>
      <c r="H241" s="440">
        <f t="shared" si="29"/>
        <v>0</v>
      </c>
      <c r="I241" s="127" t="s">
        <v>166</v>
      </c>
      <c r="J241" s="129"/>
    </row>
    <row r="242" spans="1:16" s="43" customFormat="1" ht="18" customHeight="1">
      <c r="A242" s="1"/>
      <c r="B242" s="48" t="s">
        <v>167</v>
      </c>
      <c r="C242" s="52"/>
      <c r="D242" s="50"/>
      <c r="E242" s="128"/>
      <c r="F242" s="50">
        <f>SUM(F234:F241)</f>
        <v>0</v>
      </c>
      <c r="G242" s="50"/>
      <c r="H242" s="52">
        <f>SUM(H234:H241)</f>
        <v>0</v>
      </c>
      <c r="I242" s="53">
        <f>ROUND(SUMPRODUCT(E234:E241*F234:F241),2)</f>
        <v>0</v>
      </c>
      <c r="J242" s="129"/>
      <c r="N242" s="255"/>
      <c r="O242" s="255"/>
      <c r="P242" s="255"/>
    </row>
    <row r="243" spans="1:16" s="43" customFormat="1" ht="18" customHeight="1">
      <c r="A243" s="1"/>
      <c r="B243" s="124" t="str">
        <f>B240</f>
        <v>6单银Low-E+12A+6</v>
      </c>
      <c r="C243" s="443">
        <f t="shared" ref="C243:D249" si="34">D68-12</f>
        <v>1036</v>
      </c>
      <c r="D243" s="443">
        <f t="shared" si="34"/>
        <v>1036</v>
      </c>
      <c r="E243" s="32">
        <f t="shared" si="27"/>
        <v>1.073296</v>
      </c>
      <c r="F243" s="82">
        <f t="shared" ref="F243:F249" si="35">G68</f>
        <v>1</v>
      </c>
      <c r="G243" s="130">
        <f>G241</f>
        <v>148</v>
      </c>
      <c r="H243" s="440">
        <f t="shared" ref="H243:H249" si="36">ROUND(E243*G243*F243,2)</f>
        <v>158.85</v>
      </c>
      <c r="I243" s="437" t="s">
        <v>168</v>
      </c>
      <c r="J243" s="129"/>
      <c r="N243" s="255"/>
      <c r="O243" s="255"/>
      <c r="P243" s="255"/>
    </row>
    <row r="244" spans="1:16" s="43" customFormat="1" ht="18" customHeight="1">
      <c r="A244" s="1"/>
      <c r="B244" s="124" t="str">
        <f t="shared" ref="B244:B249" si="37">B243</f>
        <v>6单银Low-E+12A+6</v>
      </c>
      <c r="C244" s="443">
        <f t="shared" si="34"/>
        <v>-12</v>
      </c>
      <c r="D244" s="443">
        <f t="shared" si="34"/>
        <v>-12</v>
      </c>
      <c r="E244" s="32">
        <f t="shared" si="27"/>
        <v>1.44E-4</v>
      </c>
      <c r="F244" s="82">
        <f t="shared" si="35"/>
        <v>0</v>
      </c>
      <c r="G244" s="130">
        <f t="shared" ref="G244:G249" si="38">G243</f>
        <v>148</v>
      </c>
      <c r="H244" s="440">
        <f t="shared" si="36"/>
        <v>0</v>
      </c>
      <c r="I244" s="437" t="s">
        <v>168</v>
      </c>
      <c r="J244" s="129"/>
      <c r="N244" s="255"/>
      <c r="O244" s="255"/>
      <c r="P244" s="255"/>
    </row>
    <row r="245" spans="1:16" s="43" customFormat="1" ht="18" customHeight="1">
      <c r="A245" s="1"/>
      <c r="B245" s="124" t="str">
        <f t="shared" si="37"/>
        <v>6单银Low-E+12A+6</v>
      </c>
      <c r="C245" s="443">
        <f t="shared" si="34"/>
        <v>-12</v>
      </c>
      <c r="D245" s="443">
        <f t="shared" si="34"/>
        <v>-12</v>
      </c>
      <c r="E245" s="32">
        <f t="shared" si="27"/>
        <v>1.44E-4</v>
      </c>
      <c r="F245" s="82">
        <f t="shared" si="35"/>
        <v>0</v>
      </c>
      <c r="G245" s="130">
        <f t="shared" si="38"/>
        <v>148</v>
      </c>
      <c r="H245" s="440">
        <f t="shared" si="36"/>
        <v>0</v>
      </c>
      <c r="I245" s="437" t="s">
        <v>168</v>
      </c>
      <c r="J245" s="129"/>
      <c r="N245" s="255"/>
      <c r="O245" s="255"/>
      <c r="P245" s="255"/>
    </row>
    <row r="246" spans="1:16" s="43" customFormat="1" ht="18" customHeight="1">
      <c r="A246" s="1"/>
      <c r="B246" s="124" t="str">
        <f t="shared" si="37"/>
        <v>6单银Low-E+12A+6</v>
      </c>
      <c r="C246" s="443">
        <f t="shared" si="34"/>
        <v>-12</v>
      </c>
      <c r="D246" s="443">
        <f t="shared" si="34"/>
        <v>-12</v>
      </c>
      <c r="E246" s="32">
        <f t="shared" si="27"/>
        <v>1.44E-4</v>
      </c>
      <c r="F246" s="82">
        <f t="shared" si="35"/>
        <v>0</v>
      </c>
      <c r="G246" s="130">
        <f t="shared" si="38"/>
        <v>148</v>
      </c>
      <c r="H246" s="440">
        <f t="shared" si="36"/>
        <v>0</v>
      </c>
      <c r="I246" s="437" t="s">
        <v>168</v>
      </c>
      <c r="J246" s="129"/>
      <c r="N246" s="255"/>
      <c r="O246" s="255"/>
      <c r="P246" s="255"/>
    </row>
    <row r="247" spans="1:16" s="43" customFormat="1" ht="18" customHeight="1">
      <c r="A247" s="1"/>
      <c r="B247" s="124" t="str">
        <f t="shared" si="37"/>
        <v>6单银Low-E+12A+6</v>
      </c>
      <c r="C247" s="443">
        <f t="shared" si="34"/>
        <v>-12</v>
      </c>
      <c r="D247" s="443">
        <f t="shared" si="34"/>
        <v>-12</v>
      </c>
      <c r="E247" s="32">
        <f t="shared" si="27"/>
        <v>1.44E-4</v>
      </c>
      <c r="F247" s="82">
        <f t="shared" si="35"/>
        <v>0</v>
      </c>
      <c r="G247" s="130">
        <f t="shared" si="38"/>
        <v>148</v>
      </c>
      <c r="H247" s="440">
        <f t="shared" si="36"/>
        <v>0</v>
      </c>
      <c r="I247" s="437" t="s">
        <v>168</v>
      </c>
      <c r="J247" s="129"/>
      <c r="N247" s="255"/>
      <c r="O247" s="255"/>
      <c r="P247" s="255"/>
    </row>
    <row r="248" spans="1:16" s="43" customFormat="1" ht="18" customHeight="1">
      <c r="A248" s="1"/>
      <c r="B248" s="124" t="str">
        <f t="shared" si="37"/>
        <v>6单银Low-E+12A+6</v>
      </c>
      <c r="C248" s="443">
        <f t="shared" si="34"/>
        <v>-12</v>
      </c>
      <c r="D248" s="443">
        <f t="shared" si="34"/>
        <v>-12</v>
      </c>
      <c r="E248" s="32">
        <f t="shared" si="27"/>
        <v>1.44E-4</v>
      </c>
      <c r="F248" s="82">
        <f t="shared" si="35"/>
        <v>0</v>
      </c>
      <c r="G248" s="130">
        <f t="shared" si="38"/>
        <v>148</v>
      </c>
      <c r="H248" s="440">
        <f t="shared" si="36"/>
        <v>0</v>
      </c>
      <c r="I248" s="437" t="s">
        <v>168</v>
      </c>
      <c r="J248" s="129"/>
      <c r="N248" s="255"/>
      <c r="O248" s="255"/>
      <c r="P248" s="255"/>
    </row>
    <row r="249" spans="1:16" s="43" customFormat="1" ht="18" customHeight="1">
      <c r="A249" s="1"/>
      <c r="B249" s="124" t="str">
        <f t="shared" si="37"/>
        <v>6单银Low-E+12A+6</v>
      </c>
      <c r="C249" s="443">
        <f t="shared" si="34"/>
        <v>-12</v>
      </c>
      <c r="D249" s="443">
        <f t="shared" si="34"/>
        <v>-12</v>
      </c>
      <c r="E249" s="32">
        <f t="shared" si="27"/>
        <v>1.44E-4</v>
      </c>
      <c r="F249" s="82">
        <f t="shared" si="35"/>
        <v>0</v>
      </c>
      <c r="G249" s="130">
        <f t="shared" si="38"/>
        <v>148</v>
      </c>
      <c r="H249" s="440">
        <f t="shared" si="36"/>
        <v>0</v>
      </c>
      <c r="I249" s="437" t="s">
        <v>168</v>
      </c>
      <c r="J249" s="129"/>
      <c r="N249" s="255"/>
      <c r="O249" s="255"/>
      <c r="P249" s="255"/>
    </row>
    <row r="250" spans="1:16" s="43" customFormat="1" ht="18" customHeight="1">
      <c r="A250" s="1"/>
      <c r="B250" s="131" t="str">
        <f>B246</f>
        <v>6单银Low-E+12A+6</v>
      </c>
      <c r="C250" s="52"/>
      <c r="D250" s="50"/>
      <c r="E250" s="128"/>
      <c r="F250" s="50">
        <f>SUM(F243:F249)</f>
        <v>1</v>
      </c>
      <c r="G250" s="50"/>
      <c r="H250" s="52">
        <f>SUM(H243:H249)</f>
        <v>158.85</v>
      </c>
      <c r="I250" s="53">
        <f>ROUND((E243*F243+E244*F244+E245*F245+E246*F246+E247*F247+E248*F248+E249*F249),2)</f>
        <v>1.07</v>
      </c>
      <c r="J250" s="43">
        <f>(I242+I258+I273+I280)</f>
        <v>0</v>
      </c>
      <c r="N250" s="255"/>
      <c r="O250" s="255"/>
      <c r="P250" s="255"/>
    </row>
    <row r="251" spans="1:16" s="43" customFormat="1" ht="18" customHeight="1">
      <c r="A251" s="1"/>
      <c r="B251" s="124" t="str">
        <f>B249</f>
        <v>6单银Low-E+12A+6</v>
      </c>
      <c r="C251" s="443">
        <f t="shared" ref="C251:D257" si="39">D75-12</f>
        <v>-12</v>
      </c>
      <c r="D251" s="443">
        <f t="shared" si="39"/>
        <v>-12</v>
      </c>
      <c r="E251" s="32">
        <f t="shared" si="27"/>
        <v>1.44E-4</v>
      </c>
      <c r="F251" s="82">
        <f t="shared" ref="F251:F257" si="40">G75</f>
        <v>0</v>
      </c>
      <c r="G251" s="130">
        <f>G249</f>
        <v>148</v>
      </c>
      <c r="H251" s="440">
        <f>ROUND(E251*G251*F251,2)</f>
        <v>0</v>
      </c>
      <c r="I251" s="132" t="s">
        <v>169</v>
      </c>
      <c r="N251" s="255"/>
      <c r="O251" s="255"/>
      <c r="P251" s="255"/>
    </row>
    <row r="252" spans="1:16" s="43" customFormat="1" ht="18" customHeight="1">
      <c r="A252" s="1"/>
      <c r="B252" s="124" t="str">
        <f t="shared" ref="B252:B257" si="41">B251</f>
        <v>6单银Low-E+12A+6</v>
      </c>
      <c r="C252" s="443">
        <f t="shared" si="39"/>
        <v>-12</v>
      </c>
      <c r="D252" s="443">
        <f t="shared" si="39"/>
        <v>-12</v>
      </c>
      <c r="E252" s="32">
        <f t="shared" si="27"/>
        <v>1.44E-4</v>
      </c>
      <c r="F252" s="82">
        <f t="shared" si="40"/>
        <v>0</v>
      </c>
      <c r="G252" s="130">
        <f t="shared" ref="G252:G257" si="42">G251</f>
        <v>148</v>
      </c>
      <c r="H252" s="440">
        <f t="shared" ref="H252:H264" si="43">ROUND(E252*G252*F252,2)</f>
        <v>0</v>
      </c>
      <c r="I252" s="132" t="str">
        <f t="shared" ref="I252:I257" si="44">I251</f>
        <v>固定钢化中空</v>
      </c>
      <c r="N252" s="255"/>
      <c r="O252" s="255"/>
      <c r="P252" s="255"/>
    </row>
    <row r="253" spans="1:16" s="43" customFormat="1" ht="18" customHeight="1">
      <c r="A253" s="1"/>
      <c r="B253" s="124" t="str">
        <f t="shared" si="41"/>
        <v>6单银Low-E+12A+6</v>
      </c>
      <c r="C253" s="443">
        <f t="shared" si="39"/>
        <v>-12</v>
      </c>
      <c r="D253" s="443">
        <f t="shared" si="39"/>
        <v>-12</v>
      </c>
      <c r="E253" s="32">
        <f t="shared" si="27"/>
        <v>1.44E-4</v>
      </c>
      <c r="F253" s="82">
        <f t="shared" si="40"/>
        <v>0</v>
      </c>
      <c r="G253" s="130">
        <f t="shared" si="42"/>
        <v>148</v>
      </c>
      <c r="H253" s="440">
        <f t="shared" si="43"/>
        <v>0</v>
      </c>
      <c r="I253" s="132" t="str">
        <f t="shared" si="44"/>
        <v>固定钢化中空</v>
      </c>
      <c r="N253" s="255"/>
      <c r="O253" s="255"/>
      <c r="P253" s="255"/>
    </row>
    <row r="254" spans="1:16" s="43" customFormat="1" ht="18" customHeight="1">
      <c r="A254" s="1"/>
      <c r="B254" s="124" t="str">
        <f t="shared" si="41"/>
        <v>6单银Low-E+12A+6</v>
      </c>
      <c r="C254" s="443">
        <f t="shared" si="39"/>
        <v>-12</v>
      </c>
      <c r="D254" s="443">
        <f t="shared" si="39"/>
        <v>-12</v>
      </c>
      <c r="E254" s="32">
        <f t="shared" si="27"/>
        <v>1.44E-4</v>
      </c>
      <c r="F254" s="82">
        <f t="shared" si="40"/>
        <v>0</v>
      </c>
      <c r="G254" s="130">
        <f t="shared" si="42"/>
        <v>148</v>
      </c>
      <c r="H254" s="440">
        <f t="shared" si="43"/>
        <v>0</v>
      </c>
      <c r="I254" s="132" t="str">
        <f t="shared" si="44"/>
        <v>固定钢化中空</v>
      </c>
      <c r="J254" s="42"/>
      <c r="N254" s="255"/>
      <c r="O254" s="255"/>
      <c r="P254" s="255"/>
    </row>
    <row r="255" spans="1:16" s="43" customFormat="1" ht="18" customHeight="1">
      <c r="A255" s="1"/>
      <c r="B255" s="124" t="str">
        <f t="shared" si="41"/>
        <v>6单银Low-E+12A+6</v>
      </c>
      <c r="C255" s="443">
        <f t="shared" si="39"/>
        <v>-12</v>
      </c>
      <c r="D255" s="443">
        <f t="shared" si="39"/>
        <v>-12</v>
      </c>
      <c r="E255" s="32">
        <f t="shared" si="27"/>
        <v>1.44E-4</v>
      </c>
      <c r="F255" s="82">
        <f t="shared" si="40"/>
        <v>0</v>
      </c>
      <c r="G255" s="130">
        <f t="shared" si="42"/>
        <v>148</v>
      </c>
      <c r="H255" s="440">
        <f t="shared" si="43"/>
        <v>0</v>
      </c>
      <c r="I255" s="132" t="str">
        <f t="shared" si="44"/>
        <v>固定钢化中空</v>
      </c>
      <c r="N255" s="255"/>
      <c r="O255" s="255"/>
      <c r="P255" s="255"/>
    </row>
    <row r="256" spans="1:16" s="43" customFormat="1" ht="18" customHeight="1">
      <c r="A256" s="1"/>
      <c r="B256" s="124" t="str">
        <f t="shared" si="41"/>
        <v>6单银Low-E+12A+6</v>
      </c>
      <c r="C256" s="443">
        <f t="shared" si="39"/>
        <v>-12</v>
      </c>
      <c r="D256" s="443">
        <f t="shared" si="39"/>
        <v>-12</v>
      </c>
      <c r="E256" s="32">
        <f t="shared" si="27"/>
        <v>1.44E-4</v>
      </c>
      <c r="F256" s="82">
        <f t="shared" si="40"/>
        <v>0</v>
      </c>
      <c r="G256" s="130">
        <f t="shared" si="42"/>
        <v>148</v>
      </c>
      <c r="H256" s="440">
        <f t="shared" si="43"/>
        <v>0</v>
      </c>
      <c r="I256" s="132" t="str">
        <f t="shared" si="44"/>
        <v>固定钢化中空</v>
      </c>
      <c r="N256" s="255"/>
      <c r="O256" s="255"/>
      <c r="P256" s="255"/>
    </row>
    <row r="257" spans="1:16" s="43" customFormat="1" ht="18" customHeight="1">
      <c r="A257" s="1"/>
      <c r="B257" s="124" t="str">
        <f t="shared" si="41"/>
        <v>6单银Low-E+12A+6</v>
      </c>
      <c r="C257" s="443">
        <f t="shared" si="39"/>
        <v>-12</v>
      </c>
      <c r="D257" s="443">
        <f t="shared" si="39"/>
        <v>-12</v>
      </c>
      <c r="E257" s="32">
        <f t="shared" si="27"/>
        <v>1.44E-4</v>
      </c>
      <c r="F257" s="82">
        <f t="shared" si="40"/>
        <v>0</v>
      </c>
      <c r="G257" s="130">
        <f t="shared" si="42"/>
        <v>148</v>
      </c>
      <c r="H257" s="440">
        <f t="shared" si="43"/>
        <v>0</v>
      </c>
      <c r="I257" s="132" t="str">
        <f t="shared" si="44"/>
        <v>固定钢化中空</v>
      </c>
      <c r="N257" s="255"/>
      <c r="O257" s="255"/>
      <c r="P257" s="255"/>
    </row>
    <row r="258" spans="1:16" s="43" customFormat="1" ht="18" customHeight="1">
      <c r="A258" s="1"/>
      <c r="B258" s="48" t="s">
        <v>170</v>
      </c>
      <c r="C258" s="52"/>
      <c r="D258" s="50"/>
      <c r="E258" s="128"/>
      <c r="F258" s="50">
        <f>SUM(F251:F257)</f>
        <v>0</v>
      </c>
      <c r="G258" s="50"/>
      <c r="H258" s="52">
        <f>SUM(H251:H257)</f>
        <v>0</v>
      </c>
      <c r="I258" s="53">
        <f>ROUND((E251*F251+E252*F252+E253*F253+E254*F254+E255*F255+E256*F256+E257*F257),2)</f>
        <v>0</v>
      </c>
      <c r="N258" s="255"/>
      <c r="O258" s="255"/>
      <c r="P258" s="255"/>
    </row>
    <row r="259" spans="1:16" s="43" customFormat="1" ht="18" customHeight="1">
      <c r="A259" s="1"/>
      <c r="B259" s="124" t="str">
        <f>B257</f>
        <v>6单银Low-E+12A+6</v>
      </c>
      <c r="C259" s="443">
        <f t="shared" ref="C259:D264" si="45">D82-12</f>
        <v>-12</v>
      </c>
      <c r="D259" s="443">
        <f t="shared" si="45"/>
        <v>-12</v>
      </c>
      <c r="E259" s="32">
        <f t="shared" si="27"/>
        <v>1.44E-4</v>
      </c>
      <c r="F259" s="82">
        <f t="shared" ref="F259:F264" si="46">G82</f>
        <v>0</v>
      </c>
      <c r="G259" s="130">
        <f>G257</f>
        <v>148</v>
      </c>
      <c r="H259" s="440">
        <f t="shared" si="43"/>
        <v>0</v>
      </c>
      <c r="I259" s="437" t="s">
        <v>171</v>
      </c>
      <c r="N259" s="255"/>
      <c r="O259" s="255"/>
      <c r="P259" s="255"/>
    </row>
    <row r="260" spans="1:16" s="43" customFormat="1" ht="18" customHeight="1">
      <c r="A260" s="1"/>
      <c r="B260" s="124" t="str">
        <f>B259</f>
        <v>6单银Low-E+12A+6</v>
      </c>
      <c r="C260" s="443">
        <f t="shared" si="45"/>
        <v>-12</v>
      </c>
      <c r="D260" s="443">
        <f t="shared" si="45"/>
        <v>-12</v>
      </c>
      <c r="E260" s="32">
        <f t="shared" si="27"/>
        <v>1.44E-4</v>
      </c>
      <c r="F260" s="82">
        <f t="shared" si="46"/>
        <v>0</v>
      </c>
      <c r="G260" s="130">
        <f>G259</f>
        <v>148</v>
      </c>
      <c r="H260" s="440">
        <f t="shared" si="43"/>
        <v>0</v>
      </c>
      <c r="I260" s="437" t="s">
        <v>171</v>
      </c>
      <c r="N260" s="255"/>
      <c r="O260" s="255"/>
      <c r="P260" s="255"/>
    </row>
    <row r="261" spans="1:16" s="43" customFormat="1" ht="18" customHeight="1">
      <c r="A261" s="1"/>
      <c r="B261" s="124" t="str">
        <f>B260</f>
        <v>6单银Low-E+12A+6</v>
      </c>
      <c r="C261" s="443">
        <f t="shared" si="45"/>
        <v>-12</v>
      </c>
      <c r="D261" s="443">
        <f t="shared" si="45"/>
        <v>-12</v>
      </c>
      <c r="E261" s="32">
        <f t="shared" si="27"/>
        <v>1.44E-4</v>
      </c>
      <c r="F261" s="82">
        <f t="shared" si="46"/>
        <v>0</v>
      </c>
      <c r="G261" s="130">
        <f>G260</f>
        <v>148</v>
      </c>
      <c r="H261" s="440">
        <f t="shared" si="43"/>
        <v>0</v>
      </c>
      <c r="I261" s="437" t="s">
        <v>171</v>
      </c>
      <c r="N261" s="255"/>
      <c r="O261" s="255"/>
      <c r="P261" s="255"/>
    </row>
    <row r="262" spans="1:16" s="43" customFormat="1" ht="18" customHeight="1">
      <c r="A262" s="1"/>
      <c r="B262" s="124" t="str">
        <f>B261</f>
        <v>6单银Low-E+12A+6</v>
      </c>
      <c r="C262" s="443">
        <f t="shared" si="45"/>
        <v>-12</v>
      </c>
      <c r="D262" s="443">
        <f t="shared" si="45"/>
        <v>-12</v>
      </c>
      <c r="E262" s="32">
        <f t="shared" si="27"/>
        <v>1.44E-4</v>
      </c>
      <c r="F262" s="82">
        <f t="shared" si="46"/>
        <v>0</v>
      </c>
      <c r="G262" s="130">
        <f>G261</f>
        <v>148</v>
      </c>
      <c r="H262" s="440">
        <f t="shared" si="43"/>
        <v>0</v>
      </c>
      <c r="I262" s="437" t="s">
        <v>171</v>
      </c>
      <c r="N262" s="255"/>
      <c r="O262" s="255"/>
      <c r="P262" s="255"/>
    </row>
    <row r="263" spans="1:16" s="43" customFormat="1" ht="18" customHeight="1">
      <c r="A263" s="1"/>
      <c r="B263" s="124" t="str">
        <f>B262</f>
        <v>6单银Low-E+12A+6</v>
      </c>
      <c r="C263" s="443">
        <f t="shared" si="45"/>
        <v>-12</v>
      </c>
      <c r="D263" s="443">
        <f t="shared" si="45"/>
        <v>-12</v>
      </c>
      <c r="E263" s="32">
        <f t="shared" si="27"/>
        <v>1.44E-4</v>
      </c>
      <c r="F263" s="82">
        <f t="shared" si="46"/>
        <v>0</v>
      </c>
      <c r="G263" s="130">
        <f>G262</f>
        <v>148</v>
      </c>
      <c r="H263" s="440">
        <f t="shared" si="43"/>
        <v>0</v>
      </c>
      <c r="I263" s="437" t="s">
        <v>171</v>
      </c>
      <c r="N263" s="255"/>
      <c r="O263" s="255"/>
      <c r="P263" s="255"/>
    </row>
    <row r="264" spans="1:16" s="43" customFormat="1" ht="18" customHeight="1">
      <c r="A264" s="1"/>
      <c r="B264" s="124" t="str">
        <f>B263</f>
        <v>6单银Low-E+12A+6</v>
      </c>
      <c r="C264" s="443">
        <f t="shared" si="45"/>
        <v>-12</v>
      </c>
      <c r="D264" s="443">
        <f t="shared" si="45"/>
        <v>-12</v>
      </c>
      <c r="E264" s="32">
        <f t="shared" si="27"/>
        <v>1.44E-4</v>
      </c>
      <c r="F264" s="82">
        <f t="shared" si="46"/>
        <v>0</v>
      </c>
      <c r="G264" s="130">
        <f>G263</f>
        <v>148</v>
      </c>
      <c r="H264" s="440">
        <f t="shared" si="43"/>
        <v>0</v>
      </c>
      <c r="I264" s="437" t="s">
        <v>171</v>
      </c>
      <c r="N264" s="255"/>
      <c r="O264" s="255"/>
      <c r="P264" s="255"/>
    </row>
    <row r="265" spans="1:16" s="43" customFormat="1" ht="18" customHeight="1">
      <c r="A265" s="1"/>
      <c r="B265" s="48" t="s">
        <v>172</v>
      </c>
      <c r="C265" s="52"/>
      <c r="D265" s="50"/>
      <c r="E265" s="128"/>
      <c r="F265" s="50">
        <f>SUM(F259:F264)</f>
        <v>0</v>
      </c>
      <c r="G265" s="50"/>
      <c r="H265" s="52">
        <f>SUM(H259:H264)</f>
        <v>0</v>
      </c>
      <c r="I265" s="53">
        <f>ROUND(SUMPRODUCT(E259:E264*F259:F264),2)</f>
        <v>0</v>
      </c>
      <c r="N265" s="255"/>
      <c r="O265" s="255"/>
      <c r="P265" s="255"/>
    </row>
    <row r="266" spans="1:16" s="43" customFormat="1" ht="18" customHeight="1">
      <c r="A266" s="1"/>
      <c r="B266" s="124" t="str">
        <f>B264</f>
        <v>6单银Low-E+12A+6</v>
      </c>
      <c r="C266" s="133">
        <f t="shared" ref="C266:D268" si="47">D143</f>
        <v>-154</v>
      </c>
      <c r="D266" s="133">
        <f t="shared" si="47"/>
        <v>-154</v>
      </c>
      <c r="E266" s="32">
        <f t="shared" si="27"/>
        <v>2.3716000000000001E-2</v>
      </c>
      <c r="F266" s="134">
        <f>G143</f>
        <v>0</v>
      </c>
      <c r="G266" s="135">
        <f>G264</f>
        <v>148</v>
      </c>
      <c r="H266" s="134">
        <f>ROUND(E266*G266*F266,2)</f>
        <v>0</v>
      </c>
      <c r="I266" s="136" t="s">
        <v>173</v>
      </c>
      <c r="N266" s="255"/>
      <c r="O266" s="255"/>
      <c r="P266" s="255"/>
    </row>
    <row r="267" spans="1:16" s="43" customFormat="1" ht="18" customHeight="1">
      <c r="A267" s="1"/>
      <c r="B267" s="124" t="str">
        <f>B264</f>
        <v>6单银Low-E+12A+6</v>
      </c>
      <c r="C267" s="133">
        <f t="shared" si="47"/>
        <v>-154</v>
      </c>
      <c r="D267" s="133">
        <f t="shared" si="47"/>
        <v>-154</v>
      </c>
      <c r="E267" s="32">
        <f t="shared" si="27"/>
        <v>2.3716000000000001E-2</v>
      </c>
      <c r="F267" s="134">
        <f>G144</f>
        <v>0</v>
      </c>
      <c r="G267" s="135">
        <f>G266</f>
        <v>148</v>
      </c>
      <c r="H267" s="134">
        <f>ROUND(E267*G267*F267,2)</f>
        <v>0</v>
      </c>
      <c r="I267" s="136" t="s">
        <v>173</v>
      </c>
      <c r="N267" s="255"/>
      <c r="O267" s="255"/>
      <c r="P267" s="255"/>
    </row>
    <row r="268" spans="1:16" s="43" customFormat="1" ht="18" customHeight="1">
      <c r="A268" s="1"/>
      <c r="B268" s="124" t="str">
        <f>B267</f>
        <v>6单银Low-E+12A+6</v>
      </c>
      <c r="C268" s="133">
        <f t="shared" si="47"/>
        <v>-154</v>
      </c>
      <c r="D268" s="133">
        <f t="shared" si="47"/>
        <v>-154</v>
      </c>
      <c r="E268" s="32">
        <f t="shared" si="27"/>
        <v>2.3716000000000001E-2</v>
      </c>
      <c r="F268" s="134">
        <f>G145</f>
        <v>0</v>
      </c>
      <c r="G268" s="135">
        <f>G267</f>
        <v>148</v>
      </c>
      <c r="H268" s="134">
        <f>ROUND(E268*G268*F268,2)</f>
        <v>0</v>
      </c>
      <c r="I268" s="136" t="s">
        <v>173</v>
      </c>
      <c r="N268" s="255"/>
      <c r="O268" s="255"/>
      <c r="P268" s="255"/>
    </row>
    <row r="269" spans="1:16" s="43" customFormat="1" ht="18" customHeight="1">
      <c r="A269" s="1"/>
      <c r="B269" s="48" t="s">
        <v>174</v>
      </c>
      <c r="C269" s="52"/>
      <c r="D269" s="50"/>
      <c r="E269" s="128"/>
      <c r="F269" s="50">
        <f>SUM(F266:F268)</f>
        <v>0</v>
      </c>
      <c r="G269" s="50"/>
      <c r="H269" s="52">
        <f>SUM(H266:H268)</f>
        <v>0</v>
      </c>
      <c r="I269" s="53">
        <f>ROUND((E266*F266+E267*F267+E268*F268),2)</f>
        <v>0</v>
      </c>
      <c r="N269" s="255"/>
      <c r="O269" s="255"/>
      <c r="P269" s="255"/>
    </row>
    <row r="270" spans="1:16" s="43" customFormat="1" ht="18" customHeight="1">
      <c r="A270" s="1"/>
      <c r="B270" s="124" t="str">
        <f>B268</f>
        <v>6单银Low-E+12A+6</v>
      </c>
      <c r="C270" s="133">
        <f t="shared" ref="C270:D272" si="48">D150</f>
        <v>-160</v>
      </c>
      <c r="D270" s="133">
        <f t="shared" si="48"/>
        <v>-160</v>
      </c>
      <c r="E270" s="32">
        <f t="shared" si="27"/>
        <v>2.5600000000000001E-2</v>
      </c>
      <c r="F270" s="134">
        <f>G150</f>
        <v>0</v>
      </c>
      <c r="G270" s="135">
        <f>G268</f>
        <v>148</v>
      </c>
      <c r="H270" s="134">
        <f>ROUND(E270*G270*F270,2)</f>
        <v>0</v>
      </c>
      <c r="I270" s="136" t="s">
        <v>173</v>
      </c>
      <c r="N270" s="255"/>
      <c r="O270" s="255"/>
      <c r="P270" s="255"/>
    </row>
    <row r="271" spans="1:16" s="43" customFormat="1" ht="18" customHeight="1">
      <c r="A271" s="1"/>
      <c r="B271" s="124" t="str">
        <f>B270</f>
        <v>6单银Low-E+12A+6</v>
      </c>
      <c r="C271" s="133">
        <f t="shared" si="48"/>
        <v>-160</v>
      </c>
      <c r="D271" s="133">
        <f t="shared" si="48"/>
        <v>-160</v>
      </c>
      <c r="E271" s="32">
        <f t="shared" si="27"/>
        <v>2.5600000000000001E-2</v>
      </c>
      <c r="F271" s="134">
        <f>G151</f>
        <v>0</v>
      </c>
      <c r="G271" s="135">
        <f>G270</f>
        <v>148</v>
      </c>
      <c r="H271" s="134">
        <f>ROUND(E271*G271*F271,2)</f>
        <v>0</v>
      </c>
      <c r="I271" s="136" t="s">
        <v>173</v>
      </c>
      <c r="N271" s="255"/>
      <c r="O271" s="255"/>
      <c r="P271" s="255"/>
    </row>
    <row r="272" spans="1:16" s="43" customFormat="1" ht="18" customHeight="1">
      <c r="A272" s="1"/>
      <c r="B272" s="124" t="str">
        <f>B271</f>
        <v>6单银Low-E+12A+6</v>
      </c>
      <c r="C272" s="133">
        <f t="shared" si="48"/>
        <v>-160</v>
      </c>
      <c r="D272" s="133">
        <f t="shared" si="48"/>
        <v>-160</v>
      </c>
      <c r="E272" s="32">
        <f t="shared" si="27"/>
        <v>2.5600000000000001E-2</v>
      </c>
      <c r="F272" s="134">
        <f>G152</f>
        <v>0</v>
      </c>
      <c r="G272" s="135">
        <f>G271</f>
        <v>148</v>
      </c>
      <c r="H272" s="134">
        <f>ROUND(E272*G272*F272,2)</f>
        <v>0</v>
      </c>
      <c r="I272" s="136" t="s">
        <v>173</v>
      </c>
      <c r="N272" s="255"/>
      <c r="O272" s="255"/>
      <c r="P272" s="255"/>
    </row>
    <row r="273" spans="1:16" s="43" customFormat="1" ht="18" customHeight="1">
      <c r="A273" s="1"/>
      <c r="B273" s="48" t="s">
        <v>175</v>
      </c>
      <c r="C273" s="52"/>
      <c r="D273" s="50"/>
      <c r="E273" s="128"/>
      <c r="F273" s="50">
        <f>SUM(F270:F272)</f>
        <v>0</v>
      </c>
      <c r="G273" s="50"/>
      <c r="H273" s="52">
        <f>SUM(H270:H272)</f>
        <v>0</v>
      </c>
      <c r="I273" s="53">
        <f>ROUND((E270*F270+E271*F271+E272*F272),2)</f>
        <v>0</v>
      </c>
      <c r="N273" s="255"/>
      <c r="O273" s="255"/>
      <c r="P273" s="255"/>
    </row>
    <row r="274" spans="1:16" ht="18" customHeight="1">
      <c r="B274" s="124" t="str">
        <f>B272</f>
        <v>6单银Low-E+12A+6</v>
      </c>
      <c r="C274" s="133">
        <f t="shared" ref="C274:D279" si="49">D157-12</f>
        <v>-12</v>
      </c>
      <c r="D274" s="133">
        <f t="shared" si="49"/>
        <v>-12</v>
      </c>
      <c r="E274" s="32">
        <f t="shared" si="27"/>
        <v>1.44E-4</v>
      </c>
      <c r="F274" s="134">
        <f t="shared" ref="F274:F279" si="50">G157</f>
        <v>0</v>
      </c>
      <c r="G274" s="135">
        <f>G272</f>
        <v>148</v>
      </c>
      <c r="H274" s="134">
        <f t="shared" ref="H274:H279" si="51">ROUND(E274*G274*F274,2)</f>
        <v>0</v>
      </c>
      <c r="I274" s="136" t="s">
        <v>176</v>
      </c>
    </row>
    <row r="275" spans="1:16" ht="18" customHeight="1">
      <c r="B275" s="124" t="str">
        <f>B274</f>
        <v>6单银Low-E+12A+6</v>
      </c>
      <c r="C275" s="133">
        <f t="shared" si="49"/>
        <v>-12</v>
      </c>
      <c r="D275" s="133">
        <f t="shared" si="49"/>
        <v>-12</v>
      </c>
      <c r="E275" s="32">
        <f t="shared" si="27"/>
        <v>1.44E-4</v>
      </c>
      <c r="F275" s="134">
        <f t="shared" si="50"/>
        <v>0</v>
      </c>
      <c r="G275" s="135">
        <f>G274</f>
        <v>148</v>
      </c>
      <c r="H275" s="134">
        <f t="shared" si="51"/>
        <v>0</v>
      </c>
      <c r="I275" s="136" t="str">
        <f>I274</f>
        <v>门钢化中空玻璃</v>
      </c>
      <c r="K275" s="43" t="s">
        <v>177</v>
      </c>
    </row>
    <row r="276" spans="1:16" ht="18" customHeight="1">
      <c r="B276" s="124" t="str">
        <f>B275</f>
        <v>6单银Low-E+12A+6</v>
      </c>
      <c r="C276" s="133">
        <f t="shared" si="49"/>
        <v>-12</v>
      </c>
      <c r="D276" s="133">
        <f t="shared" si="49"/>
        <v>-12</v>
      </c>
      <c r="E276" s="32">
        <f t="shared" si="27"/>
        <v>1.44E-4</v>
      </c>
      <c r="F276" s="134">
        <f t="shared" si="50"/>
        <v>0</v>
      </c>
      <c r="G276" s="135">
        <f>G275</f>
        <v>148</v>
      </c>
      <c r="H276" s="134">
        <f t="shared" si="51"/>
        <v>0</v>
      </c>
      <c r="I276" s="136" t="str">
        <f>I275</f>
        <v>门钢化中空玻璃</v>
      </c>
    </row>
    <row r="277" spans="1:16" ht="18" customHeight="1">
      <c r="B277" s="124" t="str">
        <f>B276</f>
        <v>6单银Low-E+12A+6</v>
      </c>
      <c r="C277" s="133">
        <f t="shared" si="49"/>
        <v>-12</v>
      </c>
      <c r="D277" s="133">
        <f t="shared" si="49"/>
        <v>-12</v>
      </c>
      <c r="E277" s="32">
        <f t="shared" si="27"/>
        <v>1.44E-4</v>
      </c>
      <c r="F277" s="134">
        <f t="shared" si="50"/>
        <v>0</v>
      </c>
      <c r="G277" s="135">
        <f>G276</f>
        <v>148</v>
      </c>
      <c r="H277" s="134">
        <f t="shared" si="51"/>
        <v>0</v>
      </c>
      <c r="I277" s="136" t="str">
        <f>I276</f>
        <v>门钢化中空玻璃</v>
      </c>
    </row>
    <row r="278" spans="1:16" ht="18" customHeight="1">
      <c r="B278" s="124" t="str">
        <f>B277</f>
        <v>6单银Low-E+12A+6</v>
      </c>
      <c r="C278" s="133">
        <f t="shared" si="49"/>
        <v>-12</v>
      </c>
      <c r="D278" s="133">
        <f t="shared" si="49"/>
        <v>-12</v>
      </c>
      <c r="E278" s="32">
        <f t="shared" si="27"/>
        <v>1.44E-4</v>
      </c>
      <c r="F278" s="134">
        <f t="shared" si="50"/>
        <v>0</v>
      </c>
      <c r="G278" s="135">
        <f>G277</f>
        <v>148</v>
      </c>
      <c r="H278" s="134">
        <f t="shared" si="51"/>
        <v>0</v>
      </c>
      <c r="I278" s="136" t="str">
        <f>I277</f>
        <v>门钢化中空玻璃</v>
      </c>
    </row>
    <row r="279" spans="1:16" ht="18" customHeight="1">
      <c r="B279" s="124" t="str">
        <f>B278</f>
        <v>6单银Low-E+12A+6</v>
      </c>
      <c r="C279" s="133">
        <f t="shared" si="49"/>
        <v>-12</v>
      </c>
      <c r="D279" s="133">
        <f t="shared" si="49"/>
        <v>-12</v>
      </c>
      <c r="E279" s="32">
        <f t="shared" si="27"/>
        <v>1.44E-4</v>
      </c>
      <c r="F279" s="134">
        <f t="shared" si="50"/>
        <v>0</v>
      </c>
      <c r="G279" s="135">
        <f>G278</f>
        <v>148</v>
      </c>
      <c r="H279" s="134">
        <f t="shared" si="51"/>
        <v>0</v>
      </c>
      <c r="I279" s="136" t="str">
        <f>I278</f>
        <v>门钢化中空玻璃</v>
      </c>
    </row>
    <row r="280" spans="1:16" ht="18" customHeight="1">
      <c r="B280" s="48" t="s">
        <v>178</v>
      </c>
      <c r="C280" s="52"/>
      <c r="D280" s="50"/>
      <c r="E280" s="128"/>
      <c r="F280" s="50">
        <f>SUM(F274:F279)</f>
        <v>0</v>
      </c>
      <c r="G280" s="50"/>
      <c r="H280" s="52">
        <f>SUM(H274:H279)</f>
        <v>0</v>
      </c>
      <c r="I280" s="53">
        <f>ROUND(SUMPRODUCT(E274:E279*F274:F279),2)</f>
        <v>0</v>
      </c>
    </row>
    <row r="281" spans="1:16" ht="18" customHeight="1">
      <c r="B281" s="124" t="str">
        <f>材料价格!A10</f>
        <v>6单银Low-E+12A+6</v>
      </c>
      <c r="C281" s="133">
        <f>C252</f>
        <v>-12</v>
      </c>
      <c r="D281" s="133">
        <f>D252</f>
        <v>-12</v>
      </c>
      <c r="E281" s="32">
        <f t="shared" si="27"/>
        <v>1.44E-4</v>
      </c>
      <c r="F281" s="134"/>
      <c r="G281" s="137">
        <f>材料价格!B10</f>
        <v>148</v>
      </c>
      <c r="H281" s="134">
        <f>ROUND(E281*G281*F281,2)</f>
        <v>0</v>
      </c>
      <c r="I281" s="437" t="s">
        <v>179</v>
      </c>
    </row>
    <row r="282" spans="1:16" ht="18" customHeight="1">
      <c r="B282" s="124" t="str">
        <f>B281</f>
        <v>6单银Low-E+12A+6</v>
      </c>
      <c r="C282" s="133">
        <f>C253</f>
        <v>-12</v>
      </c>
      <c r="D282" s="133">
        <f>D253</f>
        <v>-12</v>
      </c>
      <c r="E282" s="32">
        <f t="shared" si="27"/>
        <v>1.44E-4</v>
      </c>
      <c r="F282" s="134"/>
      <c r="G282" s="135">
        <f>G281</f>
        <v>148</v>
      </c>
      <c r="H282" s="134">
        <f>ROUND(E282*G282*F282,2)</f>
        <v>0</v>
      </c>
      <c r="I282" s="437" t="s">
        <v>179</v>
      </c>
      <c r="J282" s="255"/>
      <c r="K282" s="255"/>
      <c r="L282" s="255"/>
      <c r="M282" s="255"/>
    </row>
    <row r="283" spans="1:16" ht="18" customHeight="1">
      <c r="B283" s="124" t="str">
        <f>B282</f>
        <v>6单银Low-E+12A+6</v>
      </c>
      <c r="C283" s="133">
        <f>D84-12</f>
        <v>-12</v>
      </c>
      <c r="D283" s="133">
        <f>E84-12</f>
        <v>-12</v>
      </c>
      <c r="E283" s="32">
        <f t="shared" si="27"/>
        <v>1.44E-4</v>
      </c>
      <c r="F283" s="134">
        <f>G84</f>
        <v>0</v>
      </c>
      <c r="G283" s="135">
        <f>G282</f>
        <v>148</v>
      </c>
      <c r="H283" s="134">
        <f>ROUND(E283*G283*F283,2)</f>
        <v>0</v>
      </c>
      <c r="I283" s="437" t="s">
        <v>179</v>
      </c>
      <c r="J283" s="255"/>
      <c r="K283" s="255"/>
      <c r="L283" s="255"/>
      <c r="M283" s="255"/>
    </row>
    <row r="284" spans="1:16" ht="18" customHeight="1">
      <c r="B284" s="124" t="str">
        <f>B283</f>
        <v>6单银Low-E+12A+6</v>
      </c>
      <c r="C284" s="133">
        <f>D85-12</f>
        <v>-12</v>
      </c>
      <c r="D284" s="133">
        <f>E85-12</f>
        <v>-12</v>
      </c>
      <c r="E284" s="32">
        <f t="shared" si="27"/>
        <v>1.44E-4</v>
      </c>
      <c r="F284" s="134">
        <f>G85</f>
        <v>0</v>
      </c>
      <c r="G284" s="135">
        <f>G283</f>
        <v>148</v>
      </c>
      <c r="H284" s="134">
        <f>ROUND(E284*G284*F284,2)</f>
        <v>0</v>
      </c>
      <c r="I284" s="437" t="s">
        <v>179</v>
      </c>
      <c r="J284" s="255"/>
      <c r="K284" s="255"/>
      <c r="L284" s="255"/>
      <c r="M284" s="255"/>
    </row>
    <row r="285" spans="1:16" ht="18" customHeight="1">
      <c r="B285" s="48" t="s">
        <v>180</v>
      </c>
      <c r="C285" s="52"/>
      <c r="D285" s="50"/>
      <c r="E285" s="50"/>
      <c r="F285" s="50">
        <f>SUM(F281:F284)</f>
        <v>0</v>
      </c>
      <c r="G285" s="50"/>
      <c r="H285" s="52">
        <f>SUM(H281:H284)</f>
        <v>0</v>
      </c>
      <c r="I285" s="53">
        <f>ROUND((E281*F281+E282*F282+E283*F283+E284*F284),2)</f>
        <v>0</v>
      </c>
      <c r="J285" s="255"/>
      <c r="K285" s="255"/>
      <c r="L285" s="255"/>
      <c r="M285" s="255"/>
    </row>
    <row r="286" spans="1:16" ht="18" customHeight="1">
      <c r="B286" s="124" t="str">
        <f>材料价格!A11</f>
        <v>8单银Low-E+12Ar+8+12A+8mm</v>
      </c>
      <c r="C286" s="133"/>
      <c r="D286" s="133"/>
      <c r="E286" s="32">
        <f>C286*D286/10^6</f>
        <v>0</v>
      </c>
      <c r="F286" s="134"/>
      <c r="G286" s="137">
        <f>材料价格!B11</f>
        <v>312</v>
      </c>
      <c r="H286" s="134">
        <f>ROUND(E286*G286*F286,2)</f>
        <v>0</v>
      </c>
      <c r="I286" s="437" t="s">
        <v>181</v>
      </c>
      <c r="J286" s="255"/>
      <c r="K286" s="255"/>
      <c r="L286" s="255"/>
      <c r="M286" s="255"/>
    </row>
    <row r="287" spans="1:16" ht="18" customHeight="1">
      <c r="B287" s="124" t="str">
        <f>B286</f>
        <v>8单银Low-E+12Ar+8+12A+8mm</v>
      </c>
      <c r="C287" s="133"/>
      <c r="D287" s="133"/>
      <c r="E287" s="32">
        <f>C287*D287/10^6</f>
        <v>0</v>
      </c>
      <c r="F287" s="134"/>
      <c r="G287" s="135">
        <f>G286</f>
        <v>312</v>
      </c>
      <c r="H287" s="134">
        <f>ROUND(E287*G287*F287,2)</f>
        <v>0</v>
      </c>
      <c r="I287" s="437" t="s">
        <v>181</v>
      </c>
      <c r="J287" s="255"/>
      <c r="K287" s="255"/>
      <c r="L287" s="255"/>
      <c r="M287" s="255"/>
    </row>
    <row r="288" spans="1:16" ht="18" customHeight="1">
      <c r="B288" s="138" t="str">
        <f>材料价格!A12</f>
        <v>10单银Low-E+12Ar+10+12A+10mm</v>
      </c>
      <c r="C288" s="139"/>
      <c r="D288" s="139"/>
      <c r="E288" s="140">
        <f>C288*D288/10^6</f>
        <v>0</v>
      </c>
      <c r="F288" s="141"/>
      <c r="G288" s="142">
        <f>材料价格!B12</f>
        <v>395</v>
      </c>
      <c r="H288" s="141">
        <f>ROUND(E288*G288*F288,2)</f>
        <v>0</v>
      </c>
      <c r="I288" s="143" t="s">
        <v>181</v>
      </c>
      <c r="J288" s="255"/>
      <c r="K288" s="255"/>
      <c r="L288" s="255"/>
      <c r="M288" s="255"/>
    </row>
    <row r="289" spans="2:13" ht="18" customHeight="1">
      <c r="B289" s="138" t="str">
        <f>B288</f>
        <v>10单银Low-E+12Ar+10+12A+10mm</v>
      </c>
      <c r="C289" s="139"/>
      <c r="D289" s="139"/>
      <c r="E289" s="140">
        <f>C289*D289/10^6</f>
        <v>0</v>
      </c>
      <c r="F289" s="141"/>
      <c r="G289" s="142">
        <f>G288</f>
        <v>395</v>
      </c>
      <c r="H289" s="141">
        <f>ROUND(E289*G289*F289,2)</f>
        <v>0</v>
      </c>
      <c r="I289" s="143" t="s">
        <v>181</v>
      </c>
      <c r="J289" s="255"/>
      <c r="K289" s="255"/>
      <c r="L289" s="255"/>
      <c r="M289" s="255"/>
    </row>
    <row r="290" spans="2:13" ht="18" customHeight="1">
      <c r="B290" s="48" t="s">
        <v>180</v>
      </c>
      <c r="C290" s="52"/>
      <c r="D290" s="50"/>
      <c r="E290" s="50"/>
      <c r="F290" s="50">
        <f>SUM(F286:F289)</f>
        <v>0</v>
      </c>
      <c r="G290" s="50"/>
      <c r="H290" s="52">
        <f>SUM(H286:H289)</f>
        <v>0</v>
      </c>
      <c r="I290" s="53">
        <f>ROUND((E286*F286+E287*F287+E288*F288+E289*F289),2)</f>
        <v>0</v>
      </c>
      <c r="J290" s="255"/>
      <c r="K290" s="255"/>
      <c r="L290" s="255"/>
      <c r="M290" s="255"/>
    </row>
    <row r="291" spans="2:13" ht="18" customHeight="1">
      <c r="B291" s="642" t="s">
        <v>182</v>
      </c>
      <c r="C291" s="144" t="s">
        <v>183</v>
      </c>
      <c r="D291" s="144" cm="1">
        <f t="array" ref="D291">SUMPRODUCT(E225:E232*F225:F232)+SUMPRODUCT(E243:E249*F243:F249)</f>
        <v>1.073296</v>
      </c>
      <c r="E291" s="144" t="s">
        <v>184</v>
      </c>
      <c r="F291" s="145">
        <f>F233+F250</f>
        <v>1</v>
      </c>
      <c r="G291" s="145" t="s">
        <v>185</v>
      </c>
      <c r="H291" s="144">
        <f>H233+H250</f>
        <v>158.85</v>
      </c>
      <c r="I291" s="146">
        <f>H291/F366</f>
        <v>124.40285065392749</v>
      </c>
      <c r="J291" s="255"/>
      <c r="K291" s="255"/>
      <c r="L291" s="255"/>
      <c r="M291" s="255"/>
    </row>
    <row r="292" spans="2:13" ht="18" customHeight="1">
      <c r="B292" s="642"/>
      <c r="C292" s="144" t="s">
        <v>186</v>
      </c>
      <c r="D292" s="144">
        <f>SUMPRODUCT(E234:E241*F234:F241)+SUMPRODUCT(E251:E257*F251:F257)+SUMPRODUCT(E259:E264*F259:F264)+SUMPRODUCT(E266:E268*F266:F268)+SUMPRODUCT(E270:E272*F270:F272)+SUMPRODUCT(E281:E284*F281:F284)+SUMPRODUCT(E286:E289*F286:F289)+SUMPRODUCT(E274:E279*F274:F279)</f>
        <v>0</v>
      </c>
      <c r="E292" s="144" t="s">
        <v>186</v>
      </c>
      <c r="F292" s="145">
        <f>F242+F258+F265+F269+F273+F285+F290+F280</f>
        <v>0</v>
      </c>
      <c r="G292" s="145" t="s">
        <v>185</v>
      </c>
      <c r="H292" s="144">
        <f>H242+H258+H265+H269+H273+H280+H285+H290</f>
        <v>0</v>
      </c>
      <c r="I292" s="146">
        <f>H292/F366</f>
        <v>0</v>
      </c>
      <c r="J292" s="255"/>
      <c r="K292" s="255"/>
      <c r="L292" s="255"/>
      <c r="M292" s="255"/>
    </row>
    <row r="293" spans="2:13" ht="18" customHeight="1">
      <c r="B293" s="23" t="s">
        <v>187</v>
      </c>
      <c r="C293" s="442" t="s">
        <v>188</v>
      </c>
      <c r="D293" s="68" t="s">
        <v>189</v>
      </c>
      <c r="E293" s="442" t="s">
        <v>8</v>
      </c>
      <c r="F293" s="442" t="s">
        <v>190</v>
      </c>
      <c r="G293" s="442" t="s">
        <v>191</v>
      </c>
      <c r="H293" s="442" t="s">
        <v>160</v>
      </c>
      <c r="I293" s="25" t="s">
        <v>1</v>
      </c>
      <c r="J293" s="255"/>
      <c r="K293" s="255"/>
      <c r="L293" s="255"/>
      <c r="M293" s="255"/>
    </row>
    <row r="294" spans="2:13" ht="18" customHeight="1">
      <c r="B294" s="629" t="s">
        <v>192</v>
      </c>
      <c r="C294" s="443">
        <f>D26</f>
        <v>0</v>
      </c>
      <c r="D294" s="440"/>
      <c r="E294" s="440"/>
      <c r="F294" s="440" t="s">
        <v>193</v>
      </c>
      <c r="G294" s="108">
        <f>材料价格!B14</f>
        <v>153</v>
      </c>
      <c r="H294" s="147">
        <f>E294*G294</f>
        <v>0</v>
      </c>
      <c r="I294" s="632" t="s">
        <v>194</v>
      </c>
      <c r="J294" s="255"/>
      <c r="K294" s="255"/>
      <c r="L294" s="255"/>
      <c r="M294" s="255"/>
    </row>
    <row r="295" spans="2:13" ht="18" customHeight="1">
      <c r="B295" s="629"/>
      <c r="C295" s="443"/>
      <c r="D295" s="440"/>
      <c r="E295" s="440"/>
      <c r="F295" s="440"/>
      <c r="G295" s="108"/>
      <c r="H295" s="147">
        <f t="shared" ref="H295:H303" si="52">E295*G295</f>
        <v>0</v>
      </c>
      <c r="I295" s="633"/>
      <c r="J295" s="255"/>
      <c r="K295" s="255"/>
      <c r="L295" s="255"/>
      <c r="M295" s="255"/>
    </row>
    <row r="296" spans="2:13" ht="18" customHeight="1">
      <c r="B296" s="629" t="s">
        <v>195</v>
      </c>
      <c r="C296" s="443"/>
      <c r="D296" s="148"/>
      <c r="E296" s="440"/>
      <c r="F296" s="440" t="str">
        <f>F294</f>
        <v>坚朗</v>
      </c>
      <c r="G296" s="108">
        <f>材料价格!B15</f>
        <v>80</v>
      </c>
      <c r="H296" s="147">
        <f t="shared" si="52"/>
        <v>0</v>
      </c>
      <c r="I296" s="632" t="s">
        <v>196</v>
      </c>
      <c r="J296" s="255"/>
      <c r="K296" s="255"/>
      <c r="L296" s="255"/>
      <c r="M296" s="255"/>
    </row>
    <row r="297" spans="2:13" ht="18" customHeight="1">
      <c r="B297" s="629"/>
      <c r="C297" s="443"/>
      <c r="D297" s="148"/>
      <c r="E297" s="440"/>
      <c r="F297" s="440"/>
      <c r="G297" s="108"/>
      <c r="H297" s="147">
        <f t="shared" si="52"/>
        <v>0</v>
      </c>
      <c r="I297" s="633"/>
      <c r="J297" s="255"/>
      <c r="K297" s="255"/>
      <c r="L297" s="255"/>
      <c r="M297" s="255"/>
    </row>
    <row r="298" spans="2:13" ht="18" customHeight="1">
      <c r="B298" s="629" t="s">
        <v>197</v>
      </c>
      <c r="C298" s="443"/>
      <c r="D298" s="148"/>
      <c r="E298" s="440"/>
      <c r="F298" s="440" t="str">
        <f>F296</f>
        <v>坚朗</v>
      </c>
      <c r="G298" s="108">
        <f>材料价格!B16</f>
        <v>88</v>
      </c>
      <c r="H298" s="147">
        <f t="shared" si="52"/>
        <v>0</v>
      </c>
      <c r="I298" s="633"/>
      <c r="J298" s="255"/>
      <c r="K298" s="255"/>
      <c r="L298" s="255"/>
      <c r="M298" s="255"/>
    </row>
    <row r="299" spans="2:13" ht="18" customHeight="1">
      <c r="B299" s="629"/>
      <c r="C299" s="443"/>
      <c r="D299" s="148"/>
      <c r="E299" s="440"/>
      <c r="F299" s="440"/>
      <c r="G299" s="108"/>
      <c r="H299" s="147">
        <f t="shared" si="52"/>
        <v>0</v>
      </c>
      <c r="I299" s="633"/>
      <c r="J299" s="255"/>
      <c r="K299" s="255"/>
      <c r="L299" s="255"/>
      <c r="M299" s="255"/>
    </row>
    <row r="300" spans="2:13" ht="18" customHeight="1">
      <c r="B300" s="629" t="s">
        <v>198</v>
      </c>
      <c r="C300" s="443">
        <f>D35</f>
        <v>0</v>
      </c>
      <c r="D300" s="148"/>
      <c r="E300" s="440"/>
      <c r="F300" s="440" t="str">
        <f>F298</f>
        <v>坚朗</v>
      </c>
      <c r="G300" s="108">
        <f>材料价格!B17</f>
        <v>115</v>
      </c>
      <c r="H300" s="147">
        <f t="shared" si="52"/>
        <v>0</v>
      </c>
      <c r="I300" s="149"/>
      <c r="J300" s="255"/>
      <c r="K300" s="255"/>
      <c r="L300" s="255"/>
      <c r="M300" s="255"/>
    </row>
    <row r="301" spans="2:13" ht="18" customHeight="1">
      <c r="B301" s="629"/>
      <c r="C301" s="443"/>
      <c r="D301" s="148"/>
      <c r="E301" s="440"/>
      <c r="F301" s="440"/>
      <c r="G301" s="108"/>
      <c r="H301" s="147">
        <f t="shared" si="52"/>
        <v>0</v>
      </c>
      <c r="I301" s="149"/>
      <c r="J301" s="255"/>
      <c r="K301" s="255"/>
      <c r="L301" s="255"/>
      <c r="M301" s="255"/>
    </row>
    <row r="302" spans="2:13" ht="18" customHeight="1">
      <c r="B302" s="629" t="s">
        <v>199</v>
      </c>
      <c r="C302" s="440" t="s">
        <v>200</v>
      </c>
      <c r="D302" s="148"/>
      <c r="E302" s="440"/>
      <c r="F302" s="440" t="str">
        <f>F300</f>
        <v>坚朗</v>
      </c>
      <c r="G302" s="108">
        <f>材料价格!B19</f>
        <v>230</v>
      </c>
      <c r="H302" s="147">
        <f t="shared" si="52"/>
        <v>0</v>
      </c>
      <c r="I302" s="437"/>
      <c r="J302" s="255"/>
      <c r="K302" s="255"/>
      <c r="L302" s="255"/>
      <c r="M302" s="255"/>
    </row>
    <row r="303" spans="2:13" ht="18" customHeight="1">
      <c r="B303" s="629"/>
      <c r="C303" s="440" t="s">
        <v>201</v>
      </c>
      <c r="D303" s="148"/>
      <c r="E303" s="440"/>
      <c r="F303" s="440" t="str">
        <f>F302</f>
        <v>坚朗</v>
      </c>
      <c r="G303" s="108">
        <f>材料价格!B20</f>
        <v>335</v>
      </c>
      <c r="H303" s="147">
        <f t="shared" si="52"/>
        <v>0</v>
      </c>
      <c r="I303" s="437"/>
      <c r="J303" s="255"/>
      <c r="K303" s="255"/>
      <c r="L303" s="255"/>
      <c r="M303" s="255"/>
    </row>
    <row r="304" spans="2:13" ht="18" customHeight="1">
      <c r="B304" s="150" t="s">
        <v>202</v>
      </c>
      <c r="C304" s="50"/>
      <c r="D304" s="50"/>
      <c r="E304" s="50">
        <f>SUM(E294:E303)</f>
        <v>0</v>
      </c>
      <c r="F304" s="50"/>
      <c r="G304" s="166"/>
      <c r="H304" s="151">
        <f>SUM(H294:H303)</f>
        <v>0</v>
      </c>
      <c r="I304" s="152"/>
      <c r="J304" s="42"/>
    </row>
    <row r="305" spans="1:16" ht="18" customHeight="1">
      <c r="B305" s="436" t="s">
        <v>300</v>
      </c>
      <c r="C305" s="440"/>
      <c r="D305" s="148"/>
      <c r="E305" s="443">
        <f>E294+E296</f>
        <v>0</v>
      </c>
      <c r="F305" s="148"/>
      <c r="G305" s="148">
        <f>材料价格!B27</f>
        <v>0</v>
      </c>
      <c r="H305" s="154">
        <f>E305*G305</f>
        <v>0</v>
      </c>
      <c r="I305" s="437" t="s">
        <v>203</v>
      </c>
    </row>
    <row r="306" spans="1:16" s="16" customFormat="1" ht="18" customHeight="1">
      <c r="A306" s="1"/>
      <c r="B306" s="436" t="s">
        <v>204</v>
      </c>
      <c r="C306" s="440"/>
      <c r="D306" s="148"/>
      <c r="E306" s="443">
        <f>E298+E299+E300+E301</f>
        <v>0</v>
      </c>
      <c r="F306" s="148"/>
      <c r="G306" s="148">
        <f>材料价格!B28</f>
        <v>118</v>
      </c>
      <c r="H306" s="154">
        <f>E306*G306</f>
        <v>0</v>
      </c>
      <c r="I306" s="437" t="s">
        <v>205</v>
      </c>
      <c r="J306" s="43"/>
      <c r="K306" s="43"/>
      <c r="L306" s="43"/>
      <c r="M306" s="43"/>
      <c r="N306" s="255"/>
      <c r="O306" s="255"/>
      <c r="P306" s="255"/>
    </row>
    <row r="307" spans="1:16" s="16" customFormat="1" ht="18" customHeight="1">
      <c r="A307" s="1"/>
      <c r="B307" s="436" t="s">
        <v>206</v>
      </c>
      <c r="C307" s="440"/>
      <c r="D307" s="148"/>
      <c r="E307" s="443"/>
      <c r="F307" s="148"/>
      <c r="G307" s="148"/>
      <c r="H307" s="154">
        <f>E307*G307</f>
        <v>0</v>
      </c>
      <c r="I307" s="437" t="s">
        <v>207</v>
      </c>
      <c r="J307" s="43"/>
      <c r="K307" s="43"/>
      <c r="L307" s="43"/>
      <c r="M307" s="43"/>
      <c r="N307" s="255"/>
      <c r="O307" s="255"/>
      <c r="P307" s="255"/>
    </row>
    <row r="308" spans="1:16" s="16" customFormat="1" ht="18" customHeight="1">
      <c r="A308" s="1"/>
      <c r="B308" s="150" t="s">
        <v>208</v>
      </c>
      <c r="C308" s="50"/>
      <c r="D308" s="50"/>
      <c r="E308" s="100">
        <f>SUM(E305:E307)</f>
        <v>0</v>
      </c>
      <c r="F308" s="50"/>
      <c r="G308" s="166"/>
      <c r="H308" s="155">
        <f>SUM(H305:H307)</f>
        <v>0</v>
      </c>
      <c r="I308" s="152"/>
      <c r="J308" s="43"/>
      <c r="K308" s="43"/>
      <c r="L308" s="43"/>
      <c r="M308" s="43"/>
      <c r="N308" s="255"/>
      <c r="O308" s="255"/>
      <c r="P308" s="255"/>
    </row>
    <row r="309" spans="1:16" s="16" customFormat="1" ht="18" customHeight="1">
      <c r="A309" s="1"/>
      <c r="B309" s="156" t="s">
        <v>209</v>
      </c>
      <c r="C309" s="157">
        <f>ROUND(IF(D4&lt;=200,4,0)+IF(D4&gt;200,(D4/200+1))+IF(E4&lt;=200,4,0)+IF(E4&gt;200,(E4/200+1)),0)</f>
        <v>14</v>
      </c>
      <c r="D309" s="148"/>
      <c r="E309" s="148"/>
      <c r="F309" s="148"/>
      <c r="G309" s="158">
        <v>0.5</v>
      </c>
      <c r="H309" s="159">
        <f>ROUND(C309*G309,2)</f>
        <v>7</v>
      </c>
      <c r="I309" s="437" t="s">
        <v>210</v>
      </c>
      <c r="J309" s="43"/>
      <c r="K309" s="43"/>
      <c r="L309" s="43"/>
      <c r="M309" s="43"/>
      <c r="N309" s="255"/>
      <c r="O309" s="255"/>
      <c r="P309" s="255"/>
    </row>
    <row r="310" spans="1:16" s="16" customFormat="1" ht="18" customHeight="1">
      <c r="A310" s="1"/>
      <c r="B310" s="156" t="s">
        <v>211</v>
      </c>
      <c r="C310" s="157">
        <f>C309*2</f>
        <v>28</v>
      </c>
      <c r="D310" s="148">
        <f>D309*2</f>
        <v>0</v>
      </c>
      <c r="E310" s="148"/>
      <c r="F310" s="148"/>
      <c r="G310" s="158">
        <v>0.3</v>
      </c>
      <c r="H310" s="159">
        <f>ROUND(C310*G310,2)</f>
        <v>8.4</v>
      </c>
      <c r="I310" s="437" t="s">
        <v>212</v>
      </c>
      <c r="J310" s="43"/>
      <c r="K310" s="43"/>
      <c r="L310" s="255"/>
      <c r="M310" s="255"/>
      <c r="N310" s="255"/>
      <c r="O310" s="255"/>
      <c r="P310" s="255"/>
    </row>
    <row r="311" spans="1:16" s="16" customFormat="1" ht="18" customHeight="1">
      <c r="A311" s="1"/>
      <c r="B311" s="160" t="s">
        <v>213</v>
      </c>
      <c r="C311" s="161">
        <f>F6</f>
        <v>1.2544</v>
      </c>
      <c r="D311" s="162"/>
      <c r="E311" s="162"/>
      <c r="F311" s="162"/>
      <c r="G311" s="163">
        <v>5</v>
      </c>
      <c r="H311" s="159">
        <f>ROUND(C311*G311,2)</f>
        <v>6.27</v>
      </c>
      <c r="I311" s="437"/>
      <c r="J311" s="43"/>
      <c r="K311" s="43"/>
      <c r="L311" s="255"/>
      <c r="M311" s="255"/>
      <c r="N311" s="255"/>
      <c r="O311" s="255"/>
      <c r="P311" s="255"/>
    </row>
    <row r="312" spans="1:16" s="16" customFormat="1" ht="18" customHeight="1">
      <c r="A312" s="1"/>
      <c r="B312" s="160" t="s">
        <v>214</v>
      </c>
      <c r="C312" s="161"/>
      <c r="D312" s="162"/>
      <c r="E312" s="162"/>
      <c r="F312" s="162"/>
      <c r="G312" s="163"/>
      <c r="H312" s="159">
        <f>ROUND(C312*G312,2)</f>
        <v>0</v>
      </c>
      <c r="I312" s="437"/>
      <c r="J312" s="43"/>
      <c r="K312" s="43"/>
      <c r="L312" s="255"/>
      <c r="M312" s="255"/>
      <c r="N312" s="255"/>
      <c r="O312" s="255"/>
      <c r="P312" s="255"/>
    </row>
    <row r="313" spans="1:16" s="16" customFormat="1" ht="18" customHeight="1">
      <c r="A313" s="1"/>
      <c r="B313" s="164" t="s">
        <v>397</v>
      </c>
      <c r="C313" s="161">
        <f>D291+D292</f>
        <v>1.073296</v>
      </c>
      <c r="D313" s="162"/>
      <c r="E313" s="162"/>
      <c r="F313" s="162"/>
      <c r="G313" s="163">
        <f>10+5</f>
        <v>15</v>
      </c>
      <c r="H313" s="159">
        <f>ROUND(C313*G313,2)</f>
        <v>16.100000000000001</v>
      </c>
      <c r="I313" s="437"/>
      <c r="J313" s="43"/>
      <c r="K313" s="43"/>
      <c r="L313" s="255"/>
      <c r="M313" s="255"/>
      <c r="N313" s="255"/>
      <c r="O313" s="255"/>
      <c r="P313" s="255"/>
    </row>
    <row r="314" spans="1:16" s="16" customFormat="1" ht="18" customHeight="1">
      <c r="A314" s="1"/>
      <c r="B314" s="150" t="s">
        <v>215</v>
      </c>
      <c r="C314" s="165"/>
      <c r="D314" s="50"/>
      <c r="E314" s="50"/>
      <c r="F314" s="50"/>
      <c r="G314" s="166"/>
      <c r="H314" s="155">
        <f>SUM(H309:H313)</f>
        <v>37.770000000000003</v>
      </c>
      <c r="I314" s="152"/>
      <c r="J314" s="43"/>
      <c r="K314" s="43"/>
      <c r="L314" s="255"/>
      <c r="M314" s="255"/>
      <c r="N314" s="255"/>
      <c r="O314" s="255"/>
      <c r="P314" s="255"/>
    </row>
    <row r="315" spans="1:16" s="16" customFormat="1" ht="18" customHeight="1">
      <c r="A315" s="1"/>
      <c r="B315" s="156" t="s">
        <v>216</v>
      </c>
      <c r="C315" s="167">
        <f>E203+E205+E207+I203+I205+E209+I207</f>
        <v>4</v>
      </c>
      <c r="D315" s="148"/>
      <c r="E315" s="148"/>
      <c r="F315" s="148"/>
      <c r="G315" s="168">
        <v>1.9</v>
      </c>
      <c r="H315" s="154">
        <f t="shared" ref="H315:H318" si="53">ROUND(C315*G315,2)</f>
        <v>7.6</v>
      </c>
      <c r="I315" s="224" t="s">
        <v>340</v>
      </c>
      <c r="J315" s="255"/>
      <c r="K315" s="43"/>
      <c r="L315" s="255"/>
      <c r="M315" s="255"/>
      <c r="N315" s="255"/>
      <c r="O315" s="255"/>
      <c r="P315" s="255"/>
    </row>
    <row r="316" spans="1:16" s="16" customFormat="1" ht="18" customHeight="1">
      <c r="A316" s="1"/>
      <c r="B316" s="156" t="s">
        <v>217</v>
      </c>
      <c r="C316" s="167">
        <f>ROUND((D4+E4)*2/1000,2)</f>
        <v>4.8</v>
      </c>
      <c r="D316" s="148"/>
      <c r="E316" s="238">
        <v>4</v>
      </c>
      <c r="F316" s="235">
        <f>材料价格!B25</f>
        <v>8.52</v>
      </c>
      <c r="G316" s="168">
        <f t="shared" ref="G316:G321" si="54">F316/E316</f>
        <v>2.13</v>
      </c>
      <c r="H316" s="154">
        <f t="shared" si="53"/>
        <v>10.220000000000001</v>
      </c>
      <c r="I316" s="169" t="s">
        <v>218</v>
      </c>
      <c r="J316" s="255"/>
      <c r="K316" s="43"/>
      <c r="L316" s="255"/>
      <c r="M316" s="255"/>
      <c r="N316" s="255"/>
      <c r="O316" s="255"/>
      <c r="P316" s="255"/>
    </row>
    <row r="317" spans="1:16" s="16" customFormat="1" ht="18" customHeight="1">
      <c r="A317" s="1"/>
      <c r="B317" s="156" t="s">
        <v>219</v>
      </c>
      <c r="C317" s="167">
        <f>C316</f>
        <v>4.8</v>
      </c>
      <c r="D317" s="148"/>
      <c r="E317" s="238">
        <v>3</v>
      </c>
      <c r="F317" s="235">
        <f>F316</f>
        <v>8.52</v>
      </c>
      <c r="G317" s="168">
        <f t="shared" si="54"/>
        <v>2.84</v>
      </c>
      <c r="H317" s="154">
        <f t="shared" si="53"/>
        <v>13.63</v>
      </c>
      <c r="I317" s="169" t="s">
        <v>220</v>
      </c>
      <c r="J317" s="255"/>
      <c r="K317" s="43"/>
      <c r="L317" s="255"/>
      <c r="M317" s="255"/>
      <c r="N317" s="255"/>
      <c r="O317" s="255"/>
      <c r="P317" s="255"/>
    </row>
    <row r="318" spans="1:16" s="16" customFormat="1" ht="18" customHeight="1">
      <c r="A318" s="1"/>
      <c r="B318" s="156" t="s">
        <v>221</v>
      </c>
      <c r="C318" s="167">
        <f>C316</f>
        <v>4.8</v>
      </c>
      <c r="D318" s="148"/>
      <c r="E318" s="238">
        <v>6.5</v>
      </c>
      <c r="F318" s="235">
        <f>材料价格!B26</f>
        <v>23</v>
      </c>
      <c r="G318" s="168">
        <f t="shared" si="54"/>
        <v>3.5384615384615383</v>
      </c>
      <c r="H318" s="154">
        <f t="shared" si="53"/>
        <v>16.98</v>
      </c>
      <c r="I318" s="224" t="s">
        <v>222</v>
      </c>
      <c r="J318" s="255"/>
      <c r="K318" s="43"/>
      <c r="L318" s="255"/>
      <c r="M318" s="255"/>
      <c r="N318" s="255"/>
      <c r="O318" s="255"/>
      <c r="P318" s="255"/>
    </row>
    <row r="319" spans="1:16" s="16" customFormat="1" ht="18" customHeight="1">
      <c r="A319" s="1"/>
      <c r="B319" s="156" t="s">
        <v>341</v>
      </c>
      <c r="C319" s="167">
        <f>ROUND((C97+C104+C88+C146+C153+C163)*1,2)</f>
        <v>4.1900000000000004</v>
      </c>
      <c r="D319" s="77">
        <v>1</v>
      </c>
      <c r="E319" s="238">
        <f>10</f>
        <v>10</v>
      </c>
      <c r="F319" s="235">
        <f>F317</f>
        <v>8.52</v>
      </c>
      <c r="G319" s="168">
        <f>F319/E319</f>
        <v>0.85199999999999998</v>
      </c>
      <c r="H319" s="154">
        <f>ROUND(C319*G319,2)</f>
        <v>3.57</v>
      </c>
      <c r="I319" s="437" t="s">
        <v>223</v>
      </c>
      <c r="J319" s="255"/>
      <c r="K319" s="43"/>
      <c r="L319" s="255"/>
      <c r="M319" s="255"/>
      <c r="N319" s="255"/>
      <c r="O319" s="255"/>
      <c r="P319" s="255"/>
    </row>
    <row r="320" spans="1:16" s="16" customFormat="1" ht="18" customHeight="1">
      <c r="A320" s="1"/>
      <c r="B320" s="156" t="s">
        <v>342</v>
      </c>
      <c r="C320" s="167">
        <f>C319</f>
        <v>4.1900000000000004</v>
      </c>
      <c r="D320" s="77">
        <v>1</v>
      </c>
      <c r="E320" s="238">
        <v>6</v>
      </c>
      <c r="F320" s="235">
        <f>F319</f>
        <v>8.52</v>
      </c>
      <c r="G320" s="168">
        <f t="shared" si="54"/>
        <v>1.42</v>
      </c>
      <c r="H320" s="154">
        <f>ROUND(C320*G320,2)</f>
        <v>5.95</v>
      </c>
      <c r="I320" s="437" t="s">
        <v>224</v>
      </c>
      <c r="J320" s="255"/>
      <c r="K320" s="170"/>
      <c r="L320" s="170"/>
      <c r="M320" s="170"/>
      <c r="N320" s="170"/>
      <c r="O320" s="170"/>
      <c r="P320" s="170"/>
    </row>
    <row r="321" spans="1:16" s="16" customFormat="1" ht="18" customHeight="1">
      <c r="A321" s="1"/>
      <c r="B321" s="156" t="s">
        <v>225</v>
      </c>
      <c r="C321" s="167">
        <f>C334*D334+C324*D324+C327*D327</f>
        <v>1.3480000000000001</v>
      </c>
      <c r="D321" s="77">
        <v>1</v>
      </c>
      <c r="E321" s="238">
        <f>10</f>
        <v>10</v>
      </c>
      <c r="F321" s="235">
        <f>F317</f>
        <v>8.52</v>
      </c>
      <c r="G321" s="168">
        <f t="shared" si="54"/>
        <v>0.85199999999999998</v>
      </c>
      <c r="H321" s="154">
        <f>ROUND(C321*G321,2)</f>
        <v>1.1499999999999999</v>
      </c>
      <c r="I321" s="437" t="s">
        <v>226</v>
      </c>
      <c r="J321" s="255"/>
      <c r="K321" s="170"/>
      <c r="L321" s="170"/>
      <c r="M321" s="170"/>
      <c r="N321" s="170"/>
      <c r="O321" s="170"/>
      <c r="P321" s="170"/>
    </row>
    <row r="322" spans="1:16" s="16" customFormat="1" ht="18" customHeight="1">
      <c r="A322" s="1"/>
      <c r="B322" s="150" t="s">
        <v>227</v>
      </c>
      <c r="C322" s="165"/>
      <c r="D322" s="50"/>
      <c r="E322" s="50"/>
      <c r="F322" s="50"/>
      <c r="G322" s="166" t="s">
        <v>396</v>
      </c>
      <c r="H322" s="155">
        <f>SUM(H315:H321)</f>
        <v>59.100000000000009</v>
      </c>
      <c r="I322" s="152"/>
      <c r="J322" s="244" t="s">
        <v>399</v>
      </c>
      <c r="K322" s="245" t="s">
        <v>379</v>
      </c>
      <c r="L322" s="170"/>
      <c r="M322" s="170"/>
      <c r="N322" s="170"/>
      <c r="O322" s="170"/>
      <c r="P322" s="170"/>
    </row>
    <row r="323" spans="1:16" s="16" customFormat="1" ht="18" customHeight="1">
      <c r="A323" s="1"/>
      <c r="B323" s="156" t="s">
        <v>356</v>
      </c>
      <c r="C323" s="167">
        <f>C31</f>
        <v>0</v>
      </c>
      <c r="D323" s="239">
        <v>1</v>
      </c>
      <c r="E323" s="148"/>
      <c r="F323" s="148"/>
      <c r="G323" s="236">
        <f>0.45+0.85</f>
        <v>1.3</v>
      </c>
      <c r="H323" s="154">
        <f>ROUND(C323*D323*G323,2)</f>
        <v>0</v>
      </c>
      <c r="I323" s="437" t="s">
        <v>345</v>
      </c>
      <c r="J323" s="244">
        <v>1.76</v>
      </c>
      <c r="K323" s="245" t="s">
        <v>400</v>
      </c>
      <c r="L323" s="170"/>
      <c r="M323" s="171"/>
      <c r="N323" s="170"/>
      <c r="O323" s="170"/>
      <c r="P323" s="170"/>
    </row>
    <row r="324" spans="1:16" s="16" customFormat="1" ht="18" customHeight="1">
      <c r="A324" s="1"/>
      <c r="B324" s="156" t="s">
        <v>347</v>
      </c>
      <c r="C324" s="167">
        <f>C323</f>
        <v>0</v>
      </c>
      <c r="D324" s="239">
        <v>1</v>
      </c>
      <c r="E324" s="148"/>
      <c r="F324" s="148"/>
      <c r="G324" s="236">
        <v>6.89</v>
      </c>
      <c r="H324" s="154">
        <f t="shared" ref="H324:H329" si="55">ROUND(C324*D324*G324,2)</f>
        <v>0</v>
      </c>
      <c r="I324" s="437" t="s">
        <v>346</v>
      </c>
      <c r="J324" s="244">
        <v>12.25</v>
      </c>
      <c r="K324" s="245" t="s">
        <v>376</v>
      </c>
      <c r="L324" s="170"/>
      <c r="M324" s="171"/>
      <c r="N324" s="170"/>
      <c r="O324" s="170"/>
      <c r="P324" s="170"/>
    </row>
    <row r="325" spans="1:16" s="16" customFormat="1" ht="18" customHeight="1">
      <c r="A325" s="1"/>
      <c r="B325" s="156" t="s">
        <v>357</v>
      </c>
      <c r="C325" s="167">
        <f>C38</f>
        <v>0</v>
      </c>
      <c r="D325" s="239">
        <v>1</v>
      </c>
      <c r="E325" s="148"/>
      <c r="F325" s="148"/>
      <c r="G325" s="236">
        <f>0.85+0.61</f>
        <v>1.46</v>
      </c>
      <c r="H325" s="154">
        <f t="shared" si="55"/>
        <v>0</v>
      </c>
      <c r="I325" s="437" t="s">
        <v>354</v>
      </c>
      <c r="J325" s="244">
        <v>1.76</v>
      </c>
      <c r="K325" s="245" t="s">
        <v>378</v>
      </c>
      <c r="L325" s="170"/>
      <c r="M325" s="171"/>
      <c r="N325" s="170"/>
      <c r="O325" s="170"/>
      <c r="P325" s="170"/>
    </row>
    <row r="326" spans="1:16" s="16" customFormat="1" ht="18" customHeight="1">
      <c r="A326" s="1"/>
      <c r="B326" s="156" t="s">
        <v>355</v>
      </c>
      <c r="C326" s="167">
        <f>C325</f>
        <v>0</v>
      </c>
      <c r="D326" s="239">
        <v>1</v>
      </c>
      <c r="E326" s="148"/>
      <c r="F326" s="148"/>
      <c r="G326" s="236">
        <v>3.27</v>
      </c>
      <c r="H326" s="154">
        <f>ROUND(C326*D326*G326,2)</f>
        <v>0</v>
      </c>
      <c r="I326" s="437" t="s">
        <v>358</v>
      </c>
      <c r="J326" s="244">
        <v>3.27</v>
      </c>
      <c r="K326" s="245" t="s">
        <v>358</v>
      </c>
      <c r="L326" s="170"/>
      <c r="M326" s="171"/>
      <c r="N326" s="170"/>
      <c r="O326" s="170"/>
      <c r="P326" s="170"/>
    </row>
    <row r="327" spans="1:16" s="16" customFormat="1" ht="18" customHeight="1">
      <c r="A327" s="1"/>
      <c r="B327" s="156" t="s">
        <v>228</v>
      </c>
      <c r="C327" s="167">
        <f>C126</f>
        <v>0</v>
      </c>
      <c r="D327" s="239">
        <v>1</v>
      </c>
      <c r="E327" s="110"/>
      <c r="F327" s="148"/>
      <c r="G327" s="236">
        <v>6.89</v>
      </c>
      <c r="H327" s="154">
        <f t="shared" si="55"/>
        <v>0</v>
      </c>
      <c r="I327" s="437" t="s">
        <v>346</v>
      </c>
      <c r="J327" s="244">
        <v>12.25</v>
      </c>
      <c r="K327" s="245" t="s">
        <v>346</v>
      </c>
      <c r="L327" s="170"/>
      <c r="M327" s="171"/>
      <c r="N327" s="170"/>
      <c r="O327" s="170"/>
      <c r="P327" s="170"/>
    </row>
    <row r="328" spans="1:16" s="16" customFormat="1" ht="18" customHeight="1">
      <c r="A328" s="1"/>
      <c r="B328" s="156" t="s">
        <v>229</v>
      </c>
      <c r="C328" s="167">
        <f>C327</f>
        <v>0</v>
      </c>
      <c r="D328" s="239">
        <v>1</v>
      </c>
      <c r="E328" s="110"/>
      <c r="F328" s="148"/>
      <c r="G328" s="236">
        <f>G3233</f>
        <v>0</v>
      </c>
      <c r="H328" s="154">
        <f t="shared" si="55"/>
        <v>0</v>
      </c>
      <c r="I328" s="437" t="s">
        <v>345</v>
      </c>
      <c r="J328" s="244">
        <v>0</v>
      </c>
      <c r="K328" s="245" t="s">
        <v>400</v>
      </c>
      <c r="L328" s="170"/>
      <c r="M328" s="171"/>
      <c r="N328" s="170"/>
      <c r="O328" s="170"/>
      <c r="P328" s="170"/>
    </row>
    <row r="329" spans="1:16" s="16" customFormat="1" ht="18" customHeight="1">
      <c r="A329" s="1"/>
      <c r="B329" s="156" t="s">
        <v>230</v>
      </c>
      <c r="C329" s="167">
        <f>C119</f>
        <v>0</v>
      </c>
      <c r="D329" s="239">
        <v>1</v>
      </c>
      <c r="E329" s="148"/>
      <c r="F329" s="148"/>
      <c r="G329" s="236">
        <f>G3253</f>
        <v>0</v>
      </c>
      <c r="H329" s="154">
        <f t="shared" si="55"/>
        <v>0</v>
      </c>
      <c r="I329" s="437" t="s">
        <v>354</v>
      </c>
      <c r="J329" s="244">
        <v>0</v>
      </c>
      <c r="K329" s="245" t="s">
        <v>378</v>
      </c>
      <c r="L329" s="170"/>
      <c r="M329" s="171"/>
      <c r="N329" s="170"/>
      <c r="O329" s="170"/>
      <c r="P329" s="170"/>
    </row>
    <row r="330" spans="1:16" s="16" customFormat="1" ht="18" customHeight="1">
      <c r="A330" s="1"/>
      <c r="B330" s="156" t="s">
        <v>362</v>
      </c>
      <c r="C330" s="167">
        <f>C329</f>
        <v>0</v>
      </c>
      <c r="D330" s="239">
        <v>1</v>
      </c>
      <c r="E330" s="148"/>
      <c r="F330" s="148"/>
      <c r="G330" s="236">
        <v>3.27</v>
      </c>
      <c r="H330" s="154">
        <f>ROUND(C330*D330*G330,2)</f>
        <v>0</v>
      </c>
      <c r="I330" s="437" t="s">
        <v>358</v>
      </c>
      <c r="J330" s="244">
        <v>3.27</v>
      </c>
      <c r="K330" s="245" t="s">
        <v>358</v>
      </c>
      <c r="L330" s="170"/>
      <c r="M330" s="171"/>
      <c r="N330" s="170"/>
      <c r="O330" s="170"/>
      <c r="P330" s="170"/>
    </row>
    <row r="331" spans="1:16" s="16" customFormat="1" ht="18" customHeight="1">
      <c r="A331" s="1"/>
      <c r="B331" s="156" t="s">
        <v>343</v>
      </c>
      <c r="C331" s="167">
        <f>C319</f>
        <v>4.1900000000000004</v>
      </c>
      <c r="D331" s="239">
        <v>1</v>
      </c>
      <c r="E331" s="148"/>
      <c r="F331" s="148"/>
      <c r="G331" s="236">
        <v>1.25</v>
      </c>
      <c r="H331" s="154">
        <f>C331*D331*G331</f>
        <v>5.2375000000000007</v>
      </c>
      <c r="I331" s="437" t="s">
        <v>344</v>
      </c>
      <c r="J331" s="244">
        <v>1.25</v>
      </c>
      <c r="K331" s="245" t="s">
        <v>344</v>
      </c>
      <c r="L331" s="170"/>
      <c r="M331" s="171"/>
      <c r="N331" s="170"/>
      <c r="O331" s="170"/>
      <c r="P331" s="170"/>
    </row>
    <row r="332" spans="1:16" s="16" customFormat="1" ht="18" customHeight="1">
      <c r="A332" s="1"/>
      <c r="B332" s="156" t="s">
        <v>350</v>
      </c>
      <c r="C332" s="167" cm="1">
        <f t="array" ref="C332">SUMPRODUCT(D26:D30*G26:G30)/1000</f>
        <v>0</v>
      </c>
      <c r="D332" s="239">
        <v>1</v>
      </c>
      <c r="E332" s="148"/>
      <c r="F332" s="148"/>
      <c r="G332" s="236">
        <v>0.41</v>
      </c>
      <c r="H332" s="154">
        <f>C332*D332*G332</f>
        <v>0</v>
      </c>
      <c r="I332" s="437" t="s">
        <v>348</v>
      </c>
      <c r="J332" s="244">
        <v>0.41</v>
      </c>
      <c r="K332" s="245" t="s">
        <v>348</v>
      </c>
      <c r="L332" s="170"/>
      <c r="M332" s="171"/>
      <c r="N332" s="170"/>
      <c r="O332" s="170"/>
      <c r="P332" s="170"/>
    </row>
    <row r="333" spans="1:16" s="16" customFormat="1" ht="18" customHeight="1">
      <c r="A333" s="1"/>
      <c r="B333" s="156" t="s">
        <v>349</v>
      </c>
      <c r="C333" s="167">
        <f>C88+C97+C104+C153+C163+C146</f>
        <v>4.1920000000000002</v>
      </c>
      <c r="D333" s="239">
        <v>1</v>
      </c>
      <c r="E333" s="148"/>
      <c r="F333" s="148"/>
      <c r="G333" s="236">
        <v>0.49</v>
      </c>
      <c r="H333" s="154">
        <f>C333*D333*G333</f>
        <v>2.0540799999999999</v>
      </c>
      <c r="I333" s="437" t="s">
        <v>351</v>
      </c>
      <c r="J333" s="244">
        <v>0.49</v>
      </c>
      <c r="K333" s="245" t="s">
        <v>351</v>
      </c>
      <c r="L333" s="170"/>
      <c r="M333" s="171"/>
      <c r="N333" s="170"/>
      <c r="O333" s="170"/>
      <c r="P333" s="170"/>
    </row>
    <row r="334" spans="1:16" s="16" customFormat="1" ht="18" customHeight="1">
      <c r="A334" s="1"/>
      <c r="B334" s="156" t="s">
        <v>353</v>
      </c>
      <c r="C334" s="167">
        <f t="array" ref="C334">SUMPRODUCT(D157:D162*G157:G162)/1000+SUM(G157:G162)*0.3+SUMPRODUCT(D68:D87*G68:G87)/1000+SUM(G68:G87)*0.3</f>
        <v>1.3480000000000001</v>
      </c>
      <c r="D334" s="239">
        <v>1</v>
      </c>
      <c r="E334" s="148"/>
      <c r="F334" s="148"/>
      <c r="G334" s="237">
        <v>5.36</v>
      </c>
      <c r="H334" s="154">
        <f>C334*G334</f>
        <v>7.2252800000000006</v>
      </c>
      <c r="I334" s="437" t="s">
        <v>352</v>
      </c>
      <c r="J334" s="244">
        <v>9.5500000000000007</v>
      </c>
      <c r="K334" s="245" t="s">
        <v>377</v>
      </c>
      <c r="L334" s="170"/>
      <c r="M334" s="171"/>
      <c r="N334" s="170"/>
      <c r="O334" s="170"/>
      <c r="P334" s="170"/>
    </row>
    <row r="335" spans="1:16" s="16" customFormat="1" ht="18" customHeight="1">
      <c r="A335" s="1"/>
      <c r="B335" s="156" t="s">
        <v>364</v>
      </c>
      <c r="C335" s="167">
        <f>C319</f>
        <v>4.1900000000000004</v>
      </c>
      <c r="D335" s="239">
        <v>1</v>
      </c>
      <c r="E335" s="148"/>
      <c r="F335" s="148"/>
      <c r="G335" s="237">
        <v>1.25</v>
      </c>
      <c r="H335" s="154"/>
      <c r="I335" s="149" t="s">
        <v>363</v>
      </c>
      <c r="J335" s="244">
        <v>1.25</v>
      </c>
      <c r="K335" s="245" t="s">
        <v>363</v>
      </c>
      <c r="L335" s="170"/>
      <c r="M335" s="171"/>
      <c r="N335" s="170"/>
      <c r="O335" s="170"/>
      <c r="P335" s="170"/>
    </row>
    <row r="336" spans="1:16" s="16" customFormat="1" ht="18" customHeight="1">
      <c r="A336" s="1"/>
      <c r="B336" s="156" t="s">
        <v>365</v>
      </c>
      <c r="C336" s="167">
        <f>C320</f>
        <v>4.1900000000000004</v>
      </c>
      <c r="D336" s="239">
        <v>1</v>
      </c>
      <c r="E336" s="148"/>
      <c r="F336" s="148"/>
      <c r="G336" s="237">
        <v>1.63</v>
      </c>
      <c r="H336" s="154"/>
      <c r="I336" s="149" t="s">
        <v>363</v>
      </c>
      <c r="J336" s="244">
        <v>1.63</v>
      </c>
      <c r="K336" s="245" t="s">
        <v>363</v>
      </c>
      <c r="L336" s="170"/>
      <c r="M336" s="171"/>
      <c r="N336" s="170"/>
      <c r="O336" s="170"/>
      <c r="P336" s="170"/>
    </row>
    <row r="337" spans="1:16" s="16" customFormat="1" ht="18" customHeight="1">
      <c r="A337" s="1"/>
      <c r="B337" s="150" t="s">
        <v>231</v>
      </c>
      <c r="C337" s="165"/>
      <c r="D337" s="50"/>
      <c r="E337" s="50"/>
      <c r="F337" s="50"/>
      <c r="G337" s="166"/>
      <c r="H337" s="155">
        <f>SUM(H323:H336)*1.05</f>
        <v>15.242703000000002</v>
      </c>
      <c r="I337" s="152"/>
      <c r="J337" s="172"/>
      <c r="K337" s="170"/>
      <c r="L337" s="170"/>
      <c r="M337" s="170"/>
      <c r="N337" s="170"/>
      <c r="O337" s="170"/>
      <c r="P337" s="170"/>
    </row>
    <row r="338" spans="1:16" s="16" customFormat="1" ht="18" customHeight="1">
      <c r="A338" s="1"/>
      <c r="B338" s="173" t="s">
        <v>366</v>
      </c>
      <c r="C338" s="174">
        <f>F250+F258+F265+F280+F285+F290</f>
        <v>1</v>
      </c>
      <c r="D338" s="175">
        <v>2</v>
      </c>
      <c r="E338" s="176"/>
      <c r="F338" s="176"/>
      <c r="G338" s="240">
        <v>0.5</v>
      </c>
      <c r="H338" s="177">
        <f t="shared" ref="H338:H343" si="56">D338*G338*C338</f>
        <v>1</v>
      </c>
      <c r="I338" s="178" t="s">
        <v>233</v>
      </c>
      <c r="J338" s="172"/>
      <c r="K338" s="170"/>
      <c r="L338" s="170"/>
      <c r="M338" s="170"/>
      <c r="N338" s="170"/>
      <c r="O338" s="170"/>
      <c r="P338" s="170"/>
    </row>
    <row r="339" spans="1:16" s="16" customFormat="1" ht="18" customHeight="1">
      <c r="A339" s="1"/>
      <c r="B339" s="173" t="s">
        <v>367</v>
      </c>
      <c r="C339" s="174">
        <f>F233+F242+F269+F273</f>
        <v>0</v>
      </c>
      <c r="D339" s="175">
        <v>4</v>
      </c>
      <c r="E339" s="176"/>
      <c r="F339" s="176"/>
      <c r="G339" s="240">
        <v>0.63</v>
      </c>
      <c r="H339" s="177">
        <f t="shared" si="56"/>
        <v>0</v>
      </c>
      <c r="I339" s="178" t="s">
        <v>234</v>
      </c>
      <c r="J339" s="172"/>
      <c r="K339" s="170"/>
      <c r="L339" s="170"/>
      <c r="M339" s="170"/>
      <c r="N339" s="170"/>
      <c r="O339" s="170"/>
      <c r="P339" s="170"/>
    </row>
    <row r="340" spans="1:16" s="16" customFormat="1" ht="18" customHeight="1">
      <c r="A340" s="1"/>
      <c r="B340" s="173" t="s">
        <v>366</v>
      </c>
      <c r="C340" s="174">
        <f>SUM(G157:G162)</f>
        <v>0</v>
      </c>
      <c r="D340" s="175">
        <f>IF(E113&gt;2200,2,0)</f>
        <v>0</v>
      </c>
      <c r="E340" s="176"/>
      <c r="F340" s="176"/>
      <c r="G340" s="240">
        <v>0.5</v>
      </c>
      <c r="H340" s="177">
        <f t="shared" si="56"/>
        <v>0</v>
      </c>
      <c r="I340" s="178" t="s">
        <v>235</v>
      </c>
      <c r="J340" s="172"/>
      <c r="K340" s="170"/>
      <c r="L340" s="170"/>
      <c r="M340" s="170"/>
      <c r="N340" s="170"/>
      <c r="O340" s="170"/>
      <c r="P340" s="170"/>
    </row>
    <row r="341" spans="1:16" s="16" customFormat="1" ht="18" customHeight="1">
      <c r="A341" s="1"/>
      <c r="B341" s="173" t="s">
        <v>367</v>
      </c>
      <c r="C341" s="174">
        <f>SUM(G116:G118)</f>
        <v>0</v>
      </c>
      <c r="D341" s="175">
        <v>4</v>
      </c>
      <c r="E341" s="176"/>
      <c r="F341" s="176"/>
      <c r="G341" s="240">
        <v>0.63</v>
      </c>
      <c r="H341" s="177">
        <f t="shared" si="56"/>
        <v>0</v>
      </c>
      <c r="I341" s="178" t="s">
        <v>236</v>
      </c>
      <c r="J341" s="172"/>
      <c r="K341" s="170"/>
      <c r="L341" s="170"/>
      <c r="M341" s="170"/>
      <c r="N341" s="170"/>
      <c r="O341" s="170"/>
      <c r="P341" s="170"/>
    </row>
    <row r="342" spans="1:16" ht="18" customHeight="1">
      <c r="B342" s="173" t="s">
        <v>237</v>
      </c>
      <c r="C342" s="174">
        <v>1</v>
      </c>
      <c r="D342" s="175">
        <f>(F291+F292)*10</f>
        <v>10</v>
      </c>
      <c r="E342" s="176"/>
      <c r="F342" s="176"/>
      <c r="G342" s="240">
        <v>0.37</v>
      </c>
      <c r="H342" s="177">
        <f t="shared" si="56"/>
        <v>3.7</v>
      </c>
      <c r="I342" s="178"/>
      <c r="J342" s="172"/>
      <c r="K342" s="172"/>
      <c r="L342" s="172"/>
      <c r="N342" s="43"/>
    </row>
    <row r="343" spans="1:16" ht="18" customHeight="1">
      <c r="B343" s="173" t="s">
        <v>232</v>
      </c>
      <c r="C343" s="174">
        <f>C338</f>
        <v>1</v>
      </c>
      <c r="D343" s="175">
        <v>0</v>
      </c>
      <c r="E343" s="176"/>
      <c r="F343" s="176"/>
      <c r="G343" s="240">
        <v>0.49</v>
      </c>
      <c r="H343" s="177">
        <f t="shared" si="56"/>
        <v>0</v>
      </c>
      <c r="I343" s="178" t="s">
        <v>238</v>
      </c>
      <c r="J343" s="172"/>
      <c r="K343" s="172"/>
      <c r="L343" s="172"/>
      <c r="N343" s="43"/>
    </row>
    <row r="344" spans="1:16" ht="18" customHeight="1">
      <c r="B344" s="156" t="s">
        <v>239</v>
      </c>
      <c r="C344" s="157"/>
      <c r="D344" s="440">
        <f>E203+E205*2+E207*2+I203+I205*2+I207*2</f>
        <v>4</v>
      </c>
      <c r="E344" s="148"/>
      <c r="F344" s="148"/>
      <c r="G344" s="148">
        <v>0.2</v>
      </c>
      <c r="H344" s="179">
        <f>D344*G344</f>
        <v>0.8</v>
      </c>
      <c r="I344" s="437" t="s">
        <v>368</v>
      </c>
      <c r="J344" s="172"/>
      <c r="K344" s="172"/>
      <c r="L344" s="172"/>
    </row>
    <row r="345" spans="1:16" ht="18" customHeight="1">
      <c r="B345" s="156" t="s">
        <v>240</v>
      </c>
      <c r="C345" s="157"/>
      <c r="D345" s="440">
        <f>4*(E52+E53+E54+E55+G52+G53+G54+G55+G60+G61+G62+G63+E130+E131+E132+G130+G131+G132+G137+G138)</f>
        <v>0</v>
      </c>
      <c r="E345" s="148"/>
      <c r="F345" s="148"/>
      <c r="G345" s="148">
        <v>0.22</v>
      </c>
      <c r="H345" s="179">
        <f>D345*G345</f>
        <v>0</v>
      </c>
      <c r="I345" s="437" t="s">
        <v>241</v>
      </c>
      <c r="J345" s="172"/>
      <c r="K345" s="172"/>
      <c r="L345" s="172"/>
    </row>
    <row r="346" spans="1:16" ht="18" customHeight="1">
      <c r="B346" s="156" t="s">
        <v>242</v>
      </c>
      <c r="C346" s="157"/>
      <c r="D346" s="440">
        <f>D345/2</f>
        <v>0</v>
      </c>
      <c r="E346" s="148"/>
      <c r="F346" s="148"/>
      <c r="G346" s="148">
        <v>0.22</v>
      </c>
      <c r="H346" s="179">
        <f>ROUND(D346*G346,2)</f>
        <v>0</v>
      </c>
      <c r="I346" s="437" t="s">
        <v>243</v>
      </c>
      <c r="J346" s="172"/>
      <c r="K346" s="172"/>
      <c r="L346" s="172"/>
    </row>
    <row r="347" spans="1:16" ht="18" customHeight="1">
      <c r="B347" s="156" t="s">
        <v>369</v>
      </c>
      <c r="C347" s="157"/>
      <c r="D347" s="440">
        <f>D346</f>
        <v>0</v>
      </c>
      <c r="E347" s="148"/>
      <c r="F347" s="148"/>
      <c r="G347" s="148">
        <v>1.37</v>
      </c>
      <c r="H347" s="179">
        <f>ROUND(D347*G347,2)</f>
        <v>0</v>
      </c>
      <c r="I347" s="437" t="s">
        <v>370</v>
      </c>
      <c r="J347" s="172"/>
      <c r="K347" s="172"/>
      <c r="L347" s="172"/>
    </row>
    <row r="348" spans="1:16" ht="18" customHeight="1">
      <c r="B348" s="156" t="s">
        <v>244</v>
      </c>
      <c r="C348" s="157"/>
      <c r="D348" s="440">
        <f>(F291+F292)*2</f>
        <v>2</v>
      </c>
      <c r="E348" s="148"/>
      <c r="F348" s="148"/>
      <c r="G348" s="148">
        <v>0.48</v>
      </c>
      <c r="H348" s="179">
        <f>ROUND(D348*G348,2)</f>
        <v>0.96</v>
      </c>
      <c r="I348" s="437" t="s">
        <v>245</v>
      </c>
      <c r="J348" s="255"/>
    </row>
    <row r="349" spans="1:16" ht="18" customHeight="1">
      <c r="B349" s="156" t="s">
        <v>246</v>
      </c>
      <c r="C349" s="157"/>
      <c r="D349" s="440">
        <f>ROUND((D4+E4-240)*2/200+E217*F217/200,0)</f>
        <v>27</v>
      </c>
      <c r="E349" s="148"/>
      <c r="F349" s="148"/>
      <c r="G349" s="148">
        <v>0.05</v>
      </c>
      <c r="H349" s="179">
        <f>ROUND(D349*G349,2)</f>
        <v>1.35</v>
      </c>
      <c r="I349" s="437" t="s">
        <v>247</v>
      </c>
      <c r="J349" s="255"/>
    </row>
    <row r="350" spans="1:16" ht="18" customHeight="1">
      <c r="B350" s="150" t="s">
        <v>248</v>
      </c>
      <c r="C350" s="165"/>
      <c r="D350" s="50"/>
      <c r="E350" s="50"/>
      <c r="F350" s="50"/>
      <c r="G350" s="166"/>
      <c r="H350" s="155">
        <f>SUM(H338:H349)</f>
        <v>7.8100000000000005</v>
      </c>
      <c r="I350" s="152"/>
    </row>
    <row r="351" spans="1:16" ht="18" customHeight="1">
      <c r="B351" s="156" t="s">
        <v>359</v>
      </c>
      <c r="C351" s="157"/>
      <c r="D351" s="440">
        <f>SUMPRODUCT(G26:G30)*8+SUMPRODUCT(G35:G37)*8+SUMPRODUCT(G116:G118)*8+SUMPRODUCT(G123:G125)*8</f>
        <v>0</v>
      </c>
      <c r="E351" s="148"/>
      <c r="F351" s="148"/>
      <c r="G351" s="148">
        <v>1.26</v>
      </c>
      <c r="H351" s="154">
        <f>ROUND(D351*G351,2)</f>
        <v>0</v>
      </c>
      <c r="I351" s="437" t="s">
        <v>386</v>
      </c>
    </row>
    <row r="352" spans="1:16" ht="18" customHeight="1">
      <c r="B352" s="156" t="s">
        <v>360</v>
      </c>
      <c r="C352" s="157"/>
      <c r="D352" s="440">
        <f>G26*4+G27*4+G28*4+G29*4+G30*4</f>
        <v>0</v>
      </c>
      <c r="E352" s="148"/>
      <c r="F352" s="148"/>
      <c r="G352" s="148">
        <v>2</v>
      </c>
      <c r="H352" s="154">
        <f>ROUND(D352*G352,2)</f>
        <v>0</v>
      </c>
      <c r="I352" s="437" t="s">
        <v>361</v>
      </c>
    </row>
    <row r="353" spans="1:22" ht="18" customHeight="1">
      <c r="B353" s="156" t="s">
        <v>249</v>
      </c>
      <c r="C353" s="157"/>
      <c r="D353" s="440"/>
      <c r="E353" s="148"/>
      <c r="F353" s="148"/>
      <c r="G353" s="148">
        <v>1.6</v>
      </c>
      <c r="H353" s="154"/>
      <c r="I353" s="437"/>
    </row>
    <row r="354" spans="1:22" ht="18" customHeight="1">
      <c r="B354" s="156" t="s">
        <v>250</v>
      </c>
      <c r="C354" s="157"/>
      <c r="D354" s="44">
        <f>C22+C31+C38+C48+C56+C64+C112+C119+C126+C133+C139+C199</f>
        <v>4.4800000000000004</v>
      </c>
      <c r="E354" s="148"/>
      <c r="F354" s="148"/>
      <c r="G354" s="179">
        <v>4</v>
      </c>
      <c r="H354" s="154">
        <f t="shared" ref="H354:H356" si="57">ROUND(D354*G354,2)</f>
        <v>17.920000000000002</v>
      </c>
      <c r="I354" s="437"/>
    </row>
    <row r="355" spans="1:22" ht="18" customHeight="1">
      <c r="B355" s="156" t="s">
        <v>251</v>
      </c>
      <c r="C355" s="157" t="s">
        <v>252</v>
      </c>
      <c r="D355" s="44">
        <f>C88+C163</f>
        <v>4.1920000000000002</v>
      </c>
      <c r="E355" s="148"/>
      <c r="F355" s="148"/>
      <c r="G355" s="179">
        <v>3.15</v>
      </c>
      <c r="H355" s="154">
        <f t="shared" si="57"/>
        <v>13.2</v>
      </c>
      <c r="I355" s="437"/>
    </row>
    <row r="356" spans="1:22" ht="18" customHeight="1">
      <c r="B356" s="156" t="s">
        <v>253</v>
      </c>
      <c r="C356" s="157" t="s">
        <v>254</v>
      </c>
      <c r="D356" s="44">
        <f>C97+C104+C146+C153</f>
        <v>0</v>
      </c>
      <c r="E356" s="148"/>
      <c r="F356" s="148"/>
      <c r="G356" s="179">
        <v>3.65</v>
      </c>
      <c r="H356" s="154">
        <f t="shared" si="57"/>
        <v>0</v>
      </c>
      <c r="I356" s="437"/>
    </row>
    <row r="357" spans="1:22" ht="18" customHeight="1">
      <c r="B357" s="156" t="s">
        <v>387</v>
      </c>
      <c r="C357" s="157"/>
      <c r="D357" s="44">
        <f>F291+F292</f>
        <v>1</v>
      </c>
      <c r="E357" s="148"/>
      <c r="F357" s="148"/>
      <c r="G357" s="179">
        <v>6</v>
      </c>
      <c r="H357" s="154"/>
      <c r="I357" s="437"/>
    </row>
    <row r="358" spans="1:22" ht="18" customHeight="1">
      <c r="B358" s="156" t="s">
        <v>255</v>
      </c>
      <c r="C358" s="157"/>
      <c r="D358" s="180"/>
      <c r="E358" s="148"/>
      <c r="F358" s="148"/>
      <c r="G358" s="148">
        <v>70</v>
      </c>
      <c r="H358" s="154">
        <f>D358*G358</f>
        <v>0</v>
      </c>
      <c r="I358" s="437"/>
    </row>
    <row r="359" spans="1:22" ht="18" customHeight="1">
      <c r="B359" s="156" t="s">
        <v>858</v>
      </c>
      <c r="C359" s="157"/>
      <c r="D359" s="180"/>
      <c r="E359" s="148"/>
      <c r="F359" s="148"/>
      <c r="G359" s="148">
        <v>180</v>
      </c>
      <c r="H359" s="154">
        <f>D359*G359</f>
        <v>0</v>
      </c>
      <c r="I359" s="437"/>
    </row>
    <row r="360" spans="1:22" ht="18" customHeight="1">
      <c r="B360" s="156" t="s">
        <v>388</v>
      </c>
      <c r="C360" s="157"/>
      <c r="D360" s="440">
        <v>1</v>
      </c>
      <c r="E360" s="148"/>
      <c r="F360" s="148"/>
      <c r="G360" s="148">
        <v>9.6</v>
      </c>
      <c r="H360" s="154">
        <f>ROUND(D360*G360,2)</f>
        <v>9.6</v>
      </c>
      <c r="I360" s="437"/>
    </row>
    <row r="361" spans="1:22" ht="18" customHeight="1">
      <c r="B361" s="156" t="s">
        <v>901</v>
      </c>
      <c r="C361" s="157"/>
      <c r="D361" s="463">
        <f>(D4+E4)*2/1000</f>
        <v>4.8</v>
      </c>
      <c r="E361" s="148"/>
      <c r="F361" s="148"/>
      <c r="G361" s="148">
        <v>45</v>
      </c>
      <c r="H361" s="154">
        <f>ROUND(D361*G361,2)</f>
        <v>216</v>
      </c>
      <c r="I361" s="468"/>
    </row>
    <row r="362" spans="1:22" ht="18" customHeight="1">
      <c r="B362" s="181" t="s">
        <v>398</v>
      </c>
      <c r="C362" s="157"/>
      <c r="D362" s="182">
        <f>F366</f>
        <v>1.2768999999999999</v>
      </c>
      <c r="E362" s="148"/>
      <c r="F362" s="148"/>
      <c r="G362" s="148">
        <v>3</v>
      </c>
      <c r="H362" s="154">
        <f>D362*G362</f>
        <v>3.8306999999999998</v>
      </c>
      <c r="I362" s="437"/>
    </row>
    <row r="363" spans="1:22" ht="18" customHeight="1">
      <c r="B363" s="150" t="s">
        <v>256</v>
      </c>
      <c r="C363" s="50"/>
      <c r="D363" s="50"/>
      <c r="E363" s="50"/>
      <c r="F363" s="50"/>
      <c r="G363" s="166"/>
      <c r="H363" s="155">
        <f>SUM(H351:H362)</f>
        <v>260.55070000000001</v>
      </c>
      <c r="I363" s="183"/>
    </row>
    <row r="364" spans="1:22" ht="18" customHeight="1">
      <c r="B364" s="438" t="s">
        <v>257</v>
      </c>
      <c r="C364" s="185"/>
      <c r="D364" s="186"/>
      <c r="E364" s="185"/>
      <c r="F364" s="186"/>
      <c r="G364" s="186"/>
      <c r="H364" s="187">
        <f>SUM(H363,H350,H337,H322,H314,H308,H304)</f>
        <v>380.47340300000002</v>
      </c>
      <c r="I364" s="188"/>
    </row>
    <row r="365" spans="1:22" ht="18" customHeight="1">
      <c r="A365" s="189"/>
      <c r="B365" s="190" t="s">
        <v>258</v>
      </c>
      <c r="C365" s="10" t="s">
        <v>14</v>
      </c>
      <c r="D365" s="10" t="s">
        <v>16</v>
      </c>
      <c r="E365" s="10" t="s">
        <v>17</v>
      </c>
      <c r="F365" s="10" t="s">
        <v>7</v>
      </c>
      <c r="G365" s="10" t="s">
        <v>5</v>
      </c>
      <c r="H365" s="10" t="s">
        <v>18</v>
      </c>
      <c r="I365" s="191" t="s">
        <v>259</v>
      </c>
      <c r="L365" s="192"/>
      <c r="M365" s="192"/>
    </row>
    <row r="366" spans="1:22" ht="18" customHeight="1">
      <c r="B366" s="48">
        <f>ROUND(I366/F366,2)</f>
        <v>786.39</v>
      </c>
      <c r="C366" s="50" t="s">
        <v>299</v>
      </c>
      <c r="D366" s="50">
        <f>D5</f>
        <v>1130</v>
      </c>
      <c r="E366" s="50">
        <f>E5</f>
        <v>1130</v>
      </c>
      <c r="F366" s="49">
        <f>E366*D366/1000000</f>
        <v>1.2768999999999999</v>
      </c>
      <c r="G366" s="50">
        <f>G4</f>
        <v>1</v>
      </c>
      <c r="H366" s="49">
        <f>F366</f>
        <v>1.2768999999999999</v>
      </c>
      <c r="I366" s="193">
        <f>H364+H291+H292+I223+I12</f>
        <v>1004.142937736</v>
      </c>
      <c r="K366" s="192"/>
    </row>
    <row r="367" spans="1:22" ht="18" customHeight="1">
      <c r="B367" s="194" t="s">
        <v>258</v>
      </c>
      <c r="C367" s="195" t="s">
        <v>260</v>
      </c>
      <c r="D367" s="195" t="s">
        <v>261</v>
      </c>
      <c r="E367" s="195" t="s">
        <v>262</v>
      </c>
      <c r="F367" s="195" t="s">
        <v>263</v>
      </c>
      <c r="G367" s="195" t="s">
        <v>264</v>
      </c>
      <c r="H367" s="195" t="s">
        <v>265</v>
      </c>
      <c r="I367" s="196" t="s">
        <v>266</v>
      </c>
    </row>
    <row r="368" spans="1:22" ht="30" customHeight="1" thickBot="1">
      <c r="B368" s="197">
        <f>ROUND(I366/H366,2)</f>
        <v>786.39</v>
      </c>
      <c r="C368" s="198">
        <f>E294+E296+E298+E300+E302+E303+E297+E299</f>
        <v>0</v>
      </c>
      <c r="D368" s="199"/>
      <c r="E368" s="199"/>
      <c r="F368" s="200"/>
      <c r="G368" s="200"/>
      <c r="H368" s="200"/>
      <c r="I368" s="201"/>
      <c r="O368" s="631" t="s">
        <v>603</v>
      </c>
      <c r="P368" s="631"/>
      <c r="Q368" s="631"/>
      <c r="R368" s="631"/>
      <c r="S368" s="631"/>
      <c r="T368" s="631"/>
      <c r="U368" s="631"/>
      <c r="V368" s="631"/>
    </row>
    <row r="369" spans="2:22" ht="20.100000000000001" customHeight="1">
      <c r="B369" s="42"/>
      <c r="L369" s="202"/>
      <c r="M369" s="202"/>
      <c r="N369" s="202"/>
      <c r="O369" s="634" t="s">
        <v>604</v>
      </c>
      <c r="P369" s="634"/>
      <c r="Q369" s="634"/>
      <c r="R369" s="634"/>
      <c r="S369" s="634"/>
      <c r="T369" s="634"/>
      <c r="U369" s="634"/>
      <c r="V369" s="634"/>
    </row>
    <row r="370" spans="2:22" ht="20.100000000000001" customHeight="1">
      <c r="B370" s="102" t="s">
        <v>862</v>
      </c>
      <c r="C370" s="203"/>
      <c r="D370" s="203" t="s">
        <v>267</v>
      </c>
      <c r="E370" s="203"/>
      <c r="J370" s="102"/>
      <c r="O370" s="285" t="s">
        <v>279</v>
      </c>
      <c r="P370" s="624" t="s">
        <v>629</v>
      </c>
      <c r="Q370" s="625"/>
      <c r="R370" s="312" t="str">
        <f ca="1">B4</f>
        <v>GDC1212</v>
      </c>
      <c r="S370" s="312"/>
      <c r="T370" s="313"/>
      <c r="U370" s="287" t="s">
        <v>605</v>
      </c>
      <c r="V370" s="288"/>
    </row>
    <row r="371" spans="2:22" ht="24.95" customHeight="1">
      <c r="B371" s="102">
        <f>ROUND(I366/F6,2)</f>
        <v>800.5</v>
      </c>
      <c r="C371" s="203">
        <f>U392</f>
        <v>996.57562144666656</v>
      </c>
      <c r="D371" s="203">
        <f>E304</f>
        <v>0</v>
      </c>
      <c r="E371" s="203"/>
      <c r="J371" s="102"/>
      <c r="O371" s="635" t="s">
        <v>606</v>
      </c>
      <c r="P371" s="623" t="s">
        <v>626</v>
      </c>
      <c r="Q371" s="623"/>
      <c r="R371" s="623"/>
      <c r="S371" s="623"/>
      <c r="T371" s="637"/>
      <c r="U371" s="291" t="s">
        <v>607</v>
      </c>
      <c r="V371" s="292" t="s">
        <v>313</v>
      </c>
    </row>
    <row r="372" spans="2:22" ht="24.95" customHeight="1">
      <c r="L372" s="102"/>
      <c r="M372" s="102"/>
      <c r="N372" s="102"/>
      <c r="O372" s="636"/>
      <c r="P372" s="638"/>
      <c r="Q372" s="638"/>
      <c r="R372" s="638"/>
      <c r="S372" s="638"/>
      <c r="T372" s="638"/>
      <c r="U372" s="291" t="s">
        <v>268</v>
      </c>
      <c r="V372" s="293">
        <f>F4</f>
        <v>1.44</v>
      </c>
    </row>
    <row r="373" spans="2:22" ht="24.95" customHeight="1">
      <c r="J373" s="102"/>
      <c r="K373" s="102"/>
      <c r="L373" s="102"/>
      <c r="M373" s="102"/>
      <c r="N373" s="102"/>
      <c r="O373" s="311" t="s">
        <v>0</v>
      </c>
      <c r="P373" s="289" t="s">
        <v>608</v>
      </c>
      <c r="Q373" s="289" t="s">
        <v>627</v>
      </c>
      <c r="R373" s="289" t="s">
        <v>269</v>
      </c>
      <c r="S373" s="294" t="s">
        <v>8</v>
      </c>
      <c r="T373" s="295" t="s">
        <v>609</v>
      </c>
      <c r="U373" s="296" t="s">
        <v>270</v>
      </c>
      <c r="V373" s="295" t="s">
        <v>610</v>
      </c>
    </row>
    <row r="374" spans="2:22" ht="20.100000000000001" customHeight="1">
      <c r="J374" s="102"/>
      <c r="K374" s="102"/>
      <c r="L374" s="102"/>
      <c r="M374" s="102"/>
      <c r="N374" s="102"/>
      <c r="O374" s="297" t="s">
        <v>305</v>
      </c>
      <c r="P374" s="298" t="s">
        <v>611</v>
      </c>
      <c r="Q374" s="298"/>
      <c r="R374" s="286"/>
      <c r="S374" s="299"/>
      <c r="T374" s="300"/>
      <c r="U374" s="301">
        <f>SUM(U375:U383)</f>
        <v>936.69074573600005</v>
      </c>
      <c r="V374" s="286"/>
    </row>
    <row r="375" spans="2:22" ht="20.100000000000001" customHeight="1">
      <c r="J375" s="102"/>
      <c r="K375" s="102"/>
      <c r="L375" s="102"/>
      <c r="M375" s="102"/>
      <c r="N375" s="102"/>
      <c r="O375" s="286">
        <v>1</v>
      </c>
      <c r="P375" s="302" t="s">
        <v>612</v>
      </c>
      <c r="Q375" s="307"/>
      <c r="R375" s="286" t="s">
        <v>271</v>
      </c>
      <c r="S375" s="303">
        <f>E223</f>
        <v>8.4524440000000016</v>
      </c>
      <c r="T375" s="304">
        <f>I223/E223</f>
        <v>47.012383014427535</v>
      </c>
      <c r="U375" s="305">
        <f t="shared" ref="U375:U383" si="58">T375*S375</f>
        <v>397.36953473599999</v>
      </c>
      <c r="V375" s="306"/>
    </row>
    <row r="376" spans="2:22" ht="20.100000000000001" customHeight="1">
      <c r="J376" s="102"/>
      <c r="K376" s="102"/>
      <c r="L376" s="102"/>
      <c r="M376" s="102"/>
      <c r="N376" s="102"/>
      <c r="O376" s="286">
        <v>2</v>
      </c>
      <c r="P376" s="290" t="s">
        <v>613</v>
      </c>
      <c r="Q376" s="307"/>
      <c r="R376" s="286" t="s">
        <v>276</v>
      </c>
      <c r="S376" s="303">
        <f>D358</f>
        <v>0</v>
      </c>
      <c r="T376" s="304">
        <f>G358</f>
        <v>70</v>
      </c>
      <c r="U376" s="305">
        <f t="shared" si="58"/>
        <v>0</v>
      </c>
      <c r="V376" s="306"/>
    </row>
    <row r="377" spans="2:22" ht="20.100000000000001" customHeight="1">
      <c r="J377" s="102"/>
      <c r="K377" s="102"/>
      <c r="L377" s="102"/>
      <c r="M377" s="102"/>
      <c r="N377" s="102"/>
      <c r="O377" s="286">
        <v>3</v>
      </c>
      <c r="P377" s="302" t="s">
        <v>614</v>
      </c>
      <c r="Q377" s="302"/>
      <c r="R377" s="286" t="s">
        <v>312</v>
      </c>
      <c r="S377" s="303">
        <f>D291+D292</f>
        <v>1.073296</v>
      </c>
      <c r="T377" s="304">
        <f>材料价格!B10</f>
        <v>148</v>
      </c>
      <c r="U377" s="305">
        <f t="shared" si="58"/>
        <v>158.84780800000001</v>
      </c>
      <c r="V377" s="306"/>
    </row>
    <row r="378" spans="2:22" ht="20.100000000000001" customHeight="1">
      <c r="B378" s="630" t="s">
        <v>277</v>
      </c>
      <c r="C378" s="630"/>
      <c r="D378" s="630"/>
      <c r="E378" s="630"/>
      <c r="F378" s="630"/>
      <c r="G378" s="630"/>
      <c r="H378" s="630"/>
      <c r="I378" s="630"/>
      <c r="J378" s="102"/>
      <c r="K378" s="102"/>
      <c r="L378" s="102"/>
      <c r="M378" s="102"/>
      <c r="N378" s="102"/>
      <c r="O378" s="286">
        <v>4</v>
      </c>
      <c r="P378" s="302" t="s">
        <v>615</v>
      </c>
      <c r="Q378" s="306"/>
      <c r="R378" s="286" t="s">
        <v>278</v>
      </c>
      <c r="S378" s="303">
        <f>(H316+H317+H319+H320+H321)/F316</f>
        <v>4.0516431924882639</v>
      </c>
      <c r="T378" s="304">
        <f>材料价格!B25</f>
        <v>8.52</v>
      </c>
      <c r="U378" s="305">
        <f t="shared" si="58"/>
        <v>34.520000000000003</v>
      </c>
      <c r="V378" s="306"/>
    </row>
    <row r="379" spans="2:22" ht="20.100000000000001" customHeight="1">
      <c r="B379" s="204" t="s">
        <v>279</v>
      </c>
      <c r="C379" s="205" t="s">
        <v>280</v>
      </c>
      <c r="D379" s="205" t="s">
        <v>281</v>
      </c>
      <c r="E379" s="205" t="s">
        <v>282</v>
      </c>
      <c r="F379" s="205" t="s">
        <v>379</v>
      </c>
      <c r="G379" s="205"/>
      <c r="H379" s="205" t="s">
        <v>28</v>
      </c>
      <c r="I379" s="205" t="s">
        <v>259</v>
      </c>
      <c r="J379" s="102"/>
      <c r="K379" s="102"/>
      <c r="L379" s="102"/>
      <c r="M379" s="102"/>
      <c r="N379" s="102"/>
      <c r="O379" s="286">
        <v>5</v>
      </c>
      <c r="P379" s="306" t="s">
        <v>616</v>
      </c>
      <c r="Q379" s="302"/>
      <c r="R379" s="286" t="s">
        <v>628</v>
      </c>
      <c r="S379" s="303">
        <f>H337/21</f>
        <v>0.72584300000000013</v>
      </c>
      <c r="T379" s="304">
        <v>21</v>
      </c>
      <c r="U379" s="305">
        <f t="shared" si="58"/>
        <v>15.242703000000002</v>
      </c>
      <c r="V379" s="306"/>
    </row>
    <row r="380" spans="2:22" ht="20.100000000000001" customHeight="1">
      <c r="B380" s="206" t="s">
        <v>284</v>
      </c>
      <c r="C380" s="208" t="s">
        <v>384</v>
      </c>
      <c r="D380" s="207">
        <f>C22+C31+C38+C48+C56+C112+C119+C126+C133+C139+C177+C184+C191+C199</f>
        <v>4.4800000000000004</v>
      </c>
      <c r="E380" s="207" t="s">
        <v>383</v>
      </c>
      <c r="F380" s="206"/>
      <c r="G380" s="206"/>
      <c r="H380" s="241">
        <v>2.4</v>
      </c>
      <c r="I380" s="207"/>
      <c r="J380" s="102"/>
      <c r="K380" s="102"/>
      <c r="L380" s="102"/>
      <c r="M380" s="102"/>
      <c r="N380" s="102"/>
      <c r="O380" s="286">
        <v>6</v>
      </c>
      <c r="P380" s="302" t="s">
        <v>319</v>
      </c>
      <c r="Q380" s="302"/>
      <c r="R380" s="286" t="s">
        <v>273</v>
      </c>
      <c r="S380" s="303"/>
      <c r="T380" s="304"/>
      <c r="U380" s="305">
        <f t="shared" si="58"/>
        <v>0</v>
      </c>
      <c r="V380" s="306"/>
    </row>
    <row r="381" spans="2:22" ht="20.100000000000001" customHeight="1">
      <c r="B381" s="206" t="s">
        <v>286</v>
      </c>
      <c r="C381" s="206" t="s">
        <v>287</v>
      </c>
      <c r="D381" s="209">
        <f>(J22+J31+J38+J48+J112+J119+J126)*4+(J56+J133)*2</f>
        <v>4</v>
      </c>
      <c r="E381" s="207" t="s">
        <v>285</v>
      </c>
      <c r="F381" s="206"/>
      <c r="G381" s="206"/>
      <c r="H381" s="241">
        <v>0.5</v>
      </c>
      <c r="I381" s="207">
        <f>H381*D381</f>
        <v>2</v>
      </c>
      <c r="J381" s="102"/>
      <c r="K381" s="102"/>
      <c r="L381" s="102"/>
      <c r="M381" s="102"/>
      <c r="N381" s="102"/>
      <c r="O381" s="286">
        <v>7</v>
      </c>
      <c r="P381" s="302" t="s">
        <v>295</v>
      </c>
      <c r="Q381" s="302"/>
      <c r="R381" s="286" t="s">
        <v>273</v>
      </c>
      <c r="S381" s="303"/>
      <c r="T381" s="304">
        <f>材料价格!B19</f>
        <v>230</v>
      </c>
      <c r="U381" s="305">
        <f t="shared" si="58"/>
        <v>0</v>
      </c>
      <c r="V381" s="306"/>
    </row>
    <row r="382" spans="2:22" ht="20.100000000000001" customHeight="1">
      <c r="B382" s="206" t="s">
        <v>289</v>
      </c>
      <c r="C382" s="206"/>
      <c r="D382" s="210">
        <f>ROUND((C22+C56*2+C64*2+C112+C133*2+C139*2)/0.3,0)+2</f>
        <v>17</v>
      </c>
      <c r="E382" s="207" t="s">
        <v>285</v>
      </c>
      <c r="F382" s="206"/>
      <c r="G382" s="206"/>
      <c r="H382" s="241">
        <v>0.3</v>
      </c>
      <c r="I382" s="207">
        <f t="shared" ref="I382:I387" si="59">H382*D382</f>
        <v>5.0999999999999996</v>
      </c>
      <c r="J382" s="102"/>
      <c r="K382" s="102"/>
      <c r="L382" s="102"/>
      <c r="M382" s="102"/>
      <c r="N382" s="102"/>
      <c r="O382" s="286">
        <v>8</v>
      </c>
      <c r="P382" s="302" t="s">
        <v>296</v>
      </c>
      <c r="Q382" s="302"/>
      <c r="R382" s="286" t="s">
        <v>273</v>
      </c>
      <c r="S382" s="303">
        <f>E303</f>
        <v>0</v>
      </c>
      <c r="T382" s="304">
        <f>材料价格!B20</f>
        <v>335</v>
      </c>
      <c r="U382" s="305">
        <f t="shared" si="58"/>
        <v>0</v>
      </c>
      <c r="V382" s="306"/>
    </row>
    <row r="383" spans="2:22" ht="20.100000000000001" customHeight="1">
      <c r="B383" s="206" t="s">
        <v>381</v>
      </c>
      <c r="C383" s="206" t="s">
        <v>389</v>
      </c>
      <c r="D383" s="211">
        <f>C22+C31+C38+C56*2+C64*2+C112+C119+C126+C133*2</f>
        <v>4.4800000000000004</v>
      </c>
      <c r="E383" s="207" t="s">
        <v>285</v>
      </c>
      <c r="F383" s="206" t="s">
        <v>380</v>
      </c>
      <c r="G383" s="206"/>
      <c r="H383" s="241">
        <v>2.81</v>
      </c>
      <c r="I383" s="207">
        <f>H383*D383</f>
        <v>12.588800000000001</v>
      </c>
      <c r="J383" s="102"/>
      <c r="K383" s="102"/>
      <c r="L383" s="102"/>
      <c r="M383" s="102"/>
      <c r="N383" s="102"/>
      <c r="O383" s="286">
        <v>9</v>
      </c>
      <c r="P383" s="302" t="s">
        <v>617</v>
      </c>
      <c r="Q383" s="302"/>
      <c r="R383" s="286" t="s">
        <v>618</v>
      </c>
      <c r="S383" s="296">
        <v>1</v>
      </c>
      <c r="T383" s="304">
        <f>H363-H358+H350+H318+H315+H314</f>
        <v>330.71070000000003</v>
      </c>
      <c r="U383" s="305">
        <f t="shared" si="58"/>
        <v>330.71070000000003</v>
      </c>
      <c r="V383" s="306"/>
    </row>
    <row r="384" spans="2:22" ht="20.100000000000001" customHeight="1">
      <c r="B384" s="206" t="s">
        <v>390</v>
      </c>
      <c r="C384" s="206" t="s">
        <v>392</v>
      </c>
      <c r="D384" s="211">
        <f>C22+C88+C112+C163</f>
        <v>8.6720000000000006</v>
      </c>
      <c r="E384" s="207" t="s">
        <v>285</v>
      </c>
      <c r="F384" s="206" t="s">
        <v>394</v>
      </c>
      <c r="G384" s="206"/>
      <c r="H384" s="241">
        <v>3.27</v>
      </c>
      <c r="I384" s="207">
        <f t="shared" ref="I384" si="60">H384*D384</f>
        <v>28.35744</v>
      </c>
      <c r="J384" s="102"/>
      <c r="K384" s="102"/>
      <c r="L384" s="102"/>
      <c r="M384" s="102"/>
      <c r="N384" s="102"/>
      <c r="O384" s="297" t="s">
        <v>306</v>
      </c>
      <c r="P384" s="308" t="s">
        <v>314</v>
      </c>
      <c r="Q384" s="298"/>
      <c r="R384" s="286"/>
      <c r="S384" s="296"/>
      <c r="T384" s="309"/>
      <c r="U384" s="301">
        <f>SUM(U385:U386)</f>
        <v>230.39999999999998</v>
      </c>
      <c r="V384" s="286"/>
    </row>
    <row r="385" spans="2:22" ht="20.100000000000001" customHeight="1">
      <c r="B385" s="206" t="s">
        <v>391</v>
      </c>
      <c r="C385" s="206" t="s">
        <v>393</v>
      </c>
      <c r="D385" s="211">
        <f>(C97+C104+C119+C126)*2</f>
        <v>0</v>
      </c>
      <c r="E385" s="207" t="s">
        <v>285</v>
      </c>
      <c r="F385" s="206" t="s">
        <v>395</v>
      </c>
      <c r="G385" s="206"/>
      <c r="H385" s="241">
        <v>1.74</v>
      </c>
      <c r="I385" s="207">
        <f t="shared" si="59"/>
        <v>0</v>
      </c>
      <c r="J385" s="102"/>
      <c r="K385" s="102"/>
      <c r="L385" s="102"/>
      <c r="M385" s="102"/>
      <c r="N385" s="102"/>
      <c r="O385" s="286">
        <v>1</v>
      </c>
      <c r="P385" s="307" t="s">
        <v>619</v>
      </c>
      <c r="Q385" s="307"/>
      <c r="R385" s="300" t="s">
        <v>312</v>
      </c>
      <c r="S385" s="296">
        <f>V372</f>
        <v>1.44</v>
      </c>
      <c r="T385" s="310">
        <v>60</v>
      </c>
      <c r="U385" s="305">
        <f>T385*S385</f>
        <v>86.399999999999991</v>
      </c>
      <c r="V385" s="286"/>
    </row>
    <row r="386" spans="2:22" ht="20.100000000000001" customHeight="1">
      <c r="B386" s="208" t="s">
        <v>382</v>
      </c>
      <c r="C386" s="206" t="s">
        <v>291</v>
      </c>
      <c r="D386" s="211">
        <f>D338+D339+D341</f>
        <v>10</v>
      </c>
      <c r="E386" s="207" t="s">
        <v>285</v>
      </c>
      <c r="F386" s="206"/>
      <c r="G386" s="206"/>
      <c r="H386" s="241">
        <v>0.56999999999999995</v>
      </c>
      <c r="I386" s="207">
        <f>H386*D386</f>
        <v>5.6999999999999993</v>
      </c>
      <c r="J386" s="102"/>
      <c r="K386" s="102"/>
      <c r="L386" s="102"/>
      <c r="M386" s="102"/>
      <c r="N386" s="102"/>
      <c r="O386" s="286">
        <v>2</v>
      </c>
      <c r="P386" s="307" t="s">
        <v>288</v>
      </c>
      <c r="Q386" s="307"/>
      <c r="R386" s="300" t="s">
        <v>312</v>
      </c>
      <c r="S386" s="296">
        <f>V372</f>
        <v>1.44</v>
      </c>
      <c r="T386" s="310">
        <v>100</v>
      </c>
      <c r="U386" s="305">
        <f>T386*S386</f>
        <v>144</v>
      </c>
      <c r="V386" s="286"/>
    </row>
    <row r="387" spans="2:22" ht="20.100000000000001" customHeight="1">
      <c r="B387" s="206" t="s">
        <v>292</v>
      </c>
      <c r="C387" s="206"/>
      <c r="D387" s="211">
        <f>H366</f>
        <v>1.2768999999999999</v>
      </c>
      <c r="E387" s="207" t="s">
        <v>285</v>
      </c>
      <c r="F387" s="206"/>
      <c r="G387" s="206"/>
      <c r="H387" s="241">
        <v>20</v>
      </c>
      <c r="I387" s="207">
        <f t="shared" si="59"/>
        <v>25.537999999999997</v>
      </c>
      <c r="J387" s="102"/>
      <c r="K387" s="102"/>
      <c r="L387" s="102"/>
      <c r="M387" s="102"/>
      <c r="N387" s="102"/>
      <c r="O387" s="297" t="s">
        <v>307</v>
      </c>
      <c r="P387" s="308" t="s">
        <v>290</v>
      </c>
      <c r="Q387" s="298"/>
      <c r="R387" s="286"/>
      <c r="S387" s="296"/>
      <c r="T387" s="309"/>
      <c r="U387" s="301">
        <f>SUM(U388)</f>
        <v>28.799999999999997</v>
      </c>
      <c r="V387" s="286"/>
    </row>
    <row r="388" spans="2:22" ht="20.100000000000001" customHeight="1">
      <c r="B388" s="212" t="s">
        <v>4</v>
      </c>
      <c r="C388" s="213"/>
      <c r="D388" s="212"/>
      <c r="E388" s="212"/>
      <c r="F388" s="212"/>
      <c r="G388" s="212"/>
      <c r="H388" s="212"/>
      <c r="I388" s="213">
        <f>SUM(I380:I387)</f>
        <v>79.284239999999997</v>
      </c>
      <c r="J388" s="242"/>
      <c r="K388" s="102"/>
      <c r="L388" s="102"/>
      <c r="M388" s="102"/>
      <c r="N388" s="102"/>
      <c r="O388" s="286">
        <v>1</v>
      </c>
      <c r="P388" s="307" t="s">
        <v>290</v>
      </c>
      <c r="Q388" s="307"/>
      <c r="R388" s="300" t="s">
        <v>312</v>
      </c>
      <c r="S388" s="296">
        <f>V372</f>
        <v>1.44</v>
      </c>
      <c r="T388" s="310">
        <v>20</v>
      </c>
      <c r="U388" s="305">
        <f>T388*S388</f>
        <v>28.799999999999997</v>
      </c>
      <c r="V388" s="286"/>
    </row>
    <row r="389" spans="2:22" ht="20.100000000000001" customHeight="1">
      <c r="J389" s="102"/>
      <c r="K389" s="102"/>
      <c r="L389" s="102"/>
      <c r="M389" s="102"/>
      <c r="N389" s="102"/>
      <c r="O389" s="286" t="s">
        <v>308</v>
      </c>
      <c r="P389" s="618" t="s">
        <v>620</v>
      </c>
      <c r="Q389" s="619"/>
      <c r="R389" s="620"/>
      <c r="S389" s="621"/>
      <c r="T389" s="622"/>
      <c r="U389" s="301">
        <f>U374+U384+U387</f>
        <v>1195.8907457359999</v>
      </c>
      <c r="V389" s="286"/>
    </row>
    <row r="390" spans="2:22" ht="20.100000000000001" customHeight="1">
      <c r="J390" s="102"/>
      <c r="K390" s="102"/>
      <c r="L390" s="102"/>
      <c r="M390" s="102"/>
      <c r="N390" s="102"/>
      <c r="O390" s="286" t="s">
        <v>309</v>
      </c>
      <c r="P390" s="618" t="s">
        <v>621</v>
      </c>
      <c r="Q390" s="619"/>
      <c r="R390" s="626">
        <v>0.2</v>
      </c>
      <c r="S390" s="627"/>
      <c r="T390" s="628"/>
      <c r="U390" s="301">
        <f>U389*R390</f>
        <v>239.17814914719997</v>
      </c>
      <c r="V390" s="286"/>
    </row>
    <row r="391" spans="2:22" ht="20.100000000000001" customHeight="1">
      <c r="J391" s="102"/>
      <c r="K391" s="102"/>
      <c r="L391" s="102"/>
      <c r="M391" s="102"/>
      <c r="N391" s="102"/>
      <c r="O391" s="286" t="s">
        <v>310</v>
      </c>
      <c r="P391" s="618" t="s">
        <v>622</v>
      </c>
      <c r="Q391" s="619"/>
      <c r="R391" s="620"/>
      <c r="S391" s="621"/>
      <c r="T391" s="622"/>
      <c r="U391" s="301">
        <f>U389+U390</f>
        <v>1435.0688948831998</v>
      </c>
      <c r="V391" s="286"/>
    </row>
    <row r="392" spans="2:22" ht="30" customHeight="1">
      <c r="L392" s="102"/>
      <c r="M392" s="102"/>
      <c r="N392" s="102"/>
      <c r="O392" s="297" t="s">
        <v>311</v>
      </c>
      <c r="P392" s="618" t="s">
        <v>623</v>
      </c>
      <c r="Q392" s="619"/>
      <c r="R392" s="620"/>
      <c r="S392" s="621"/>
      <c r="T392" s="622"/>
      <c r="U392" s="301">
        <f>U391/V372</f>
        <v>996.57562144666656</v>
      </c>
      <c r="V392" s="286" t="s">
        <v>624</v>
      </c>
    </row>
    <row r="393" spans="2:22" ht="45" customHeight="1">
      <c r="L393" s="102"/>
      <c r="M393" s="102"/>
      <c r="N393" s="102"/>
      <c r="O393" s="623" t="s">
        <v>625</v>
      </c>
      <c r="P393" s="623"/>
      <c r="Q393" s="623"/>
      <c r="R393" s="623"/>
      <c r="S393" s="623"/>
      <c r="T393" s="623"/>
      <c r="U393" s="623"/>
      <c r="V393" s="623"/>
    </row>
    <row r="394" spans="2:22" ht="18" customHeight="1">
      <c r="L394" s="102"/>
      <c r="M394" s="102"/>
      <c r="N394" s="102"/>
      <c r="O394" s="102"/>
      <c r="P394" s="102"/>
    </row>
    <row r="395" spans="2:22">
      <c r="L395" s="102"/>
      <c r="M395" s="102"/>
      <c r="N395" s="102"/>
      <c r="O395" s="102"/>
      <c r="P395" s="102"/>
    </row>
    <row r="396" spans="2:22">
      <c r="L396" s="102"/>
      <c r="M396" s="102"/>
      <c r="N396" s="102"/>
      <c r="O396" s="102"/>
      <c r="P396" s="102"/>
    </row>
    <row r="397" spans="2:22">
      <c r="L397" s="102"/>
      <c r="M397" s="102"/>
      <c r="N397" s="102"/>
      <c r="O397" s="102"/>
      <c r="P397" s="102"/>
    </row>
    <row r="398" spans="2:22">
      <c r="L398" s="102"/>
      <c r="M398" s="102"/>
      <c r="N398" s="102"/>
      <c r="O398" s="102"/>
      <c r="P398" s="102"/>
    </row>
    <row r="399" spans="2:22">
      <c r="L399" s="102"/>
      <c r="M399" s="102"/>
      <c r="N399" s="102"/>
      <c r="O399" s="102"/>
      <c r="P399" s="102"/>
    </row>
    <row r="400" spans="2:22">
      <c r="L400" s="102"/>
      <c r="M400" s="102"/>
      <c r="N400" s="102"/>
      <c r="O400" s="102"/>
      <c r="P400" s="102"/>
    </row>
    <row r="401" spans="12:16">
      <c r="L401" s="102"/>
      <c r="M401" s="102"/>
      <c r="N401" s="102"/>
      <c r="O401" s="102"/>
      <c r="P401" s="102"/>
    </row>
    <row r="402" spans="12:16">
      <c r="L402" s="102"/>
      <c r="M402" s="102"/>
      <c r="N402" s="102"/>
      <c r="O402" s="102"/>
      <c r="P402" s="102"/>
    </row>
    <row r="403" spans="12:16">
      <c r="L403" s="102"/>
      <c r="M403" s="102"/>
      <c r="N403" s="102"/>
      <c r="O403" s="102"/>
      <c r="P403" s="102"/>
    </row>
    <row r="404" spans="12:16">
      <c r="L404" s="102"/>
      <c r="M404" s="102"/>
      <c r="N404" s="102"/>
      <c r="O404" s="102"/>
      <c r="P404" s="102"/>
    </row>
    <row r="405" spans="12:16">
      <c r="L405" s="102"/>
      <c r="M405" s="102"/>
      <c r="N405" s="102"/>
      <c r="O405" s="102"/>
      <c r="P405" s="102"/>
    </row>
    <row r="406" spans="12:16">
      <c r="L406" s="102"/>
      <c r="M406" s="102"/>
      <c r="N406" s="102"/>
      <c r="O406" s="102"/>
      <c r="P406" s="102"/>
    </row>
    <row r="407" spans="12:16">
      <c r="L407" s="102"/>
      <c r="M407" s="102"/>
      <c r="N407" s="102"/>
      <c r="O407" s="102"/>
      <c r="P407" s="102"/>
    </row>
    <row r="408" spans="12:16">
      <c r="L408" s="102"/>
      <c r="M408" s="102"/>
      <c r="N408" s="102"/>
      <c r="O408" s="102"/>
      <c r="P408" s="102"/>
    </row>
    <row r="409" spans="12:16">
      <c r="L409" s="102"/>
      <c r="M409" s="102"/>
      <c r="N409" s="102"/>
      <c r="O409" s="102"/>
      <c r="P409" s="102"/>
    </row>
    <row r="410" spans="12:16">
      <c r="L410" s="102"/>
      <c r="M410" s="102"/>
      <c r="N410" s="102"/>
      <c r="O410" s="102"/>
      <c r="P410" s="102"/>
    </row>
    <row r="411" spans="12:16">
      <c r="L411" s="102"/>
      <c r="M411" s="102"/>
      <c r="N411" s="102"/>
      <c r="O411" s="102"/>
      <c r="P411" s="102"/>
    </row>
    <row r="412" spans="12:16">
      <c r="L412" s="102"/>
      <c r="M412" s="102"/>
      <c r="N412" s="102"/>
      <c r="O412" s="102"/>
      <c r="P412" s="102"/>
    </row>
    <row r="413" spans="12:16">
      <c r="L413" s="102"/>
      <c r="M413" s="102"/>
      <c r="N413" s="102"/>
      <c r="O413" s="102"/>
      <c r="P413" s="102"/>
    </row>
    <row r="414" spans="12:16">
      <c r="L414" s="102"/>
      <c r="M414" s="102"/>
      <c r="N414" s="102"/>
      <c r="O414" s="102"/>
      <c r="P414" s="102"/>
    </row>
    <row r="415" spans="12:16">
      <c r="L415" s="102"/>
      <c r="M415" s="102"/>
      <c r="N415" s="102"/>
      <c r="O415" s="102"/>
      <c r="P415" s="102"/>
    </row>
    <row r="416" spans="12:16">
      <c r="L416" s="102"/>
      <c r="M416" s="102"/>
      <c r="N416" s="102"/>
      <c r="O416" s="102"/>
      <c r="P416" s="102"/>
    </row>
    <row r="417" spans="10:16">
      <c r="L417" s="102"/>
      <c r="M417" s="102"/>
      <c r="N417" s="102"/>
      <c r="O417" s="102"/>
      <c r="P417" s="102"/>
    </row>
    <row r="418" spans="10:16">
      <c r="L418" s="102"/>
      <c r="M418" s="102"/>
      <c r="N418" s="102"/>
      <c r="O418" s="102"/>
      <c r="P418" s="102"/>
    </row>
    <row r="419" spans="10:16">
      <c r="L419" s="102"/>
      <c r="M419" s="102"/>
      <c r="N419" s="102"/>
      <c r="O419" s="102"/>
      <c r="P419" s="102"/>
    </row>
    <row r="420" spans="10:16">
      <c r="L420" s="102"/>
      <c r="M420" s="102"/>
      <c r="N420" s="102"/>
      <c r="O420" s="102"/>
      <c r="P420" s="102"/>
    </row>
    <row r="421" spans="10:16">
      <c r="L421" s="102"/>
      <c r="M421" s="102"/>
      <c r="N421" s="102"/>
      <c r="O421" s="102"/>
      <c r="P421" s="102"/>
    </row>
    <row r="422" spans="10:16">
      <c r="L422" s="102"/>
      <c r="M422" s="102"/>
      <c r="N422" s="102"/>
      <c r="O422" s="102"/>
      <c r="P422" s="102"/>
    </row>
    <row r="423" spans="10:16">
      <c r="L423" s="102"/>
      <c r="M423" s="102"/>
      <c r="N423" s="102"/>
      <c r="O423" s="102"/>
      <c r="P423" s="102"/>
    </row>
    <row r="424" spans="10:16">
      <c r="L424" s="102"/>
      <c r="M424" s="102"/>
      <c r="N424" s="102"/>
      <c r="O424" s="102"/>
      <c r="P424" s="102"/>
    </row>
    <row r="425" spans="10:16">
      <c r="L425" s="102"/>
      <c r="M425" s="102"/>
      <c r="N425" s="102"/>
      <c r="O425" s="102"/>
      <c r="P425" s="102"/>
    </row>
    <row r="426" spans="10:16">
      <c r="L426" s="102"/>
      <c r="M426" s="102"/>
      <c r="N426" s="102"/>
      <c r="O426" s="102"/>
      <c r="P426" s="102"/>
    </row>
    <row r="427" spans="10:16">
      <c r="J427" s="102"/>
      <c r="K427" s="102"/>
      <c r="L427" s="102"/>
      <c r="M427" s="102"/>
      <c r="N427" s="102"/>
      <c r="O427" s="102"/>
      <c r="P427" s="102"/>
    </row>
    <row r="428" spans="10:16">
      <c r="J428" s="102"/>
      <c r="K428" s="102"/>
      <c r="L428" s="102"/>
      <c r="M428" s="102"/>
      <c r="N428" s="102"/>
      <c r="O428" s="102"/>
      <c r="P428" s="102"/>
    </row>
    <row r="429" spans="10:16">
      <c r="J429" s="102"/>
      <c r="K429" s="102"/>
      <c r="L429" s="102"/>
      <c r="M429" s="102"/>
      <c r="N429" s="102"/>
      <c r="O429" s="102"/>
      <c r="P429" s="102"/>
    </row>
    <row r="430" spans="10:16">
      <c r="J430" s="102"/>
      <c r="K430" s="102"/>
      <c r="L430" s="102"/>
      <c r="M430" s="102"/>
      <c r="N430" s="102"/>
      <c r="O430" s="102"/>
      <c r="P430" s="102"/>
    </row>
    <row r="431" spans="10:16">
      <c r="J431" s="102"/>
      <c r="K431" s="102"/>
      <c r="L431" s="102"/>
      <c r="M431" s="102"/>
      <c r="N431" s="102"/>
      <c r="O431" s="102"/>
      <c r="P431" s="102"/>
    </row>
    <row r="432" spans="10:16">
      <c r="J432" s="102"/>
      <c r="K432" s="102"/>
      <c r="L432" s="102"/>
      <c r="M432" s="102"/>
      <c r="N432" s="102"/>
      <c r="O432" s="102"/>
      <c r="P432" s="102"/>
    </row>
    <row r="433" spans="10:16">
      <c r="J433" s="102"/>
      <c r="K433" s="102"/>
      <c r="L433" s="102"/>
      <c r="M433" s="102"/>
      <c r="N433" s="102"/>
      <c r="O433" s="102"/>
      <c r="P433" s="102"/>
    </row>
    <row r="434" spans="10:16">
      <c r="J434" s="102"/>
      <c r="K434" s="102"/>
      <c r="L434" s="102"/>
      <c r="M434" s="102"/>
      <c r="N434" s="102"/>
      <c r="O434" s="102"/>
      <c r="P434" s="102"/>
    </row>
    <row r="435" spans="10:16">
      <c r="J435" s="102"/>
      <c r="K435" s="102"/>
      <c r="L435" s="102"/>
      <c r="M435" s="102"/>
      <c r="N435" s="102"/>
      <c r="O435" s="102"/>
      <c r="P435" s="102"/>
    </row>
    <row r="436" spans="10:16">
      <c r="J436" s="102"/>
      <c r="K436" s="102"/>
      <c r="L436" s="102"/>
      <c r="M436" s="102"/>
      <c r="N436" s="102"/>
      <c r="O436" s="102"/>
      <c r="P436" s="102"/>
    </row>
    <row r="437" spans="10:16">
      <c r="J437" s="102"/>
      <c r="K437" s="102"/>
      <c r="L437" s="102"/>
      <c r="M437" s="102"/>
      <c r="N437" s="102"/>
      <c r="O437" s="102"/>
      <c r="P437" s="102"/>
    </row>
    <row r="438" spans="10:16">
      <c r="J438" s="102"/>
      <c r="K438" s="102"/>
      <c r="L438" s="102"/>
      <c r="M438" s="102"/>
      <c r="N438" s="102"/>
      <c r="O438" s="102"/>
      <c r="P438" s="102"/>
    </row>
    <row r="439" spans="10:16">
      <c r="J439" s="102"/>
      <c r="K439" s="102"/>
      <c r="L439" s="102"/>
      <c r="M439" s="102"/>
      <c r="N439" s="102"/>
      <c r="O439" s="102"/>
      <c r="P439" s="102"/>
    </row>
    <row r="440" spans="10:16">
      <c r="J440" s="102"/>
      <c r="K440" s="102"/>
      <c r="L440" s="102"/>
      <c r="M440" s="102"/>
      <c r="N440" s="102"/>
      <c r="O440" s="102"/>
      <c r="P440" s="102"/>
    </row>
    <row r="441" spans="10:16">
      <c r="J441" s="102"/>
      <c r="K441" s="102"/>
      <c r="L441" s="102"/>
      <c r="M441" s="102"/>
      <c r="N441" s="102"/>
      <c r="O441" s="102"/>
      <c r="P441" s="102"/>
    </row>
    <row r="442" spans="10:16">
      <c r="J442" s="102"/>
      <c r="K442" s="102"/>
      <c r="L442" s="102"/>
      <c r="M442" s="102"/>
      <c r="N442" s="102"/>
      <c r="O442" s="102"/>
      <c r="P442" s="102"/>
    </row>
    <row r="443" spans="10:16">
      <c r="J443" s="102"/>
      <c r="K443" s="102"/>
      <c r="L443" s="102"/>
      <c r="M443" s="102"/>
      <c r="N443" s="102"/>
      <c r="O443" s="102"/>
      <c r="P443" s="102"/>
    </row>
    <row r="444" spans="10:16">
      <c r="J444" s="102"/>
      <c r="K444" s="102"/>
      <c r="L444" s="102"/>
      <c r="M444" s="102"/>
      <c r="N444" s="102"/>
      <c r="O444" s="102"/>
      <c r="P444" s="102"/>
    </row>
    <row r="445" spans="10:16">
      <c r="J445" s="102"/>
      <c r="K445" s="102"/>
      <c r="L445" s="102"/>
      <c r="M445" s="102"/>
      <c r="N445" s="102"/>
      <c r="O445" s="102"/>
      <c r="P445" s="102"/>
    </row>
    <row r="446" spans="10:16">
      <c r="J446" s="102"/>
      <c r="K446" s="102"/>
      <c r="L446" s="102"/>
      <c r="M446" s="102"/>
      <c r="N446" s="102"/>
      <c r="O446" s="102"/>
      <c r="P446" s="102"/>
    </row>
    <row r="447" spans="10:16">
      <c r="J447" s="102"/>
      <c r="K447" s="102"/>
      <c r="L447" s="102"/>
      <c r="M447" s="102"/>
      <c r="N447" s="102"/>
      <c r="O447" s="102"/>
      <c r="P447" s="102"/>
    </row>
    <row r="448" spans="10:16">
      <c r="J448" s="102"/>
      <c r="K448" s="102"/>
      <c r="L448" s="102"/>
      <c r="M448" s="102"/>
      <c r="N448" s="102"/>
      <c r="O448" s="102"/>
      <c r="P448" s="102"/>
    </row>
    <row r="449" spans="10:16">
      <c r="J449" s="102"/>
      <c r="K449" s="102"/>
      <c r="L449" s="102"/>
      <c r="M449" s="102"/>
      <c r="N449" s="102"/>
      <c r="O449" s="102"/>
      <c r="P449" s="102"/>
    </row>
    <row r="450" spans="10:16">
      <c r="J450" s="102"/>
      <c r="K450" s="102"/>
      <c r="L450" s="102"/>
      <c r="M450" s="102"/>
      <c r="N450" s="102"/>
      <c r="O450" s="102"/>
      <c r="P450" s="102"/>
    </row>
    <row r="451" spans="10:16">
      <c r="J451" s="102"/>
      <c r="K451" s="102"/>
      <c r="L451" s="102"/>
      <c r="M451" s="102"/>
      <c r="N451" s="102"/>
      <c r="O451" s="102"/>
      <c r="P451" s="102"/>
    </row>
    <row r="452" spans="10:16">
      <c r="J452" s="102"/>
      <c r="K452" s="102"/>
      <c r="L452" s="102"/>
      <c r="M452" s="102"/>
      <c r="N452" s="102"/>
      <c r="O452" s="102"/>
      <c r="P452" s="102"/>
    </row>
    <row r="453" spans="10:16">
      <c r="J453" s="102"/>
      <c r="K453" s="102"/>
      <c r="L453" s="102"/>
      <c r="M453" s="102"/>
      <c r="N453" s="102"/>
      <c r="O453" s="102"/>
      <c r="P453" s="102"/>
    </row>
    <row r="454" spans="10:16">
      <c r="J454" s="102"/>
      <c r="K454" s="102"/>
      <c r="L454" s="102"/>
      <c r="M454" s="102"/>
      <c r="N454" s="102"/>
      <c r="O454" s="102"/>
      <c r="P454" s="102"/>
    </row>
    <row r="455" spans="10:16">
      <c r="J455" s="102"/>
      <c r="K455" s="102"/>
      <c r="L455" s="102"/>
      <c r="M455" s="102"/>
      <c r="N455" s="102"/>
      <c r="O455" s="102"/>
      <c r="P455" s="102"/>
    </row>
    <row r="456" spans="10:16">
      <c r="J456" s="102"/>
      <c r="K456" s="102"/>
      <c r="L456" s="102"/>
      <c r="M456" s="102"/>
      <c r="N456" s="102"/>
      <c r="O456" s="102"/>
      <c r="P456" s="102"/>
    </row>
    <row r="457" spans="10:16">
      <c r="J457" s="102"/>
      <c r="K457" s="102"/>
      <c r="L457" s="102"/>
      <c r="M457" s="102"/>
      <c r="N457" s="102"/>
      <c r="O457" s="102"/>
      <c r="P457" s="102"/>
    </row>
    <row r="458" spans="10:16">
      <c r="J458" s="102"/>
      <c r="K458" s="102"/>
      <c r="L458" s="102"/>
      <c r="M458" s="102"/>
      <c r="N458" s="102"/>
      <c r="O458" s="102"/>
      <c r="P458" s="102"/>
    </row>
    <row r="459" spans="10:16">
      <c r="J459" s="102"/>
      <c r="K459" s="102"/>
      <c r="L459" s="102"/>
      <c r="M459" s="102"/>
      <c r="N459" s="102"/>
      <c r="O459" s="102"/>
      <c r="P459" s="102"/>
    </row>
    <row r="460" spans="10:16">
      <c r="J460" s="102"/>
      <c r="K460" s="102"/>
      <c r="L460" s="102"/>
      <c r="M460" s="102"/>
      <c r="N460" s="102"/>
      <c r="O460" s="102"/>
      <c r="P460" s="102"/>
    </row>
    <row r="461" spans="10:16">
      <c r="J461" s="102"/>
      <c r="K461" s="102"/>
      <c r="L461" s="102"/>
      <c r="M461" s="102"/>
      <c r="N461" s="102"/>
      <c r="O461" s="102"/>
      <c r="P461" s="102"/>
    </row>
    <row r="462" spans="10:16">
      <c r="J462" s="102"/>
      <c r="K462" s="102"/>
      <c r="L462" s="102"/>
      <c r="M462" s="102"/>
      <c r="N462" s="102"/>
      <c r="O462" s="102"/>
      <c r="P462" s="102"/>
    </row>
    <row r="463" spans="10:16">
      <c r="J463" s="102"/>
      <c r="K463" s="102"/>
      <c r="L463" s="102"/>
      <c r="M463" s="102"/>
      <c r="N463" s="102"/>
      <c r="O463" s="102"/>
      <c r="P463" s="102"/>
    </row>
    <row r="464" spans="10:16">
      <c r="J464" s="102"/>
      <c r="K464" s="102"/>
      <c r="L464" s="102"/>
      <c r="M464" s="102"/>
      <c r="N464" s="102"/>
      <c r="O464" s="102"/>
      <c r="P464" s="102"/>
    </row>
  </sheetData>
  <mergeCells count="95">
    <mergeCell ref="F2:H2"/>
    <mergeCell ref="I2:I6"/>
    <mergeCell ref="J2:M2"/>
    <mergeCell ref="B4:B6"/>
    <mergeCell ref="B14:B21"/>
    <mergeCell ref="C14:C21"/>
    <mergeCell ref="B26:B30"/>
    <mergeCell ref="C26:C30"/>
    <mergeCell ref="B35:B37"/>
    <mergeCell ref="C35:C37"/>
    <mergeCell ref="B42:B47"/>
    <mergeCell ref="C42:C44"/>
    <mergeCell ref="C45:C47"/>
    <mergeCell ref="B52:B55"/>
    <mergeCell ref="C52:C55"/>
    <mergeCell ref="D59:F59"/>
    <mergeCell ref="B60:B63"/>
    <mergeCell ref="C60:C61"/>
    <mergeCell ref="D60:F60"/>
    <mergeCell ref="D61:F61"/>
    <mergeCell ref="C62:C63"/>
    <mergeCell ref="D62:F62"/>
    <mergeCell ref="D63:F63"/>
    <mergeCell ref="B68:B87"/>
    <mergeCell ref="C68:C74"/>
    <mergeCell ref="C75:C81"/>
    <mergeCell ref="C82:C87"/>
    <mergeCell ref="B92:B96"/>
    <mergeCell ref="C92:C96"/>
    <mergeCell ref="B137:B138"/>
    <mergeCell ref="C137:C138"/>
    <mergeCell ref="D137:F137"/>
    <mergeCell ref="D138:F138"/>
    <mergeCell ref="B101:B103"/>
    <mergeCell ref="C101:C103"/>
    <mergeCell ref="B108:B111"/>
    <mergeCell ref="C108:C111"/>
    <mergeCell ref="B116:B118"/>
    <mergeCell ref="C116:C118"/>
    <mergeCell ref="B123:B125"/>
    <mergeCell ref="C123:C125"/>
    <mergeCell ref="B130:B132"/>
    <mergeCell ref="C130:C132"/>
    <mergeCell ref="D136:F136"/>
    <mergeCell ref="B143:B145"/>
    <mergeCell ref="C143:C145"/>
    <mergeCell ref="B150:B152"/>
    <mergeCell ref="C150:C152"/>
    <mergeCell ref="B157:B162"/>
    <mergeCell ref="C157:C162"/>
    <mergeCell ref="B167:B169"/>
    <mergeCell ref="C167:C169"/>
    <mergeCell ref="B174:B176"/>
    <mergeCell ref="C174:C176"/>
    <mergeCell ref="B181:B183"/>
    <mergeCell ref="C181:C183"/>
    <mergeCell ref="F209:F210"/>
    <mergeCell ref="B188:B190"/>
    <mergeCell ref="C188:C190"/>
    <mergeCell ref="D194:F194"/>
    <mergeCell ref="B195:B196"/>
    <mergeCell ref="C195:C196"/>
    <mergeCell ref="D195:F195"/>
    <mergeCell ref="D196:F196"/>
    <mergeCell ref="B197:B198"/>
    <mergeCell ref="C197:C198"/>
    <mergeCell ref="D197:F197"/>
    <mergeCell ref="D198:F198"/>
    <mergeCell ref="F203:F204"/>
    <mergeCell ref="O369:V369"/>
    <mergeCell ref="F211:F212"/>
    <mergeCell ref="F213:F214"/>
    <mergeCell ref="B291:B292"/>
    <mergeCell ref="B294:B295"/>
    <mergeCell ref="I294:I295"/>
    <mergeCell ref="B296:B297"/>
    <mergeCell ref="I296:I297"/>
    <mergeCell ref="B298:B299"/>
    <mergeCell ref="I298:I299"/>
    <mergeCell ref="B300:B301"/>
    <mergeCell ref="B302:B303"/>
    <mergeCell ref="O368:V368"/>
    <mergeCell ref="P370:Q370"/>
    <mergeCell ref="O371:O372"/>
    <mergeCell ref="P371:T372"/>
    <mergeCell ref="B378:I378"/>
    <mergeCell ref="P389:Q389"/>
    <mergeCell ref="R389:T389"/>
    <mergeCell ref="O393:V393"/>
    <mergeCell ref="P390:Q390"/>
    <mergeCell ref="R390:T390"/>
    <mergeCell ref="P391:Q391"/>
    <mergeCell ref="R391:T391"/>
    <mergeCell ref="P392:Q392"/>
    <mergeCell ref="R392:T392"/>
  </mergeCells>
  <phoneticPr fontId="5" type="noConversion"/>
  <pageMargins left="0.19685039370078741" right="0.19685039370078741" top="0.74803149606299213" bottom="0.74803149606299213" header="0.31496062992125984" footer="0.31496062992125984"/>
  <pageSetup paperSize="9" scale="78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32E86-7893-4017-AAD3-689478C4D06F}">
  <sheetPr>
    <tabColor rgb="FF7030A0"/>
    <pageSetUpPr fitToPage="1"/>
  </sheetPr>
  <dimension ref="A1:V464"/>
  <sheetViews>
    <sheetView showZeros="0" topLeftCell="A349" zoomScaleNormal="100" workbookViewId="0">
      <selection activeCell="C372" sqref="C372"/>
    </sheetView>
  </sheetViews>
  <sheetFormatPr defaultColWidth="25.25" defaultRowHeight="13.5"/>
  <cols>
    <col min="1" max="1" width="0.5" style="1" customWidth="1"/>
    <col min="2" max="2" width="25.25" style="102" customWidth="1"/>
    <col min="3" max="3" width="14.75" style="102" customWidth="1"/>
    <col min="4" max="4" width="11.5" style="102" customWidth="1"/>
    <col min="5" max="5" width="11.25" style="102" customWidth="1"/>
    <col min="6" max="6" width="12.25" style="102" customWidth="1"/>
    <col min="7" max="7" width="10" style="102" customWidth="1"/>
    <col min="8" max="8" width="9.875" style="102" customWidth="1"/>
    <col min="9" max="9" width="26.875" style="102" customWidth="1"/>
    <col min="10" max="10" width="11.125" style="43" customWidth="1"/>
    <col min="11" max="11" width="7.875" style="43" customWidth="1"/>
    <col min="12" max="12" width="7.25" style="43" customWidth="1"/>
    <col min="13" max="13" width="9.125" style="43" customWidth="1"/>
    <col min="14" max="14" width="15.125" style="255" customWidth="1"/>
    <col min="15" max="15" width="13.125" style="255" customWidth="1"/>
    <col min="16" max="16" width="24.375" style="255" customWidth="1"/>
    <col min="17" max="17" width="13.75" style="255" customWidth="1"/>
    <col min="18" max="18" width="11.25" style="255" customWidth="1"/>
    <col min="19" max="19" width="10.75" style="255" customWidth="1"/>
    <col min="20" max="20" width="10" style="255" customWidth="1"/>
    <col min="21" max="21" width="9.875" style="255" customWidth="1"/>
    <col min="22" max="22" width="26.125" style="255" customWidth="1"/>
    <col min="23" max="23" width="11.125" style="255" customWidth="1"/>
    <col min="24" max="24" width="7.875" style="255" customWidth="1"/>
    <col min="25" max="25" width="7.25" style="255" customWidth="1"/>
    <col min="26" max="26" width="9.125" style="255" customWidth="1"/>
    <col min="27" max="27" width="15.125" style="255" customWidth="1"/>
    <col min="28" max="28" width="7.75" style="255" customWidth="1"/>
    <col min="29" max="29" width="7.125" style="255" customWidth="1"/>
    <col min="30" max="30" width="12.125" style="255" customWidth="1"/>
    <col min="31" max="31" width="8.25" style="255" customWidth="1"/>
    <col min="32" max="33" width="10.375" style="255" customWidth="1"/>
    <col min="34" max="34" width="15.625" style="255" customWidth="1"/>
    <col min="35" max="35" width="15.875" style="255" customWidth="1"/>
    <col min="36" max="36" width="8.125" style="255" customWidth="1"/>
    <col min="37" max="40" width="10.375" style="255" customWidth="1"/>
    <col min="41" max="41" width="7.25" style="255" customWidth="1"/>
    <col min="42" max="42" width="7.125" style="255" customWidth="1"/>
    <col min="43" max="43" width="9.5" style="255" customWidth="1"/>
    <col min="44" max="45" width="9" style="255" customWidth="1"/>
    <col min="46" max="46" width="16.125" style="255" customWidth="1"/>
    <col min="47" max="77" width="9" style="255" customWidth="1"/>
    <col min="78" max="237" width="25.25" style="255"/>
    <col min="238" max="267" width="9" style="255" customWidth="1"/>
    <col min="268" max="268" width="0.5" style="255" customWidth="1"/>
    <col min="269" max="269" width="25.25" style="255"/>
    <col min="270" max="270" width="0.5" style="255" customWidth="1"/>
    <col min="271" max="271" width="25.25" style="255"/>
    <col min="272" max="272" width="14.75" style="255" customWidth="1"/>
    <col min="273" max="273" width="11.5" style="255" customWidth="1"/>
    <col min="274" max="274" width="11.25" style="255" customWidth="1"/>
    <col min="275" max="275" width="10.75" style="255" customWidth="1"/>
    <col min="276" max="276" width="10" style="255" customWidth="1"/>
    <col min="277" max="277" width="9.875" style="255" customWidth="1"/>
    <col min="278" max="278" width="26.125" style="255" customWidth="1"/>
    <col min="279" max="279" width="11.125" style="255" customWidth="1"/>
    <col min="280" max="280" width="7.875" style="255" customWidth="1"/>
    <col min="281" max="281" width="7.25" style="255" customWidth="1"/>
    <col min="282" max="282" width="9.125" style="255" customWidth="1"/>
    <col min="283" max="283" width="15.125" style="255" customWidth="1"/>
    <col min="284" max="284" width="7.75" style="255" customWidth="1"/>
    <col min="285" max="285" width="7.125" style="255" customWidth="1"/>
    <col min="286" max="286" width="12.125" style="255" customWidth="1"/>
    <col min="287" max="287" width="8.25" style="255" customWidth="1"/>
    <col min="288" max="289" width="10.375" style="255" customWidth="1"/>
    <col min="290" max="290" width="15.625" style="255" customWidth="1"/>
    <col min="291" max="291" width="15.875" style="255" customWidth="1"/>
    <col min="292" max="292" width="8.125" style="255" customWidth="1"/>
    <col min="293" max="296" width="10.375" style="255" customWidth="1"/>
    <col min="297" max="297" width="7.25" style="255" customWidth="1"/>
    <col min="298" max="298" width="7.125" style="255" customWidth="1"/>
    <col min="299" max="299" width="9.5" style="255" customWidth="1"/>
    <col min="300" max="301" width="9" style="255" customWidth="1"/>
    <col min="302" max="302" width="16.125" style="255" customWidth="1"/>
    <col min="303" max="333" width="9" style="255" customWidth="1"/>
    <col min="334" max="493" width="25.25" style="255"/>
    <col min="494" max="523" width="9" style="255" customWidth="1"/>
    <col min="524" max="524" width="0.5" style="255" customWidth="1"/>
    <col min="525" max="525" width="25.25" style="255"/>
    <col min="526" max="526" width="0.5" style="255" customWidth="1"/>
    <col min="527" max="527" width="25.25" style="255"/>
    <col min="528" max="528" width="14.75" style="255" customWidth="1"/>
    <col min="529" max="529" width="11.5" style="255" customWidth="1"/>
    <col min="530" max="530" width="11.25" style="255" customWidth="1"/>
    <col min="531" max="531" width="10.75" style="255" customWidth="1"/>
    <col min="532" max="532" width="10" style="255" customWidth="1"/>
    <col min="533" max="533" width="9.875" style="255" customWidth="1"/>
    <col min="534" max="534" width="26.125" style="255" customWidth="1"/>
    <col min="535" max="535" width="11.125" style="255" customWidth="1"/>
    <col min="536" max="536" width="7.875" style="255" customWidth="1"/>
    <col min="537" max="537" width="7.25" style="255" customWidth="1"/>
    <col min="538" max="538" width="9.125" style="255" customWidth="1"/>
    <col min="539" max="539" width="15.125" style="255" customWidth="1"/>
    <col min="540" max="540" width="7.75" style="255" customWidth="1"/>
    <col min="541" max="541" width="7.125" style="255" customWidth="1"/>
    <col min="542" max="542" width="12.125" style="255" customWidth="1"/>
    <col min="543" max="543" width="8.25" style="255" customWidth="1"/>
    <col min="544" max="545" width="10.375" style="255" customWidth="1"/>
    <col min="546" max="546" width="15.625" style="255" customWidth="1"/>
    <col min="547" max="547" width="15.875" style="255" customWidth="1"/>
    <col min="548" max="548" width="8.125" style="255" customWidth="1"/>
    <col min="549" max="552" width="10.375" style="255" customWidth="1"/>
    <col min="553" max="553" width="7.25" style="255" customWidth="1"/>
    <col min="554" max="554" width="7.125" style="255" customWidth="1"/>
    <col min="555" max="555" width="9.5" style="255" customWidth="1"/>
    <col min="556" max="557" width="9" style="255" customWidth="1"/>
    <col min="558" max="558" width="16.125" style="255" customWidth="1"/>
    <col min="559" max="589" width="9" style="255" customWidth="1"/>
    <col min="590" max="749" width="25.25" style="255"/>
    <col min="750" max="779" width="9" style="255" customWidth="1"/>
    <col min="780" max="780" width="0.5" style="255" customWidth="1"/>
    <col min="781" max="781" width="25.25" style="255"/>
    <col min="782" max="782" width="0.5" style="255" customWidth="1"/>
    <col min="783" max="783" width="25.25" style="255"/>
    <col min="784" max="784" width="14.75" style="255" customWidth="1"/>
    <col min="785" max="785" width="11.5" style="255" customWidth="1"/>
    <col min="786" max="786" width="11.25" style="255" customWidth="1"/>
    <col min="787" max="787" width="10.75" style="255" customWidth="1"/>
    <col min="788" max="788" width="10" style="255" customWidth="1"/>
    <col min="789" max="789" width="9.875" style="255" customWidth="1"/>
    <col min="790" max="790" width="26.125" style="255" customWidth="1"/>
    <col min="791" max="791" width="11.125" style="255" customWidth="1"/>
    <col min="792" max="792" width="7.875" style="255" customWidth="1"/>
    <col min="793" max="793" width="7.25" style="255" customWidth="1"/>
    <col min="794" max="794" width="9.125" style="255" customWidth="1"/>
    <col min="795" max="795" width="15.125" style="255" customWidth="1"/>
    <col min="796" max="796" width="7.75" style="255" customWidth="1"/>
    <col min="797" max="797" width="7.125" style="255" customWidth="1"/>
    <col min="798" max="798" width="12.125" style="255" customWidth="1"/>
    <col min="799" max="799" width="8.25" style="255" customWidth="1"/>
    <col min="800" max="801" width="10.375" style="255" customWidth="1"/>
    <col min="802" max="802" width="15.625" style="255" customWidth="1"/>
    <col min="803" max="803" width="15.875" style="255" customWidth="1"/>
    <col min="804" max="804" width="8.125" style="255" customWidth="1"/>
    <col min="805" max="808" width="10.375" style="255" customWidth="1"/>
    <col min="809" max="809" width="7.25" style="255" customWidth="1"/>
    <col min="810" max="810" width="7.125" style="255" customWidth="1"/>
    <col min="811" max="811" width="9.5" style="255" customWidth="1"/>
    <col min="812" max="813" width="9" style="255" customWidth="1"/>
    <col min="814" max="814" width="16.125" style="255" customWidth="1"/>
    <col min="815" max="845" width="9" style="255" customWidth="1"/>
    <col min="846" max="1005" width="25.25" style="255"/>
    <col min="1006" max="1035" width="9" style="255" customWidth="1"/>
    <col min="1036" max="1036" width="0.5" style="255" customWidth="1"/>
    <col min="1037" max="1037" width="25.25" style="255"/>
    <col min="1038" max="1038" width="0.5" style="255" customWidth="1"/>
    <col min="1039" max="1039" width="25.25" style="255"/>
    <col min="1040" max="1040" width="14.75" style="255" customWidth="1"/>
    <col min="1041" max="1041" width="11.5" style="255" customWidth="1"/>
    <col min="1042" max="1042" width="11.25" style="255" customWidth="1"/>
    <col min="1043" max="1043" width="10.75" style="255" customWidth="1"/>
    <col min="1044" max="1044" width="10" style="255" customWidth="1"/>
    <col min="1045" max="1045" width="9.875" style="255" customWidth="1"/>
    <col min="1046" max="1046" width="26.125" style="255" customWidth="1"/>
    <col min="1047" max="1047" width="11.125" style="255" customWidth="1"/>
    <col min="1048" max="1048" width="7.875" style="255" customWidth="1"/>
    <col min="1049" max="1049" width="7.25" style="255" customWidth="1"/>
    <col min="1050" max="1050" width="9.125" style="255" customWidth="1"/>
    <col min="1051" max="1051" width="15.125" style="255" customWidth="1"/>
    <col min="1052" max="1052" width="7.75" style="255" customWidth="1"/>
    <col min="1053" max="1053" width="7.125" style="255" customWidth="1"/>
    <col min="1054" max="1054" width="12.125" style="255" customWidth="1"/>
    <col min="1055" max="1055" width="8.25" style="255" customWidth="1"/>
    <col min="1056" max="1057" width="10.375" style="255" customWidth="1"/>
    <col min="1058" max="1058" width="15.625" style="255" customWidth="1"/>
    <col min="1059" max="1059" width="15.875" style="255" customWidth="1"/>
    <col min="1060" max="1060" width="8.125" style="255" customWidth="1"/>
    <col min="1061" max="1064" width="10.375" style="255" customWidth="1"/>
    <col min="1065" max="1065" width="7.25" style="255" customWidth="1"/>
    <col min="1066" max="1066" width="7.125" style="255" customWidth="1"/>
    <col min="1067" max="1067" width="9.5" style="255" customWidth="1"/>
    <col min="1068" max="1069" width="9" style="255" customWidth="1"/>
    <col min="1070" max="1070" width="16.125" style="255" customWidth="1"/>
    <col min="1071" max="1101" width="9" style="255" customWidth="1"/>
    <col min="1102" max="1261" width="25.25" style="255"/>
    <col min="1262" max="1291" width="9" style="255" customWidth="1"/>
    <col min="1292" max="1292" width="0.5" style="255" customWidth="1"/>
    <col min="1293" max="1293" width="25.25" style="255"/>
    <col min="1294" max="1294" width="0.5" style="255" customWidth="1"/>
    <col min="1295" max="1295" width="25.25" style="255"/>
    <col min="1296" max="1296" width="14.75" style="255" customWidth="1"/>
    <col min="1297" max="1297" width="11.5" style="255" customWidth="1"/>
    <col min="1298" max="1298" width="11.25" style="255" customWidth="1"/>
    <col min="1299" max="1299" width="10.75" style="255" customWidth="1"/>
    <col min="1300" max="1300" width="10" style="255" customWidth="1"/>
    <col min="1301" max="1301" width="9.875" style="255" customWidth="1"/>
    <col min="1302" max="1302" width="26.125" style="255" customWidth="1"/>
    <col min="1303" max="1303" width="11.125" style="255" customWidth="1"/>
    <col min="1304" max="1304" width="7.875" style="255" customWidth="1"/>
    <col min="1305" max="1305" width="7.25" style="255" customWidth="1"/>
    <col min="1306" max="1306" width="9.125" style="255" customWidth="1"/>
    <col min="1307" max="1307" width="15.125" style="255" customWidth="1"/>
    <col min="1308" max="1308" width="7.75" style="255" customWidth="1"/>
    <col min="1309" max="1309" width="7.125" style="255" customWidth="1"/>
    <col min="1310" max="1310" width="12.125" style="255" customWidth="1"/>
    <col min="1311" max="1311" width="8.25" style="255" customWidth="1"/>
    <col min="1312" max="1313" width="10.375" style="255" customWidth="1"/>
    <col min="1314" max="1314" width="15.625" style="255" customWidth="1"/>
    <col min="1315" max="1315" width="15.875" style="255" customWidth="1"/>
    <col min="1316" max="1316" width="8.125" style="255" customWidth="1"/>
    <col min="1317" max="1320" width="10.375" style="255" customWidth="1"/>
    <col min="1321" max="1321" width="7.25" style="255" customWidth="1"/>
    <col min="1322" max="1322" width="7.125" style="255" customWidth="1"/>
    <col min="1323" max="1323" width="9.5" style="255" customWidth="1"/>
    <col min="1324" max="1325" width="9" style="255" customWidth="1"/>
    <col min="1326" max="1326" width="16.125" style="255" customWidth="1"/>
    <col min="1327" max="1357" width="9" style="255" customWidth="1"/>
    <col min="1358" max="1517" width="25.25" style="255"/>
    <col min="1518" max="1547" width="9" style="255" customWidth="1"/>
    <col min="1548" max="1548" width="0.5" style="255" customWidth="1"/>
    <col min="1549" max="1549" width="25.25" style="255"/>
    <col min="1550" max="1550" width="0.5" style="255" customWidth="1"/>
    <col min="1551" max="1551" width="25.25" style="255"/>
    <col min="1552" max="1552" width="14.75" style="255" customWidth="1"/>
    <col min="1553" max="1553" width="11.5" style="255" customWidth="1"/>
    <col min="1554" max="1554" width="11.25" style="255" customWidth="1"/>
    <col min="1555" max="1555" width="10.75" style="255" customWidth="1"/>
    <col min="1556" max="1556" width="10" style="255" customWidth="1"/>
    <col min="1557" max="1557" width="9.875" style="255" customWidth="1"/>
    <col min="1558" max="1558" width="26.125" style="255" customWidth="1"/>
    <col min="1559" max="1559" width="11.125" style="255" customWidth="1"/>
    <col min="1560" max="1560" width="7.875" style="255" customWidth="1"/>
    <col min="1561" max="1561" width="7.25" style="255" customWidth="1"/>
    <col min="1562" max="1562" width="9.125" style="255" customWidth="1"/>
    <col min="1563" max="1563" width="15.125" style="255" customWidth="1"/>
    <col min="1564" max="1564" width="7.75" style="255" customWidth="1"/>
    <col min="1565" max="1565" width="7.125" style="255" customWidth="1"/>
    <col min="1566" max="1566" width="12.125" style="255" customWidth="1"/>
    <col min="1567" max="1567" width="8.25" style="255" customWidth="1"/>
    <col min="1568" max="1569" width="10.375" style="255" customWidth="1"/>
    <col min="1570" max="1570" width="15.625" style="255" customWidth="1"/>
    <col min="1571" max="1571" width="15.875" style="255" customWidth="1"/>
    <col min="1572" max="1572" width="8.125" style="255" customWidth="1"/>
    <col min="1573" max="1576" width="10.375" style="255" customWidth="1"/>
    <col min="1577" max="1577" width="7.25" style="255" customWidth="1"/>
    <col min="1578" max="1578" width="7.125" style="255" customWidth="1"/>
    <col min="1579" max="1579" width="9.5" style="255" customWidth="1"/>
    <col min="1580" max="1581" width="9" style="255" customWidth="1"/>
    <col min="1582" max="1582" width="16.125" style="255" customWidth="1"/>
    <col min="1583" max="1613" width="9" style="255" customWidth="1"/>
    <col min="1614" max="1773" width="25.25" style="255"/>
    <col min="1774" max="1803" width="9" style="255" customWidth="1"/>
    <col min="1804" max="1804" width="0.5" style="255" customWidth="1"/>
    <col min="1805" max="1805" width="25.25" style="255"/>
    <col min="1806" max="1806" width="0.5" style="255" customWidth="1"/>
    <col min="1807" max="1807" width="25.25" style="255"/>
    <col min="1808" max="1808" width="14.75" style="255" customWidth="1"/>
    <col min="1809" max="1809" width="11.5" style="255" customWidth="1"/>
    <col min="1810" max="1810" width="11.25" style="255" customWidth="1"/>
    <col min="1811" max="1811" width="10.75" style="255" customWidth="1"/>
    <col min="1812" max="1812" width="10" style="255" customWidth="1"/>
    <col min="1813" max="1813" width="9.875" style="255" customWidth="1"/>
    <col min="1814" max="1814" width="26.125" style="255" customWidth="1"/>
    <col min="1815" max="1815" width="11.125" style="255" customWidth="1"/>
    <col min="1816" max="1816" width="7.875" style="255" customWidth="1"/>
    <col min="1817" max="1817" width="7.25" style="255" customWidth="1"/>
    <col min="1818" max="1818" width="9.125" style="255" customWidth="1"/>
    <col min="1819" max="1819" width="15.125" style="255" customWidth="1"/>
    <col min="1820" max="1820" width="7.75" style="255" customWidth="1"/>
    <col min="1821" max="1821" width="7.125" style="255" customWidth="1"/>
    <col min="1822" max="1822" width="12.125" style="255" customWidth="1"/>
    <col min="1823" max="1823" width="8.25" style="255" customWidth="1"/>
    <col min="1824" max="1825" width="10.375" style="255" customWidth="1"/>
    <col min="1826" max="1826" width="15.625" style="255" customWidth="1"/>
    <col min="1827" max="1827" width="15.875" style="255" customWidth="1"/>
    <col min="1828" max="1828" width="8.125" style="255" customWidth="1"/>
    <col min="1829" max="1832" width="10.375" style="255" customWidth="1"/>
    <col min="1833" max="1833" width="7.25" style="255" customWidth="1"/>
    <col min="1834" max="1834" width="7.125" style="255" customWidth="1"/>
    <col min="1835" max="1835" width="9.5" style="255" customWidth="1"/>
    <col min="1836" max="1837" width="9" style="255" customWidth="1"/>
    <col min="1838" max="1838" width="16.125" style="255" customWidth="1"/>
    <col min="1839" max="1869" width="9" style="255" customWidth="1"/>
    <col min="1870" max="2029" width="25.25" style="255"/>
    <col min="2030" max="2059" width="9" style="255" customWidth="1"/>
    <col min="2060" max="2060" width="0.5" style="255" customWidth="1"/>
    <col min="2061" max="2061" width="25.25" style="255"/>
    <col min="2062" max="2062" width="0.5" style="255" customWidth="1"/>
    <col min="2063" max="2063" width="25.25" style="255"/>
    <col min="2064" max="2064" width="14.75" style="255" customWidth="1"/>
    <col min="2065" max="2065" width="11.5" style="255" customWidth="1"/>
    <col min="2066" max="2066" width="11.25" style="255" customWidth="1"/>
    <col min="2067" max="2067" width="10.75" style="255" customWidth="1"/>
    <col min="2068" max="2068" width="10" style="255" customWidth="1"/>
    <col min="2069" max="2069" width="9.875" style="255" customWidth="1"/>
    <col min="2070" max="2070" width="26.125" style="255" customWidth="1"/>
    <col min="2071" max="2071" width="11.125" style="255" customWidth="1"/>
    <col min="2072" max="2072" width="7.875" style="255" customWidth="1"/>
    <col min="2073" max="2073" width="7.25" style="255" customWidth="1"/>
    <col min="2074" max="2074" width="9.125" style="255" customWidth="1"/>
    <col min="2075" max="2075" width="15.125" style="255" customWidth="1"/>
    <col min="2076" max="2076" width="7.75" style="255" customWidth="1"/>
    <col min="2077" max="2077" width="7.125" style="255" customWidth="1"/>
    <col min="2078" max="2078" width="12.125" style="255" customWidth="1"/>
    <col min="2079" max="2079" width="8.25" style="255" customWidth="1"/>
    <col min="2080" max="2081" width="10.375" style="255" customWidth="1"/>
    <col min="2082" max="2082" width="15.625" style="255" customWidth="1"/>
    <col min="2083" max="2083" width="15.875" style="255" customWidth="1"/>
    <col min="2084" max="2084" width="8.125" style="255" customWidth="1"/>
    <col min="2085" max="2088" width="10.375" style="255" customWidth="1"/>
    <col min="2089" max="2089" width="7.25" style="255" customWidth="1"/>
    <col min="2090" max="2090" width="7.125" style="255" customWidth="1"/>
    <col min="2091" max="2091" width="9.5" style="255" customWidth="1"/>
    <col min="2092" max="2093" width="9" style="255" customWidth="1"/>
    <col min="2094" max="2094" width="16.125" style="255" customWidth="1"/>
    <col min="2095" max="2125" width="9" style="255" customWidth="1"/>
    <col min="2126" max="2285" width="25.25" style="255"/>
    <col min="2286" max="2315" width="9" style="255" customWidth="1"/>
    <col min="2316" max="2316" width="0.5" style="255" customWidth="1"/>
    <col min="2317" max="2317" width="25.25" style="255"/>
    <col min="2318" max="2318" width="0.5" style="255" customWidth="1"/>
    <col min="2319" max="2319" width="25.25" style="255"/>
    <col min="2320" max="2320" width="14.75" style="255" customWidth="1"/>
    <col min="2321" max="2321" width="11.5" style="255" customWidth="1"/>
    <col min="2322" max="2322" width="11.25" style="255" customWidth="1"/>
    <col min="2323" max="2323" width="10.75" style="255" customWidth="1"/>
    <col min="2324" max="2324" width="10" style="255" customWidth="1"/>
    <col min="2325" max="2325" width="9.875" style="255" customWidth="1"/>
    <col min="2326" max="2326" width="26.125" style="255" customWidth="1"/>
    <col min="2327" max="2327" width="11.125" style="255" customWidth="1"/>
    <col min="2328" max="2328" width="7.875" style="255" customWidth="1"/>
    <col min="2329" max="2329" width="7.25" style="255" customWidth="1"/>
    <col min="2330" max="2330" width="9.125" style="255" customWidth="1"/>
    <col min="2331" max="2331" width="15.125" style="255" customWidth="1"/>
    <col min="2332" max="2332" width="7.75" style="255" customWidth="1"/>
    <col min="2333" max="2333" width="7.125" style="255" customWidth="1"/>
    <col min="2334" max="2334" width="12.125" style="255" customWidth="1"/>
    <col min="2335" max="2335" width="8.25" style="255" customWidth="1"/>
    <col min="2336" max="2337" width="10.375" style="255" customWidth="1"/>
    <col min="2338" max="2338" width="15.625" style="255" customWidth="1"/>
    <col min="2339" max="2339" width="15.875" style="255" customWidth="1"/>
    <col min="2340" max="2340" width="8.125" style="255" customWidth="1"/>
    <col min="2341" max="2344" width="10.375" style="255" customWidth="1"/>
    <col min="2345" max="2345" width="7.25" style="255" customWidth="1"/>
    <col min="2346" max="2346" width="7.125" style="255" customWidth="1"/>
    <col min="2347" max="2347" width="9.5" style="255" customWidth="1"/>
    <col min="2348" max="2349" width="9" style="255" customWidth="1"/>
    <col min="2350" max="2350" width="16.125" style="255" customWidth="1"/>
    <col min="2351" max="2381" width="9" style="255" customWidth="1"/>
    <col min="2382" max="2541" width="25.25" style="255"/>
    <col min="2542" max="2571" width="9" style="255" customWidth="1"/>
    <col min="2572" max="2572" width="0.5" style="255" customWidth="1"/>
    <col min="2573" max="2573" width="25.25" style="255"/>
    <col min="2574" max="2574" width="0.5" style="255" customWidth="1"/>
    <col min="2575" max="2575" width="25.25" style="255"/>
    <col min="2576" max="2576" width="14.75" style="255" customWidth="1"/>
    <col min="2577" max="2577" width="11.5" style="255" customWidth="1"/>
    <col min="2578" max="2578" width="11.25" style="255" customWidth="1"/>
    <col min="2579" max="2579" width="10.75" style="255" customWidth="1"/>
    <col min="2580" max="2580" width="10" style="255" customWidth="1"/>
    <col min="2581" max="2581" width="9.875" style="255" customWidth="1"/>
    <col min="2582" max="2582" width="26.125" style="255" customWidth="1"/>
    <col min="2583" max="2583" width="11.125" style="255" customWidth="1"/>
    <col min="2584" max="2584" width="7.875" style="255" customWidth="1"/>
    <col min="2585" max="2585" width="7.25" style="255" customWidth="1"/>
    <col min="2586" max="2586" width="9.125" style="255" customWidth="1"/>
    <col min="2587" max="2587" width="15.125" style="255" customWidth="1"/>
    <col min="2588" max="2588" width="7.75" style="255" customWidth="1"/>
    <col min="2589" max="2589" width="7.125" style="255" customWidth="1"/>
    <col min="2590" max="2590" width="12.125" style="255" customWidth="1"/>
    <col min="2591" max="2591" width="8.25" style="255" customWidth="1"/>
    <col min="2592" max="2593" width="10.375" style="255" customWidth="1"/>
    <col min="2594" max="2594" width="15.625" style="255" customWidth="1"/>
    <col min="2595" max="2595" width="15.875" style="255" customWidth="1"/>
    <col min="2596" max="2596" width="8.125" style="255" customWidth="1"/>
    <col min="2597" max="2600" width="10.375" style="255" customWidth="1"/>
    <col min="2601" max="2601" width="7.25" style="255" customWidth="1"/>
    <col min="2602" max="2602" width="7.125" style="255" customWidth="1"/>
    <col min="2603" max="2603" width="9.5" style="255" customWidth="1"/>
    <col min="2604" max="2605" width="9" style="255" customWidth="1"/>
    <col min="2606" max="2606" width="16.125" style="255" customWidth="1"/>
    <col min="2607" max="2637" width="9" style="255" customWidth="1"/>
    <col min="2638" max="2797" width="25.25" style="255"/>
    <col min="2798" max="2827" width="9" style="255" customWidth="1"/>
    <col min="2828" max="2828" width="0.5" style="255" customWidth="1"/>
    <col min="2829" max="2829" width="25.25" style="255"/>
    <col min="2830" max="2830" width="0.5" style="255" customWidth="1"/>
    <col min="2831" max="2831" width="25.25" style="255"/>
    <col min="2832" max="2832" width="14.75" style="255" customWidth="1"/>
    <col min="2833" max="2833" width="11.5" style="255" customWidth="1"/>
    <col min="2834" max="2834" width="11.25" style="255" customWidth="1"/>
    <col min="2835" max="2835" width="10.75" style="255" customWidth="1"/>
    <col min="2836" max="2836" width="10" style="255" customWidth="1"/>
    <col min="2837" max="2837" width="9.875" style="255" customWidth="1"/>
    <col min="2838" max="2838" width="26.125" style="255" customWidth="1"/>
    <col min="2839" max="2839" width="11.125" style="255" customWidth="1"/>
    <col min="2840" max="2840" width="7.875" style="255" customWidth="1"/>
    <col min="2841" max="2841" width="7.25" style="255" customWidth="1"/>
    <col min="2842" max="2842" width="9.125" style="255" customWidth="1"/>
    <col min="2843" max="2843" width="15.125" style="255" customWidth="1"/>
    <col min="2844" max="2844" width="7.75" style="255" customWidth="1"/>
    <col min="2845" max="2845" width="7.125" style="255" customWidth="1"/>
    <col min="2846" max="2846" width="12.125" style="255" customWidth="1"/>
    <col min="2847" max="2847" width="8.25" style="255" customWidth="1"/>
    <col min="2848" max="2849" width="10.375" style="255" customWidth="1"/>
    <col min="2850" max="2850" width="15.625" style="255" customWidth="1"/>
    <col min="2851" max="2851" width="15.875" style="255" customWidth="1"/>
    <col min="2852" max="2852" width="8.125" style="255" customWidth="1"/>
    <col min="2853" max="2856" width="10.375" style="255" customWidth="1"/>
    <col min="2857" max="2857" width="7.25" style="255" customWidth="1"/>
    <col min="2858" max="2858" width="7.125" style="255" customWidth="1"/>
    <col min="2859" max="2859" width="9.5" style="255" customWidth="1"/>
    <col min="2860" max="2861" width="9" style="255" customWidth="1"/>
    <col min="2862" max="2862" width="16.125" style="255" customWidth="1"/>
    <col min="2863" max="2893" width="9" style="255" customWidth="1"/>
    <col min="2894" max="3053" width="25.25" style="255"/>
    <col min="3054" max="3083" width="9" style="255" customWidth="1"/>
    <col min="3084" max="3084" width="0.5" style="255" customWidth="1"/>
    <col min="3085" max="3085" width="25.25" style="255"/>
    <col min="3086" max="3086" width="0.5" style="255" customWidth="1"/>
    <col min="3087" max="3087" width="25.25" style="255"/>
    <col min="3088" max="3088" width="14.75" style="255" customWidth="1"/>
    <col min="3089" max="3089" width="11.5" style="255" customWidth="1"/>
    <col min="3090" max="3090" width="11.25" style="255" customWidth="1"/>
    <col min="3091" max="3091" width="10.75" style="255" customWidth="1"/>
    <col min="3092" max="3092" width="10" style="255" customWidth="1"/>
    <col min="3093" max="3093" width="9.875" style="255" customWidth="1"/>
    <col min="3094" max="3094" width="26.125" style="255" customWidth="1"/>
    <col min="3095" max="3095" width="11.125" style="255" customWidth="1"/>
    <col min="3096" max="3096" width="7.875" style="255" customWidth="1"/>
    <col min="3097" max="3097" width="7.25" style="255" customWidth="1"/>
    <col min="3098" max="3098" width="9.125" style="255" customWidth="1"/>
    <col min="3099" max="3099" width="15.125" style="255" customWidth="1"/>
    <col min="3100" max="3100" width="7.75" style="255" customWidth="1"/>
    <col min="3101" max="3101" width="7.125" style="255" customWidth="1"/>
    <col min="3102" max="3102" width="12.125" style="255" customWidth="1"/>
    <col min="3103" max="3103" width="8.25" style="255" customWidth="1"/>
    <col min="3104" max="3105" width="10.375" style="255" customWidth="1"/>
    <col min="3106" max="3106" width="15.625" style="255" customWidth="1"/>
    <col min="3107" max="3107" width="15.875" style="255" customWidth="1"/>
    <col min="3108" max="3108" width="8.125" style="255" customWidth="1"/>
    <col min="3109" max="3112" width="10.375" style="255" customWidth="1"/>
    <col min="3113" max="3113" width="7.25" style="255" customWidth="1"/>
    <col min="3114" max="3114" width="7.125" style="255" customWidth="1"/>
    <col min="3115" max="3115" width="9.5" style="255" customWidth="1"/>
    <col min="3116" max="3117" width="9" style="255" customWidth="1"/>
    <col min="3118" max="3118" width="16.125" style="255" customWidth="1"/>
    <col min="3119" max="3149" width="9" style="255" customWidth="1"/>
    <col min="3150" max="3309" width="25.25" style="255"/>
    <col min="3310" max="3339" width="9" style="255" customWidth="1"/>
    <col min="3340" max="3340" width="0.5" style="255" customWidth="1"/>
    <col min="3341" max="3341" width="25.25" style="255"/>
    <col min="3342" max="3342" width="0.5" style="255" customWidth="1"/>
    <col min="3343" max="3343" width="25.25" style="255"/>
    <col min="3344" max="3344" width="14.75" style="255" customWidth="1"/>
    <col min="3345" max="3345" width="11.5" style="255" customWidth="1"/>
    <col min="3346" max="3346" width="11.25" style="255" customWidth="1"/>
    <col min="3347" max="3347" width="10.75" style="255" customWidth="1"/>
    <col min="3348" max="3348" width="10" style="255" customWidth="1"/>
    <col min="3349" max="3349" width="9.875" style="255" customWidth="1"/>
    <col min="3350" max="3350" width="26.125" style="255" customWidth="1"/>
    <col min="3351" max="3351" width="11.125" style="255" customWidth="1"/>
    <col min="3352" max="3352" width="7.875" style="255" customWidth="1"/>
    <col min="3353" max="3353" width="7.25" style="255" customWidth="1"/>
    <col min="3354" max="3354" width="9.125" style="255" customWidth="1"/>
    <col min="3355" max="3355" width="15.125" style="255" customWidth="1"/>
    <col min="3356" max="3356" width="7.75" style="255" customWidth="1"/>
    <col min="3357" max="3357" width="7.125" style="255" customWidth="1"/>
    <col min="3358" max="3358" width="12.125" style="255" customWidth="1"/>
    <col min="3359" max="3359" width="8.25" style="255" customWidth="1"/>
    <col min="3360" max="3361" width="10.375" style="255" customWidth="1"/>
    <col min="3362" max="3362" width="15.625" style="255" customWidth="1"/>
    <col min="3363" max="3363" width="15.875" style="255" customWidth="1"/>
    <col min="3364" max="3364" width="8.125" style="255" customWidth="1"/>
    <col min="3365" max="3368" width="10.375" style="255" customWidth="1"/>
    <col min="3369" max="3369" width="7.25" style="255" customWidth="1"/>
    <col min="3370" max="3370" width="7.125" style="255" customWidth="1"/>
    <col min="3371" max="3371" width="9.5" style="255" customWidth="1"/>
    <col min="3372" max="3373" width="9" style="255" customWidth="1"/>
    <col min="3374" max="3374" width="16.125" style="255" customWidth="1"/>
    <col min="3375" max="3405" width="9" style="255" customWidth="1"/>
    <col min="3406" max="3565" width="25.25" style="255"/>
    <col min="3566" max="3595" width="9" style="255" customWidth="1"/>
    <col min="3596" max="3596" width="0.5" style="255" customWidth="1"/>
    <col min="3597" max="3597" width="25.25" style="255"/>
    <col min="3598" max="3598" width="0.5" style="255" customWidth="1"/>
    <col min="3599" max="3599" width="25.25" style="255"/>
    <col min="3600" max="3600" width="14.75" style="255" customWidth="1"/>
    <col min="3601" max="3601" width="11.5" style="255" customWidth="1"/>
    <col min="3602" max="3602" width="11.25" style="255" customWidth="1"/>
    <col min="3603" max="3603" width="10.75" style="255" customWidth="1"/>
    <col min="3604" max="3604" width="10" style="255" customWidth="1"/>
    <col min="3605" max="3605" width="9.875" style="255" customWidth="1"/>
    <col min="3606" max="3606" width="26.125" style="255" customWidth="1"/>
    <col min="3607" max="3607" width="11.125" style="255" customWidth="1"/>
    <col min="3608" max="3608" width="7.875" style="255" customWidth="1"/>
    <col min="3609" max="3609" width="7.25" style="255" customWidth="1"/>
    <col min="3610" max="3610" width="9.125" style="255" customWidth="1"/>
    <col min="3611" max="3611" width="15.125" style="255" customWidth="1"/>
    <col min="3612" max="3612" width="7.75" style="255" customWidth="1"/>
    <col min="3613" max="3613" width="7.125" style="255" customWidth="1"/>
    <col min="3614" max="3614" width="12.125" style="255" customWidth="1"/>
    <col min="3615" max="3615" width="8.25" style="255" customWidth="1"/>
    <col min="3616" max="3617" width="10.375" style="255" customWidth="1"/>
    <col min="3618" max="3618" width="15.625" style="255" customWidth="1"/>
    <col min="3619" max="3619" width="15.875" style="255" customWidth="1"/>
    <col min="3620" max="3620" width="8.125" style="255" customWidth="1"/>
    <col min="3621" max="3624" width="10.375" style="255" customWidth="1"/>
    <col min="3625" max="3625" width="7.25" style="255" customWidth="1"/>
    <col min="3626" max="3626" width="7.125" style="255" customWidth="1"/>
    <col min="3627" max="3627" width="9.5" style="255" customWidth="1"/>
    <col min="3628" max="3629" width="9" style="255" customWidth="1"/>
    <col min="3630" max="3630" width="16.125" style="255" customWidth="1"/>
    <col min="3631" max="3661" width="9" style="255" customWidth="1"/>
    <col min="3662" max="3821" width="25.25" style="255"/>
    <col min="3822" max="3851" width="9" style="255" customWidth="1"/>
    <col min="3852" max="3852" width="0.5" style="255" customWidth="1"/>
    <col min="3853" max="3853" width="25.25" style="255"/>
    <col min="3854" max="3854" width="0.5" style="255" customWidth="1"/>
    <col min="3855" max="3855" width="25.25" style="255"/>
    <col min="3856" max="3856" width="14.75" style="255" customWidth="1"/>
    <col min="3857" max="3857" width="11.5" style="255" customWidth="1"/>
    <col min="3858" max="3858" width="11.25" style="255" customWidth="1"/>
    <col min="3859" max="3859" width="10.75" style="255" customWidth="1"/>
    <col min="3860" max="3860" width="10" style="255" customWidth="1"/>
    <col min="3861" max="3861" width="9.875" style="255" customWidth="1"/>
    <col min="3862" max="3862" width="26.125" style="255" customWidth="1"/>
    <col min="3863" max="3863" width="11.125" style="255" customWidth="1"/>
    <col min="3864" max="3864" width="7.875" style="255" customWidth="1"/>
    <col min="3865" max="3865" width="7.25" style="255" customWidth="1"/>
    <col min="3866" max="3866" width="9.125" style="255" customWidth="1"/>
    <col min="3867" max="3867" width="15.125" style="255" customWidth="1"/>
    <col min="3868" max="3868" width="7.75" style="255" customWidth="1"/>
    <col min="3869" max="3869" width="7.125" style="255" customWidth="1"/>
    <col min="3870" max="3870" width="12.125" style="255" customWidth="1"/>
    <col min="3871" max="3871" width="8.25" style="255" customWidth="1"/>
    <col min="3872" max="3873" width="10.375" style="255" customWidth="1"/>
    <col min="3874" max="3874" width="15.625" style="255" customWidth="1"/>
    <col min="3875" max="3875" width="15.875" style="255" customWidth="1"/>
    <col min="3876" max="3876" width="8.125" style="255" customWidth="1"/>
    <col min="3877" max="3880" width="10.375" style="255" customWidth="1"/>
    <col min="3881" max="3881" width="7.25" style="255" customWidth="1"/>
    <col min="3882" max="3882" width="7.125" style="255" customWidth="1"/>
    <col min="3883" max="3883" width="9.5" style="255" customWidth="1"/>
    <col min="3884" max="3885" width="9" style="255" customWidth="1"/>
    <col min="3886" max="3886" width="16.125" style="255" customWidth="1"/>
    <col min="3887" max="3917" width="9" style="255" customWidth="1"/>
    <col min="3918" max="4077" width="25.25" style="255"/>
    <col min="4078" max="4107" width="9" style="255" customWidth="1"/>
    <col min="4108" max="4108" width="0.5" style="255" customWidth="1"/>
    <col min="4109" max="4109" width="25.25" style="255"/>
    <col min="4110" max="4110" width="0.5" style="255" customWidth="1"/>
    <col min="4111" max="4111" width="25.25" style="255"/>
    <col min="4112" max="4112" width="14.75" style="255" customWidth="1"/>
    <col min="4113" max="4113" width="11.5" style="255" customWidth="1"/>
    <col min="4114" max="4114" width="11.25" style="255" customWidth="1"/>
    <col min="4115" max="4115" width="10.75" style="255" customWidth="1"/>
    <col min="4116" max="4116" width="10" style="255" customWidth="1"/>
    <col min="4117" max="4117" width="9.875" style="255" customWidth="1"/>
    <col min="4118" max="4118" width="26.125" style="255" customWidth="1"/>
    <col min="4119" max="4119" width="11.125" style="255" customWidth="1"/>
    <col min="4120" max="4120" width="7.875" style="255" customWidth="1"/>
    <col min="4121" max="4121" width="7.25" style="255" customWidth="1"/>
    <col min="4122" max="4122" width="9.125" style="255" customWidth="1"/>
    <col min="4123" max="4123" width="15.125" style="255" customWidth="1"/>
    <col min="4124" max="4124" width="7.75" style="255" customWidth="1"/>
    <col min="4125" max="4125" width="7.125" style="255" customWidth="1"/>
    <col min="4126" max="4126" width="12.125" style="255" customWidth="1"/>
    <col min="4127" max="4127" width="8.25" style="255" customWidth="1"/>
    <col min="4128" max="4129" width="10.375" style="255" customWidth="1"/>
    <col min="4130" max="4130" width="15.625" style="255" customWidth="1"/>
    <col min="4131" max="4131" width="15.875" style="255" customWidth="1"/>
    <col min="4132" max="4132" width="8.125" style="255" customWidth="1"/>
    <col min="4133" max="4136" width="10.375" style="255" customWidth="1"/>
    <col min="4137" max="4137" width="7.25" style="255" customWidth="1"/>
    <col min="4138" max="4138" width="7.125" style="255" customWidth="1"/>
    <col min="4139" max="4139" width="9.5" style="255" customWidth="1"/>
    <col min="4140" max="4141" width="9" style="255" customWidth="1"/>
    <col min="4142" max="4142" width="16.125" style="255" customWidth="1"/>
    <col min="4143" max="4173" width="9" style="255" customWidth="1"/>
    <col min="4174" max="4333" width="25.25" style="255"/>
    <col min="4334" max="4363" width="9" style="255" customWidth="1"/>
    <col min="4364" max="4364" width="0.5" style="255" customWidth="1"/>
    <col min="4365" max="4365" width="25.25" style="255"/>
    <col min="4366" max="4366" width="0.5" style="255" customWidth="1"/>
    <col min="4367" max="4367" width="25.25" style="255"/>
    <col min="4368" max="4368" width="14.75" style="255" customWidth="1"/>
    <col min="4369" max="4369" width="11.5" style="255" customWidth="1"/>
    <col min="4370" max="4370" width="11.25" style="255" customWidth="1"/>
    <col min="4371" max="4371" width="10.75" style="255" customWidth="1"/>
    <col min="4372" max="4372" width="10" style="255" customWidth="1"/>
    <col min="4373" max="4373" width="9.875" style="255" customWidth="1"/>
    <col min="4374" max="4374" width="26.125" style="255" customWidth="1"/>
    <col min="4375" max="4375" width="11.125" style="255" customWidth="1"/>
    <col min="4376" max="4376" width="7.875" style="255" customWidth="1"/>
    <col min="4377" max="4377" width="7.25" style="255" customWidth="1"/>
    <col min="4378" max="4378" width="9.125" style="255" customWidth="1"/>
    <col min="4379" max="4379" width="15.125" style="255" customWidth="1"/>
    <col min="4380" max="4380" width="7.75" style="255" customWidth="1"/>
    <col min="4381" max="4381" width="7.125" style="255" customWidth="1"/>
    <col min="4382" max="4382" width="12.125" style="255" customWidth="1"/>
    <col min="4383" max="4383" width="8.25" style="255" customWidth="1"/>
    <col min="4384" max="4385" width="10.375" style="255" customWidth="1"/>
    <col min="4386" max="4386" width="15.625" style="255" customWidth="1"/>
    <col min="4387" max="4387" width="15.875" style="255" customWidth="1"/>
    <col min="4388" max="4388" width="8.125" style="255" customWidth="1"/>
    <col min="4389" max="4392" width="10.375" style="255" customWidth="1"/>
    <col min="4393" max="4393" width="7.25" style="255" customWidth="1"/>
    <col min="4394" max="4394" width="7.125" style="255" customWidth="1"/>
    <col min="4395" max="4395" width="9.5" style="255" customWidth="1"/>
    <col min="4396" max="4397" width="9" style="255" customWidth="1"/>
    <col min="4398" max="4398" width="16.125" style="255" customWidth="1"/>
    <col min="4399" max="4429" width="9" style="255" customWidth="1"/>
    <col min="4430" max="4589" width="25.25" style="255"/>
    <col min="4590" max="4619" width="9" style="255" customWidth="1"/>
    <col min="4620" max="4620" width="0.5" style="255" customWidth="1"/>
    <col min="4621" max="4621" width="25.25" style="255"/>
    <col min="4622" max="4622" width="0.5" style="255" customWidth="1"/>
    <col min="4623" max="4623" width="25.25" style="255"/>
    <col min="4624" max="4624" width="14.75" style="255" customWidth="1"/>
    <col min="4625" max="4625" width="11.5" style="255" customWidth="1"/>
    <col min="4626" max="4626" width="11.25" style="255" customWidth="1"/>
    <col min="4627" max="4627" width="10.75" style="255" customWidth="1"/>
    <col min="4628" max="4628" width="10" style="255" customWidth="1"/>
    <col min="4629" max="4629" width="9.875" style="255" customWidth="1"/>
    <col min="4630" max="4630" width="26.125" style="255" customWidth="1"/>
    <col min="4631" max="4631" width="11.125" style="255" customWidth="1"/>
    <col min="4632" max="4632" width="7.875" style="255" customWidth="1"/>
    <col min="4633" max="4633" width="7.25" style="255" customWidth="1"/>
    <col min="4634" max="4634" width="9.125" style="255" customWidth="1"/>
    <col min="4635" max="4635" width="15.125" style="255" customWidth="1"/>
    <col min="4636" max="4636" width="7.75" style="255" customWidth="1"/>
    <col min="4637" max="4637" width="7.125" style="255" customWidth="1"/>
    <col min="4638" max="4638" width="12.125" style="255" customWidth="1"/>
    <col min="4639" max="4639" width="8.25" style="255" customWidth="1"/>
    <col min="4640" max="4641" width="10.375" style="255" customWidth="1"/>
    <col min="4642" max="4642" width="15.625" style="255" customWidth="1"/>
    <col min="4643" max="4643" width="15.875" style="255" customWidth="1"/>
    <col min="4644" max="4644" width="8.125" style="255" customWidth="1"/>
    <col min="4645" max="4648" width="10.375" style="255" customWidth="1"/>
    <col min="4649" max="4649" width="7.25" style="255" customWidth="1"/>
    <col min="4650" max="4650" width="7.125" style="255" customWidth="1"/>
    <col min="4651" max="4651" width="9.5" style="255" customWidth="1"/>
    <col min="4652" max="4653" width="9" style="255" customWidth="1"/>
    <col min="4654" max="4654" width="16.125" style="255" customWidth="1"/>
    <col min="4655" max="4685" width="9" style="255" customWidth="1"/>
    <col min="4686" max="4845" width="25.25" style="255"/>
    <col min="4846" max="4875" width="9" style="255" customWidth="1"/>
    <col min="4876" max="4876" width="0.5" style="255" customWidth="1"/>
    <col min="4877" max="4877" width="25.25" style="255"/>
    <col min="4878" max="4878" width="0.5" style="255" customWidth="1"/>
    <col min="4879" max="4879" width="25.25" style="255"/>
    <col min="4880" max="4880" width="14.75" style="255" customWidth="1"/>
    <col min="4881" max="4881" width="11.5" style="255" customWidth="1"/>
    <col min="4882" max="4882" width="11.25" style="255" customWidth="1"/>
    <col min="4883" max="4883" width="10.75" style="255" customWidth="1"/>
    <col min="4884" max="4884" width="10" style="255" customWidth="1"/>
    <col min="4885" max="4885" width="9.875" style="255" customWidth="1"/>
    <col min="4886" max="4886" width="26.125" style="255" customWidth="1"/>
    <col min="4887" max="4887" width="11.125" style="255" customWidth="1"/>
    <col min="4888" max="4888" width="7.875" style="255" customWidth="1"/>
    <col min="4889" max="4889" width="7.25" style="255" customWidth="1"/>
    <col min="4890" max="4890" width="9.125" style="255" customWidth="1"/>
    <col min="4891" max="4891" width="15.125" style="255" customWidth="1"/>
    <col min="4892" max="4892" width="7.75" style="255" customWidth="1"/>
    <col min="4893" max="4893" width="7.125" style="255" customWidth="1"/>
    <col min="4894" max="4894" width="12.125" style="255" customWidth="1"/>
    <col min="4895" max="4895" width="8.25" style="255" customWidth="1"/>
    <col min="4896" max="4897" width="10.375" style="255" customWidth="1"/>
    <col min="4898" max="4898" width="15.625" style="255" customWidth="1"/>
    <col min="4899" max="4899" width="15.875" style="255" customWidth="1"/>
    <col min="4900" max="4900" width="8.125" style="255" customWidth="1"/>
    <col min="4901" max="4904" width="10.375" style="255" customWidth="1"/>
    <col min="4905" max="4905" width="7.25" style="255" customWidth="1"/>
    <col min="4906" max="4906" width="7.125" style="255" customWidth="1"/>
    <col min="4907" max="4907" width="9.5" style="255" customWidth="1"/>
    <col min="4908" max="4909" width="9" style="255" customWidth="1"/>
    <col min="4910" max="4910" width="16.125" style="255" customWidth="1"/>
    <col min="4911" max="4941" width="9" style="255" customWidth="1"/>
    <col min="4942" max="5101" width="25.25" style="255"/>
    <col min="5102" max="5131" width="9" style="255" customWidth="1"/>
    <col min="5132" max="5132" width="0.5" style="255" customWidth="1"/>
    <col min="5133" max="5133" width="25.25" style="255"/>
    <col min="5134" max="5134" width="0.5" style="255" customWidth="1"/>
    <col min="5135" max="5135" width="25.25" style="255"/>
    <col min="5136" max="5136" width="14.75" style="255" customWidth="1"/>
    <col min="5137" max="5137" width="11.5" style="255" customWidth="1"/>
    <col min="5138" max="5138" width="11.25" style="255" customWidth="1"/>
    <col min="5139" max="5139" width="10.75" style="255" customWidth="1"/>
    <col min="5140" max="5140" width="10" style="255" customWidth="1"/>
    <col min="5141" max="5141" width="9.875" style="255" customWidth="1"/>
    <col min="5142" max="5142" width="26.125" style="255" customWidth="1"/>
    <col min="5143" max="5143" width="11.125" style="255" customWidth="1"/>
    <col min="5144" max="5144" width="7.875" style="255" customWidth="1"/>
    <col min="5145" max="5145" width="7.25" style="255" customWidth="1"/>
    <col min="5146" max="5146" width="9.125" style="255" customWidth="1"/>
    <col min="5147" max="5147" width="15.125" style="255" customWidth="1"/>
    <col min="5148" max="5148" width="7.75" style="255" customWidth="1"/>
    <col min="5149" max="5149" width="7.125" style="255" customWidth="1"/>
    <col min="5150" max="5150" width="12.125" style="255" customWidth="1"/>
    <col min="5151" max="5151" width="8.25" style="255" customWidth="1"/>
    <col min="5152" max="5153" width="10.375" style="255" customWidth="1"/>
    <col min="5154" max="5154" width="15.625" style="255" customWidth="1"/>
    <col min="5155" max="5155" width="15.875" style="255" customWidth="1"/>
    <col min="5156" max="5156" width="8.125" style="255" customWidth="1"/>
    <col min="5157" max="5160" width="10.375" style="255" customWidth="1"/>
    <col min="5161" max="5161" width="7.25" style="255" customWidth="1"/>
    <col min="5162" max="5162" width="7.125" style="255" customWidth="1"/>
    <col min="5163" max="5163" width="9.5" style="255" customWidth="1"/>
    <col min="5164" max="5165" width="9" style="255" customWidth="1"/>
    <col min="5166" max="5166" width="16.125" style="255" customWidth="1"/>
    <col min="5167" max="5197" width="9" style="255" customWidth="1"/>
    <col min="5198" max="5357" width="25.25" style="255"/>
    <col min="5358" max="5387" width="9" style="255" customWidth="1"/>
    <col min="5388" max="5388" width="0.5" style="255" customWidth="1"/>
    <col min="5389" max="5389" width="25.25" style="255"/>
    <col min="5390" max="5390" width="0.5" style="255" customWidth="1"/>
    <col min="5391" max="5391" width="25.25" style="255"/>
    <col min="5392" max="5392" width="14.75" style="255" customWidth="1"/>
    <col min="5393" max="5393" width="11.5" style="255" customWidth="1"/>
    <col min="5394" max="5394" width="11.25" style="255" customWidth="1"/>
    <col min="5395" max="5395" width="10.75" style="255" customWidth="1"/>
    <col min="5396" max="5396" width="10" style="255" customWidth="1"/>
    <col min="5397" max="5397" width="9.875" style="255" customWidth="1"/>
    <col min="5398" max="5398" width="26.125" style="255" customWidth="1"/>
    <col min="5399" max="5399" width="11.125" style="255" customWidth="1"/>
    <col min="5400" max="5400" width="7.875" style="255" customWidth="1"/>
    <col min="5401" max="5401" width="7.25" style="255" customWidth="1"/>
    <col min="5402" max="5402" width="9.125" style="255" customWidth="1"/>
    <col min="5403" max="5403" width="15.125" style="255" customWidth="1"/>
    <col min="5404" max="5404" width="7.75" style="255" customWidth="1"/>
    <col min="5405" max="5405" width="7.125" style="255" customWidth="1"/>
    <col min="5406" max="5406" width="12.125" style="255" customWidth="1"/>
    <col min="5407" max="5407" width="8.25" style="255" customWidth="1"/>
    <col min="5408" max="5409" width="10.375" style="255" customWidth="1"/>
    <col min="5410" max="5410" width="15.625" style="255" customWidth="1"/>
    <col min="5411" max="5411" width="15.875" style="255" customWidth="1"/>
    <col min="5412" max="5412" width="8.125" style="255" customWidth="1"/>
    <col min="5413" max="5416" width="10.375" style="255" customWidth="1"/>
    <col min="5417" max="5417" width="7.25" style="255" customWidth="1"/>
    <col min="5418" max="5418" width="7.125" style="255" customWidth="1"/>
    <col min="5419" max="5419" width="9.5" style="255" customWidth="1"/>
    <col min="5420" max="5421" width="9" style="255" customWidth="1"/>
    <col min="5422" max="5422" width="16.125" style="255" customWidth="1"/>
    <col min="5423" max="5453" width="9" style="255" customWidth="1"/>
    <col min="5454" max="5613" width="25.25" style="255"/>
    <col min="5614" max="5643" width="9" style="255" customWidth="1"/>
    <col min="5644" max="5644" width="0.5" style="255" customWidth="1"/>
    <col min="5645" max="5645" width="25.25" style="255"/>
    <col min="5646" max="5646" width="0.5" style="255" customWidth="1"/>
    <col min="5647" max="5647" width="25.25" style="255"/>
    <col min="5648" max="5648" width="14.75" style="255" customWidth="1"/>
    <col min="5649" max="5649" width="11.5" style="255" customWidth="1"/>
    <col min="5650" max="5650" width="11.25" style="255" customWidth="1"/>
    <col min="5651" max="5651" width="10.75" style="255" customWidth="1"/>
    <col min="5652" max="5652" width="10" style="255" customWidth="1"/>
    <col min="5653" max="5653" width="9.875" style="255" customWidth="1"/>
    <col min="5654" max="5654" width="26.125" style="255" customWidth="1"/>
    <col min="5655" max="5655" width="11.125" style="255" customWidth="1"/>
    <col min="5656" max="5656" width="7.875" style="255" customWidth="1"/>
    <col min="5657" max="5657" width="7.25" style="255" customWidth="1"/>
    <col min="5658" max="5658" width="9.125" style="255" customWidth="1"/>
    <col min="5659" max="5659" width="15.125" style="255" customWidth="1"/>
    <col min="5660" max="5660" width="7.75" style="255" customWidth="1"/>
    <col min="5661" max="5661" width="7.125" style="255" customWidth="1"/>
    <col min="5662" max="5662" width="12.125" style="255" customWidth="1"/>
    <col min="5663" max="5663" width="8.25" style="255" customWidth="1"/>
    <col min="5664" max="5665" width="10.375" style="255" customWidth="1"/>
    <col min="5666" max="5666" width="15.625" style="255" customWidth="1"/>
    <col min="5667" max="5667" width="15.875" style="255" customWidth="1"/>
    <col min="5668" max="5668" width="8.125" style="255" customWidth="1"/>
    <col min="5669" max="5672" width="10.375" style="255" customWidth="1"/>
    <col min="5673" max="5673" width="7.25" style="255" customWidth="1"/>
    <col min="5674" max="5674" width="7.125" style="255" customWidth="1"/>
    <col min="5675" max="5675" width="9.5" style="255" customWidth="1"/>
    <col min="5676" max="5677" width="9" style="255" customWidth="1"/>
    <col min="5678" max="5678" width="16.125" style="255" customWidth="1"/>
    <col min="5679" max="5709" width="9" style="255" customWidth="1"/>
    <col min="5710" max="5869" width="25.25" style="255"/>
    <col min="5870" max="5899" width="9" style="255" customWidth="1"/>
    <col min="5900" max="5900" width="0.5" style="255" customWidth="1"/>
    <col min="5901" max="5901" width="25.25" style="255"/>
    <col min="5902" max="5902" width="0.5" style="255" customWidth="1"/>
    <col min="5903" max="5903" width="25.25" style="255"/>
    <col min="5904" max="5904" width="14.75" style="255" customWidth="1"/>
    <col min="5905" max="5905" width="11.5" style="255" customWidth="1"/>
    <col min="5906" max="5906" width="11.25" style="255" customWidth="1"/>
    <col min="5907" max="5907" width="10.75" style="255" customWidth="1"/>
    <col min="5908" max="5908" width="10" style="255" customWidth="1"/>
    <col min="5909" max="5909" width="9.875" style="255" customWidth="1"/>
    <col min="5910" max="5910" width="26.125" style="255" customWidth="1"/>
    <col min="5911" max="5911" width="11.125" style="255" customWidth="1"/>
    <col min="5912" max="5912" width="7.875" style="255" customWidth="1"/>
    <col min="5913" max="5913" width="7.25" style="255" customWidth="1"/>
    <col min="5914" max="5914" width="9.125" style="255" customWidth="1"/>
    <col min="5915" max="5915" width="15.125" style="255" customWidth="1"/>
    <col min="5916" max="5916" width="7.75" style="255" customWidth="1"/>
    <col min="5917" max="5917" width="7.125" style="255" customWidth="1"/>
    <col min="5918" max="5918" width="12.125" style="255" customWidth="1"/>
    <col min="5919" max="5919" width="8.25" style="255" customWidth="1"/>
    <col min="5920" max="5921" width="10.375" style="255" customWidth="1"/>
    <col min="5922" max="5922" width="15.625" style="255" customWidth="1"/>
    <col min="5923" max="5923" width="15.875" style="255" customWidth="1"/>
    <col min="5924" max="5924" width="8.125" style="255" customWidth="1"/>
    <col min="5925" max="5928" width="10.375" style="255" customWidth="1"/>
    <col min="5929" max="5929" width="7.25" style="255" customWidth="1"/>
    <col min="5930" max="5930" width="7.125" style="255" customWidth="1"/>
    <col min="5931" max="5931" width="9.5" style="255" customWidth="1"/>
    <col min="5932" max="5933" width="9" style="255" customWidth="1"/>
    <col min="5934" max="5934" width="16.125" style="255" customWidth="1"/>
    <col min="5935" max="5965" width="9" style="255" customWidth="1"/>
    <col min="5966" max="6125" width="25.25" style="255"/>
    <col min="6126" max="6155" width="9" style="255" customWidth="1"/>
    <col min="6156" max="6156" width="0.5" style="255" customWidth="1"/>
    <col min="6157" max="6157" width="25.25" style="255"/>
    <col min="6158" max="6158" width="0.5" style="255" customWidth="1"/>
    <col min="6159" max="6159" width="25.25" style="255"/>
    <col min="6160" max="6160" width="14.75" style="255" customWidth="1"/>
    <col min="6161" max="6161" width="11.5" style="255" customWidth="1"/>
    <col min="6162" max="6162" width="11.25" style="255" customWidth="1"/>
    <col min="6163" max="6163" width="10.75" style="255" customWidth="1"/>
    <col min="6164" max="6164" width="10" style="255" customWidth="1"/>
    <col min="6165" max="6165" width="9.875" style="255" customWidth="1"/>
    <col min="6166" max="6166" width="26.125" style="255" customWidth="1"/>
    <col min="6167" max="6167" width="11.125" style="255" customWidth="1"/>
    <col min="6168" max="6168" width="7.875" style="255" customWidth="1"/>
    <col min="6169" max="6169" width="7.25" style="255" customWidth="1"/>
    <col min="6170" max="6170" width="9.125" style="255" customWidth="1"/>
    <col min="6171" max="6171" width="15.125" style="255" customWidth="1"/>
    <col min="6172" max="6172" width="7.75" style="255" customWidth="1"/>
    <col min="6173" max="6173" width="7.125" style="255" customWidth="1"/>
    <col min="6174" max="6174" width="12.125" style="255" customWidth="1"/>
    <col min="6175" max="6175" width="8.25" style="255" customWidth="1"/>
    <col min="6176" max="6177" width="10.375" style="255" customWidth="1"/>
    <col min="6178" max="6178" width="15.625" style="255" customWidth="1"/>
    <col min="6179" max="6179" width="15.875" style="255" customWidth="1"/>
    <col min="6180" max="6180" width="8.125" style="255" customWidth="1"/>
    <col min="6181" max="6184" width="10.375" style="255" customWidth="1"/>
    <col min="6185" max="6185" width="7.25" style="255" customWidth="1"/>
    <col min="6186" max="6186" width="7.125" style="255" customWidth="1"/>
    <col min="6187" max="6187" width="9.5" style="255" customWidth="1"/>
    <col min="6188" max="6189" width="9" style="255" customWidth="1"/>
    <col min="6190" max="6190" width="16.125" style="255" customWidth="1"/>
    <col min="6191" max="6221" width="9" style="255" customWidth="1"/>
    <col min="6222" max="6381" width="25.25" style="255"/>
    <col min="6382" max="6411" width="9" style="255" customWidth="1"/>
    <col min="6412" max="6412" width="0.5" style="255" customWidth="1"/>
    <col min="6413" max="6413" width="25.25" style="255"/>
    <col min="6414" max="6414" width="0.5" style="255" customWidth="1"/>
    <col min="6415" max="6415" width="25.25" style="255"/>
    <col min="6416" max="6416" width="14.75" style="255" customWidth="1"/>
    <col min="6417" max="6417" width="11.5" style="255" customWidth="1"/>
    <col min="6418" max="6418" width="11.25" style="255" customWidth="1"/>
    <col min="6419" max="6419" width="10.75" style="255" customWidth="1"/>
    <col min="6420" max="6420" width="10" style="255" customWidth="1"/>
    <col min="6421" max="6421" width="9.875" style="255" customWidth="1"/>
    <col min="6422" max="6422" width="26.125" style="255" customWidth="1"/>
    <col min="6423" max="6423" width="11.125" style="255" customWidth="1"/>
    <col min="6424" max="6424" width="7.875" style="255" customWidth="1"/>
    <col min="6425" max="6425" width="7.25" style="255" customWidth="1"/>
    <col min="6426" max="6426" width="9.125" style="255" customWidth="1"/>
    <col min="6427" max="6427" width="15.125" style="255" customWidth="1"/>
    <col min="6428" max="6428" width="7.75" style="255" customWidth="1"/>
    <col min="6429" max="6429" width="7.125" style="255" customWidth="1"/>
    <col min="6430" max="6430" width="12.125" style="255" customWidth="1"/>
    <col min="6431" max="6431" width="8.25" style="255" customWidth="1"/>
    <col min="6432" max="6433" width="10.375" style="255" customWidth="1"/>
    <col min="6434" max="6434" width="15.625" style="255" customWidth="1"/>
    <col min="6435" max="6435" width="15.875" style="255" customWidth="1"/>
    <col min="6436" max="6436" width="8.125" style="255" customWidth="1"/>
    <col min="6437" max="6440" width="10.375" style="255" customWidth="1"/>
    <col min="6441" max="6441" width="7.25" style="255" customWidth="1"/>
    <col min="6442" max="6442" width="7.125" style="255" customWidth="1"/>
    <col min="6443" max="6443" width="9.5" style="255" customWidth="1"/>
    <col min="6444" max="6445" width="9" style="255" customWidth="1"/>
    <col min="6446" max="6446" width="16.125" style="255" customWidth="1"/>
    <col min="6447" max="6477" width="9" style="255" customWidth="1"/>
    <col min="6478" max="6637" width="25.25" style="255"/>
    <col min="6638" max="6667" width="9" style="255" customWidth="1"/>
    <col min="6668" max="6668" width="0.5" style="255" customWidth="1"/>
    <col min="6669" max="6669" width="25.25" style="255"/>
    <col min="6670" max="6670" width="0.5" style="255" customWidth="1"/>
    <col min="6671" max="6671" width="25.25" style="255"/>
    <col min="6672" max="6672" width="14.75" style="255" customWidth="1"/>
    <col min="6673" max="6673" width="11.5" style="255" customWidth="1"/>
    <col min="6674" max="6674" width="11.25" style="255" customWidth="1"/>
    <col min="6675" max="6675" width="10.75" style="255" customWidth="1"/>
    <col min="6676" max="6676" width="10" style="255" customWidth="1"/>
    <col min="6677" max="6677" width="9.875" style="255" customWidth="1"/>
    <col min="6678" max="6678" width="26.125" style="255" customWidth="1"/>
    <col min="6679" max="6679" width="11.125" style="255" customWidth="1"/>
    <col min="6680" max="6680" width="7.875" style="255" customWidth="1"/>
    <col min="6681" max="6681" width="7.25" style="255" customWidth="1"/>
    <col min="6682" max="6682" width="9.125" style="255" customWidth="1"/>
    <col min="6683" max="6683" width="15.125" style="255" customWidth="1"/>
    <col min="6684" max="6684" width="7.75" style="255" customWidth="1"/>
    <col min="6685" max="6685" width="7.125" style="255" customWidth="1"/>
    <col min="6686" max="6686" width="12.125" style="255" customWidth="1"/>
    <col min="6687" max="6687" width="8.25" style="255" customWidth="1"/>
    <col min="6688" max="6689" width="10.375" style="255" customWidth="1"/>
    <col min="6690" max="6690" width="15.625" style="255" customWidth="1"/>
    <col min="6691" max="6691" width="15.875" style="255" customWidth="1"/>
    <col min="6692" max="6692" width="8.125" style="255" customWidth="1"/>
    <col min="6693" max="6696" width="10.375" style="255" customWidth="1"/>
    <col min="6697" max="6697" width="7.25" style="255" customWidth="1"/>
    <col min="6698" max="6698" width="7.125" style="255" customWidth="1"/>
    <col min="6699" max="6699" width="9.5" style="255" customWidth="1"/>
    <col min="6700" max="6701" width="9" style="255" customWidth="1"/>
    <col min="6702" max="6702" width="16.125" style="255" customWidth="1"/>
    <col min="6703" max="6733" width="9" style="255" customWidth="1"/>
    <col min="6734" max="6893" width="25.25" style="255"/>
    <col min="6894" max="6923" width="9" style="255" customWidth="1"/>
    <col min="6924" max="6924" width="0.5" style="255" customWidth="1"/>
    <col min="6925" max="6925" width="25.25" style="255"/>
    <col min="6926" max="6926" width="0.5" style="255" customWidth="1"/>
    <col min="6927" max="6927" width="25.25" style="255"/>
    <col min="6928" max="6928" width="14.75" style="255" customWidth="1"/>
    <col min="6929" max="6929" width="11.5" style="255" customWidth="1"/>
    <col min="6930" max="6930" width="11.25" style="255" customWidth="1"/>
    <col min="6931" max="6931" width="10.75" style="255" customWidth="1"/>
    <col min="6932" max="6932" width="10" style="255" customWidth="1"/>
    <col min="6933" max="6933" width="9.875" style="255" customWidth="1"/>
    <col min="6934" max="6934" width="26.125" style="255" customWidth="1"/>
    <col min="6935" max="6935" width="11.125" style="255" customWidth="1"/>
    <col min="6936" max="6936" width="7.875" style="255" customWidth="1"/>
    <col min="6937" max="6937" width="7.25" style="255" customWidth="1"/>
    <col min="6938" max="6938" width="9.125" style="255" customWidth="1"/>
    <col min="6939" max="6939" width="15.125" style="255" customWidth="1"/>
    <col min="6940" max="6940" width="7.75" style="255" customWidth="1"/>
    <col min="6941" max="6941" width="7.125" style="255" customWidth="1"/>
    <col min="6942" max="6942" width="12.125" style="255" customWidth="1"/>
    <col min="6943" max="6943" width="8.25" style="255" customWidth="1"/>
    <col min="6944" max="6945" width="10.375" style="255" customWidth="1"/>
    <col min="6946" max="6946" width="15.625" style="255" customWidth="1"/>
    <col min="6947" max="6947" width="15.875" style="255" customWidth="1"/>
    <col min="6948" max="6948" width="8.125" style="255" customWidth="1"/>
    <col min="6949" max="6952" width="10.375" style="255" customWidth="1"/>
    <col min="6953" max="6953" width="7.25" style="255" customWidth="1"/>
    <col min="6954" max="6954" width="7.125" style="255" customWidth="1"/>
    <col min="6955" max="6955" width="9.5" style="255" customWidth="1"/>
    <col min="6956" max="6957" width="9" style="255" customWidth="1"/>
    <col min="6958" max="6958" width="16.125" style="255" customWidth="1"/>
    <col min="6959" max="6989" width="9" style="255" customWidth="1"/>
    <col min="6990" max="7149" width="25.25" style="255"/>
    <col min="7150" max="7179" width="9" style="255" customWidth="1"/>
    <col min="7180" max="7180" width="0.5" style="255" customWidth="1"/>
    <col min="7181" max="7181" width="25.25" style="255"/>
    <col min="7182" max="7182" width="0.5" style="255" customWidth="1"/>
    <col min="7183" max="7183" width="25.25" style="255"/>
    <col min="7184" max="7184" width="14.75" style="255" customWidth="1"/>
    <col min="7185" max="7185" width="11.5" style="255" customWidth="1"/>
    <col min="7186" max="7186" width="11.25" style="255" customWidth="1"/>
    <col min="7187" max="7187" width="10.75" style="255" customWidth="1"/>
    <col min="7188" max="7188" width="10" style="255" customWidth="1"/>
    <col min="7189" max="7189" width="9.875" style="255" customWidth="1"/>
    <col min="7190" max="7190" width="26.125" style="255" customWidth="1"/>
    <col min="7191" max="7191" width="11.125" style="255" customWidth="1"/>
    <col min="7192" max="7192" width="7.875" style="255" customWidth="1"/>
    <col min="7193" max="7193" width="7.25" style="255" customWidth="1"/>
    <col min="7194" max="7194" width="9.125" style="255" customWidth="1"/>
    <col min="7195" max="7195" width="15.125" style="255" customWidth="1"/>
    <col min="7196" max="7196" width="7.75" style="255" customWidth="1"/>
    <col min="7197" max="7197" width="7.125" style="255" customWidth="1"/>
    <col min="7198" max="7198" width="12.125" style="255" customWidth="1"/>
    <col min="7199" max="7199" width="8.25" style="255" customWidth="1"/>
    <col min="7200" max="7201" width="10.375" style="255" customWidth="1"/>
    <col min="7202" max="7202" width="15.625" style="255" customWidth="1"/>
    <col min="7203" max="7203" width="15.875" style="255" customWidth="1"/>
    <col min="7204" max="7204" width="8.125" style="255" customWidth="1"/>
    <col min="7205" max="7208" width="10.375" style="255" customWidth="1"/>
    <col min="7209" max="7209" width="7.25" style="255" customWidth="1"/>
    <col min="7210" max="7210" width="7.125" style="255" customWidth="1"/>
    <col min="7211" max="7211" width="9.5" style="255" customWidth="1"/>
    <col min="7212" max="7213" width="9" style="255" customWidth="1"/>
    <col min="7214" max="7214" width="16.125" style="255" customWidth="1"/>
    <col min="7215" max="7245" width="9" style="255" customWidth="1"/>
    <col min="7246" max="7405" width="25.25" style="255"/>
    <col min="7406" max="7435" width="9" style="255" customWidth="1"/>
    <col min="7436" max="7436" width="0.5" style="255" customWidth="1"/>
    <col min="7437" max="7437" width="25.25" style="255"/>
    <col min="7438" max="7438" width="0.5" style="255" customWidth="1"/>
    <col min="7439" max="7439" width="25.25" style="255"/>
    <col min="7440" max="7440" width="14.75" style="255" customWidth="1"/>
    <col min="7441" max="7441" width="11.5" style="255" customWidth="1"/>
    <col min="7442" max="7442" width="11.25" style="255" customWidth="1"/>
    <col min="7443" max="7443" width="10.75" style="255" customWidth="1"/>
    <col min="7444" max="7444" width="10" style="255" customWidth="1"/>
    <col min="7445" max="7445" width="9.875" style="255" customWidth="1"/>
    <col min="7446" max="7446" width="26.125" style="255" customWidth="1"/>
    <col min="7447" max="7447" width="11.125" style="255" customWidth="1"/>
    <col min="7448" max="7448" width="7.875" style="255" customWidth="1"/>
    <col min="7449" max="7449" width="7.25" style="255" customWidth="1"/>
    <col min="7450" max="7450" width="9.125" style="255" customWidth="1"/>
    <col min="7451" max="7451" width="15.125" style="255" customWidth="1"/>
    <col min="7452" max="7452" width="7.75" style="255" customWidth="1"/>
    <col min="7453" max="7453" width="7.125" style="255" customWidth="1"/>
    <col min="7454" max="7454" width="12.125" style="255" customWidth="1"/>
    <col min="7455" max="7455" width="8.25" style="255" customWidth="1"/>
    <col min="7456" max="7457" width="10.375" style="255" customWidth="1"/>
    <col min="7458" max="7458" width="15.625" style="255" customWidth="1"/>
    <col min="7459" max="7459" width="15.875" style="255" customWidth="1"/>
    <col min="7460" max="7460" width="8.125" style="255" customWidth="1"/>
    <col min="7461" max="7464" width="10.375" style="255" customWidth="1"/>
    <col min="7465" max="7465" width="7.25" style="255" customWidth="1"/>
    <col min="7466" max="7466" width="7.125" style="255" customWidth="1"/>
    <col min="7467" max="7467" width="9.5" style="255" customWidth="1"/>
    <col min="7468" max="7469" width="9" style="255" customWidth="1"/>
    <col min="7470" max="7470" width="16.125" style="255" customWidth="1"/>
    <col min="7471" max="7501" width="9" style="255" customWidth="1"/>
    <col min="7502" max="7661" width="25.25" style="255"/>
    <col min="7662" max="7691" width="9" style="255" customWidth="1"/>
    <col min="7692" max="7692" width="0.5" style="255" customWidth="1"/>
    <col min="7693" max="7693" width="25.25" style="255"/>
    <col min="7694" max="7694" width="0.5" style="255" customWidth="1"/>
    <col min="7695" max="7695" width="25.25" style="255"/>
    <col min="7696" max="7696" width="14.75" style="255" customWidth="1"/>
    <col min="7697" max="7697" width="11.5" style="255" customWidth="1"/>
    <col min="7698" max="7698" width="11.25" style="255" customWidth="1"/>
    <col min="7699" max="7699" width="10.75" style="255" customWidth="1"/>
    <col min="7700" max="7700" width="10" style="255" customWidth="1"/>
    <col min="7701" max="7701" width="9.875" style="255" customWidth="1"/>
    <col min="7702" max="7702" width="26.125" style="255" customWidth="1"/>
    <col min="7703" max="7703" width="11.125" style="255" customWidth="1"/>
    <col min="7704" max="7704" width="7.875" style="255" customWidth="1"/>
    <col min="7705" max="7705" width="7.25" style="255" customWidth="1"/>
    <col min="7706" max="7706" width="9.125" style="255" customWidth="1"/>
    <col min="7707" max="7707" width="15.125" style="255" customWidth="1"/>
    <col min="7708" max="7708" width="7.75" style="255" customWidth="1"/>
    <col min="7709" max="7709" width="7.125" style="255" customWidth="1"/>
    <col min="7710" max="7710" width="12.125" style="255" customWidth="1"/>
    <col min="7711" max="7711" width="8.25" style="255" customWidth="1"/>
    <col min="7712" max="7713" width="10.375" style="255" customWidth="1"/>
    <col min="7714" max="7714" width="15.625" style="255" customWidth="1"/>
    <col min="7715" max="7715" width="15.875" style="255" customWidth="1"/>
    <col min="7716" max="7716" width="8.125" style="255" customWidth="1"/>
    <col min="7717" max="7720" width="10.375" style="255" customWidth="1"/>
    <col min="7721" max="7721" width="7.25" style="255" customWidth="1"/>
    <col min="7722" max="7722" width="7.125" style="255" customWidth="1"/>
    <col min="7723" max="7723" width="9.5" style="255" customWidth="1"/>
    <col min="7724" max="7725" width="9" style="255" customWidth="1"/>
    <col min="7726" max="7726" width="16.125" style="255" customWidth="1"/>
    <col min="7727" max="7757" width="9" style="255" customWidth="1"/>
    <col min="7758" max="7917" width="25.25" style="255"/>
    <col min="7918" max="7947" width="9" style="255" customWidth="1"/>
    <col min="7948" max="7948" width="0.5" style="255" customWidth="1"/>
    <col min="7949" max="7949" width="25.25" style="255"/>
    <col min="7950" max="7950" width="0.5" style="255" customWidth="1"/>
    <col min="7951" max="7951" width="25.25" style="255"/>
    <col min="7952" max="7952" width="14.75" style="255" customWidth="1"/>
    <col min="7953" max="7953" width="11.5" style="255" customWidth="1"/>
    <col min="7954" max="7954" width="11.25" style="255" customWidth="1"/>
    <col min="7955" max="7955" width="10.75" style="255" customWidth="1"/>
    <col min="7956" max="7956" width="10" style="255" customWidth="1"/>
    <col min="7957" max="7957" width="9.875" style="255" customWidth="1"/>
    <col min="7958" max="7958" width="26.125" style="255" customWidth="1"/>
    <col min="7959" max="7959" width="11.125" style="255" customWidth="1"/>
    <col min="7960" max="7960" width="7.875" style="255" customWidth="1"/>
    <col min="7961" max="7961" width="7.25" style="255" customWidth="1"/>
    <col min="7962" max="7962" width="9.125" style="255" customWidth="1"/>
    <col min="7963" max="7963" width="15.125" style="255" customWidth="1"/>
    <col min="7964" max="7964" width="7.75" style="255" customWidth="1"/>
    <col min="7965" max="7965" width="7.125" style="255" customWidth="1"/>
    <col min="7966" max="7966" width="12.125" style="255" customWidth="1"/>
    <col min="7967" max="7967" width="8.25" style="255" customWidth="1"/>
    <col min="7968" max="7969" width="10.375" style="255" customWidth="1"/>
    <col min="7970" max="7970" width="15.625" style="255" customWidth="1"/>
    <col min="7971" max="7971" width="15.875" style="255" customWidth="1"/>
    <col min="7972" max="7972" width="8.125" style="255" customWidth="1"/>
    <col min="7973" max="7976" width="10.375" style="255" customWidth="1"/>
    <col min="7977" max="7977" width="7.25" style="255" customWidth="1"/>
    <col min="7978" max="7978" width="7.125" style="255" customWidth="1"/>
    <col min="7979" max="7979" width="9.5" style="255" customWidth="1"/>
    <col min="7980" max="7981" width="9" style="255" customWidth="1"/>
    <col min="7982" max="7982" width="16.125" style="255" customWidth="1"/>
    <col min="7983" max="8013" width="9" style="255" customWidth="1"/>
    <col min="8014" max="8173" width="25.25" style="255"/>
    <col min="8174" max="8203" width="9" style="255" customWidth="1"/>
    <col min="8204" max="8204" width="0.5" style="255" customWidth="1"/>
    <col min="8205" max="8205" width="25.25" style="255"/>
    <col min="8206" max="8206" width="0.5" style="255" customWidth="1"/>
    <col min="8207" max="8207" width="25.25" style="255"/>
    <col min="8208" max="8208" width="14.75" style="255" customWidth="1"/>
    <col min="8209" max="8209" width="11.5" style="255" customWidth="1"/>
    <col min="8210" max="8210" width="11.25" style="255" customWidth="1"/>
    <col min="8211" max="8211" width="10.75" style="255" customWidth="1"/>
    <col min="8212" max="8212" width="10" style="255" customWidth="1"/>
    <col min="8213" max="8213" width="9.875" style="255" customWidth="1"/>
    <col min="8214" max="8214" width="26.125" style="255" customWidth="1"/>
    <col min="8215" max="8215" width="11.125" style="255" customWidth="1"/>
    <col min="8216" max="8216" width="7.875" style="255" customWidth="1"/>
    <col min="8217" max="8217" width="7.25" style="255" customWidth="1"/>
    <col min="8218" max="8218" width="9.125" style="255" customWidth="1"/>
    <col min="8219" max="8219" width="15.125" style="255" customWidth="1"/>
    <col min="8220" max="8220" width="7.75" style="255" customWidth="1"/>
    <col min="8221" max="8221" width="7.125" style="255" customWidth="1"/>
    <col min="8222" max="8222" width="12.125" style="255" customWidth="1"/>
    <col min="8223" max="8223" width="8.25" style="255" customWidth="1"/>
    <col min="8224" max="8225" width="10.375" style="255" customWidth="1"/>
    <col min="8226" max="8226" width="15.625" style="255" customWidth="1"/>
    <col min="8227" max="8227" width="15.875" style="255" customWidth="1"/>
    <col min="8228" max="8228" width="8.125" style="255" customWidth="1"/>
    <col min="8229" max="8232" width="10.375" style="255" customWidth="1"/>
    <col min="8233" max="8233" width="7.25" style="255" customWidth="1"/>
    <col min="8234" max="8234" width="7.125" style="255" customWidth="1"/>
    <col min="8235" max="8235" width="9.5" style="255" customWidth="1"/>
    <col min="8236" max="8237" width="9" style="255" customWidth="1"/>
    <col min="8238" max="8238" width="16.125" style="255" customWidth="1"/>
    <col min="8239" max="8269" width="9" style="255" customWidth="1"/>
    <col min="8270" max="8429" width="25.25" style="255"/>
    <col min="8430" max="8459" width="9" style="255" customWidth="1"/>
    <col min="8460" max="8460" width="0.5" style="255" customWidth="1"/>
    <col min="8461" max="8461" width="25.25" style="255"/>
    <col min="8462" max="8462" width="0.5" style="255" customWidth="1"/>
    <col min="8463" max="8463" width="25.25" style="255"/>
    <col min="8464" max="8464" width="14.75" style="255" customWidth="1"/>
    <col min="8465" max="8465" width="11.5" style="255" customWidth="1"/>
    <col min="8466" max="8466" width="11.25" style="255" customWidth="1"/>
    <col min="8467" max="8467" width="10.75" style="255" customWidth="1"/>
    <col min="8468" max="8468" width="10" style="255" customWidth="1"/>
    <col min="8469" max="8469" width="9.875" style="255" customWidth="1"/>
    <col min="8470" max="8470" width="26.125" style="255" customWidth="1"/>
    <col min="8471" max="8471" width="11.125" style="255" customWidth="1"/>
    <col min="8472" max="8472" width="7.875" style="255" customWidth="1"/>
    <col min="8473" max="8473" width="7.25" style="255" customWidth="1"/>
    <col min="8474" max="8474" width="9.125" style="255" customWidth="1"/>
    <col min="8475" max="8475" width="15.125" style="255" customWidth="1"/>
    <col min="8476" max="8476" width="7.75" style="255" customWidth="1"/>
    <col min="8477" max="8477" width="7.125" style="255" customWidth="1"/>
    <col min="8478" max="8478" width="12.125" style="255" customWidth="1"/>
    <col min="8479" max="8479" width="8.25" style="255" customWidth="1"/>
    <col min="8480" max="8481" width="10.375" style="255" customWidth="1"/>
    <col min="8482" max="8482" width="15.625" style="255" customWidth="1"/>
    <col min="8483" max="8483" width="15.875" style="255" customWidth="1"/>
    <col min="8484" max="8484" width="8.125" style="255" customWidth="1"/>
    <col min="8485" max="8488" width="10.375" style="255" customWidth="1"/>
    <col min="8489" max="8489" width="7.25" style="255" customWidth="1"/>
    <col min="8490" max="8490" width="7.125" style="255" customWidth="1"/>
    <col min="8491" max="8491" width="9.5" style="255" customWidth="1"/>
    <col min="8492" max="8493" width="9" style="255" customWidth="1"/>
    <col min="8494" max="8494" width="16.125" style="255" customWidth="1"/>
    <col min="8495" max="8525" width="9" style="255" customWidth="1"/>
    <col min="8526" max="8685" width="25.25" style="255"/>
    <col min="8686" max="8715" width="9" style="255" customWidth="1"/>
    <col min="8716" max="8716" width="0.5" style="255" customWidth="1"/>
    <col min="8717" max="8717" width="25.25" style="255"/>
    <col min="8718" max="8718" width="0.5" style="255" customWidth="1"/>
    <col min="8719" max="8719" width="25.25" style="255"/>
    <col min="8720" max="8720" width="14.75" style="255" customWidth="1"/>
    <col min="8721" max="8721" width="11.5" style="255" customWidth="1"/>
    <col min="8722" max="8722" width="11.25" style="255" customWidth="1"/>
    <col min="8723" max="8723" width="10.75" style="255" customWidth="1"/>
    <col min="8724" max="8724" width="10" style="255" customWidth="1"/>
    <col min="8725" max="8725" width="9.875" style="255" customWidth="1"/>
    <col min="8726" max="8726" width="26.125" style="255" customWidth="1"/>
    <col min="8727" max="8727" width="11.125" style="255" customWidth="1"/>
    <col min="8728" max="8728" width="7.875" style="255" customWidth="1"/>
    <col min="8729" max="8729" width="7.25" style="255" customWidth="1"/>
    <col min="8730" max="8730" width="9.125" style="255" customWidth="1"/>
    <col min="8731" max="8731" width="15.125" style="255" customWidth="1"/>
    <col min="8732" max="8732" width="7.75" style="255" customWidth="1"/>
    <col min="8733" max="8733" width="7.125" style="255" customWidth="1"/>
    <col min="8734" max="8734" width="12.125" style="255" customWidth="1"/>
    <col min="8735" max="8735" width="8.25" style="255" customWidth="1"/>
    <col min="8736" max="8737" width="10.375" style="255" customWidth="1"/>
    <col min="8738" max="8738" width="15.625" style="255" customWidth="1"/>
    <col min="8739" max="8739" width="15.875" style="255" customWidth="1"/>
    <col min="8740" max="8740" width="8.125" style="255" customWidth="1"/>
    <col min="8741" max="8744" width="10.375" style="255" customWidth="1"/>
    <col min="8745" max="8745" width="7.25" style="255" customWidth="1"/>
    <col min="8746" max="8746" width="7.125" style="255" customWidth="1"/>
    <col min="8747" max="8747" width="9.5" style="255" customWidth="1"/>
    <col min="8748" max="8749" width="9" style="255" customWidth="1"/>
    <col min="8750" max="8750" width="16.125" style="255" customWidth="1"/>
    <col min="8751" max="8781" width="9" style="255" customWidth="1"/>
    <col min="8782" max="8941" width="25.25" style="255"/>
    <col min="8942" max="8971" width="9" style="255" customWidth="1"/>
    <col min="8972" max="8972" width="0.5" style="255" customWidth="1"/>
    <col min="8973" max="8973" width="25.25" style="255"/>
    <col min="8974" max="8974" width="0.5" style="255" customWidth="1"/>
    <col min="8975" max="8975" width="25.25" style="255"/>
    <col min="8976" max="8976" width="14.75" style="255" customWidth="1"/>
    <col min="8977" max="8977" width="11.5" style="255" customWidth="1"/>
    <col min="8978" max="8978" width="11.25" style="255" customWidth="1"/>
    <col min="8979" max="8979" width="10.75" style="255" customWidth="1"/>
    <col min="8980" max="8980" width="10" style="255" customWidth="1"/>
    <col min="8981" max="8981" width="9.875" style="255" customWidth="1"/>
    <col min="8982" max="8982" width="26.125" style="255" customWidth="1"/>
    <col min="8983" max="8983" width="11.125" style="255" customWidth="1"/>
    <col min="8984" max="8984" width="7.875" style="255" customWidth="1"/>
    <col min="8985" max="8985" width="7.25" style="255" customWidth="1"/>
    <col min="8986" max="8986" width="9.125" style="255" customWidth="1"/>
    <col min="8987" max="8987" width="15.125" style="255" customWidth="1"/>
    <col min="8988" max="8988" width="7.75" style="255" customWidth="1"/>
    <col min="8989" max="8989" width="7.125" style="255" customWidth="1"/>
    <col min="8990" max="8990" width="12.125" style="255" customWidth="1"/>
    <col min="8991" max="8991" width="8.25" style="255" customWidth="1"/>
    <col min="8992" max="8993" width="10.375" style="255" customWidth="1"/>
    <col min="8994" max="8994" width="15.625" style="255" customWidth="1"/>
    <col min="8995" max="8995" width="15.875" style="255" customWidth="1"/>
    <col min="8996" max="8996" width="8.125" style="255" customWidth="1"/>
    <col min="8997" max="9000" width="10.375" style="255" customWidth="1"/>
    <col min="9001" max="9001" width="7.25" style="255" customWidth="1"/>
    <col min="9002" max="9002" width="7.125" style="255" customWidth="1"/>
    <col min="9003" max="9003" width="9.5" style="255" customWidth="1"/>
    <col min="9004" max="9005" width="9" style="255" customWidth="1"/>
    <col min="9006" max="9006" width="16.125" style="255" customWidth="1"/>
    <col min="9007" max="9037" width="9" style="255" customWidth="1"/>
    <col min="9038" max="9197" width="25.25" style="255"/>
    <col min="9198" max="9227" width="9" style="255" customWidth="1"/>
    <col min="9228" max="9228" width="0.5" style="255" customWidth="1"/>
    <col min="9229" max="9229" width="25.25" style="255"/>
    <col min="9230" max="9230" width="0.5" style="255" customWidth="1"/>
    <col min="9231" max="9231" width="25.25" style="255"/>
    <col min="9232" max="9232" width="14.75" style="255" customWidth="1"/>
    <col min="9233" max="9233" width="11.5" style="255" customWidth="1"/>
    <col min="9234" max="9234" width="11.25" style="255" customWidth="1"/>
    <col min="9235" max="9235" width="10.75" style="255" customWidth="1"/>
    <col min="9236" max="9236" width="10" style="255" customWidth="1"/>
    <col min="9237" max="9237" width="9.875" style="255" customWidth="1"/>
    <col min="9238" max="9238" width="26.125" style="255" customWidth="1"/>
    <col min="9239" max="9239" width="11.125" style="255" customWidth="1"/>
    <col min="9240" max="9240" width="7.875" style="255" customWidth="1"/>
    <col min="9241" max="9241" width="7.25" style="255" customWidth="1"/>
    <col min="9242" max="9242" width="9.125" style="255" customWidth="1"/>
    <col min="9243" max="9243" width="15.125" style="255" customWidth="1"/>
    <col min="9244" max="9244" width="7.75" style="255" customWidth="1"/>
    <col min="9245" max="9245" width="7.125" style="255" customWidth="1"/>
    <col min="9246" max="9246" width="12.125" style="255" customWidth="1"/>
    <col min="9247" max="9247" width="8.25" style="255" customWidth="1"/>
    <col min="9248" max="9249" width="10.375" style="255" customWidth="1"/>
    <col min="9250" max="9250" width="15.625" style="255" customWidth="1"/>
    <col min="9251" max="9251" width="15.875" style="255" customWidth="1"/>
    <col min="9252" max="9252" width="8.125" style="255" customWidth="1"/>
    <col min="9253" max="9256" width="10.375" style="255" customWidth="1"/>
    <col min="9257" max="9257" width="7.25" style="255" customWidth="1"/>
    <col min="9258" max="9258" width="7.125" style="255" customWidth="1"/>
    <col min="9259" max="9259" width="9.5" style="255" customWidth="1"/>
    <col min="9260" max="9261" width="9" style="255" customWidth="1"/>
    <col min="9262" max="9262" width="16.125" style="255" customWidth="1"/>
    <col min="9263" max="9293" width="9" style="255" customWidth="1"/>
    <col min="9294" max="9453" width="25.25" style="255"/>
    <col min="9454" max="9483" width="9" style="255" customWidth="1"/>
    <col min="9484" max="9484" width="0.5" style="255" customWidth="1"/>
    <col min="9485" max="9485" width="25.25" style="255"/>
    <col min="9486" max="9486" width="0.5" style="255" customWidth="1"/>
    <col min="9487" max="9487" width="25.25" style="255"/>
    <col min="9488" max="9488" width="14.75" style="255" customWidth="1"/>
    <col min="9489" max="9489" width="11.5" style="255" customWidth="1"/>
    <col min="9490" max="9490" width="11.25" style="255" customWidth="1"/>
    <col min="9491" max="9491" width="10.75" style="255" customWidth="1"/>
    <col min="9492" max="9492" width="10" style="255" customWidth="1"/>
    <col min="9493" max="9493" width="9.875" style="255" customWidth="1"/>
    <col min="9494" max="9494" width="26.125" style="255" customWidth="1"/>
    <col min="9495" max="9495" width="11.125" style="255" customWidth="1"/>
    <col min="9496" max="9496" width="7.875" style="255" customWidth="1"/>
    <col min="9497" max="9497" width="7.25" style="255" customWidth="1"/>
    <col min="9498" max="9498" width="9.125" style="255" customWidth="1"/>
    <col min="9499" max="9499" width="15.125" style="255" customWidth="1"/>
    <col min="9500" max="9500" width="7.75" style="255" customWidth="1"/>
    <col min="9501" max="9501" width="7.125" style="255" customWidth="1"/>
    <col min="9502" max="9502" width="12.125" style="255" customWidth="1"/>
    <col min="9503" max="9503" width="8.25" style="255" customWidth="1"/>
    <col min="9504" max="9505" width="10.375" style="255" customWidth="1"/>
    <col min="9506" max="9506" width="15.625" style="255" customWidth="1"/>
    <col min="9507" max="9507" width="15.875" style="255" customWidth="1"/>
    <col min="9508" max="9508" width="8.125" style="255" customWidth="1"/>
    <col min="9509" max="9512" width="10.375" style="255" customWidth="1"/>
    <col min="9513" max="9513" width="7.25" style="255" customWidth="1"/>
    <col min="9514" max="9514" width="7.125" style="255" customWidth="1"/>
    <col min="9515" max="9515" width="9.5" style="255" customWidth="1"/>
    <col min="9516" max="9517" width="9" style="255" customWidth="1"/>
    <col min="9518" max="9518" width="16.125" style="255" customWidth="1"/>
    <col min="9519" max="9549" width="9" style="255" customWidth="1"/>
    <col min="9550" max="9709" width="25.25" style="255"/>
    <col min="9710" max="9739" width="9" style="255" customWidth="1"/>
    <col min="9740" max="9740" width="0.5" style="255" customWidth="1"/>
    <col min="9741" max="9741" width="25.25" style="255"/>
    <col min="9742" max="9742" width="0.5" style="255" customWidth="1"/>
    <col min="9743" max="9743" width="25.25" style="255"/>
    <col min="9744" max="9744" width="14.75" style="255" customWidth="1"/>
    <col min="9745" max="9745" width="11.5" style="255" customWidth="1"/>
    <col min="9746" max="9746" width="11.25" style="255" customWidth="1"/>
    <col min="9747" max="9747" width="10.75" style="255" customWidth="1"/>
    <col min="9748" max="9748" width="10" style="255" customWidth="1"/>
    <col min="9749" max="9749" width="9.875" style="255" customWidth="1"/>
    <col min="9750" max="9750" width="26.125" style="255" customWidth="1"/>
    <col min="9751" max="9751" width="11.125" style="255" customWidth="1"/>
    <col min="9752" max="9752" width="7.875" style="255" customWidth="1"/>
    <col min="9753" max="9753" width="7.25" style="255" customWidth="1"/>
    <col min="9754" max="9754" width="9.125" style="255" customWidth="1"/>
    <col min="9755" max="9755" width="15.125" style="255" customWidth="1"/>
    <col min="9756" max="9756" width="7.75" style="255" customWidth="1"/>
    <col min="9757" max="9757" width="7.125" style="255" customWidth="1"/>
    <col min="9758" max="9758" width="12.125" style="255" customWidth="1"/>
    <col min="9759" max="9759" width="8.25" style="255" customWidth="1"/>
    <col min="9760" max="9761" width="10.375" style="255" customWidth="1"/>
    <col min="9762" max="9762" width="15.625" style="255" customWidth="1"/>
    <col min="9763" max="9763" width="15.875" style="255" customWidth="1"/>
    <col min="9764" max="9764" width="8.125" style="255" customWidth="1"/>
    <col min="9765" max="9768" width="10.375" style="255" customWidth="1"/>
    <col min="9769" max="9769" width="7.25" style="255" customWidth="1"/>
    <col min="9770" max="9770" width="7.125" style="255" customWidth="1"/>
    <col min="9771" max="9771" width="9.5" style="255" customWidth="1"/>
    <col min="9772" max="9773" width="9" style="255" customWidth="1"/>
    <col min="9774" max="9774" width="16.125" style="255" customWidth="1"/>
    <col min="9775" max="9805" width="9" style="255" customWidth="1"/>
    <col min="9806" max="9965" width="25.25" style="255"/>
    <col min="9966" max="9995" width="9" style="255" customWidth="1"/>
    <col min="9996" max="9996" width="0.5" style="255" customWidth="1"/>
    <col min="9997" max="9997" width="25.25" style="255"/>
    <col min="9998" max="9998" width="0.5" style="255" customWidth="1"/>
    <col min="9999" max="9999" width="25.25" style="255"/>
    <col min="10000" max="10000" width="14.75" style="255" customWidth="1"/>
    <col min="10001" max="10001" width="11.5" style="255" customWidth="1"/>
    <col min="10002" max="10002" width="11.25" style="255" customWidth="1"/>
    <col min="10003" max="10003" width="10.75" style="255" customWidth="1"/>
    <col min="10004" max="10004" width="10" style="255" customWidth="1"/>
    <col min="10005" max="10005" width="9.875" style="255" customWidth="1"/>
    <col min="10006" max="10006" width="26.125" style="255" customWidth="1"/>
    <col min="10007" max="10007" width="11.125" style="255" customWidth="1"/>
    <col min="10008" max="10008" width="7.875" style="255" customWidth="1"/>
    <col min="10009" max="10009" width="7.25" style="255" customWidth="1"/>
    <col min="10010" max="10010" width="9.125" style="255" customWidth="1"/>
    <col min="10011" max="10011" width="15.125" style="255" customWidth="1"/>
    <col min="10012" max="10012" width="7.75" style="255" customWidth="1"/>
    <col min="10013" max="10013" width="7.125" style="255" customWidth="1"/>
    <col min="10014" max="10014" width="12.125" style="255" customWidth="1"/>
    <col min="10015" max="10015" width="8.25" style="255" customWidth="1"/>
    <col min="10016" max="10017" width="10.375" style="255" customWidth="1"/>
    <col min="10018" max="10018" width="15.625" style="255" customWidth="1"/>
    <col min="10019" max="10019" width="15.875" style="255" customWidth="1"/>
    <col min="10020" max="10020" width="8.125" style="255" customWidth="1"/>
    <col min="10021" max="10024" width="10.375" style="255" customWidth="1"/>
    <col min="10025" max="10025" width="7.25" style="255" customWidth="1"/>
    <col min="10026" max="10026" width="7.125" style="255" customWidth="1"/>
    <col min="10027" max="10027" width="9.5" style="255" customWidth="1"/>
    <col min="10028" max="10029" width="9" style="255" customWidth="1"/>
    <col min="10030" max="10030" width="16.125" style="255" customWidth="1"/>
    <col min="10031" max="10061" width="9" style="255" customWidth="1"/>
    <col min="10062" max="10221" width="25.25" style="255"/>
    <col min="10222" max="10251" width="9" style="255" customWidth="1"/>
    <col min="10252" max="10252" width="0.5" style="255" customWidth="1"/>
    <col min="10253" max="10253" width="25.25" style="255"/>
    <col min="10254" max="10254" width="0.5" style="255" customWidth="1"/>
    <col min="10255" max="10255" width="25.25" style="255"/>
    <col min="10256" max="10256" width="14.75" style="255" customWidth="1"/>
    <col min="10257" max="10257" width="11.5" style="255" customWidth="1"/>
    <col min="10258" max="10258" width="11.25" style="255" customWidth="1"/>
    <col min="10259" max="10259" width="10.75" style="255" customWidth="1"/>
    <col min="10260" max="10260" width="10" style="255" customWidth="1"/>
    <col min="10261" max="10261" width="9.875" style="255" customWidth="1"/>
    <col min="10262" max="10262" width="26.125" style="255" customWidth="1"/>
    <col min="10263" max="10263" width="11.125" style="255" customWidth="1"/>
    <col min="10264" max="10264" width="7.875" style="255" customWidth="1"/>
    <col min="10265" max="10265" width="7.25" style="255" customWidth="1"/>
    <col min="10266" max="10266" width="9.125" style="255" customWidth="1"/>
    <col min="10267" max="10267" width="15.125" style="255" customWidth="1"/>
    <col min="10268" max="10268" width="7.75" style="255" customWidth="1"/>
    <col min="10269" max="10269" width="7.125" style="255" customWidth="1"/>
    <col min="10270" max="10270" width="12.125" style="255" customWidth="1"/>
    <col min="10271" max="10271" width="8.25" style="255" customWidth="1"/>
    <col min="10272" max="10273" width="10.375" style="255" customWidth="1"/>
    <col min="10274" max="10274" width="15.625" style="255" customWidth="1"/>
    <col min="10275" max="10275" width="15.875" style="255" customWidth="1"/>
    <col min="10276" max="10276" width="8.125" style="255" customWidth="1"/>
    <col min="10277" max="10280" width="10.375" style="255" customWidth="1"/>
    <col min="10281" max="10281" width="7.25" style="255" customWidth="1"/>
    <col min="10282" max="10282" width="7.125" style="255" customWidth="1"/>
    <col min="10283" max="10283" width="9.5" style="255" customWidth="1"/>
    <col min="10284" max="10285" width="9" style="255" customWidth="1"/>
    <col min="10286" max="10286" width="16.125" style="255" customWidth="1"/>
    <col min="10287" max="10317" width="9" style="255" customWidth="1"/>
    <col min="10318" max="10477" width="25.25" style="255"/>
    <col min="10478" max="10507" width="9" style="255" customWidth="1"/>
    <col min="10508" max="10508" width="0.5" style="255" customWidth="1"/>
    <col min="10509" max="10509" width="25.25" style="255"/>
    <col min="10510" max="10510" width="0.5" style="255" customWidth="1"/>
    <col min="10511" max="10511" width="25.25" style="255"/>
    <col min="10512" max="10512" width="14.75" style="255" customWidth="1"/>
    <col min="10513" max="10513" width="11.5" style="255" customWidth="1"/>
    <col min="10514" max="10514" width="11.25" style="255" customWidth="1"/>
    <col min="10515" max="10515" width="10.75" style="255" customWidth="1"/>
    <col min="10516" max="10516" width="10" style="255" customWidth="1"/>
    <col min="10517" max="10517" width="9.875" style="255" customWidth="1"/>
    <col min="10518" max="10518" width="26.125" style="255" customWidth="1"/>
    <col min="10519" max="10519" width="11.125" style="255" customWidth="1"/>
    <col min="10520" max="10520" width="7.875" style="255" customWidth="1"/>
    <col min="10521" max="10521" width="7.25" style="255" customWidth="1"/>
    <col min="10522" max="10522" width="9.125" style="255" customWidth="1"/>
    <col min="10523" max="10523" width="15.125" style="255" customWidth="1"/>
    <col min="10524" max="10524" width="7.75" style="255" customWidth="1"/>
    <col min="10525" max="10525" width="7.125" style="255" customWidth="1"/>
    <col min="10526" max="10526" width="12.125" style="255" customWidth="1"/>
    <col min="10527" max="10527" width="8.25" style="255" customWidth="1"/>
    <col min="10528" max="10529" width="10.375" style="255" customWidth="1"/>
    <col min="10530" max="10530" width="15.625" style="255" customWidth="1"/>
    <col min="10531" max="10531" width="15.875" style="255" customWidth="1"/>
    <col min="10532" max="10532" width="8.125" style="255" customWidth="1"/>
    <col min="10533" max="10536" width="10.375" style="255" customWidth="1"/>
    <col min="10537" max="10537" width="7.25" style="255" customWidth="1"/>
    <col min="10538" max="10538" width="7.125" style="255" customWidth="1"/>
    <col min="10539" max="10539" width="9.5" style="255" customWidth="1"/>
    <col min="10540" max="10541" width="9" style="255" customWidth="1"/>
    <col min="10542" max="10542" width="16.125" style="255" customWidth="1"/>
    <col min="10543" max="10573" width="9" style="255" customWidth="1"/>
    <col min="10574" max="10733" width="25.25" style="255"/>
    <col min="10734" max="10763" width="9" style="255" customWidth="1"/>
    <col min="10764" max="10764" width="0.5" style="255" customWidth="1"/>
    <col min="10765" max="10765" width="25.25" style="255"/>
    <col min="10766" max="10766" width="0.5" style="255" customWidth="1"/>
    <col min="10767" max="10767" width="25.25" style="255"/>
    <col min="10768" max="10768" width="14.75" style="255" customWidth="1"/>
    <col min="10769" max="10769" width="11.5" style="255" customWidth="1"/>
    <col min="10770" max="10770" width="11.25" style="255" customWidth="1"/>
    <col min="10771" max="10771" width="10.75" style="255" customWidth="1"/>
    <col min="10772" max="10772" width="10" style="255" customWidth="1"/>
    <col min="10773" max="10773" width="9.875" style="255" customWidth="1"/>
    <col min="10774" max="10774" width="26.125" style="255" customWidth="1"/>
    <col min="10775" max="10775" width="11.125" style="255" customWidth="1"/>
    <col min="10776" max="10776" width="7.875" style="255" customWidth="1"/>
    <col min="10777" max="10777" width="7.25" style="255" customWidth="1"/>
    <col min="10778" max="10778" width="9.125" style="255" customWidth="1"/>
    <col min="10779" max="10779" width="15.125" style="255" customWidth="1"/>
    <col min="10780" max="10780" width="7.75" style="255" customWidth="1"/>
    <col min="10781" max="10781" width="7.125" style="255" customWidth="1"/>
    <col min="10782" max="10782" width="12.125" style="255" customWidth="1"/>
    <col min="10783" max="10783" width="8.25" style="255" customWidth="1"/>
    <col min="10784" max="10785" width="10.375" style="255" customWidth="1"/>
    <col min="10786" max="10786" width="15.625" style="255" customWidth="1"/>
    <col min="10787" max="10787" width="15.875" style="255" customWidth="1"/>
    <col min="10788" max="10788" width="8.125" style="255" customWidth="1"/>
    <col min="10789" max="10792" width="10.375" style="255" customWidth="1"/>
    <col min="10793" max="10793" width="7.25" style="255" customWidth="1"/>
    <col min="10794" max="10794" width="7.125" style="255" customWidth="1"/>
    <col min="10795" max="10795" width="9.5" style="255" customWidth="1"/>
    <col min="10796" max="10797" width="9" style="255" customWidth="1"/>
    <col min="10798" max="10798" width="16.125" style="255" customWidth="1"/>
    <col min="10799" max="10829" width="9" style="255" customWidth="1"/>
    <col min="10830" max="10989" width="25.25" style="255"/>
    <col min="10990" max="11019" width="9" style="255" customWidth="1"/>
    <col min="11020" max="11020" width="0.5" style="255" customWidth="1"/>
    <col min="11021" max="11021" width="25.25" style="255"/>
    <col min="11022" max="11022" width="0.5" style="255" customWidth="1"/>
    <col min="11023" max="11023" width="25.25" style="255"/>
    <col min="11024" max="11024" width="14.75" style="255" customWidth="1"/>
    <col min="11025" max="11025" width="11.5" style="255" customWidth="1"/>
    <col min="11026" max="11026" width="11.25" style="255" customWidth="1"/>
    <col min="11027" max="11027" width="10.75" style="255" customWidth="1"/>
    <col min="11028" max="11028" width="10" style="255" customWidth="1"/>
    <col min="11029" max="11029" width="9.875" style="255" customWidth="1"/>
    <col min="11030" max="11030" width="26.125" style="255" customWidth="1"/>
    <col min="11031" max="11031" width="11.125" style="255" customWidth="1"/>
    <col min="11032" max="11032" width="7.875" style="255" customWidth="1"/>
    <col min="11033" max="11033" width="7.25" style="255" customWidth="1"/>
    <col min="11034" max="11034" width="9.125" style="255" customWidth="1"/>
    <col min="11035" max="11035" width="15.125" style="255" customWidth="1"/>
    <col min="11036" max="11036" width="7.75" style="255" customWidth="1"/>
    <col min="11037" max="11037" width="7.125" style="255" customWidth="1"/>
    <col min="11038" max="11038" width="12.125" style="255" customWidth="1"/>
    <col min="11039" max="11039" width="8.25" style="255" customWidth="1"/>
    <col min="11040" max="11041" width="10.375" style="255" customWidth="1"/>
    <col min="11042" max="11042" width="15.625" style="255" customWidth="1"/>
    <col min="11043" max="11043" width="15.875" style="255" customWidth="1"/>
    <col min="11044" max="11044" width="8.125" style="255" customWidth="1"/>
    <col min="11045" max="11048" width="10.375" style="255" customWidth="1"/>
    <col min="11049" max="11049" width="7.25" style="255" customWidth="1"/>
    <col min="11050" max="11050" width="7.125" style="255" customWidth="1"/>
    <col min="11051" max="11051" width="9.5" style="255" customWidth="1"/>
    <col min="11052" max="11053" width="9" style="255" customWidth="1"/>
    <col min="11054" max="11054" width="16.125" style="255" customWidth="1"/>
    <col min="11055" max="11085" width="9" style="255" customWidth="1"/>
    <col min="11086" max="11245" width="25.25" style="255"/>
    <col min="11246" max="11275" width="9" style="255" customWidth="1"/>
    <col min="11276" max="11276" width="0.5" style="255" customWidth="1"/>
    <col min="11277" max="11277" width="25.25" style="255"/>
    <col min="11278" max="11278" width="0.5" style="255" customWidth="1"/>
    <col min="11279" max="11279" width="25.25" style="255"/>
    <col min="11280" max="11280" width="14.75" style="255" customWidth="1"/>
    <col min="11281" max="11281" width="11.5" style="255" customWidth="1"/>
    <col min="11282" max="11282" width="11.25" style="255" customWidth="1"/>
    <col min="11283" max="11283" width="10.75" style="255" customWidth="1"/>
    <col min="11284" max="11284" width="10" style="255" customWidth="1"/>
    <col min="11285" max="11285" width="9.875" style="255" customWidth="1"/>
    <col min="11286" max="11286" width="26.125" style="255" customWidth="1"/>
    <col min="11287" max="11287" width="11.125" style="255" customWidth="1"/>
    <col min="11288" max="11288" width="7.875" style="255" customWidth="1"/>
    <col min="11289" max="11289" width="7.25" style="255" customWidth="1"/>
    <col min="11290" max="11290" width="9.125" style="255" customWidth="1"/>
    <col min="11291" max="11291" width="15.125" style="255" customWidth="1"/>
    <col min="11292" max="11292" width="7.75" style="255" customWidth="1"/>
    <col min="11293" max="11293" width="7.125" style="255" customWidth="1"/>
    <col min="11294" max="11294" width="12.125" style="255" customWidth="1"/>
    <col min="11295" max="11295" width="8.25" style="255" customWidth="1"/>
    <col min="11296" max="11297" width="10.375" style="255" customWidth="1"/>
    <col min="11298" max="11298" width="15.625" style="255" customWidth="1"/>
    <col min="11299" max="11299" width="15.875" style="255" customWidth="1"/>
    <col min="11300" max="11300" width="8.125" style="255" customWidth="1"/>
    <col min="11301" max="11304" width="10.375" style="255" customWidth="1"/>
    <col min="11305" max="11305" width="7.25" style="255" customWidth="1"/>
    <col min="11306" max="11306" width="7.125" style="255" customWidth="1"/>
    <col min="11307" max="11307" width="9.5" style="255" customWidth="1"/>
    <col min="11308" max="11309" width="9" style="255" customWidth="1"/>
    <col min="11310" max="11310" width="16.125" style="255" customWidth="1"/>
    <col min="11311" max="11341" width="9" style="255" customWidth="1"/>
    <col min="11342" max="11501" width="25.25" style="255"/>
    <col min="11502" max="11531" width="9" style="255" customWidth="1"/>
    <col min="11532" max="11532" width="0.5" style="255" customWidth="1"/>
    <col min="11533" max="11533" width="25.25" style="255"/>
    <col min="11534" max="11534" width="0.5" style="255" customWidth="1"/>
    <col min="11535" max="11535" width="25.25" style="255"/>
    <col min="11536" max="11536" width="14.75" style="255" customWidth="1"/>
    <col min="11537" max="11537" width="11.5" style="255" customWidth="1"/>
    <col min="11538" max="11538" width="11.25" style="255" customWidth="1"/>
    <col min="11539" max="11539" width="10.75" style="255" customWidth="1"/>
    <col min="11540" max="11540" width="10" style="255" customWidth="1"/>
    <col min="11541" max="11541" width="9.875" style="255" customWidth="1"/>
    <col min="11542" max="11542" width="26.125" style="255" customWidth="1"/>
    <col min="11543" max="11543" width="11.125" style="255" customWidth="1"/>
    <col min="11544" max="11544" width="7.875" style="255" customWidth="1"/>
    <col min="11545" max="11545" width="7.25" style="255" customWidth="1"/>
    <col min="11546" max="11546" width="9.125" style="255" customWidth="1"/>
    <col min="11547" max="11547" width="15.125" style="255" customWidth="1"/>
    <col min="11548" max="11548" width="7.75" style="255" customWidth="1"/>
    <col min="11549" max="11549" width="7.125" style="255" customWidth="1"/>
    <col min="11550" max="11550" width="12.125" style="255" customWidth="1"/>
    <col min="11551" max="11551" width="8.25" style="255" customWidth="1"/>
    <col min="11552" max="11553" width="10.375" style="255" customWidth="1"/>
    <col min="11554" max="11554" width="15.625" style="255" customWidth="1"/>
    <col min="11555" max="11555" width="15.875" style="255" customWidth="1"/>
    <col min="11556" max="11556" width="8.125" style="255" customWidth="1"/>
    <col min="11557" max="11560" width="10.375" style="255" customWidth="1"/>
    <col min="11561" max="11561" width="7.25" style="255" customWidth="1"/>
    <col min="11562" max="11562" width="7.125" style="255" customWidth="1"/>
    <col min="11563" max="11563" width="9.5" style="255" customWidth="1"/>
    <col min="11564" max="11565" width="9" style="255" customWidth="1"/>
    <col min="11566" max="11566" width="16.125" style="255" customWidth="1"/>
    <col min="11567" max="11597" width="9" style="255" customWidth="1"/>
    <col min="11598" max="11757" width="25.25" style="255"/>
    <col min="11758" max="11787" width="9" style="255" customWidth="1"/>
    <col min="11788" max="11788" width="0.5" style="255" customWidth="1"/>
    <col min="11789" max="11789" width="25.25" style="255"/>
    <col min="11790" max="11790" width="0.5" style="255" customWidth="1"/>
    <col min="11791" max="11791" width="25.25" style="255"/>
    <col min="11792" max="11792" width="14.75" style="255" customWidth="1"/>
    <col min="11793" max="11793" width="11.5" style="255" customWidth="1"/>
    <col min="11794" max="11794" width="11.25" style="255" customWidth="1"/>
    <col min="11795" max="11795" width="10.75" style="255" customWidth="1"/>
    <col min="11796" max="11796" width="10" style="255" customWidth="1"/>
    <col min="11797" max="11797" width="9.875" style="255" customWidth="1"/>
    <col min="11798" max="11798" width="26.125" style="255" customWidth="1"/>
    <col min="11799" max="11799" width="11.125" style="255" customWidth="1"/>
    <col min="11800" max="11800" width="7.875" style="255" customWidth="1"/>
    <col min="11801" max="11801" width="7.25" style="255" customWidth="1"/>
    <col min="11802" max="11802" width="9.125" style="255" customWidth="1"/>
    <col min="11803" max="11803" width="15.125" style="255" customWidth="1"/>
    <col min="11804" max="11804" width="7.75" style="255" customWidth="1"/>
    <col min="11805" max="11805" width="7.125" style="255" customWidth="1"/>
    <col min="11806" max="11806" width="12.125" style="255" customWidth="1"/>
    <col min="11807" max="11807" width="8.25" style="255" customWidth="1"/>
    <col min="11808" max="11809" width="10.375" style="255" customWidth="1"/>
    <col min="11810" max="11810" width="15.625" style="255" customWidth="1"/>
    <col min="11811" max="11811" width="15.875" style="255" customWidth="1"/>
    <col min="11812" max="11812" width="8.125" style="255" customWidth="1"/>
    <col min="11813" max="11816" width="10.375" style="255" customWidth="1"/>
    <col min="11817" max="11817" width="7.25" style="255" customWidth="1"/>
    <col min="11818" max="11818" width="7.125" style="255" customWidth="1"/>
    <col min="11819" max="11819" width="9.5" style="255" customWidth="1"/>
    <col min="11820" max="11821" width="9" style="255" customWidth="1"/>
    <col min="11822" max="11822" width="16.125" style="255" customWidth="1"/>
    <col min="11823" max="11853" width="9" style="255" customWidth="1"/>
    <col min="11854" max="12013" width="25.25" style="255"/>
    <col min="12014" max="12043" width="9" style="255" customWidth="1"/>
    <col min="12044" max="12044" width="0.5" style="255" customWidth="1"/>
    <col min="12045" max="12045" width="25.25" style="255"/>
    <col min="12046" max="12046" width="0.5" style="255" customWidth="1"/>
    <col min="12047" max="12047" width="25.25" style="255"/>
    <col min="12048" max="12048" width="14.75" style="255" customWidth="1"/>
    <col min="12049" max="12049" width="11.5" style="255" customWidth="1"/>
    <col min="12050" max="12050" width="11.25" style="255" customWidth="1"/>
    <col min="12051" max="12051" width="10.75" style="255" customWidth="1"/>
    <col min="12052" max="12052" width="10" style="255" customWidth="1"/>
    <col min="12053" max="12053" width="9.875" style="255" customWidth="1"/>
    <col min="12054" max="12054" width="26.125" style="255" customWidth="1"/>
    <col min="12055" max="12055" width="11.125" style="255" customWidth="1"/>
    <col min="12056" max="12056" width="7.875" style="255" customWidth="1"/>
    <col min="12057" max="12057" width="7.25" style="255" customWidth="1"/>
    <col min="12058" max="12058" width="9.125" style="255" customWidth="1"/>
    <col min="12059" max="12059" width="15.125" style="255" customWidth="1"/>
    <col min="12060" max="12060" width="7.75" style="255" customWidth="1"/>
    <col min="12061" max="12061" width="7.125" style="255" customWidth="1"/>
    <col min="12062" max="12062" width="12.125" style="255" customWidth="1"/>
    <col min="12063" max="12063" width="8.25" style="255" customWidth="1"/>
    <col min="12064" max="12065" width="10.375" style="255" customWidth="1"/>
    <col min="12066" max="12066" width="15.625" style="255" customWidth="1"/>
    <col min="12067" max="12067" width="15.875" style="255" customWidth="1"/>
    <col min="12068" max="12068" width="8.125" style="255" customWidth="1"/>
    <col min="12069" max="12072" width="10.375" style="255" customWidth="1"/>
    <col min="12073" max="12073" width="7.25" style="255" customWidth="1"/>
    <col min="12074" max="12074" width="7.125" style="255" customWidth="1"/>
    <col min="12075" max="12075" width="9.5" style="255" customWidth="1"/>
    <col min="12076" max="12077" width="9" style="255" customWidth="1"/>
    <col min="12078" max="12078" width="16.125" style="255" customWidth="1"/>
    <col min="12079" max="12109" width="9" style="255" customWidth="1"/>
    <col min="12110" max="12269" width="25.25" style="255"/>
    <col min="12270" max="12299" width="9" style="255" customWidth="1"/>
    <col min="12300" max="12300" width="0.5" style="255" customWidth="1"/>
    <col min="12301" max="12301" width="25.25" style="255"/>
    <col min="12302" max="12302" width="0.5" style="255" customWidth="1"/>
    <col min="12303" max="12303" width="25.25" style="255"/>
    <col min="12304" max="12304" width="14.75" style="255" customWidth="1"/>
    <col min="12305" max="12305" width="11.5" style="255" customWidth="1"/>
    <col min="12306" max="12306" width="11.25" style="255" customWidth="1"/>
    <col min="12307" max="12307" width="10.75" style="255" customWidth="1"/>
    <col min="12308" max="12308" width="10" style="255" customWidth="1"/>
    <col min="12309" max="12309" width="9.875" style="255" customWidth="1"/>
    <col min="12310" max="12310" width="26.125" style="255" customWidth="1"/>
    <col min="12311" max="12311" width="11.125" style="255" customWidth="1"/>
    <col min="12312" max="12312" width="7.875" style="255" customWidth="1"/>
    <col min="12313" max="12313" width="7.25" style="255" customWidth="1"/>
    <col min="12314" max="12314" width="9.125" style="255" customWidth="1"/>
    <col min="12315" max="12315" width="15.125" style="255" customWidth="1"/>
    <col min="12316" max="12316" width="7.75" style="255" customWidth="1"/>
    <col min="12317" max="12317" width="7.125" style="255" customWidth="1"/>
    <col min="12318" max="12318" width="12.125" style="255" customWidth="1"/>
    <col min="12319" max="12319" width="8.25" style="255" customWidth="1"/>
    <col min="12320" max="12321" width="10.375" style="255" customWidth="1"/>
    <col min="12322" max="12322" width="15.625" style="255" customWidth="1"/>
    <col min="12323" max="12323" width="15.875" style="255" customWidth="1"/>
    <col min="12324" max="12324" width="8.125" style="255" customWidth="1"/>
    <col min="12325" max="12328" width="10.375" style="255" customWidth="1"/>
    <col min="12329" max="12329" width="7.25" style="255" customWidth="1"/>
    <col min="12330" max="12330" width="7.125" style="255" customWidth="1"/>
    <col min="12331" max="12331" width="9.5" style="255" customWidth="1"/>
    <col min="12332" max="12333" width="9" style="255" customWidth="1"/>
    <col min="12334" max="12334" width="16.125" style="255" customWidth="1"/>
    <col min="12335" max="12365" width="9" style="255" customWidth="1"/>
    <col min="12366" max="12525" width="25.25" style="255"/>
    <col min="12526" max="12555" width="9" style="255" customWidth="1"/>
    <col min="12556" max="12556" width="0.5" style="255" customWidth="1"/>
    <col min="12557" max="12557" width="25.25" style="255"/>
    <col min="12558" max="12558" width="0.5" style="255" customWidth="1"/>
    <col min="12559" max="12559" width="25.25" style="255"/>
    <col min="12560" max="12560" width="14.75" style="255" customWidth="1"/>
    <col min="12561" max="12561" width="11.5" style="255" customWidth="1"/>
    <col min="12562" max="12562" width="11.25" style="255" customWidth="1"/>
    <col min="12563" max="12563" width="10.75" style="255" customWidth="1"/>
    <col min="12564" max="12564" width="10" style="255" customWidth="1"/>
    <col min="12565" max="12565" width="9.875" style="255" customWidth="1"/>
    <col min="12566" max="12566" width="26.125" style="255" customWidth="1"/>
    <col min="12567" max="12567" width="11.125" style="255" customWidth="1"/>
    <col min="12568" max="12568" width="7.875" style="255" customWidth="1"/>
    <col min="12569" max="12569" width="7.25" style="255" customWidth="1"/>
    <col min="12570" max="12570" width="9.125" style="255" customWidth="1"/>
    <col min="12571" max="12571" width="15.125" style="255" customWidth="1"/>
    <col min="12572" max="12572" width="7.75" style="255" customWidth="1"/>
    <col min="12573" max="12573" width="7.125" style="255" customWidth="1"/>
    <col min="12574" max="12574" width="12.125" style="255" customWidth="1"/>
    <col min="12575" max="12575" width="8.25" style="255" customWidth="1"/>
    <col min="12576" max="12577" width="10.375" style="255" customWidth="1"/>
    <col min="12578" max="12578" width="15.625" style="255" customWidth="1"/>
    <col min="12579" max="12579" width="15.875" style="255" customWidth="1"/>
    <col min="12580" max="12580" width="8.125" style="255" customWidth="1"/>
    <col min="12581" max="12584" width="10.375" style="255" customWidth="1"/>
    <col min="12585" max="12585" width="7.25" style="255" customWidth="1"/>
    <col min="12586" max="12586" width="7.125" style="255" customWidth="1"/>
    <col min="12587" max="12587" width="9.5" style="255" customWidth="1"/>
    <col min="12588" max="12589" width="9" style="255" customWidth="1"/>
    <col min="12590" max="12590" width="16.125" style="255" customWidth="1"/>
    <col min="12591" max="12621" width="9" style="255" customWidth="1"/>
    <col min="12622" max="12781" width="25.25" style="255"/>
    <col min="12782" max="12811" width="9" style="255" customWidth="1"/>
    <col min="12812" max="12812" width="0.5" style="255" customWidth="1"/>
    <col min="12813" max="12813" width="25.25" style="255"/>
    <col min="12814" max="12814" width="0.5" style="255" customWidth="1"/>
    <col min="12815" max="12815" width="25.25" style="255"/>
    <col min="12816" max="12816" width="14.75" style="255" customWidth="1"/>
    <col min="12817" max="12817" width="11.5" style="255" customWidth="1"/>
    <col min="12818" max="12818" width="11.25" style="255" customWidth="1"/>
    <col min="12819" max="12819" width="10.75" style="255" customWidth="1"/>
    <col min="12820" max="12820" width="10" style="255" customWidth="1"/>
    <col min="12821" max="12821" width="9.875" style="255" customWidth="1"/>
    <col min="12822" max="12822" width="26.125" style="255" customWidth="1"/>
    <col min="12823" max="12823" width="11.125" style="255" customWidth="1"/>
    <col min="12824" max="12824" width="7.875" style="255" customWidth="1"/>
    <col min="12825" max="12825" width="7.25" style="255" customWidth="1"/>
    <col min="12826" max="12826" width="9.125" style="255" customWidth="1"/>
    <col min="12827" max="12827" width="15.125" style="255" customWidth="1"/>
    <col min="12828" max="12828" width="7.75" style="255" customWidth="1"/>
    <col min="12829" max="12829" width="7.125" style="255" customWidth="1"/>
    <col min="12830" max="12830" width="12.125" style="255" customWidth="1"/>
    <col min="12831" max="12831" width="8.25" style="255" customWidth="1"/>
    <col min="12832" max="12833" width="10.375" style="255" customWidth="1"/>
    <col min="12834" max="12834" width="15.625" style="255" customWidth="1"/>
    <col min="12835" max="12835" width="15.875" style="255" customWidth="1"/>
    <col min="12836" max="12836" width="8.125" style="255" customWidth="1"/>
    <col min="12837" max="12840" width="10.375" style="255" customWidth="1"/>
    <col min="12841" max="12841" width="7.25" style="255" customWidth="1"/>
    <col min="12842" max="12842" width="7.125" style="255" customWidth="1"/>
    <col min="12843" max="12843" width="9.5" style="255" customWidth="1"/>
    <col min="12844" max="12845" width="9" style="255" customWidth="1"/>
    <col min="12846" max="12846" width="16.125" style="255" customWidth="1"/>
    <col min="12847" max="12877" width="9" style="255" customWidth="1"/>
    <col min="12878" max="13037" width="25.25" style="255"/>
    <col min="13038" max="13067" width="9" style="255" customWidth="1"/>
    <col min="13068" max="13068" width="0.5" style="255" customWidth="1"/>
    <col min="13069" max="13069" width="25.25" style="255"/>
    <col min="13070" max="13070" width="0.5" style="255" customWidth="1"/>
    <col min="13071" max="13071" width="25.25" style="255"/>
    <col min="13072" max="13072" width="14.75" style="255" customWidth="1"/>
    <col min="13073" max="13073" width="11.5" style="255" customWidth="1"/>
    <col min="13074" max="13074" width="11.25" style="255" customWidth="1"/>
    <col min="13075" max="13075" width="10.75" style="255" customWidth="1"/>
    <col min="13076" max="13076" width="10" style="255" customWidth="1"/>
    <col min="13077" max="13077" width="9.875" style="255" customWidth="1"/>
    <col min="13078" max="13078" width="26.125" style="255" customWidth="1"/>
    <col min="13079" max="13079" width="11.125" style="255" customWidth="1"/>
    <col min="13080" max="13080" width="7.875" style="255" customWidth="1"/>
    <col min="13081" max="13081" width="7.25" style="255" customWidth="1"/>
    <col min="13082" max="13082" width="9.125" style="255" customWidth="1"/>
    <col min="13083" max="13083" width="15.125" style="255" customWidth="1"/>
    <col min="13084" max="13084" width="7.75" style="255" customWidth="1"/>
    <col min="13085" max="13085" width="7.125" style="255" customWidth="1"/>
    <col min="13086" max="13086" width="12.125" style="255" customWidth="1"/>
    <col min="13087" max="13087" width="8.25" style="255" customWidth="1"/>
    <col min="13088" max="13089" width="10.375" style="255" customWidth="1"/>
    <col min="13090" max="13090" width="15.625" style="255" customWidth="1"/>
    <col min="13091" max="13091" width="15.875" style="255" customWidth="1"/>
    <col min="13092" max="13092" width="8.125" style="255" customWidth="1"/>
    <col min="13093" max="13096" width="10.375" style="255" customWidth="1"/>
    <col min="13097" max="13097" width="7.25" style="255" customWidth="1"/>
    <col min="13098" max="13098" width="7.125" style="255" customWidth="1"/>
    <col min="13099" max="13099" width="9.5" style="255" customWidth="1"/>
    <col min="13100" max="13101" width="9" style="255" customWidth="1"/>
    <col min="13102" max="13102" width="16.125" style="255" customWidth="1"/>
    <col min="13103" max="13133" width="9" style="255" customWidth="1"/>
    <col min="13134" max="13293" width="25.25" style="255"/>
    <col min="13294" max="13323" width="9" style="255" customWidth="1"/>
    <col min="13324" max="13324" width="0.5" style="255" customWidth="1"/>
    <col min="13325" max="13325" width="25.25" style="255"/>
    <col min="13326" max="13326" width="0.5" style="255" customWidth="1"/>
    <col min="13327" max="13327" width="25.25" style="255"/>
    <col min="13328" max="13328" width="14.75" style="255" customWidth="1"/>
    <col min="13329" max="13329" width="11.5" style="255" customWidth="1"/>
    <col min="13330" max="13330" width="11.25" style="255" customWidth="1"/>
    <col min="13331" max="13331" width="10.75" style="255" customWidth="1"/>
    <col min="13332" max="13332" width="10" style="255" customWidth="1"/>
    <col min="13333" max="13333" width="9.875" style="255" customWidth="1"/>
    <col min="13334" max="13334" width="26.125" style="255" customWidth="1"/>
    <col min="13335" max="13335" width="11.125" style="255" customWidth="1"/>
    <col min="13336" max="13336" width="7.875" style="255" customWidth="1"/>
    <col min="13337" max="13337" width="7.25" style="255" customWidth="1"/>
    <col min="13338" max="13338" width="9.125" style="255" customWidth="1"/>
    <col min="13339" max="13339" width="15.125" style="255" customWidth="1"/>
    <col min="13340" max="13340" width="7.75" style="255" customWidth="1"/>
    <col min="13341" max="13341" width="7.125" style="255" customWidth="1"/>
    <col min="13342" max="13342" width="12.125" style="255" customWidth="1"/>
    <col min="13343" max="13343" width="8.25" style="255" customWidth="1"/>
    <col min="13344" max="13345" width="10.375" style="255" customWidth="1"/>
    <col min="13346" max="13346" width="15.625" style="255" customWidth="1"/>
    <col min="13347" max="13347" width="15.875" style="255" customWidth="1"/>
    <col min="13348" max="13348" width="8.125" style="255" customWidth="1"/>
    <col min="13349" max="13352" width="10.375" style="255" customWidth="1"/>
    <col min="13353" max="13353" width="7.25" style="255" customWidth="1"/>
    <col min="13354" max="13354" width="7.125" style="255" customWidth="1"/>
    <col min="13355" max="13355" width="9.5" style="255" customWidth="1"/>
    <col min="13356" max="13357" width="9" style="255" customWidth="1"/>
    <col min="13358" max="13358" width="16.125" style="255" customWidth="1"/>
    <col min="13359" max="13389" width="9" style="255" customWidth="1"/>
    <col min="13390" max="13549" width="25.25" style="255"/>
    <col min="13550" max="13579" width="9" style="255" customWidth="1"/>
    <col min="13580" max="13580" width="0.5" style="255" customWidth="1"/>
    <col min="13581" max="13581" width="25.25" style="255"/>
    <col min="13582" max="13582" width="0.5" style="255" customWidth="1"/>
    <col min="13583" max="13583" width="25.25" style="255"/>
    <col min="13584" max="13584" width="14.75" style="255" customWidth="1"/>
    <col min="13585" max="13585" width="11.5" style="255" customWidth="1"/>
    <col min="13586" max="13586" width="11.25" style="255" customWidth="1"/>
    <col min="13587" max="13587" width="10.75" style="255" customWidth="1"/>
    <col min="13588" max="13588" width="10" style="255" customWidth="1"/>
    <col min="13589" max="13589" width="9.875" style="255" customWidth="1"/>
    <col min="13590" max="13590" width="26.125" style="255" customWidth="1"/>
    <col min="13591" max="13591" width="11.125" style="255" customWidth="1"/>
    <col min="13592" max="13592" width="7.875" style="255" customWidth="1"/>
    <col min="13593" max="13593" width="7.25" style="255" customWidth="1"/>
    <col min="13594" max="13594" width="9.125" style="255" customWidth="1"/>
    <col min="13595" max="13595" width="15.125" style="255" customWidth="1"/>
    <col min="13596" max="13596" width="7.75" style="255" customWidth="1"/>
    <col min="13597" max="13597" width="7.125" style="255" customWidth="1"/>
    <col min="13598" max="13598" width="12.125" style="255" customWidth="1"/>
    <col min="13599" max="13599" width="8.25" style="255" customWidth="1"/>
    <col min="13600" max="13601" width="10.375" style="255" customWidth="1"/>
    <col min="13602" max="13602" width="15.625" style="255" customWidth="1"/>
    <col min="13603" max="13603" width="15.875" style="255" customWidth="1"/>
    <col min="13604" max="13604" width="8.125" style="255" customWidth="1"/>
    <col min="13605" max="13608" width="10.375" style="255" customWidth="1"/>
    <col min="13609" max="13609" width="7.25" style="255" customWidth="1"/>
    <col min="13610" max="13610" width="7.125" style="255" customWidth="1"/>
    <col min="13611" max="13611" width="9.5" style="255" customWidth="1"/>
    <col min="13612" max="13613" width="9" style="255" customWidth="1"/>
    <col min="13614" max="13614" width="16.125" style="255" customWidth="1"/>
    <col min="13615" max="13645" width="9" style="255" customWidth="1"/>
    <col min="13646" max="13805" width="25.25" style="255"/>
    <col min="13806" max="13835" width="9" style="255" customWidth="1"/>
    <col min="13836" max="13836" width="0.5" style="255" customWidth="1"/>
    <col min="13837" max="13837" width="25.25" style="255"/>
    <col min="13838" max="13838" width="0.5" style="255" customWidth="1"/>
    <col min="13839" max="13839" width="25.25" style="255"/>
    <col min="13840" max="13840" width="14.75" style="255" customWidth="1"/>
    <col min="13841" max="13841" width="11.5" style="255" customWidth="1"/>
    <col min="13842" max="13842" width="11.25" style="255" customWidth="1"/>
    <col min="13843" max="13843" width="10.75" style="255" customWidth="1"/>
    <col min="13844" max="13844" width="10" style="255" customWidth="1"/>
    <col min="13845" max="13845" width="9.875" style="255" customWidth="1"/>
    <col min="13846" max="13846" width="26.125" style="255" customWidth="1"/>
    <col min="13847" max="13847" width="11.125" style="255" customWidth="1"/>
    <col min="13848" max="13848" width="7.875" style="255" customWidth="1"/>
    <col min="13849" max="13849" width="7.25" style="255" customWidth="1"/>
    <col min="13850" max="13850" width="9.125" style="255" customWidth="1"/>
    <col min="13851" max="13851" width="15.125" style="255" customWidth="1"/>
    <col min="13852" max="13852" width="7.75" style="255" customWidth="1"/>
    <col min="13853" max="13853" width="7.125" style="255" customWidth="1"/>
    <col min="13854" max="13854" width="12.125" style="255" customWidth="1"/>
    <col min="13855" max="13855" width="8.25" style="255" customWidth="1"/>
    <col min="13856" max="13857" width="10.375" style="255" customWidth="1"/>
    <col min="13858" max="13858" width="15.625" style="255" customWidth="1"/>
    <col min="13859" max="13859" width="15.875" style="255" customWidth="1"/>
    <col min="13860" max="13860" width="8.125" style="255" customWidth="1"/>
    <col min="13861" max="13864" width="10.375" style="255" customWidth="1"/>
    <col min="13865" max="13865" width="7.25" style="255" customWidth="1"/>
    <col min="13866" max="13866" width="7.125" style="255" customWidth="1"/>
    <col min="13867" max="13867" width="9.5" style="255" customWidth="1"/>
    <col min="13868" max="13869" width="9" style="255" customWidth="1"/>
    <col min="13870" max="13870" width="16.125" style="255" customWidth="1"/>
    <col min="13871" max="13901" width="9" style="255" customWidth="1"/>
    <col min="13902" max="14061" width="25.25" style="255"/>
    <col min="14062" max="14091" width="9" style="255" customWidth="1"/>
    <col min="14092" max="14092" width="0.5" style="255" customWidth="1"/>
    <col min="14093" max="14093" width="25.25" style="255"/>
    <col min="14094" max="14094" width="0.5" style="255" customWidth="1"/>
    <col min="14095" max="14095" width="25.25" style="255"/>
    <col min="14096" max="14096" width="14.75" style="255" customWidth="1"/>
    <col min="14097" max="14097" width="11.5" style="255" customWidth="1"/>
    <col min="14098" max="14098" width="11.25" style="255" customWidth="1"/>
    <col min="14099" max="14099" width="10.75" style="255" customWidth="1"/>
    <col min="14100" max="14100" width="10" style="255" customWidth="1"/>
    <col min="14101" max="14101" width="9.875" style="255" customWidth="1"/>
    <col min="14102" max="14102" width="26.125" style="255" customWidth="1"/>
    <col min="14103" max="14103" width="11.125" style="255" customWidth="1"/>
    <col min="14104" max="14104" width="7.875" style="255" customWidth="1"/>
    <col min="14105" max="14105" width="7.25" style="255" customWidth="1"/>
    <col min="14106" max="14106" width="9.125" style="255" customWidth="1"/>
    <col min="14107" max="14107" width="15.125" style="255" customWidth="1"/>
    <col min="14108" max="14108" width="7.75" style="255" customWidth="1"/>
    <col min="14109" max="14109" width="7.125" style="255" customWidth="1"/>
    <col min="14110" max="14110" width="12.125" style="255" customWidth="1"/>
    <col min="14111" max="14111" width="8.25" style="255" customWidth="1"/>
    <col min="14112" max="14113" width="10.375" style="255" customWidth="1"/>
    <col min="14114" max="14114" width="15.625" style="255" customWidth="1"/>
    <col min="14115" max="14115" width="15.875" style="255" customWidth="1"/>
    <col min="14116" max="14116" width="8.125" style="255" customWidth="1"/>
    <col min="14117" max="14120" width="10.375" style="255" customWidth="1"/>
    <col min="14121" max="14121" width="7.25" style="255" customWidth="1"/>
    <col min="14122" max="14122" width="7.125" style="255" customWidth="1"/>
    <col min="14123" max="14123" width="9.5" style="255" customWidth="1"/>
    <col min="14124" max="14125" width="9" style="255" customWidth="1"/>
    <col min="14126" max="14126" width="16.125" style="255" customWidth="1"/>
    <col min="14127" max="14157" width="9" style="255" customWidth="1"/>
    <col min="14158" max="14317" width="25.25" style="255"/>
    <col min="14318" max="14347" width="9" style="255" customWidth="1"/>
    <col min="14348" max="14348" width="0.5" style="255" customWidth="1"/>
    <col min="14349" max="14349" width="25.25" style="255"/>
    <col min="14350" max="14350" width="0.5" style="255" customWidth="1"/>
    <col min="14351" max="14351" width="25.25" style="255"/>
    <col min="14352" max="14352" width="14.75" style="255" customWidth="1"/>
    <col min="14353" max="14353" width="11.5" style="255" customWidth="1"/>
    <col min="14354" max="14354" width="11.25" style="255" customWidth="1"/>
    <col min="14355" max="14355" width="10.75" style="255" customWidth="1"/>
    <col min="14356" max="14356" width="10" style="255" customWidth="1"/>
    <col min="14357" max="14357" width="9.875" style="255" customWidth="1"/>
    <col min="14358" max="14358" width="26.125" style="255" customWidth="1"/>
    <col min="14359" max="14359" width="11.125" style="255" customWidth="1"/>
    <col min="14360" max="14360" width="7.875" style="255" customWidth="1"/>
    <col min="14361" max="14361" width="7.25" style="255" customWidth="1"/>
    <col min="14362" max="14362" width="9.125" style="255" customWidth="1"/>
    <col min="14363" max="14363" width="15.125" style="255" customWidth="1"/>
    <col min="14364" max="14364" width="7.75" style="255" customWidth="1"/>
    <col min="14365" max="14365" width="7.125" style="255" customWidth="1"/>
    <col min="14366" max="14366" width="12.125" style="255" customWidth="1"/>
    <col min="14367" max="14367" width="8.25" style="255" customWidth="1"/>
    <col min="14368" max="14369" width="10.375" style="255" customWidth="1"/>
    <col min="14370" max="14370" width="15.625" style="255" customWidth="1"/>
    <col min="14371" max="14371" width="15.875" style="255" customWidth="1"/>
    <col min="14372" max="14372" width="8.125" style="255" customWidth="1"/>
    <col min="14373" max="14376" width="10.375" style="255" customWidth="1"/>
    <col min="14377" max="14377" width="7.25" style="255" customWidth="1"/>
    <col min="14378" max="14378" width="7.125" style="255" customWidth="1"/>
    <col min="14379" max="14379" width="9.5" style="255" customWidth="1"/>
    <col min="14380" max="14381" width="9" style="255" customWidth="1"/>
    <col min="14382" max="14382" width="16.125" style="255" customWidth="1"/>
    <col min="14383" max="14413" width="9" style="255" customWidth="1"/>
    <col min="14414" max="14573" width="25.25" style="255"/>
    <col min="14574" max="14603" width="9" style="255" customWidth="1"/>
    <col min="14604" max="14604" width="0.5" style="255" customWidth="1"/>
    <col min="14605" max="14605" width="25.25" style="255"/>
    <col min="14606" max="14606" width="0.5" style="255" customWidth="1"/>
    <col min="14607" max="14607" width="25.25" style="255"/>
    <col min="14608" max="14608" width="14.75" style="255" customWidth="1"/>
    <col min="14609" max="14609" width="11.5" style="255" customWidth="1"/>
    <col min="14610" max="14610" width="11.25" style="255" customWidth="1"/>
    <col min="14611" max="14611" width="10.75" style="255" customWidth="1"/>
    <col min="14612" max="14612" width="10" style="255" customWidth="1"/>
    <col min="14613" max="14613" width="9.875" style="255" customWidth="1"/>
    <col min="14614" max="14614" width="26.125" style="255" customWidth="1"/>
    <col min="14615" max="14615" width="11.125" style="255" customWidth="1"/>
    <col min="14616" max="14616" width="7.875" style="255" customWidth="1"/>
    <col min="14617" max="14617" width="7.25" style="255" customWidth="1"/>
    <col min="14618" max="14618" width="9.125" style="255" customWidth="1"/>
    <col min="14619" max="14619" width="15.125" style="255" customWidth="1"/>
    <col min="14620" max="14620" width="7.75" style="255" customWidth="1"/>
    <col min="14621" max="14621" width="7.125" style="255" customWidth="1"/>
    <col min="14622" max="14622" width="12.125" style="255" customWidth="1"/>
    <col min="14623" max="14623" width="8.25" style="255" customWidth="1"/>
    <col min="14624" max="14625" width="10.375" style="255" customWidth="1"/>
    <col min="14626" max="14626" width="15.625" style="255" customWidth="1"/>
    <col min="14627" max="14627" width="15.875" style="255" customWidth="1"/>
    <col min="14628" max="14628" width="8.125" style="255" customWidth="1"/>
    <col min="14629" max="14632" width="10.375" style="255" customWidth="1"/>
    <col min="14633" max="14633" width="7.25" style="255" customWidth="1"/>
    <col min="14634" max="14634" width="7.125" style="255" customWidth="1"/>
    <col min="14635" max="14635" width="9.5" style="255" customWidth="1"/>
    <col min="14636" max="14637" width="9" style="255" customWidth="1"/>
    <col min="14638" max="14638" width="16.125" style="255" customWidth="1"/>
    <col min="14639" max="14669" width="9" style="255" customWidth="1"/>
    <col min="14670" max="14829" width="25.25" style="255"/>
    <col min="14830" max="14859" width="9" style="255" customWidth="1"/>
    <col min="14860" max="14860" width="0.5" style="255" customWidth="1"/>
    <col min="14861" max="14861" width="25.25" style="255"/>
    <col min="14862" max="14862" width="0.5" style="255" customWidth="1"/>
    <col min="14863" max="14863" width="25.25" style="255"/>
    <col min="14864" max="14864" width="14.75" style="255" customWidth="1"/>
    <col min="14865" max="14865" width="11.5" style="255" customWidth="1"/>
    <col min="14866" max="14866" width="11.25" style="255" customWidth="1"/>
    <col min="14867" max="14867" width="10.75" style="255" customWidth="1"/>
    <col min="14868" max="14868" width="10" style="255" customWidth="1"/>
    <col min="14869" max="14869" width="9.875" style="255" customWidth="1"/>
    <col min="14870" max="14870" width="26.125" style="255" customWidth="1"/>
    <col min="14871" max="14871" width="11.125" style="255" customWidth="1"/>
    <col min="14872" max="14872" width="7.875" style="255" customWidth="1"/>
    <col min="14873" max="14873" width="7.25" style="255" customWidth="1"/>
    <col min="14874" max="14874" width="9.125" style="255" customWidth="1"/>
    <col min="14875" max="14875" width="15.125" style="255" customWidth="1"/>
    <col min="14876" max="14876" width="7.75" style="255" customWidth="1"/>
    <col min="14877" max="14877" width="7.125" style="255" customWidth="1"/>
    <col min="14878" max="14878" width="12.125" style="255" customWidth="1"/>
    <col min="14879" max="14879" width="8.25" style="255" customWidth="1"/>
    <col min="14880" max="14881" width="10.375" style="255" customWidth="1"/>
    <col min="14882" max="14882" width="15.625" style="255" customWidth="1"/>
    <col min="14883" max="14883" width="15.875" style="255" customWidth="1"/>
    <col min="14884" max="14884" width="8.125" style="255" customWidth="1"/>
    <col min="14885" max="14888" width="10.375" style="255" customWidth="1"/>
    <col min="14889" max="14889" width="7.25" style="255" customWidth="1"/>
    <col min="14890" max="14890" width="7.125" style="255" customWidth="1"/>
    <col min="14891" max="14891" width="9.5" style="255" customWidth="1"/>
    <col min="14892" max="14893" width="9" style="255" customWidth="1"/>
    <col min="14894" max="14894" width="16.125" style="255" customWidth="1"/>
    <col min="14895" max="14925" width="9" style="255" customWidth="1"/>
    <col min="14926" max="15085" width="25.25" style="255"/>
    <col min="15086" max="15115" width="9" style="255" customWidth="1"/>
    <col min="15116" max="15116" width="0.5" style="255" customWidth="1"/>
    <col min="15117" max="15117" width="25.25" style="255"/>
    <col min="15118" max="15118" width="0.5" style="255" customWidth="1"/>
    <col min="15119" max="15119" width="25.25" style="255"/>
    <col min="15120" max="15120" width="14.75" style="255" customWidth="1"/>
    <col min="15121" max="15121" width="11.5" style="255" customWidth="1"/>
    <col min="15122" max="15122" width="11.25" style="255" customWidth="1"/>
    <col min="15123" max="15123" width="10.75" style="255" customWidth="1"/>
    <col min="15124" max="15124" width="10" style="255" customWidth="1"/>
    <col min="15125" max="15125" width="9.875" style="255" customWidth="1"/>
    <col min="15126" max="15126" width="26.125" style="255" customWidth="1"/>
    <col min="15127" max="15127" width="11.125" style="255" customWidth="1"/>
    <col min="15128" max="15128" width="7.875" style="255" customWidth="1"/>
    <col min="15129" max="15129" width="7.25" style="255" customWidth="1"/>
    <col min="15130" max="15130" width="9.125" style="255" customWidth="1"/>
    <col min="15131" max="15131" width="15.125" style="255" customWidth="1"/>
    <col min="15132" max="15132" width="7.75" style="255" customWidth="1"/>
    <col min="15133" max="15133" width="7.125" style="255" customWidth="1"/>
    <col min="15134" max="15134" width="12.125" style="255" customWidth="1"/>
    <col min="15135" max="15135" width="8.25" style="255" customWidth="1"/>
    <col min="15136" max="15137" width="10.375" style="255" customWidth="1"/>
    <col min="15138" max="15138" width="15.625" style="255" customWidth="1"/>
    <col min="15139" max="15139" width="15.875" style="255" customWidth="1"/>
    <col min="15140" max="15140" width="8.125" style="255" customWidth="1"/>
    <col min="15141" max="15144" width="10.375" style="255" customWidth="1"/>
    <col min="15145" max="15145" width="7.25" style="255" customWidth="1"/>
    <col min="15146" max="15146" width="7.125" style="255" customWidth="1"/>
    <col min="15147" max="15147" width="9.5" style="255" customWidth="1"/>
    <col min="15148" max="15149" width="9" style="255" customWidth="1"/>
    <col min="15150" max="15150" width="16.125" style="255" customWidth="1"/>
    <col min="15151" max="15181" width="9" style="255" customWidth="1"/>
    <col min="15182" max="15341" width="25.25" style="255"/>
    <col min="15342" max="15371" width="9" style="255" customWidth="1"/>
    <col min="15372" max="15372" width="0.5" style="255" customWidth="1"/>
    <col min="15373" max="15373" width="25.25" style="255"/>
    <col min="15374" max="15374" width="0.5" style="255" customWidth="1"/>
    <col min="15375" max="15375" width="25.25" style="255"/>
    <col min="15376" max="15376" width="14.75" style="255" customWidth="1"/>
    <col min="15377" max="15377" width="11.5" style="255" customWidth="1"/>
    <col min="15378" max="15378" width="11.25" style="255" customWidth="1"/>
    <col min="15379" max="15379" width="10.75" style="255" customWidth="1"/>
    <col min="15380" max="15380" width="10" style="255" customWidth="1"/>
    <col min="15381" max="15381" width="9.875" style="255" customWidth="1"/>
    <col min="15382" max="15382" width="26.125" style="255" customWidth="1"/>
    <col min="15383" max="15383" width="11.125" style="255" customWidth="1"/>
    <col min="15384" max="15384" width="7.875" style="255" customWidth="1"/>
    <col min="15385" max="15385" width="7.25" style="255" customWidth="1"/>
    <col min="15386" max="15386" width="9.125" style="255" customWidth="1"/>
    <col min="15387" max="15387" width="15.125" style="255" customWidth="1"/>
    <col min="15388" max="15388" width="7.75" style="255" customWidth="1"/>
    <col min="15389" max="15389" width="7.125" style="255" customWidth="1"/>
    <col min="15390" max="15390" width="12.125" style="255" customWidth="1"/>
    <col min="15391" max="15391" width="8.25" style="255" customWidth="1"/>
    <col min="15392" max="15393" width="10.375" style="255" customWidth="1"/>
    <col min="15394" max="15394" width="15.625" style="255" customWidth="1"/>
    <col min="15395" max="15395" width="15.875" style="255" customWidth="1"/>
    <col min="15396" max="15396" width="8.125" style="255" customWidth="1"/>
    <col min="15397" max="15400" width="10.375" style="255" customWidth="1"/>
    <col min="15401" max="15401" width="7.25" style="255" customWidth="1"/>
    <col min="15402" max="15402" width="7.125" style="255" customWidth="1"/>
    <col min="15403" max="15403" width="9.5" style="255" customWidth="1"/>
    <col min="15404" max="15405" width="9" style="255" customWidth="1"/>
    <col min="15406" max="15406" width="16.125" style="255" customWidth="1"/>
    <col min="15407" max="15437" width="9" style="255" customWidth="1"/>
    <col min="15438" max="15597" width="25.25" style="255"/>
    <col min="15598" max="15627" width="9" style="255" customWidth="1"/>
    <col min="15628" max="15628" width="0.5" style="255" customWidth="1"/>
    <col min="15629" max="15629" width="25.25" style="255"/>
    <col min="15630" max="15630" width="0.5" style="255" customWidth="1"/>
    <col min="15631" max="15631" width="25.25" style="255"/>
    <col min="15632" max="15632" width="14.75" style="255" customWidth="1"/>
    <col min="15633" max="15633" width="11.5" style="255" customWidth="1"/>
    <col min="15634" max="15634" width="11.25" style="255" customWidth="1"/>
    <col min="15635" max="15635" width="10.75" style="255" customWidth="1"/>
    <col min="15636" max="15636" width="10" style="255" customWidth="1"/>
    <col min="15637" max="15637" width="9.875" style="255" customWidth="1"/>
    <col min="15638" max="15638" width="26.125" style="255" customWidth="1"/>
    <col min="15639" max="15639" width="11.125" style="255" customWidth="1"/>
    <col min="15640" max="15640" width="7.875" style="255" customWidth="1"/>
    <col min="15641" max="15641" width="7.25" style="255" customWidth="1"/>
    <col min="15642" max="15642" width="9.125" style="255" customWidth="1"/>
    <col min="15643" max="15643" width="15.125" style="255" customWidth="1"/>
    <col min="15644" max="15644" width="7.75" style="255" customWidth="1"/>
    <col min="15645" max="15645" width="7.125" style="255" customWidth="1"/>
    <col min="15646" max="15646" width="12.125" style="255" customWidth="1"/>
    <col min="15647" max="15647" width="8.25" style="255" customWidth="1"/>
    <col min="15648" max="15649" width="10.375" style="255" customWidth="1"/>
    <col min="15650" max="15650" width="15.625" style="255" customWidth="1"/>
    <col min="15651" max="15651" width="15.875" style="255" customWidth="1"/>
    <col min="15652" max="15652" width="8.125" style="255" customWidth="1"/>
    <col min="15653" max="15656" width="10.375" style="255" customWidth="1"/>
    <col min="15657" max="15657" width="7.25" style="255" customWidth="1"/>
    <col min="15658" max="15658" width="7.125" style="255" customWidth="1"/>
    <col min="15659" max="15659" width="9.5" style="255" customWidth="1"/>
    <col min="15660" max="15661" width="9" style="255" customWidth="1"/>
    <col min="15662" max="15662" width="16.125" style="255" customWidth="1"/>
    <col min="15663" max="15693" width="9" style="255" customWidth="1"/>
    <col min="15694" max="15853" width="25.25" style="255"/>
    <col min="15854" max="15883" width="9" style="255" customWidth="1"/>
    <col min="15884" max="15884" width="0.5" style="255" customWidth="1"/>
    <col min="15885" max="15885" width="25.25" style="255"/>
    <col min="15886" max="15886" width="0.5" style="255" customWidth="1"/>
    <col min="15887" max="15887" width="25.25" style="255"/>
    <col min="15888" max="15888" width="14.75" style="255" customWidth="1"/>
    <col min="15889" max="15889" width="11.5" style="255" customWidth="1"/>
    <col min="15890" max="15890" width="11.25" style="255" customWidth="1"/>
    <col min="15891" max="15891" width="10.75" style="255" customWidth="1"/>
    <col min="15892" max="15892" width="10" style="255" customWidth="1"/>
    <col min="15893" max="15893" width="9.875" style="255" customWidth="1"/>
    <col min="15894" max="15894" width="26.125" style="255" customWidth="1"/>
    <col min="15895" max="15895" width="11.125" style="255" customWidth="1"/>
    <col min="15896" max="15896" width="7.875" style="255" customWidth="1"/>
    <col min="15897" max="15897" width="7.25" style="255" customWidth="1"/>
    <col min="15898" max="15898" width="9.125" style="255" customWidth="1"/>
    <col min="15899" max="15899" width="15.125" style="255" customWidth="1"/>
    <col min="15900" max="15900" width="7.75" style="255" customWidth="1"/>
    <col min="15901" max="15901" width="7.125" style="255" customWidth="1"/>
    <col min="15902" max="15902" width="12.125" style="255" customWidth="1"/>
    <col min="15903" max="15903" width="8.25" style="255" customWidth="1"/>
    <col min="15904" max="15905" width="10.375" style="255" customWidth="1"/>
    <col min="15906" max="15906" width="15.625" style="255" customWidth="1"/>
    <col min="15907" max="15907" width="15.875" style="255" customWidth="1"/>
    <col min="15908" max="15908" width="8.125" style="255" customWidth="1"/>
    <col min="15909" max="15912" width="10.375" style="255" customWidth="1"/>
    <col min="15913" max="15913" width="7.25" style="255" customWidth="1"/>
    <col min="15914" max="15914" width="7.125" style="255" customWidth="1"/>
    <col min="15915" max="15915" width="9.5" style="255" customWidth="1"/>
    <col min="15916" max="15917" width="9" style="255" customWidth="1"/>
    <col min="15918" max="15918" width="16.125" style="255" customWidth="1"/>
    <col min="15919" max="15949" width="9" style="255" customWidth="1"/>
    <col min="15950" max="16109" width="25.25" style="255"/>
    <col min="16110" max="16139" width="9" style="255" customWidth="1"/>
    <col min="16140" max="16140" width="0.5" style="255" customWidth="1"/>
    <col min="16141" max="16384" width="25.25" style="255"/>
  </cols>
  <sheetData>
    <row r="1" spans="1:16" ht="14.25" thickBot="1"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1"/>
      <c r="O1" s="1"/>
      <c r="P1" s="1"/>
    </row>
    <row r="2" spans="1:16" ht="18" customHeight="1">
      <c r="A2" s="5"/>
      <c r="B2" s="6" t="s">
        <v>402</v>
      </c>
      <c r="C2" s="460"/>
      <c r="D2" s="460" t="s">
        <v>9</v>
      </c>
      <c r="E2" s="460" t="s">
        <v>10</v>
      </c>
      <c r="F2" s="661" t="s">
        <v>11</v>
      </c>
      <c r="G2" s="661"/>
      <c r="H2" s="661"/>
      <c r="I2" s="662" t="s">
        <v>12</v>
      </c>
      <c r="J2" s="664" t="s">
        <v>13</v>
      </c>
      <c r="K2" s="665"/>
      <c r="L2" s="665"/>
      <c r="M2" s="666"/>
      <c r="N2" s="8"/>
      <c r="O2" s="8"/>
      <c r="P2" s="8"/>
    </row>
    <row r="3" spans="1:16" ht="18" customHeight="1">
      <c r="B3" s="9" t="s">
        <v>14</v>
      </c>
      <c r="C3" s="10" t="s">
        <v>15</v>
      </c>
      <c r="D3" s="10" t="s">
        <v>16</v>
      </c>
      <c r="E3" s="10" t="s">
        <v>17</v>
      </c>
      <c r="F3" s="10" t="s">
        <v>7</v>
      </c>
      <c r="G3" s="10" t="s">
        <v>5</v>
      </c>
      <c r="H3" s="10" t="s">
        <v>18</v>
      </c>
      <c r="I3" s="663"/>
      <c r="J3" s="11" t="s">
        <v>19</v>
      </c>
      <c r="K3" s="12" t="s">
        <v>20</v>
      </c>
      <c r="L3" s="12" t="s">
        <v>21</v>
      </c>
      <c r="M3" s="13" t="s">
        <v>22</v>
      </c>
      <c r="N3" s="14"/>
      <c r="P3" s="15"/>
    </row>
    <row r="4" spans="1:16" ht="18" customHeight="1">
      <c r="B4" s="667" t="str">
        <f ca="1">MID(CELL("filename",Q13),FIND("]",CELL("filename",Q13))+1,30)</f>
        <v>GSM7838</v>
      </c>
      <c r="C4" s="17" t="s">
        <v>23</v>
      </c>
      <c r="D4" s="17">
        <v>7750</v>
      </c>
      <c r="E4" s="17">
        <v>3800</v>
      </c>
      <c r="F4" s="222">
        <f>D4*E4/10^6</f>
        <v>29.45</v>
      </c>
      <c r="G4" s="17">
        <v>1</v>
      </c>
      <c r="H4" s="17">
        <f>F4*G4</f>
        <v>29.45</v>
      </c>
      <c r="I4" s="663"/>
      <c r="J4" s="19">
        <v>40</v>
      </c>
      <c r="K4" s="20">
        <v>20</v>
      </c>
      <c r="L4" s="21">
        <v>1.5</v>
      </c>
      <c r="M4" s="22">
        <f t="shared" ref="M4:M11" si="0">ROUND(((J4*K4)-(J4-2*L4)*(K4-2*L4))*7.8/1000,3)</f>
        <v>1.3340000000000001</v>
      </c>
    </row>
    <row r="5" spans="1:16" ht="18" customHeight="1">
      <c r="B5" s="668"/>
      <c r="C5" s="221" t="s">
        <v>299</v>
      </c>
      <c r="D5" s="221">
        <f>D4-70</f>
        <v>7680</v>
      </c>
      <c r="E5" s="221">
        <f>E4-70</f>
        <v>3730</v>
      </c>
      <c r="F5" s="222">
        <f>D5*E5/10^6</f>
        <v>28.6464</v>
      </c>
      <c r="G5" s="221">
        <v>1</v>
      </c>
      <c r="H5" s="222">
        <f>F5*G5</f>
        <v>28.6464</v>
      </c>
      <c r="I5" s="663"/>
      <c r="J5" s="19">
        <v>40</v>
      </c>
      <c r="K5" s="20">
        <v>20</v>
      </c>
      <c r="L5" s="21">
        <v>2</v>
      </c>
      <c r="M5" s="22">
        <f t="shared" si="0"/>
        <v>1.7470000000000001</v>
      </c>
    </row>
    <row r="6" spans="1:16" ht="18" customHeight="1">
      <c r="B6" s="669"/>
      <c r="C6" s="17" t="s">
        <v>24</v>
      </c>
      <c r="D6" s="17">
        <f>D4-80</f>
        <v>7670</v>
      </c>
      <c r="E6" s="17">
        <f>E4-80</f>
        <v>3720</v>
      </c>
      <c r="F6" s="18">
        <f>D6*E6/10^6</f>
        <v>28.532399999999999</v>
      </c>
      <c r="G6" s="17">
        <v>1</v>
      </c>
      <c r="H6" s="18">
        <f>F6*G6</f>
        <v>28.532399999999999</v>
      </c>
      <c r="I6" s="663"/>
      <c r="J6" s="19">
        <v>40</v>
      </c>
      <c r="K6" s="20">
        <v>20</v>
      </c>
      <c r="L6" s="21">
        <v>2</v>
      </c>
      <c r="M6" s="22">
        <f t="shared" si="0"/>
        <v>1.7470000000000001</v>
      </c>
    </row>
    <row r="7" spans="1:16" ht="18" customHeight="1">
      <c r="B7" s="23" t="s">
        <v>25</v>
      </c>
      <c r="C7" s="462" t="s">
        <v>16</v>
      </c>
      <c r="D7" s="462" t="s">
        <v>26</v>
      </c>
      <c r="E7" s="462" t="s">
        <v>17</v>
      </c>
      <c r="F7" s="462" t="s">
        <v>27</v>
      </c>
      <c r="G7" s="462" t="s">
        <v>22</v>
      </c>
      <c r="H7" s="462" t="s">
        <v>28</v>
      </c>
      <c r="I7" s="25" t="s">
        <v>29</v>
      </c>
      <c r="J7" s="19">
        <v>80</v>
      </c>
      <c r="K7" s="20">
        <v>40</v>
      </c>
      <c r="L7" s="21">
        <v>2</v>
      </c>
      <c r="M7" s="22">
        <f t="shared" si="0"/>
        <v>3.6190000000000002</v>
      </c>
    </row>
    <row r="8" spans="1:16" ht="18" customHeight="1">
      <c r="B8" s="461" t="s">
        <v>30</v>
      </c>
      <c r="C8" s="27">
        <f>D4-30</f>
        <v>7720</v>
      </c>
      <c r="D8" s="27">
        <v>2</v>
      </c>
      <c r="E8" s="27">
        <f>E4-30</f>
        <v>3770</v>
      </c>
      <c r="F8" s="27">
        <v>2</v>
      </c>
      <c r="G8" s="28">
        <v>1.7470000000000001</v>
      </c>
      <c r="H8" s="29">
        <f>材料价格!B3</f>
        <v>7.5</v>
      </c>
      <c r="I8" s="30">
        <f>ROUND((C8*D8+E8*F8)*G8*H8/1000*1.1,2)</f>
        <v>331.2</v>
      </c>
      <c r="J8" s="19">
        <v>40</v>
      </c>
      <c r="K8" s="20">
        <v>20</v>
      </c>
      <c r="L8" s="21">
        <v>1.4</v>
      </c>
      <c r="M8" s="22">
        <f>ROUND(((J8*K8)-(J8-2*L8)*(K8-2*L8))*2.71/1000,3)</f>
        <v>0.434</v>
      </c>
    </row>
    <row r="9" spans="1:16" ht="18" customHeight="1">
      <c r="B9" s="461" t="s">
        <v>30</v>
      </c>
      <c r="C9" s="463"/>
      <c r="D9" s="463"/>
      <c r="E9" s="463"/>
      <c r="F9" s="463"/>
      <c r="G9" s="28">
        <v>1.7470000000000001</v>
      </c>
      <c r="H9" s="32">
        <f>H8</f>
        <v>7.5</v>
      </c>
      <c r="I9" s="30">
        <f>ROUND((C9*D9+E9*F9)*G9*H9/1000*1.1,2)</f>
        <v>0</v>
      </c>
      <c r="J9" s="19"/>
      <c r="K9" s="20"/>
      <c r="L9" s="21"/>
      <c r="M9" s="22">
        <f t="shared" si="0"/>
        <v>0</v>
      </c>
    </row>
    <row r="10" spans="1:16" ht="18" customHeight="1">
      <c r="B10" s="461" t="s">
        <v>31</v>
      </c>
      <c r="C10" s="463"/>
      <c r="D10" s="463"/>
      <c r="E10" s="463"/>
      <c r="F10" s="463"/>
      <c r="G10" s="28">
        <v>3.6190000000000002</v>
      </c>
      <c r="H10" s="32">
        <f>H9</f>
        <v>7.5</v>
      </c>
      <c r="I10" s="30">
        <f>ROUND((C10*D10+E10*F10)*G10*H10/1000*1.1,2)</f>
        <v>0</v>
      </c>
      <c r="J10" s="19"/>
      <c r="K10" s="20"/>
      <c r="L10" s="12"/>
      <c r="M10" s="22">
        <f t="shared" si="0"/>
        <v>0</v>
      </c>
    </row>
    <row r="11" spans="1:16" ht="18" customHeight="1" thickBot="1">
      <c r="B11" s="461" t="s">
        <v>32</v>
      </c>
      <c r="C11" s="463"/>
      <c r="D11" s="463"/>
      <c r="E11" s="463"/>
      <c r="F11" s="463"/>
      <c r="G11" s="28">
        <v>2.9950000000000001</v>
      </c>
      <c r="H11" s="32">
        <f>H10</f>
        <v>7.5</v>
      </c>
      <c r="I11" s="30">
        <f>ROUND((C11*D11+E11*F11)*G11*H11/1000*1.1,2)</f>
        <v>0</v>
      </c>
      <c r="J11" s="33"/>
      <c r="K11" s="34"/>
      <c r="L11" s="35"/>
      <c r="M11" s="36">
        <f t="shared" si="0"/>
        <v>0</v>
      </c>
    </row>
    <row r="12" spans="1:16" ht="18" customHeight="1">
      <c r="B12" s="37" t="s">
        <v>33</v>
      </c>
      <c r="C12" s="38">
        <f>((I9+I10+I8+I11)/H8)/F4</f>
        <v>1.499490662139219</v>
      </c>
      <c r="D12" s="39" t="s">
        <v>34</v>
      </c>
      <c r="E12" s="38">
        <f>(I9+I10+I8+I11)/F4</f>
        <v>11.246179966044142</v>
      </c>
      <c r="F12" s="40" t="s">
        <v>35</v>
      </c>
      <c r="G12" s="39"/>
      <c r="H12" s="39">
        <f>ROUND(SUM(I8:I11)/H8,2)</f>
        <v>44.16</v>
      </c>
      <c r="I12" s="41">
        <f>SUM(I8:I11)</f>
        <v>331.2</v>
      </c>
      <c r="J12" s="42"/>
    </row>
    <row r="13" spans="1:16" ht="18" customHeight="1">
      <c r="B13" s="23" t="s">
        <v>36</v>
      </c>
      <c r="C13" s="462" t="s">
        <v>14</v>
      </c>
      <c r="D13" s="462" t="s">
        <v>37</v>
      </c>
      <c r="E13" s="462" t="s">
        <v>38</v>
      </c>
      <c r="F13" s="462" t="s">
        <v>39</v>
      </c>
      <c r="G13" s="462" t="s">
        <v>8</v>
      </c>
      <c r="H13" s="462" t="s">
        <v>22</v>
      </c>
      <c r="I13" s="25" t="s">
        <v>40</v>
      </c>
    </row>
    <row r="14" spans="1:16" ht="18" customHeight="1">
      <c r="B14" s="648" t="s">
        <v>41</v>
      </c>
      <c r="C14" s="649" t="s">
        <v>404</v>
      </c>
      <c r="D14" s="463">
        <v>1275</v>
      </c>
      <c r="E14" s="463">
        <f>E6</f>
        <v>3720</v>
      </c>
      <c r="F14" s="44">
        <f>ROUND((D14+E14)*2/1000,4)</f>
        <v>9.99</v>
      </c>
      <c r="G14" s="463">
        <v>4</v>
      </c>
      <c r="H14" s="463">
        <v>1.47</v>
      </c>
      <c r="I14" s="284">
        <f>ROUND(F14*G14*H14,3)*1.5</f>
        <v>88.111500000000007</v>
      </c>
      <c r="J14" s="42"/>
      <c r="K14" s="46"/>
      <c r="L14" s="46"/>
      <c r="M14" s="42"/>
    </row>
    <row r="15" spans="1:16" ht="18" customHeight="1">
      <c r="B15" s="648"/>
      <c r="C15" s="650"/>
      <c r="D15" s="463"/>
      <c r="E15" s="463"/>
      <c r="F15" s="44">
        <f t="shared" ref="F15:F21" si="1">ROUND((D15+E15)*2/1000,4)</f>
        <v>0</v>
      </c>
      <c r="G15" s="463"/>
      <c r="H15" s="463">
        <f t="shared" ref="H15:H21" si="2">H14</f>
        <v>1.47</v>
      </c>
      <c r="I15" s="468">
        <f t="shared" ref="I15:I21" si="3">ROUND(F15*G15*H15,3)</f>
        <v>0</v>
      </c>
      <c r="K15" s="47"/>
      <c r="M15" s="255"/>
    </row>
    <row r="16" spans="1:16" ht="18" customHeight="1">
      <c r="B16" s="648"/>
      <c r="C16" s="650"/>
      <c r="D16" s="463"/>
      <c r="E16" s="463"/>
      <c r="F16" s="44">
        <f t="shared" si="1"/>
        <v>0</v>
      </c>
      <c r="G16" s="463"/>
      <c r="H16" s="463">
        <f t="shared" si="2"/>
        <v>1.47</v>
      </c>
      <c r="I16" s="468">
        <f t="shared" si="3"/>
        <v>0</v>
      </c>
      <c r="K16" s="47"/>
      <c r="L16" s="46"/>
      <c r="M16" s="42"/>
    </row>
    <row r="17" spans="2:15" ht="18" customHeight="1">
      <c r="B17" s="648"/>
      <c r="C17" s="650"/>
      <c r="D17" s="463"/>
      <c r="E17" s="463"/>
      <c r="F17" s="44">
        <f t="shared" si="1"/>
        <v>0</v>
      </c>
      <c r="G17" s="463"/>
      <c r="H17" s="463">
        <f t="shared" si="2"/>
        <v>1.47</v>
      </c>
      <c r="I17" s="468">
        <f t="shared" si="3"/>
        <v>0</v>
      </c>
      <c r="K17" s="47"/>
      <c r="M17" s="42"/>
    </row>
    <row r="18" spans="2:15" ht="18" customHeight="1">
      <c r="B18" s="648"/>
      <c r="C18" s="650"/>
      <c r="D18" s="463"/>
      <c r="E18" s="463"/>
      <c r="F18" s="44">
        <f t="shared" si="1"/>
        <v>0</v>
      </c>
      <c r="G18" s="463"/>
      <c r="H18" s="463">
        <f t="shared" si="2"/>
        <v>1.47</v>
      </c>
      <c r="I18" s="468">
        <f t="shared" si="3"/>
        <v>0</v>
      </c>
      <c r="M18" s="42"/>
    </row>
    <row r="19" spans="2:15" ht="18" customHeight="1">
      <c r="B19" s="648"/>
      <c r="C19" s="650"/>
      <c r="D19" s="463"/>
      <c r="E19" s="463"/>
      <c r="F19" s="44">
        <f t="shared" si="1"/>
        <v>0</v>
      </c>
      <c r="G19" s="463"/>
      <c r="H19" s="463">
        <f t="shared" si="2"/>
        <v>1.47</v>
      </c>
      <c r="I19" s="468">
        <f t="shared" si="3"/>
        <v>0</v>
      </c>
      <c r="M19" s="42"/>
    </row>
    <row r="20" spans="2:15" ht="18" customHeight="1">
      <c r="B20" s="648"/>
      <c r="C20" s="650"/>
      <c r="D20" s="463"/>
      <c r="E20" s="463"/>
      <c r="F20" s="44">
        <f t="shared" si="1"/>
        <v>0</v>
      </c>
      <c r="G20" s="463"/>
      <c r="H20" s="463">
        <f t="shared" si="2"/>
        <v>1.47</v>
      </c>
      <c r="I20" s="468">
        <f t="shared" si="3"/>
        <v>0</v>
      </c>
      <c r="K20" s="47"/>
      <c r="M20" s="42"/>
    </row>
    <row r="21" spans="2:15" ht="18" customHeight="1">
      <c r="B21" s="648"/>
      <c r="C21" s="651"/>
      <c r="D21" s="463"/>
      <c r="E21" s="463"/>
      <c r="F21" s="44">
        <f t="shared" si="1"/>
        <v>0</v>
      </c>
      <c r="G21" s="463"/>
      <c r="H21" s="463">
        <f t="shared" si="2"/>
        <v>1.47</v>
      </c>
      <c r="I21" s="468">
        <f t="shared" si="3"/>
        <v>0</v>
      </c>
    </row>
    <row r="22" spans="2:15" ht="18" customHeight="1">
      <c r="B22" s="48" t="s">
        <v>42</v>
      </c>
      <c r="C22" s="49">
        <f>SUMPRODUCT(F14:F21*G14:G21)</f>
        <v>39.96</v>
      </c>
      <c r="D22" s="50" t="s">
        <v>43</v>
      </c>
      <c r="E22" s="49">
        <f>SUM(I14:I21)*1.1</f>
        <v>96.922650000000019</v>
      </c>
      <c r="F22" s="50" t="s">
        <v>44</v>
      </c>
      <c r="G22" s="51">
        <f>(C$218+C$219)/1000</f>
        <v>46.081499999999998</v>
      </c>
      <c r="H22" s="52" t="s">
        <v>45</v>
      </c>
      <c r="I22" s="53">
        <f>ROUND(E22*G22,2)</f>
        <v>4466.34</v>
      </c>
      <c r="J22" s="243">
        <f>SUM(G14:G21)</f>
        <v>4</v>
      </c>
    </row>
    <row r="23" spans="2:15" ht="18" customHeight="1">
      <c r="B23" s="48" t="s">
        <v>46</v>
      </c>
      <c r="C23" s="50">
        <v>207.36</v>
      </c>
      <c r="D23" s="50" t="s">
        <v>47</v>
      </c>
      <c r="E23" s="49">
        <f>ROUND(C22*(C23/1000),2)</f>
        <v>8.2899999999999991</v>
      </c>
      <c r="F23" s="50" t="s">
        <v>48</v>
      </c>
      <c r="G23" s="50">
        <v>10</v>
      </c>
      <c r="H23" s="52" t="s">
        <v>49</v>
      </c>
      <c r="I23" s="53">
        <f>E23*G23</f>
        <v>82.899999999999991</v>
      </c>
    </row>
    <row r="24" spans="2:15" ht="18" customHeight="1" thickBot="1">
      <c r="B24" s="48" t="s">
        <v>50</v>
      </c>
      <c r="C24" s="50">
        <v>169.96</v>
      </c>
      <c r="D24" s="50" t="s">
        <v>51</v>
      </c>
      <c r="E24" s="49">
        <f>ROUND(C22*(C24/1000),2)</f>
        <v>6.79</v>
      </c>
      <c r="F24" s="50" t="s">
        <v>48</v>
      </c>
      <c r="G24" s="50">
        <v>10</v>
      </c>
      <c r="H24" s="52" t="s">
        <v>49</v>
      </c>
      <c r="I24" s="53">
        <f>E24*G24</f>
        <v>67.900000000000006</v>
      </c>
    </row>
    <row r="25" spans="2:15" ht="18" customHeight="1">
      <c r="B25" s="23" t="s">
        <v>36</v>
      </c>
      <c r="C25" s="462" t="s">
        <v>14</v>
      </c>
      <c r="D25" s="462" t="s">
        <v>37</v>
      </c>
      <c r="E25" s="462" t="s">
        <v>38</v>
      </c>
      <c r="F25" s="462" t="s">
        <v>39</v>
      </c>
      <c r="G25" s="462" t="s">
        <v>8</v>
      </c>
      <c r="H25" s="462" t="s">
        <v>22</v>
      </c>
      <c r="I25" s="25" t="s">
        <v>40</v>
      </c>
      <c r="J25" s="54" t="s">
        <v>2</v>
      </c>
      <c r="K25" s="55" t="s">
        <v>3</v>
      </c>
      <c r="L25" s="55" t="s">
        <v>52</v>
      </c>
      <c r="M25" s="55" t="s">
        <v>53</v>
      </c>
      <c r="N25" s="56" t="s">
        <v>14</v>
      </c>
    </row>
    <row r="26" spans="2:15" ht="18" customHeight="1">
      <c r="B26" s="648" t="s">
        <v>54</v>
      </c>
      <c r="C26" s="649" t="s">
        <v>55</v>
      </c>
      <c r="D26" s="464">
        <f>J26-IF(L26=1,44,IF(L26=2,30,IF(L26=3,16,0)))</f>
        <v>0</v>
      </c>
      <c r="E26" s="464">
        <f>K26-IF(M26=1,44,IF(M26=2,30,IF(M26=3,16,0)))</f>
        <v>0</v>
      </c>
      <c r="F26" s="44">
        <f>ROUND((D26+E26)*2/1000,4)</f>
        <v>0</v>
      </c>
      <c r="G26" s="463"/>
      <c r="H26" s="58">
        <v>1.62</v>
      </c>
      <c r="I26" s="59">
        <f>IF(AND(D26&gt;0,E26&gt;0,F26&gt;0),F26*G26*H26,0)</f>
        <v>0</v>
      </c>
      <c r="J26" s="60"/>
      <c r="K26" s="61"/>
      <c r="L26" s="61"/>
      <c r="M26" s="61"/>
      <c r="N26" s="62" t="s">
        <v>56</v>
      </c>
      <c r="O26" s="63" t="s">
        <v>57</v>
      </c>
    </row>
    <row r="27" spans="2:15" ht="18" customHeight="1">
      <c r="B27" s="648"/>
      <c r="C27" s="650"/>
      <c r="D27" s="464">
        <f t="shared" ref="D27:E30" si="4">J27-IF(L27=1,44,IF(L27=2,30,IF(L27=3,16,0)))</f>
        <v>0</v>
      </c>
      <c r="E27" s="464">
        <f t="shared" si="4"/>
        <v>0</v>
      </c>
      <c r="F27" s="44">
        <f>ROUND((D27+E27)*2/1000,4)</f>
        <v>0</v>
      </c>
      <c r="G27" s="463"/>
      <c r="H27" s="58">
        <f>H26</f>
        <v>1.62</v>
      </c>
      <c r="I27" s="59">
        <f>IF(AND(D27&gt;0,E27&gt;0,F27&gt;0),F27*G27*H27,0)</f>
        <v>0</v>
      </c>
      <c r="J27" s="60"/>
      <c r="K27" s="61"/>
      <c r="L27" s="61"/>
      <c r="M27" s="61"/>
      <c r="N27" s="62" t="s">
        <v>58</v>
      </c>
      <c r="O27" s="63" t="s">
        <v>59</v>
      </c>
    </row>
    <row r="28" spans="2:15" ht="18" customHeight="1">
      <c r="B28" s="648"/>
      <c r="C28" s="650"/>
      <c r="D28" s="464">
        <f t="shared" si="4"/>
        <v>0</v>
      </c>
      <c r="E28" s="464">
        <f t="shared" si="4"/>
        <v>0</v>
      </c>
      <c r="F28" s="44">
        <f>ROUND((D28+E28)*2/1000,4)</f>
        <v>0</v>
      </c>
      <c r="G28" s="463"/>
      <c r="H28" s="58">
        <f>H27</f>
        <v>1.62</v>
      </c>
      <c r="I28" s="59">
        <f>IF(AND(D28&gt;0,E28&gt;0,F28&gt;0),F28*G28*H28,0)</f>
        <v>0</v>
      </c>
      <c r="J28" s="60"/>
      <c r="K28" s="61"/>
      <c r="L28" s="61"/>
      <c r="M28" s="61"/>
      <c r="N28" s="62" t="s">
        <v>60</v>
      </c>
      <c r="O28" s="63" t="s">
        <v>59</v>
      </c>
    </row>
    <row r="29" spans="2:15" ht="18" customHeight="1">
      <c r="B29" s="648"/>
      <c r="C29" s="650"/>
      <c r="D29" s="464">
        <f t="shared" si="4"/>
        <v>0</v>
      </c>
      <c r="E29" s="464">
        <f t="shared" si="4"/>
        <v>0</v>
      </c>
      <c r="F29" s="44">
        <f>ROUND((D29+E29)*2/1000,4)</f>
        <v>0</v>
      </c>
      <c r="G29" s="463"/>
      <c r="H29" s="58">
        <f>H28</f>
        <v>1.62</v>
      </c>
      <c r="I29" s="59">
        <f>IF(AND(D29&gt;0,E29&gt;0,F29&gt;0),F29*G29*H29,0)</f>
        <v>0</v>
      </c>
      <c r="J29" s="60"/>
      <c r="K29" s="61"/>
      <c r="L29" s="61"/>
      <c r="M29" s="61"/>
      <c r="N29" s="62"/>
    </row>
    <row r="30" spans="2:15" ht="18" customHeight="1" thickBot="1">
      <c r="B30" s="648"/>
      <c r="C30" s="651"/>
      <c r="D30" s="464">
        <f t="shared" si="4"/>
        <v>0</v>
      </c>
      <c r="E30" s="464">
        <f t="shared" si="4"/>
        <v>0</v>
      </c>
      <c r="F30" s="44">
        <f>ROUND((D30+E30)*2/1000,4)</f>
        <v>0</v>
      </c>
      <c r="G30" s="463"/>
      <c r="H30" s="58">
        <f>H29</f>
        <v>1.62</v>
      </c>
      <c r="I30" s="59">
        <f>IF(AND(D30&gt;0,E30&gt;0,F30&gt;0),F30*G30*H30,0)</f>
        <v>0</v>
      </c>
      <c r="J30" s="64"/>
      <c r="K30" s="65"/>
      <c r="L30" s="65"/>
      <c r="M30" s="65"/>
      <c r="N30" s="66"/>
    </row>
    <row r="31" spans="2:15" ht="18" customHeight="1">
      <c r="B31" s="48" t="s">
        <v>42</v>
      </c>
      <c r="C31" s="49">
        <f>SUMPRODUCT(F26:F30*G26:G30)</f>
        <v>0</v>
      </c>
      <c r="D31" s="50" t="s">
        <v>43</v>
      </c>
      <c r="E31" s="49">
        <f>SUM(I26:I30)*1.1</f>
        <v>0</v>
      </c>
      <c r="F31" s="50" t="s">
        <v>44</v>
      </c>
      <c r="G31" s="51">
        <f>(C$218+C$221)/1000</f>
        <v>46.081499999999998</v>
      </c>
      <c r="H31" s="52" t="s">
        <v>45</v>
      </c>
      <c r="I31" s="53">
        <f>ROUND(E31*G31,2)</f>
        <v>0</v>
      </c>
      <c r="J31" s="243">
        <f>SUM(G26:G30)</f>
        <v>0</v>
      </c>
    </row>
    <row r="32" spans="2:15" ht="18" customHeight="1">
      <c r="B32" s="48" t="s">
        <v>46</v>
      </c>
      <c r="C32" s="50">
        <v>183.32</v>
      </c>
      <c r="D32" s="50" t="s">
        <v>47</v>
      </c>
      <c r="E32" s="49">
        <f>ROUND(C31*(C32/1000),2)</f>
        <v>0</v>
      </c>
      <c r="F32" s="50" t="s">
        <v>48</v>
      </c>
      <c r="G32" s="50">
        <f>G$23</f>
        <v>10</v>
      </c>
      <c r="H32" s="52" t="s">
        <v>49</v>
      </c>
      <c r="I32" s="53">
        <f>E32*G32</f>
        <v>0</v>
      </c>
    </row>
    <row r="33" spans="2:14" ht="18" customHeight="1" thickBot="1">
      <c r="B33" s="48" t="s">
        <v>50</v>
      </c>
      <c r="C33" s="50">
        <v>257.82</v>
      </c>
      <c r="D33" s="50" t="s">
        <v>51</v>
      </c>
      <c r="E33" s="49">
        <f>ROUND(C31*(C33/1000),2)</f>
        <v>0</v>
      </c>
      <c r="F33" s="50" t="s">
        <v>48</v>
      </c>
      <c r="G33" s="50">
        <f>G$24</f>
        <v>10</v>
      </c>
      <c r="H33" s="52" t="s">
        <v>49</v>
      </c>
      <c r="I33" s="53">
        <f>E33*G33</f>
        <v>0</v>
      </c>
    </row>
    <row r="34" spans="2:14" ht="18" customHeight="1" thickBot="1">
      <c r="B34" s="67" t="s">
        <v>36</v>
      </c>
      <c r="C34" s="68" t="s">
        <v>14</v>
      </c>
      <c r="D34" s="68" t="s">
        <v>37</v>
      </c>
      <c r="E34" s="68" t="s">
        <v>38</v>
      </c>
      <c r="F34" s="68" t="s">
        <v>39</v>
      </c>
      <c r="G34" s="68" t="s">
        <v>8</v>
      </c>
      <c r="H34" s="68" t="s">
        <v>22</v>
      </c>
      <c r="I34" s="69" t="s">
        <v>40</v>
      </c>
      <c r="J34" s="54" t="s">
        <v>2</v>
      </c>
      <c r="K34" s="55" t="s">
        <v>3</v>
      </c>
      <c r="L34" s="55" t="s">
        <v>61</v>
      </c>
      <c r="M34" s="55" t="s">
        <v>62</v>
      </c>
      <c r="N34" s="70" t="s">
        <v>14</v>
      </c>
    </row>
    <row r="35" spans="2:14" ht="18" customHeight="1">
      <c r="B35" s="648" t="s">
        <v>63</v>
      </c>
      <c r="C35" s="649" t="s">
        <v>64</v>
      </c>
      <c r="D35" s="464">
        <f t="shared" ref="D35:E37" si="5">J35-IF(L35=1,44,IF(L35=2,30,IF(L35=3,16,IF(L35=11,118,IF(L35=12,100,IF(L35=13,76.8,0))))))</f>
        <v>0</v>
      </c>
      <c r="E35" s="464">
        <f t="shared" si="5"/>
        <v>0</v>
      </c>
      <c r="F35" s="463">
        <f>ROUND((D35+E35)*2/1000,4)</f>
        <v>0</v>
      </c>
      <c r="G35" s="463"/>
      <c r="H35" s="58">
        <v>1.8140000000000001</v>
      </c>
      <c r="I35" s="59">
        <f>ROUND(F35*G35*H35,3)</f>
        <v>0</v>
      </c>
      <c r="J35" s="60"/>
      <c r="K35" s="61"/>
      <c r="L35" s="61"/>
      <c r="M35" s="61"/>
      <c r="N35" s="71" t="s">
        <v>56</v>
      </c>
    </row>
    <row r="36" spans="2:14" ht="18" customHeight="1">
      <c r="B36" s="660"/>
      <c r="C36" s="650"/>
      <c r="D36" s="464">
        <f t="shared" si="5"/>
        <v>0</v>
      </c>
      <c r="E36" s="464">
        <f t="shared" si="5"/>
        <v>0</v>
      </c>
      <c r="F36" s="463">
        <f>ROUND((D36+E36)*2/1000,4)</f>
        <v>0</v>
      </c>
      <c r="G36" s="463"/>
      <c r="H36" s="58">
        <f>H35</f>
        <v>1.8140000000000001</v>
      </c>
      <c r="I36" s="59">
        <f>ROUND(F36*G36*H36,3)</f>
        <v>0</v>
      </c>
      <c r="J36" s="60"/>
      <c r="K36" s="61"/>
      <c r="L36" s="61"/>
      <c r="M36" s="61"/>
      <c r="N36" s="72" t="s">
        <v>58</v>
      </c>
    </row>
    <row r="37" spans="2:14" ht="18" customHeight="1">
      <c r="B37" s="660"/>
      <c r="C37" s="651"/>
      <c r="D37" s="464">
        <f t="shared" si="5"/>
        <v>0</v>
      </c>
      <c r="E37" s="464">
        <f t="shared" si="5"/>
        <v>0</v>
      </c>
      <c r="F37" s="463">
        <f>ROUND((D37+E37)*2/1000,4)</f>
        <v>0</v>
      </c>
      <c r="G37" s="463"/>
      <c r="H37" s="58">
        <f>H36</f>
        <v>1.8140000000000001</v>
      </c>
      <c r="I37" s="59">
        <f>ROUND(F37*G37*H37,3)</f>
        <v>0</v>
      </c>
      <c r="J37" s="60"/>
      <c r="K37" s="61"/>
      <c r="L37" s="61"/>
      <c r="M37" s="61"/>
      <c r="N37" s="72" t="s">
        <v>60</v>
      </c>
    </row>
    <row r="38" spans="2:14" ht="18" customHeight="1">
      <c r="B38" s="48" t="s">
        <v>42</v>
      </c>
      <c r="C38" s="49">
        <f>SUMPRODUCT(F35:F37*G35:G37)</f>
        <v>0</v>
      </c>
      <c r="D38" s="50" t="s">
        <v>43</v>
      </c>
      <c r="E38" s="49">
        <f>SUM(I35:I37)*1.1</f>
        <v>0</v>
      </c>
      <c r="F38" s="50" t="s">
        <v>44</v>
      </c>
      <c r="G38" s="51">
        <f>(C$218+C$219)/1000</f>
        <v>46.081499999999998</v>
      </c>
      <c r="H38" s="52" t="s">
        <v>45</v>
      </c>
      <c r="I38" s="53">
        <f>ROUND(E38*G38,2)</f>
        <v>0</v>
      </c>
      <c r="J38" s="243">
        <f>SUM(G35:G37)</f>
        <v>0</v>
      </c>
      <c r="K38" s="255"/>
      <c r="L38" s="255"/>
      <c r="M38" s="255"/>
      <c r="N38" s="73" t="s">
        <v>65</v>
      </c>
    </row>
    <row r="39" spans="2:14" ht="18" customHeight="1">
      <c r="B39" s="48" t="s">
        <v>46</v>
      </c>
      <c r="C39" s="50">
        <v>320.14</v>
      </c>
      <c r="D39" s="50" t="s">
        <v>47</v>
      </c>
      <c r="E39" s="49">
        <f>ROUND(C38*(C39/1000),2)</f>
        <v>0</v>
      </c>
      <c r="F39" s="50" t="s">
        <v>48</v>
      </c>
      <c r="G39" s="50">
        <f>G$23</f>
        <v>10</v>
      </c>
      <c r="H39" s="52" t="s">
        <v>49</v>
      </c>
      <c r="I39" s="53">
        <f>E39*G39</f>
        <v>0</v>
      </c>
      <c r="J39" s="255"/>
      <c r="K39" s="255"/>
      <c r="L39" s="255"/>
      <c r="M39" s="255"/>
      <c r="N39" s="73" t="s">
        <v>66</v>
      </c>
    </row>
    <row r="40" spans="2:14" ht="18" customHeight="1" thickBot="1">
      <c r="B40" s="48" t="s">
        <v>50</v>
      </c>
      <c r="C40" s="50">
        <v>156.99</v>
      </c>
      <c r="D40" s="50" t="s">
        <v>51</v>
      </c>
      <c r="E40" s="49">
        <f>ROUND(C38*(C40/1000),2)</f>
        <v>0</v>
      </c>
      <c r="F40" s="50" t="s">
        <v>48</v>
      </c>
      <c r="G40" s="50">
        <f>G$24</f>
        <v>10</v>
      </c>
      <c r="H40" s="52" t="s">
        <v>49</v>
      </c>
      <c r="I40" s="53">
        <f>E40*G40</f>
        <v>0</v>
      </c>
      <c r="J40" s="255"/>
      <c r="K40" s="255"/>
      <c r="L40" s="255"/>
      <c r="M40" s="255"/>
      <c r="N40" s="74" t="s">
        <v>67</v>
      </c>
    </row>
    <row r="41" spans="2:14" ht="18" customHeight="1" thickBot="1">
      <c r="B41" s="23" t="s">
        <v>36</v>
      </c>
      <c r="C41" s="462" t="s">
        <v>14</v>
      </c>
      <c r="D41" s="462" t="s">
        <v>37</v>
      </c>
      <c r="E41" s="462" t="s">
        <v>38</v>
      </c>
      <c r="F41" s="462" t="s">
        <v>39</v>
      </c>
      <c r="G41" s="462" t="s">
        <v>8</v>
      </c>
      <c r="H41" s="462" t="s">
        <v>22</v>
      </c>
      <c r="I41" s="25" t="s">
        <v>40</v>
      </c>
      <c r="J41" s="54" t="s">
        <v>2</v>
      </c>
      <c r="K41" s="55" t="s">
        <v>3</v>
      </c>
      <c r="L41" s="55" t="s">
        <v>61</v>
      </c>
      <c r="M41" s="55" t="s">
        <v>62</v>
      </c>
      <c r="N41" s="70" t="s">
        <v>14</v>
      </c>
    </row>
    <row r="42" spans="2:14" ht="18" customHeight="1">
      <c r="B42" s="648" t="s">
        <v>68</v>
      </c>
      <c r="C42" s="649" t="s">
        <v>69</v>
      </c>
      <c r="D42" s="464">
        <f>J42-IF(L42=1,46,IF(L42=2,34.5,IF(L42=3,23)))</f>
        <v>0</v>
      </c>
      <c r="E42" s="464">
        <f>K42-IF(M42=1,46,IF(M42=2,34.5,IF(M42=3,23)))</f>
        <v>0</v>
      </c>
      <c r="F42" s="463">
        <f t="shared" ref="F42:F47" si="6">ROUND((D42+E42)*2/1000,4)</f>
        <v>0</v>
      </c>
      <c r="G42" s="463">
        <f>G35</f>
        <v>0</v>
      </c>
      <c r="H42" s="463">
        <v>1.26</v>
      </c>
      <c r="I42" s="59">
        <f t="shared" ref="I42:I47" si="7">ROUND(F42*G42*H42,3)</f>
        <v>0</v>
      </c>
      <c r="J42" s="60"/>
      <c r="K42" s="61"/>
      <c r="L42" s="61"/>
      <c r="M42" s="61"/>
      <c r="N42" s="71" t="s">
        <v>56</v>
      </c>
    </row>
    <row r="43" spans="2:14" ht="18" customHeight="1">
      <c r="B43" s="648"/>
      <c r="C43" s="650"/>
      <c r="D43" s="464">
        <f t="shared" ref="D43:E47" si="8">J43-IF(L43=1,46,IF(L43=2,34.5,IF(L43=3,23)))</f>
        <v>0</v>
      </c>
      <c r="E43" s="464">
        <f t="shared" si="8"/>
        <v>0</v>
      </c>
      <c r="F43" s="463">
        <f t="shared" si="6"/>
        <v>0</v>
      </c>
      <c r="G43" s="463"/>
      <c r="H43" s="463">
        <f>H42</f>
        <v>1.26</v>
      </c>
      <c r="I43" s="59">
        <f t="shared" si="7"/>
        <v>0</v>
      </c>
      <c r="J43" s="60"/>
      <c r="K43" s="61"/>
      <c r="L43" s="61"/>
      <c r="M43" s="61"/>
      <c r="N43" s="72" t="s">
        <v>58</v>
      </c>
    </row>
    <row r="44" spans="2:14" ht="18" customHeight="1">
      <c r="B44" s="648"/>
      <c r="C44" s="651"/>
      <c r="D44" s="464">
        <f t="shared" si="8"/>
        <v>0</v>
      </c>
      <c r="E44" s="464">
        <f t="shared" si="8"/>
        <v>0</v>
      </c>
      <c r="F44" s="463">
        <f t="shared" si="6"/>
        <v>0</v>
      </c>
      <c r="G44" s="463"/>
      <c r="H44" s="463">
        <f>H43</f>
        <v>1.26</v>
      </c>
      <c r="I44" s="59">
        <f t="shared" si="7"/>
        <v>0</v>
      </c>
      <c r="J44" s="60"/>
      <c r="K44" s="61"/>
      <c r="L44" s="61"/>
      <c r="M44" s="61"/>
      <c r="N44" s="72" t="s">
        <v>60</v>
      </c>
    </row>
    <row r="45" spans="2:14" ht="18" customHeight="1">
      <c r="B45" s="648"/>
      <c r="C45" s="649" t="s">
        <v>70</v>
      </c>
      <c r="D45" s="464">
        <f t="shared" si="8"/>
        <v>0</v>
      </c>
      <c r="E45" s="464">
        <f t="shared" si="8"/>
        <v>0</v>
      </c>
      <c r="F45" s="463">
        <f t="shared" si="6"/>
        <v>0</v>
      </c>
      <c r="G45" s="463"/>
      <c r="H45" s="463">
        <f>H44</f>
        <v>1.26</v>
      </c>
      <c r="I45" s="59">
        <f t="shared" si="7"/>
        <v>0</v>
      </c>
      <c r="J45" s="60"/>
      <c r="K45" s="61"/>
      <c r="L45" s="61"/>
      <c r="M45" s="61"/>
      <c r="N45" s="71" t="s">
        <v>56</v>
      </c>
    </row>
    <row r="46" spans="2:14" ht="18" customHeight="1">
      <c r="B46" s="648"/>
      <c r="C46" s="650"/>
      <c r="D46" s="464">
        <f t="shared" si="8"/>
        <v>0</v>
      </c>
      <c r="E46" s="464">
        <f t="shared" si="8"/>
        <v>0</v>
      </c>
      <c r="F46" s="463">
        <f t="shared" si="6"/>
        <v>0</v>
      </c>
      <c r="G46" s="463"/>
      <c r="H46" s="463">
        <f>H45</f>
        <v>1.26</v>
      </c>
      <c r="I46" s="59">
        <f t="shared" si="7"/>
        <v>0</v>
      </c>
      <c r="J46" s="60"/>
      <c r="K46" s="61"/>
      <c r="L46" s="61"/>
      <c r="M46" s="61"/>
      <c r="N46" s="72" t="s">
        <v>58</v>
      </c>
    </row>
    <row r="47" spans="2:14" ht="18" customHeight="1" thickBot="1">
      <c r="B47" s="648"/>
      <c r="C47" s="651"/>
      <c r="D47" s="464">
        <f t="shared" si="8"/>
        <v>0</v>
      </c>
      <c r="E47" s="464">
        <f t="shared" si="8"/>
        <v>0</v>
      </c>
      <c r="F47" s="463">
        <f t="shared" si="6"/>
        <v>0</v>
      </c>
      <c r="G47" s="463"/>
      <c r="H47" s="463">
        <f>H46</f>
        <v>1.26</v>
      </c>
      <c r="I47" s="59">
        <f t="shared" si="7"/>
        <v>0</v>
      </c>
      <c r="J47" s="64"/>
      <c r="K47" s="65"/>
      <c r="L47" s="65"/>
      <c r="M47" s="65"/>
      <c r="N47" s="75" t="s">
        <v>60</v>
      </c>
    </row>
    <row r="48" spans="2:14" ht="18" customHeight="1">
      <c r="B48" s="48" t="s">
        <v>42</v>
      </c>
      <c r="C48" s="49">
        <f>SUMPRODUCT(F42:F47*G42:G47)</f>
        <v>0</v>
      </c>
      <c r="D48" s="50" t="s">
        <v>43</v>
      </c>
      <c r="E48" s="49">
        <f>SUM(I42:I47)*1.1</f>
        <v>0</v>
      </c>
      <c r="F48" s="50" t="s">
        <v>44</v>
      </c>
      <c r="G48" s="51">
        <f>(C$218+C$219)/1000</f>
        <v>46.081499999999998</v>
      </c>
      <c r="H48" s="52" t="s">
        <v>45</v>
      </c>
      <c r="I48" s="53">
        <f>ROUND(E48*G48,2)</f>
        <v>0</v>
      </c>
      <c r="J48" s="243">
        <f>SUM(G42:G47)</f>
        <v>0</v>
      </c>
      <c r="K48" s="255"/>
      <c r="L48" s="255"/>
      <c r="M48" s="255"/>
    </row>
    <row r="49" spans="2:14" ht="18" customHeight="1">
      <c r="B49" s="48" t="s">
        <v>46</v>
      </c>
      <c r="C49" s="50">
        <v>132.47999999999999</v>
      </c>
      <c r="D49" s="50" t="s">
        <v>47</v>
      </c>
      <c r="E49" s="49">
        <f>ROUND(C48*(C49/1000),2)</f>
        <v>0</v>
      </c>
      <c r="F49" s="50" t="s">
        <v>48</v>
      </c>
      <c r="G49" s="50">
        <f>G$23</f>
        <v>10</v>
      </c>
      <c r="H49" s="52" t="s">
        <v>49</v>
      </c>
      <c r="I49" s="53">
        <f>E49*G49</f>
        <v>0</v>
      </c>
      <c r="J49" s="255"/>
      <c r="K49" s="255"/>
      <c r="L49" s="255"/>
      <c r="M49" s="255"/>
    </row>
    <row r="50" spans="2:14" ht="18" customHeight="1" thickBot="1">
      <c r="B50" s="48" t="s">
        <v>50</v>
      </c>
      <c r="C50" s="50">
        <v>202.06</v>
      </c>
      <c r="D50" s="50" t="s">
        <v>51</v>
      </c>
      <c r="E50" s="49">
        <f>ROUND(C48*(C50/1000),2)</f>
        <v>0</v>
      </c>
      <c r="F50" s="50" t="s">
        <v>48</v>
      </c>
      <c r="G50" s="50">
        <f>G$24</f>
        <v>10</v>
      </c>
      <c r="H50" s="52" t="s">
        <v>49</v>
      </c>
      <c r="I50" s="53">
        <f>E50*G50</f>
        <v>0</v>
      </c>
      <c r="J50" s="255"/>
    </row>
    <row r="51" spans="2:14" ht="18" customHeight="1" thickBot="1">
      <c r="B51" s="23" t="s">
        <v>36</v>
      </c>
      <c r="C51" s="462" t="s">
        <v>14</v>
      </c>
      <c r="D51" s="462" t="s">
        <v>37</v>
      </c>
      <c r="E51" s="462" t="s">
        <v>71</v>
      </c>
      <c r="F51" s="462" t="s">
        <v>38</v>
      </c>
      <c r="G51" s="462" t="s">
        <v>72</v>
      </c>
      <c r="H51" s="462" t="s">
        <v>22</v>
      </c>
      <c r="I51" s="25" t="s">
        <v>40</v>
      </c>
      <c r="J51" s="54" t="s">
        <v>2</v>
      </c>
      <c r="K51" s="55" t="s">
        <v>3</v>
      </c>
      <c r="L51" s="55" t="s">
        <v>61</v>
      </c>
      <c r="M51" s="55" t="s">
        <v>62</v>
      </c>
      <c r="N51" s="70" t="s">
        <v>14</v>
      </c>
    </row>
    <row r="52" spans="2:14" ht="18" customHeight="1">
      <c r="B52" s="648" t="s">
        <v>73</v>
      </c>
      <c r="C52" s="649" t="s">
        <v>405</v>
      </c>
      <c r="D52" s="464">
        <f>J52-IF(L52=1,46,IF(L52=2,32,IF(L52=3,18,0)))</f>
        <v>0</v>
      </c>
      <c r="E52" s="464"/>
      <c r="F52" s="464">
        <f>K52-IF(M52=1,46,IF(M52=2,32,IF(M52=3,118,0)))</f>
        <v>0</v>
      </c>
      <c r="G52" s="463"/>
      <c r="H52" s="463">
        <v>1.6379999999999999</v>
      </c>
      <c r="I52" s="59">
        <f>ROUND((D52*E52+F52*G52)/1000*H52,3)</f>
        <v>0</v>
      </c>
      <c r="J52" s="60"/>
      <c r="K52" s="61"/>
      <c r="L52" s="61"/>
      <c r="M52" s="61"/>
      <c r="N52" s="76" t="s">
        <v>56</v>
      </c>
    </row>
    <row r="53" spans="2:14" ht="18" customHeight="1">
      <c r="B53" s="648"/>
      <c r="C53" s="650"/>
      <c r="D53" s="464">
        <f t="shared" ref="D53:D55" si="9">J53-IF(L53=1,46,IF(L53=2,32,IF(L53=3,18,0)))</f>
        <v>0</v>
      </c>
      <c r="E53" s="464"/>
      <c r="F53" s="464">
        <f t="shared" ref="F53:F55" si="10">K53-IF(M53=1,46,IF(M53=2,32,IF(M53=3,118,0)))</f>
        <v>0</v>
      </c>
      <c r="G53" s="463"/>
      <c r="H53" s="463">
        <f>H52</f>
        <v>1.6379999999999999</v>
      </c>
      <c r="I53" s="59">
        <f>ROUND((D53*E53+F53*G53)/1000*H53,3)</f>
        <v>0</v>
      </c>
      <c r="J53" s="60"/>
      <c r="K53" s="61"/>
      <c r="L53" s="61"/>
      <c r="M53" s="61"/>
      <c r="N53" s="76" t="s">
        <v>58</v>
      </c>
    </row>
    <row r="54" spans="2:14" ht="18" customHeight="1">
      <c r="B54" s="648"/>
      <c r="C54" s="650"/>
      <c r="D54" s="464">
        <f t="shared" si="9"/>
        <v>0</v>
      </c>
      <c r="E54" s="464"/>
      <c r="F54" s="464">
        <f t="shared" si="10"/>
        <v>0</v>
      </c>
      <c r="G54" s="463"/>
      <c r="H54" s="463">
        <f>H53</f>
        <v>1.6379999999999999</v>
      </c>
      <c r="I54" s="59">
        <f>ROUND((D54*E54+F54*G54)/1000*H54,3)</f>
        <v>0</v>
      </c>
      <c r="J54" s="60"/>
      <c r="K54" s="61"/>
      <c r="L54" s="61"/>
      <c r="M54" s="61"/>
      <c r="N54" s="76" t="s">
        <v>60</v>
      </c>
    </row>
    <row r="55" spans="2:14" ht="18" customHeight="1" thickBot="1">
      <c r="B55" s="648"/>
      <c r="C55" s="651"/>
      <c r="D55" s="464">
        <f t="shared" si="9"/>
        <v>0</v>
      </c>
      <c r="E55" s="464"/>
      <c r="F55" s="464">
        <f t="shared" si="10"/>
        <v>0</v>
      </c>
      <c r="G55" s="463"/>
      <c r="H55" s="77">
        <f>H54</f>
        <v>1.6379999999999999</v>
      </c>
      <c r="I55" s="59">
        <f>ROUND((D55*E55+F55*G55)/1000*H55,3)</f>
        <v>0</v>
      </c>
      <c r="J55" s="78"/>
      <c r="K55" s="79"/>
      <c r="L55" s="79"/>
      <c r="M55" s="79"/>
      <c r="N55" s="80"/>
    </row>
    <row r="56" spans="2:14" ht="18" customHeight="1">
      <c r="B56" s="48" t="s">
        <v>42</v>
      </c>
      <c r="C56" s="49">
        <f>SUMPRODUCT(D52:D55*E52:E55+F52:F55*G52:G55)/1000</f>
        <v>0</v>
      </c>
      <c r="D56" s="50" t="s">
        <v>43</v>
      </c>
      <c r="E56" s="49">
        <f>SUM(I52:I55)*1.1</f>
        <v>0</v>
      </c>
      <c r="F56" s="50" t="s">
        <v>44</v>
      </c>
      <c r="G56" s="51">
        <f>(C$218+C$219)/1000</f>
        <v>46.081499999999998</v>
      </c>
      <c r="H56" s="52" t="s">
        <v>45</v>
      </c>
      <c r="I56" s="53">
        <f>ROUND(E56*G56,2)</f>
        <v>0</v>
      </c>
      <c r="J56" s="243">
        <f>SUM(E52:E55)+SUM(G52:G55)</f>
        <v>0</v>
      </c>
    </row>
    <row r="57" spans="2:14" ht="18" customHeight="1">
      <c r="B57" s="48" t="s">
        <v>46</v>
      </c>
      <c r="C57" s="50">
        <v>265.52999999999997</v>
      </c>
      <c r="D57" s="50" t="s">
        <v>47</v>
      </c>
      <c r="E57" s="49">
        <f>ROUND(C56*(C57/1000),2)</f>
        <v>0</v>
      </c>
      <c r="F57" s="50" t="s">
        <v>48</v>
      </c>
      <c r="G57" s="50">
        <f>G$23</f>
        <v>10</v>
      </c>
      <c r="H57" s="52" t="s">
        <v>49</v>
      </c>
      <c r="I57" s="53">
        <f>E57*G57</f>
        <v>0</v>
      </c>
      <c r="L57" s="47"/>
    </row>
    <row r="58" spans="2:14" ht="18" customHeight="1">
      <c r="B58" s="48" t="s">
        <v>50</v>
      </c>
      <c r="C58" s="50">
        <v>173.62</v>
      </c>
      <c r="D58" s="50" t="s">
        <v>51</v>
      </c>
      <c r="E58" s="49">
        <f>ROUND(C56*(C58/1000),2)</f>
        <v>0</v>
      </c>
      <c r="F58" s="50" t="s">
        <v>48</v>
      </c>
      <c r="G58" s="50">
        <f>G$24</f>
        <v>10</v>
      </c>
      <c r="H58" s="52" t="s">
        <v>49</v>
      </c>
      <c r="I58" s="53">
        <f>E58*G58</f>
        <v>0</v>
      </c>
      <c r="L58" s="47"/>
    </row>
    <row r="59" spans="2:14" ht="18" customHeight="1">
      <c r="B59" s="23" t="s">
        <v>36</v>
      </c>
      <c r="C59" s="462" t="s">
        <v>14</v>
      </c>
      <c r="D59" s="652" t="s">
        <v>74</v>
      </c>
      <c r="E59" s="652"/>
      <c r="F59" s="652"/>
      <c r="G59" s="462" t="s">
        <v>75</v>
      </c>
      <c r="H59" s="462" t="s">
        <v>22</v>
      </c>
      <c r="I59" s="25" t="s">
        <v>40</v>
      </c>
      <c r="L59" s="47"/>
    </row>
    <row r="60" spans="2:14" ht="18" customHeight="1">
      <c r="B60" s="648" t="s">
        <v>76</v>
      </c>
      <c r="C60" s="649" t="s">
        <v>77</v>
      </c>
      <c r="D60" s="646"/>
      <c r="E60" s="646"/>
      <c r="F60" s="646"/>
      <c r="G60" s="463"/>
      <c r="H60" s="463">
        <v>1.9339999999999999</v>
      </c>
      <c r="I60" s="59">
        <f>ROUND(D60*G60*H60/1000,3)</f>
        <v>0</v>
      </c>
      <c r="L60" s="47"/>
    </row>
    <row r="61" spans="2:14" ht="18" customHeight="1">
      <c r="B61" s="648"/>
      <c r="C61" s="651"/>
      <c r="D61" s="646"/>
      <c r="E61" s="646"/>
      <c r="F61" s="646"/>
      <c r="G61" s="463"/>
      <c r="H61" s="463">
        <v>1.9339999999999999</v>
      </c>
      <c r="I61" s="59">
        <f>ROUND(D61*G61*H61/1000,3)</f>
        <v>0</v>
      </c>
    </row>
    <row r="62" spans="2:14" ht="18" customHeight="1">
      <c r="B62" s="648"/>
      <c r="C62" s="649" t="s">
        <v>78</v>
      </c>
      <c r="D62" s="646">
        <f>E14</f>
        <v>3720</v>
      </c>
      <c r="E62" s="646"/>
      <c r="F62" s="646"/>
      <c r="G62" s="463"/>
      <c r="H62" s="463">
        <v>2.3130000000000002</v>
      </c>
      <c r="I62" s="59">
        <f>ROUND(D62*G62*H62/1000,3)</f>
        <v>0</v>
      </c>
    </row>
    <row r="63" spans="2:14" ht="18" customHeight="1">
      <c r="B63" s="648"/>
      <c r="C63" s="651"/>
      <c r="D63" s="646"/>
      <c r="E63" s="646"/>
      <c r="F63" s="646"/>
      <c r="G63" s="463"/>
      <c r="H63" s="463">
        <v>2.3130000000000002</v>
      </c>
      <c r="I63" s="59">
        <f>ROUND(D63*G63*H63/1000,3)</f>
        <v>0</v>
      </c>
    </row>
    <row r="64" spans="2:14" ht="18" customHeight="1">
      <c r="B64" s="48" t="s">
        <v>42</v>
      </c>
      <c r="C64" s="49">
        <f>SUMPRODUCT(D60:F63*G60:G63)/1000</f>
        <v>0</v>
      </c>
      <c r="D64" s="50" t="s">
        <v>43</v>
      </c>
      <c r="E64" s="49">
        <f>SUM(I60:I63)*1.1</f>
        <v>0</v>
      </c>
      <c r="F64" s="50" t="s">
        <v>44</v>
      </c>
      <c r="G64" s="51">
        <f>(C$218+C$219)/1000</f>
        <v>46.081499999999998</v>
      </c>
      <c r="H64" s="52" t="s">
        <v>45</v>
      </c>
      <c r="I64" s="53">
        <f>ROUND(E64*G64,2)</f>
        <v>0</v>
      </c>
      <c r="J64" s="43">
        <f>SUM(G60:G63)</f>
        <v>0</v>
      </c>
    </row>
    <row r="65" spans="2:14" ht="18" customHeight="1">
      <c r="B65" s="48" t="s">
        <v>46</v>
      </c>
      <c r="C65" s="50">
        <v>337.92</v>
      </c>
      <c r="D65" s="50" t="s">
        <v>47</v>
      </c>
      <c r="E65" s="49">
        <f>ROUND(C64*(C65/1000),2)</f>
        <v>0</v>
      </c>
      <c r="F65" s="50" t="s">
        <v>48</v>
      </c>
      <c r="G65" s="50">
        <f>G$23</f>
        <v>10</v>
      </c>
      <c r="H65" s="52" t="s">
        <v>49</v>
      </c>
      <c r="I65" s="53">
        <f>E65*G65</f>
        <v>0</v>
      </c>
    </row>
    <row r="66" spans="2:14" ht="18" customHeight="1" thickBot="1">
      <c r="B66" s="48" t="s">
        <v>50</v>
      </c>
      <c r="C66" s="50">
        <v>175.93</v>
      </c>
      <c r="D66" s="50" t="s">
        <v>51</v>
      </c>
      <c r="E66" s="49">
        <f>ROUND(C64*(C66/1000),2)</f>
        <v>0</v>
      </c>
      <c r="F66" s="50" t="s">
        <v>48</v>
      </c>
      <c r="G66" s="50">
        <f>G$24</f>
        <v>10</v>
      </c>
      <c r="H66" s="52" t="s">
        <v>49</v>
      </c>
      <c r="I66" s="53">
        <f>E66*G66</f>
        <v>0</v>
      </c>
    </row>
    <row r="67" spans="2:14" ht="18" customHeight="1" thickBot="1">
      <c r="B67" s="23" t="s">
        <v>36</v>
      </c>
      <c r="C67" s="462" t="s">
        <v>14</v>
      </c>
      <c r="D67" s="462" t="s">
        <v>37</v>
      </c>
      <c r="E67" s="462" t="s">
        <v>38</v>
      </c>
      <c r="F67" s="462" t="s">
        <v>39</v>
      </c>
      <c r="G67" s="462" t="s">
        <v>8</v>
      </c>
      <c r="H67" s="462" t="s">
        <v>22</v>
      </c>
      <c r="I67" s="25" t="s">
        <v>40</v>
      </c>
      <c r="J67" s="54" t="s">
        <v>2</v>
      </c>
      <c r="K67" s="55" t="s">
        <v>3</v>
      </c>
      <c r="L67" s="55" t="s">
        <v>52</v>
      </c>
      <c r="M67" s="55" t="s">
        <v>53</v>
      </c>
      <c r="N67" s="70" t="s">
        <v>14</v>
      </c>
    </row>
    <row r="68" spans="2:14" ht="18" customHeight="1">
      <c r="B68" s="648" t="s">
        <v>79</v>
      </c>
      <c r="C68" s="649" t="s">
        <v>323</v>
      </c>
      <c r="D68" s="81">
        <f>J68-IF(L68=1,72,IF(L68=2,54,IF(L68=3,26,IF(L68=11,102.8,IF(L68=12,88.8,IF(L68=13,74.8,0))))))</f>
        <v>1203</v>
      </c>
      <c r="E68" s="81">
        <f>K68-IF(M68=1,72,IF(M68=2,24,IF(M68=3,26,IF(M68=11,102.8,IF(M68=12,88.8,IF(M68=13,74.8,0))))))</f>
        <v>3648</v>
      </c>
      <c r="F68" s="81">
        <f>2*(D68+E68)/1000</f>
        <v>9.702</v>
      </c>
      <c r="G68" s="82">
        <v>4</v>
      </c>
      <c r="H68" s="463">
        <v>0.224</v>
      </c>
      <c r="I68" s="283">
        <f>ROUND(F68*G68*H68,3)*1.5</f>
        <v>13.0395</v>
      </c>
      <c r="J68" s="83">
        <f>D14</f>
        <v>1275</v>
      </c>
      <c r="K68" s="83">
        <f>E14</f>
        <v>3720</v>
      </c>
      <c r="L68" s="84">
        <v>1</v>
      </c>
      <c r="M68" s="84">
        <v>1</v>
      </c>
      <c r="N68" s="71" t="s">
        <v>56</v>
      </c>
    </row>
    <row r="69" spans="2:14" ht="18" customHeight="1">
      <c r="B69" s="648"/>
      <c r="C69" s="650"/>
      <c r="D69" s="81">
        <f t="shared" ref="D69:D87" si="11">J69-IF(L69=1,72,IF(L69=2,54,IF(L69=3,26,IF(L69=11,102.8,IF(L69=12,88.8,IF(L69=13,74.8,0))))))</f>
        <v>0</v>
      </c>
      <c r="E69" s="81">
        <f t="shared" ref="E69:E87" si="12">K69-IF(M69=1,72,IF(M69=2,24,IF(M69=3,26,IF(M69=11,102.8,IF(M69=12,88.8,IF(M69=13,74.8,0))))))</f>
        <v>0</v>
      </c>
      <c r="F69" s="81">
        <f t="shared" ref="F69:F87" si="13">2*(D69+E69)/1000</f>
        <v>0</v>
      </c>
      <c r="G69" s="82"/>
      <c r="H69" s="463">
        <f>H68</f>
        <v>0.224</v>
      </c>
      <c r="I69" s="59">
        <f t="shared" ref="I69:I87" si="14">ROUND(F69*G69*H69,3)</f>
        <v>0</v>
      </c>
      <c r="J69" s="83"/>
      <c r="K69" s="84"/>
      <c r="L69" s="84"/>
      <c r="M69" s="84"/>
      <c r="N69" s="72" t="s">
        <v>58</v>
      </c>
    </row>
    <row r="70" spans="2:14" ht="18" customHeight="1">
      <c r="B70" s="648"/>
      <c r="C70" s="650"/>
      <c r="D70" s="81">
        <f t="shared" si="11"/>
        <v>0</v>
      </c>
      <c r="E70" s="81">
        <f t="shared" si="12"/>
        <v>0</v>
      </c>
      <c r="F70" s="81">
        <f t="shared" si="13"/>
        <v>0</v>
      </c>
      <c r="G70" s="82"/>
      <c r="H70" s="463">
        <f>H69</f>
        <v>0.224</v>
      </c>
      <c r="I70" s="59">
        <f t="shared" si="14"/>
        <v>0</v>
      </c>
      <c r="J70" s="83"/>
      <c r="K70" s="84"/>
      <c r="L70" s="84"/>
      <c r="M70" s="84"/>
      <c r="N70" s="72" t="s">
        <v>60</v>
      </c>
    </row>
    <row r="71" spans="2:14" ht="18" customHeight="1">
      <c r="B71" s="648"/>
      <c r="C71" s="650"/>
      <c r="D71" s="81">
        <f t="shared" si="11"/>
        <v>0</v>
      </c>
      <c r="E71" s="81">
        <f t="shared" si="12"/>
        <v>0</v>
      </c>
      <c r="F71" s="81">
        <f t="shared" si="13"/>
        <v>0</v>
      </c>
      <c r="G71" s="82"/>
      <c r="H71" s="77">
        <f>H70</f>
        <v>0.224</v>
      </c>
      <c r="I71" s="59">
        <f t="shared" si="14"/>
        <v>0</v>
      </c>
      <c r="J71" s="85"/>
      <c r="K71" s="86"/>
      <c r="L71" s="86"/>
      <c r="M71" s="86"/>
      <c r="N71" s="72" t="s">
        <v>65</v>
      </c>
    </row>
    <row r="72" spans="2:14" ht="18" customHeight="1">
      <c r="B72" s="648"/>
      <c r="C72" s="650"/>
      <c r="D72" s="81">
        <f t="shared" si="11"/>
        <v>0</v>
      </c>
      <c r="E72" s="81">
        <f t="shared" si="12"/>
        <v>0</v>
      </c>
      <c r="F72" s="81">
        <f t="shared" si="13"/>
        <v>0</v>
      </c>
      <c r="G72" s="82"/>
      <c r="H72" s="77">
        <f>H71</f>
        <v>0.224</v>
      </c>
      <c r="I72" s="87">
        <f t="shared" si="14"/>
        <v>0</v>
      </c>
      <c r="J72" s="85"/>
      <c r="K72" s="86"/>
      <c r="L72" s="86"/>
      <c r="M72" s="86"/>
      <c r="N72" s="72" t="s">
        <v>66</v>
      </c>
    </row>
    <row r="73" spans="2:14" ht="18" customHeight="1">
      <c r="B73" s="648"/>
      <c r="C73" s="650"/>
      <c r="D73" s="81">
        <f t="shared" si="11"/>
        <v>0</v>
      </c>
      <c r="E73" s="81">
        <f t="shared" si="12"/>
        <v>0</v>
      </c>
      <c r="F73" s="81">
        <f t="shared" si="13"/>
        <v>0</v>
      </c>
      <c r="G73" s="82"/>
      <c r="H73" s="463">
        <f>H70</f>
        <v>0.224</v>
      </c>
      <c r="I73" s="87">
        <f t="shared" si="14"/>
        <v>0</v>
      </c>
      <c r="J73" s="83"/>
      <c r="K73" s="84"/>
      <c r="L73" s="84"/>
      <c r="M73" s="84"/>
      <c r="N73" s="72" t="s">
        <v>67</v>
      </c>
    </row>
    <row r="74" spans="2:14" ht="18" customHeight="1">
      <c r="B74" s="648"/>
      <c r="C74" s="651"/>
      <c r="D74" s="81">
        <f t="shared" si="11"/>
        <v>0</v>
      </c>
      <c r="E74" s="81">
        <f t="shared" si="12"/>
        <v>0</v>
      </c>
      <c r="F74" s="81">
        <f t="shared" si="13"/>
        <v>0</v>
      </c>
      <c r="G74" s="82"/>
      <c r="H74" s="463">
        <f>H73</f>
        <v>0.224</v>
      </c>
      <c r="I74" s="87">
        <f t="shared" si="14"/>
        <v>0</v>
      </c>
      <c r="J74" s="83"/>
      <c r="K74" s="84"/>
      <c r="L74" s="84"/>
      <c r="M74" s="84"/>
      <c r="N74" s="88"/>
    </row>
    <row r="75" spans="2:14" ht="18" customHeight="1">
      <c r="B75" s="648"/>
      <c r="C75" s="649" t="s">
        <v>324</v>
      </c>
      <c r="D75" s="89">
        <f t="shared" si="11"/>
        <v>0</v>
      </c>
      <c r="E75" s="89">
        <f t="shared" si="12"/>
        <v>0</v>
      </c>
      <c r="F75" s="89">
        <f t="shared" si="13"/>
        <v>0</v>
      </c>
      <c r="G75" s="90"/>
      <c r="H75" s="91">
        <f>H74</f>
        <v>0.224</v>
      </c>
      <c r="I75" s="92">
        <f t="shared" si="14"/>
        <v>0</v>
      </c>
      <c r="J75" s="83"/>
      <c r="K75" s="84"/>
      <c r="L75" s="84"/>
      <c r="M75" s="84"/>
      <c r="N75" s="93" t="s">
        <v>80</v>
      </c>
    </row>
    <row r="76" spans="2:14" ht="18" customHeight="1">
      <c r="B76" s="648"/>
      <c r="C76" s="650"/>
      <c r="D76" s="89">
        <f t="shared" si="11"/>
        <v>0</v>
      </c>
      <c r="E76" s="89">
        <f t="shared" si="12"/>
        <v>0</v>
      </c>
      <c r="F76" s="89">
        <f t="shared" si="13"/>
        <v>0</v>
      </c>
      <c r="G76" s="90"/>
      <c r="H76" s="91">
        <f>H72</f>
        <v>0.224</v>
      </c>
      <c r="I76" s="92">
        <f t="shared" si="14"/>
        <v>0</v>
      </c>
      <c r="J76" s="83"/>
      <c r="K76" s="84"/>
      <c r="L76" s="84"/>
      <c r="M76" s="84"/>
      <c r="N76" s="93" t="s">
        <v>80</v>
      </c>
    </row>
    <row r="77" spans="2:14" ht="18" customHeight="1">
      <c r="B77" s="648"/>
      <c r="C77" s="650"/>
      <c r="D77" s="89">
        <f t="shared" si="11"/>
        <v>0</v>
      </c>
      <c r="E77" s="89">
        <f t="shared" si="12"/>
        <v>0</v>
      </c>
      <c r="F77" s="89">
        <f t="shared" si="13"/>
        <v>0</v>
      </c>
      <c r="G77" s="90"/>
      <c r="H77" s="91">
        <f t="shared" ref="H77:H87" si="15">H76</f>
        <v>0.224</v>
      </c>
      <c r="I77" s="92">
        <f t="shared" si="14"/>
        <v>0</v>
      </c>
      <c r="J77" s="83"/>
      <c r="K77" s="84"/>
      <c r="L77" s="84"/>
      <c r="M77" s="84"/>
      <c r="N77" s="93" t="s">
        <v>80</v>
      </c>
    </row>
    <row r="78" spans="2:14" ht="18" customHeight="1">
      <c r="B78" s="648"/>
      <c r="C78" s="650"/>
      <c r="D78" s="89">
        <f t="shared" si="11"/>
        <v>0</v>
      </c>
      <c r="E78" s="89">
        <f t="shared" si="12"/>
        <v>0</v>
      </c>
      <c r="F78" s="89">
        <f t="shared" si="13"/>
        <v>0</v>
      </c>
      <c r="G78" s="90"/>
      <c r="H78" s="91">
        <f t="shared" si="15"/>
        <v>0.224</v>
      </c>
      <c r="I78" s="92">
        <f t="shared" si="14"/>
        <v>0</v>
      </c>
      <c r="J78" s="83"/>
      <c r="K78" s="84"/>
      <c r="L78" s="84"/>
      <c r="M78" s="84"/>
      <c r="N78" s="93" t="s">
        <v>80</v>
      </c>
    </row>
    <row r="79" spans="2:14" ht="18" customHeight="1">
      <c r="B79" s="648"/>
      <c r="C79" s="650"/>
      <c r="D79" s="89">
        <f t="shared" si="11"/>
        <v>0</v>
      </c>
      <c r="E79" s="89">
        <f t="shared" si="12"/>
        <v>0</v>
      </c>
      <c r="F79" s="89">
        <f t="shared" si="13"/>
        <v>0</v>
      </c>
      <c r="G79" s="90"/>
      <c r="H79" s="91">
        <f t="shared" si="15"/>
        <v>0.224</v>
      </c>
      <c r="I79" s="94">
        <f t="shared" si="14"/>
        <v>0</v>
      </c>
      <c r="J79" s="83"/>
      <c r="K79" s="84"/>
      <c r="L79" s="84"/>
      <c r="M79" s="84"/>
      <c r="N79" s="93" t="s">
        <v>80</v>
      </c>
    </row>
    <row r="80" spans="2:14" ht="18" customHeight="1">
      <c r="B80" s="648"/>
      <c r="C80" s="650"/>
      <c r="D80" s="89">
        <f t="shared" si="11"/>
        <v>0</v>
      </c>
      <c r="E80" s="89">
        <f t="shared" si="12"/>
        <v>0</v>
      </c>
      <c r="F80" s="89">
        <f t="shared" si="13"/>
        <v>0</v>
      </c>
      <c r="G80" s="90"/>
      <c r="H80" s="91">
        <f t="shared" si="15"/>
        <v>0.224</v>
      </c>
      <c r="I80" s="94">
        <f t="shared" si="14"/>
        <v>0</v>
      </c>
      <c r="J80" s="83"/>
      <c r="K80" s="84"/>
      <c r="L80" s="84"/>
      <c r="M80" s="84"/>
      <c r="N80" s="93" t="s">
        <v>80</v>
      </c>
    </row>
    <row r="81" spans="2:14" ht="18" customHeight="1">
      <c r="B81" s="648"/>
      <c r="C81" s="651"/>
      <c r="D81" s="89">
        <f t="shared" si="11"/>
        <v>0</v>
      </c>
      <c r="E81" s="89">
        <f t="shared" si="12"/>
        <v>0</v>
      </c>
      <c r="F81" s="89">
        <f t="shared" si="13"/>
        <v>0</v>
      </c>
      <c r="G81" s="90"/>
      <c r="H81" s="91">
        <f t="shared" si="15"/>
        <v>0.224</v>
      </c>
      <c r="I81" s="94">
        <f t="shared" si="14"/>
        <v>0</v>
      </c>
      <c r="J81" s="95"/>
      <c r="K81" s="96"/>
      <c r="L81" s="96"/>
      <c r="M81" s="96"/>
      <c r="N81" s="93" t="s">
        <v>81</v>
      </c>
    </row>
    <row r="82" spans="2:14" ht="18" customHeight="1">
      <c r="B82" s="648"/>
      <c r="C82" s="639" t="s">
        <v>325</v>
      </c>
      <c r="D82" s="81">
        <f t="shared" si="11"/>
        <v>0</v>
      </c>
      <c r="E82" s="81">
        <f t="shared" si="12"/>
        <v>0</v>
      </c>
      <c r="F82" s="81">
        <f t="shared" si="13"/>
        <v>0</v>
      </c>
      <c r="G82" s="82"/>
      <c r="H82" s="463">
        <f t="shared" si="15"/>
        <v>0.224</v>
      </c>
      <c r="I82" s="59">
        <f t="shared" si="14"/>
        <v>0</v>
      </c>
      <c r="J82" s="83"/>
      <c r="K82" s="84"/>
      <c r="L82" s="84"/>
      <c r="M82" s="84"/>
      <c r="N82" s="88"/>
    </row>
    <row r="83" spans="2:14" ht="18" customHeight="1">
      <c r="B83" s="648"/>
      <c r="C83" s="645"/>
      <c r="D83" s="81">
        <f t="shared" si="11"/>
        <v>0</v>
      </c>
      <c r="E83" s="81">
        <f t="shared" si="12"/>
        <v>0</v>
      </c>
      <c r="F83" s="81">
        <f t="shared" si="13"/>
        <v>0</v>
      </c>
      <c r="G83" s="82"/>
      <c r="H83" s="463">
        <f t="shared" si="15"/>
        <v>0.224</v>
      </c>
      <c r="I83" s="59">
        <f t="shared" si="14"/>
        <v>0</v>
      </c>
      <c r="J83" s="83"/>
      <c r="K83" s="84"/>
      <c r="L83" s="84"/>
      <c r="M83" s="84"/>
      <c r="N83" s="88"/>
    </row>
    <row r="84" spans="2:14" ht="18" customHeight="1">
      <c r="B84" s="648"/>
      <c r="C84" s="645"/>
      <c r="D84" s="81">
        <f t="shared" si="11"/>
        <v>0</v>
      </c>
      <c r="E84" s="81">
        <f t="shared" si="12"/>
        <v>0</v>
      </c>
      <c r="F84" s="81">
        <f t="shared" si="13"/>
        <v>0</v>
      </c>
      <c r="G84" s="82"/>
      <c r="H84" s="463">
        <f t="shared" si="15"/>
        <v>0.224</v>
      </c>
      <c r="I84" s="59">
        <f t="shared" si="14"/>
        <v>0</v>
      </c>
      <c r="J84" s="83"/>
      <c r="K84" s="84"/>
      <c r="L84" s="84"/>
      <c r="M84" s="84"/>
      <c r="N84" s="76"/>
    </row>
    <row r="85" spans="2:14" ht="18" customHeight="1">
      <c r="B85" s="648"/>
      <c r="C85" s="645"/>
      <c r="D85" s="81">
        <f t="shared" si="11"/>
        <v>0</v>
      </c>
      <c r="E85" s="81">
        <f t="shared" si="12"/>
        <v>0</v>
      </c>
      <c r="F85" s="81">
        <f t="shared" si="13"/>
        <v>0</v>
      </c>
      <c r="G85" s="82"/>
      <c r="H85" s="463">
        <f t="shared" si="15"/>
        <v>0.224</v>
      </c>
      <c r="I85" s="59">
        <f t="shared" si="14"/>
        <v>0</v>
      </c>
      <c r="J85" s="83"/>
      <c r="K85" s="84"/>
      <c r="L85" s="84"/>
      <c r="M85" s="84"/>
      <c r="N85" s="76"/>
    </row>
    <row r="86" spans="2:14" ht="18" customHeight="1">
      <c r="B86" s="648"/>
      <c r="C86" s="645"/>
      <c r="D86" s="81">
        <f t="shared" si="11"/>
        <v>0</v>
      </c>
      <c r="E86" s="81">
        <f t="shared" si="12"/>
        <v>0</v>
      </c>
      <c r="F86" s="81">
        <f t="shared" si="13"/>
        <v>0</v>
      </c>
      <c r="G86" s="82"/>
      <c r="H86" s="463">
        <f t="shared" si="15"/>
        <v>0.224</v>
      </c>
      <c r="I86" s="59">
        <f t="shared" si="14"/>
        <v>0</v>
      </c>
      <c r="J86" s="85"/>
      <c r="K86" s="86"/>
      <c r="L86" s="86"/>
      <c r="M86" s="86"/>
      <c r="N86" s="76"/>
    </row>
    <row r="87" spans="2:14" ht="18" customHeight="1" thickBot="1">
      <c r="B87" s="648"/>
      <c r="C87" s="640"/>
      <c r="D87" s="81">
        <f t="shared" si="11"/>
        <v>0</v>
      </c>
      <c r="E87" s="81">
        <f t="shared" si="12"/>
        <v>0</v>
      </c>
      <c r="F87" s="81">
        <f t="shared" si="13"/>
        <v>0</v>
      </c>
      <c r="G87" s="82"/>
      <c r="H87" s="463">
        <f t="shared" si="15"/>
        <v>0.224</v>
      </c>
      <c r="I87" s="59">
        <f t="shared" si="14"/>
        <v>0</v>
      </c>
      <c r="J87" s="97"/>
      <c r="K87" s="98"/>
      <c r="L87" s="98"/>
      <c r="M87" s="98"/>
      <c r="N87" s="80"/>
    </row>
    <row r="88" spans="2:14" ht="18" customHeight="1">
      <c r="B88" s="48" t="s">
        <v>42</v>
      </c>
      <c r="C88" s="49">
        <f>SUMPRODUCT(F68:F87*G68:G87)</f>
        <v>38.808</v>
      </c>
      <c r="D88" s="50" t="s">
        <v>43</v>
      </c>
      <c r="E88" s="49">
        <f>SUM(I68:I87)*1.1</f>
        <v>14.343450000000001</v>
      </c>
      <c r="F88" s="50" t="s">
        <v>44</v>
      </c>
      <c r="G88" s="51">
        <f>(C$218+C$222)/1000</f>
        <v>39.781500000000001</v>
      </c>
      <c r="H88" s="52" t="s">
        <v>45</v>
      </c>
      <c r="I88" s="53">
        <f>ROUND(E88*G88,2)</f>
        <v>570.6</v>
      </c>
      <c r="J88" s="255"/>
      <c r="K88" s="255"/>
      <c r="L88" s="255"/>
      <c r="M88" s="255"/>
    </row>
    <row r="89" spans="2:14" ht="18" customHeight="1">
      <c r="B89" s="48" t="s">
        <v>46</v>
      </c>
      <c r="C89" s="50">
        <v>181.72</v>
      </c>
      <c r="D89" s="50" t="s">
        <v>47</v>
      </c>
      <c r="E89" s="49">
        <f>ROUND(C88*(C89/1000),2)</f>
        <v>7.05</v>
      </c>
      <c r="F89" s="50" t="s">
        <v>48</v>
      </c>
      <c r="G89" s="50">
        <f>G$23</f>
        <v>10</v>
      </c>
      <c r="H89" s="52" t="s">
        <v>49</v>
      </c>
      <c r="I89" s="53">
        <f>E89*G89</f>
        <v>70.5</v>
      </c>
      <c r="J89" s="255"/>
      <c r="K89" s="255"/>
      <c r="L89" s="255"/>
      <c r="M89" s="255"/>
    </row>
    <row r="90" spans="2:14" ht="18" customHeight="1">
      <c r="B90" s="48" t="s">
        <v>50</v>
      </c>
      <c r="C90" s="50"/>
      <c r="D90" s="50" t="s">
        <v>51</v>
      </c>
      <c r="E90" s="49">
        <f>ROUND(C88*(C90/1000),2)</f>
        <v>0</v>
      </c>
      <c r="F90" s="50" t="s">
        <v>48</v>
      </c>
      <c r="G90" s="50">
        <f>G$24</f>
        <v>10</v>
      </c>
      <c r="H90" s="52" t="s">
        <v>49</v>
      </c>
      <c r="I90" s="53">
        <f>E90*G90</f>
        <v>0</v>
      </c>
      <c r="J90" s="255"/>
      <c r="K90" s="255"/>
      <c r="L90" s="255"/>
      <c r="M90" s="255"/>
    </row>
    <row r="91" spans="2:14" ht="18" customHeight="1">
      <c r="B91" s="23" t="s">
        <v>36</v>
      </c>
      <c r="C91" s="462" t="s">
        <v>14</v>
      </c>
      <c r="D91" s="462" t="s">
        <v>37</v>
      </c>
      <c r="E91" s="462" t="s">
        <v>38</v>
      </c>
      <c r="F91" s="462" t="s">
        <v>39</v>
      </c>
      <c r="G91" s="462" t="s">
        <v>8</v>
      </c>
      <c r="H91" s="462" t="s">
        <v>22</v>
      </c>
      <c r="I91" s="25" t="s">
        <v>40</v>
      </c>
      <c r="J91" s="255"/>
      <c r="K91" s="255"/>
      <c r="L91" s="255"/>
      <c r="M91" s="255"/>
    </row>
    <row r="92" spans="2:14" ht="18" customHeight="1">
      <c r="B92" s="648" t="s">
        <v>82</v>
      </c>
      <c r="C92" s="653" t="s">
        <v>326</v>
      </c>
      <c r="D92" s="464">
        <f>D26-90</f>
        <v>-90</v>
      </c>
      <c r="E92" s="464">
        <f>E26-90</f>
        <v>-90</v>
      </c>
      <c r="F92" s="464">
        <f>2*(D92+E92)/1000</f>
        <v>-0.36</v>
      </c>
      <c r="G92" s="463">
        <f>G26</f>
        <v>0</v>
      </c>
      <c r="H92" s="463">
        <v>0.27100000000000002</v>
      </c>
      <c r="I92" s="59">
        <f>ROUND(F92*G92*H92,3)</f>
        <v>0</v>
      </c>
    </row>
    <row r="93" spans="2:14" ht="18" customHeight="1">
      <c r="B93" s="648"/>
      <c r="C93" s="658"/>
      <c r="D93" s="464">
        <f t="shared" ref="D93:E96" si="16">D27-90</f>
        <v>-90</v>
      </c>
      <c r="E93" s="464">
        <f t="shared" si="16"/>
        <v>-90</v>
      </c>
      <c r="F93" s="464">
        <f>2*(D93+E93)/1000</f>
        <v>-0.36</v>
      </c>
      <c r="G93" s="463">
        <f>G27</f>
        <v>0</v>
      </c>
      <c r="H93" s="463">
        <f>H92</f>
        <v>0.27100000000000002</v>
      </c>
      <c r="I93" s="59">
        <f>ROUND(F93*G93*H93,3)</f>
        <v>0</v>
      </c>
      <c r="M93" s="42"/>
    </row>
    <row r="94" spans="2:14" ht="18" customHeight="1">
      <c r="B94" s="648"/>
      <c r="C94" s="658"/>
      <c r="D94" s="464">
        <f t="shared" si="16"/>
        <v>-90</v>
      </c>
      <c r="E94" s="464">
        <f t="shared" si="16"/>
        <v>-90</v>
      </c>
      <c r="F94" s="464">
        <f>2*(D94+E94)/1000</f>
        <v>-0.36</v>
      </c>
      <c r="G94" s="463">
        <f>G28</f>
        <v>0</v>
      </c>
      <c r="H94" s="463">
        <f>H93</f>
        <v>0.27100000000000002</v>
      </c>
      <c r="I94" s="59">
        <f>ROUND(F94*G94*H94,3)</f>
        <v>0</v>
      </c>
    </row>
    <row r="95" spans="2:14" ht="18" customHeight="1">
      <c r="B95" s="648"/>
      <c r="C95" s="658"/>
      <c r="D95" s="464">
        <f t="shared" si="16"/>
        <v>-90</v>
      </c>
      <c r="E95" s="464">
        <f t="shared" si="16"/>
        <v>-90</v>
      </c>
      <c r="F95" s="464">
        <f>2*(D95+E95)/1000</f>
        <v>-0.36</v>
      </c>
      <c r="G95" s="463">
        <f>G29</f>
        <v>0</v>
      </c>
      <c r="H95" s="463">
        <f>H94</f>
        <v>0.27100000000000002</v>
      </c>
      <c r="I95" s="59">
        <f>ROUND(F95*G95*H95,3)</f>
        <v>0</v>
      </c>
    </row>
    <row r="96" spans="2:14" ht="18" customHeight="1">
      <c r="B96" s="648"/>
      <c r="C96" s="659"/>
      <c r="D96" s="464">
        <f t="shared" si="16"/>
        <v>-90</v>
      </c>
      <c r="E96" s="464">
        <f t="shared" si="16"/>
        <v>-90</v>
      </c>
      <c r="F96" s="464">
        <f>2*(D96+E96)/1000</f>
        <v>-0.36</v>
      </c>
      <c r="G96" s="463">
        <f>G30</f>
        <v>0</v>
      </c>
      <c r="H96" s="463">
        <f>H95</f>
        <v>0.27100000000000002</v>
      </c>
      <c r="I96" s="59">
        <f>ROUND(F96*G96*H96,3)</f>
        <v>0</v>
      </c>
    </row>
    <row r="97" spans="2:13" ht="18" customHeight="1">
      <c r="B97" s="48" t="s">
        <v>42</v>
      </c>
      <c r="C97" s="49">
        <f>SUMPRODUCT(F92:F96*G92:G96)</f>
        <v>0</v>
      </c>
      <c r="D97" s="50" t="s">
        <v>43</v>
      </c>
      <c r="E97" s="49">
        <f>SUM(I92:I96)*1.1</f>
        <v>0</v>
      </c>
      <c r="F97" s="50" t="s">
        <v>44</v>
      </c>
      <c r="G97" s="51">
        <f>(C$218+C$222)/1000</f>
        <v>39.781500000000001</v>
      </c>
      <c r="H97" s="52" t="s">
        <v>45</v>
      </c>
      <c r="I97" s="53">
        <f>ROUND(E97*G97,2)</f>
        <v>0</v>
      </c>
    </row>
    <row r="98" spans="2:13" ht="18" customHeight="1">
      <c r="B98" s="48" t="s">
        <v>46</v>
      </c>
      <c r="C98" s="50">
        <v>186.72</v>
      </c>
      <c r="D98" s="50" t="s">
        <v>47</v>
      </c>
      <c r="E98" s="49">
        <f>ROUND(C97*(C98/1000),2)</f>
        <v>0</v>
      </c>
      <c r="F98" s="50" t="s">
        <v>48</v>
      </c>
      <c r="G98" s="50">
        <f>G$23</f>
        <v>10</v>
      </c>
      <c r="H98" s="52" t="s">
        <v>49</v>
      </c>
      <c r="I98" s="53">
        <f>E98*G98</f>
        <v>0</v>
      </c>
    </row>
    <row r="99" spans="2:13" ht="18" customHeight="1">
      <c r="B99" s="48" t="s">
        <v>50</v>
      </c>
      <c r="C99" s="50">
        <v>0</v>
      </c>
      <c r="D99" s="50" t="s">
        <v>51</v>
      </c>
      <c r="E99" s="49">
        <f>ROUND(C97*(C99/1000),2)</f>
        <v>0</v>
      </c>
      <c r="F99" s="50" t="s">
        <v>48</v>
      </c>
      <c r="G99" s="50">
        <f>G$24</f>
        <v>10</v>
      </c>
      <c r="H99" s="52" t="s">
        <v>49</v>
      </c>
      <c r="I99" s="53">
        <f>E99*G99</f>
        <v>0</v>
      </c>
    </row>
    <row r="100" spans="2:13" ht="18" customHeight="1">
      <c r="B100" s="23" t="s">
        <v>36</v>
      </c>
      <c r="C100" s="462" t="s">
        <v>14</v>
      </c>
      <c r="D100" s="462" t="s">
        <v>37</v>
      </c>
      <c r="E100" s="462" t="s">
        <v>38</v>
      </c>
      <c r="F100" s="462" t="s">
        <v>39</v>
      </c>
      <c r="G100" s="462" t="s">
        <v>8</v>
      </c>
      <c r="H100" s="462" t="s">
        <v>22</v>
      </c>
      <c r="I100" s="25" t="s">
        <v>40</v>
      </c>
    </row>
    <row r="101" spans="2:13" ht="18" customHeight="1">
      <c r="B101" s="648" t="s">
        <v>84</v>
      </c>
      <c r="C101" s="653" t="str">
        <f>C92</f>
        <v>SDL2281</v>
      </c>
      <c r="D101" s="464">
        <f>D35-122</f>
        <v>-122</v>
      </c>
      <c r="E101" s="464">
        <f t="shared" ref="D101:E103" si="17">E35-122</f>
        <v>-122</v>
      </c>
      <c r="F101" s="464">
        <f>2*(D101+E101)/1000</f>
        <v>-0.48799999999999999</v>
      </c>
      <c r="G101" s="463">
        <f>G35</f>
        <v>0</v>
      </c>
      <c r="H101" s="463">
        <f>H96</f>
        <v>0.27100000000000002</v>
      </c>
      <c r="I101" s="59">
        <f>ROUND(F101*G101*H101,3)</f>
        <v>0</v>
      </c>
    </row>
    <row r="102" spans="2:13" ht="18" customHeight="1">
      <c r="B102" s="648"/>
      <c r="C102" s="650"/>
      <c r="D102" s="464">
        <f t="shared" si="17"/>
        <v>-122</v>
      </c>
      <c r="E102" s="464">
        <f t="shared" si="17"/>
        <v>-122</v>
      </c>
      <c r="F102" s="464">
        <f>2*(D102+E102)/1000</f>
        <v>-0.48799999999999999</v>
      </c>
      <c r="G102" s="463">
        <f>G36</f>
        <v>0</v>
      </c>
      <c r="H102" s="463">
        <f>H101</f>
        <v>0.27100000000000002</v>
      </c>
      <c r="I102" s="59">
        <f>ROUND(F102*G102*H102,3)</f>
        <v>0</v>
      </c>
      <c r="K102" s="99"/>
      <c r="M102" s="99"/>
    </row>
    <row r="103" spans="2:13" ht="18" customHeight="1">
      <c r="B103" s="648"/>
      <c r="C103" s="651"/>
      <c r="D103" s="464">
        <f t="shared" si="17"/>
        <v>-122</v>
      </c>
      <c r="E103" s="464">
        <f t="shared" si="17"/>
        <v>-122</v>
      </c>
      <c r="F103" s="464">
        <f>2*(D103+E103)/1000</f>
        <v>-0.48799999999999999</v>
      </c>
      <c r="G103" s="463">
        <f>G37</f>
        <v>0</v>
      </c>
      <c r="H103" s="463">
        <f>H102</f>
        <v>0.27100000000000002</v>
      </c>
      <c r="I103" s="59">
        <f>ROUND(F103*G103*H103,3)</f>
        <v>0</v>
      </c>
      <c r="M103" s="99"/>
    </row>
    <row r="104" spans="2:13" ht="18" customHeight="1">
      <c r="B104" s="48" t="s">
        <v>42</v>
      </c>
      <c r="C104" s="49">
        <f>SUMPRODUCT(F101:F103*G101:G103)</f>
        <v>0</v>
      </c>
      <c r="D104" s="50" t="s">
        <v>43</v>
      </c>
      <c r="E104" s="49">
        <f>SUM(I101:I103)*1.1</f>
        <v>0</v>
      </c>
      <c r="F104" s="50" t="s">
        <v>44</v>
      </c>
      <c r="G104" s="51">
        <f>(C$218+C$222)/1000</f>
        <v>39.781500000000001</v>
      </c>
      <c r="H104" s="52" t="s">
        <v>45</v>
      </c>
      <c r="I104" s="53">
        <f>ROUND(E104*G104,2)</f>
        <v>0</v>
      </c>
    </row>
    <row r="105" spans="2:13" ht="18" customHeight="1">
      <c r="B105" s="48" t="s">
        <v>46</v>
      </c>
      <c r="C105" s="50">
        <v>186.72</v>
      </c>
      <c r="D105" s="50" t="s">
        <v>47</v>
      </c>
      <c r="E105" s="49">
        <f>ROUND(C104*(C105/1000),2)</f>
        <v>0</v>
      </c>
      <c r="F105" s="50" t="s">
        <v>48</v>
      </c>
      <c r="G105" s="50">
        <f>G$23</f>
        <v>10</v>
      </c>
      <c r="H105" s="52" t="s">
        <v>49</v>
      </c>
      <c r="I105" s="53">
        <f>ROUND(E105*G105,2)</f>
        <v>0</v>
      </c>
    </row>
    <row r="106" spans="2:13" ht="18" customHeight="1">
      <c r="B106" s="48" t="s">
        <v>50</v>
      </c>
      <c r="C106" s="50">
        <v>0</v>
      </c>
      <c r="D106" s="50" t="s">
        <v>51</v>
      </c>
      <c r="E106" s="49">
        <f>ROUND(C104*(C106/1000),2)</f>
        <v>0</v>
      </c>
      <c r="F106" s="50" t="s">
        <v>48</v>
      </c>
      <c r="G106" s="50">
        <f>G$24</f>
        <v>10</v>
      </c>
      <c r="H106" s="52" t="s">
        <v>49</v>
      </c>
      <c r="I106" s="53">
        <f>ROUND(E106*G106,2)</f>
        <v>0</v>
      </c>
    </row>
    <row r="107" spans="2:13" ht="18" customHeight="1">
      <c r="B107" s="23" t="s">
        <v>36</v>
      </c>
      <c r="C107" s="462" t="s">
        <v>14</v>
      </c>
      <c r="D107" s="462" t="s">
        <v>37</v>
      </c>
      <c r="E107" s="462" t="s">
        <v>38</v>
      </c>
      <c r="F107" s="462" t="s">
        <v>39</v>
      </c>
      <c r="G107" s="462" t="s">
        <v>8</v>
      </c>
      <c r="H107" s="462" t="s">
        <v>22</v>
      </c>
      <c r="I107" s="25" t="s">
        <v>40</v>
      </c>
    </row>
    <row r="108" spans="2:13" ht="18" customHeight="1">
      <c r="B108" s="648" t="s">
        <v>85</v>
      </c>
      <c r="C108" s="655" t="s">
        <v>86</v>
      </c>
      <c r="D108" s="463">
        <f>1350*2</f>
        <v>2700</v>
      </c>
      <c r="E108" s="463">
        <f>E14</f>
        <v>3720</v>
      </c>
      <c r="F108" s="463">
        <f>ROUND((D108+E108)*2/1000,4)</f>
        <v>12.84</v>
      </c>
      <c r="G108" s="463">
        <v>1</v>
      </c>
      <c r="H108" s="463">
        <v>1.857</v>
      </c>
      <c r="I108" s="59">
        <f>ROUND(F108*G108*H108,3)</f>
        <v>23.844000000000001</v>
      </c>
    </row>
    <row r="109" spans="2:13" ht="18" customHeight="1">
      <c r="B109" s="648"/>
      <c r="C109" s="656"/>
      <c r="D109" s="463"/>
      <c r="E109" s="463"/>
      <c r="F109" s="463">
        <f>ROUND((D109+E109)*2/1000,4)</f>
        <v>0</v>
      </c>
      <c r="G109" s="463"/>
      <c r="H109" s="463">
        <f>H108</f>
        <v>1.857</v>
      </c>
      <c r="I109" s="59">
        <f>ROUND(F109*G109*H109,3)</f>
        <v>0</v>
      </c>
      <c r="K109" s="42"/>
      <c r="L109" s="42"/>
      <c r="M109" s="42"/>
    </row>
    <row r="110" spans="2:13" ht="18" customHeight="1">
      <c r="B110" s="648"/>
      <c r="C110" s="656"/>
      <c r="D110" s="463"/>
      <c r="E110" s="463"/>
      <c r="F110" s="463">
        <f>ROUND((D110+E110)*2/1000,4)</f>
        <v>0</v>
      </c>
      <c r="G110" s="463"/>
      <c r="H110" s="463">
        <f>H109</f>
        <v>1.857</v>
      </c>
      <c r="I110" s="59">
        <f>ROUND(F110*G110*H110,3)</f>
        <v>0</v>
      </c>
      <c r="K110" s="42"/>
      <c r="L110" s="42"/>
      <c r="M110" s="42"/>
    </row>
    <row r="111" spans="2:13" ht="18" customHeight="1">
      <c r="B111" s="648"/>
      <c r="C111" s="657"/>
      <c r="D111" s="463"/>
      <c r="E111" s="463"/>
      <c r="F111" s="463">
        <f>ROUND((D111+E111)*2/1000,4)</f>
        <v>0</v>
      </c>
      <c r="G111" s="463"/>
      <c r="H111" s="463">
        <f>H110</f>
        <v>1.857</v>
      </c>
      <c r="I111" s="59">
        <f>ROUND(F111*G111*H111,3)</f>
        <v>0</v>
      </c>
      <c r="K111" s="42"/>
      <c r="L111" s="42"/>
      <c r="M111" s="42"/>
    </row>
    <row r="112" spans="2:13" ht="18" customHeight="1">
      <c r="B112" s="48" t="s">
        <v>42</v>
      </c>
      <c r="C112" s="49">
        <f>SUMPRODUCT(F108:F111*G108:G111)</f>
        <v>12.84</v>
      </c>
      <c r="D112" s="50" t="s">
        <v>43</v>
      </c>
      <c r="E112" s="49">
        <f>SUM(I108:I111)*1.1</f>
        <v>26.228400000000004</v>
      </c>
      <c r="F112" s="50" t="s">
        <v>44</v>
      </c>
      <c r="G112" s="51">
        <f>(C$218+C$219)/1000</f>
        <v>46.081499999999998</v>
      </c>
      <c r="H112" s="52" t="s">
        <v>45</v>
      </c>
      <c r="I112" s="53">
        <f>ROUND(E112*G112,2)</f>
        <v>1208.6400000000001</v>
      </c>
      <c r="J112" s="243">
        <f>SUM(G108:G111)</f>
        <v>1</v>
      </c>
      <c r="K112" s="42"/>
      <c r="L112" s="42"/>
      <c r="M112" s="42"/>
    </row>
    <row r="113" spans="2:14" ht="18" customHeight="1">
      <c r="B113" s="48" t="s">
        <v>46</v>
      </c>
      <c r="C113" s="50">
        <v>241.03</v>
      </c>
      <c r="D113" s="50" t="s">
        <v>47</v>
      </c>
      <c r="E113" s="49">
        <f>ROUND(C112*(C113/1000),2)</f>
        <v>3.09</v>
      </c>
      <c r="F113" s="50" t="s">
        <v>48</v>
      </c>
      <c r="G113" s="50">
        <f>G$23</f>
        <v>10</v>
      </c>
      <c r="H113" s="52" t="s">
        <v>49</v>
      </c>
      <c r="I113" s="53">
        <f>E113*G113</f>
        <v>30.9</v>
      </c>
      <c r="K113" s="42"/>
      <c r="L113" s="42"/>
      <c r="M113" s="42"/>
    </row>
    <row r="114" spans="2:14" ht="18" customHeight="1" thickBot="1">
      <c r="B114" s="48" t="s">
        <v>50</v>
      </c>
      <c r="C114" s="50">
        <v>204.38</v>
      </c>
      <c r="D114" s="50" t="s">
        <v>51</v>
      </c>
      <c r="E114" s="49">
        <f>ROUND(C112*(C114/1000),2)</f>
        <v>2.62</v>
      </c>
      <c r="F114" s="50" t="s">
        <v>48</v>
      </c>
      <c r="G114" s="50">
        <f>G$24</f>
        <v>10</v>
      </c>
      <c r="H114" s="52" t="s">
        <v>49</v>
      </c>
      <c r="I114" s="53">
        <f>E114*G114</f>
        <v>26.200000000000003</v>
      </c>
    </row>
    <row r="115" spans="2:14" ht="18" customHeight="1" thickBot="1">
      <c r="B115" s="23" t="s">
        <v>36</v>
      </c>
      <c r="C115" s="462" t="s">
        <v>14</v>
      </c>
      <c r="D115" s="462" t="s">
        <v>37</v>
      </c>
      <c r="E115" s="462" t="s">
        <v>38</v>
      </c>
      <c r="F115" s="462" t="s">
        <v>39</v>
      </c>
      <c r="G115" s="462" t="s">
        <v>8</v>
      </c>
      <c r="H115" s="462" t="s">
        <v>22</v>
      </c>
      <c r="I115" s="25" t="s">
        <v>40</v>
      </c>
      <c r="J115" s="54" t="s">
        <v>2</v>
      </c>
      <c r="K115" s="55" t="s">
        <v>3</v>
      </c>
      <c r="L115" s="55" t="s">
        <v>61</v>
      </c>
      <c r="M115" s="55" t="s">
        <v>62</v>
      </c>
      <c r="N115" s="70" t="s">
        <v>14</v>
      </c>
    </row>
    <row r="116" spans="2:14" ht="18" customHeight="1">
      <c r="B116" s="648" t="s">
        <v>87</v>
      </c>
      <c r="C116" s="649" t="s">
        <v>88</v>
      </c>
      <c r="D116" s="464">
        <f t="shared" ref="D116:E118" si="18">J116-IF(L116=1,78,IF(L116=2,55.5,IF(L116=3,41,0)))</f>
        <v>1309</v>
      </c>
      <c r="E116" s="464">
        <f t="shared" si="18"/>
        <v>3642</v>
      </c>
      <c r="F116" s="463">
        <f>ROUND((D116+E116)*2/1000,4)</f>
        <v>9.9019999999999992</v>
      </c>
      <c r="G116" s="463">
        <v>2</v>
      </c>
      <c r="H116" s="58">
        <v>2.456</v>
      </c>
      <c r="I116" s="59">
        <f>ROUND(F116*G116*H116,3)</f>
        <v>48.639000000000003</v>
      </c>
      <c r="J116" s="60">
        <f>D108/2</f>
        <v>1350</v>
      </c>
      <c r="K116" s="61">
        <f>E108</f>
        <v>3720</v>
      </c>
      <c r="L116" s="61">
        <v>3</v>
      </c>
      <c r="M116" s="61">
        <v>1</v>
      </c>
      <c r="N116" s="76" t="s">
        <v>56</v>
      </c>
    </row>
    <row r="117" spans="2:14" ht="18" customHeight="1">
      <c r="B117" s="648"/>
      <c r="C117" s="650"/>
      <c r="D117" s="464">
        <f t="shared" si="18"/>
        <v>0</v>
      </c>
      <c r="E117" s="464">
        <f t="shared" si="18"/>
        <v>0</v>
      </c>
      <c r="F117" s="463">
        <f>ROUND((D117+E117)*2/1000,4)</f>
        <v>0</v>
      </c>
      <c r="G117" s="463">
        <v>0</v>
      </c>
      <c r="H117" s="58">
        <f>H116</f>
        <v>2.456</v>
      </c>
      <c r="I117" s="59">
        <f>ROUND(F117*G117*H117,3)</f>
        <v>0</v>
      </c>
      <c r="J117" s="60"/>
      <c r="K117" s="61"/>
      <c r="L117" s="61"/>
      <c r="M117" s="61"/>
      <c r="N117" s="76" t="s">
        <v>58</v>
      </c>
    </row>
    <row r="118" spans="2:14" ht="18" customHeight="1" thickBot="1">
      <c r="B118" s="648"/>
      <c r="C118" s="651"/>
      <c r="D118" s="464">
        <f t="shared" si="18"/>
        <v>0</v>
      </c>
      <c r="E118" s="464">
        <f t="shared" si="18"/>
        <v>0</v>
      </c>
      <c r="F118" s="463">
        <f>ROUND((D118+E118)*2/1000,4)</f>
        <v>0</v>
      </c>
      <c r="G118" s="463">
        <v>0</v>
      </c>
      <c r="H118" s="58">
        <f>H117</f>
        <v>2.456</v>
      </c>
      <c r="I118" s="59">
        <f>ROUND(F118*G118*H118,3)</f>
        <v>0</v>
      </c>
      <c r="J118" s="64"/>
      <c r="K118" s="65"/>
      <c r="L118" s="65"/>
      <c r="M118" s="65"/>
      <c r="N118" s="80" t="s">
        <v>89</v>
      </c>
    </row>
    <row r="119" spans="2:14" ht="18" customHeight="1">
      <c r="B119" s="48" t="s">
        <v>42</v>
      </c>
      <c r="C119" s="49">
        <f>SUMPRODUCT(F116:F118*G116:G118)</f>
        <v>19.803999999999998</v>
      </c>
      <c r="D119" s="100" t="s">
        <v>43</v>
      </c>
      <c r="E119" s="100">
        <f>SUM(I116:I118)*1.1</f>
        <v>53.502900000000011</v>
      </c>
      <c r="F119" s="50" t="s">
        <v>44</v>
      </c>
      <c r="G119" s="51">
        <f>(C$218+C$219)/1000</f>
        <v>46.081499999999998</v>
      </c>
      <c r="H119" s="52" t="s">
        <v>45</v>
      </c>
      <c r="I119" s="53">
        <f>ROUND(E119*G119,2)</f>
        <v>2465.4899999999998</v>
      </c>
      <c r="J119" s="243">
        <f>SUM(G116:G118)</f>
        <v>2</v>
      </c>
      <c r="K119" s="255"/>
      <c r="L119" s="255"/>
      <c r="M119" s="255"/>
    </row>
    <row r="120" spans="2:14" ht="18" customHeight="1">
      <c r="B120" s="48" t="s">
        <v>46</v>
      </c>
      <c r="C120" s="50">
        <v>350.56</v>
      </c>
      <c r="D120" s="100" t="s">
        <v>47</v>
      </c>
      <c r="E120" s="100">
        <f>ROUND(C119*(C120/1000),2)</f>
        <v>6.94</v>
      </c>
      <c r="F120" s="50" t="s">
        <v>48</v>
      </c>
      <c r="G120" s="50">
        <f>G$23</f>
        <v>10</v>
      </c>
      <c r="H120" s="52" t="s">
        <v>49</v>
      </c>
      <c r="I120" s="53">
        <f>E120*G120</f>
        <v>69.400000000000006</v>
      </c>
      <c r="J120" s="255"/>
      <c r="K120" s="255"/>
      <c r="L120" s="255"/>
      <c r="M120" s="255"/>
    </row>
    <row r="121" spans="2:14" ht="18" customHeight="1" thickBot="1">
      <c r="B121" s="48" t="s">
        <v>50</v>
      </c>
      <c r="C121" s="50">
        <v>189.03</v>
      </c>
      <c r="D121" s="100" t="s">
        <v>51</v>
      </c>
      <c r="E121" s="100">
        <f>ROUND(C119*(C121/1000),2)</f>
        <v>3.74</v>
      </c>
      <c r="F121" s="50" t="s">
        <v>48</v>
      </c>
      <c r="G121" s="50">
        <f>G$24</f>
        <v>10</v>
      </c>
      <c r="H121" s="52" t="s">
        <v>49</v>
      </c>
      <c r="I121" s="53">
        <f>E121*G121</f>
        <v>37.400000000000006</v>
      </c>
      <c r="J121" s="255"/>
    </row>
    <row r="122" spans="2:14" ht="18" customHeight="1" thickBot="1">
      <c r="B122" s="23" t="s">
        <v>36</v>
      </c>
      <c r="C122" s="462" t="s">
        <v>14</v>
      </c>
      <c r="D122" s="101" t="s">
        <v>37</v>
      </c>
      <c r="E122" s="101" t="s">
        <v>38</v>
      </c>
      <c r="F122" s="462" t="s">
        <v>39</v>
      </c>
      <c r="G122" s="462" t="s">
        <v>8</v>
      </c>
      <c r="H122" s="462" t="s">
        <v>22</v>
      </c>
      <c r="I122" s="25" t="s">
        <v>40</v>
      </c>
      <c r="J122" s="54" t="s">
        <v>2</v>
      </c>
      <c r="K122" s="55" t="s">
        <v>3</v>
      </c>
      <c r="L122" s="55" t="s">
        <v>61</v>
      </c>
      <c r="M122" s="55" t="s">
        <v>62</v>
      </c>
      <c r="N122" s="70" t="s">
        <v>14</v>
      </c>
    </row>
    <row r="123" spans="2:14" ht="18" customHeight="1">
      <c r="B123" s="648" t="s">
        <v>90</v>
      </c>
      <c r="C123" s="649" t="s">
        <v>91</v>
      </c>
      <c r="D123" s="464">
        <f t="shared" ref="D123:E125" si="19">J123-IF(L123=1,78,IF(L123=2,55.5,IF(L123=3,41,0)))</f>
        <v>0</v>
      </c>
      <c r="E123" s="464">
        <f t="shared" si="19"/>
        <v>0</v>
      </c>
      <c r="F123" s="463">
        <f>ROUND((D123+E123)*2/1000,4)</f>
        <v>0</v>
      </c>
      <c r="G123" s="463"/>
      <c r="H123" s="58">
        <v>2.4710000000000001</v>
      </c>
      <c r="I123" s="59">
        <f>ROUND(F123*G123*H123,3)</f>
        <v>0</v>
      </c>
      <c r="J123" s="60"/>
      <c r="K123" s="61"/>
      <c r="L123" s="61"/>
      <c r="M123" s="61"/>
      <c r="N123" s="76" t="s">
        <v>56</v>
      </c>
    </row>
    <row r="124" spans="2:14" ht="18" customHeight="1">
      <c r="B124" s="648"/>
      <c r="C124" s="650"/>
      <c r="D124" s="464">
        <f t="shared" si="19"/>
        <v>0</v>
      </c>
      <c r="E124" s="464">
        <f t="shared" si="19"/>
        <v>0</v>
      </c>
      <c r="F124" s="463">
        <f>ROUND((D124+E124)*2/1000,4)</f>
        <v>0</v>
      </c>
      <c r="G124" s="463"/>
      <c r="H124" s="58">
        <f>H123</f>
        <v>2.4710000000000001</v>
      </c>
      <c r="I124" s="59">
        <f>ROUND(F124*G124*H124,3)</f>
        <v>0</v>
      </c>
      <c r="J124" s="60"/>
      <c r="K124" s="61"/>
      <c r="L124" s="61"/>
      <c r="M124" s="61"/>
      <c r="N124" s="76" t="s">
        <v>58</v>
      </c>
    </row>
    <row r="125" spans="2:14" ht="18" customHeight="1" thickBot="1">
      <c r="B125" s="648"/>
      <c r="C125" s="651"/>
      <c r="D125" s="464">
        <f t="shared" si="19"/>
        <v>0</v>
      </c>
      <c r="E125" s="464">
        <f t="shared" si="19"/>
        <v>0</v>
      </c>
      <c r="F125" s="463">
        <f>ROUND((D125+E125)*2/1000,4)</f>
        <v>0</v>
      </c>
      <c r="G125" s="463"/>
      <c r="H125" s="58">
        <f>H124</f>
        <v>2.4710000000000001</v>
      </c>
      <c r="I125" s="59">
        <f>ROUND(F125*G125*H125,3)</f>
        <v>0</v>
      </c>
      <c r="J125" s="64"/>
      <c r="K125" s="65"/>
      <c r="L125" s="65"/>
      <c r="M125" s="65"/>
      <c r="N125" s="80" t="s">
        <v>89</v>
      </c>
    </row>
    <row r="126" spans="2:14" ht="18" customHeight="1">
      <c r="B126" s="48" t="s">
        <v>42</v>
      </c>
      <c r="C126" s="49">
        <f>SUMPRODUCT(F123:F125*G123:G125)</f>
        <v>0</v>
      </c>
      <c r="D126" s="50" t="s">
        <v>43</v>
      </c>
      <c r="E126" s="49">
        <f>SUM(I123:I125)*1.1</f>
        <v>0</v>
      </c>
      <c r="F126" s="50" t="s">
        <v>44</v>
      </c>
      <c r="G126" s="51">
        <f>(C$218+C$221)/1000</f>
        <v>46.081499999999998</v>
      </c>
      <c r="H126" s="52" t="s">
        <v>45</v>
      </c>
      <c r="I126" s="53">
        <f>ROUND(E126*G126,2)</f>
        <v>0</v>
      </c>
      <c r="J126" s="243">
        <f>SUM(G123:G125)</f>
        <v>0</v>
      </c>
      <c r="K126" s="255"/>
      <c r="L126" s="255"/>
      <c r="M126" s="255"/>
    </row>
    <row r="127" spans="2:14" ht="18" customHeight="1">
      <c r="B127" s="48" t="s">
        <v>46</v>
      </c>
      <c r="C127" s="50">
        <v>236.53</v>
      </c>
      <c r="D127" s="50" t="s">
        <v>47</v>
      </c>
      <c r="E127" s="49">
        <f>ROUND(C126*(C127/1000),2)</f>
        <v>0</v>
      </c>
      <c r="F127" s="50" t="s">
        <v>48</v>
      </c>
      <c r="G127" s="50">
        <f>G$23</f>
        <v>10</v>
      </c>
      <c r="H127" s="52" t="s">
        <v>49</v>
      </c>
      <c r="I127" s="53">
        <f>E127*G127</f>
        <v>0</v>
      </c>
      <c r="J127" s="255"/>
      <c r="K127" s="255"/>
      <c r="L127" s="255"/>
      <c r="M127" s="255"/>
    </row>
    <row r="128" spans="2:14" ht="18" customHeight="1" thickBot="1">
      <c r="B128" s="48" t="s">
        <v>50</v>
      </c>
      <c r="C128" s="50">
        <v>311.02999999999997</v>
      </c>
      <c r="D128" s="50" t="s">
        <v>51</v>
      </c>
      <c r="E128" s="49">
        <f>ROUND(C126*(C128/1000),2)</f>
        <v>0</v>
      </c>
      <c r="F128" s="50" t="s">
        <v>48</v>
      </c>
      <c r="G128" s="50">
        <f>G$24</f>
        <v>10</v>
      </c>
      <c r="H128" s="52" t="s">
        <v>49</v>
      </c>
      <c r="I128" s="53">
        <f>E128*G128</f>
        <v>0</v>
      </c>
      <c r="J128" s="255"/>
    </row>
    <row r="129" spans="2:14" ht="18" customHeight="1" thickBot="1">
      <c r="B129" s="23" t="s">
        <v>36</v>
      </c>
      <c r="C129" s="462" t="s">
        <v>14</v>
      </c>
      <c r="D129" s="462" t="s">
        <v>37</v>
      </c>
      <c r="E129" s="462" t="s">
        <v>71</v>
      </c>
      <c r="F129" s="462" t="s">
        <v>38</v>
      </c>
      <c r="G129" s="462" t="s">
        <v>72</v>
      </c>
      <c r="H129" s="462" t="s">
        <v>22</v>
      </c>
      <c r="I129" s="25" t="s">
        <v>40</v>
      </c>
      <c r="J129" s="54" t="s">
        <v>2</v>
      </c>
      <c r="K129" s="55" t="s">
        <v>3</v>
      </c>
      <c r="L129" s="55" t="s">
        <v>61</v>
      </c>
      <c r="M129" s="55" t="s">
        <v>62</v>
      </c>
      <c r="N129" s="70" t="s">
        <v>14</v>
      </c>
    </row>
    <row r="130" spans="2:14" ht="18" customHeight="1">
      <c r="B130" s="648" t="s">
        <v>92</v>
      </c>
      <c r="C130" s="649" t="s">
        <v>93</v>
      </c>
      <c r="D130" s="464">
        <f>J130-IF(L130=1,81,IF(L130=2,58.5,IF(L130=3,36,0)))</f>
        <v>0</v>
      </c>
      <c r="E130" s="464">
        <v>0</v>
      </c>
      <c r="F130" s="464">
        <f>K130-IF(M130=1,81,IF(M130=2,58.5,IF(M130=3,36,0)))</f>
        <v>0</v>
      </c>
      <c r="G130" s="463">
        <v>0</v>
      </c>
      <c r="H130" s="463">
        <v>2.0489999999999999</v>
      </c>
      <c r="I130" s="59">
        <f>ROUND((D130*E130+F130*G130)/1000*H130,3)</f>
        <v>0</v>
      </c>
      <c r="J130" s="60"/>
      <c r="K130" s="61"/>
      <c r="L130" s="61"/>
      <c r="M130" s="61"/>
      <c r="N130" s="76" t="s">
        <v>56</v>
      </c>
    </row>
    <row r="131" spans="2:14" ht="18" customHeight="1">
      <c r="B131" s="648"/>
      <c r="C131" s="650"/>
      <c r="D131" s="464">
        <f>J131-IF(L131=1,81,IF(L131=2,58.5,IF(L131=3,36,0)))</f>
        <v>0</v>
      </c>
      <c r="E131" s="464">
        <v>0</v>
      </c>
      <c r="F131" s="464">
        <f>K131-IF(M131=1,81,IF(M131=2,58.5,IF(M131=3,36,0)))</f>
        <v>0</v>
      </c>
      <c r="G131" s="463"/>
      <c r="H131" s="463">
        <f>H130</f>
        <v>2.0489999999999999</v>
      </c>
      <c r="I131" s="59">
        <f>ROUND((D131*E131+F131*G131)/1000*H131,3)</f>
        <v>0</v>
      </c>
      <c r="J131" s="60"/>
      <c r="K131" s="61"/>
      <c r="L131" s="61"/>
      <c r="M131" s="61"/>
      <c r="N131" s="76" t="s">
        <v>58</v>
      </c>
    </row>
    <row r="132" spans="2:14" ht="18" customHeight="1" thickBot="1">
      <c r="B132" s="648"/>
      <c r="C132" s="651"/>
      <c r="D132" s="464">
        <f>J132-IF(L132=1,81,IF(L132=2,58.5,IF(L132=3,36,0)))</f>
        <v>0</v>
      </c>
      <c r="E132" s="464"/>
      <c r="F132" s="464">
        <f>K132-IF(M132=1,81,IF(M132=2,58.5,IF(M132=3,36,0)))</f>
        <v>0</v>
      </c>
      <c r="G132" s="463"/>
      <c r="H132" s="463">
        <f>H131</f>
        <v>2.0489999999999999</v>
      </c>
      <c r="I132" s="59">
        <f>ROUND((D132*E132+F132*G132)/1000*H132,3)</f>
        <v>0</v>
      </c>
      <c r="J132" s="64"/>
      <c r="K132" s="65"/>
      <c r="L132" s="65"/>
      <c r="M132" s="65"/>
      <c r="N132" s="80" t="s">
        <v>89</v>
      </c>
    </row>
    <row r="133" spans="2:14" ht="18" customHeight="1">
      <c r="B133" s="48" t="s">
        <v>42</v>
      </c>
      <c r="C133" s="49">
        <f>SUMPRODUCT(D130:D132*E130:E132+F130:F132*G130:G132)/1000</f>
        <v>0</v>
      </c>
      <c r="D133" s="50" t="s">
        <v>43</v>
      </c>
      <c r="E133" s="49">
        <f>SUM(I130:I132)*1.1</f>
        <v>0</v>
      </c>
      <c r="F133" s="50" t="s">
        <v>44</v>
      </c>
      <c r="G133" s="51">
        <f>(C$218+C$219)/1000</f>
        <v>46.081499999999998</v>
      </c>
      <c r="H133" s="52" t="s">
        <v>45</v>
      </c>
      <c r="I133" s="53">
        <f>ROUND(E133*G133,2)</f>
        <v>0</v>
      </c>
      <c r="J133" s="243">
        <f>SUM(G130:G132)+SUM(E130:E132)</f>
        <v>0</v>
      </c>
    </row>
    <row r="134" spans="2:14" ht="18" customHeight="1">
      <c r="B134" s="48" t="s">
        <v>46</v>
      </c>
      <c r="C134" s="50">
        <v>298.42</v>
      </c>
      <c r="D134" s="50" t="s">
        <v>47</v>
      </c>
      <c r="E134" s="49">
        <f>ROUND(C133*(C134/1000),2)</f>
        <v>0</v>
      </c>
      <c r="F134" s="50" t="s">
        <v>48</v>
      </c>
      <c r="G134" s="50">
        <f>G$23</f>
        <v>10</v>
      </c>
      <c r="H134" s="52" t="s">
        <v>49</v>
      </c>
      <c r="I134" s="53">
        <f>ROUND(E134*G134,2)</f>
        <v>0</v>
      </c>
    </row>
    <row r="135" spans="2:14" ht="18" customHeight="1">
      <c r="B135" s="48" t="s">
        <v>50</v>
      </c>
      <c r="C135" s="50">
        <v>208.08</v>
      </c>
      <c r="D135" s="50" t="s">
        <v>51</v>
      </c>
      <c r="E135" s="49">
        <f>ROUND(C133*(C135/1000),2)</f>
        <v>0</v>
      </c>
      <c r="F135" s="50" t="s">
        <v>48</v>
      </c>
      <c r="G135" s="50">
        <f>G$24</f>
        <v>10</v>
      </c>
      <c r="H135" s="52" t="s">
        <v>49</v>
      </c>
      <c r="I135" s="53">
        <f>ROUND(E135*G135,2)</f>
        <v>0</v>
      </c>
    </row>
    <row r="136" spans="2:14" ht="18" customHeight="1">
      <c r="B136" s="23" t="s">
        <v>36</v>
      </c>
      <c r="C136" s="462" t="s">
        <v>14</v>
      </c>
      <c r="D136" s="652" t="s">
        <v>38</v>
      </c>
      <c r="E136" s="652"/>
      <c r="F136" s="652"/>
      <c r="G136" s="462" t="s">
        <v>72</v>
      </c>
      <c r="H136" s="462" t="s">
        <v>22</v>
      </c>
      <c r="I136" s="25" t="s">
        <v>40</v>
      </c>
    </row>
    <row r="137" spans="2:14" ht="18" customHeight="1">
      <c r="B137" s="648" t="s">
        <v>94</v>
      </c>
      <c r="C137" s="649" t="s">
        <v>95</v>
      </c>
      <c r="D137" s="654">
        <f>E116</f>
        <v>3642</v>
      </c>
      <c r="E137" s="646"/>
      <c r="F137" s="646"/>
      <c r="G137" s="463">
        <v>1</v>
      </c>
      <c r="H137" s="463">
        <v>1.3360000000000001</v>
      </c>
      <c r="I137" s="59">
        <f>ROUND(D137*H137*G137/1000,3)</f>
        <v>4.8659999999999997</v>
      </c>
    </row>
    <row r="138" spans="2:14" ht="18" customHeight="1">
      <c r="B138" s="648"/>
      <c r="C138" s="651"/>
      <c r="D138" s="654"/>
      <c r="E138" s="646"/>
      <c r="F138" s="646"/>
      <c r="G138" s="463"/>
      <c r="H138" s="463">
        <f>H137</f>
        <v>1.3360000000000001</v>
      </c>
      <c r="I138" s="59">
        <f>ROUND(D138*H138*G138/1000,3)</f>
        <v>0</v>
      </c>
    </row>
    <row r="139" spans="2:14" ht="18" customHeight="1">
      <c r="B139" s="48" t="s">
        <v>42</v>
      </c>
      <c r="C139" s="49">
        <f>SUMPRODUCT(D137:F138*G137:G138)/1000</f>
        <v>3.6419999999999999</v>
      </c>
      <c r="D139" s="50" t="s">
        <v>43</v>
      </c>
      <c r="E139" s="49">
        <f>SUM(I137:I138)*1.1</f>
        <v>5.3525999999999998</v>
      </c>
      <c r="F139" s="50" t="s">
        <v>44</v>
      </c>
      <c r="G139" s="51">
        <f>(C$218+C$219)/1000</f>
        <v>46.081499999999998</v>
      </c>
      <c r="H139" s="52" t="s">
        <v>45</v>
      </c>
      <c r="I139" s="53">
        <f>ROUND(E139*G139,2)</f>
        <v>246.66</v>
      </c>
    </row>
    <row r="140" spans="2:14" ht="18" customHeight="1">
      <c r="B140" s="48" t="s">
        <v>46</v>
      </c>
      <c r="C140" s="50">
        <v>143.24</v>
      </c>
      <c r="D140" s="50" t="s">
        <v>47</v>
      </c>
      <c r="E140" s="49">
        <f>ROUND(C139*(C140/1000),2)</f>
        <v>0.52</v>
      </c>
      <c r="F140" s="50" t="s">
        <v>48</v>
      </c>
      <c r="G140" s="50">
        <f>G$23</f>
        <v>10</v>
      </c>
      <c r="H140" s="52" t="s">
        <v>49</v>
      </c>
      <c r="I140" s="53">
        <f>E140*G140</f>
        <v>5.2</v>
      </c>
    </row>
    <row r="141" spans="2:14" ht="18" customHeight="1">
      <c r="B141" s="48" t="s">
        <v>50</v>
      </c>
      <c r="C141" s="50">
        <v>85.04</v>
      </c>
      <c r="D141" s="50" t="s">
        <v>51</v>
      </c>
      <c r="E141" s="49">
        <f>ROUND(C139*(C141/1000),2)</f>
        <v>0.31</v>
      </c>
      <c r="F141" s="50" t="s">
        <v>48</v>
      </c>
      <c r="G141" s="50">
        <f>G$24</f>
        <v>10</v>
      </c>
      <c r="H141" s="52" t="s">
        <v>49</v>
      </c>
      <c r="I141" s="53">
        <f>E141*G141</f>
        <v>3.1</v>
      </c>
    </row>
    <row r="142" spans="2:14" ht="18" customHeight="1">
      <c r="B142" s="23" t="s">
        <v>36</v>
      </c>
      <c r="C142" s="462" t="s">
        <v>14</v>
      </c>
      <c r="D142" s="462" t="s">
        <v>37</v>
      </c>
      <c r="E142" s="462" t="s">
        <v>38</v>
      </c>
      <c r="F142" s="462" t="s">
        <v>39</v>
      </c>
      <c r="G142" s="462" t="s">
        <v>8</v>
      </c>
      <c r="H142" s="462" t="s">
        <v>22</v>
      </c>
      <c r="I142" s="25" t="s">
        <v>40</v>
      </c>
    </row>
    <row r="143" spans="2:14" ht="18" customHeight="1">
      <c r="B143" s="648" t="s">
        <v>96</v>
      </c>
      <c r="C143" s="653" t="s">
        <v>83</v>
      </c>
      <c r="D143" s="464">
        <f t="shared" ref="D143:E145" si="20">D116-154</f>
        <v>1155</v>
      </c>
      <c r="E143" s="464">
        <f t="shared" si="20"/>
        <v>3488</v>
      </c>
      <c r="F143" s="464">
        <f>(D143+E143)*2/1000</f>
        <v>9.2859999999999996</v>
      </c>
      <c r="G143" s="463">
        <f>G116</f>
        <v>2</v>
      </c>
      <c r="H143" s="463">
        <v>0.27100000000000002</v>
      </c>
      <c r="I143" s="59">
        <f>ROUND((F143*G143)*H143,3)</f>
        <v>5.0330000000000004</v>
      </c>
    </row>
    <row r="144" spans="2:14" ht="18" customHeight="1">
      <c r="B144" s="648"/>
      <c r="C144" s="650"/>
      <c r="D144" s="464">
        <f t="shared" si="20"/>
        <v>-154</v>
      </c>
      <c r="E144" s="464">
        <f t="shared" si="20"/>
        <v>-154</v>
      </c>
      <c r="F144" s="464">
        <f>(D144+E144)*2/1000</f>
        <v>-0.61599999999999999</v>
      </c>
      <c r="G144" s="463">
        <f>G117</f>
        <v>0</v>
      </c>
      <c r="H144" s="463">
        <f>H143</f>
        <v>0.27100000000000002</v>
      </c>
      <c r="I144" s="59">
        <f>ROUND((F144*G144)*H144,3)</f>
        <v>0</v>
      </c>
    </row>
    <row r="145" spans="2:14" ht="18" customHeight="1">
      <c r="B145" s="648"/>
      <c r="C145" s="651"/>
      <c r="D145" s="464">
        <f t="shared" si="20"/>
        <v>-154</v>
      </c>
      <c r="E145" s="464">
        <f t="shared" si="20"/>
        <v>-154</v>
      </c>
      <c r="F145" s="464">
        <f>(D145+E145)*2/1000</f>
        <v>-0.61599999999999999</v>
      </c>
      <c r="G145" s="463">
        <f>G118</f>
        <v>0</v>
      </c>
      <c r="H145" s="463">
        <f>H144</f>
        <v>0.27100000000000002</v>
      </c>
      <c r="I145" s="59">
        <f>ROUND((F145*G145)*H145,3)</f>
        <v>0</v>
      </c>
    </row>
    <row r="146" spans="2:14" ht="18" customHeight="1">
      <c r="B146" s="48" t="s">
        <v>42</v>
      </c>
      <c r="C146" s="49">
        <f>SUMPRODUCT(F143:F145*G143:G145)</f>
        <v>18.571999999999999</v>
      </c>
      <c r="D146" s="50" t="s">
        <v>43</v>
      </c>
      <c r="E146" s="49">
        <f>SUM(I143:I145)*1.1</f>
        <v>5.5363000000000007</v>
      </c>
      <c r="F146" s="50" t="s">
        <v>44</v>
      </c>
      <c r="G146" s="51">
        <f>(C$218+C$222)/1000</f>
        <v>39.781500000000001</v>
      </c>
      <c r="H146" s="52" t="s">
        <v>45</v>
      </c>
      <c r="I146" s="53">
        <f>ROUND(E146*G146,2)</f>
        <v>220.24</v>
      </c>
    </row>
    <row r="147" spans="2:14" ht="18" customHeight="1">
      <c r="B147" s="48" t="s">
        <v>46</v>
      </c>
      <c r="C147" s="50">
        <v>186.72</v>
      </c>
      <c r="D147" s="50" t="s">
        <v>47</v>
      </c>
      <c r="E147" s="49">
        <f>ROUND(C146*(C147/1000),2)</f>
        <v>3.47</v>
      </c>
      <c r="F147" s="50" t="s">
        <v>48</v>
      </c>
      <c r="G147" s="50">
        <f>G$23</f>
        <v>10</v>
      </c>
      <c r="H147" s="52" t="s">
        <v>49</v>
      </c>
      <c r="I147" s="53">
        <f>E147*G147</f>
        <v>34.700000000000003</v>
      </c>
      <c r="K147" s="42"/>
      <c r="L147" s="42"/>
      <c r="M147" s="42"/>
    </row>
    <row r="148" spans="2:14" ht="18" customHeight="1">
      <c r="B148" s="48" t="s">
        <v>50</v>
      </c>
      <c r="C148" s="50">
        <v>0</v>
      </c>
      <c r="D148" s="50" t="s">
        <v>51</v>
      </c>
      <c r="E148" s="49">
        <f>ROUND(C146*(C148/1000),2)</f>
        <v>0</v>
      </c>
      <c r="F148" s="50" t="s">
        <v>48</v>
      </c>
      <c r="G148" s="50">
        <f>G$24</f>
        <v>10</v>
      </c>
      <c r="H148" s="52" t="s">
        <v>49</v>
      </c>
      <c r="I148" s="53">
        <f>E148*G148</f>
        <v>0</v>
      </c>
      <c r="K148" s="42"/>
      <c r="L148" s="42"/>
      <c r="M148" s="42"/>
    </row>
    <row r="149" spans="2:14" ht="18" customHeight="1">
      <c r="B149" s="23" t="s">
        <v>36</v>
      </c>
      <c r="C149" s="462" t="s">
        <v>14</v>
      </c>
      <c r="D149" s="462" t="s">
        <v>37</v>
      </c>
      <c r="E149" s="462" t="s">
        <v>38</v>
      </c>
      <c r="F149" s="462" t="s">
        <v>39</v>
      </c>
      <c r="G149" s="462" t="s">
        <v>8</v>
      </c>
      <c r="H149" s="462" t="s">
        <v>22</v>
      </c>
      <c r="I149" s="25" t="s">
        <v>40</v>
      </c>
      <c r="K149" s="42"/>
      <c r="L149" s="42"/>
      <c r="M149" s="42"/>
    </row>
    <row r="150" spans="2:14" ht="18" customHeight="1">
      <c r="B150" s="648" t="s">
        <v>97</v>
      </c>
      <c r="C150" s="653" t="s">
        <v>83</v>
      </c>
      <c r="D150" s="464">
        <f t="shared" ref="D150:E152" si="21">D123-160</f>
        <v>-160</v>
      </c>
      <c r="E150" s="464">
        <f t="shared" si="21"/>
        <v>-160</v>
      </c>
      <c r="F150" s="464">
        <f>(D150+E150)*2/1000</f>
        <v>-0.64</v>
      </c>
      <c r="G150" s="463">
        <f>G123</f>
        <v>0</v>
      </c>
      <c r="H150" s="463">
        <f>H145</f>
        <v>0.27100000000000002</v>
      </c>
      <c r="I150" s="59">
        <f>ROUND((F150*G150)*H150,3)</f>
        <v>0</v>
      </c>
      <c r="K150" s="42"/>
      <c r="L150" s="42"/>
      <c r="M150" s="42"/>
    </row>
    <row r="151" spans="2:14" ht="18" customHeight="1">
      <c r="B151" s="648"/>
      <c r="C151" s="650"/>
      <c r="D151" s="464">
        <f t="shared" si="21"/>
        <v>-160</v>
      </c>
      <c r="E151" s="464">
        <f t="shared" si="21"/>
        <v>-160</v>
      </c>
      <c r="F151" s="464">
        <f>(D151+E151)*2/1000</f>
        <v>-0.64</v>
      </c>
      <c r="G151" s="463">
        <f>G124</f>
        <v>0</v>
      </c>
      <c r="H151" s="463">
        <f>H150</f>
        <v>0.27100000000000002</v>
      </c>
      <c r="I151" s="59">
        <f>ROUND((F151*G151)*H151,3)</f>
        <v>0</v>
      </c>
      <c r="K151" s="42"/>
      <c r="L151" s="42"/>
      <c r="M151" s="42"/>
    </row>
    <row r="152" spans="2:14" ht="18" customHeight="1">
      <c r="B152" s="648"/>
      <c r="C152" s="651"/>
      <c r="D152" s="464">
        <f t="shared" si="21"/>
        <v>-160</v>
      </c>
      <c r="E152" s="464">
        <f t="shared" si="21"/>
        <v>-160</v>
      </c>
      <c r="F152" s="464">
        <f>(D152+E152)*2/1000</f>
        <v>-0.64</v>
      </c>
      <c r="G152" s="463">
        <f>G125</f>
        <v>0</v>
      </c>
      <c r="H152" s="463">
        <f>H151</f>
        <v>0.27100000000000002</v>
      </c>
      <c r="I152" s="59">
        <f>ROUND((F152*G152)*H152,3)</f>
        <v>0</v>
      </c>
      <c r="K152" s="42"/>
      <c r="L152" s="42"/>
      <c r="M152" s="42"/>
    </row>
    <row r="153" spans="2:14" ht="18" customHeight="1">
      <c r="B153" s="48" t="s">
        <v>42</v>
      </c>
      <c r="C153" s="49">
        <f>SUMPRODUCT(F150:F152*G150:G152)</f>
        <v>0</v>
      </c>
      <c r="D153" s="50" t="s">
        <v>43</v>
      </c>
      <c r="E153" s="49">
        <f>SUM(I150:I152)*1.1</f>
        <v>0</v>
      </c>
      <c r="F153" s="50" t="s">
        <v>44</v>
      </c>
      <c r="G153" s="51">
        <f>(C$218+C$222)/1000</f>
        <v>39.781500000000001</v>
      </c>
      <c r="H153" s="52" t="s">
        <v>45</v>
      </c>
      <c r="I153" s="53">
        <f>ROUND(E153*G153,2)</f>
        <v>0</v>
      </c>
      <c r="K153" s="42"/>
      <c r="L153" s="42"/>
      <c r="M153" s="42"/>
    </row>
    <row r="154" spans="2:14" ht="18" customHeight="1">
      <c r="B154" s="48" t="s">
        <v>46</v>
      </c>
      <c r="C154" s="50">
        <v>186.72</v>
      </c>
      <c r="D154" s="50" t="s">
        <v>47</v>
      </c>
      <c r="E154" s="49">
        <f>ROUND(C153*(C154/1000),2)</f>
        <v>0</v>
      </c>
      <c r="F154" s="50" t="s">
        <v>48</v>
      </c>
      <c r="G154" s="50">
        <f>G$23</f>
        <v>10</v>
      </c>
      <c r="H154" s="52" t="s">
        <v>49</v>
      </c>
      <c r="I154" s="53">
        <f>E154*G154</f>
        <v>0</v>
      </c>
    </row>
    <row r="155" spans="2:14" ht="18" customHeight="1" thickBot="1">
      <c r="B155" s="48" t="s">
        <v>50</v>
      </c>
      <c r="C155" s="50">
        <v>0</v>
      </c>
      <c r="D155" s="50" t="s">
        <v>51</v>
      </c>
      <c r="E155" s="49">
        <f>ROUND(C153*(C155/1000),2)</f>
        <v>0</v>
      </c>
      <c r="F155" s="50" t="s">
        <v>48</v>
      </c>
      <c r="G155" s="50">
        <f>G$24</f>
        <v>10</v>
      </c>
      <c r="H155" s="52" t="s">
        <v>49</v>
      </c>
      <c r="I155" s="53">
        <f>E155*G155</f>
        <v>0</v>
      </c>
    </row>
    <row r="156" spans="2:14" ht="18" customHeight="1" thickBot="1">
      <c r="B156" s="23" t="s">
        <v>36</v>
      </c>
      <c r="C156" s="462" t="s">
        <v>14</v>
      </c>
      <c r="D156" s="462" t="s">
        <v>37</v>
      </c>
      <c r="E156" s="462" t="s">
        <v>38</v>
      </c>
      <c r="F156" s="462" t="s">
        <v>39</v>
      </c>
      <c r="G156" s="462" t="s">
        <v>8</v>
      </c>
      <c r="H156" s="462" t="s">
        <v>22</v>
      </c>
      <c r="I156" s="25" t="s">
        <v>40</v>
      </c>
      <c r="J156" s="54" t="s">
        <v>2</v>
      </c>
      <c r="K156" s="55" t="s">
        <v>3</v>
      </c>
      <c r="L156" s="55" t="s">
        <v>61</v>
      </c>
      <c r="M156" s="55" t="s">
        <v>62</v>
      </c>
      <c r="N156" s="70" t="s">
        <v>14</v>
      </c>
    </row>
    <row r="157" spans="2:14" ht="18" customHeight="1">
      <c r="B157" s="648" t="s">
        <v>98</v>
      </c>
      <c r="C157" s="649" t="s">
        <v>99</v>
      </c>
      <c r="D157" s="464">
        <f t="shared" ref="D157:E162" si="22">J157-IF(L157=1,90,IF(L157=2,67.5,IF(L157=3,45,0)))</f>
        <v>0</v>
      </c>
      <c r="E157" s="464">
        <f t="shared" si="22"/>
        <v>0</v>
      </c>
      <c r="F157" s="464">
        <f t="shared" ref="F157:F162" si="23">2*(D157+E157)/1000</f>
        <v>0</v>
      </c>
      <c r="G157" s="463">
        <v>0</v>
      </c>
      <c r="H157" s="463">
        <f>H68</f>
        <v>0.224</v>
      </c>
      <c r="I157" s="59">
        <f t="shared" ref="I157:I162" si="24">ROUND((F157*G157)*H157,3)</f>
        <v>0</v>
      </c>
      <c r="J157" s="60"/>
      <c r="K157" s="61"/>
      <c r="L157" s="61"/>
      <c r="M157" s="61"/>
      <c r="N157" s="76" t="s">
        <v>56</v>
      </c>
    </row>
    <row r="158" spans="2:14" ht="18" customHeight="1">
      <c r="B158" s="648"/>
      <c r="C158" s="650"/>
      <c r="D158" s="464">
        <f t="shared" si="22"/>
        <v>0</v>
      </c>
      <c r="E158" s="464">
        <f t="shared" si="22"/>
        <v>0</v>
      </c>
      <c r="F158" s="464">
        <f t="shared" si="23"/>
        <v>0</v>
      </c>
      <c r="G158" s="463"/>
      <c r="H158" s="463">
        <f>H157</f>
        <v>0.224</v>
      </c>
      <c r="I158" s="59">
        <f t="shared" si="24"/>
        <v>0</v>
      </c>
      <c r="J158" s="60"/>
      <c r="K158" s="61"/>
      <c r="L158" s="61"/>
      <c r="M158" s="61"/>
      <c r="N158" s="76" t="s">
        <v>58</v>
      </c>
    </row>
    <row r="159" spans="2:14" ht="18" customHeight="1">
      <c r="B159" s="648"/>
      <c r="C159" s="650"/>
      <c r="D159" s="464">
        <f t="shared" si="22"/>
        <v>0</v>
      </c>
      <c r="E159" s="464">
        <f t="shared" si="22"/>
        <v>0</v>
      </c>
      <c r="F159" s="464">
        <f t="shared" si="23"/>
        <v>0</v>
      </c>
      <c r="G159" s="463"/>
      <c r="H159" s="463">
        <f>H158</f>
        <v>0.224</v>
      </c>
      <c r="I159" s="59">
        <f t="shared" si="24"/>
        <v>0</v>
      </c>
      <c r="J159" s="60"/>
      <c r="K159" s="61"/>
      <c r="L159" s="61"/>
      <c r="M159" s="61"/>
      <c r="N159" s="76" t="s">
        <v>60</v>
      </c>
    </row>
    <row r="160" spans="2:14" ht="18" customHeight="1">
      <c r="B160" s="648"/>
      <c r="C160" s="650"/>
      <c r="D160" s="464">
        <f t="shared" si="22"/>
        <v>0</v>
      </c>
      <c r="E160" s="464">
        <f t="shared" si="22"/>
        <v>0</v>
      </c>
      <c r="F160" s="464">
        <f t="shared" si="23"/>
        <v>0</v>
      </c>
      <c r="G160" s="463">
        <v>0</v>
      </c>
      <c r="H160" s="77">
        <f>H159</f>
        <v>0.224</v>
      </c>
      <c r="I160" s="59">
        <f t="shared" si="24"/>
        <v>0</v>
      </c>
      <c r="J160" s="60"/>
      <c r="K160" s="61"/>
      <c r="L160" s="61"/>
      <c r="M160" s="61"/>
      <c r="N160" s="76"/>
    </row>
    <row r="161" spans="2:16" ht="18" customHeight="1">
      <c r="B161" s="648"/>
      <c r="C161" s="650"/>
      <c r="D161" s="464">
        <f t="shared" si="22"/>
        <v>0</v>
      </c>
      <c r="E161" s="464">
        <f t="shared" si="22"/>
        <v>0</v>
      </c>
      <c r="F161" s="464">
        <f t="shared" si="23"/>
        <v>0</v>
      </c>
      <c r="G161" s="463"/>
      <c r="H161" s="463">
        <f>H160</f>
        <v>0.224</v>
      </c>
      <c r="I161" s="59">
        <f t="shared" si="24"/>
        <v>0</v>
      </c>
      <c r="J161" s="60"/>
      <c r="K161" s="61"/>
      <c r="L161" s="61"/>
      <c r="M161" s="61"/>
      <c r="N161" s="76"/>
    </row>
    <row r="162" spans="2:16" ht="18" customHeight="1" thickBot="1">
      <c r="B162" s="648"/>
      <c r="C162" s="651"/>
      <c r="D162" s="464">
        <f t="shared" si="22"/>
        <v>0</v>
      </c>
      <c r="E162" s="464">
        <f t="shared" si="22"/>
        <v>0</v>
      </c>
      <c r="F162" s="464">
        <f t="shared" si="23"/>
        <v>0</v>
      </c>
      <c r="G162" s="463"/>
      <c r="H162" s="463">
        <f>H160</f>
        <v>0.224</v>
      </c>
      <c r="I162" s="59">
        <f t="shared" si="24"/>
        <v>0</v>
      </c>
      <c r="J162" s="64"/>
      <c r="K162" s="65"/>
      <c r="L162" s="65"/>
      <c r="M162" s="65"/>
      <c r="N162" s="80"/>
    </row>
    <row r="163" spans="2:16" ht="18" customHeight="1">
      <c r="B163" s="48" t="s">
        <v>42</v>
      </c>
      <c r="C163" s="49">
        <f>SUMPRODUCT(F157:F162*G157:G162)</f>
        <v>0</v>
      </c>
      <c r="D163" s="50" t="s">
        <v>43</v>
      </c>
      <c r="E163" s="49">
        <f>SUM(I157:I162)*1.1</f>
        <v>0</v>
      </c>
      <c r="F163" s="50" t="s">
        <v>44</v>
      </c>
      <c r="G163" s="51">
        <f>(C$218+C$222)/1000</f>
        <v>39.781500000000001</v>
      </c>
      <c r="H163" s="52" t="s">
        <v>45</v>
      </c>
      <c r="I163" s="53">
        <f>ROUND(E163*G163,2)</f>
        <v>0</v>
      </c>
      <c r="J163" s="102"/>
      <c r="K163" s="102"/>
      <c r="L163" s="102"/>
      <c r="M163" s="102"/>
      <c r="O163" s="102"/>
      <c r="P163" s="102"/>
    </row>
    <row r="164" spans="2:16" ht="18" customHeight="1">
      <c r="B164" s="48" t="s">
        <v>46</v>
      </c>
      <c r="C164" s="50">
        <v>181.72</v>
      </c>
      <c r="D164" s="50" t="s">
        <v>47</v>
      </c>
      <c r="E164" s="49">
        <f>ROUND(C163*(C164/1000),2)</f>
        <v>0</v>
      </c>
      <c r="F164" s="50" t="s">
        <v>48</v>
      </c>
      <c r="G164" s="50">
        <f>G$23</f>
        <v>10</v>
      </c>
      <c r="H164" s="52" t="s">
        <v>49</v>
      </c>
      <c r="I164" s="53">
        <f>E164*G164</f>
        <v>0</v>
      </c>
      <c r="J164" s="102"/>
      <c r="K164" s="102"/>
      <c r="L164" s="102"/>
      <c r="M164" s="102"/>
      <c r="O164" s="102"/>
      <c r="P164" s="102"/>
    </row>
    <row r="165" spans="2:16" ht="18" customHeight="1">
      <c r="B165" s="48" t="s">
        <v>50</v>
      </c>
      <c r="C165" s="50"/>
      <c r="D165" s="50" t="s">
        <v>51</v>
      </c>
      <c r="E165" s="49">
        <f>ROUND(C163*(C165/1000),2)</f>
        <v>0</v>
      </c>
      <c r="F165" s="50" t="s">
        <v>48</v>
      </c>
      <c r="G165" s="50">
        <f>G$24</f>
        <v>10</v>
      </c>
      <c r="H165" s="52" t="s">
        <v>49</v>
      </c>
      <c r="I165" s="53">
        <f>E165*G165</f>
        <v>0</v>
      </c>
      <c r="K165" s="43">
        <f>J165*E165</f>
        <v>0</v>
      </c>
    </row>
    <row r="166" spans="2:16" ht="18" customHeight="1">
      <c r="B166" s="23" t="s">
        <v>36</v>
      </c>
      <c r="C166" s="462" t="s">
        <v>14</v>
      </c>
      <c r="D166" s="462" t="s">
        <v>37</v>
      </c>
      <c r="E166" s="462" t="s">
        <v>71</v>
      </c>
      <c r="F166" s="462" t="s">
        <v>38</v>
      </c>
      <c r="G166" s="462" t="s">
        <v>72</v>
      </c>
      <c r="H166" s="462" t="s">
        <v>22</v>
      </c>
      <c r="I166" s="25" t="s">
        <v>40</v>
      </c>
    </row>
    <row r="167" spans="2:16" ht="18" customHeight="1">
      <c r="B167" s="648" t="s">
        <v>100</v>
      </c>
      <c r="C167" s="649" t="s">
        <v>101</v>
      </c>
      <c r="D167" s="463"/>
      <c r="E167" s="463"/>
      <c r="F167" s="463"/>
      <c r="G167" s="463"/>
      <c r="H167" s="28">
        <v>6.3E-2</v>
      </c>
      <c r="I167" s="59">
        <f>ROUND((D167*E167+F167*G167)/1000*H167,3)</f>
        <v>0</v>
      </c>
    </row>
    <row r="168" spans="2:16" ht="18" customHeight="1">
      <c r="B168" s="648"/>
      <c r="C168" s="650"/>
      <c r="D168" s="463"/>
      <c r="E168" s="463"/>
      <c r="F168" s="463"/>
      <c r="G168" s="463"/>
      <c r="H168" s="28">
        <f>H167</f>
        <v>6.3E-2</v>
      </c>
      <c r="I168" s="59">
        <f>ROUND((D168*E168+F168*G168)/1000*H168,3)</f>
        <v>0</v>
      </c>
    </row>
    <row r="169" spans="2:16" ht="18" customHeight="1">
      <c r="B169" s="648"/>
      <c r="C169" s="651"/>
      <c r="D169" s="463"/>
      <c r="E169" s="463"/>
      <c r="F169" s="463"/>
      <c r="G169" s="463"/>
      <c r="H169" s="28">
        <f>H168</f>
        <v>6.3E-2</v>
      </c>
      <c r="I169" s="59">
        <f>ROUND((D169*E169+F169*G169)/1000*H169,3)</f>
        <v>0</v>
      </c>
    </row>
    <row r="170" spans="2:16" ht="18" customHeight="1">
      <c r="B170" s="48" t="s">
        <v>42</v>
      </c>
      <c r="C170" s="49">
        <f>SUMPRODUCT(D167:D169*E167:E169+F167:F169*G167:G169)/1000</f>
        <v>0</v>
      </c>
      <c r="D170" s="50" t="s">
        <v>43</v>
      </c>
      <c r="E170" s="49">
        <f>SUM(I167:I169)*1.1</f>
        <v>0</v>
      </c>
      <c r="F170" s="50" t="s">
        <v>44</v>
      </c>
      <c r="G170" s="51">
        <f>(C$218+$C$222)/1000</f>
        <v>39.781500000000001</v>
      </c>
      <c r="H170" s="52" t="s">
        <v>45</v>
      </c>
      <c r="I170" s="53">
        <f>ROUND(E170*G170,2)</f>
        <v>0</v>
      </c>
    </row>
    <row r="171" spans="2:16" ht="18" customHeight="1">
      <c r="B171" s="48" t="s">
        <v>46</v>
      </c>
      <c r="C171" s="50">
        <v>105.66</v>
      </c>
      <c r="D171" s="50" t="s">
        <v>47</v>
      </c>
      <c r="E171" s="49">
        <f>ROUND(C170*(C171/1000),2)</f>
        <v>0</v>
      </c>
      <c r="F171" s="50" t="s">
        <v>48</v>
      </c>
      <c r="G171" s="50">
        <f>G$23</f>
        <v>10</v>
      </c>
      <c r="H171" s="52" t="s">
        <v>49</v>
      </c>
      <c r="I171" s="53">
        <f>E171*G171</f>
        <v>0</v>
      </c>
    </row>
    <row r="172" spans="2:16" ht="18" customHeight="1">
      <c r="B172" s="48" t="s">
        <v>50</v>
      </c>
      <c r="C172" s="50">
        <v>125.66</v>
      </c>
      <c r="D172" s="50" t="s">
        <v>51</v>
      </c>
      <c r="E172" s="49">
        <f>ROUND(C170*(C172/1000),2)</f>
        <v>0</v>
      </c>
      <c r="F172" s="50" t="s">
        <v>48</v>
      </c>
      <c r="G172" s="50">
        <f>G$24</f>
        <v>10</v>
      </c>
      <c r="H172" s="52" t="s">
        <v>49</v>
      </c>
      <c r="I172" s="53">
        <f>E172*G172</f>
        <v>0</v>
      </c>
    </row>
    <row r="173" spans="2:16" ht="18" customHeight="1">
      <c r="B173" s="23" t="s">
        <v>36</v>
      </c>
      <c r="C173" s="462" t="s">
        <v>14</v>
      </c>
      <c r="D173" s="462" t="s">
        <v>37</v>
      </c>
      <c r="E173" s="462" t="s">
        <v>71</v>
      </c>
      <c r="F173" s="462" t="s">
        <v>38</v>
      </c>
      <c r="G173" s="462" t="s">
        <v>72</v>
      </c>
      <c r="H173" s="462" t="s">
        <v>22</v>
      </c>
      <c r="I173" s="25" t="s">
        <v>40</v>
      </c>
    </row>
    <row r="174" spans="2:16" ht="18" customHeight="1">
      <c r="B174" s="648" t="s">
        <v>102</v>
      </c>
      <c r="C174" s="649" t="s">
        <v>103</v>
      </c>
      <c r="D174" s="463"/>
      <c r="E174" s="463"/>
      <c r="F174" s="463"/>
      <c r="G174" s="463"/>
      <c r="H174" s="28">
        <v>1.0980000000000001</v>
      </c>
      <c r="I174" s="59">
        <f>ROUND((D174*E174+F174*G174)/1000*H174,3)</f>
        <v>0</v>
      </c>
    </row>
    <row r="175" spans="2:16" ht="18" customHeight="1">
      <c r="B175" s="648"/>
      <c r="C175" s="650"/>
      <c r="D175" s="463"/>
      <c r="E175" s="463"/>
      <c r="F175" s="463"/>
      <c r="G175" s="463"/>
      <c r="H175" s="28">
        <f>H174</f>
        <v>1.0980000000000001</v>
      </c>
      <c r="I175" s="59">
        <f>ROUND((D175*E175+F175*G175)/1000*H175,3)</f>
        <v>0</v>
      </c>
    </row>
    <row r="176" spans="2:16" ht="18" customHeight="1">
      <c r="B176" s="648"/>
      <c r="C176" s="651"/>
      <c r="D176" s="463"/>
      <c r="E176" s="463"/>
      <c r="F176" s="463"/>
      <c r="G176" s="463"/>
      <c r="H176" s="28">
        <f>H175</f>
        <v>1.0980000000000001</v>
      </c>
      <c r="I176" s="59">
        <f>ROUND((D176*E176+F176*G176)/1000*H176,3)</f>
        <v>0</v>
      </c>
    </row>
    <row r="177" spans="2:9" ht="18" customHeight="1">
      <c r="B177" s="48" t="s">
        <v>42</v>
      </c>
      <c r="C177" s="49">
        <f>SUMPRODUCT(D174:D176*E174:E176+F174:F176*G174:G176)/1000</f>
        <v>0</v>
      </c>
      <c r="D177" s="50" t="s">
        <v>43</v>
      </c>
      <c r="E177" s="49">
        <f>SUM(I174:I176)*1.1</f>
        <v>0</v>
      </c>
      <c r="F177" s="50" t="s">
        <v>44</v>
      </c>
      <c r="G177" s="51">
        <f>(C$218+C$219)/1000</f>
        <v>46.081499999999998</v>
      </c>
      <c r="H177" s="52" t="s">
        <v>45</v>
      </c>
      <c r="I177" s="53">
        <f>ROUND(E177*G177,2)</f>
        <v>0</v>
      </c>
    </row>
    <row r="178" spans="2:9" ht="18" customHeight="1">
      <c r="B178" s="48" t="s">
        <v>46</v>
      </c>
      <c r="C178" s="50">
        <v>105.66</v>
      </c>
      <c r="D178" s="50" t="s">
        <v>47</v>
      </c>
      <c r="E178" s="49">
        <f>ROUND(C177*(C178/1000),2)</f>
        <v>0</v>
      </c>
      <c r="F178" s="50" t="s">
        <v>48</v>
      </c>
      <c r="G178" s="50">
        <f>G$23</f>
        <v>10</v>
      </c>
      <c r="H178" s="52" t="s">
        <v>49</v>
      </c>
      <c r="I178" s="53">
        <f>E178*G178</f>
        <v>0</v>
      </c>
    </row>
    <row r="179" spans="2:9" ht="18" customHeight="1">
      <c r="B179" s="48" t="s">
        <v>50</v>
      </c>
      <c r="C179" s="50">
        <v>125.66</v>
      </c>
      <c r="D179" s="50" t="s">
        <v>51</v>
      </c>
      <c r="E179" s="49">
        <f>ROUND(C177*(C179/1000),2)</f>
        <v>0</v>
      </c>
      <c r="F179" s="50" t="s">
        <v>48</v>
      </c>
      <c r="G179" s="50">
        <f>G$24</f>
        <v>10</v>
      </c>
      <c r="H179" s="52" t="s">
        <v>49</v>
      </c>
      <c r="I179" s="53">
        <f>E179*G179</f>
        <v>0</v>
      </c>
    </row>
    <row r="180" spans="2:9" ht="18" customHeight="1">
      <c r="B180" s="23" t="s">
        <v>36</v>
      </c>
      <c r="C180" s="462" t="s">
        <v>14</v>
      </c>
      <c r="D180" s="462" t="s">
        <v>37</v>
      </c>
      <c r="E180" s="462" t="s">
        <v>71</v>
      </c>
      <c r="F180" s="462" t="s">
        <v>38</v>
      </c>
      <c r="G180" s="462" t="s">
        <v>72</v>
      </c>
      <c r="H180" s="462" t="s">
        <v>22</v>
      </c>
      <c r="I180" s="25" t="s">
        <v>40</v>
      </c>
    </row>
    <row r="181" spans="2:9" ht="18" customHeight="1">
      <c r="B181" s="648" t="s">
        <v>104</v>
      </c>
      <c r="C181" s="649" t="s">
        <v>105</v>
      </c>
      <c r="D181" s="463"/>
      <c r="E181" s="463"/>
      <c r="F181" s="463">
        <f>E14</f>
        <v>3720</v>
      </c>
      <c r="G181" s="463">
        <v>4</v>
      </c>
      <c r="H181" s="28">
        <v>1.5629999999999999</v>
      </c>
      <c r="I181" s="59">
        <f>ROUND((D181*E181+F181*G181)/1000*H181,3)</f>
        <v>23.257000000000001</v>
      </c>
    </row>
    <row r="182" spans="2:9" ht="18" customHeight="1">
      <c r="B182" s="648"/>
      <c r="C182" s="650"/>
      <c r="D182" s="463"/>
      <c r="E182" s="463"/>
      <c r="F182" s="463"/>
      <c r="G182" s="463"/>
      <c r="H182" s="28">
        <f>H181</f>
        <v>1.5629999999999999</v>
      </c>
      <c r="I182" s="59">
        <f>ROUND((D182*E182+F182*G182)/1000*H182,3)</f>
        <v>0</v>
      </c>
    </row>
    <row r="183" spans="2:9" ht="18" customHeight="1">
      <c r="B183" s="648"/>
      <c r="C183" s="651"/>
      <c r="D183" s="463"/>
      <c r="E183" s="463"/>
      <c r="F183" s="463"/>
      <c r="G183" s="463"/>
      <c r="H183" s="28">
        <f>H182</f>
        <v>1.5629999999999999</v>
      </c>
      <c r="I183" s="59">
        <f>ROUND((D183*E183+F183*G183)/1000*H183,3)</f>
        <v>0</v>
      </c>
    </row>
    <row r="184" spans="2:9" ht="18" customHeight="1">
      <c r="B184" s="48" t="s">
        <v>42</v>
      </c>
      <c r="C184" s="49">
        <f>SUMPRODUCT(D181:D183*E181:E183+F181:F183*G181:G183)/1000</f>
        <v>14.88</v>
      </c>
      <c r="D184" s="50" t="s">
        <v>43</v>
      </c>
      <c r="E184" s="49">
        <f>SUM(I181:I183)*1.1</f>
        <v>25.582700000000003</v>
      </c>
      <c r="F184" s="50" t="s">
        <v>44</v>
      </c>
      <c r="G184" s="51">
        <f>(C$218+C$219)/1000</f>
        <v>46.081499999999998</v>
      </c>
      <c r="H184" s="52" t="s">
        <v>45</v>
      </c>
      <c r="I184" s="53">
        <f>ROUND(E184*G184,2)</f>
        <v>1178.8900000000001</v>
      </c>
    </row>
    <row r="185" spans="2:9" ht="18" customHeight="1">
      <c r="B185" s="48" t="s">
        <v>46</v>
      </c>
      <c r="C185" s="50">
        <v>105.66</v>
      </c>
      <c r="D185" s="50" t="s">
        <v>47</v>
      </c>
      <c r="E185" s="49">
        <f>ROUND(C184*(C185/1000),2)</f>
        <v>1.57</v>
      </c>
      <c r="F185" s="50" t="s">
        <v>48</v>
      </c>
      <c r="G185" s="50">
        <f>G$23</f>
        <v>10</v>
      </c>
      <c r="H185" s="52" t="s">
        <v>49</v>
      </c>
      <c r="I185" s="53">
        <f>E185*G185</f>
        <v>15.700000000000001</v>
      </c>
    </row>
    <row r="186" spans="2:9" ht="18" customHeight="1">
      <c r="B186" s="48" t="s">
        <v>50</v>
      </c>
      <c r="C186" s="50">
        <v>125.66</v>
      </c>
      <c r="D186" s="50" t="s">
        <v>51</v>
      </c>
      <c r="E186" s="49">
        <f>ROUND(C184*(C186/1000),2)</f>
        <v>1.87</v>
      </c>
      <c r="F186" s="50" t="s">
        <v>48</v>
      </c>
      <c r="G186" s="50">
        <f>G$24</f>
        <v>10</v>
      </c>
      <c r="H186" s="52" t="s">
        <v>49</v>
      </c>
      <c r="I186" s="53">
        <f>E186*G186</f>
        <v>18.700000000000003</v>
      </c>
    </row>
    <row r="187" spans="2:9" ht="18" customHeight="1">
      <c r="B187" s="23" t="s">
        <v>36</v>
      </c>
      <c r="C187" s="462" t="s">
        <v>14</v>
      </c>
      <c r="D187" s="462" t="s">
        <v>37</v>
      </c>
      <c r="E187" s="462" t="s">
        <v>71</v>
      </c>
      <c r="F187" s="462" t="s">
        <v>38</v>
      </c>
      <c r="G187" s="462" t="s">
        <v>72</v>
      </c>
      <c r="H187" s="462" t="s">
        <v>22</v>
      </c>
      <c r="I187" s="25" t="s">
        <v>40</v>
      </c>
    </row>
    <row r="188" spans="2:9" ht="18" customHeight="1">
      <c r="B188" s="648" t="s">
        <v>106</v>
      </c>
      <c r="C188" s="649" t="s">
        <v>107</v>
      </c>
      <c r="D188" s="463"/>
      <c r="E188" s="463"/>
      <c r="F188" s="463"/>
      <c r="G188" s="463"/>
      <c r="H188" s="28">
        <v>1.732</v>
      </c>
      <c r="I188" s="59">
        <f>ROUND((D188*E188+F188*G188)/1000*H188,3)</f>
        <v>0</v>
      </c>
    </row>
    <row r="189" spans="2:9" ht="18" customHeight="1">
      <c r="B189" s="648"/>
      <c r="C189" s="650"/>
      <c r="D189" s="463"/>
      <c r="E189" s="463"/>
      <c r="F189" s="463"/>
      <c r="G189" s="463"/>
      <c r="H189" s="28">
        <f>H188</f>
        <v>1.732</v>
      </c>
      <c r="I189" s="59">
        <f>ROUND((D189*E189+F189*G189)/1000*H189,3)</f>
        <v>0</v>
      </c>
    </row>
    <row r="190" spans="2:9" ht="18" customHeight="1">
      <c r="B190" s="648"/>
      <c r="C190" s="651"/>
      <c r="D190" s="463"/>
      <c r="E190" s="463"/>
      <c r="F190" s="463">
        <f>E6</f>
        <v>3720</v>
      </c>
      <c r="G190" s="463"/>
      <c r="H190" s="28">
        <f>H189</f>
        <v>1.732</v>
      </c>
      <c r="I190" s="59">
        <f>ROUND((D190*E190+F190*G190)/1000*H190,3)</f>
        <v>0</v>
      </c>
    </row>
    <row r="191" spans="2:9" ht="18" customHeight="1">
      <c r="B191" s="48" t="s">
        <v>42</v>
      </c>
      <c r="C191" s="49">
        <f>SUMPRODUCT(D188:D190*E188:E190+F188:F190*G188:G190)/1000</f>
        <v>0</v>
      </c>
      <c r="D191" s="50" t="s">
        <v>43</v>
      </c>
      <c r="E191" s="49">
        <f>SUM(I188:I190)*1.1</f>
        <v>0</v>
      </c>
      <c r="F191" s="50" t="s">
        <v>44</v>
      </c>
      <c r="G191" s="51">
        <f>(C$218+C$219)/1000</f>
        <v>46.081499999999998</v>
      </c>
      <c r="H191" s="52" t="s">
        <v>45</v>
      </c>
      <c r="I191" s="53">
        <f>ROUND(E191*G191,2)</f>
        <v>0</v>
      </c>
    </row>
    <row r="192" spans="2:9" ht="18" customHeight="1">
      <c r="B192" s="48" t="s">
        <v>46</v>
      </c>
      <c r="C192" s="50">
        <v>105.66</v>
      </c>
      <c r="D192" s="50" t="s">
        <v>47</v>
      </c>
      <c r="E192" s="49">
        <f>ROUND(C191*(C192/1000),2)</f>
        <v>0</v>
      </c>
      <c r="F192" s="50" t="s">
        <v>48</v>
      </c>
      <c r="G192" s="50">
        <f>G$23</f>
        <v>10</v>
      </c>
      <c r="H192" s="52" t="s">
        <v>49</v>
      </c>
      <c r="I192" s="53">
        <f>E192*G192</f>
        <v>0</v>
      </c>
    </row>
    <row r="193" spans="2:15" ht="18" customHeight="1">
      <c r="B193" s="48" t="s">
        <v>50</v>
      </c>
      <c r="C193" s="50">
        <v>125.66</v>
      </c>
      <c r="D193" s="50" t="s">
        <v>51</v>
      </c>
      <c r="E193" s="49">
        <f>ROUND(C191*(C193/1000),2)</f>
        <v>0</v>
      </c>
      <c r="F193" s="50" t="s">
        <v>48</v>
      </c>
      <c r="G193" s="50">
        <f>G$24</f>
        <v>10</v>
      </c>
      <c r="H193" s="52" t="s">
        <v>49</v>
      </c>
      <c r="I193" s="53">
        <f>E193*G193</f>
        <v>0</v>
      </c>
    </row>
    <row r="194" spans="2:15" ht="18" customHeight="1">
      <c r="B194" s="23" t="s">
        <v>36</v>
      </c>
      <c r="C194" s="462" t="s">
        <v>14</v>
      </c>
      <c r="D194" s="652" t="s">
        <v>38</v>
      </c>
      <c r="E194" s="652"/>
      <c r="F194" s="652"/>
      <c r="G194" s="462" t="s">
        <v>72</v>
      </c>
      <c r="H194" s="462" t="s">
        <v>22</v>
      </c>
      <c r="I194" s="25" t="s">
        <v>40</v>
      </c>
    </row>
    <row r="195" spans="2:15" ht="18" customHeight="1">
      <c r="B195" s="643" t="s">
        <v>108</v>
      </c>
      <c r="C195" s="645" t="s">
        <v>109</v>
      </c>
      <c r="D195" s="646"/>
      <c r="E195" s="646"/>
      <c r="F195" s="646"/>
      <c r="G195" s="463"/>
      <c r="H195" s="463">
        <v>1.796</v>
      </c>
      <c r="I195" s="59">
        <f>ROUND((D195*G195*H195)/1000,3)</f>
        <v>0</v>
      </c>
    </row>
    <row r="196" spans="2:15" ht="18" customHeight="1">
      <c r="B196" s="644"/>
      <c r="C196" s="640"/>
      <c r="D196" s="646"/>
      <c r="E196" s="646"/>
      <c r="F196" s="646"/>
      <c r="G196" s="463"/>
      <c r="H196" s="463">
        <f>H195</f>
        <v>1.796</v>
      </c>
      <c r="I196" s="59">
        <f>ROUND((D196*G196*H196)/1000,3)</f>
        <v>0</v>
      </c>
    </row>
    <row r="197" spans="2:15" ht="18" customHeight="1">
      <c r="B197" s="643" t="s">
        <v>110</v>
      </c>
      <c r="C197" s="645" t="s">
        <v>111</v>
      </c>
      <c r="D197" s="646"/>
      <c r="E197" s="646"/>
      <c r="F197" s="646"/>
      <c r="G197" s="463"/>
      <c r="H197" s="463">
        <v>1.355</v>
      </c>
      <c r="I197" s="59"/>
    </row>
    <row r="198" spans="2:15" ht="18" customHeight="1">
      <c r="B198" s="644"/>
      <c r="C198" s="640"/>
      <c r="D198" s="646"/>
      <c r="E198" s="646"/>
      <c r="F198" s="646"/>
      <c r="G198" s="463"/>
      <c r="H198" s="463">
        <f>H197</f>
        <v>1.355</v>
      </c>
      <c r="I198" s="59"/>
    </row>
    <row r="199" spans="2:15" ht="18" customHeight="1">
      <c r="B199" s="48" t="s">
        <v>42</v>
      </c>
      <c r="C199" s="49">
        <f>SUMPRODUCT(D195:F198*G195:G198)/1000</f>
        <v>0</v>
      </c>
      <c r="D199" s="50" t="s">
        <v>43</v>
      </c>
      <c r="E199" s="49">
        <f>SUM(I195:I198)*1.1</f>
        <v>0</v>
      </c>
      <c r="F199" s="50" t="s">
        <v>44</v>
      </c>
      <c r="G199" s="51">
        <f>(C$218+C$219)/1000</f>
        <v>46.081499999999998</v>
      </c>
      <c r="H199" s="52" t="s">
        <v>45</v>
      </c>
      <c r="I199" s="53">
        <f>ROUND(E199*G199,2)</f>
        <v>0</v>
      </c>
    </row>
    <row r="200" spans="2:15" ht="18" customHeight="1">
      <c r="B200" s="48" t="s">
        <v>46</v>
      </c>
      <c r="C200" s="50">
        <v>267.77999999999997</v>
      </c>
      <c r="D200" s="50" t="s">
        <v>47</v>
      </c>
      <c r="E200" s="49">
        <f>ROUND(C199*(C200/1000),2)</f>
        <v>0</v>
      </c>
      <c r="F200" s="50" t="s">
        <v>48</v>
      </c>
      <c r="G200" s="50">
        <f>G$23</f>
        <v>10</v>
      </c>
      <c r="H200" s="52" t="s">
        <v>49</v>
      </c>
      <c r="I200" s="53">
        <f>E200*G200</f>
        <v>0</v>
      </c>
    </row>
    <row r="201" spans="2:15" ht="18" customHeight="1">
      <c r="B201" s="48" t="s">
        <v>50</v>
      </c>
      <c r="C201" s="50">
        <v>104.29</v>
      </c>
      <c r="D201" s="50" t="s">
        <v>51</v>
      </c>
      <c r="E201" s="49">
        <f>ROUND(C199*(C201/1000),2)</f>
        <v>0</v>
      </c>
      <c r="F201" s="50" t="s">
        <v>48</v>
      </c>
      <c r="G201" s="50">
        <f>G$24</f>
        <v>10</v>
      </c>
      <c r="H201" s="52" t="s">
        <v>49</v>
      </c>
      <c r="I201" s="53">
        <f>E201*G201</f>
        <v>0</v>
      </c>
    </row>
    <row r="202" spans="2:15" ht="18" customHeight="1">
      <c r="B202" s="103" t="s">
        <v>112</v>
      </c>
      <c r="C202" s="104" t="s">
        <v>113</v>
      </c>
      <c r="D202" s="104" t="s">
        <v>28</v>
      </c>
      <c r="E202" s="104" t="s">
        <v>8</v>
      </c>
      <c r="F202" s="104" t="s">
        <v>112</v>
      </c>
      <c r="G202" s="104" t="s">
        <v>113</v>
      </c>
      <c r="H202" s="104" t="s">
        <v>28</v>
      </c>
      <c r="I202" s="105" t="s">
        <v>8</v>
      </c>
      <c r="N202" s="106"/>
      <c r="O202" s="102"/>
    </row>
    <row r="203" spans="2:15" ht="18" customHeight="1">
      <c r="B203" s="461" t="s">
        <v>327</v>
      </c>
      <c r="C203" s="107" t="s">
        <v>114</v>
      </c>
      <c r="D203" s="108">
        <v>2.15</v>
      </c>
      <c r="E203" s="464">
        <f>SUM(G14:G21)*4</f>
        <v>16</v>
      </c>
      <c r="F203" s="647" t="s">
        <v>115</v>
      </c>
      <c r="G203" s="107" t="s">
        <v>116</v>
      </c>
      <c r="H203" s="108">
        <v>2.46</v>
      </c>
      <c r="I203" s="468">
        <f>SUM(G108:G111)*4</f>
        <v>4</v>
      </c>
      <c r="J203" s="42"/>
      <c r="N203" s="106"/>
      <c r="O203" s="102"/>
    </row>
    <row r="204" spans="2:15" ht="18" customHeight="1">
      <c r="B204" s="461" t="s">
        <v>328</v>
      </c>
      <c r="C204" s="107" t="s">
        <v>117</v>
      </c>
      <c r="D204" s="108">
        <v>1.72</v>
      </c>
      <c r="E204" s="464">
        <f>E203</f>
        <v>16</v>
      </c>
      <c r="F204" s="646"/>
      <c r="G204" s="107" t="s">
        <v>118</v>
      </c>
      <c r="H204" s="108">
        <v>3.11</v>
      </c>
      <c r="I204" s="468">
        <f>I203</f>
        <v>4</v>
      </c>
      <c r="J204" s="42"/>
      <c r="N204" s="106"/>
      <c r="O204" s="102"/>
    </row>
    <row r="205" spans="2:15" ht="18" customHeight="1">
      <c r="B205" s="109" t="s">
        <v>330</v>
      </c>
      <c r="C205" s="107" t="s">
        <v>119</v>
      </c>
      <c r="D205" s="108">
        <v>2.68</v>
      </c>
      <c r="E205" s="464">
        <f>SUM(G26:G30)*4</f>
        <v>0</v>
      </c>
      <c r="F205" s="110" t="s">
        <v>120</v>
      </c>
      <c r="G205" s="107" t="s">
        <v>121</v>
      </c>
      <c r="H205" s="111">
        <v>4.76</v>
      </c>
      <c r="I205" s="468">
        <f>SUM(G123:G125)*4</f>
        <v>0</v>
      </c>
      <c r="J205" s="42"/>
      <c r="N205" s="106"/>
      <c r="O205" s="102"/>
    </row>
    <row r="206" spans="2:15" ht="18" customHeight="1">
      <c r="B206" s="109" t="s">
        <v>329</v>
      </c>
      <c r="C206" s="107" t="s">
        <v>122</v>
      </c>
      <c r="D206" s="108">
        <v>1.27</v>
      </c>
      <c r="E206" s="464">
        <f>E205</f>
        <v>0</v>
      </c>
      <c r="F206" s="110" t="s">
        <v>123</v>
      </c>
      <c r="G206" s="107" t="s">
        <v>124</v>
      </c>
      <c r="H206" s="111">
        <v>3.85</v>
      </c>
      <c r="I206" s="468">
        <f>I205</f>
        <v>0</v>
      </c>
      <c r="J206" s="42"/>
      <c r="N206" s="106"/>
      <c r="O206" s="102"/>
    </row>
    <row r="207" spans="2:15" ht="18" customHeight="1">
      <c r="B207" s="109" t="s">
        <v>331</v>
      </c>
      <c r="C207" s="107" t="s">
        <v>125</v>
      </c>
      <c r="D207" s="111" t="s">
        <v>126</v>
      </c>
      <c r="E207" s="464">
        <f>SUM(G35:G37)*4</f>
        <v>0</v>
      </c>
      <c r="F207" s="110" t="s">
        <v>127</v>
      </c>
      <c r="G207" s="107" t="s">
        <v>128</v>
      </c>
      <c r="H207" s="111">
        <v>4.29</v>
      </c>
      <c r="I207" s="468">
        <f>SUM(G116:G118)*4</f>
        <v>8</v>
      </c>
      <c r="J207" s="42"/>
      <c r="N207" s="106"/>
      <c r="O207" s="102"/>
    </row>
    <row r="208" spans="2:15" ht="18" customHeight="1">
      <c r="B208" s="109" t="s">
        <v>332</v>
      </c>
      <c r="C208" s="107" t="s">
        <v>129</v>
      </c>
      <c r="D208" s="111" t="s">
        <v>130</v>
      </c>
      <c r="E208" s="464">
        <f>E207</f>
        <v>0</v>
      </c>
      <c r="F208" s="110" t="s">
        <v>131</v>
      </c>
      <c r="G208" s="107" t="s">
        <v>132</v>
      </c>
      <c r="H208" s="111">
        <v>4.5</v>
      </c>
      <c r="I208" s="468">
        <f>I207</f>
        <v>8</v>
      </c>
      <c r="J208" s="42"/>
      <c r="N208" s="106"/>
      <c r="O208" s="102"/>
    </row>
    <row r="209" spans="2:15" ht="18" customHeight="1">
      <c r="B209" s="465" t="s">
        <v>333</v>
      </c>
      <c r="C209" s="463">
        <v>12.6</v>
      </c>
      <c r="D209" s="111">
        <v>1.32</v>
      </c>
      <c r="E209" s="464">
        <f>SUM(G42:G47)*4</f>
        <v>0</v>
      </c>
      <c r="F209" s="639"/>
      <c r="G209" s="107"/>
      <c r="H209" s="28"/>
      <c r="I209" s="468"/>
      <c r="N209" s="106"/>
      <c r="O209" s="102"/>
    </row>
    <row r="210" spans="2:15" ht="18" customHeight="1">
      <c r="B210" s="465" t="s">
        <v>334</v>
      </c>
      <c r="C210" s="463">
        <v>15.8</v>
      </c>
      <c r="D210" s="111">
        <v>1.18</v>
      </c>
      <c r="E210" s="464">
        <f>E209</f>
        <v>0</v>
      </c>
      <c r="F210" s="640"/>
      <c r="G210" s="107"/>
      <c r="H210" s="28"/>
      <c r="I210" s="231"/>
      <c r="N210" s="106"/>
      <c r="O210" s="102"/>
    </row>
    <row r="211" spans="2:15" ht="18" customHeight="1">
      <c r="B211" s="461" t="s">
        <v>335</v>
      </c>
      <c r="C211" s="107" t="s">
        <v>337</v>
      </c>
      <c r="D211" s="111">
        <v>2.81</v>
      </c>
      <c r="E211" s="463">
        <f>SUM(E52+E53+E54+E55+G52+G53+G54+G55+G60+G61+G62+G63)*2</f>
        <v>0</v>
      </c>
      <c r="F211" s="641" t="s">
        <v>133</v>
      </c>
      <c r="G211" s="111">
        <f>SUMPRODUCT(D35:D37,G35:G37)/1000</f>
        <v>0</v>
      </c>
      <c r="H211" s="28">
        <v>0.16</v>
      </c>
      <c r="I211" s="232">
        <f>G211*H211</f>
        <v>0</v>
      </c>
      <c r="N211" s="106"/>
      <c r="O211" s="102"/>
    </row>
    <row r="212" spans="2:15" ht="18" customHeight="1">
      <c r="B212" s="461" t="s">
        <v>336</v>
      </c>
      <c r="C212" s="107" t="s">
        <v>338</v>
      </c>
      <c r="D212" s="111">
        <v>3.51</v>
      </c>
      <c r="E212" s="463">
        <f>E211</f>
        <v>0</v>
      </c>
      <c r="F212" s="641"/>
      <c r="G212" s="111">
        <f>SUMPRODUCT(D26:D30,G26:G30)/1000</f>
        <v>0</v>
      </c>
      <c r="H212" s="28">
        <v>0.16</v>
      </c>
      <c r="I212" s="232">
        <f>G212*H212</f>
        <v>0</v>
      </c>
      <c r="N212" s="106"/>
      <c r="O212" s="102"/>
    </row>
    <row r="213" spans="2:15" ht="18" customHeight="1">
      <c r="B213" s="461" t="s">
        <v>134</v>
      </c>
      <c r="C213" s="463">
        <v>30.6</v>
      </c>
      <c r="D213" s="111">
        <v>2.81</v>
      </c>
      <c r="E213" s="464">
        <f>SUM(+E130+E131+E132+G130+G131+G132)*2</f>
        <v>0</v>
      </c>
      <c r="F213" s="641" t="s">
        <v>135</v>
      </c>
      <c r="G213" s="111">
        <f>SUMPRODUCT(E26:E30,G26:G30)/1000</f>
        <v>0</v>
      </c>
      <c r="H213" s="28">
        <v>0.16</v>
      </c>
      <c r="I213" s="232">
        <f>G213*H213</f>
        <v>0</v>
      </c>
      <c r="N213" s="106"/>
      <c r="O213" s="102"/>
    </row>
    <row r="214" spans="2:15" ht="18" customHeight="1">
      <c r="B214" s="461" t="s">
        <v>136</v>
      </c>
      <c r="C214" s="463">
        <v>30.6</v>
      </c>
      <c r="D214" s="111">
        <v>3.51</v>
      </c>
      <c r="E214" s="464">
        <f>E213</f>
        <v>0</v>
      </c>
      <c r="F214" s="641"/>
      <c r="G214" s="111">
        <f>SUMPRODUCT(E35:E37,G35:G37)/1000</f>
        <v>0</v>
      </c>
      <c r="H214" s="28">
        <v>0.16</v>
      </c>
      <c r="I214" s="232">
        <f>G214*H214</f>
        <v>0</v>
      </c>
      <c r="N214" s="106"/>
      <c r="O214" s="102"/>
    </row>
    <row r="215" spans="2:15" ht="18" customHeight="1">
      <c r="B215" s="52" t="s">
        <v>137</v>
      </c>
      <c r="C215" s="112" cm="1">
        <f t="array" ref="C215">SUMPRODUCT(D203:D214*E203:E214)+SUMPRODUCT(H203:H210*I203:I210)</f>
        <v>154.51999999999998</v>
      </c>
      <c r="D215" s="52"/>
      <c r="E215" s="52"/>
      <c r="F215" s="52"/>
      <c r="G215" s="52" t="s">
        <v>138</v>
      </c>
      <c r="H215" s="52" cm="1">
        <f t="array" ref="H215">SUMPRODUCT(G211:G214*H211:H214)</f>
        <v>0</v>
      </c>
      <c r="I215" s="233">
        <f>H215*1.08</f>
        <v>0</v>
      </c>
      <c r="N215" s="106"/>
      <c r="O215" s="102"/>
    </row>
    <row r="216" spans="2:15" ht="18" customHeight="1">
      <c r="B216" s="23" t="s">
        <v>139</v>
      </c>
      <c r="C216" s="462" t="s">
        <v>14</v>
      </c>
      <c r="D216" s="462" t="s">
        <v>22</v>
      </c>
      <c r="E216" s="462" t="s">
        <v>8</v>
      </c>
      <c r="F216" s="462" t="s">
        <v>113</v>
      </c>
      <c r="G216" s="462" t="s">
        <v>40</v>
      </c>
      <c r="H216" s="462" t="s">
        <v>28</v>
      </c>
      <c r="I216" s="25" t="s">
        <v>29</v>
      </c>
      <c r="N216" s="106"/>
      <c r="O216" s="102"/>
    </row>
    <row r="217" spans="2:15" ht="18" customHeight="1">
      <c r="B217" s="48" t="s">
        <v>140</v>
      </c>
      <c r="C217" s="52" t="s">
        <v>141</v>
      </c>
      <c r="D217" s="50">
        <v>0.14199999999999999</v>
      </c>
      <c r="E217" s="50">
        <v>1</v>
      </c>
      <c r="F217" s="50">
        <f>D6</f>
        <v>7670</v>
      </c>
      <c r="G217" s="128">
        <f>D217*F217*E217/1000*1.1</f>
        <v>1.198054</v>
      </c>
      <c r="H217" s="52">
        <f>(C218+C222)/1000</f>
        <v>39.781500000000001</v>
      </c>
      <c r="I217" s="193">
        <f>G217*H217</f>
        <v>47.660385200999997</v>
      </c>
      <c r="N217" s="106"/>
      <c r="O217" s="102"/>
    </row>
    <row r="218" spans="2:15" ht="18" customHeight="1">
      <c r="B218" s="37" t="s">
        <v>142</v>
      </c>
      <c r="C218" s="113">
        <f>材料价格!B4</f>
        <v>22081.5</v>
      </c>
      <c r="D218" s="39" t="s">
        <v>143</v>
      </c>
      <c r="E218" s="114">
        <f>E139+E133+E126+E119+E112+E199+E177+E64+E56+E48+E38+E31+E22+E184+E191</f>
        <v>207.58925000000005</v>
      </c>
      <c r="F218" s="39" t="s">
        <v>144</v>
      </c>
      <c r="G218" s="115">
        <f>I218/E218-C218/1000</f>
        <v>23.999980616168699</v>
      </c>
      <c r="H218" s="39" t="s">
        <v>145</v>
      </c>
      <c r="I218" s="116">
        <f>I22+I31+I38+I48+I56+I64+I199+I112+I119+I126+I133+I139+I177+I184+I191</f>
        <v>9566.02</v>
      </c>
      <c r="N218" s="106"/>
      <c r="O218" s="102"/>
    </row>
    <row r="219" spans="2:15" ht="18" customHeight="1">
      <c r="B219" s="117" t="s">
        <v>146</v>
      </c>
      <c r="C219" s="118">
        <f>材料价格!B5</f>
        <v>24000</v>
      </c>
      <c r="D219" s="39" t="s">
        <v>147</v>
      </c>
      <c r="E219" s="114">
        <f>E163+E153+E146+E104+E97+E88+G217+E170</f>
        <v>21.077804</v>
      </c>
      <c r="F219" s="39" t="s">
        <v>148</v>
      </c>
      <c r="G219" s="119">
        <f>I219/E219-C218/1000</f>
        <v>17.699702311255955</v>
      </c>
      <c r="H219" s="39" t="s">
        <v>149</v>
      </c>
      <c r="I219" s="116">
        <f>I88+I97+I104+I146+I153+I163+I217+I170</f>
        <v>838.50038520099997</v>
      </c>
      <c r="N219" s="106"/>
      <c r="O219" s="102"/>
    </row>
    <row r="220" spans="2:15" ht="18" customHeight="1">
      <c r="B220" s="117" t="s">
        <v>150</v>
      </c>
      <c r="C220" s="118">
        <f>C219</f>
        <v>24000</v>
      </c>
      <c r="D220" s="39" t="s">
        <v>151</v>
      </c>
      <c r="E220" s="120">
        <f>I215</f>
        <v>0</v>
      </c>
      <c r="F220" s="39" t="s">
        <v>152</v>
      </c>
      <c r="G220" s="119" t="e">
        <f>I220/E220-C218/1000</f>
        <v>#DIV/0!</v>
      </c>
      <c r="H220" s="39" t="s">
        <v>153</v>
      </c>
      <c r="I220" s="116">
        <f>ROUND(E220*(C218+C223)/1000,2)</f>
        <v>0</v>
      </c>
      <c r="N220" s="106"/>
      <c r="O220" s="102"/>
    </row>
    <row r="221" spans="2:15" ht="18" customHeight="1">
      <c r="B221" s="117" t="s">
        <v>154</v>
      </c>
      <c r="C221" s="121">
        <f>C220</f>
        <v>24000</v>
      </c>
      <c r="D221" s="39" t="s">
        <v>155</v>
      </c>
      <c r="E221" s="39"/>
      <c r="F221" s="39" t="s">
        <v>156</v>
      </c>
      <c r="G221" s="39"/>
      <c r="H221" s="39" t="s">
        <v>49</v>
      </c>
      <c r="I221" s="116">
        <f>E221*G221</f>
        <v>0</v>
      </c>
      <c r="J221" s="42"/>
      <c r="K221" s="255"/>
    </row>
    <row r="222" spans="2:15" ht="18" customHeight="1">
      <c r="B222" s="117" t="s">
        <v>148</v>
      </c>
      <c r="C222" s="122">
        <f>材料价格!B6</f>
        <v>17700</v>
      </c>
      <c r="D222" s="39" t="s">
        <v>157</v>
      </c>
      <c r="E222" s="39"/>
      <c r="F222" s="39" t="s">
        <v>156</v>
      </c>
      <c r="G222" s="39"/>
      <c r="H222" s="39" t="s">
        <v>49</v>
      </c>
      <c r="I222" s="116">
        <f>E222*G222</f>
        <v>0</v>
      </c>
      <c r="J222" s="123"/>
      <c r="K222" s="123"/>
      <c r="L222" s="123"/>
    </row>
    <row r="223" spans="2:15" ht="18" customHeight="1">
      <c r="B223" s="117" t="s">
        <v>152</v>
      </c>
      <c r="C223" s="122">
        <f>材料价格!B9</f>
        <v>2900</v>
      </c>
      <c r="D223" s="39" t="s">
        <v>158</v>
      </c>
      <c r="E223" s="114">
        <f>SUM(E218:E220)</f>
        <v>228.66705400000006</v>
      </c>
      <c r="F223" s="39"/>
      <c r="G223" s="39" t="s">
        <v>339</v>
      </c>
      <c r="H223" s="39"/>
      <c r="I223" s="234">
        <f>SUM(I218:I222)+C215</f>
        <v>10559.040385201</v>
      </c>
      <c r="J223" s="123"/>
      <c r="K223" s="123"/>
      <c r="L223" s="123"/>
    </row>
    <row r="224" spans="2:15" ht="18" customHeight="1">
      <c r="B224" s="23" t="s">
        <v>159</v>
      </c>
      <c r="C224" s="462" t="s">
        <v>113</v>
      </c>
      <c r="D224" s="462" t="s">
        <v>16</v>
      </c>
      <c r="E224" s="462" t="s">
        <v>7</v>
      </c>
      <c r="F224" s="462" t="s">
        <v>8</v>
      </c>
      <c r="G224" s="462" t="s">
        <v>28</v>
      </c>
      <c r="H224" s="462" t="s">
        <v>160</v>
      </c>
      <c r="I224" s="25" t="s">
        <v>1</v>
      </c>
      <c r="J224" s="255"/>
      <c r="K224" s="255"/>
      <c r="L224" s="255"/>
      <c r="M224" s="255"/>
    </row>
    <row r="225" spans="2:13" ht="18" customHeight="1">
      <c r="B225" s="124" t="str">
        <f>材料价格!A10</f>
        <v>6单银Low-E+12A+6</v>
      </c>
      <c r="C225" s="464">
        <f t="shared" ref="C225:D229" si="25">D92</f>
        <v>-90</v>
      </c>
      <c r="D225" s="464">
        <f t="shared" si="25"/>
        <v>-90</v>
      </c>
      <c r="E225" s="32">
        <f>C225*D225/10^6</f>
        <v>8.0999999999999996E-3</v>
      </c>
      <c r="F225" s="463">
        <f>G26</f>
        <v>0</v>
      </c>
      <c r="G225" s="125">
        <f>材料价格!B23</f>
        <v>700</v>
      </c>
      <c r="H225" s="463">
        <f>ROUND(E225*G225*F225,2)</f>
        <v>0</v>
      </c>
      <c r="I225" s="468" t="s">
        <v>161</v>
      </c>
      <c r="J225" s="255"/>
      <c r="K225" s="255"/>
      <c r="L225" s="255"/>
      <c r="M225" s="255"/>
    </row>
    <row r="226" spans="2:13" ht="18" customHeight="1">
      <c r="B226" s="124" t="str">
        <f t="shared" ref="B226:B232" si="26">B225</f>
        <v>6单银Low-E+12A+6</v>
      </c>
      <c r="C226" s="464">
        <f t="shared" si="25"/>
        <v>-90</v>
      </c>
      <c r="D226" s="464">
        <f t="shared" si="25"/>
        <v>-90</v>
      </c>
      <c r="E226" s="32">
        <f t="shared" ref="E226:E284" si="27">C226*D226/10^6</f>
        <v>8.0999999999999996E-3</v>
      </c>
      <c r="F226" s="463">
        <f>G27</f>
        <v>0</v>
      </c>
      <c r="G226" s="126">
        <f t="shared" ref="G226:G232" si="28">G225</f>
        <v>700</v>
      </c>
      <c r="H226" s="463">
        <f t="shared" ref="H226:H241" si="29">ROUND(E226*G226*F226,2)</f>
        <v>0</v>
      </c>
      <c r="I226" s="468" t="s">
        <v>162</v>
      </c>
      <c r="J226" s="255"/>
      <c r="K226" s="255"/>
      <c r="L226" s="255"/>
      <c r="M226" s="255"/>
    </row>
    <row r="227" spans="2:13" ht="18" customHeight="1">
      <c r="B227" s="124" t="str">
        <f t="shared" si="26"/>
        <v>6单银Low-E+12A+6</v>
      </c>
      <c r="C227" s="464">
        <f t="shared" si="25"/>
        <v>-90</v>
      </c>
      <c r="D227" s="464">
        <f t="shared" si="25"/>
        <v>-90</v>
      </c>
      <c r="E227" s="32">
        <f t="shared" si="27"/>
        <v>8.0999999999999996E-3</v>
      </c>
      <c r="F227" s="463">
        <f>G28</f>
        <v>0</v>
      </c>
      <c r="G227" s="126">
        <f t="shared" si="28"/>
        <v>700</v>
      </c>
      <c r="H227" s="463">
        <f t="shared" si="29"/>
        <v>0</v>
      </c>
      <c r="I227" s="468" t="s">
        <v>162</v>
      </c>
      <c r="J227" s="255"/>
      <c r="K227" s="255"/>
      <c r="L227" s="255"/>
      <c r="M227" s="255"/>
    </row>
    <row r="228" spans="2:13" ht="18" customHeight="1">
      <c r="B228" s="124" t="str">
        <f t="shared" si="26"/>
        <v>6单银Low-E+12A+6</v>
      </c>
      <c r="C228" s="464">
        <f t="shared" si="25"/>
        <v>-90</v>
      </c>
      <c r="D228" s="464">
        <f t="shared" si="25"/>
        <v>-90</v>
      </c>
      <c r="E228" s="32">
        <f t="shared" si="27"/>
        <v>8.0999999999999996E-3</v>
      </c>
      <c r="F228" s="463">
        <f>G29</f>
        <v>0</v>
      </c>
      <c r="G228" s="126">
        <f t="shared" si="28"/>
        <v>700</v>
      </c>
      <c r="H228" s="463">
        <f t="shared" si="29"/>
        <v>0</v>
      </c>
      <c r="I228" s="468" t="s">
        <v>162</v>
      </c>
      <c r="J228" s="255"/>
      <c r="K228" s="255"/>
      <c r="L228" s="255"/>
      <c r="M228" s="255"/>
    </row>
    <row r="229" spans="2:13" ht="18" customHeight="1">
      <c r="B229" s="124" t="str">
        <f t="shared" si="26"/>
        <v>6单银Low-E+12A+6</v>
      </c>
      <c r="C229" s="464">
        <f t="shared" si="25"/>
        <v>-90</v>
      </c>
      <c r="D229" s="464">
        <f t="shared" si="25"/>
        <v>-90</v>
      </c>
      <c r="E229" s="32">
        <f t="shared" si="27"/>
        <v>8.0999999999999996E-3</v>
      </c>
      <c r="F229" s="463">
        <f>G30</f>
        <v>0</v>
      </c>
      <c r="G229" s="126">
        <f t="shared" si="28"/>
        <v>700</v>
      </c>
      <c r="H229" s="463">
        <f t="shared" si="29"/>
        <v>0</v>
      </c>
      <c r="I229" s="468" t="s">
        <v>162</v>
      </c>
      <c r="J229" s="123"/>
      <c r="K229" s="123"/>
      <c r="L229" s="123"/>
    </row>
    <row r="230" spans="2:13" ht="18" customHeight="1">
      <c r="B230" s="124" t="str">
        <f t="shared" si="26"/>
        <v>6单银Low-E+12A+6</v>
      </c>
      <c r="C230" s="464">
        <f t="shared" ref="C230:D232" si="30">D101</f>
        <v>-122</v>
      </c>
      <c r="D230" s="464">
        <f t="shared" si="30"/>
        <v>-122</v>
      </c>
      <c r="E230" s="32">
        <f t="shared" si="27"/>
        <v>1.4884E-2</v>
      </c>
      <c r="F230" s="463">
        <f>G101</f>
        <v>0</v>
      </c>
      <c r="G230" s="126">
        <f t="shared" si="28"/>
        <v>700</v>
      </c>
      <c r="H230" s="463">
        <f t="shared" si="29"/>
        <v>0</v>
      </c>
      <c r="I230" s="127" t="s">
        <v>163</v>
      </c>
      <c r="J230" s="123"/>
      <c r="K230" s="123"/>
      <c r="L230" s="123"/>
    </row>
    <row r="231" spans="2:13" ht="18" customHeight="1">
      <c r="B231" s="124" t="str">
        <f t="shared" si="26"/>
        <v>6单银Low-E+12A+6</v>
      </c>
      <c r="C231" s="464">
        <f t="shared" si="30"/>
        <v>-122</v>
      </c>
      <c r="D231" s="464">
        <f t="shared" si="30"/>
        <v>-122</v>
      </c>
      <c r="E231" s="32">
        <f t="shared" si="27"/>
        <v>1.4884E-2</v>
      </c>
      <c r="F231" s="463">
        <f>G102</f>
        <v>0</v>
      </c>
      <c r="G231" s="126">
        <f t="shared" si="28"/>
        <v>700</v>
      </c>
      <c r="H231" s="463">
        <f t="shared" si="29"/>
        <v>0</v>
      </c>
      <c r="I231" s="127" t="s">
        <v>163</v>
      </c>
    </row>
    <row r="232" spans="2:13" ht="18" customHeight="1">
      <c r="B232" s="124" t="str">
        <f t="shared" si="26"/>
        <v>6单银Low-E+12A+6</v>
      </c>
      <c r="C232" s="464">
        <f t="shared" si="30"/>
        <v>-122</v>
      </c>
      <c r="D232" s="464">
        <f t="shared" si="30"/>
        <v>-122</v>
      </c>
      <c r="E232" s="32">
        <f t="shared" si="27"/>
        <v>1.4884E-2</v>
      </c>
      <c r="F232" s="463">
        <f>G103</f>
        <v>0</v>
      </c>
      <c r="G232" s="126">
        <f t="shared" si="28"/>
        <v>700</v>
      </c>
      <c r="H232" s="463">
        <f t="shared" si="29"/>
        <v>0</v>
      </c>
      <c r="I232" s="127" t="s">
        <v>163</v>
      </c>
    </row>
    <row r="233" spans="2:13" ht="18" customHeight="1">
      <c r="B233" s="48" t="s">
        <v>164</v>
      </c>
      <c r="C233" s="52"/>
      <c r="D233" s="50"/>
      <c r="E233" s="128"/>
      <c r="F233" s="50">
        <f>SUM(F225:F232)</f>
        <v>0</v>
      </c>
      <c r="G233" s="50"/>
      <c r="H233" s="52">
        <f>SUM(H225:H232)</f>
        <v>0</v>
      </c>
      <c r="I233" s="53">
        <f>ROUND((E225*F225+E226*F226+E227*F227+E228*F228+E229*F229+E230*F230+E231*F231+E232*F232),2)</f>
        <v>0</v>
      </c>
    </row>
    <row r="234" spans="2:13" ht="18" customHeight="1">
      <c r="B234" s="124" t="str">
        <f>B232</f>
        <v>6单银Low-E+12A+6</v>
      </c>
      <c r="C234" s="464">
        <f>C225</f>
        <v>-90</v>
      </c>
      <c r="D234" s="464">
        <f>D225</f>
        <v>-90</v>
      </c>
      <c r="E234" s="32">
        <f t="shared" si="27"/>
        <v>8.0999999999999996E-3</v>
      </c>
      <c r="F234" s="463">
        <f>IF(F225=0,G26,0)</f>
        <v>0</v>
      </c>
      <c r="G234" s="126">
        <f>G232</f>
        <v>700</v>
      </c>
      <c r="H234" s="463">
        <f t="shared" si="29"/>
        <v>0</v>
      </c>
      <c r="I234" s="468" t="s">
        <v>165</v>
      </c>
      <c r="J234" s="129"/>
    </row>
    <row r="235" spans="2:13" ht="18" customHeight="1">
      <c r="B235" s="124" t="str">
        <f t="shared" ref="B235:B241" si="31">B234</f>
        <v>6单银Low-E+12A+6</v>
      </c>
      <c r="C235" s="464">
        <f t="shared" ref="C235:D241" si="32">C226</f>
        <v>-90</v>
      </c>
      <c r="D235" s="464">
        <f t="shared" si="32"/>
        <v>-90</v>
      </c>
      <c r="E235" s="32">
        <f t="shared" si="27"/>
        <v>8.0999999999999996E-3</v>
      </c>
      <c r="F235" s="463">
        <f>IF(F226=0,G27,0)</f>
        <v>0</v>
      </c>
      <c r="G235" s="126">
        <f>G234</f>
        <v>700</v>
      </c>
      <c r="H235" s="463">
        <f t="shared" si="29"/>
        <v>0</v>
      </c>
      <c r="I235" s="468" t="s">
        <v>165</v>
      </c>
      <c r="J235" s="129"/>
    </row>
    <row r="236" spans="2:13" ht="18" customHeight="1">
      <c r="B236" s="124" t="str">
        <f t="shared" si="31"/>
        <v>6单银Low-E+12A+6</v>
      </c>
      <c r="C236" s="464">
        <f t="shared" si="32"/>
        <v>-90</v>
      </c>
      <c r="D236" s="464">
        <f t="shared" si="32"/>
        <v>-90</v>
      </c>
      <c r="E236" s="32">
        <f t="shared" si="27"/>
        <v>8.0999999999999996E-3</v>
      </c>
      <c r="F236" s="463">
        <f>IF(F227=0,G28,0)</f>
        <v>0</v>
      </c>
      <c r="G236" s="126">
        <f t="shared" ref="G236:G241" si="33">G234</f>
        <v>700</v>
      </c>
      <c r="H236" s="463">
        <f t="shared" si="29"/>
        <v>0</v>
      </c>
      <c r="I236" s="468" t="s">
        <v>165</v>
      </c>
      <c r="J236" s="129"/>
    </row>
    <row r="237" spans="2:13" ht="18" customHeight="1">
      <c r="B237" s="124" t="str">
        <f t="shared" si="31"/>
        <v>6单银Low-E+12A+6</v>
      </c>
      <c r="C237" s="464">
        <f t="shared" si="32"/>
        <v>-90</v>
      </c>
      <c r="D237" s="464">
        <f t="shared" si="32"/>
        <v>-90</v>
      </c>
      <c r="E237" s="32">
        <f t="shared" si="27"/>
        <v>8.0999999999999996E-3</v>
      </c>
      <c r="F237" s="463">
        <f>IF(F228=0,G29,0)</f>
        <v>0</v>
      </c>
      <c r="G237" s="126">
        <f t="shared" si="33"/>
        <v>700</v>
      </c>
      <c r="H237" s="463">
        <f t="shared" si="29"/>
        <v>0</v>
      </c>
      <c r="I237" s="468" t="s">
        <v>165</v>
      </c>
      <c r="J237" s="129"/>
    </row>
    <row r="238" spans="2:13" ht="18" customHeight="1">
      <c r="B238" s="124" t="str">
        <f t="shared" si="31"/>
        <v>6单银Low-E+12A+6</v>
      </c>
      <c r="C238" s="464">
        <f t="shared" si="32"/>
        <v>-90</v>
      </c>
      <c r="D238" s="464">
        <f t="shared" si="32"/>
        <v>-90</v>
      </c>
      <c r="E238" s="32">
        <f t="shared" si="27"/>
        <v>8.0999999999999996E-3</v>
      </c>
      <c r="F238" s="463">
        <f>IF(F229=0,G30,0)</f>
        <v>0</v>
      </c>
      <c r="G238" s="126">
        <f t="shared" si="33"/>
        <v>700</v>
      </c>
      <c r="H238" s="463">
        <f t="shared" si="29"/>
        <v>0</v>
      </c>
      <c r="I238" s="468" t="s">
        <v>165</v>
      </c>
      <c r="J238" s="129"/>
    </row>
    <row r="239" spans="2:13" ht="18" customHeight="1">
      <c r="B239" s="124" t="str">
        <f t="shared" si="31"/>
        <v>6单银Low-E+12A+6</v>
      </c>
      <c r="C239" s="464">
        <f t="shared" si="32"/>
        <v>-122</v>
      </c>
      <c r="D239" s="464">
        <f t="shared" si="32"/>
        <v>-122</v>
      </c>
      <c r="E239" s="32">
        <f t="shared" si="27"/>
        <v>1.4884E-2</v>
      </c>
      <c r="F239" s="463">
        <f>IF(F230=0,G35,0)</f>
        <v>0</v>
      </c>
      <c r="G239" s="126">
        <f t="shared" si="33"/>
        <v>700</v>
      </c>
      <c r="H239" s="463">
        <f t="shared" si="29"/>
        <v>0</v>
      </c>
      <c r="I239" s="127" t="s">
        <v>166</v>
      </c>
      <c r="J239" s="129"/>
    </row>
    <row r="240" spans="2:13" ht="18" customHeight="1">
      <c r="B240" s="124" t="str">
        <f t="shared" si="31"/>
        <v>6单银Low-E+12A+6</v>
      </c>
      <c r="C240" s="464">
        <f t="shared" si="32"/>
        <v>-122</v>
      </c>
      <c r="D240" s="464">
        <f t="shared" si="32"/>
        <v>-122</v>
      </c>
      <c r="E240" s="32">
        <f t="shared" si="27"/>
        <v>1.4884E-2</v>
      </c>
      <c r="F240" s="463">
        <f>IF(F231=0,G36,0)</f>
        <v>0</v>
      </c>
      <c r="G240" s="126">
        <f t="shared" si="33"/>
        <v>700</v>
      </c>
      <c r="H240" s="463">
        <f t="shared" si="29"/>
        <v>0</v>
      </c>
      <c r="I240" s="127" t="s">
        <v>166</v>
      </c>
      <c r="J240" s="129"/>
    </row>
    <row r="241" spans="1:16" ht="18" customHeight="1">
      <c r="B241" s="124" t="str">
        <f t="shared" si="31"/>
        <v>6单银Low-E+12A+6</v>
      </c>
      <c r="C241" s="464">
        <f t="shared" si="32"/>
        <v>-122</v>
      </c>
      <c r="D241" s="464">
        <f t="shared" si="32"/>
        <v>-122</v>
      </c>
      <c r="E241" s="32">
        <f t="shared" si="27"/>
        <v>1.4884E-2</v>
      </c>
      <c r="F241" s="463">
        <f>IF(F232=0,G37,0)</f>
        <v>0</v>
      </c>
      <c r="G241" s="126">
        <f t="shared" si="33"/>
        <v>700</v>
      </c>
      <c r="H241" s="463">
        <f t="shared" si="29"/>
        <v>0</v>
      </c>
      <c r="I241" s="127" t="s">
        <v>166</v>
      </c>
      <c r="J241" s="129"/>
    </row>
    <row r="242" spans="1:16" s="43" customFormat="1" ht="18" customHeight="1">
      <c r="A242" s="1"/>
      <c r="B242" s="48" t="s">
        <v>167</v>
      </c>
      <c r="C242" s="52"/>
      <c r="D242" s="50"/>
      <c r="E242" s="128"/>
      <c r="F242" s="50">
        <f>SUM(F234:F241)</f>
        <v>0</v>
      </c>
      <c r="G242" s="50"/>
      <c r="H242" s="52">
        <f>SUM(H234:H241)</f>
        <v>0</v>
      </c>
      <c r="I242" s="53">
        <f>ROUND(SUMPRODUCT(E234:E241*F234:F241),2)</f>
        <v>0</v>
      </c>
      <c r="J242" s="129"/>
      <c r="N242" s="255"/>
      <c r="O242" s="255"/>
      <c r="P242" s="255"/>
    </row>
    <row r="243" spans="1:16" s="43" customFormat="1" ht="18" customHeight="1">
      <c r="A243" s="1"/>
      <c r="B243" s="124" t="str">
        <f>B240</f>
        <v>6单银Low-E+12A+6</v>
      </c>
      <c r="C243" s="464">
        <f t="shared" ref="C243:D249" si="34">D68-12</f>
        <v>1191</v>
      </c>
      <c r="D243" s="464">
        <f t="shared" si="34"/>
        <v>3636</v>
      </c>
      <c r="E243" s="32">
        <f t="shared" si="27"/>
        <v>4.330476</v>
      </c>
      <c r="F243" s="82">
        <f t="shared" ref="F243:F249" si="35">G68</f>
        <v>4</v>
      </c>
      <c r="G243" s="130">
        <f>G241</f>
        <v>700</v>
      </c>
      <c r="H243" s="463">
        <f t="shared" ref="H243:H249" si="36">ROUND(E243*G243*F243,2)</f>
        <v>12125.33</v>
      </c>
      <c r="I243" s="468" t="s">
        <v>168</v>
      </c>
      <c r="J243" s="129"/>
      <c r="N243" s="255"/>
      <c r="O243" s="255"/>
      <c r="P243" s="255"/>
    </row>
    <row r="244" spans="1:16" s="43" customFormat="1" ht="18" customHeight="1">
      <c r="A244" s="1"/>
      <c r="B244" s="124" t="str">
        <f t="shared" ref="B244:B249" si="37">B243</f>
        <v>6单银Low-E+12A+6</v>
      </c>
      <c r="C244" s="464">
        <f t="shared" si="34"/>
        <v>-12</v>
      </c>
      <c r="D244" s="464">
        <f t="shared" si="34"/>
        <v>-12</v>
      </c>
      <c r="E244" s="32">
        <f t="shared" si="27"/>
        <v>1.44E-4</v>
      </c>
      <c r="F244" s="82">
        <f t="shared" si="35"/>
        <v>0</v>
      </c>
      <c r="G244" s="130">
        <f t="shared" ref="G244:G249" si="38">G243</f>
        <v>700</v>
      </c>
      <c r="H244" s="463">
        <f t="shared" si="36"/>
        <v>0</v>
      </c>
      <c r="I244" s="468" t="s">
        <v>168</v>
      </c>
      <c r="J244" s="129"/>
      <c r="N244" s="255"/>
      <c r="O244" s="255"/>
      <c r="P244" s="255"/>
    </row>
    <row r="245" spans="1:16" s="43" customFormat="1" ht="18" customHeight="1">
      <c r="A245" s="1"/>
      <c r="B245" s="124" t="str">
        <f t="shared" si="37"/>
        <v>6单银Low-E+12A+6</v>
      </c>
      <c r="C245" s="464">
        <f t="shared" si="34"/>
        <v>-12</v>
      </c>
      <c r="D245" s="464">
        <f t="shared" si="34"/>
        <v>-12</v>
      </c>
      <c r="E245" s="32">
        <f t="shared" si="27"/>
        <v>1.44E-4</v>
      </c>
      <c r="F245" s="82">
        <f t="shared" si="35"/>
        <v>0</v>
      </c>
      <c r="G245" s="130">
        <f t="shared" si="38"/>
        <v>700</v>
      </c>
      <c r="H245" s="463">
        <f t="shared" si="36"/>
        <v>0</v>
      </c>
      <c r="I245" s="468" t="s">
        <v>168</v>
      </c>
      <c r="J245" s="129"/>
      <c r="N245" s="255"/>
      <c r="O245" s="255"/>
      <c r="P245" s="255"/>
    </row>
    <row r="246" spans="1:16" s="43" customFormat="1" ht="18" customHeight="1">
      <c r="A246" s="1"/>
      <c r="B246" s="124" t="str">
        <f t="shared" si="37"/>
        <v>6单银Low-E+12A+6</v>
      </c>
      <c r="C246" s="464">
        <f t="shared" si="34"/>
        <v>-12</v>
      </c>
      <c r="D246" s="464">
        <f t="shared" si="34"/>
        <v>-12</v>
      </c>
      <c r="E246" s="32">
        <f t="shared" si="27"/>
        <v>1.44E-4</v>
      </c>
      <c r="F246" s="82">
        <f t="shared" si="35"/>
        <v>0</v>
      </c>
      <c r="G246" s="130">
        <f t="shared" si="38"/>
        <v>700</v>
      </c>
      <c r="H246" s="463">
        <f t="shared" si="36"/>
        <v>0</v>
      </c>
      <c r="I246" s="468" t="s">
        <v>168</v>
      </c>
      <c r="J246" s="129"/>
      <c r="N246" s="255"/>
      <c r="O246" s="255"/>
      <c r="P246" s="255"/>
    </row>
    <row r="247" spans="1:16" s="43" customFormat="1" ht="18" customHeight="1">
      <c r="A247" s="1"/>
      <c r="B247" s="124" t="str">
        <f t="shared" si="37"/>
        <v>6单银Low-E+12A+6</v>
      </c>
      <c r="C247" s="464">
        <f t="shared" si="34"/>
        <v>-12</v>
      </c>
      <c r="D247" s="464">
        <f t="shared" si="34"/>
        <v>-12</v>
      </c>
      <c r="E247" s="32">
        <f t="shared" si="27"/>
        <v>1.44E-4</v>
      </c>
      <c r="F247" s="82">
        <f t="shared" si="35"/>
        <v>0</v>
      </c>
      <c r="G247" s="130">
        <f t="shared" si="38"/>
        <v>700</v>
      </c>
      <c r="H247" s="463">
        <f t="shared" si="36"/>
        <v>0</v>
      </c>
      <c r="I247" s="468" t="s">
        <v>168</v>
      </c>
      <c r="J247" s="129"/>
      <c r="N247" s="255"/>
      <c r="O247" s="255"/>
      <c r="P247" s="255"/>
    </row>
    <row r="248" spans="1:16" s="43" customFormat="1" ht="18" customHeight="1">
      <c r="A248" s="1"/>
      <c r="B248" s="124" t="str">
        <f t="shared" si="37"/>
        <v>6单银Low-E+12A+6</v>
      </c>
      <c r="C248" s="464">
        <f t="shared" si="34"/>
        <v>-12</v>
      </c>
      <c r="D248" s="464">
        <f t="shared" si="34"/>
        <v>-12</v>
      </c>
      <c r="E248" s="32">
        <f t="shared" si="27"/>
        <v>1.44E-4</v>
      </c>
      <c r="F248" s="82">
        <f t="shared" si="35"/>
        <v>0</v>
      </c>
      <c r="G248" s="130">
        <f t="shared" si="38"/>
        <v>700</v>
      </c>
      <c r="H248" s="463">
        <f t="shared" si="36"/>
        <v>0</v>
      </c>
      <c r="I248" s="468" t="s">
        <v>168</v>
      </c>
      <c r="J248" s="129"/>
      <c r="N248" s="255"/>
      <c r="O248" s="255"/>
      <c r="P248" s="255"/>
    </row>
    <row r="249" spans="1:16" s="43" customFormat="1" ht="18" customHeight="1">
      <c r="A249" s="1"/>
      <c r="B249" s="124" t="str">
        <f t="shared" si="37"/>
        <v>6单银Low-E+12A+6</v>
      </c>
      <c r="C249" s="464">
        <f t="shared" si="34"/>
        <v>-12</v>
      </c>
      <c r="D249" s="464">
        <f t="shared" si="34"/>
        <v>-12</v>
      </c>
      <c r="E249" s="32">
        <f t="shared" si="27"/>
        <v>1.44E-4</v>
      </c>
      <c r="F249" s="82">
        <f t="shared" si="35"/>
        <v>0</v>
      </c>
      <c r="G249" s="130">
        <f t="shared" si="38"/>
        <v>700</v>
      </c>
      <c r="H249" s="463">
        <f t="shared" si="36"/>
        <v>0</v>
      </c>
      <c r="I249" s="468" t="s">
        <v>168</v>
      </c>
      <c r="J249" s="129"/>
      <c r="N249" s="255"/>
      <c r="O249" s="255"/>
      <c r="P249" s="255"/>
    </row>
    <row r="250" spans="1:16" s="43" customFormat="1" ht="18" customHeight="1">
      <c r="A250" s="1"/>
      <c r="B250" s="131" t="str">
        <f>B246</f>
        <v>6单银Low-E+12A+6</v>
      </c>
      <c r="C250" s="52"/>
      <c r="D250" s="50"/>
      <c r="E250" s="128"/>
      <c r="F250" s="50">
        <f>SUM(F243:F249)</f>
        <v>4</v>
      </c>
      <c r="G250" s="50"/>
      <c r="H250" s="52">
        <f>SUM(H243:H249)</f>
        <v>12125.33</v>
      </c>
      <c r="I250" s="53">
        <f>ROUND((E243*F243+E244*F244+E245*F245+E246*F246+E247*F247+E248*F248+E249*F249),2)</f>
        <v>17.32</v>
      </c>
      <c r="J250" s="43">
        <f>(I242+I258+I273+I280)</f>
        <v>0</v>
      </c>
      <c r="N250" s="255"/>
      <c r="O250" s="255"/>
      <c r="P250" s="255"/>
    </row>
    <row r="251" spans="1:16" s="43" customFormat="1" ht="18" customHeight="1">
      <c r="A251" s="1"/>
      <c r="B251" s="124" t="str">
        <f>B249</f>
        <v>6单银Low-E+12A+6</v>
      </c>
      <c r="C251" s="464">
        <f t="shared" ref="C251:D257" si="39">D75-12</f>
        <v>-12</v>
      </c>
      <c r="D251" s="464">
        <f t="shared" si="39"/>
        <v>-12</v>
      </c>
      <c r="E251" s="32">
        <f t="shared" si="27"/>
        <v>1.44E-4</v>
      </c>
      <c r="F251" s="82">
        <f t="shared" ref="F251:F257" si="40">G75</f>
        <v>0</v>
      </c>
      <c r="G251" s="130">
        <f>G249</f>
        <v>700</v>
      </c>
      <c r="H251" s="463">
        <f>ROUND(E251*G251*F251,2)</f>
        <v>0</v>
      </c>
      <c r="I251" s="132" t="s">
        <v>169</v>
      </c>
      <c r="N251" s="255"/>
      <c r="O251" s="255"/>
      <c r="P251" s="255"/>
    </row>
    <row r="252" spans="1:16" s="43" customFormat="1" ht="18" customHeight="1">
      <c r="A252" s="1"/>
      <c r="B252" s="124" t="str">
        <f t="shared" ref="B252:B257" si="41">B251</f>
        <v>6单银Low-E+12A+6</v>
      </c>
      <c r="C252" s="464">
        <f t="shared" si="39"/>
        <v>-12</v>
      </c>
      <c r="D252" s="464">
        <f t="shared" si="39"/>
        <v>-12</v>
      </c>
      <c r="E252" s="32">
        <f t="shared" si="27"/>
        <v>1.44E-4</v>
      </c>
      <c r="F252" s="82">
        <f t="shared" si="40"/>
        <v>0</v>
      </c>
      <c r="G252" s="130">
        <f t="shared" ref="G252:G257" si="42">G251</f>
        <v>700</v>
      </c>
      <c r="H252" s="463">
        <f t="shared" ref="H252:H264" si="43">ROUND(E252*G252*F252,2)</f>
        <v>0</v>
      </c>
      <c r="I252" s="132" t="str">
        <f t="shared" ref="I252:I257" si="44">I251</f>
        <v>固定钢化中空</v>
      </c>
      <c r="N252" s="255"/>
      <c r="O252" s="255"/>
      <c r="P252" s="255"/>
    </row>
    <row r="253" spans="1:16" s="43" customFormat="1" ht="18" customHeight="1">
      <c r="A253" s="1"/>
      <c r="B253" s="124" t="str">
        <f t="shared" si="41"/>
        <v>6单银Low-E+12A+6</v>
      </c>
      <c r="C253" s="464">
        <f t="shared" si="39"/>
        <v>-12</v>
      </c>
      <c r="D253" s="464">
        <f t="shared" si="39"/>
        <v>-12</v>
      </c>
      <c r="E253" s="32">
        <f t="shared" si="27"/>
        <v>1.44E-4</v>
      </c>
      <c r="F253" s="82">
        <f t="shared" si="40"/>
        <v>0</v>
      </c>
      <c r="G253" s="130">
        <f t="shared" si="42"/>
        <v>700</v>
      </c>
      <c r="H253" s="463">
        <f t="shared" si="43"/>
        <v>0</v>
      </c>
      <c r="I253" s="132" t="str">
        <f t="shared" si="44"/>
        <v>固定钢化中空</v>
      </c>
      <c r="N253" s="255"/>
      <c r="O253" s="255"/>
      <c r="P253" s="255"/>
    </row>
    <row r="254" spans="1:16" s="43" customFormat="1" ht="18" customHeight="1">
      <c r="A254" s="1"/>
      <c r="B254" s="124" t="str">
        <f t="shared" si="41"/>
        <v>6单银Low-E+12A+6</v>
      </c>
      <c r="C254" s="464">
        <f t="shared" si="39"/>
        <v>-12</v>
      </c>
      <c r="D254" s="464">
        <f t="shared" si="39"/>
        <v>-12</v>
      </c>
      <c r="E254" s="32">
        <f t="shared" si="27"/>
        <v>1.44E-4</v>
      </c>
      <c r="F254" s="82">
        <f t="shared" si="40"/>
        <v>0</v>
      </c>
      <c r="G254" s="130">
        <f t="shared" si="42"/>
        <v>700</v>
      </c>
      <c r="H254" s="463">
        <f t="shared" si="43"/>
        <v>0</v>
      </c>
      <c r="I254" s="132" t="str">
        <f t="shared" si="44"/>
        <v>固定钢化中空</v>
      </c>
      <c r="J254" s="42"/>
      <c r="N254" s="255"/>
      <c r="O254" s="255"/>
      <c r="P254" s="255"/>
    </row>
    <row r="255" spans="1:16" s="43" customFormat="1" ht="18" customHeight="1">
      <c r="A255" s="1"/>
      <c r="B255" s="124" t="str">
        <f t="shared" si="41"/>
        <v>6单银Low-E+12A+6</v>
      </c>
      <c r="C255" s="464">
        <f t="shared" si="39"/>
        <v>-12</v>
      </c>
      <c r="D255" s="464">
        <f t="shared" si="39"/>
        <v>-12</v>
      </c>
      <c r="E255" s="32">
        <f t="shared" si="27"/>
        <v>1.44E-4</v>
      </c>
      <c r="F255" s="82">
        <f t="shared" si="40"/>
        <v>0</v>
      </c>
      <c r="G255" s="130">
        <f t="shared" si="42"/>
        <v>700</v>
      </c>
      <c r="H255" s="463">
        <f t="shared" si="43"/>
        <v>0</v>
      </c>
      <c r="I255" s="132" t="str">
        <f t="shared" si="44"/>
        <v>固定钢化中空</v>
      </c>
      <c r="N255" s="255"/>
      <c r="O255" s="255"/>
      <c r="P255" s="255"/>
    </row>
    <row r="256" spans="1:16" s="43" customFormat="1" ht="18" customHeight="1">
      <c r="A256" s="1"/>
      <c r="B256" s="124" t="str">
        <f t="shared" si="41"/>
        <v>6单银Low-E+12A+6</v>
      </c>
      <c r="C256" s="464">
        <f t="shared" si="39"/>
        <v>-12</v>
      </c>
      <c r="D256" s="464">
        <f t="shared" si="39"/>
        <v>-12</v>
      </c>
      <c r="E256" s="32">
        <f t="shared" si="27"/>
        <v>1.44E-4</v>
      </c>
      <c r="F256" s="82">
        <f t="shared" si="40"/>
        <v>0</v>
      </c>
      <c r="G256" s="130">
        <f t="shared" si="42"/>
        <v>700</v>
      </c>
      <c r="H256" s="463">
        <f t="shared" si="43"/>
        <v>0</v>
      </c>
      <c r="I256" s="132" t="str">
        <f t="shared" si="44"/>
        <v>固定钢化中空</v>
      </c>
      <c r="N256" s="255"/>
      <c r="O256" s="255"/>
      <c r="P256" s="255"/>
    </row>
    <row r="257" spans="1:16" s="43" customFormat="1" ht="18" customHeight="1">
      <c r="A257" s="1"/>
      <c r="B257" s="124" t="str">
        <f t="shared" si="41"/>
        <v>6单银Low-E+12A+6</v>
      </c>
      <c r="C257" s="464">
        <f t="shared" si="39"/>
        <v>-12</v>
      </c>
      <c r="D257" s="464">
        <f t="shared" si="39"/>
        <v>-12</v>
      </c>
      <c r="E257" s="32">
        <f t="shared" si="27"/>
        <v>1.44E-4</v>
      </c>
      <c r="F257" s="82">
        <f t="shared" si="40"/>
        <v>0</v>
      </c>
      <c r="G257" s="130">
        <f t="shared" si="42"/>
        <v>700</v>
      </c>
      <c r="H257" s="463">
        <f t="shared" si="43"/>
        <v>0</v>
      </c>
      <c r="I257" s="132" t="str">
        <f t="shared" si="44"/>
        <v>固定钢化中空</v>
      </c>
      <c r="N257" s="255"/>
      <c r="O257" s="255"/>
      <c r="P257" s="255"/>
    </row>
    <row r="258" spans="1:16" s="43" customFormat="1" ht="18" customHeight="1">
      <c r="A258" s="1"/>
      <c r="B258" s="48" t="s">
        <v>170</v>
      </c>
      <c r="C258" s="52"/>
      <c r="D258" s="50"/>
      <c r="E258" s="128"/>
      <c r="F258" s="50">
        <f>SUM(F251:F257)</f>
        <v>0</v>
      </c>
      <c r="G258" s="50"/>
      <c r="H258" s="52">
        <f>SUM(H251:H257)</f>
        <v>0</v>
      </c>
      <c r="I258" s="53">
        <f>ROUND((E251*F251+E252*F252+E253*F253+E254*F254+E255*F255+E256*F256+E257*F257),2)</f>
        <v>0</v>
      </c>
      <c r="N258" s="255"/>
      <c r="O258" s="255"/>
      <c r="P258" s="255"/>
    </row>
    <row r="259" spans="1:16" s="43" customFormat="1" ht="18" customHeight="1">
      <c r="A259" s="1"/>
      <c r="B259" s="124" t="str">
        <f>B257</f>
        <v>6单银Low-E+12A+6</v>
      </c>
      <c r="C259" s="464">
        <f t="shared" ref="C259:D264" si="45">D82-12</f>
        <v>-12</v>
      </c>
      <c r="D259" s="464">
        <f t="shared" si="45"/>
        <v>-12</v>
      </c>
      <c r="E259" s="32">
        <f t="shared" si="27"/>
        <v>1.44E-4</v>
      </c>
      <c r="F259" s="82">
        <f t="shared" ref="F259:F264" si="46">G82</f>
        <v>0</v>
      </c>
      <c r="G259" s="130">
        <f>G257</f>
        <v>700</v>
      </c>
      <c r="H259" s="463">
        <f t="shared" si="43"/>
        <v>0</v>
      </c>
      <c r="I259" s="468" t="s">
        <v>171</v>
      </c>
      <c r="N259" s="255"/>
      <c r="O259" s="255"/>
      <c r="P259" s="255"/>
    </row>
    <row r="260" spans="1:16" s="43" customFormat="1" ht="18" customHeight="1">
      <c r="A260" s="1"/>
      <c r="B260" s="124" t="str">
        <f>B259</f>
        <v>6单银Low-E+12A+6</v>
      </c>
      <c r="C260" s="464">
        <f t="shared" si="45"/>
        <v>-12</v>
      </c>
      <c r="D260" s="464">
        <f t="shared" si="45"/>
        <v>-12</v>
      </c>
      <c r="E260" s="32">
        <f t="shared" si="27"/>
        <v>1.44E-4</v>
      </c>
      <c r="F260" s="82">
        <f t="shared" si="46"/>
        <v>0</v>
      </c>
      <c r="G260" s="130">
        <f>G259</f>
        <v>700</v>
      </c>
      <c r="H260" s="463">
        <f t="shared" si="43"/>
        <v>0</v>
      </c>
      <c r="I260" s="468" t="s">
        <v>171</v>
      </c>
      <c r="N260" s="255"/>
      <c r="O260" s="255"/>
      <c r="P260" s="255"/>
    </row>
    <row r="261" spans="1:16" s="43" customFormat="1" ht="18" customHeight="1">
      <c r="A261" s="1"/>
      <c r="B261" s="124" t="str">
        <f>B260</f>
        <v>6单银Low-E+12A+6</v>
      </c>
      <c r="C261" s="464">
        <f t="shared" si="45"/>
        <v>-12</v>
      </c>
      <c r="D261" s="464">
        <f t="shared" si="45"/>
        <v>-12</v>
      </c>
      <c r="E261" s="32">
        <f t="shared" si="27"/>
        <v>1.44E-4</v>
      </c>
      <c r="F261" s="82">
        <f t="shared" si="46"/>
        <v>0</v>
      </c>
      <c r="G261" s="130">
        <f>G260</f>
        <v>700</v>
      </c>
      <c r="H261" s="463">
        <f t="shared" si="43"/>
        <v>0</v>
      </c>
      <c r="I261" s="468" t="s">
        <v>171</v>
      </c>
      <c r="N261" s="255"/>
      <c r="O261" s="255"/>
      <c r="P261" s="255"/>
    </row>
    <row r="262" spans="1:16" s="43" customFormat="1" ht="18" customHeight="1">
      <c r="A262" s="1"/>
      <c r="B262" s="124" t="str">
        <f>B261</f>
        <v>6单银Low-E+12A+6</v>
      </c>
      <c r="C262" s="464">
        <f t="shared" si="45"/>
        <v>-12</v>
      </c>
      <c r="D262" s="464">
        <f t="shared" si="45"/>
        <v>-12</v>
      </c>
      <c r="E262" s="32">
        <f t="shared" si="27"/>
        <v>1.44E-4</v>
      </c>
      <c r="F262" s="82">
        <f t="shared" si="46"/>
        <v>0</v>
      </c>
      <c r="G262" s="130">
        <f>G261</f>
        <v>700</v>
      </c>
      <c r="H262" s="463">
        <f t="shared" si="43"/>
        <v>0</v>
      </c>
      <c r="I262" s="468" t="s">
        <v>171</v>
      </c>
      <c r="N262" s="255"/>
      <c r="O262" s="255"/>
      <c r="P262" s="255"/>
    </row>
    <row r="263" spans="1:16" s="43" customFormat="1" ht="18" customHeight="1">
      <c r="A263" s="1"/>
      <c r="B263" s="124" t="str">
        <f>B262</f>
        <v>6单银Low-E+12A+6</v>
      </c>
      <c r="C263" s="464">
        <f t="shared" si="45"/>
        <v>-12</v>
      </c>
      <c r="D263" s="464">
        <f t="shared" si="45"/>
        <v>-12</v>
      </c>
      <c r="E263" s="32">
        <f t="shared" si="27"/>
        <v>1.44E-4</v>
      </c>
      <c r="F263" s="82">
        <f t="shared" si="46"/>
        <v>0</v>
      </c>
      <c r="G263" s="130">
        <f>G262</f>
        <v>700</v>
      </c>
      <c r="H263" s="463">
        <f t="shared" si="43"/>
        <v>0</v>
      </c>
      <c r="I263" s="468" t="s">
        <v>171</v>
      </c>
      <c r="N263" s="255"/>
      <c r="O263" s="255"/>
      <c r="P263" s="255"/>
    </row>
    <row r="264" spans="1:16" s="43" customFormat="1" ht="18" customHeight="1">
      <c r="A264" s="1"/>
      <c r="B264" s="124" t="str">
        <f>B263</f>
        <v>6单银Low-E+12A+6</v>
      </c>
      <c r="C264" s="464">
        <f t="shared" si="45"/>
        <v>-12</v>
      </c>
      <c r="D264" s="464">
        <f t="shared" si="45"/>
        <v>-12</v>
      </c>
      <c r="E264" s="32">
        <f t="shared" si="27"/>
        <v>1.44E-4</v>
      </c>
      <c r="F264" s="82">
        <f t="shared" si="46"/>
        <v>0</v>
      </c>
      <c r="G264" s="130">
        <f>G263</f>
        <v>700</v>
      </c>
      <c r="H264" s="463">
        <f t="shared" si="43"/>
        <v>0</v>
      </c>
      <c r="I264" s="468" t="s">
        <v>171</v>
      </c>
      <c r="N264" s="255"/>
      <c r="O264" s="255"/>
      <c r="P264" s="255"/>
    </row>
    <row r="265" spans="1:16" s="43" customFormat="1" ht="18" customHeight="1">
      <c r="A265" s="1"/>
      <c r="B265" s="48" t="s">
        <v>172</v>
      </c>
      <c r="C265" s="52"/>
      <c r="D265" s="50"/>
      <c r="E265" s="128"/>
      <c r="F265" s="50">
        <f>SUM(F259:F264)</f>
        <v>0</v>
      </c>
      <c r="G265" s="50"/>
      <c r="H265" s="52">
        <f>SUM(H259:H264)</f>
        <v>0</v>
      </c>
      <c r="I265" s="53">
        <f>ROUND(SUMPRODUCT(E259:E264*F259:F264),2)</f>
        <v>0</v>
      </c>
      <c r="N265" s="255"/>
      <c r="O265" s="255"/>
      <c r="P265" s="255"/>
    </row>
    <row r="266" spans="1:16" s="43" customFormat="1" ht="18" customHeight="1">
      <c r="A266" s="1"/>
      <c r="B266" s="124" t="str">
        <f>B264</f>
        <v>6单银Low-E+12A+6</v>
      </c>
      <c r="C266" s="133">
        <f t="shared" ref="C266:D268" si="47">D143</f>
        <v>1155</v>
      </c>
      <c r="D266" s="133">
        <f t="shared" si="47"/>
        <v>3488</v>
      </c>
      <c r="E266" s="32">
        <f t="shared" si="27"/>
        <v>4.0286400000000002</v>
      </c>
      <c r="F266" s="134">
        <f>G143</f>
        <v>2</v>
      </c>
      <c r="G266" s="135">
        <f>G264</f>
        <v>700</v>
      </c>
      <c r="H266" s="134">
        <f>ROUND(E266*G266*F266,2)</f>
        <v>5640.1</v>
      </c>
      <c r="I266" s="136" t="s">
        <v>173</v>
      </c>
      <c r="N266" s="255"/>
      <c r="O266" s="255"/>
      <c r="P266" s="255"/>
    </row>
    <row r="267" spans="1:16" s="43" customFormat="1" ht="18" customHeight="1">
      <c r="A267" s="1"/>
      <c r="B267" s="124" t="str">
        <f>B264</f>
        <v>6单银Low-E+12A+6</v>
      </c>
      <c r="C267" s="133">
        <f t="shared" si="47"/>
        <v>-154</v>
      </c>
      <c r="D267" s="133">
        <f t="shared" si="47"/>
        <v>-154</v>
      </c>
      <c r="E267" s="32">
        <f t="shared" si="27"/>
        <v>2.3716000000000001E-2</v>
      </c>
      <c r="F267" s="134">
        <f>G144</f>
        <v>0</v>
      </c>
      <c r="G267" s="135">
        <f>G266</f>
        <v>700</v>
      </c>
      <c r="H267" s="134">
        <f>ROUND(E267*G267*F267,2)</f>
        <v>0</v>
      </c>
      <c r="I267" s="136" t="s">
        <v>173</v>
      </c>
      <c r="N267" s="255"/>
      <c r="O267" s="255"/>
      <c r="P267" s="255"/>
    </row>
    <row r="268" spans="1:16" s="43" customFormat="1" ht="18" customHeight="1">
      <c r="A268" s="1"/>
      <c r="B268" s="124" t="str">
        <f>B267</f>
        <v>6单银Low-E+12A+6</v>
      </c>
      <c r="C268" s="133">
        <f t="shared" si="47"/>
        <v>-154</v>
      </c>
      <c r="D268" s="133">
        <f t="shared" si="47"/>
        <v>-154</v>
      </c>
      <c r="E268" s="32">
        <f t="shared" si="27"/>
        <v>2.3716000000000001E-2</v>
      </c>
      <c r="F268" s="134">
        <f>G145</f>
        <v>0</v>
      </c>
      <c r="G268" s="135">
        <f>G267</f>
        <v>700</v>
      </c>
      <c r="H268" s="134">
        <f>ROUND(E268*G268*F268,2)</f>
        <v>0</v>
      </c>
      <c r="I268" s="136" t="s">
        <v>173</v>
      </c>
      <c r="N268" s="255"/>
      <c r="O268" s="255"/>
      <c r="P268" s="255"/>
    </row>
    <row r="269" spans="1:16" s="43" customFormat="1" ht="18" customHeight="1">
      <c r="A269" s="1"/>
      <c r="B269" s="48" t="s">
        <v>174</v>
      </c>
      <c r="C269" s="52"/>
      <c r="D269" s="50"/>
      <c r="E269" s="128"/>
      <c r="F269" s="50">
        <f>SUM(F266:F268)</f>
        <v>2</v>
      </c>
      <c r="G269" s="50"/>
      <c r="H269" s="52">
        <f>SUM(H266:H268)</f>
        <v>5640.1</v>
      </c>
      <c r="I269" s="53">
        <f>ROUND((E266*F266+E267*F267+E268*F268),2)</f>
        <v>8.06</v>
      </c>
      <c r="N269" s="255"/>
      <c r="O269" s="255"/>
      <c r="P269" s="255"/>
    </row>
    <row r="270" spans="1:16" s="43" customFormat="1" ht="18" customHeight="1">
      <c r="A270" s="1"/>
      <c r="B270" s="124" t="str">
        <f>B268</f>
        <v>6单银Low-E+12A+6</v>
      </c>
      <c r="C270" s="133">
        <f t="shared" ref="C270:D272" si="48">D150</f>
        <v>-160</v>
      </c>
      <c r="D270" s="133">
        <f t="shared" si="48"/>
        <v>-160</v>
      </c>
      <c r="E270" s="32">
        <f t="shared" si="27"/>
        <v>2.5600000000000001E-2</v>
      </c>
      <c r="F270" s="134">
        <f>G150</f>
        <v>0</v>
      </c>
      <c r="G270" s="135">
        <f>G268</f>
        <v>700</v>
      </c>
      <c r="H270" s="134">
        <f>ROUND(E270*G270*F270,2)</f>
        <v>0</v>
      </c>
      <c r="I270" s="136" t="s">
        <v>173</v>
      </c>
      <c r="N270" s="255"/>
      <c r="O270" s="255"/>
      <c r="P270" s="255"/>
    </row>
    <row r="271" spans="1:16" s="43" customFormat="1" ht="18" customHeight="1">
      <c r="A271" s="1"/>
      <c r="B271" s="124" t="str">
        <f>B270</f>
        <v>6单银Low-E+12A+6</v>
      </c>
      <c r="C271" s="133">
        <f t="shared" si="48"/>
        <v>-160</v>
      </c>
      <c r="D271" s="133">
        <f t="shared" si="48"/>
        <v>-160</v>
      </c>
      <c r="E271" s="32">
        <f t="shared" si="27"/>
        <v>2.5600000000000001E-2</v>
      </c>
      <c r="F271" s="134">
        <f>G151</f>
        <v>0</v>
      </c>
      <c r="G271" s="135">
        <f>G270</f>
        <v>700</v>
      </c>
      <c r="H271" s="134">
        <f>ROUND(E271*G271*F271,2)</f>
        <v>0</v>
      </c>
      <c r="I271" s="136" t="s">
        <v>173</v>
      </c>
      <c r="N271" s="255"/>
      <c r="O271" s="255"/>
      <c r="P271" s="255"/>
    </row>
    <row r="272" spans="1:16" s="43" customFormat="1" ht="18" customHeight="1">
      <c r="A272" s="1"/>
      <c r="B272" s="124" t="str">
        <f>B271</f>
        <v>6单银Low-E+12A+6</v>
      </c>
      <c r="C272" s="133">
        <f t="shared" si="48"/>
        <v>-160</v>
      </c>
      <c r="D272" s="133">
        <f t="shared" si="48"/>
        <v>-160</v>
      </c>
      <c r="E272" s="32">
        <f t="shared" si="27"/>
        <v>2.5600000000000001E-2</v>
      </c>
      <c r="F272" s="134">
        <f>G152</f>
        <v>0</v>
      </c>
      <c r="G272" s="135">
        <f>G271</f>
        <v>700</v>
      </c>
      <c r="H272" s="134">
        <f>ROUND(E272*G272*F272,2)</f>
        <v>0</v>
      </c>
      <c r="I272" s="136" t="s">
        <v>173</v>
      </c>
      <c r="N272" s="255"/>
      <c r="O272" s="255"/>
      <c r="P272" s="255"/>
    </row>
    <row r="273" spans="1:16" s="43" customFormat="1" ht="18" customHeight="1">
      <c r="A273" s="1"/>
      <c r="B273" s="48" t="s">
        <v>175</v>
      </c>
      <c r="C273" s="52"/>
      <c r="D273" s="50"/>
      <c r="E273" s="128"/>
      <c r="F273" s="50">
        <f>SUM(F270:F272)</f>
        <v>0</v>
      </c>
      <c r="G273" s="50"/>
      <c r="H273" s="52">
        <f>SUM(H270:H272)</f>
        <v>0</v>
      </c>
      <c r="I273" s="53">
        <f>ROUND((E270*F270+E271*F271+E272*F272),2)</f>
        <v>0</v>
      </c>
      <c r="N273" s="255"/>
      <c r="O273" s="255"/>
      <c r="P273" s="255"/>
    </row>
    <row r="274" spans="1:16" ht="18" customHeight="1">
      <c r="B274" s="124" t="str">
        <f>B272</f>
        <v>6单银Low-E+12A+6</v>
      </c>
      <c r="C274" s="133">
        <f t="shared" ref="C274:D279" si="49">D157-12</f>
        <v>-12</v>
      </c>
      <c r="D274" s="133">
        <f t="shared" si="49"/>
        <v>-12</v>
      </c>
      <c r="E274" s="32">
        <f t="shared" si="27"/>
        <v>1.44E-4</v>
      </c>
      <c r="F274" s="134">
        <f t="shared" ref="F274:F279" si="50">G157</f>
        <v>0</v>
      </c>
      <c r="G274" s="135">
        <f>G272</f>
        <v>700</v>
      </c>
      <c r="H274" s="134">
        <f t="shared" ref="H274:H279" si="51">ROUND(E274*G274*F274,2)</f>
        <v>0</v>
      </c>
      <c r="I274" s="136" t="s">
        <v>176</v>
      </c>
    </row>
    <row r="275" spans="1:16" ht="18" customHeight="1">
      <c r="B275" s="124" t="str">
        <f>B274</f>
        <v>6单银Low-E+12A+6</v>
      </c>
      <c r="C275" s="133">
        <f t="shared" si="49"/>
        <v>-12</v>
      </c>
      <c r="D275" s="133">
        <f t="shared" si="49"/>
        <v>-12</v>
      </c>
      <c r="E275" s="32">
        <f t="shared" si="27"/>
        <v>1.44E-4</v>
      </c>
      <c r="F275" s="134">
        <f t="shared" si="50"/>
        <v>0</v>
      </c>
      <c r="G275" s="135">
        <f>G274</f>
        <v>700</v>
      </c>
      <c r="H275" s="134">
        <f t="shared" si="51"/>
        <v>0</v>
      </c>
      <c r="I275" s="136" t="str">
        <f>I274</f>
        <v>门钢化中空玻璃</v>
      </c>
      <c r="K275" s="43" t="s">
        <v>177</v>
      </c>
    </row>
    <row r="276" spans="1:16" ht="18" customHeight="1">
      <c r="B276" s="124" t="str">
        <f>B275</f>
        <v>6单银Low-E+12A+6</v>
      </c>
      <c r="C276" s="133">
        <f t="shared" si="49"/>
        <v>-12</v>
      </c>
      <c r="D276" s="133">
        <f t="shared" si="49"/>
        <v>-12</v>
      </c>
      <c r="E276" s="32">
        <f t="shared" si="27"/>
        <v>1.44E-4</v>
      </c>
      <c r="F276" s="134">
        <f t="shared" si="50"/>
        <v>0</v>
      </c>
      <c r="G276" s="135">
        <f>G275</f>
        <v>700</v>
      </c>
      <c r="H276" s="134">
        <f t="shared" si="51"/>
        <v>0</v>
      </c>
      <c r="I276" s="136" t="str">
        <f>I275</f>
        <v>门钢化中空玻璃</v>
      </c>
    </row>
    <row r="277" spans="1:16" ht="18" customHeight="1">
      <c r="B277" s="124" t="str">
        <f>B276</f>
        <v>6单银Low-E+12A+6</v>
      </c>
      <c r="C277" s="133">
        <f t="shared" si="49"/>
        <v>-12</v>
      </c>
      <c r="D277" s="133">
        <f t="shared" si="49"/>
        <v>-12</v>
      </c>
      <c r="E277" s="32">
        <f t="shared" si="27"/>
        <v>1.44E-4</v>
      </c>
      <c r="F277" s="134">
        <f t="shared" si="50"/>
        <v>0</v>
      </c>
      <c r="G277" s="135">
        <f>G276</f>
        <v>700</v>
      </c>
      <c r="H277" s="134">
        <f t="shared" si="51"/>
        <v>0</v>
      </c>
      <c r="I277" s="136" t="str">
        <f>I276</f>
        <v>门钢化中空玻璃</v>
      </c>
    </row>
    <row r="278" spans="1:16" ht="18" customHeight="1">
      <c r="B278" s="124" t="str">
        <f>B277</f>
        <v>6单银Low-E+12A+6</v>
      </c>
      <c r="C278" s="133">
        <f t="shared" si="49"/>
        <v>-12</v>
      </c>
      <c r="D278" s="133">
        <f t="shared" si="49"/>
        <v>-12</v>
      </c>
      <c r="E278" s="32">
        <f t="shared" si="27"/>
        <v>1.44E-4</v>
      </c>
      <c r="F278" s="134">
        <f t="shared" si="50"/>
        <v>0</v>
      </c>
      <c r="G278" s="135">
        <f>G277</f>
        <v>700</v>
      </c>
      <c r="H278" s="134">
        <f t="shared" si="51"/>
        <v>0</v>
      </c>
      <c r="I278" s="136" t="str">
        <f>I277</f>
        <v>门钢化中空玻璃</v>
      </c>
    </row>
    <row r="279" spans="1:16" ht="18" customHeight="1">
      <c r="B279" s="124" t="str">
        <f>B278</f>
        <v>6单银Low-E+12A+6</v>
      </c>
      <c r="C279" s="133">
        <f t="shared" si="49"/>
        <v>-12</v>
      </c>
      <c r="D279" s="133">
        <f t="shared" si="49"/>
        <v>-12</v>
      </c>
      <c r="E279" s="32">
        <f t="shared" si="27"/>
        <v>1.44E-4</v>
      </c>
      <c r="F279" s="134">
        <f t="shared" si="50"/>
        <v>0</v>
      </c>
      <c r="G279" s="135">
        <f>G278</f>
        <v>700</v>
      </c>
      <c r="H279" s="134">
        <f t="shared" si="51"/>
        <v>0</v>
      </c>
      <c r="I279" s="136" t="str">
        <f>I278</f>
        <v>门钢化中空玻璃</v>
      </c>
    </row>
    <row r="280" spans="1:16" ht="18" customHeight="1">
      <c r="B280" s="48" t="s">
        <v>178</v>
      </c>
      <c r="C280" s="52"/>
      <c r="D280" s="50"/>
      <c r="E280" s="128"/>
      <c r="F280" s="50">
        <f>SUM(F274:F279)</f>
        <v>0</v>
      </c>
      <c r="G280" s="50"/>
      <c r="H280" s="52">
        <f>SUM(H274:H279)</f>
        <v>0</v>
      </c>
      <c r="I280" s="53">
        <f>ROUND(SUMPRODUCT(E274:E279*F274:F279),2)</f>
        <v>0</v>
      </c>
    </row>
    <row r="281" spans="1:16" ht="18" customHeight="1">
      <c r="B281" s="124" t="str">
        <f>材料价格!A10</f>
        <v>6单银Low-E+12A+6</v>
      </c>
      <c r="C281" s="133">
        <f>C252</f>
        <v>-12</v>
      </c>
      <c r="D281" s="133">
        <f>D252</f>
        <v>-12</v>
      </c>
      <c r="E281" s="32">
        <f t="shared" si="27"/>
        <v>1.44E-4</v>
      </c>
      <c r="F281" s="134"/>
      <c r="G281" s="137">
        <f>材料价格!B10</f>
        <v>148</v>
      </c>
      <c r="H281" s="134">
        <f>ROUND(E281*G281*F281,2)</f>
        <v>0</v>
      </c>
      <c r="I281" s="468" t="s">
        <v>179</v>
      </c>
    </row>
    <row r="282" spans="1:16" ht="18" customHeight="1">
      <c r="B282" s="124" t="str">
        <f>B281</f>
        <v>6单银Low-E+12A+6</v>
      </c>
      <c r="C282" s="133">
        <f>C253</f>
        <v>-12</v>
      </c>
      <c r="D282" s="133">
        <f>D253</f>
        <v>-12</v>
      </c>
      <c r="E282" s="32">
        <f t="shared" si="27"/>
        <v>1.44E-4</v>
      </c>
      <c r="F282" s="134"/>
      <c r="G282" s="135">
        <f>G281</f>
        <v>148</v>
      </c>
      <c r="H282" s="134">
        <f>ROUND(E282*G282*F282,2)</f>
        <v>0</v>
      </c>
      <c r="I282" s="468" t="s">
        <v>179</v>
      </c>
      <c r="J282" s="255"/>
      <c r="K282" s="255"/>
      <c r="L282" s="255"/>
      <c r="M282" s="255"/>
    </row>
    <row r="283" spans="1:16" ht="18" customHeight="1">
      <c r="B283" s="124" t="str">
        <f>B282</f>
        <v>6单银Low-E+12A+6</v>
      </c>
      <c r="C283" s="133">
        <f>D84-12</f>
        <v>-12</v>
      </c>
      <c r="D283" s="133">
        <f>E84-12</f>
        <v>-12</v>
      </c>
      <c r="E283" s="32">
        <f t="shared" si="27"/>
        <v>1.44E-4</v>
      </c>
      <c r="F283" s="134">
        <f>G84</f>
        <v>0</v>
      </c>
      <c r="G283" s="135">
        <f>G282</f>
        <v>148</v>
      </c>
      <c r="H283" s="134">
        <f>ROUND(E283*G283*F283,2)</f>
        <v>0</v>
      </c>
      <c r="I283" s="468" t="s">
        <v>179</v>
      </c>
      <c r="J283" s="255"/>
      <c r="K283" s="255"/>
      <c r="L283" s="255"/>
      <c r="M283" s="255"/>
    </row>
    <row r="284" spans="1:16" ht="18" customHeight="1">
      <c r="B284" s="124" t="str">
        <f>B283</f>
        <v>6单银Low-E+12A+6</v>
      </c>
      <c r="C284" s="133">
        <f>D85-12</f>
        <v>-12</v>
      </c>
      <c r="D284" s="133">
        <f>E85-12</f>
        <v>-12</v>
      </c>
      <c r="E284" s="32">
        <f t="shared" si="27"/>
        <v>1.44E-4</v>
      </c>
      <c r="F284" s="134">
        <f>G85</f>
        <v>0</v>
      </c>
      <c r="G284" s="135">
        <f>G283</f>
        <v>148</v>
      </c>
      <c r="H284" s="134">
        <f>ROUND(E284*G284*F284,2)</f>
        <v>0</v>
      </c>
      <c r="I284" s="468" t="s">
        <v>179</v>
      </c>
      <c r="J284" s="255"/>
      <c r="K284" s="255"/>
      <c r="L284" s="255"/>
      <c r="M284" s="255"/>
    </row>
    <row r="285" spans="1:16" ht="18" customHeight="1">
      <c r="B285" s="48" t="s">
        <v>180</v>
      </c>
      <c r="C285" s="52"/>
      <c r="D285" s="50"/>
      <c r="E285" s="50"/>
      <c r="F285" s="50">
        <f>SUM(F281:F284)</f>
        <v>0</v>
      </c>
      <c r="G285" s="50"/>
      <c r="H285" s="52">
        <f>SUM(H281:H284)</f>
        <v>0</v>
      </c>
      <c r="I285" s="53">
        <f>ROUND((E281*F281+E282*F282+E283*F283+E284*F284),2)</f>
        <v>0</v>
      </c>
      <c r="J285" s="255"/>
      <c r="K285" s="255"/>
      <c r="L285" s="255"/>
      <c r="M285" s="255"/>
    </row>
    <row r="286" spans="1:16" ht="18" customHeight="1">
      <c r="B286" s="124" t="str">
        <f>材料价格!A11</f>
        <v>8单银Low-E+12Ar+8+12A+8mm</v>
      </c>
      <c r="C286" s="133"/>
      <c r="D286" s="133"/>
      <c r="E286" s="32">
        <f>C286*D286/10^6</f>
        <v>0</v>
      </c>
      <c r="F286" s="134"/>
      <c r="G286" s="137">
        <f>材料价格!B11</f>
        <v>312</v>
      </c>
      <c r="H286" s="134">
        <f>ROUND(E286*G286*F286,2)</f>
        <v>0</v>
      </c>
      <c r="I286" s="468" t="s">
        <v>181</v>
      </c>
      <c r="J286" s="255"/>
      <c r="K286" s="255"/>
      <c r="L286" s="255"/>
      <c r="M286" s="255"/>
    </row>
    <row r="287" spans="1:16" ht="18" customHeight="1">
      <c r="B287" s="124" t="str">
        <f>B286</f>
        <v>8单银Low-E+12Ar+8+12A+8mm</v>
      </c>
      <c r="C287" s="133"/>
      <c r="D287" s="133"/>
      <c r="E287" s="32">
        <f>C287*D287/10^6</f>
        <v>0</v>
      </c>
      <c r="F287" s="134"/>
      <c r="G287" s="135">
        <f>G286</f>
        <v>312</v>
      </c>
      <c r="H287" s="134">
        <f>ROUND(E287*G287*F287,2)</f>
        <v>0</v>
      </c>
      <c r="I287" s="468" t="s">
        <v>181</v>
      </c>
      <c r="J287" s="255"/>
      <c r="K287" s="255"/>
      <c r="L287" s="255"/>
      <c r="M287" s="255"/>
    </row>
    <row r="288" spans="1:16" ht="18" customHeight="1">
      <c r="B288" s="138" t="str">
        <f>材料价格!A12</f>
        <v>10单银Low-E+12Ar+10+12A+10mm</v>
      </c>
      <c r="C288" s="139"/>
      <c r="D288" s="139"/>
      <c r="E288" s="140">
        <f>C288*D288/10^6</f>
        <v>0</v>
      </c>
      <c r="F288" s="141"/>
      <c r="G288" s="142">
        <f>材料价格!B12</f>
        <v>395</v>
      </c>
      <c r="H288" s="141">
        <f>ROUND(E288*G288*F288,2)</f>
        <v>0</v>
      </c>
      <c r="I288" s="143" t="s">
        <v>181</v>
      </c>
      <c r="J288" s="255"/>
      <c r="K288" s="255"/>
      <c r="L288" s="255"/>
      <c r="M288" s="255"/>
    </row>
    <row r="289" spans="2:13" ht="18" customHeight="1">
      <c r="B289" s="138" t="str">
        <f>B288</f>
        <v>10单银Low-E+12Ar+10+12A+10mm</v>
      </c>
      <c r="C289" s="139"/>
      <c r="D289" s="139"/>
      <c r="E289" s="140">
        <f>C289*D289/10^6</f>
        <v>0</v>
      </c>
      <c r="F289" s="141"/>
      <c r="G289" s="142">
        <f>G288</f>
        <v>395</v>
      </c>
      <c r="H289" s="141">
        <f>ROUND(E289*G289*F289,2)</f>
        <v>0</v>
      </c>
      <c r="I289" s="143" t="s">
        <v>181</v>
      </c>
      <c r="J289" s="255"/>
      <c r="K289" s="255"/>
      <c r="L289" s="255"/>
      <c r="M289" s="255"/>
    </row>
    <row r="290" spans="2:13" ht="18" customHeight="1">
      <c r="B290" s="48" t="s">
        <v>180</v>
      </c>
      <c r="C290" s="52"/>
      <c r="D290" s="50"/>
      <c r="E290" s="50"/>
      <c r="F290" s="50">
        <f>SUM(F286:F289)</f>
        <v>0</v>
      </c>
      <c r="G290" s="50"/>
      <c r="H290" s="52">
        <f>SUM(H286:H289)</f>
        <v>0</v>
      </c>
      <c r="I290" s="53">
        <f>ROUND((E286*F286+E287*F287+E288*F288+E289*F289),2)</f>
        <v>0</v>
      </c>
      <c r="J290" s="255"/>
      <c r="K290" s="255"/>
      <c r="L290" s="255"/>
      <c r="M290" s="255"/>
    </row>
    <row r="291" spans="2:13" ht="18" customHeight="1">
      <c r="B291" s="642" t="s">
        <v>182</v>
      </c>
      <c r="C291" s="144" t="s">
        <v>183</v>
      </c>
      <c r="D291" s="144" cm="1">
        <f t="array" ref="D291">SUMPRODUCT(E225:E232*F225:F232)+SUMPRODUCT(E243:E249*F243:F249)</f>
        <v>17.321904</v>
      </c>
      <c r="E291" s="144" t="s">
        <v>184</v>
      </c>
      <c r="F291" s="145">
        <f>F233+F250</f>
        <v>4</v>
      </c>
      <c r="G291" s="145" t="s">
        <v>185</v>
      </c>
      <c r="H291" s="144">
        <f>H233+H250</f>
        <v>12125.33</v>
      </c>
      <c r="I291" s="146">
        <f>H291/F366</f>
        <v>423.27587410634493</v>
      </c>
      <c r="J291" s="255"/>
      <c r="K291" s="255"/>
      <c r="L291" s="255"/>
      <c r="M291" s="255"/>
    </row>
    <row r="292" spans="2:13" ht="18" customHeight="1">
      <c r="B292" s="642"/>
      <c r="C292" s="144" t="s">
        <v>186</v>
      </c>
      <c r="D292" s="144">
        <f>SUMPRODUCT(E234:E241*F234:F241)+SUMPRODUCT(E251:E257*F251:F257)+SUMPRODUCT(E259:E264*F259:F264)+SUMPRODUCT(E266:E268*F266:F268)+SUMPRODUCT(E270:E272*F270:F272)+SUMPRODUCT(E281:E284*F281:F284)+SUMPRODUCT(E286:E289*F286:F289)+SUMPRODUCT(E274:E279*F274:F279)</f>
        <v>8.0572800000000004</v>
      </c>
      <c r="E292" s="144" t="s">
        <v>186</v>
      </c>
      <c r="F292" s="145">
        <f>F242+F258+F265+F269+F273+F285+F290+F280</f>
        <v>2</v>
      </c>
      <c r="G292" s="145" t="s">
        <v>185</v>
      </c>
      <c r="H292" s="144">
        <f>H242+H258+H265+H269+H273+H280+H285+H290</f>
        <v>5640.1</v>
      </c>
      <c r="I292" s="146">
        <f>H292/F366</f>
        <v>196.88686885612154</v>
      </c>
      <c r="J292" s="255"/>
      <c r="K292" s="255"/>
      <c r="L292" s="255"/>
      <c r="M292" s="255"/>
    </row>
    <row r="293" spans="2:13" ht="18" customHeight="1">
      <c r="B293" s="23" t="s">
        <v>187</v>
      </c>
      <c r="C293" s="462" t="s">
        <v>188</v>
      </c>
      <c r="D293" s="68" t="s">
        <v>189</v>
      </c>
      <c r="E293" s="462" t="s">
        <v>8</v>
      </c>
      <c r="F293" s="462" t="s">
        <v>190</v>
      </c>
      <c r="G293" s="462" t="s">
        <v>191</v>
      </c>
      <c r="H293" s="462" t="s">
        <v>160</v>
      </c>
      <c r="I293" s="25" t="s">
        <v>1</v>
      </c>
      <c r="J293" s="255"/>
      <c r="K293" s="255"/>
      <c r="L293" s="255"/>
      <c r="M293" s="255"/>
    </row>
    <row r="294" spans="2:13" ht="18" customHeight="1">
      <c r="B294" s="629" t="s">
        <v>192</v>
      </c>
      <c r="C294" s="464">
        <f>D26</f>
        <v>0</v>
      </c>
      <c r="D294" s="463"/>
      <c r="E294" s="463"/>
      <c r="F294" s="463" t="s">
        <v>193</v>
      </c>
      <c r="G294" s="108">
        <f>材料价格!B14</f>
        <v>153</v>
      </c>
      <c r="H294" s="147">
        <f>E294*G294</f>
        <v>0</v>
      </c>
      <c r="I294" s="632" t="s">
        <v>194</v>
      </c>
      <c r="J294" s="255"/>
      <c r="K294" s="255"/>
      <c r="L294" s="255"/>
      <c r="M294" s="255"/>
    </row>
    <row r="295" spans="2:13" ht="18" customHeight="1">
      <c r="B295" s="629"/>
      <c r="C295" s="464"/>
      <c r="D295" s="463"/>
      <c r="E295" s="463"/>
      <c r="F295" s="463"/>
      <c r="G295" s="108"/>
      <c r="H295" s="147">
        <f t="shared" ref="H295:H303" si="52">E295*G295</f>
        <v>0</v>
      </c>
      <c r="I295" s="633"/>
      <c r="J295" s="255"/>
      <c r="K295" s="255"/>
      <c r="L295" s="255"/>
      <c r="M295" s="255"/>
    </row>
    <row r="296" spans="2:13" ht="18" customHeight="1">
      <c r="B296" s="629" t="s">
        <v>195</v>
      </c>
      <c r="C296" s="464"/>
      <c r="D296" s="148"/>
      <c r="E296" s="463"/>
      <c r="F296" s="463" t="str">
        <f>F294</f>
        <v>坚朗</v>
      </c>
      <c r="G296" s="108">
        <f>材料价格!B15</f>
        <v>80</v>
      </c>
      <c r="H296" s="147">
        <f t="shared" si="52"/>
        <v>0</v>
      </c>
      <c r="I296" s="632" t="s">
        <v>196</v>
      </c>
      <c r="J296" s="255"/>
      <c r="K296" s="255"/>
      <c r="L296" s="255"/>
      <c r="M296" s="255"/>
    </row>
    <row r="297" spans="2:13" ht="18" customHeight="1">
      <c r="B297" s="629"/>
      <c r="C297" s="464"/>
      <c r="D297" s="148"/>
      <c r="E297" s="463"/>
      <c r="F297" s="463"/>
      <c r="G297" s="108"/>
      <c r="H297" s="147">
        <f t="shared" si="52"/>
        <v>0</v>
      </c>
      <c r="I297" s="633"/>
      <c r="J297" s="255"/>
      <c r="K297" s="255"/>
      <c r="L297" s="255"/>
      <c r="M297" s="255"/>
    </row>
    <row r="298" spans="2:13" ht="18" customHeight="1">
      <c r="B298" s="629" t="s">
        <v>197</v>
      </c>
      <c r="C298" s="464"/>
      <c r="D298" s="148"/>
      <c r="E298" s="463"/>
      <c r="F298" s="463" t="str">
        <f>F296</f>
        <v>坚朗</v>
      </c>
      <c r="G298" s="108">
        <f>材料价格!B16</f>
        <v>88</v>
      </c>
      <c r="H298" s="147">
        <f t="shared" si="52"/>
        <v>0</v>
      </c>
      <c r="I298" s="633"/>
      <c r="J298" s="255"/>
      <c r="K298" s="255"/>
      <c r="L298" s="255"/>
      <c r="M298" s="255"/>
    </row>
    <row r="299" spans="2:13" ht="18" customHeight="1">
      <c r="B299" s="629"/>
      <c r="C299" s="464"/>
      <c r="D299" s="148"/>
      <c r="E299" s="463"/>
      <c r="F299" s="463"/>
      <c r="G299" s="108"/>
      <c r="H299" s="147">
        <f t="shared" si="52"/>
        <v>0</v>
      </c>
      <c r="I299" s="633"/>
      <c r="J299" s="255"/>
      <c r="K299" s="255"/>
      <c r="L299" s="255"/>
      <c r="M299" s="255"/>
    </row>
    <row r="300" spans="2:13" ht="18" customHeight="1">
      <c r="B300" s="629" t="s">
        <v>198</v>
      </c>
      <c r="C300" s="464">
        <f>D35</f>
        <v>0</v>
      </c>
      <c r="D300" s="148"/>
      <c r="E300" s="463"/>
      <c r="F300" s="463" t="str">
        <f>F298</f>
        <v>坚朗</v>
      </c>
      <c r="G300" s="108">
        <f>材料价格!B17</f>
        <v>115</v>
      </c>
      <c r="H300" s="147">
        <f t="shared" si="52"/>
        <v>0</v>
      </c>
      <c r="I300" s="149"/>
      <c r="J300" s="255"/>
      <c r="K300" s="255"/>
      <c r="L300" s="255"/>
      <c r="M300" s="255"/>
    </row>
    <row r="301" spans="2:13" ht="18" customHeight="1">
      <c r="B301" s="629"/>
      <c r="C301" s="464"/>
      <c r="D301" s="148"/>
      <c r="E301" s="463"/>
      <c r="F301" s="463"/>
      <c r="G301" s="108"/>
      <c r="H301" s="147">
        <f t="shared" si="52"/>
        <v>0</v>
      </c>
      <c r="I301" s="149"/>
      <c r="J301" s="255"/>
      <c r="K301" s="255"/>
      <c r="L301" s="255"/>
      <c r="M301" s="255"/>
    </row>
    <row r="302" spans="2:13" ht="18" customHeight="1">
      <c r="B302" s="629" t="s">
        <v>199</v>
      </c>
      <c r="C302" s="463" t="s">
        <v>200</v>
      </c>
      <c r="D302" s="148"/>
      <c r="E302" s="463"/>
      <c r="F302" s="463" t="str">
        <f>F300</f>
        <v>坚朗</v>
      </c>
      <c r="G302" s="108">
        <f>材料价格!B19</f>
        <v>230</v>
      </c>
      <c r="H302" s="147">
        <f t="shared" si="52"/>
        <v>0</v>
      </c>
      <c r="I302" s="468"/>
      <c r="J302" s="255"/>
      <c r="K302" s="255"/>
      <c r="L302" s="255"/>
      <c r="M302" s="255"/>
    </row>
    <row r="303" spans="2:13" ht="18" customHeight="1">
      <c r="B303" s="629"/>
      <c r="C303" s="463" t="s">
        <v>201</v>
      </c>
      <c r="D303" s="148"/>
      <c r="E303" s="463">
        <v>1</v>
      </c>
      <c r="F303" s="463" t="str">
        <f>F302</f>
        <v>坚朗</v>
      </c>
      <c r="G303" s="108">
        <f>材料价格!B20</f>
        <v>335</v>
      </c>
      <c r="H303" s="147">
        <f t="shared" si="52"/>
        <v>335</v>
      </c>
      <c r="I303" s="468"/>
      <c r="J303" s="255"/>
      <c r="K303" s="255"/>
      <c r="L303" s="255"/>
      <c r="M303" s="255"/>
    </row>
    <row r="304" spans="2:13" ht="18" customHeight="1">
      <c r="B304" s="150" t="s">
        <v>202</v>
      </c>
      <c r="C304" s="50"/>
      <c r="D304" s="50"/>
      <c r="E304" s="50">
        <f>SUM(E294:E303)</f>
        <v>1</v>
      </c>
      <c r="F304" s="50"/>
      <c r="G304" s="166"/>
      <c r="H304" s="151">
        <f>SUM(H294:H303)</f>
        <v>335</v>
      </c>
      <c r="I304" s="152"/>
      <c r="J304" s="42"/>
    </row>
    <row r="305" spans="1:16" ht="18" customHeight="1">
      <c r="B305" s="467" t="s">
        <v>300</v>
      </c>
      <c r="C305" s="463"/>
      <c r="D305" s="148"/>
      <c r="E305" s="464">
        <f>E294+E296</f>
        <v>0</v>
      </c>
      <c r="F305" s="148"/>
      <c r="G305" s="148">
        <f>材料价格!B27</f>
        <v>0</v>
      </c>
      <c r="H305" s="154">
        <f>E305*G305</f>
        <v>0</v>
      </c>
      <c r="I305" s="468" t="s">
        <v>203</v>
      </c>
    </row>
    <row r="306" spans="1:16" s="16" customFormat="1" ht="18" customHeight="1">
      <c r="A306" s="1"/>
      <c r="B306" s="467" t="s">
        <v>204</v>
      </c>
      <c r="C306" s="463"/>
      <c r="D306" s="148"/>
      <c r="E306" s="464">
        <f>E298+E299+E300+E301</f>
        <v>0</v>
      </c>
      <c r="F306" s="148"/>
      <c r="G306" s="148">
        <f>材料价格!B28</f>
        <v>118</v>
      </c>
      <c r="H306" s="154">
        <f>E306*G306</f>
        <v>0</v>
      </c>
      <c r="I306" s="468" t="s">
        <v>205</v>
      </c>
      <c r="J306" s="43"/>
      <c r="K306" s="43"/>
      <c r="L306" s="43"/>
      <c r="M306" s="43"/>
      <c r="N306" s="255"/>
      <c r="O306" s="255"/>
      <c r="P306" s="255"/>
    </row>
    <row r="307" spans="1:16" s="16" customFormat="1" ht="18" customHeight="1">
      <c r="A307" s="1"/>
      <c r="B307" s="467" t="s">
        <v>206</v>
      </c>
      <c r="C307" s="463"/>
      <c r="D307" s="148"/>
      <c r="E307" s="464"/>
      <c r="F307" s="148"/>
      <c r="G307" s="148"/>
      <c r="H307" s="154">
        <f>E307*G307</f>
        <v>0</v>
      </c>
      <c r="I307" s="468" t="s">
        <v>207</v>
      </c>
      <c r="J307" s="43"/>
      <c r="K307" s="43"/>
      <c r="L307" s="43"/>
      <c r="M307" s="43"/>
      <c r="N307" s="255"/>
      <c r="O307" s="255"/>
      <c r="P307" s="255"/>
    </row>
    <row r="308" spans="1:16" s="16" customFormat="1" ht="18" customHeight="1">
      <c r="A308" s="1"/>
      <c r="B308" s="150" t="s">
        <v>208</v>
      </c>
      <c r="C308" s="50"/>
      <c r="D308" s="50"/>
      <c r="E308" s="100">
        <f>SUM(E305:E307)</f>
        <v>0</v>
      </c>
      <c r="F308" s="50"/>
      <c r="G308" s="166"/>
      <c r="H308" s="155">
        <f>SUM(H305:H307)</f>
        <v>0</v>
      </c>
      <c r="I308" s="152"/>
      <c r="J308" s="43"/>
      <c r="K308" s="43"/>
      <c r="L308" s="43"/>
      <c r="M308" s="43"/>
      <c r="N308" s="255"/>
      <c r="O308" s="255"/>
      <c r="P308" s="255"/>
    </row>
    <row r="309" spans="1:16" s="16" customFormat="1" ht="18" customHeight="1">
      <c r="A309" s="1"/>
      <c r="B309" s="156" t="s">
        <v>209</v>
      </c>
      <c r="C309" s="157">
        <f>ROUND(IF(D4&lt;=200,4,0)+IF(D4&gt;200,(D4/200+1))+IF(E4&lt;=200,4,0)+IF(E4&gt;200,(E4/200+1)),0)</f>
        <v>60</v>
      </c>
      <c r="D309" s="148"/>
      <c r="E309" s="148"/>
      <c r="F309" s="148"/>
      <c r="G309" s="158">
        <v>0.5</v>
      </c>
      <c r="H309" s="159">
        <f>ROUND(C309*G309,2)</f>
        <v>30</v>
      </c>
      <c r="I309" s="468" t="s">
        <v>210</v>
      </c>
      <c r="J309" s="43"/>
      <c r="K309" s="43"/>
      <c r="L309" s="43"/>
      <c r="M309" s="43"/>
      <c r="N309" s="255"/>
      <c r="O309" s="255"/>
      <c r="P309" s="255"/>
    </row>
    <row r="310" spans="1:16" s="16" customFormat="1" ht="18" customHeight="1">
      <c r="A310" s="1"/>
      <c r="B310" s="156" t="s">
        <v>211</v>
      </c>
      <c r="C310" s="157">
        <f>C309*2</f>
        <v>120</v>
      </c>
      <c r="D310" s="148">
        <f>D309*2</f>
        <v>0</v>
      </c>
      <c r="E310" s="148"/>
      <c r="F310" s="148"/>
      <c r="G310" s="158">
        <v>0.3</v>
      </c>
      <c r="H310" s="159">
        <f>ROUND(C310*G310,2)</f>
        <v>36</v>
      </c>
      <c r="I310" s="468" t="s">
        <v>212</v>
      </c>
      <c r="J310" s="43"/>
      <c r="K310" s="43"/>
      <c r="L310" s="255"/>
      <c r="M310" s="255"/>
      <c r="N310" s="255"/>
      <c r="O310" s="255"/>
      <c r="P310" s="255"/>
    </row>
    <row r="311" spans="1:16" s="16" customFormat="1" ht="18" customHeight="1">
      <c r="A311" s="1"/>
      <c r="B311" s="160" t="s">
        <v>213</v>
      </c>
      <c r="C311" s="161">
        <f>F6</f>
        <v>28.532399999999999</v>
      </c>
      <c r="D311" s="162"/>
      <c r="E311" s="162"/>
      <c r="F311" s="162"/>
      <c r="G311" s="163">
        <v>5</v>
      </c>
      <c r="H311" s="159">
        <f>ROUND(C311*G311,2)</f>
        <v>142.66</v>
      </c>
      <c r="I311" s="468"/>
      <c r="J311" s="43"/>
      <c r="K311" s="43"/>
      <c r="L311" s="255"/>
      <c r="M311" s="255"/>
      <c r="N311" s="255"/>
      <c r="O311" s="255"/>
      <c r="P311" s="255"/>
    </row>
    <row r="312" spans="1:16" s="16" customFormat="1" ht="18" customHeight="1">
      <c r="A312" s="1"/>
      <c r="B312" s="160" t="s">
        <v>214</v>
      </c>
      <c r="C312" s="161"/>
      <c r="D312" s="162"/>
      <c r="E312" s="162"/>
      <c r="F312" s="162"/>
      <c r="G312" s="163"/>
      <c r="H312" s="159">
        <f>ROUND(C312*G312,2)</f>
        <v>0</v>
      </c>
      <c r="I312" s="468"/>
      <c r="J312" s="43"/>
      <c r="K312" s="43"/>
      <c r="L312" s="255"/>
      <c r="M312" s="255"/>
      <c r="N312" s="255"/>
      <c r="O312" s="255"/>
      <c r="P312" s="255"/>
    </row>
    <row r="313" spans="1:16" s="16" customFormat="1" ht="18" customHeight="1">
      <c r="A313" s="1"/>
      <c r="B313" s="164" t="s">
        <v>397</v>
      </c>
      <c r="C313" s="161">
        <f>D291+D292</f>
        <v>25.379184000000002</v>
      </c>
      <c r="D313" s="162"/>
      <c r="E313" s="162"/>
      <c r="F313" s="162"/>
      <c r="G313" s="163">
        <f>10+5</f>
        <v>15</v>
      </c>
      <c r="H313" s="159">
        <f>ROUND(C313*G313,2)</f>
        <v>380.69</v>
      </c>
      <c r="I313" s="468"/>
      <c r="J313" s="43"/>
      <c r="K313" s="43"/>
      <c r="L313" s="255"/>
      <c r="M313" s="255"/>
      <c r="N313" s="255"/>
      <c r="O313" s="255"/>
      <c r="P313" s="255"/>
    </row>
    <row r="314" spans="1:16" s="16" customFormat="1" ht="18" customHeight="1">
      <c r="A314" s="1"/>
      <c r="B314" s="150" t="s">
        <v>215</v>
      </c>
      <c r="C314" s="165"/>
      <c r="D314" s="50"/>
      <c r="E314" s="50"/>
      <c r="F314" s="50"/>
      <c r="G314" s="166"/>
      <c r="H314" s="155">
        <f>SUM(H309:H313)</f>
        <v>589.35</v>
      </c>
      <c r="I314" s="152"/>
      <c r="J314" s="43"/>
      <c r="K314" s="43"/>
      <c r="L314" s="255"/>
      <c r="M314" s="255"/>
      <c r="N314" s="255"/>
      <c r="O314" s="255"/>
      <c r="P314" s="255"/>
    </row>
    <row r="315" spans="1:16" s="16" customFormat="1" ht="18" customHeight="1">
      <c r="A315" s="1"/>
      <c r="B315" s="156" t="s">
        <v>216</v>
      </c>
      <c r="C315" s="167">
        <f>E203+E205+E207+I203+I205+E209+I207</f>
        <v>28</v>
      </c>
      <c r="D315" s="148"/>
      <c r="E315" s="148"/>
      <c r="F315" s="148"/>
      <c r="G315" s="168">
        <v>1.9</v>
      </c>
      <c r="H315" s="154">
        <f t="shared" ref="H315:H318" si="53">ROUND(C315*G315,2)</f>
        <v>53.2</v>
      </c>
      <c r="I315" s="224" t="s">
        <v>340</v>
      </c>
      <c r="J315" s="255"/>
      <c r="K315" s="43"/>
      <c r="L315" s="255"/>
      <c r="M315" s="255"/>
      <c r="N315" s="255"/>
      <c r="O315" s="255"/>
      <c r="P315" s="255"/>
    </row>
    <row r="316" spans="1:16" s="16" customFormat="1" ht="18" customHeight="1">
      <c r="A316" s="1"/>
      <c r="B316" s="156" t="s">
        <v>217</v>
      </c>
      <c r="C316" s="167">
        <f>ROUND((D4+E4)*2/1000,2)</f>
        <v>23.1</v>
      </c>
      <c r="D316" s="148"/>
      <c r="E316" s="238">
        <v>4</v>
      </c>
      <c r="F316" s="235">
        <f>材料价格!B25</f>
        <v>8.52</v>
      </c>
      <c r="G316" s="168">
        <f t="shared" ref="G316:G321" si="54">F316/E316</f>
        <v>2.13</v>
      </c>
      <c r="H316" s="154">
        <f t="shared" si="53"/>
        <v>49.2</v>
      </c>
      <c r="I316" s="169" t="s">
        <v>218</v>
      </c>
      <c r="J316" s="255"/>
      <c r="K316" s="43"/>
      <c r="L316" s="255"/>
      <c r="M316" s="255"/>
      <c r="N316" s="255"/>
      <c r="O316" s="255"/>
      <c r="P316" s="255"/>
    </row>
    <row r="317" spans="1:16" s="16" customFormat="1" ht="18" customHeight="1">
      <c r="A317" s="1"/>
      <c r="B317" s="156" t="s">
        <v>219</v>
      </c>
      <c r="C317" s="167">
        <f>C316</f>
        <v>23.1</v>
      </c>
      <c r="D317" s="148"/>
      <c r="E317" s="238">
        <v>3</v>
      </c>
      <c r="F317" s="235">
        <f>F316</f>
        <v>8.52</v>
      </c>
      <c r="G317" s="168">
        <f t="shared" si="54"/>
        <v>2.84</v>
      </c>
      <c r="H317" s="154">
        <f t="shared" si="53"/>
        <v>65.599999999999994</v>
      </c>
      <c r="I317" s="169" t="s">
        <v>220</v>
      </c>
      <c r="J317" s="255"/>
      <c r="K317" s="43"/>
      <c r="L317" s="255"/>
      <c r="M317" s="255"/>
      <c r="N317" s="255"/>
      <c r="O317" s="255"/>
      <c r="P317" s="255"/>
    </row>
    <row r="318" spans="1:16" s="16" customFormat="1" ht="18" customHeight="1">
      <c r="A318" s="1"/>
      <c r="B318" s="156" t="s">
        <v>221</v>
      </c>
      <c r="C318" s="167">
        <f>C316</f>
        <v>23.1</v>
      </c>
      <c r="D318" s="148"/>
      <c r="E318" s="238">
        <v>6.5</v>
      </c>
      <c r="F318" s="235">
        <f>材料价格!B26</f>
        <v>23</v>
      </c>
      <c r="G318" s="168">
        <f t="shared" si="54"/>
        <v>3.5384615384615383</v>
      </c>
      <c r="H318" s="154">
        <f t="shared" si="53"/>
        <v>81.739999999999995</v>
      </c>
      <c r="I318" s="224" t="s">
        <v>222</v>
      </c>
      <c r="J318" s="255"/>
      <c r="K318" s="43"/>
      <c r="L318" s="255"/>
      <c r="M318" s="255"/>
      <c r="N318" s="255"/>
      <c r="O318" s="255"/>
      <c r="P318" s="255"/>
    </row>
    <row r="319" spans="1:16" s="16" customFormat="1" ht="18" customHeight="1">
      <c r="A319" s="1"/>
      <c r="B319" s="156" t="s">
        <v>341</v>
      </c>
      <c r="C319" s="167">
        <f>ROUND((C97+C104+C88+C146+C153+C163)*1,2)</f>
        <v>57.38</v>
      </c>
      <c r="D319" s="77">
        <v>1</v>
      </c>
      <c r="E319" s="238">
        <f>10</f>
        <v>10</v>
      </c>
      <c r="F319" s="235">
        <f>F317</f>
        <v>8.52</v>
      </c>
      <c r="G319" s="168">
        <f>F319/E319</f>
        <v>0.85199999999999998</v>
      </c>
      <c r="H319" s="154">
        <f>ROUND(C319*G319,2)</f>
        <v>48.89</v>
      </c>
      <c r="I319" s="468" t="s">
        <v>223</v>
      </c>
      <c r="J319" s="255"/>
      <c r="K319" s="43"/>
      <c r="L319" s="255"/>
      <c r="M319" s="255"/>
      <c r="N319" s="255"/>
      <c r="O319" s="255"/>
      <c r="P319" s="255"/>
    </row>
    <row r="320" spans="1:16" s="16" customFormat="1" ht="18" customHeight="1">
      <c r="A320" s="1"/>
      <c r="B320" s="156" t="s">
        <v>342</v>
      </c>
      <c r="C320" s="167">
        <f>C319</f>
        <v>57.38</v>
      </c>
      <c r="D320" s="77">
        <v>1</v>
      </c>
      <c r="E320" s="238">
        <v>6</v>
      </c>
      <c r="F320" s="235">
        <f>F319</f>
        <v>8.52</v>
      </c>
      <c r="G320" s="168">
        <f t="shared" si="54"/>
        <v>1.42</v>
      </c>
      <c r="H320" s="154">
        <f>ROUND(C320*G320,2)</f>
        <v>81.48</v>
      </c>
      <c r="I320" s="468" t="s">
        <v>224</v>
      </c>
      <c r="J320" s="255"/>
      <c r="K320" s="170"/>
      <c r="L320" s="170"/>
      <c r="M320" s="170"/>
      <c r="N320" s="170"/>
      <c r="O320" s="170"/>
      <c r="P320" s="170"/>
    </row>
    <row r="321" spans="1:16" s="16" customFormat="1" ht="18" customHeight="1">
      <c r="A321" s="1"/>
      <c r="B321" s="156" t="s">
        <v>225</v>
      </c>
      <c r="C321" s="167">
        <f>C334*D334+C324*D324+C327*D327</f>
        <v>6.0120000000000005</v>
      </c>
      <c r="D321" s="77">
        <v>1</v>
      </c>
      <c r="E321" s="238">
        <f>10</f>
        <v>10</v>
      </c>
      <c r="F321" s="235">
        <f>F317</f>
        <v>8.52</v>
      </c>
      <c r="G321" s="168">
        <f t="shared" si="54"/>
        <v>0.85199999999999998</v>
      </c>
      <c r="H321" s="154">
        <f>ROUND(C321*G321,2)</f>
        <v>5.12</v>
      </c>
      <c r="I321" s="468" t="s">
        <v>226</v>
      </c>
      <c r="J321" s="255"/>
      <c r="K321" s="170"/>
      <c r="L321" s="170"/>
      <c r="M321" s="170"/>
      <c r="N321" s="170"/>
      <c r="O321" s="170"/>
      <c r="P321" s="170"/>
    </row>
    <row r="322" spans="1:16" s="16" customFormat="1" ht="18" customHeight="1">
      <c r="A322" s="1"/>
      <c r="B322" s="150" t="s">
        <v>227</v>
      </c>
      <c r="C322" s="165"/>
      <c r="D322" s="50"/>
      <c r="E322" s="50"/>
      <c r="F322" s="50"/>
      <c r="G322" s="166" t="s">
        <v>396</v>
      </c>
      <c r="H322" s="155">
        <f>SUM(H315:H321)</f>
        <v>385.23</v>
      </c>
      <c r="I322" s="152"/>
      <c r="J322" s="244" t="s">
        <v>399</v>
      </c>
      <c r="K322" s="245" t="s">
        <v>379</v>
      </c>
      <c r="L322" s="170"/>
      <c r="M322" s="170"/>
      <c r="N322" s="170"/>
      <c r="O322" s="170"/>
      <c r="P322" s="170"/>
    </row>
    <row r="323" spans="1:16" s="16" customFormat="1" ht="18" customHeight="1">
      <c r="A323" s="1"/>
      <c r="B323" s="156" t="s">
        <v>356</v>
      </c>
      <c r="C323" s="167">
        <f>C31</f>
        <v>0</v>
      </c>
      <c r="D323" s="239">
        <v>1</v>
      </c>
      <c r="E323" s="148"/>
      <c r="F323" s="148"/>
      <c r="G323" s="236">
        <f>0.45+0.85</f>
        <v>1.3</v>
      </c>
      <c r="H323" s="154">
        <f>ROUND(C323*D323*G323,2)</f>
        <v>0</v>
      </c>
      <c r="I323" s="468" t="s">
        <v>345</v>
      </c>
      <c r="J323" s="244">
        <v>1.76</v>
      </c>
      <c r="K323" s="245" t="s">
        <v>400</v>
      </c>
      <c r="L323" s="170"/>
      <c r="M323" s="171"/>
      <c r="N323" s="170"/>
      <c r="O323" s="170"/>
      <c r="P323" s="170"/>
    </row>
    <row r="324" spans="1:16" s="16" customFormat="1" ht="18" customHeight="1">
      <c r="A324" s="1"/>
      <c r="B324" s="156" t="s">
        <v>347</v>
      </c>
      <c r="C324" s="167">
        <f>C323</f>
        <v>0</v>
      </c>
      <c r="D324" s="239">
        <v>1</v>
      </c>
      <c r="E324" s="148"/>
      <c r="F324" s="148"/>
      <c r="G324" s="236">
        <v>6.89</v>
      </c>
      <c r="H324" s="154">
        <f t="shared" ref="H324:H329" si="55">ROUND(C324*D324*G324,2)</f>
        <v>0</v>
      </c>
      <c r="I324" s="468" t="s">
        <v>346</v>
      </c>
      <c r="J324" s="244">
        <v>12.25</v>
      </c>
      <c r="K324" s="245" t="s">
        <v>376</v>
      </c>
      <c r="L324" s="170"/>
      <c r="M324" s="171"/>
      <c r="N324" s="170"/>
      <c r="O324" s="170"/>
      <c r="P324" s="170"/>
    </row>
    <row r="325" spans="1:16" s="16" customFormat="1" ht="18" customHeight="1">
      <c r="A325" s="1"/>
      <c r="B325" s="156" t="s">
        <v>357</v>
      </c>
      <c r="C325" s="167">
        <f>C38</f>
        <v>0</v>
      </c>
      <c r="D325" s="239">
        <v>1</v>
      </c>
      <c r="E325" s="148"/>
      <c r="F325" s="148"/>
      <c r="G325" s="236">
        <f>0.85+0.61</f>
        <v>1.46</v>
      </c>
      <c r="H325" s="154">
        <f t="shared" si="55"/>
        <v>0</v>
      </c>
      <c r="I325" s="468" t="s">
        <v>354</v>
      </c>
      <c r="J325" s="244">
        <v>1.76</v>
      </c>
      <c r="K325" s="245" t="s">
        <v>378</v>
      </c>
      <c r="L325" s="170"/>
      <c r="M325" s="171"/>
      <c r="N325" s="170"/>
      <c r="O325" s="170"/>
      <c r="P325" s="170"/>
    </row>
    <row r="326" spans="1:16" s="16" customFormat="1" ht="18" customHeight="1">
      <c r="A326" s="1"/>
      <c r="B326" s="156" t="s">
        <v>355</v>
      </c>
      <c r="C326" s="167">
        <f>C325</f>
        <v>0</v>
      </c>
      <c r="D326" s="239">
        <v>1</v>
      </c>
      <c r="E326" s="148"/>
      <c r="F326" s="148"/>
      <c r="G326" s="236">
        <v>3.27</v>
      </c>
      <c r="H326" s="154">
        <f>ROUND(C326*D326*G326,2)</f>
        <v>0</v>
      </c>
      <c r="I326" s="468" t="s">
        <v>358</v>
      </c>
      <c r="J326" s="244">
        <v>3.27</v>
      </c>
      <c r="K326" s="245" t="s">
        <v>358</v>
      </c>
      <c r="L326" s="170"/>
      <c r="M326" s="171"/>
      <c r="N326" s="170"/>
      <c r="O326" s="170"/>
      <c r="P326" s="170"/>
    </row>
    <row r="327" spans="1:16" s="16" customFormat="1" ht="18" customHeight="1">
      <c r="A327" s="1"/>
      <c r="B327" s="156" t="s">
        <v>228</v>
      </c>
      <c r="C327" s="167">
        <f>C126</f>
        <v>0</v>
      </c>
      <c r="D327" s="239">
        <v>1</v>
      </c>
      <c r="E327" s="110"/>
      <c r="F327" s="148"/>
      <c r="G327" s="236">
        <v>6.89</v>
      </c>
      <c r="H327" s="154">
        <f t="shared" si="55"/>
        <v>0</v>
      </c>
      <c r="I327" s="468" t="s">
        <v>346</v>
      </c>
      <c r="J327" s="244">
        <v>12.25</v>
      </c>
      <c r="K327" s="245" t="s">
        <v>346</v>
      </c>
      <c r="L327" s="170"/>
      <c r="M327" s="171"/>
      <c r="N327" s="170"/>
      <c r="O327" s="170"/>
      <c r="P327" s="170"/>
    </row>
    <row r="328" spans="1:16" s="16" customFormat="1" ht="18" customHeight="1">
      <c r="A328" s="1"/>
      <c r="B328" s="156" t="s">
        <v>229</v>
      </c>
      <c r="C328" s="167">
        <f>C327</f>
        <v>0</v>
      </c>
      <c r="D328" s="239">
        <v>1</v>
      </c>
      <c r="E328" s="110"/>
      <c r="F328" s="148"/>
      <c r="G328" s="236">
        <f>G3233</f>
        <v>0</v>
      </c>
      <c r="H328" s="154">
        <f t="shared" si="55"/>
        <v>0</v>
      </c>
      <c r="I328" s="468" t="s">
        <v>345</v>
      </c>
      <c r="J328" s="244">
        <v>0</v>
      </c>
      <c r="K328" s="245" t="s">
        <v>400</v>
      </c>
      <c r="L328" s="170"/>
      <c r="M328" s="171"/>
      <c r="N328" s="170"/>
      <c r="O328" s="170"/>
      <c r="P328" s="170"/>
    </row>
    <row r="329" spans="1:16" s="16" customFormat="1" ht="18" customHeight="1">
      <c r="A329" s="1"/>
      <c r="B329" s="156" t="s">
        <v>230</v>
      </c>
      <c r="C329" s="167">
        <f>C119</f>
        <v>19.803999999999998</v>
      </c>
      <c r="D329" s="239">
        <v>1</v>
      </c>
      <c r="E329" s="148"/>
      <c r="F329" s="148"/>
      <c r="G329" s="236">
        <f>G3253</f>
        <v>0</v>
      </c>
      <c r="H329" s="154">
        <f t="shared" si="55"/>
        <v>0</v>
      </c>
      <c r="I329" s="468" t="s">
        <v>354</v>
      </c>
      <c r="J329" s="244">
        <v>0</v>
      </c>
      <c r="K329" s="245" t="s">
        <v>378</v>
      </c>
      <c r="L329" s="170"/>
      <c r="M329" s="171"/>
      <c r="N329" s="170"/>
      <c r="O329" s="170"/>
      <c r="P329" s="170"/>
    </row>
    <row r="330" spans="1:16" s="16" customFormat="1" ht="18" customHeight="1">
      <c r="A330" s="1"/>
      <c r="B330" s="156" t="s">
        <v>362</v>
      </c>
      <c r="C330" s="167">
        <f>C329</f>
        <v>19.803999999999998</v>
      </c>
      <c r="D330" s="239">
        <v>1</v>
      </c>
      <c r="E330" s="148"/>
      <c r="F330" s="148"/>
      <c r="G330" s="236">
        <v>3.27</v>
      </c>
      <c r="H330" s="154">
        <f>ROUND(C330*D330*G330,2)</f>
        <v>64.760000000000005</v>
      </c>
      <c r="I330" s="468" t="s">
        <v>358</v>
      </c>
      <c r="J330" s="244">
        <v>3.27</v>
      </c>
      <c r="K330" s="245" t="s">
        <v>358</v>
      </c>
      <c r="L330" s="170"/>
      <c r="M330" s="171"/>
      <c r="N330" s="170"/>
      <c r="O330" s="170"/>
      <c r="P330" s="170"/>
    </row>
    <row r="331" spans="1:16" s="16" customFormat="1" ht="18" customHeight="1">
      <c r="A331" s="1"/>
      <c r="B331" s="156" t="s">
        <v>343</v>
      </c>
      <c r="C331" s="167">
        <f>C319</f>
        <v>57.38</v>
      </c>
      <c r="D331" s="239">
        <v>1</v>
      </c>
      <c r="E331" s="148"/>
      <c r="F331" s="148"/>
      <c r="G331" s="236">
        <v>1.25</v>
      </c>
      <c r="H331" s="154">
        <f>C331*D331*G331</f>
        <v>71.725000000000009</v>
      </c>
      <c r="I331" s="468" t="s">
        <v>344</v>
      </c>
      <c r="J331" s="244">
        <v>1.25</v>
      </c>
      <c r="K331" s="245" t="s">
        <v>344</v>
      </c>
      <c r="L331" s="170"/>
      <c r="M331" s="171"/>
      <c r="N331" s="170"/>
      <c r="O331" s="170"/>
      <c r="P331" s="170"/>
    </row>
    <row r="332" spans="1:16" s="16" customFormat="1" ht="18" customHeight="1">
      <c r="A332" s="1"/>
      <c r="B332" s="156" t="s">
        <v>350</v>
      </c>
      <c r="C332" s="167" cm="1">
        <f t="array" ref="C332">SUMPRODUCT(D26:D30*G26:G30)/1000</f>
        <v>0</v>
      </c>
      <c r="D332" s="239">
        <v>1</v>
      </c>
      <c r="E332" s="148"/>
      <c r="F332" s="148"/>
      <c r="G332" s="236">
        <v>0.41</v>
      </c>
      <c r="H332" s="154">
        <f>C332*D332*G332</f>
        <v>0</v>
      </c>
      <c r="I332" s="468" t="s">
        <v>348</v>
      </c>
      <c r="J332" s="244">
        <v>0.41</v>
      </c>
      <c r="K332" s="245" t="s">
        <v>348</v>
      </c>
      <c r="L332" s="170"/>
      <c r="M332" s="171"/>
      <c r="N332" s="170"/>
      <c r="O332" s="170"/>
      <c r="P332" s="170"/>
    </row>
    <row r="333" spans="1:16" s="16" customFormat="1" ht="18" customHeight="1">
      <c r="A333" s="1"/>
      <c r="B333" s="156" t="s">
        <v>349</v>
      </c>
      <c r="C333" s="167">
        <f>C88+C97+C104+C153+C163+C146</f>
        <v>57.379999999999995</v>
      </c>
      <c r="D333" s="239">
        <v>1</v>
      </c>
      <c r="E333" s="148"/>
      <c r="F333" s="148"/>
      <c r="G333" s="236">
        <v>0.49</v>
      </c>
      <c r="H333" s="154">
        <f>C333*D333*G333</f>
        <v>28.116199999999996</v>
      </c>
      <c r="I333" s="468" t="s">
        <v>351</v>
      </c>
      <c r="J333" s="244">
        <v>0.49</v>
      </c>
      <c r="K333" s="245" t="s">
        <v>351</v>
      </c>
      <c r="L333" s="170"/>
      <c r="M333" s="171"/>
      <c r="N333" s="170"/>
      <c r="O333" s="170"/>
      <c r="P333" s="170"/>
    </row>
    <row r="334" spans="1:16" s="16" customFormat="1" ht="18" customHeight="1">
      <c r="A334" s="1"/>
      <c r="B334" s="156" t="s">
        <v>353</v>
      </c>
      <c r="C334" s="167">
        <f t="array" ref="C334">SUMPRODUCT(D157:D162*G157:G162)/1000+SUM(G157:G162)*0.3+SUMPRODUCT(D68:D87*G68:G87)/1000+SUM(G68:G87)*0.3</f>
        <v>6.0120000000000005</v>
      </c>
      <c r="D334" s="239">
        <v>1</v>
      </c>
      <c r="E334" s="148"/>
      <c r="F334" s="148"/>
      <c r="G334" s="237">
        <v>5.36</v>
      </c>
      <c r="H334" s="154">
        <f>C334*G334</f>
        <v>32.224320000000006</v>
      </c>
      <c r="I334" s="468" t="s">
        <v>352</v>
      </c>
      <c r="J334" s="244">
        <v>9.5500000000000007</v>
      </c>
      <c r="K334" s="245" t="s">
        <v>377</v>
      </c>
      <c r="L334" s="170"/>
      <c r="M334" s="171"/>
      <c r="N334" s="170"/>
      <c r="O334" s="170"/>
      <c r="P334" s="170"/>
    </row>
    <row r="335" spans="1:16" s="16" customFormat="1" ht="18" customHeight="1">
      <c r="A335" s="1"/>
      <c r="B335" s="156" t="s">
        <v>364</v>
      </c>
      <c r="C335" s="167">
        <f>C319</f>
        <v>57.38</v>
      </c>
      <c r="D335" s="239">
        <v>1</v>
      </c>
      <c r="E335" s="148"/>
      <c r="F335" s="148"/>
      <c r="G335" s="237">
        <v>1.25</v>
      </c>
      <c r="H335" s="154"/>
      <c r="I335" s="149" t="s">
        <v>363</v>
      </c>
      <c r="J335" s="244">
        <v>1.25</v>
      </c>
      <c r="K335" s="245" t="s">
        <v>363</v>
      </c>
      <c r="L335" s="170"/>
      <c r="M335" s="171"/>
      <c r="N335" s="170"/>
      <c r="O335" s="170"/>
      <c r="P335" s="170"/>
    </row>
    <row r="336" spans="1:16" s="16" customFormat="1" ht="18" customHeight="1">
      <c r="A336" s="1"/>
      <c r="B336" s="156" t="s">
        <v>365</v>
      </c>
      <c r="C336" s="167">
        <f>C320</f>
        <v>57.38</v>
      </c>
      <c r="D336" s="239">
        <v>1</v>
      </c>
      <c r="E336" s="148"/>
      <c r="F336" s="148"/>
      <c r="G336" s="237">
        <v>1.63</v>
      </c>
      <c r="H336" s="154"/>
      <c r="I336" s="149" t="s">
        <v>363</v>
      </c>
      <c r="J336" s="244">
        <v>1.63</v>
      </c>
      <c r="K336" s="245" t="s">
        <v>363</v>
      </c>
      <c r="L336" s="170"/>
      <c r="M336" s="171"/>
      <c r="N336" s="170"/>
      <c r="O336" s="170"/>
      <c r="P336" s="170"/>
    </row>
    <row r="337" spans="1:16" s="16" customFormat="1" ht="18" customHeight="1">
      <c r="A337" s="1"/>
      <c r="B337" s="150" t="s">
        <v>231</v>
      </c>
      <c r="C337" s="165"/>
      <c r="D337" s="50"/>
      <c r="E337" s="50"/>
      <c r="F337" s="50"/>
      <c r="G337" s="166"/>
      <c r="H337" s="155">
        <f>SUM(H323:H336)*1.05</f>
        <v>206.66679600000003</v>
      </c>
      <c r="I337" s="152"/>
      <c r="J337" s="172"/>
      <c r="K337" s="170"/>
      <c r="L337" s="170"/>
      <c r="M337" s="170"/>
      <c r="N337" s="170"/>
      <c r="O337" s="170"/>
      <c r="P337" s="170"/>
    </row>
    <row r="338" spans="1:16" s="16" customFormat="1" ht="18" customHeight="1">
      <c r="A338" s="1"/>
      <c r="B338" s="173" t="s">
        <v>366</v>
      </c>
      <c r="C338" s="174">
        <f>F250+F258+F265+F280+F285+F290</f>
        <v>4</v>
      </c>
      <c r="D338" s="175">
        <v>2</v>
      </c>
      <c r="E338" s="176"/>
      <c r="F338" s="176"/>
      <c r="G338" s="240">
        <v>0.5</v>
      </c>
      <c r="H338" s="177">
        <f t="shared" ref="H338:H343" si="56">D338*G338*C338</f>
        <v>4</v>
      </c>
      <c r="I338" s="178" t="s">
        <v>233</v>
      </c>
      <c r="J338" s="172"/>
      <c r="K338" s="170"/>
      <c r="L338" s="170"/>
      <c r="M338" s="170"/>
      <c r="N338" s="170"/>
      <c r="O338" s="170"/>
      <c r="P338" s="170"/>
    </row>
    <row r="339" spans="1:16" s="16" customFormat="1" ht="18" customHeight="1">
      <c r="A339" s="1"/>
      <c r="B339" s="173" t="s">
        <v>367</v>
      </c>
      <c r="C339" s="174">
        <f>F233+F242+F269+F273</f>
        <v>2</v>
      </c>
      <c r="D339" s="175">
        <v>4</v>
      </c>
      <c r="E339" s="176"/>
      <c r="F339" s="176"/>
      <c r="G339" s="240">
        <v>0.63</v>
      </c>
      <c r="H339" s="177">
        <f t="shared" si="56"/>
        <v>5.04</v>
      </c>
      <c r="I339" s="178" t="s">
        <v>234</v>
      </c>
      <c r="J339" s="172"/>
      <c r="K339" s="170"/>
      <c r="L339" s="170"/>
      <c r="M339" s="170"/>
      <c r="N339" s="170"/>
      <c r="O339" s="170"/>
      <c r="P339" s="170"/>
    </row>
    <row r="340" spans="1:16" s="16" customFormat="1" ht="18" customHeight="1">
      <c r="A340" s="1"/>
      <c r="B340" s="173" t="s">
        <v>366</v>
      </c>
      <c r="C340" s="174">
        <f>SUM(G157:G162)</f>
        <v>0</v>
      </c>
      <c r="D340" s="175">
        <f>IF(E113&gt;2200,2,0)</f>
        <v>0</v>
      </c>
      <c r="E340" s="176"/>
      <c r="F340" s="176"/>
      <c r="G340" s="240">
        <v>0.5</v>
      </c>
      <c r="H340" s="177">
        <f t="shared" si="56"/>
        <v>0</v>
      </c>
      <c r="I340" s="178" t="s">
        <v>235</v>
      </c>
      <c r="J340" s="172"/>
      <c r="K340" s="170"/>
      <c r="L340" s="170"/>
      <c r="M340" s="170"/>
      <c r="N340" s="170"/>
      <c r="O340" s="170"/>
      <c r="P340" s="170"/>
    </row>
    <row r="341" spans="1:16" s="16" customFormat="1" ht="18" customHeight="1">
      <c r="A341" s="1"/>
      <c r="B341" s="173" t="s">
        <v>367</v>
      </c>
      <c r="C341" s="174">
        <f>SUM(G116:G118)</f>
        <v>2</v>
      </c>
      <c r="D341" s="175">
        <v>4</v>
      </c>
      <c r="E341" s="176"/>
      <c r="F341" s="176"/>
      <c r="G341" s="240">
        <v>0.63</v>
      </c>
      <c r="H341" s="177">
        <f t="shared" si="56"/>
        <v>5.04</v>
      </c>
      <c r="I341" s="178" t="s">
        <v>236</v>
      </c>
      <c r="J341" s="172"/>
      <c r="K341" s="170"/>
      <c r="L341" s="170"/>
      <c r="M341" s="170"/>
      <c r="N341" s="170"/>
      <c r="O341" s="170"/>
      <c r="P341" s="170"/>
    </row>
    <row r="342" spans="1:16" ht="18" customHeight="1">
      <c r="B342" s="173" t="s">
        <v>237</v>
      </c>
      <c r="C342" s="174">
        <v>1</v>
      </c>
      <c r="D342" s="175">
        <f>(F291+F292)*10</f>
        <v>60</v>
      </c>
      <c r="E342" s="176"/>
      <c r="F342" s="176"/>
      <c r="G342" s="240">
        <v>0.37</v>
      </c>
      <c r="H342" s="177">
        <f t="shared" si="56"/>
        <v>22.2</v>
      </c>
      <c r="I342" s="178"/>
      <c r="J342" s="172"/>
      <c r="K342" s="172"/>
      <c r="L342" s="172"/>
      <c r="N342" s="43"/>
    </row>
    <row r="343" spans="1:16" ht="18" customHeight="1">
      <c r="B343" s="173" t="s">
        <v>232</v>
      </c>
      <c r="C343" s="174">
        <f>C338</f>
        <v>4</v>
      </c>
      <c r="D343" s="175">
        <v>0</v>
      </c>
      <c r="E343" s="176"/>
      <c r="F343" s="176"/>
      <c r="G343" s="240">
        <v>0.49</v>
      </c>
      <c r="H343" s="177">
        <f t="shared" si="56"/>
        <v>0</v>
      </c>
      <c r="I343" s="178" t="s">
        <v>238</v>
      </c>
      <c r="J343" s="172"/>
      <c r="K343" s="172"/>
      <c r="L343" s="172"/>
      <c r="N343" s="43"/>
    </row>
    <row r="344" spans="1:16" ht="18" customHeight="1">
      <c r="B344" s="156" t="s">
        <v>239</v>
      </c>
      <c r="C344" s="157"/>
      <c r="D344" s="463">
        <f>E203+E205*2+E207*2+I203+I205*2+I207*2</f>
        <v>36</v>
      </c>
      <c r="E344" s="148"/>
      <c r="F344" s="148"/>
      <c r="G344" s="148">
        <v>0.2</v>
      </c>
      <c r="H344" s="179">
        <f>D344*G344</f>
        <v>7.2</v>
      </c>
      <c r="I344" s="468" t="s">
        <v>368</v>
      </c>
      <c r="J344" s="172"/>
      <c r="K344" s="172"/>
      <c r="L344" s="172"/>
    </row>
    <row r="345" spans="1:16" ht="18" customHeight="1">
      <c r="B345" s="156" t="s">
        <v>240</v>
      </c>
      <c r="C345" s="157"/>
      <c r="D345" s="463">
        <f>4*(E52+E53+E54+E55+G52+G53+G54+G55+G60+G61+G62+G63+E130+E131+E132+G130+G131+G132+G137+G138)</f>
        <v>4</v>
      </c>
      <c r="E345" s="148"/>
      <c r="F345" s="148"/>
      <c r="G345" s="148">
        <v>0.22</v>
      </c>
      <c r="H345" s="179">
        <f>D345*G345</f>
        <v>0.88</v>
      </c>
      <c r="I345" s="468" t="s">
        <v>241</v>
      </c>
      <c r="J345" s="172"/>
      <c r="K345" s="172"/>
      <c r="L345" s="172"/>
    </row>
    <row r="346" spans="1:16" ht="18" customHeight="1">
      <c r="B346" s="156" t="s">
        <v>242</v>
      </c>
      <c r="C346" s="157"/>
      <c r="D346" s="463">
        <f>D345/2</f>
        <v>2</v>
      </c>
      <c r="E346" s="148"/>
      <c r="F346" s="148"/>
      <c r="G346" s="148">
        <v>0.22</v>
      </c>
      <c r="H346" s="179">
        <f>ROUND(D346*G346,2)</f>
        <v>0.44</v>
      </c>
      <c r="I346" s="468" t="s">
        <v>243</v>
      </c>
      <c r="J346" s="172"/>
      <c r="K346" s="172"/>
      <c r="L346" s="172"/>
    </row>
    <row r="347" spans="1:16" ht="18" customHeight="1">
      <c r="B347" s="156" t="s">
        <v>369</v>
      </c>
      <c r="C347" s="157"/>
      <c r="D347" s="463">
        <f>D346</f>
        <v>2</v>
      </c>
      <c r="E347" s="148"/>
      <c r="F347" s="148"/>
      <c r="G347" s="148">
        <v>1.37</v>
      </c>
      <c r="H347" s="179">
        <f>ROUND(D347*G347,2)</f>
        <v>2.74</v>
      </c>
      <c r="I347" s="468" t="s">
        <v>370</v>
      </c>
      <c r="J347" s="172"/>
      <c r="K347" s="172"/>
      <c r="L347" s="172"/>
    </row>
    <row r="348" spans="1:16" ht="18" customHeight="1">
      <c r="B348" s="156" t="s">
        <v>244</v>
      </c>
      <c r="C348" s="157"/>
      <c r="D348" s="463">
        <f>(F291+F292)*2</f>
        <v>12</v>
      </c>
      <c r="E348" s="148"/>
      <c r="F348" s="148"/>
      <c r="G348" s="148">
        <v>0.48</v>
      </c>
      <c r="H348" s="179">
        <f>ROUND(D348*G348,2)</f>
        <v>5.76</v>
      </c>
      <c r="I348" s="468" t="s">
        <v>245</v>
      </c>
      <c r="J348" s="255"/>
    </row>
    <row r="349" spans="1:16" ht="18" customHeight="1">
      <c r="B349" s="156" t="s">
        <v>246</v>
      </c>
      <c r="C349" s="157"/>
      <c r="D349" s="463">
        <f>ROUND((D4+E4-240)*2/200+E217*F217/200,0)</f>
        <v>151</v>
      </c>
      <c r="E349" s="148"/>
      <c r="F349" s="148"/>
      <c r="G349" s="148">
        <v>0.05</v>
      </c>
      <c r="H349" s="179">
        <f>ROUND(D349*G349,2)</f>
        <v>7.55</v>
      </c>
      <c r="I349" s="468" t="s">
        <v>247</v>
      </c>
      <c r="J349" s="255"/>
    </row>
    <row r="350" spans="1:16" ht="18" customHeight="1">
      <c r="B350" s="150" t="s">
        <v>248</v>
      </c>
      <c r="C350" s="165"/>
      <c r="D350" s="50"/>
      <c r="E350" s="50"/>
      <c r="F350" s="50"/>
      <c r="G350" s="166"/>
      <c r="H350" s="155">
        <f>SUM(H338:H349)</f>
        <v>60.85</v>
      </c>
      <c r="I350" s="152"/>
    </row>
    <row r="351" spans="1:16" ht="18" customHeight="1">
      <c r="B351" s="156" t="s">
        <v>359</v>
      </c>
      <c r="C351" s="157"/>
      <c r="D351" s="463">
        <f>SUMPRODUCT(G26:G30)*8+SUMPRODUCT(G35:G37)*8+SUMPRODUCT(G116:G118)*8+SUMPRODUCT(G123:G125)*8</f>
        <v>16</v>
      </c>
      <c r="E351" s="148"/>
      <c r="F351" s="148"/>
      <c r="G351" s="148">
        <v>1.26</v>
      </c>
      <c r="H351" s="154">
        <f>ROUND(D351*G351,2)</f>
        <v>20.16</v>
      </c>
      <c r="I351" s="468" t="s">
        <v>386</v>
      </c>
    </row>
    <row r="352" spans="1:16" ht="18" customHeight="1">
      <c r="B352" s="156" t="s">
        <v>360</v>
      </c>
      <c r="C352" s="157"/>
      <c r="D352" s="463">
        <f>G26*4+G27*4+G28*4+G29*4+G30*4</f>
        <v>0</v>
      </c>
      <c r="E352" s="148"/>
      <c r="F352" s="148"/>
      <c r="G352" s="148">
        <v>2</v>
      </c>
      <c r="H352" s="154">
        <f>ROUND(D352*G352,2)</f>
        <v>0</v>
      </c>
      <c r="I352" s="468" t="s">
        <v>361</v>
      </c>
    </row>
    <row r="353" spans="1:22" ht="18" customHeight="1">
      <c r="B353" s="156" t="s">
        <v>249</v>
      </c>
      <c r="C353" s="157"/>
      <c r="D353" s="463"/>
      <c r="E353" s="148"/>
      <c r="F353" s="148"/>
      <c r="G353" s="148">
        <v>1.6</v>
      </c>
      <c r="H353" s="154"/>
      <c r="I353" s="468"/>
    </row>
    <row r="354" spans="1:22" ht="18" customHeight="1">
      <c r="B354" s="156" t="s">
        <v>250</v>
      </c>
      <c r="C354" s="157"/>
      <c r="D354" s="44">
        <f>C22+C31+C38+C48+C56+C64+C112+C119+C126+C133+C139+C199</f>
        <v>76.245999999999995</v>
      </c>
      <c r="E354" s="148"/>
      <c r="F354" s="148"/>
      <c r="G354" s="179">
        <v>4</v>
      </c>
      <c r="H354" s="154">
        <f t="shared" ref="H354:H356" si="57">ROUND(D354*G354,2)</f>
        <v>304.98</v>
      </c>
      <c r="I354" s="468"/>
    </row>
    <row r="355" spans="1:22" ht="18" customHeight="1">
      <c r="B355" s="156" t="s">
        <v>251</v>
      </c>
      <c r="C355" s="157" t="s">
        <v>252</v>
      </c>
      <c r="D355" s="44">
        <f>C88+C163</f>
        <v>38.808</v>
      </c>
      <c r="E355" s="148"/>
      <c r="F355" s="148"/>
      <c r="G355" s="179">
        <v>3.15</v>
      </c>
      <c r="H355" s="154">
        <f t="shared" si="57"/>
        <v>122.25</v>
      </c>
      <c r="I355" s="468"/>
    </row>
    <row r="356" spans="1:22" ht="18" customHeight="1">
      <c r="B356" s="156" t="s">
        <v>253</v>
      </c>
      <c r="C356" s="157" t="s">
        <v>254</v>
      </c>
      <c r="D356" s="44">
        <f>C97+C104+C146+C153</f>
        <v>18.571999999999999</v>
      </c>
      <c r="E356" s="148"/>
      <c r="F356" s="148"/>
      <c r="G356" s="179">
        <v>3.65</v>
      </c>
      <c r="H356" s="154">
        <f t="shared" si="57"/>
        <v>67.790000000000006</v>
      </c>
      <c r="I356" s="468"/>
    </row>
    <row r="357" spans="1:22" ht="18" customHeight="1">
      <c r="B357" s="156" t="s">
        <v>387</v>
      </c>
      <c r="C357" s="157"/>
      <c r="D357" s="44">
        <f>F291+F292</f>
        <v>6</v>
      </c>
      <c r="E357" s="148"/>
      <c r="F357" s="148"/>
      <c r="G357" s="179">
        <v>6</v>
      </c>
      <c r="H357" s="154"/>
      <c r="I357" s="468"/>
    </row>
    <row r="358" spans="1:22" ht="18" customHeight="1">
      <c r="B358" s="156" t="s">
        <v>255</v>
      </c>
      <c r="C358" s="157"/>
      <c r="D358" s="180"/>
      <c r="E358" s="148"/>
      <c r="F358" s="148"/>
      <c r="G358" s="148">
        <v>70</v>
      </c>
      <c r="H358" s="154">
        <f>D358*G358</f>
        <v>0</v>
      </c>
      <c r="I358" s="468"/>
    </row>
    <row r="359" spans="1:22" ht="18" customHeight="1">
      <c r="B359" s="156" t="s">
        <v>858</v>
      </c>
      <c r="C359" s="157"/>
      <c r="D359" s="180"/>
      <c r="E359" s="148"/>
      <c r="F359" s="148"/>
      <c r="G359" s="148">
        <v>180</v>
      </c>
      <c r="H359" s="154">
        <f>D359*G359</f>
        <v>0</v>
      </c>
      <c r="I359" s="468"/>
    </row>
    <row r="360" spans="1:22" ht="18" customHeight="1">
      <c r="B360" s="156" t="s">
        <v>388</v>
      </c>
      <c r="C360" s="157"/>
      <c r="D360" s="463">
        <v>1</v>
      </c>
      <c r="E360" s="148"/>
      <c r="F360" s="148"/>
      <c r="G360" s="148">
        <v>9.6</v>
      </c>
      <c r="H360" s="154">
        <f>ROUND(D360*G360,2)</f>
        <v>9.6</v>
      </c>
      <c r="I360" s="468"/>
    </row>
    <row r="361" spans="1:22" ht="18" customHeight="1">
      <c r="B361" s="156" t="s">
        <v>901</v>
      </c>
      <c r="C361" s="157"/>
      <c r="D361" s="463">
        <f>(D4+E4)*2/1000</f>
        <v>23.1</v>
      </c>
      <c r="E361" s="148"/>
      <c r="F361" s="148"/>
      <c r="G361" s="148">
        <v>45</v>
      </c>
      <c r="H361" s="154">
        <f>ROUND(D361*G361,2)</f>
        <v>1039.5</v>
      </c>
      <c r="I361" s="468"/>
    </row>
    <row r="362" spans="1:22" ht="18" customHeight="1">
      <c r="B362" s="181" t="s">
        <v>398</v>
      </c>
      <c r="C362" s="157"/>
      <c r="D362" s="182">
        <f>F366</f>
        <v>28.6464</v>
      </c>
      <c r="E362" s="148"/>
      <c r="F362" s="148"/>
      <c r="G362" s="148">
        <v>3</v>
      </c>
      <c r="H362" s="154">
        <f>D362*G362</f>
        <v>85.9392</v>
      </c>
      <c r="I362" s="468"/>
    </row>
    <row r="363" spans="1:22" ht="18" customHeight="1">
      <c r="B363" s="150" t="s">
        <v>256</v>
      </c>
      <c r="C363" s="50"/>
      <c r="D363" s="50"/>
      <c r="E363" s="50"/>
      <c r="F363" s="50"/>
      <c r="G363" s="166"/>
      <c r="H363" s="155">
        <f>SUM(H351:H362)</f>
        <v>1650.2192000000002</v>
      </c>
      <c r="I363" s="183"/>
    </row>
    <row r="364" spans="1:22" ht="18" customHeight="1">
      <c r="B364" s="466" t="s">
        <v>257</v>
      </c>
      <c r="C364" s="185"/>
      <c r="D364" s="186"/>
      <c r="E364" s="185"/>
      <c r="F364" s="186"/>
      <c r="G364" s="186"/>
      <c r="H364" s="187">
        <f>SUM(H363,H350,H337,H322,H314,H308,H304)</f>
        <v>3227.3159959999998</v>
      </c>
      <c r="I364" s="188"/>
    </row>
    <row r="365" spans="1:22" ht="18" customHeight="1">
      <c r="A365" s="189"/>
      <c r="B365" s="190" t="s">
        <v>258</v>
      </c>
      <c r="C365" s="10" t="s">
        <v>14</v>
      </c>
      <c r="D365" s="10" t="s">
        <v>16</v>
      </c>
      <c r="E365" s="10" t="s">
        <v>17</v>
      </c>
      <c r="F365" s="10" t="s">
        <v>7</v>
      </c>
      <c r="G365" s="10" t="s">
        <v>5</v>
      </c>
      <c r="H365" s="10" t="s">
        <v>18</v>
      </c>
      <c r="I365" s="191" t="s">
        <v>259</v>
      </c>
      <c r="L365" s="192"/>
      <c r="M365" s="192"/>
    </row>
    <row r="366" spans="1:22" ht="18" customHeight="1">
      <c r="B366" s="48">
        <f>ROUND(I366/F366,2)</f>
        <v>1112.98</v>
      </c>
      <c r="C366" s="50" t="s">
        <v>299</v>
      </c>
      <c r="D366" s="50">
        <f>D5</f>
        <v>7680</v>
      </c>
      <c r="E366" s="50">
        <f>E5</f>
        <v>3730</v>
      </c>
      <c r="F366" s="49">
        <f>E366*D366/1000000</f>
        <v>28.6464</v>
      </c>
      <c r="G366" s="50">
        <f>G4</f>
        <v>1</v>
      </c>
      <c r="H366" s="49">
        <f>F366</f>
        <v>28.6464</v>
      </c>
      <c r="I366" s="193">
        <f>H364+H291+H292+I223+I12</f>
        <v>31882.986381200997</v>
      </c>
      <c r="K366" s="192"/>
    </row>
    <row r="367" spans="1:22" ht="18" customHeight="1">
      <c r="B367" s="194" t="s">
        <v>258</v>
      </c>
      <c r="C367" s="195" t="s">
        <v>260</v>
      </c>
      <c r="D367" s="195" t="s">
        <v>261</v>
      </c>
      <c r="E367" s="195" t="s">
        <v>262</v>
      </c>
      <c r="F367" s="195" t="s">
        <v>263</v>
      </c>
      <c r="G367" s="195" t="s">
        <v>264</v>
      </c>
      <c r="H367" s="195" t="s">
        <v>265</v>
      </c>
      <c r="I367" s="196" t="s">
        <v>266</v>
      </c>
    </row>
    <row r="368" spans="1:22" ht="30" customHeight="1" thickBot="1">
      <c r="B368" s="197">
        <f>ROUND(I366/H366,2)</f>
        <v>1112.98</v>
      </c>
      <c r="C368" s="198">
        <f>E294+E296+E298+E300+E302+E303+E297+E299</f>
        <v>1</v>
      </c>
      <c r="D368" s="199"/>
      <c r="E368" s="199"/>
      <c r="F368" s="200"/>
      <c r="G368" s="200"/>
      <c r="H368" s="200"/>
      <c r="I368" s="201"/>
      <c r="O368" s="631" t="s">
        <v>603</v>
      </c>
      <c r="P368" s="631"/>
      <c r="Q368" s="631"/>
      <c r="R368" s="631"/>
      <c r="S368" s="631"/>
      <c r="T368" s="631"/>
      <c r="U368" s="631"/>
      <c r="V368" s="631"/>
    </row>
    <row r="369" spans="2:22" ht="20.100000000000001" customHeight="1">
      <c r="B369" s="42"/>
      <c r="L369" s="202"/>
      <c r="M369" s="202"/>
      <c r="N369" s="202"/>
      <c r="O369" s="634" t="s">
        <v>604</v>
      </c>
      <c r="P369" s="634"/>
      <c r="Q369" s="634"/>
      <c r="R369" s="634"/>
      <c r="S369" s="634"/>
      <c r="T369" s="634"/>
      <c r="U369" s="634"/>
      <c r="V369" s="634"/>
    </row>
    <row r="370" spans="2:22" ht="20.100000000000001" customHeight="1">
      <c r="B370" s="102" t="s">
        <v>862</v>
      </c>
      <c r="C370" s="203"/>
      <c r="D370" s="203" t="s">
        <v>267</v>
      </c>
      <c r="E370" s="203"/>
      <c r="J370" s="102"/>
      <c r="O370" s="285" t="s">
        <v>279</v>
      </c>
      <c r="P370" s="624" t="s">
        <v>629</v>
      </c>
      <c r="Q370" s="625"/>
      <c r="R370" s="312" t="str">
        <f ca="1">B4</f>
        <v>GSM7838</v>
      </c>
      <c r="S370" s="312"/>
      <c r="T370" s="313"/>
      <c r="U370" s="287" t="s">
        <v>605</v>
      </c>
      <c r="V370" s="288"/>
    </row>
    <row r="371" spans="2:22" ht="24.95" customHeight="1">
      <c r="B371" s="102">
        <f>ROUND(I366/F6,2)</f>
        <v>1117.43</v>
      </c>
      <c r="C371" s="203">
        <f>U392</f>
        <v>930.80376013043133</v>
      </c>
      <c r="D371" s="203">
        <f>E304</f>
        <v>1</v>
      </c>
      <c r="E371" s="203"/>
      <c r="J371" s="102"/>
      <c r="O371" s="635" t="s">
        <v>606</v>
      </c>
      <c r="P371" s="623" t="s">
        <v>626</v>
      </c>
      <c r="Q371" s="623"/>
      <c r="R371" s="623"/>
      <c r="S371" s="623"/>
      <c r="T371" s="637"/>
      <c r="U371" s="291" t="s">
        <v>607</v>
      </c>
      <c r="V371" s="292" t="s">
        <v>313</v>
      </c>
    </row>
    <row r="372" spans="2:22" ht="24.95" customHeight="1">
      <c r="L372" s="102"/>
      <c r="M372" s="102"/>
      <c r="N372" s="102"/>
      <c r="O372" s="636"/>
      <c r="P372" s="638"/>
      <c r="Q372" s="638"/>
      <c r="R372" s="638"/>
      <c r="S372" s="638"/>
      <c r="T372" s="638"/>
      <c r="U372" s="291" t="s">
        <v>268</v>
      </c>
      <c r="V372" s="293">
        <f>F4</f>
        <v>29.45</v>
      </c>
    </row>
    <row r="373" spans="2:22" ht="24.95" customHeight="1">
      <c r="J373" s="102"/>
      <c r="K373" s="102"/>
      <c r="L373" s="102"/>
      <c r="M373" s="102"/>
      <c r="N373" s="102"/>
      <c r="O373" s="311" t="s">
        <v>0</v>
      </c>
      <c r="P373" s="289" t="s">
        <v>608</v>
      </c>
      <c r="Q373" s="289" t="s">
        <v>627</v>
      </c>
      <c r="R373" s="289" t="s">
        <v>269</v>
      </c>
      <c r="S373" s="294" t="s">
        <v>8</v>
      </c>
      <c r="T373" s="295" t="s">
        <v>609</v>
      </c>
      <c r="U373" s="296" t="s">
        <v>270</v>
      </c>
      <c r="V373" s="295" t="s">
        <v>610</v>
      </c>
    </row>
    <row r="374" spans="2:22" ht="20.100000000000001" customHeight="1">
      <c r="J374" s="102"/>
      <c r="K374" s="102"/>
      <c r="L374" s="102"/>
      <c r="M374" s="102"/>
      <c r="N374" s="102"/>
      <c r="O374" s="297" t="s">
        <v>305</v>
      </c>
      <c r="P374" s="298" t="s">
        <v>611</v>
      </c>
      <c r="Q374" s="298"/>
      <c r="R374" s="286"/>
      <c r="S374" s="299"/>
      <c r="T374" s="300"/>
      <c r="U374" s="301">
        <f>SUM(U375:U383)</f>
        <v>17542.475613201001</v>
      </c>
      <c r="V374" s="286"/>
    </row>
    <row r="375" spans="2:22" ht="20.100000000000001" customHeight="1">
      <c r="J375" s="102"/>
      <c r="K375" s="102"/>
      <c r="L375" s="102"/>
      <c r="M375" s="102"/>
      <c r="N375" s="102"/>
      <c r="O375" s="286">
        <v>1</v>
      </c>
      <c r="P375" s="302" t="s">
        <v>612</v>
      </c>
      <c r="Q375" s="307"/>
      <c r="R375" s="286" t="s">
        <v>271</v>
      </c>
      <c r="S375" s="303">
        <f>E223</f>
        <v>228.66705400000006</v>
      </c>
      <c r="T375" s="304">
        <f>I223/E223</f>
        <v>46.176483234007982</v>
      </c>
      <c r="U375" s="305">
        <f t="shared" ref="U375:U383" si="58">T375*S375</f>
        <v>10559.040385201</v>
      </c>
      <c r="V375" s="306"/>
    </row>
    <row r="376" spans="2:22" ht="20.100000000000001" customHeight="1">
      <c r="J376" s="102"/>
      <c r="K376" s="102"/>
      <c r="L376" s="102"/>
      <c r="M376" s="102"/>
      <c r="N376" s="102"/>
      <c r="O376" s="286">
        <v>2</v>
      </c>
      <c r="P376" s="290" t="s">
        <v>613</v>
      </c>
      <c r="Q376" s="307"/>
      <c r="R376" s="286" t="s">
        <v>276</v>
      </c>
      <c r="S376" s="303">
        <f>D358</f>
        <v>0</v>
      </c>
      <c r="T376" s="304">
        <f>G358</f>
        <v>70</v>
      </c>
      <c r="U376" s="305">
        <f t="shared" si="58"/>
        <v>0</v>
      </c>
      <c r="V376" s="306"/>
    </row>
    <row r="377" spans="2:22" ht="20.100000000000001" customHeight="1">
      <c r="J377" s="102"/>
      <c r="K377" s="102"/>
      <c r="L377" s="102"/>
      <c r="M377" s="102"/>
      <c r="N377" s="102"/>
      <c r="O377" s="286">
        <v>3</v>
      </c>
      <c r="P377" s="302" t="s">
        <v>614</v>
      </c>
      <c r="Q377" s="302"/>
      <c r="R377" s="286" t="s">
        <v>312</v>
      </c>
      <c r="S377" s="303">
        <f>D291+D292</f>
        <v>25.379184000000002</v>
      </c>
      <c r="T377" s="304">
        <f>材料价格!B10</f>
        <v>148</v>
      </c>
      <c r="U377" s="305">
        <f t="shared" si="58"/>
        <v>3756.1192320000005</v>
      </c>
      <c r="V377" s="306"/>
    </row>
    <row r="378" spans="2:22" ht="20.100000000000001" customHeight="1">
      <c r="B378" s="630" t="s">
        <v>277</v>
      </c>
      <c r="C378" s="630"/>
      <c r="D378" s="630"/>
      <c r="E378" s="630"/>
      <c r="F378" s="630"/>
      <c r="G378" s="630"/>
      <c r="H378" s="630"/>
      <c r="I378" s="630"/>
      <c r="J378" s="102"/>
      <c r="K378" s="102"/>
      <c r="L378" s="102"/>
      <c r="M378" s="102"/>
      <c r="N378" s="102"/>
      <c r="O378" s="286">
        <v>4</v>
      </c>
      <c r="P378" s="302" t="s">
        <v>615</v>
      </c>
      <c r="Q378" s="306"/>
      <c r="R378" s="286" t="s">
        <v>278</v>
      </c>
      <c r="S378" s="303">
        <f>(H316+H317+H319+H320+H321)/F316</f>
        <v>29.376760563380287</v>
      </c>
      <c r="T378" s="304">
        <f>材料价格!B25</f>
        <v>8.52</v>
      </c>
      <c r="U378" s="305">
        <f t="shared" si="58"/>
        <v>250.29000000000005</v>
      </c>
      <c r="V378" s="306"/>
    </row>
    <row r="379" spans="2:22" ht="20.100000000000001" customHeight="1">
      <c r="B379" s="204" t="s">
        <v>279</v>
      </c>
      <c r="C379" s="205" t="s">
        <v>280</v>
      </c>
      <c r="D379" s="205" t="s">
        <v>281</v>
      </c>
      <c r="E379" s="205" t="s">
        <v>282</v>
      </c>
      <c r="F379" s="205" t="s">
        <v>379</v>
      </c>
      <c r="G379" s="205"/>
      <c r="H379" s="205" t="s">
        <v>28</v>
      </c>
      <c r="I379" s="205" t="s">
        <v>259</v>
      </c>
      <c r="J379" s="102"/>
      <c r="K379" s="102"/>
      <c r="L379" s="102"/>
      <c r="M379" s="102"/>
      <c r="N379" s="102"/>
      <c r="O379" s="286">
        <v>5</v>
      </c>
      <c r="P379" s="306" t="s">
        <v>616</v>
      </c>
      <c r="Q379" s="302"/>
      <c r="R379" s="286" t="s">
        <v>628</v>
      </c>
      <c r="S379" s="303">
        <f>H337/21</f>
        <v>9.8412760000000024</v>
      </c>
      <c r="T379" s="304">
        <v>21</v>
      </c>
      <c r="U379" s="305">
        <f t="shared" si="58"/>
        <v>206.66679600000006</v>
      </c>
      <c r="V379" s="306"/>
    </row>
    <row r="380" spans="2:22" ht="20.100000000000001" customHeight="1">
      <c r="B380" s="206" t="s">
        <v>284</v>
      </c>
      <c r="C380" s="208" t="s">
        <v>384</v>
      </c>
      <c r="D380" s="207">
        <f>C22+C31+C38+C48+C56+C112+C119+C126+C133+C139+C177+C184+C191+C199</f>
        <v>91.125999999999991</v>
      </c>
      <c r="E380" s="207" t="s">
        <v>383</v>
      </c>
      <c r="F380" s="206"/>
      <c r="G380" s="206"/>
      <c r="H380" s="241">
        <v>2.4</v>
      </c>
      <c r="I380" s="207"/>
      <c r="J380" s="102"/>
      <c r="K380" s="102"/>
      <c r="L380" s="102"/>
      <c r="M380" s="102"/>
      <c r="N380" s="102"/>
      <c r="O380" s="286">
        <v>6</v>
      </c>
      <c r="P380" s="302" t="s">
        <v>319</v>
      </c>
      <c r="Q380" s="302"/>
      <c r="R380" s="286" t="s">
        <v>273</v>
      </c>
      <c r="S380" s="303"/>
      <c r="T380" s="304"/>
      <c r="U380" s="305">
        <f t="shared" si="58"/>
        <v>0</v>
      </c>
      <c r="V380" s="306"/>
    </row>
    <row r="381" spans="2:22" ht="20.100000000000001" customHeight="1">
      <c r="B381" s="206" t="s">
        <v>286</v>
      </c>
      <c r="C381" s="206" t="s">
        <v>287</v>
      </c>
      <c r="D381" s="209">
        <f>(J22+J31+J38+J48+J112+J119+J126)*4+(J56+J133)*2</f>
        <v>28</v>
      </c>
      <c r="E381" s="207" t="s">
        <v>285</v>
      </c>
      <c r="F381" s="206"/>
      <c r="G381" s="206"/>
      <c r="H381" s="241">
        <v>0.5</v>
      </c>
      <c r="I381" s="207">
        <f>H381*D381</f>
        <v>14</v>
      </c>
      <c r="J381" s="102"/>
      <c r="K381" s="102"/>
      <c r="L381" s="102"/>
      <c r="M381" s="102"/>
      <c r="N381" s="102"/>
      <c r="O381" s="286">
        <v>7</v>
      </c>
      <c r="P381" s="302" t="s">
        <v>295</v>
      </c>
      <c r="Q381" s="302"/>
      <c r="R381" s="286" t="s">
        <v>273</v>
      </c>
      <c r="S381" s="303"/>
      <c r="T381" s="304">
        <f>材料价格!B19</f>
        <v>230</v>
      </c>
      <c r="U381" s="305">
        <f t="shared" si="58"/>
        <v>0</v>
      </c>
      <c r="V381" s="306"/>
    </row>
    <row r="382" spans="2:22" ht="20.100000000000001" customHeight="1">
      <c r="B382" s="206" t="s">
        <v>289</v>
      </c>
      <c r="C382" s="206"/>
      <c r="D382" s="210">
        <f>ROUND((C22+C56*2+C64*2+C112+C133*2+C139*2)/0.3,0)+2</f>
        <v>202</v>
      </c>
      <c r="E382" s="207" t="s">
        <v>285</v>
      </c>
      <c r="F382" s="206"/>
      <c r="G382" s="206"/>
      <c r="H382" s="241">
        <v>0.3</v>
      </c>
      <c r="I382" s="207">
        <f t="shared" ref="I382:I387" si="59">H382*D382</f>
        <v>60.599999999999994</v>
      </c>
      <c r="J382" s="102"/>
      <c r="K382" s="102"/>
      <c r="L382" s="102"/>
      <c r="M382" s="102"/>
      <c r="N382" s="102"/>
      <c r="O382" s="286">
        <v>8</v>
      </c>
      <c r="P382" s="302" t="s">
        <v>296</v>
      </c>
      <c r="Q382" s="302"/>
      <c r="R382" s="286" t="s">
        <v>273</v>
      </c>
      <c r="S382" s="303">
        <f>E303</f>
        <v>1</v>
      </c>
      <c r="T382" s="304">
        <f>材料价格!B20</f>
        <v>335</v>
      </c>
      <c r="U382" s="305">
        <f t="shared" si="58"/>
        <v>335</v>
      </c>
      <c r="V382" s="306"/>
    </row>
    <row r="383" spans="2:22" ht="20.100000000000001" customHeight="1">
      <c r="B383" s="206" t="s">
        <v>381</v>
      </c>
      <c r="C383" s="206" t="s">
        <v>389</v>
      </c>
      <c r="D383" s="211">
        <f>C22+C31+C38+C56*2+C64*2+C112+C119+C126+C133*2</f>
        <v>72.603999999999999</v>
      </c>
      <c r="E383" s="207" t="s">
        <v>285</v>
      </c>
      <c r="F383" s="206" t="s">
        <v>380</v>
      </c>
      <c r="G383" s="206"/>
      <c r="H383" s="241">
        <v>2.81</v>
      </c>
      <c r="I383" s="207">
        <f>H383*D383</f>
        <v>204.01724000000002</v>
      </c>
      <c r="J383" s="102"/>
      <c r="K383" s="102"/>
      <c r="L383" s="102"/>
      <c r="M383" s="102"/>
      <c r="N383" s="102"/>
      <c r="O383" s="286">
        <v>9</v>
      </c>
      <c r="P383" s="302" t="s">
        <v>617</v>
      </c>
      <c r="Q383" s="302"/>
      <c r="R383" s="286" t="s">
        <v>618</v>
      </c>
      <c r="S383" s="296">
        <v>1</v>
      </c>
      <c r="T383" s="304">
        <f>H363-H358+H350+H318+H315+H314</f>
        <v>2435.3592000000003</v>
      </c>
      <c r="U383" s="305">
        <f t="shared" si="58"/>
        <v>2435.3592000000003</v>
      </c>
      <c r="V383" s="306"/>
    </row>
    <row r="384" spans="2:22" ht="20.100000000000001" customHeight="1">
      <c r="B384" s="206" t="s">
        <v>390</v>
      </c>
      <c r="C384" s="206" t="s">
        <v>392</v>
      </c>
      <c r="D384" s="211">
        <f>C22+C88+C112+C163</f>
        <v>91.608000000000004</v>
      </c>
      <c r="E384" s="207" t="s">
        <v>285</v>
      </c>
      <c r="F384" s="206" t="s">
        <v>394</v>
      </c>
      <c r="G384" s="206"/>
      <c r="H384" s="241">
        <v>3.27</v>
      </c>
      <c r="I384" s="207">
        <f t="shared" ref="I384" si="60">H384*D384</f>
        <v>299.55815999999999</v>
      </c>
      <c r="J384" s="102"/>
      <c r="K384" s="102"/>
      <c r="L384" s="102"/>
      <c r="M384" s="102"/>
      <c r="N384" s="102"/>
      <c r="O384" s="297" t="s">
        <v>306</v>
      </c>
      <c r="P384" s="308" t="s">
        <v>314</v>
      </c>
      <c r="Q384" s="298"/>
      <c r="R384" s="286"/>
      <c r="S384" s="296"/>
      <c r="T384" s="309"/>
      <c r="U384" s="301">
        <f>SUM(U385:U386)</f>
        <v>4712</v>
      </c>
      <c r="V384" s="286"/>
    </row>
    <row r="385" spans="2:22" ht="20.100000000000001" customHeight="1">
      <c r="B385" s="206" t="s">
        <v>391</v>
      </c>
      <c r="C385" s="206" t="s">
        <v>393</v>
      </c>
      <c r="D385" s="211">
        <f>(C97+C104+C119+C126)*2</f>
        <v>39.607999999999997</v>
      </c>
      <c r="E385" s="207" t="s">
        <v>285</v>
      </c>
      <c r="F385" s="206" t="s">
        <v>395</v>
      </c>
      <c r="G385" s="206"/>
      <c r="H385" s="241">
        <v>1.74</v>
      </c>
      <c r="I385" s="207">
        <f t="shared" si="59"/>
        <v>68.917919999999995</v>
      </c>
      <c r="J385" s="102"/>
      <c r="K385" s="102"/>
      <c r="L385" s="102"/>
      <c r="M385" s="102"/>
      <c r="N385" s="102"/>
      <c r="O385" s="286">
        <v>1</v>
      </c>
      <c r="P385" s="307" t="s">
        <v>619</v>
      </c>
      <c r="Q385" s="307"/>
      <c r="R385" s="300" t="s">
        <v>312</v>
      </c>
      <c r="S385" s="296">
        <f>V372</f>
        <v>29.45</v>
      </c>
      <c r="T385" s="310">
        <v>60</v>
      </c>
      <c r="U385" s="305">
        <f>T385*S385</f>
        <v>1767</v>
      </c>
      <c r="V385" s="286"/>
    </row>
    <row r="386" spans="2:22" ht="20.100000000000001" customHeight="1">
      <c r="B386" s="208" t="s">
        <v>382</v>
      </c>
      <c r="C386" s="206" t="s">
        <v>291</v>
      </c>
      <c r="D386" s="211">
        <f>D338+D339+D341</f>
        <v>10</v>
      </c>
      <c r="E386" s="207" t="s">
        <v>285</v>
      </c>
      <c r="F386" s="206"/>
      <c r="G386" s="206"/>
      <c r="H386" s="241">
        <v>0.56999999999999995</v>
      </c>
      <c r="I386" s="207">
        <f>H386*D386</f>
        <v>5.6999999999999993</v>
      </c>
      <c r="J386" s="102"/>
      <c r="K386" s="102"/>
      <c r="L386" s="102"/>
      <c r="M386" s="102"/>
      <c r="N386" s="102"/>
      <c r="O386" s="286">
        <v>2</v>
      </c>
      <c r="P386" s="307" t="s">
        <v>288</v>
      </c>
      <c r="Q386" s="307"/>
      <c r="R386" s="300" t="s">
        <v>312</v>
      </c>
      <c r="S386" s="296">
        <f>V372</f>
        <v>29.45</v>
      </c>
      <c r="T386" s="310">
        <v>100</v>
      </c>
      <c r="U386" s="305">
        <f>T386*S386</f>
        <v>2945</v>
      </c>
      <c r="V386" s="286"/>
    </row>
    <row r="387" spans="2:22" ht="20.100000000000001" customHeight="1">
      <c r="B387" s="206" t="s">
        <v>292</v>
      </c>
      <c r="C387" s="206"/>
      <c r="D387" s="211">
        <f>H366</f>
        <v>28.6464</v>
      </c>
      <c r="E387" s="207" t="s">
        <v>285</v>
      </c>
      <c r="F387" s="206"/>
      <c r="G387" s="206"/>
      <c r="H387" s="241">
        <v>20</v>
      </c>
      <c r="I387" s="207">
        <f t="shared" si="59"/>
        <v>572.928</v>
      </c>
      <c r="J387" s="102"/>
      <c r="K387" s="102"/>
      <c r="L387" s="102"/>
      <c r="M387" s="102"/>
      <c r="N387" s="102"/>
      <c r="O387" s="297" t="s">
        <v>307</v>
      </c>
      <c r="P387" s="308" t="s">
        <v>290</v>
      </c>
      <c r="Q387" s="298"/>
      <c r="R387" s="286"/>
      <c r="S387" s="296"/>
      <c r="T387" s="309"/>
      <c r="U387" s="301">
        <f>SUM(U388)</f>
        <v>589</v>
      </c>
      <c r="V387" s="286"/>
    </row>
    <row r="388" spans="2:22" ht="20.100000000000001" customHeight="1">
      <c r="B388" s="212" t="s">
        <v>4</v>
      </c>
      <c r="C388" s="213"/>
      <c r="D388" s="212"/>
      <c r="E388" s="212"/>
      <c r="F388" s="212"/>
      <c r="G388" s="212"/>
      <c r="H388" s="212"/>
      <c r="I388" s="213">
        <f>SUM(I380:I387)</f>
        <v>1225.7213200000001</v>
      </c>
      <c r="J388" s="242"/>
      <c r="K388" s="102"/>
      <c r="L388" s="102"/>
      <c r="M388" s="102"/>
      <c r="N388" s="102"/>
      <c r="O388" s="286">
        <v>1</v>
      </c>
      <c r="P388" s="307" t="s">
        <v>290</v>
      </c>
      <c r="Q388" s="307"/>
      <c r="R388" s="300" t="s">
        <v>312</v>
      </c>
      <c r="S388" s="296">
        <f>V372</f>
        <v>29.45</v>
      </c>
      <c r="T388" s="310">
        <v>20</v>
      </c>
      <c r="U388" s="305">
        <f>T388*S388</f>
        <v>589</v>
      </c>
      <c r="V388" s="286"/>
    </row>
    <row r="389" spans="2:22" ht="20.100000000000001" customHeight="1">
      <c r="J389" s="102"/>
      <c r="K389" s="102"/>
      <c r="L389" s="102"/>
      <c r="M389" s="102"/>
      <c r="N389" s="102"/>
      <c r="O389" s="286" t="s">
        <v>308</v>
      </c>
      <c r="P389" s="618" t="s">
        <v>620</v>
      </c>
      <c r="Q389" s="619"/>
      <c r="R389" s="620"/>
      <c r="S389" s="621"/>
      <c r="T389" s="622"/>
      <c r="U389" s="301">
        <f>U374+U384+U387</f>
        <v>22843.475613201001</v>
      </c>
      <c r="V389" s="286"/>
    </row>
    <row r="390" spans="2:22" ht="20.100000000000001" customHeight="1">
      <c r="J390" s="102"/>
      <c r="K390" s="102"/>
      <c r="L390" s="102"/>
      <c r="M390" s="102"/>
      <c r="N390" s="102"/>
      <c r="O390" s="286" t="s">
        <v>309</v>
      </c>
      <c r="P390" s="618" t="s">
        <v>621</v>
      </c>
      <c r="Q390" s="619"/>
      <c r="R390" s="626">
        <v>0.2</v>
      </c>
      <c r="S390" s="627"/>
      <c r="T390" s="628"/>
      <c r="U390" s="301">
        <f>U389*R390</f>
        <v>4568.6951226402007</v>
      </c>
      <c r="V390" s="286"/>
    </row>
    <row r="391" spans="2:22" ht="20.100000000000001" customHeight="1">
      <c r="J391" s="102"/>
      <c r="K391" s="102"/>
      <c r="L391" s="102"/>
      <c r="M391" s="102"/>
      <c r="N391" s="102"/>
      <c r="O391" s="286" t="s">
        <v>310</v>
      </c>
      <c r="P391" s="618" t="s">
        <v>622</v>
      </c>
      <c r="Q391" s="619"/>
      <c r="R391" s="620"/>
      <c r="S391" s="621"/>
      <c r="T391" s="622"/>
      <c r="U391" s="301">
        <f>U389+U390</f>
        <v>27412.170735841202</v>
      </c>
      <c r="V391" s="286"/>
    </row>
    <row r="392" spans="2:22" ht="30" customHeight="1">
      <c r="L392" s="102"/>
      <c r="M392" s="102"/>
      <c r="N392" s="102"/>
      <c r="O392" s="297" t="s">
        <v>311</v>
      </c>
      <c r="P392" s="618" t="s">
        <v>623</v>
      </c>
      <c r="Q392" s="619"/>
      <c r="R392" s="620"/>
      <c r="S392" s="621"/>
      <c r="T392" s="622"/>
      <c r="U392" s="301">
        <f>U391/V372</f>
        <v>930.80376013043133</v>
      </c>
      <c r="V392" s="286" t="s">
        <v>624</v>
      </c>
    </row>
    <row r="393" spans="2:22" ht="45" customHeight="1">
      <c r="L393" s="102"/>
      <c r="M393" s="102"/>
      <c r="N393" s="102"/>
      <c r="O393" s="623" t="s">
        <v>625</v>
      </c>
      <c r="P393" s="623"/>
      <c r="Q393" s="623"/>
      <c r="R393" s="623"/>
      <c r="S393" s="623"/>
      <c r="T393" s="623"/>
      <c r="U393" s="623"/>
      <c r="V393" s="623"/>
    </row>
    <row r="394" spans="2:22" ht="18" customHeight="1">
      <c r="L394" s="102"/>
      <c r="M394" s="102"/>
      <c r="N394" s="102"/>
      <c r="O394" s="102"/>
      <c r="P394" s="102"/>
    </row>
    <row r="395" spans="2:22">
      <c r="L395" s="102"/>
      <c r="M395" s="102"/>
      <c r="N395" s="102"/>
      <c r="O395" s="102"/>
      <c r="P395" s="102"/>
    </row>
    <row r="396" spans="2:22">
      <c r="L396" s="102"/>
      <c r="M396" s="102"/>
      <c r="N396" s="102"/>
      <c r="O396" s="102"/>
      <c r="P396" s="102"/>
    </row>
    <row r="397" spans="2:22">
      <c r="L397" s="102"/>
      <c r="M397" s="102"/>
      <c r="N397" s="102"/>
      <c r="O397" s="102"/>
      <c r="P397" s="102"/>
    </row>
    <row r="398" spans="2:22">
      <c r="L398" s="102"/>
      <c r="M398" s="102"/>
      <c r="N398" s="102"/>
      <c r="O398" s="102"/>
      <c r="P398" s="102"/>
    </row>
    <row r="399" spans="2:22">
      <c r="L399" s="102"/>
      <c r="M399" s="102"/>
      <c r="N399" s="102"/>
      <c r="O399" s="102"/>
      <c r="P399" s="102"/>
    </row>
    <row r="400" spans="2:22">
      <c r="L400" s="102"/>
      <c r="M400" s="102"/>
      <c r="N400" s="102"/>
      <c r="O400" s="102"/>
      <c r="P400" s="102"/>
    </row>
    <row r="401" spans="12:16">
      <c r="L401" s="102"/>
      <c r="M401" s="102"/>
      <c r="N401" s="102"/>
      <c r="O401" s="102"/>
      <c r="P401" s="102"/>
    </row>
    <row r="402" spans="12:16">
      <c r="L402" s="102"/>
      <c r="M402" s="102"/>
      <c r="N402" s="102"/>
      <c r="O402" s="102"/>
      <c r="P402" s="102"/>
    </row>
    <row r="403" spans="12:16">
      <c r="L403" s="102"/>
      <c r="M403" s="102"/>
      <c r="N403" s="102"/>
      <c r="O403" s="102"/>
      <c r="P403" s="102"/>
    </row>
    <row r="404" spans="12:16">
      <c r="L404" s="102"/>
      <c r="M404" s="102"/>
      <c r="N404" s="102"/>
      <c r="O404" s="102"/>
      <c r="P404" s="102"/>
    </row>
    <row r="405" spans="12:16">
      <c r="L405" s="102"/>
      <c r="M405" s="102"/>
      <c r="N405" s="102"/>
      <c r="O405" s="102"/>
      <c r="P405" s="102"/>
    </row>
    <row r="406" spans="12:16">
      <c r="L406" s="102"/>
      <c r="M406" s="102"/>
      <c r="N406" s="102"/>
      <c r="O406" s="102"/>
      <c r="P406" s="102"/>
    </row>
    <row r="407" spans="12:16">
      <c r="L407" s="102"/>
      <c r="M407" s="102"/>
      <c r="N407" s="102"/>
      <c r="O407" s="102"/>
      <c r="P407" s="102"/>
    </row>
    <row r="408" spans="12:16">
      <c r="L408" s="102"/>
      <c r="M408" s="102"/>
      <c r="N408" s="102"/>
      <c r="O408" s="102"/>
      <c r="P408" s="102"/>
    </row>
    <row r="409" spans="12:16">
      <c r="L409" s="102"/>
      <c r="M409" s="102"/>
      <c r="N409" s="102"/>
      <c r="O409" s="102"/>
      <c r="P409" s="102"/>
    </row>
    <row r="410" spans="12:16">
      <c r="L410" s="102"/>
      <c r="M410" s="102"/>
      <c r="N410" s="102"/>
      <c r="O410" s="102"/>
      <c r="P410" s="102"/>
    </row>
    <row r="411" spans="12:16">
      <c r="L411" s="102"/>
      <c r="M411" s="102"/>
      <c r="N411" s="102"/>
      <c r="O411" s="102"/>
      <c r="P411" s="102"/>
    </row>
    <row r="412" spans="12:16">
      <c r="L412" s="102"/>
      <c r="M412" s="102"/>
      <c r="N412" s="102"/>
      <c r="O412" s="102"/>
      <c r="P412" s="102"/>
    </row>
    <row r="413" spans="12:16">
      <c r="L413" s="102"/>
      <c r="M413" s="102"/>
      <c r="N413" s="102"/>
      <c r="O413" s="102"/>
      <c r="P413" s="102"/>
    </row>
    <row r="414" spans="12:16">
      <c r="L414" s="102"/>
      <c r="M414" s="102"/>
      <c r="N414" s="102"/>
      <c r="O414" s="102"/>
      <c r="P414" s="102"/>
    </row>
    <row r="415" spans="12:16">
      <c r="L415" s="102"/>
      <c r="M415" s="102"/>
      <c r="N415" s="102"/>
      <c r="O415" s="102"/>
      <c r="P415" s="102"/>
    </row>
    <row r="416" spans="12:16">
      <c r="L416" s="102"/>
      <c r="M416" s="102"/>
      <c r="N416" s="102"/>
      <c r="O416" s="102"/>
      <c r="P416" s="102"/>
    </row>
    <row r="417" spans="10:16">
      <c r="L417" s="102"/>
      <c r="M417" s="102"/>
      <c r="N417" s="102"/>
      <c r="O417" s="102"/>
      <c r="P417" s="102"/>
    </row>
    <row r="418" spans="10:16">
      <c r="L418" s="102"/>
      <c r="M418" s="102"/>
      <c r="N418" s="102"/>
      <c r="O418" s="102"/>
      <c r="P418" s="102"/>
    </row>
    <row r="419" spans="10:16">
      <c r="L419" s="102"/>
      <c r="M419" s="102"/>
      <c r="N419" s="102"/>
      <c r="O419" s="102"/>
      <c r="P419" s="102"/>
    </row>
    <row r="420" spans="10:16">
      <c r="L420" s="102"/>
      <c r="M420" s="102"/>
      <c r="N420" s="102"/>
      <c r="O420" s="102"/>
      <c r="P420" s="102"/>
    </row>
    <row r="421" spans="10:16">
      <c r="L421" s="102"/>
      <c r="M421" s="102"/>
      <c r="N421" s="102"/>
      <c r="O421" s="102"/>
      <c r="P421" s="102"/>
    </row>
    <row r="422" spans="10:16">
      <c r="L422" s="102"/>
      <c r="M422" s="102"/>
      <c r="N422" s="102"/>
      <c r="O422" s="102"/>
      <c r="P422" s="102"/>
    </row>
    <row r="423" spans="10:16">
      <c r="L423" s="102"/>
      <c r="M423" s="102"/>
      <c r="N423" s="102"/>
      <c r="O423" s="102"/>
      <c r="P423" s="102"/>
    </row>
    <row r="424" spans="10:16">
      <c r="L424" s="102"/>
      <c r="M424" s="102"/>
      <c r="N424" s="102"/>
      <c r="O424" s="102"/>
      <c r="P424" s="102"/>
    </row>
    <row r="425" spans="10:16">
      <c r="L425" s="102"/>
      <c r="M425" s="102"/>
      <c r="N425" s="102"/>
      <c r="O425" s="102"/>
      <c r="P425" s="102"/>
    </row>
    <row r="426" spans="10:16">
      <c r="L426" s="102"/>
      <c r="M426" s="102"/>
      <c r="N426" s="102"/>
      <c r="O426" s="102"/>
      <c r="P426" s="102"/>
    </row>
    <row r="427" spans="10:16">
      <c r="J427" s="102"/>
      <c r="K427" s="102"/>
      <c r="L427" s="102"/>
      <c r="M427" s="102"/>
      <c r="N427" s="102"/>
      <c r="O427" s="102"/>
      <c r="P427" s="102"/>
    </row>
    <row r="428" spans="10:16">
      <c r="J428" s="102"/>
      <c r="K428" s="102"/>
      <c r="L428" s="102"/>
      <c r="M428" s="102"/>
      <c r="N428" s="102"/>
      <c r="O428" s="102"/>
      <c r="P428" s="102"/>
    </row>
    <row r="429" spans="10:16">
      <c r="J429" s="102"/>
      <c r="K429" s="102"/>
      <c r="L429" s="102"/>
      <c r="M429" s="102"/>
      <c r="N429" s="102"/>
      <c r="O429" s="102"/>
      <c r="P429" s="102"/>
    </row>
    <row r="430" spans="10:16">
      <c r="J430" s="102"/>
      <c r="K430" s="102"/>
      <c r="L430" s="102"/>
      <c r="M430" s="102"/>
      <c r="N430" s="102"/>
      <c r="O430" s="102"/>
      <c r="P430" s="102"/>
    </row>
    <row r="431" spans="10:16">
      <c r="J431" s="102"/>
      <c r="K431" s="102"/>
      <c r="L431" s="102"/>
      <c r="M431" s="102"/>
      <c r="N431" s="102"/>
      <c r="O431" s="102"/>
      <c r="P431" s="102"/>
    </row>
    <row r="432" spans="10:16">
      <c r="J432" s="102"/>
      <c r="K432" s="102"/>
      <c r="L432" s="102"/>
      <c r="M432" s="102"/>
      <c r="N432" s="102"/>
      <c r="O432" s="102"/>
      <c r="P432" s="102"/>
    </row>
    <row r="433" spans="10:16">
      <c r="J433" s="102"/>
      <c r="K433" s="102"/>
      <c r="L433" s="102"/>
      <c r="M433" s="102"/>
      <c r="N433" s="102"/>
      <c r="O433" s="102"/>
      <c r="P433" s="102"/>
    </row>
    <row r="434" spans="10:16">
      <c r="J434" s="102"/>
      <c r="K434" s="102"/>
      <c r="L434" s="102"/>
      <c r="M434" s="102"/>
      <c r="N434" s="102"/>
      <c r="O434" s="102"/>
      <c r="P434" s="102"/>
    </row>
    <row r="435" spans="10:16">
      <c r="J435" s="102"/>
      <c r="K435" s="102"/>
      <c r="L435" s="102"/>
      <c r="M435" s="102"/>
      <c r="N435" s="102"/>
      <c r="O435" s="102"/>
      <c r="P435" s="102"/>
    </row>
    <row r="436" spans="10:16">
      <c r="J436" s="102"/>
      <c r="K436" s="102"/>
      <c r="L436" s="102"/>
      <c r="M436" s="102"/>
      <c r="N436" s="102"/>
      <c r="O436" s="102"/>
      <c r="P436" s="102"/>
    </row>
    <row r="437" spans="10:16">
      <c r="J437" s="102"/>
      <c r="K437" s="102"/>
      <c r="L437" s="102"/>
      <c r="M437" s="102"/>
      <c r="N437" s="102"/>
      <c r="O437" s="102"/>
      <c r="P437" s="102"/>
    </row>
    <row r="438" spans="10:16">
      <c r="J438" s="102"/>
      <c r="K438" s="102"/>
      <c r="L438" s="102"/>
      <c r="M438" s="102"/>
      <c r="N438" s="102"/>
      <c r="O438" s="102"/>
      <c r="P438" s="102"/>
    </row>
    <row r="439" spans="10:16">
      <c r="J439" s="102"/>
      <c r="K439" s="102"/>
      <c r="L439" s="102"/>
      <c r="M439" s="102"/>
      <c r="N439" s="102"/>
      <c r="O439" s="102"/>
      <c r="P439" s="102"/>
    </row>
    <row r="440" spans="10:16">
      <c r="J440" s="102"/>
      <c r="K440" s="102"/>
      <c r="L440" s="102"/>
      <c r="M440" s="102"/>
      <c r="N440" s="102"/>
      <c r="O440" s="102"/>
      <c r="P440" s="102"/>
    </row>
    <row r="441" spans="10:16">
      <c r="J441" s="102"/>
      <c r="K441" s="102"/>
      <c r="L441" s="102"/>
      <c r="M441" s="102"/>
      <c r="N441" s="102"/>
      <c r="O441" s="102"/>
      <c r="P441" s="102"/>
    </row>
    <row r="442" spans="10:16">
      <c r="J442" s="102"/>
      <c r="K442" s="102"/>
      <c r="L442" s="102"/>
      <c r="M442" s="102"/>
      <c r="N442" s="102"/>
      <c r="O442" s="102"/>
      <c r="P442" s="102"/>
    </row>
    <row r="443" spans="10:16">
      <c r="J443" s="102"/>
      <c r="K443" s="102"/>
      <c r="L443" s="102"/>
      <c r="M443" s="102"/>
      <c r="N443" s="102"/>
      <c r="O443" s="102"/>
      <c r="P443" s="102"/>
    </row>
    <row r="444" spans="10:16">
      <c r="J444" s="102"/>
      <c r="K444" s="102"/>
      <c r="L444" s="102"/>
      <c r="M444" s="102"/>
      <c r="N444" s="102"/>
      <c r="O444" s="102"/>
      <c r="P444" s="102"/>
    </row>
    <row r="445" spans="10:16">
      <c r="J445" s="102"/>
      <c r="K445" s="102"/>
      <c r="L445" s="102"/>
      <c r="M445" s="102"/>
      <c r="N445" s="102"/>
      <c r="O445" s="102"/>
      <c r="P445" s="102"/>
    </row>
    <row r="446" spans="10:16">
      <c r="J446" s="102"/>
      <c r="K446" s="102"/>
      <c r="L446" s="102"/>
      <c r="M446" s="102"/>
      <c r="N446" s="102"/>
      <c r="O446" s="102"/>
      <c r="P446" s="102"/>
    </row>
    <row r="447" spans="10:16">
      <c r="J447" s="102"/>
      <c r="K447" s="102"/>
      <c r="L447" s="102"/>
      <c r="M447" s="102"/>
      <c r="N447" s="102"/>
      <c r="O447" s="102"/>
      <c r="P447" s="102"/>
    </row>
    <row r="448" spans="10:16">
      <c r="J448" s="102"/>
      <c r="K448" s="102"/>
      <c r="L448" s="102"/>
      <c r="M448" s="102"/>
      <c r="N448" s="102"/>
      <c r="O448" s="102"/>
      <c r="P448" s="102"/>
    </row>
    <row r="449" spans="10:16">
      <c r="J449" s="102"/>
      <c r="K449" s="102"/>
      <c r="L449" s="102"/>
      <c r="M449" s="102"/>
      <c r="N449" s="102"/>
      <c r="O449" s="102"/>
      <c r="P449" s="102"/>
    </row>
    <row r="450" spans="10:16">
      <c r="J450" s="102"/>
      <c r="K450" s="102"/>
      <c r="L450" s="102"/>
      <c r="M450" s="102"/>
      <c r="N450" s="102"/>
      <c r="O450" s="102"/>
      <c r="P450" s="102"/>
    </row>
    <row r="451" spans="10:16">
      <c r="J451" s="102"/>
      <c r="K451" s="102"/>
      <c r="L451" s="102"/>
      <c r="M451" s="102"/>
      <c r="N451" s="102"/>
      <c r="O451" s="102"/>
      <c r="P451" s="102"/>
    </row>
    <row r="452" spans="10:16">
      <c r="J452" s="102"/>
      <c r="K452" s="102"/>
      <c r="L452" s="102"/>
      <c r="M452" s="102"/>
      <c r="N452" s="102"/>
      <c r="O452" s="102"/>
      <c r="P452" s="102"/>
    </row>
    <row r="453" spans="10:16">
      <c r="J453" s="102"/>
      <c r="K453" s="102"/>
      <c r="L453" s="102"/>
      <c r="M453" s="102"/>
      <c r="N453" s="102"/>
      <c r="O453" s="102"/>
      <c r="P453" s="102"/>
    </row>
    <row r="454" spans="10:16">
      <c r="J454" s="102"/>
      <c r="K454" s="102"/>
      <c r="L454" s="102"/>
      <c r="M454" s="102"/>
      <c r="N454" s="102"/>
      <c r="O454" s="102"/>
      <c r="P454" s="102"/>
    </row>
    <row r="455" spans="10:16">
      <c r="J455" s="102"/>
      <c r="K455" s="102"/>
      <c r="L455" s="102"/>
      <c r="M455" s="102"/>
      <c r="N455" s="102"/>
      <c r="O455" s="102"/>
      <c r="P455" s="102"/>
    </row>
    <row r="456" spans="10:16">
      <c r="J456" s="102"/>
      <c r="K456" s="102"/>
      <c r="L456" s="102"/>
      <c r="M456" s="102"/>
      <c r="N456" s="102"/>
      <c r="O456" s="102"/>
      <c r="P456" s="102"/>
    </row>
    <row r="457" spans="10:16">
      <c r="J457" s="102"/>
      <c r="K457" s="102"/>
      <c r="L457" s="102"/>
      <c r="M457" s="102"/>
      <c r="N457" s="102"/>
      <c r="O457" s="102"/>
      <c r="P457" s="102"/>
    </row>
    <row r="458" spans="10:16">
      <c r="J458" s="102"/>
      <c r="K458" s="102"/>
      <c r="L458" s="102"/>
      <c r="M458" s="102"/>
      <c r="N458" s="102"/>
      <c r="O458" s="102"/>
      <c r="P458" s="102"/>
    </row>
    <row r="459" spans="10:16">
      <c r="J459" s="102"/>
      <c r="K459" s="102"/>
      <c r="L459" s="102"/>
      <c r="M459" s="102"/>
      <c r="N459" s="102"/>
      <c r="O459" s="102"/>
      <c r="P459" s="102"/>
    </row>
    <row r="460" spans="10:16">
      <c r="J460" s="102"/>
      <c r="K460" s="102"/>
      <c r="L460" s="102"/>
      <c r="M460" s="102"/>
      <c r="N460" s="102"/>
      <c r="O460" s="102"/>
      <c r="P460" s="102"/>
    </row>
    <row r="461" spans="10:16">
      <c r="J461" s="102"/>
      <c r="K461" s="102"/>
      <c r="L461" s="102"/>
      <c r="M461" s="102"/>
      <c r="N461" s="102"/>
      <c r="O461" s="102"/>
      <c r="P461" s="102"/>
    </row>
    <row r="462" spans="10:16">
      <c r="J462" s="102"/>
      <c r="K462" s="102"/>
      <c r="L462" s="102"/>
      <c r="M462" s="102"/>
      <c r="N462" s="102"/>
      <c r="O462" s="102"/>
      <c r="P462" s="102"/>
    </row>
    <row r="463" spans="10:16">
      <c r="J463" s="102"/>
      <c r="K463" s="102"/>
      <c r="L463" s="102"/>
      <c r="M463" s="102"/>
      <c r="N463" s="102"/>
      <c r="O463" s="102"/>
      <c r="P463" s="102"/>
    </row>
    <row r="464" spans="10:16">
      <c r="J464" s="102"/>
      <c r="K464" s="102"/>
      <c r="L464" s="102"/>
      <c r="M464" s="102"/>
      <c r="N464" s="102"/>
      <c r="O464" s="102"/>
      <c r="P464" s="102"/>
    </row>
  </sheetData>
  <mergeCells count="95">
    <mergeCell ref="O393:V393"/>
    <mergeCell ref="P390:Q390"/>
    <mergeCell ref="R390:T390"/>
    <mergeCell ref="P391:Q391"/>
    <mergeCell ref="R391:T391"/>
    <mergeCell ref="P392:Q392"/>
    <mergeCell ref="R392:T392"/>
    <mergeCell ref="P370:Q370"/>
    <mergeCell ref="O371:O372"/>
    <mergeCell ref="P371:T372"/>
    <mergeCell ref="B378:I378"/>
    <mergeCell ref="P389:Q389"/>
    <mergeCell ref="R389:T389"/>
    <mergeCell ref="O369:V369"/>
    <mergeCell ref="F211:F212"/>
    <mergeCell ref="F213:F214"/>
    <mergeCell ref="B291:B292"/>
    <mergeCell ref="B294:B295"/>
    <mergeCell ref="I294:I295"/>
    <mergeCell ref="B296:B297"/>
    <mergeCell ref="I296:I297"/>
    <mergeCell ref="B298:B299"/>
    <mergeCell ref="I298:I299"/>
    <mergeCell ref="B300:B301"/>
    <mergeCell ref="B302:B303"/>
    <mergeCell ref="O368:V368"/>
    <mergeCell ref="F209:F210"/>
    <mergeCell ref="B188:B190"/>
    <mergeCell ref="C188:C190"/>
    <mergeCell ref="D194:F194"/>
    <mergeCell ref="B195:B196"/>
    <mergeCell ref="C195:C196"/>
    <mergeCell ref="D195:F195"/>
    <mergeCell ref="D196:F196"/>
    <mergeCell ref="B197:B198"/>
    <mergeCell ref="C197:C198"/>
    <mergeCell ref="D197:F197"/>
    <mergeCell ref="D198:F198"/>
    <mergeCell ref="F203:F204"/>
    <mergeCell ref="B167:B169"/>
    <mergeCell ref="C167:C169"/>
    <mergeCell ref="B174:B176"/>
    <mergeCell ref="C174:C176"/>
    <mergeCell ref="B181:B183"/>
    <mergeCell ref="C181:C183"/>
    <mergeCell ref="B143:B145"/>
    <mergeCell ref="C143:C145"/>
    <mergeCell ref="B150:B152"/>
    <mergeCell ref="C150:C152"/>
    <mergeCell ref="B157:B162"/>
    <mergeCell ref="C157:C162"/>
    <mergeCell ref="B137:B138"/>
    <mergeCell ref="C137:C138"/>
    <mergeCell ref="D137:F137"/>
    <mergeCell ref="D138:F138"/>
    <mergeCell ref="B101:B103"/>
    <mergeCell ref="C101:C103"/>
    <mergeCell ref="B108:B111"/>
    <mergeCell ref="C108:C111"/>
    <mergeCell ref="B116:B118"/>
    <mergeCell ref="C116:C118"/>
    <mergeCell ref="B123:B125"/>
    <mergeCell ref="C123:C125"/>
    <mergeCell ref="B130:B132"/>
    <mergeCell ref="C130:C132"/>
    <mergeCell ref="D136:F136"/>
    <mergeCell ref="B68:B87"/>
    <mergeCell ref="C68:C74"/>
    <mergeCell ref="C75:C81"/>
    <mergeCell ref="C82:C87"/>
    <mergeCell ref="B92:B96"/>
    <mergeCell ref="C92:C96"/>
    <mergeCell ref="B52:B55"/>
    <mergeCell ref="C52:C55"/>
    <mergeCell ref="D59:F59"/>
    <mergeCell ref="B60:B63"/>
    <mergeCell ref="C60:C61"/>
    <mergeCell ref="D60:F60"/>
    <mergeCell ref="D61:F61"/>
    <mergeCell ref="C62:C63"/>
    <mergeCell ref="D62:F62"/>
    <mergeCell ref="D63:F63"/>
    <mergeCell ref="B26:B30"/>
    <mergeCell ref="C26:C30"/>
    <mergeCell ref="B35:B37"/>
    <mergeCell ref="C35:C37"/>
    <mergeCell ref="B42:B47"/>
    <mergeCell ref="C42:C44"/>
    <mergeCell ref="C45:C47"/>
    <mergeCell ref="F2:H2"/>
    <mergeCell ref="I2:I6"/>
    <mergeCell ref="J2:M2"/>
    <mergeCell ref="B4:B6"/>
    <mergeCell ref="B14:B21"/>
    <mergeCell ref="C14:C21"/>
  </mergeCells>
  <phoneticPr fontId="5" type="noConversion"/>
  <pageMargins left="0.19685039370078741" right="0.19685039370078741" top="0.74803149606299213" bottom="0.74803149606299213" header="0.31496062992125984" footer="0.31496062992125984"/>
  <pageSetup paperSize="9" scale="78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4C6F8-BCBC-4557-A427-C3199363FBD1}">
  <sheetPr>
    <tabColor rgb="FF7030A0"/>
    <pageSetUpPr fitToPage="1"/>
  </sheetPr>
  <dimension ref="A1:V464"/>
  <sheetViews>
    <sheetView showZeros="0" zoomScaleNormal="100" workbookViewId="0">
      <selection activeCell="G306" sqref="G306"/>
    </sheetView>
  </sheetViews>
  <sheetFormatPr defaultColWidth="25.25" defaultRowHeight="13.5"/>
  <cols>
    <col min="1" max="1" width="0.5" style="1" customWidth="1"/>
    <col min="2" max="2" width="25.25" style="102" customWidth="1"/>
    <col min="3" max="3" width="14.75" style="102" customWidth="1"/>
    <col min="4" max="4" width="11.5" style="102" customWidth="1"/>
    <col min="5" max="5" width="11.25" style="102" customWidth="1"/>
    <col min="6" max="6" width="12.25" style="102" customWidth="1"/>
    <col min="7" max="7" width="10" style="102" customWidth="1"/>
    <col min="8" max="8" width="9.875" style="102" customWidth="1"/>
    <col min="9" max="9" width="26.875" style="102" customWidth="1"/>
    <col min="10" max="10" width="11.125" style="43" customWidth="1"/>
    <col min="11" max="11" width="7.875" style="43" customWidth="1"/>
    <col min="12" max="12" width="7.25" style="43" customWidth="1"/>
    <col min="13" max="13" width="9.125" style="43" customWidth="1"/>
    <col min="14" max="14" width="15.125" style="255" customWidth="1"/>
    <col min="15" max="15" width="13.125" style="255" customWidth="1"/>
    <col min="16" max="16" width="24.375" style="255" customWidth="1"/>
    <col min="17" max="17" width="13.75" style="255" customWidth="1"/>
    <col min="18" max="18" width="11.25" style="255" customWidth="1"/>
    <col min="19" max="19" width="10.75" style="255" customWidth="1"/>
    <col min="20" max="20" width="10" style="255" customWidth="1"/>
    <col min="21" max="21" width="9.875" style="255" customWidth="1"/>
    <col min="22" max="22" width="26.125" style="255" customWidth="1"/>
    <col min="23" max="23" width="11.125" style="255" customWidth="1"/>
    <col min="24" max="24" width="7.875" style="255" customWidth="1"/>
    <col min="25" max="25" width="7.25" style="255" customWidth="1"/>
    <col min="26" max="26" width="9.125" style="255" customWidth="1"/>
    <col min="27" max="27" width="15.125" style="255" customWidth="1"/>
    <col min="28" max="28" width="7.75" style="255" customWidth="1"/>
    <col min="29" max="29" width="7.125" style="255" customWidth="1"/>
    <col min="30" max="30" width="12.125" style="255" customWidth="1"/>
    <col min="31" max="31" width="8.25" style="255" customWidth="1"/>
    <col min="32" max="33" width="10.375" style="255" customWidth="1"/>
    <col min="34" max="34" width="15.625" style="255" customWidth="1"/>
    <col min="35" max="35" width="15.875" style="255" customWidth="1"/>
    <col min="36" max="36" width="8.125" style="255" customWidth="1"/>
    <col min="37" max="40" width="10.375" style="255" customWidth="1"/>
    <col min="41" max="41" width="7.25" style="255" customWidth="1"/>
    <col min="42" max="42" width="7.125" style="255" customWidth="1"/>
    <col min="43" max="43" width="9.5" style="255" customWidth="1"/>
    <col min="44" max="45" width="9" style="255" customWidth="1"/>
    <col min="46" max="46" width="16.125" style="255" customWidth="1"/>
    <col min="47" max="77" width="9" style="255" customWidth="1"/>
    <col min="78" max="237" width="25.25" style="255"/>
    <col min="238" max="267" width="9" style="255" customWidth="1"/>
    <col min="268" max="268" width="0.5" style="255" customWidth="1"/>
    <col min="269" max="269" width="25.25" style="255"/>
    <col min="270" max="270" width="0.5" style="255" customWidth="1"/>
    <col min="271" max="271" width="25.25" style="255"/>
    <col min="272" max="272" width="14.75" style="255" customWidth="1"/>
    <col min="273" max="273" width="11.5" style="255" customWidth="1"/>
    <col min="274" max="274" width="11.25" style="255" customWidth="1"/>
    <col min="275" max="275" width="10.75" style="255" customWidth="1"/>
    <col min="276" max="276" width="10" style="255" customWidth="1"/>
    <col min="277" max="277" width="9.875" style="255" customWidth="1"/>
    <col min="278" max="278" width="26.125" style="255" customWidth="1"/>
    <col min="279" max="279" width="11.125" style="255" customWidth="1"/>
    <col min="280" max="280" width="7.875" style="255" customWidth="1"/>
    <col min="281" max="281" width="7.25" style="255" customWidth="1"/>
    <col min="282" max="282" width="9.125" style="255" customWidth="1"/>
    <col min="283" max="283" width="15.125" style="255" customWidth="1"/>
    <col min="284" max="284" width="7.75" style="255" customWidth="1"/>
    <col min="285" max="285" width="7.125" style="255" customWidth="1"/>
    <col min="286" max="286" width="12.125" style="255" customWidth="1"/>
    <col min="287" max="287" width="8.25" style="255" customWidth="1"/>
    <col min="288" max="289" width="10.375" style="255" customWidth="1"/>
    <col min="290" max="290" width="15.625" style="255" customWidth="1"/>
    <col min="291" max="291" width="15.875" style="255" customWidth="1"/>
    <col min="292" max="292" width="8.125" style="255" customWidth="1"/>
    <col min="293" max="296" width="10.375" style="255" customWidth="1"/>
    <col min="297" max="297" width="7.25" style="255" customWidth="1"/>
    <col min="298" max="298" width="7.125" style="255" customWidth="1"/>
    <col min="299" max="299" width="9.5" style="255" customWidth="1"/>
    <col min="300" max="301" width="9" style="255" customWidth="1"/>
    <col min="302" max="302" width="16.125" style="255" customWidth="1"/>
    <col min="303" max="333" width="9" style="255" customWidth="1"/>
    <col min="334" max="493" width="25.25" style="255"/>
    <col min="494" max="523" width="9" style="255" customWidth="1"/>
    <col min="524" max="524" width="0.5" style="255" customWidth="1"/>
    <col min="525" max="525" width="25.25" style="255"/>
    <col min="526" max="526" width="0.5" style="255" customWidth="1"/>
    <col min="527" max="527" width="25.25" style="255"/>
    <col min="528" max="528" width="14.75" style="255" customWidth="1"/>
    <col min="529" max="529" width="11.5" style="255" customWidth="1"/>
    <col min="530" max="530" width="11.25" style="255" customWidth="1"/>
    <col min="531" max="531" width="10.75" style="255" customWidth="1"/>
    <col min="532" max="532" width="10" style="255" customWidth="1"/>
    <col min="533" max="533" width="9.875" style="255" customWidth="1"/>
    <col min="534" max="534" width="26.125" style="255" customWidth="1"/>
    <col min="535" max="535" width="11.125" style="255" customWidth="1"/>
    <col min="536" max="536" width="7.875" style="255" customWidth="1"/>
    <col min="537" max="537" width="7.25" style="255" customWidth="1"/>
    <col min="538" max="538" width="9.125" style="255" customWidth="1"/>
    <col min="539" max="539" width="15.125" style="255" customWidth="1"/>
    <col min="540" max="540" width="7.75" style="255" customWidth="1"/>
    <col min="541" max="541" width="7.125" style="255" customWidth="1"/>
    <col min="542" max="542" width="12.125" style="255" customWidth="1"/>
    <col min="543" max="543" width="8.25" style="255" customWidth="1"/>
    <col min="544" max="545" width="10.375" style="255" customWidth="1"/>
    <col min="546" max="546" width="15.625" style="255" customWidth="1"/>
    <col min="547" max="547" width="15.875" style="255" customWidth="1"/>
    <col min="548" max="548" width="8.125" style="255" customWidth="1"/>
    <col min="549" max="552" width="10.375" style="255" customWidth="1"/>
    <col min="553" max="553" width="7.25" style="255" customWidth="1"/>
    <col min="554" max="554" width="7.125" style="255" customWidth="1"/>
    <col min="555" max="555" width="9.5" style="255" customWidth="1"/>
    <col min="556" max="557" width="9" style="255" customWidth="1"/>
    <col min="558" max="558" width="16.125" style="255" customWidth="1"/>
    <col min="559" max="589" width="9" style="255" customWidth="1"/>
    <col min="590" max="749" width="25.25" style="255"/>
    <col min="750" max="779" width="9" style="255" customWidth="1"/>
    <col min="780" max="780" width="0.5" style="255" customWidth="1"/>
    <col min="781" max="781" width="25.25" style="255"/>
    <col min="782" max="782" width="0.5" style="255" customWidth="1"/>
    <col min="783" max="783" width="25.25" style="255"/>
    <col min="784" max="784" width="14.75" style="255" customWidth="1"/>
    <col min="785" max="785" width="11.5" style="255" customWidth="1"/>
    <col min="786" max="786" width="11.25" style="255" customWidth="1"/>
    <col min="787" max="787" width="10.75" style="255" customWidth="1"/>
    <col min="788" max="788" width="10" style="255" customWidth="1"/>
    <col min="789" max="789" width="9.875" style="255" customWidth="1"/>
    <col min="790" max="790" width="26.125" style="255" customWidth="1"/>
    <col min="791" max="791" width="11.125" style="255" customWidth="1"/>
    <col min="792" max="792" width="7.875" style="255" customWidth="1"/>
    <col min="793" max="793" width="7.25" style="255" customWidth="1"/>
    <col min="794" max="794" width="9.125" style="255" customWidth="1"/>
    <col min="795" max="795" width="15.125" style="255" customWidth="1"/>
    <col min="796" max="796" width="7.75" style="255" customWidth="1"/>
    <col min="797" max="797" width="7.125" style="255" customWidth="1"/>
    <col min="798" max="798" width="12.125" style="255" customWidth="1"/>
    <col min="799" max="799" width="8.25" style="255" customWidth="1"/>
    <col min="800" max="801" width="10.375" style="255" customWidth="1"/>
    <col min="802" max="802" width="15.625" style="255" customWidth="1"/>
    <col min="803" max="803" width="15.875" style="255" customWidth="1"/>
    <col min="804" max="804" width="8.125" style="255" customWidth="1"/>
    <col min="805" max="808" width="10.375" style="255" customWidth="1"/>
    <col min="809" max="809" width="7.25" style="255" customWidth="1"/>
    <col min="810" max="810" width="7.125" style="255" customWidth="1"/>
    <col min="811" max="811" width="9.5" style="255" customWidth="1"/>
    <col min="812" max="813" width="9" style="255" customWidth="1"/>
    <col min="814" max="814" width="16.125" style="255" customWidth="1"/>
    <col min="815" max="845" width="9" style="255" customWidth="1"/>
    <col min="846" max="1005" width="25.25" style="255"/>
    <col min="1006" max="1035" width="9" style="255" customWidth="1"/>
    <col min="1036" max="1036" width="0.5" style="255" customWidth="1"/>
    <col min="1037" max="1037" width="25.25" style="255"/>
    <col min="1038" max="1038" width="0.5" style="255" customWidth="1"/>
    <col min="1039" max="1039" width="25.25" style="255"/>
    <col min="1040" max="1040" width="14.75" style="255" customWidth="1"/>
    <col min="1041" max="1041" width="11.5" style="255" customWidth="1"/>
    <col min="1042" max="1042" width="11.25" style="255" customWidth="1"/>
    <col min="1043" max="1043" width="10.75" style="255" customWidth="1"/>
    <col min="1044" max="1044" width="10" style="255" customWidth="1"/>
    <col min="1045" max="1045" width="9.875" style="255" customWidth="1"/>
    <col min="1046" max="1046" width="26.125" style="255" customWidth="1"/>
    <col min="1047" max="1047" width="11.125" style="255" customWidth="1"/>
    <col min="1048" max="1048" width="7.875" style="255" customWidth="1"/>
    <col min="1049" max="1049" width="7.25" style="255" customWidth="1"/>
    <col min="1050" max="1050" width="9.125" style="255" customWidth="1"/>
    <col min="1051" max="1051" width="15.125" style="255" customWidth="1"/>
    <col min="1052" max="1052" width="7.75" style="255" customWidth="1"/>
    <col min="1053" max="1053" width="7.125" style="255" customWidth="1"/>
    <col min="1054" max="1054" width="12.125" style="255" customWidth="1"/>
    <col min="1055" max="1055" width="8.25" style="255" customWidth="1"/>
    <col min="1056" max="1057" width="10.375" style="255" customWidth="1"/>
    <col min="1058" max="1058" width="15.625" style="255" customWidth="1"/>
    <col min="1059" max="1059" width="15.875" style="255" customWidth="1"/>
    <col min="1060" max="1060" width="8.125" style="255" customWidth="1"/>
    <col min="1061" max="1064" width="10.375" style="255" customWidth="1"/>
    <col min="1065" max="1065" width="7.25" style="255" customWidth="1"/>
    <col min="1066" max="1066" width="7.125" style="255" customWidth="1"/>
    <col min="1067" max="1067" width="9.5" style="255" customWidth="1"/>
    <col min="1068" max="1069" width="9" style="255" customWidth="1"/>
    <col min="1070" max="1070" width="16.125" style="255" customWidth="1"/>
    <col min="1071" max="1101" width="9" style="255" customWidth="1"/>
    <col min="1102" max="1261" width="25.25" style="255"/>
    <col min="1262" max="1291" width="9" style="255" customWidth="1"/>
    <col min="1292" max="1292" width="0.5" style="255" customWidth="1"/>
    <col min="1293" max="1293" width="25.25" style="255"/>
    <col min="1294" max="1294" width="0.5" style="255" customWidth="1"/>
    <col min="1295" max="1295" width="25.25" style="255"/>
    <col min="1296" max="1296" width="14.75" style="255" customWidth="1"/>
    <col min="1297" max="1297" width="11.5" style="255" customWidth="1"/>
    <col min="1298" max="1298" width="11.25" style="255" customWidth="1"/>
    <col min="1299" max="1299" width="10.75" style="255" customWidth="1"/>
    <col min="1300" max="1300" width="10" style="255" customWidth="1"/>
    <col min="1301" max="1301" width="9.875" style="255" customWidth="1"/>
    <col min="1302" max="1302" width="26.125" style="255" customWidth="1"/>
    <col min="1303" max="1303" width="11.125" style="255" customWidth="1"/>
    <col min="1304" max="1304" width="7.875" style="255" customWidth="1"/>
    <col min="1305" max="1305" width="7.25" style="255" customWidth="1"/>
    <col min="1306" max="1306" width="9.125" style="255" customWidth="1"/>
    <col min="1307" max="1307" width="15.125" style="255" customWidth="1"/>
    <col min="1308" max="1308" width="7.75" style="255" customWidth="1"/>
    <col min="1309" max="1309" width="7.125" style="255" customWidth="1"/>
    <col min="1310" max="1310" width="12.125" style="255" customWidth="1"/>
    <col min="1311" max="1311" width="8.25" style="255" customWidth="1"/>
    <col min="1312" max="1313" width="10.375" style="255" customWidth="1"/>
    <col min="1314" max="1314" width="15.625" style="255" customWidth="1"/>
    <col min="1315" max="1315" width="15.875" style="255" customWidth="1"/>
    <col min="1316" max="1316" width="8.125" style="255" customWidth="1"/>
    <col min="1317" max="1320" width="10.375" style="255" customWidth="1"/>
    <col min="1321" max="1321" width="7.25" style="255" customWidth="1"/>
    <col min="1322" max="1322" width="7.125" style="255" customWidth="1"/>
    <col min="1323" max="1323" width="9.5" style="255" customWidth="1"/>
    <col min="1324" max="1325" width="9" style="255" customWidth="1"/>
    <col min="1326" max="1326" width="16.125" style="255" customWidth="1"/>
    <col min="1327" max="1357" width="9" style="255" customWidth="1"/>
    <col min="1358" max="1517" width="25.25" style="255"/>
    <col min="1518" max="1547" width="9" style="255" customWidth="1"/>
    <col min="1548" max="1548" width="0.5" style="255" customWidth="1"/>
    <col min="1549" max="1549" width="25.25" style="255"/>
    <col min="1550" max="1550" width="0.5" style="255" customWidth="1"/>
    <col min="1551" max="1551" width="25.25" style="255"/>
    <col min="1552" max="1552" width="14.75" style="255" customWidth="1"/>
    <col min="1553" max="1553" width="11.5" style="255" customWidth="1"/>
    <col min="1554" max="1554" width="11.25" style="255" customWidth="1"/>
    <col min="1555" max="1555" width="10.75" style="255" customWidth="1"/>
    <col min="1556" max="1556" width="10" style="255" customWidth="1"/>
    <col min="1557" max="1557" width="9.875" style="255" customWidth="1"/>
    <col min="1558" max="1558" width="26.125" style="255" customWidth="1"/>
    <col min="1559" max="1559" width="11.125" style="255" customWidth="1"/>
    <col min="1560" max="1560" width="7.875" style="255" customWidth="1"/>
    <col min="1561" max="1561" width="7.25" style="255" customWidth="1"/>
    <col min="1562" max="1562" width="9.125" style="255" customWidth="1"/>
    <col min="1563" max="1563" width="15.125" style="255" customWidth="1"/>
    <col min="1564" max="1564" width="7.75" style="255" customWidth="1"/>
    <col min="1565" max="1565" width="7.125" style="255" customWidth="1"/>
    <col min="1566" max="1566" width="12.125" style="255" customWidth="1"/>
    <col min="1567" max="1567" width="8.25" style="255" customWidth="1"/>
    <col min="1568" max="1569" width="10.375" style="255" customWidth="1"/>
    <col min="1570" max="1570" width="15.625" style="255" customWidth="1"/>
    <col min="1571" max="1571" width="15.875" style="255" customWidth="1"/>
    <col min="1572" max="1572" width="8.125" style="255" customWidth="1"/>
    <col min="1573" max="1576" width="10.375" style="255" customWidth="1"/>
    <col min="1577" max="1577" width="7.25" style="255" customWidth="1"/>
    <col min="1578" max="1578" width="7.125" style="255" customWidth="1"/>
    <col min="1579" max="1579" width="9.5" style="255" customWidth="1"/>
    <col min="1580" max="1581" width="9" style="255" customWidth="1"/>
    <col min="1582" max="1582" width="16.125" style="255" customWidth="1"/>
    <col min="1583" max="1613" width="9" style="255" customWidth="1"/>
    <col min="1614" max="1773" width="25.25" style="255"/>
    <col min="1774" max="1803" width="9" style="255" customWidth="1"/>
    <col min="1804" max="1804" width="0.5" style="255" customWidth="1"/>
    <col min="1805" max="1805" width="25.25" style="255"/>
    <col min="1806" max="1806" width="0.5" style="255" customWidth="1"/>
    <col min="1807" max="1807" width="25.25" style="255"/>
    <col min="1808" max="1808" width="14.75" style="255" customWidth="1"/>
    <col min="1809" max="1809" width="11.5" style="255" customWidth="1"/>
    <col min="1810" max="1810" width="11.25" style="255" customWidth="1"/>
    <col min="1811" max="1811" width="10.75" style="255" customWidth="1"/>
    <col min="1812" max="1812" width="10" style="255" customWidth="1"/>
    <col min="1813" max="1813" width="9.875" style="255" customWidth="1"/>
    <col min="1814" max="1814" width="26.125" style="255" customWidth="1"/>
    <col min="1815" max="1815" width="11.125" style="255" customWidth="1"/>
    <col min="1816" max="1816" width="7.875" style="255" customWidth="1"/>
    <col min="1817" max="1817" width="7.25" style="255" customWidth="1"/>
    <col min="1818" max="1818" width="9.125" style="255" customWidth="1"/>
    <col min="1819" max="1819" width="15.125" style="255" customWidth="1"/>
    <col min="1820" max="1820" width="7.75" style="255" customWidth="1"/>
    <col min="1821" max="1821" width="7.125" style="255" customWidth="1"/>
    <col min="1822" max="1822" width="12.125" style="255" customWidth="1"/>
    <col min="1823" max="1823" width="8.25" style="255" customWidth="1"/>
    <col min="1824" max="1825" width="10.375" style="255" customWidth="1"/>
    <col min="1826" max="1826" width="15.625" style="255" customWidth="1"/>
    <col min="1827" max="1827" width="15.875" style="255" customWidth="1"/>
    <col min="1828" max="1828" width="8.125" style="255" customWidth="1"/>
    <col min="1829" max="1832" width="10.375" style="255" customWidth="1"/>
    <col min="1833" max="1833" width="7.25" style="255" customWidth="1"/>
    <col min="1834" max="1834" width="7.125" style="255" customWidth="1"/>
    <col min="1835" max="1835" width="9.5" style="255" customWidth="1"/>
    <col min="1836" max="1837" width="9" style="255" customWidth="1"/>
    <col min="1838" max="1838" width="16.125" style="255" customWidth="1"/>
    <col min="1839" max="1869" width="9" style="255" customWidth="1"/>
    <col min="1870" max="2029" width="25.25" style="255"/>
    <col min="2030" max="2059" width="9" style="255" customWidth="1"/>
    <col min="2060" max="2060" width="0.5" style="255" customWidth="1"/>
    <col min="2061" max="2061" width="25.25" style="255"/>
    <col min="2062" max="2062" width="0.5" style="255" customWidth="1"/>
    <col min="2063" max="2063" width="25.25" style="255"/>
    <col min="2064" max="2064" width="14.75" style="255" customWidth="1"/>
    <col min="2065" max="2065" width="11.5" style="255" customWidth="1"/>
    <col min="2066" max="2066" width="11.25" style="255" customWidth="1"/>
    <col min="2067" max="2067" width="10.75" style="255" customWidth="1"/>
    <col min="2068" max="2068" width="10" style="255" customWidth="1"/>
    <col min="2069" max="2069" width="9.875" style="255" customWidth="1"/>
    <col min="2070" max="2070" width="26.125" style="255" customWidth="1"/>
    <col min="2071" max="2071" width="11.125" style="255" customWidth="1"/>
    <col min="2072" max="2072" width="7.875" style="255" customWidth="1"/>
    <col min="2073" max="2073" width="7.25" style="255" customWidth="1"/>
    <col min="2074" max="2074" width="9.125" style="255" customWidth="1"/>
    <col min="2075" max="2075" width="15.125" style="255" customWidth="1"/>
    <col min="2076" max="2076" width="7.75" style="255" customWidth="1"/>
    <col min="2077" max="2077" width="7.125" style="255" customWidth="1"/>
    <col min="2078" max="2078" width="12.125" style="255" customWidth="1"/>
    <col min="2079" max="2079" width="8.25" style="255" customWidth="1"/>
    <col min="2080" max="2081" width="10.375" style="255" customWidth="1"/>
    <col min="2082" max="2082" width="15.625" style="255" customWidth="1"/>
    <col min="2083" max="2083" width="15.875" style="255" customWidth="1"/>
    <col min="2084" max="2084" width="8.125" style="255" customWidth="1"/>
    <col min="2085" max="2088" width="10.375" style="255" customWidth="1"/>
    <col min="2089" max="2089" width="7.25" style="255" customWidth="1"/>
    <col min="2090" max="2090" width="7.125" style="255" customWidth="1"/>
    <col min="2091" max="2091" width="9.5" style="255" customWidth="1"/>
    <col min="2092" max="2093" width="9" style="255" customWidth="1"/>
    <col min="2094" max="2094" width="16.125" style="255" customWidth="1"/>
    <col min="2095" max="2125" width="9" style="255" customWidth="1"/>
    <col min="2126" max="2285" width="25.25" style="255"/>
    <col min="2286" max="2315" width="9" style="255" customWidth="1"/>
    <col min="2316" max="2316" width="0.5" style="255" customWidth="1"/>
    <col min="2317" max="2317" width="25.25" style="255"/>
    <col min="2318" max="2318" width="0.5" style="255" customWidth="1"/>
    <col min="2319" max="2319" width="25.25" style="255"/>
    <col min="2320" max="2320" width="14.75" style="255" customWidth="1"/>
    <col min="2321" max="2321" width="11.5" style="255" customWidth="1"/>
    <col min="2322" max="2322" width="11.25" style="255" customWidth="1"/>
    <col min="2323" max="2323" width="10.75" style="255" customWidth="1"/>
    <col min="2324" max="2324" width="10" style="255" customWidth="1"/>
    <col min="2325" max="2325" width="9.875" style="255" customWidth="1"/>
    <col min="2326" max="2326" width="26.125" style="255" customWidth="1"/>
    <col min="2327" max="2327" width="11.125" style="255" customWidth="1"/>
    <col min="2328" max="2328" width="7.875" style="255" customWidth="1"/>
    <col min="2329" max="2329" width="7.25" style="255" customWidth="1"/>
    <col min="2330" max="2330" width="9.125" style="255" customWidth="1"/>
    <col min="2331" max="2331" width="15.125" style="255" customWidth="1"/>
    <col min="2332" max="2332" width="7.75" style="255" customWidth="1"/>
    <col min="2333" max="2333" width="7.125" style="255" customWidth="1"/>
    <col min="2334" max="2334" width="12.125" style="255" customWidth="1"/>
    <col min="2335" max="2335" width="8.25" style="255" customWidth="1"/>
    <col min="2336" max="2337" width="10.375" style="255" customWidth="1"/>
    <col min="2338" max="2338" width="15.625" style="255" customWidth="1"/>
    <col min="2339" max="2339" width="15.875" style="255" customWidth="1"/>
    <col min="2340" max="2340" width="8.125" style="255" customWidth="1"/>
    <col min="2341" max="2344" width="10.375" style="255" customWidth="1"/>
    <col min="2345" max="2345" width="7.25" style="255" customWidth="1"/>
    <col min="2346" max="2346" width="7.125" style="255" customWidth="1"/>
    <col min="2347" max="2347" width="9.5" style="255" customWidth="1"/>
    <col min="2348" max="2349" width="9" style="255" customWidth="1"/>
    <col min="2350" max="2350" width="16.125" style="255" customWidth="1"/>
    <col min="2351" max="2381" width="9" style="255" customWidth="1"/>
    <col min="2382" max="2541" width="25.25" style="255"/>
    <col min="2542" max="2571" width="9" style="255" customWidth="1"/>
    <col min="2572" max="2572" width="0.5" style="255" customWidth="1"/>
    <col min="2573" max="2573" width="25.25" style="255"/>
    <col min="2574" max="2574" width="0.5" style="255" customWidth="1"/>
    <col min="2575" max="2575" width="25.25" style="255"/>
    <col min="2576" max="2576" width="14.75" style="255" customWidth="1"/>
    <col min="2577" max="2577" width="11.5" style="255" customWidth="1"/>
    <col min="2578" max="2578" width="11.25" style="255" customWidth="1"/>
    <col min="2579" max="2579" width="10.75" style="255" customWidth="1"/>
    <col min="2580" max="2580" width="10" style="255" customWidth="1"/>
    <col min="2581" max="2581" width="9.875" style="255" customWidth="1"/>
    <col min="2582" max="2582" width="26.125" style="255" customWidth="1"/>
    <col min="2583" max="2583" width="11.125" style="255" customWidth="1"/>
    <col min="2584" max="2584" width="7.875" style="255" customWidth="1"/>
    <col min="2585" max="2585" width="7.25" style="255" customWidth="1"/>
    <col min="2586" max="2586" width="9.125" style="255" customWidth="1"/>
    <col min="2587" max="2587" width="15.125" style="255" customWidth="1"/>
    <col min="2588" max="2588" width="7.75" style="255" customWidth="1"/>
    <col min="2589" max="2589" width="7.125" style="255" customWidth="1"/>
    <col min="2590" max="2590" width="12.125" style="255" customWidth="1"/>
    <col min="2591" max="2591" width="8.25" style="255" customWidth="1"/>
    <col min="2592" max="2593" width="10.375" style="255" customWidth="1"/>
    <col min="2594" max="2594" width="15.625" style="255" customWidth="1"/>
    <col min="2595" max="2595" width="15.875" style="255" customWidth="1"/>
    <col min="2596" max="2596" width="8.125" style="255" customWidth="1"/>
    <col min="2597" max="2600" width="10.375" style="255" customWidth="1"/>
    <col min="2601" max="2601" width="7.25" style="255" customWidth="1"/>
    <col min="2602" max="2602" width="7.125" style="255" customWidth="1"/>
    <col min="2603" max="2603" width="9.5" style="255" customWidth="1"/>
    <col min="2604" max="2605" width="9" style="255" customWidth="1"/>
    <col min="2606" max="2606" width="16.125" style="255" customWidth="1"/>
    <col min="2607" max="2637" width="9" style="255" customWidth="1"/>
    <col min="2638" max="2797" width="25.25" style="255"/>
    <col min="2798" max="2827" width="9" style="255" customWidth="1"/>
    <col min="2828" max="2828" width="0.5" style="255" customWidth="1"/>
    <col min="2829" max="2829" width="25.25" style="255"/>
    <col min="2830" max="2830" width="0.5" style="255" customWidth="1"/>
    <col min="2831" max="2831" width="25.25" style="255"/>
    <col min="2832" max="2832" width="14.75" style="255" customWidth="1"/>
    <col min="2833" max="2833" width="11.5" style="255" customWidth="1"/>
    <col min="2834" max="2834" width="11.25" style="255" customWidth="1"/>
    <col min="2835" max="2835" width="10.75" style="255" customWidth="1"/>
    <col min="2836" max="2836" width="10" style="255" customWidth="1"/>
    <col min="2837" max="2837" width="9.875" style="255" customWidth="1"/>
    <col min="2838" max="2838" width="26.125" style="255" customWidth="1"/>
    <col min="2839" max="2839" width="11.125" style="255" customWidth="1"/>
    <col min="2840" max="2840" width="7.875" style="255" customWidth="1"/>
    <col min="2841" max="2841" width="7.25" style="255" customWidth="1"/>
    <col min="2842" max="2842" width="9.125" style="255" customWidth="1"/>
    <col min="2843" max="2843" width="15.125" style="255" customWidth="1"/>
    <col min="2844" max="2844" width="7.75" style="255" customWidth="1"/>
    <col min="2845" max="2845" width="7.125" style="255" customWidth="1"/>
    <col min="2846" max="2846" width="12.125" style="255" customWidth="1"/>
    <col min="2847" max="2847" width="8.25" style="255" customWidth="1"/>
    <col min="2848" max="2849" width="10.375" style="255" customWidth="1"/>
    <col min="2850" max="2850" width="15.625" style="255" customWidth="1"/>
    <col min="2851" max="2851" width="15.875" style="255" customWidth="1"/>
    <col min="2852" max="2852" width="8.125" style="255" customWidth="1"/>
    <col min="2853" max="2856" width="10.375" style="255" customWidth="1"/>
    <col min="2857" max="2857" width="7.25" style="255" customWidth="1"/>
    <col min="2858" max="2858" width="7.125" style="255" customWidth="1"/>
    <col min="2859" max="2859" width="9.5" style="255" customWidth="1"/>
    <col min="2860" max="2861" width="9" style="255" customWidth="1"/>
    <col min="2862" max="2862" width="16.125" style="255" customWidth="1"/>
    <col min="2863" max="2893" width="9" style="255" customWidth="1"/>
    <col min="2894" max="3053" width="25.25" style="255"/>
    <col min="3054" max="3083" width="9" style="255" customWidth="1"/>
    <col min="3084" max="3084" width="0.5" style="255" customWidth="1"/>
    <col min="3085" max="3085" width="25.25" style="255"/>
    <col min="3086" max="3086" width="0.5" style="255" customWidth="1"/>
    <col min="3087" max="3087" width="25.25" style="255"/>
    <col min="3088" max="3088" width="14.75" style="255" customWidth="1"/>
    <col min="3089" max="3089" width="11.5" style="255" customWidth="1"/>
    <col min="3090" max="3090" width="11.25" style="255" customWidth="1"/>
    <col min="3091" max="3091" width="10.75" style="255" customWidth="1"/>
    <col min="3092" max="3092" width="10" style="255" customWidth="1"/>
    <col min="3093" max="3093" width="9.875" style="255" customWidth="1"/>
    <col min="3094" max="3094" width="26.125" style="255" customWidth="1"/>
    <col min="3095" max="3095" width="11.125" style="255" customWidth="1"/>
    <col min="3096" max="3096" width="7.875" style="255" customWidth="1"/>
    <col min="3097" max="3097" width="7.25" style="255" customWidth="1"/>
    <col min="3098" max="3098" width="9.125" style="255" customWidth="1"/>
    <col min="3099" max="3099" width="15.125" style="255" customWidth="1"/>
    <col min="3100" max="3100" width="7.75" style="255" customWidth="1"/>
    <col min="3101" max="3101" width="7.125" style="255" customWidth="1"/>
    <col min="3102" max="3102" width="12.125" style="255" customWidth="1"/>
    <col min="3103" max="3103" width="8.25" style="255" customWidth="1"/>
    <col min="3104" max="3105" width="10.375" style="255" customWidth="1"/>
    <col min="3106" max="3106" width="15.625" style="255" customWidth="1"/>
    <col min="3107" max="3107" width="15.875" style="255" customWidth="1"/>
    <col min="3108" max="3108" width="8.125" style="255" customWidth="1"/>
    <col min="3109" max="3112" width="10.375" style="255" customWidth="1"/>
    <col min="3113" max="3113" width="7.25" style="255" customWidth="1"/>
    <col min="3114" max="3114" width="7.125" style="255" customWidth="1"/>
    <col min="3115" max="3115" width="9.5" style="255" customWidth="1"/>
    <col min="3116" max="3117" width="9" style="255" customWidth="1"/>
    <col min="3118" max="3118" width="16.125" style="255" customWidth="1"/>
    <col min="3119" max="3149" width="9" style="255" customWidth="1"/>
    <col min="3150" max="3309" width="25.25" style="255"/>
    <col min="3310" max="3339" width="9" style="255" customWidth="1"/>
    <col min="3340" max="3340" width="0.5" style="255" customWidth="1"/>
    <col min="3341" max="3341" width="25.25" style="255"/>
    <col min="3342" max="3342" width="0.5" style="255" customWidth="1"/>
    <col min="3343" max="3343" width="25.25" style="255"/>
    <col min="3344" max="3344" width="14.75" style="255" customWidth="1"/>
    <col min="3345" max="3345" width="11.5" style="255" customWidth="1"/>
    <col min="3346" max="3346" width="11.25" style="255" customWidth="1"/>
    <col min="3347" max="3347" width="10.75" style="255" customWidth="1"/>
    <col min="3348" max="3348" width="10" style="255" customWidth="1"/>
    <col min="3349" max="3349" width="9.875" style="255" customWidth="1"/>
    <col min="3350" max="3350" width="26.125" style="255" customWidth="1"/>
    <col min="3351" max="3351" width="11.125" style="255" customWidth="1"/>
    <col min="3352" max="3352" width="7.875" style="255" customWidth="1"/>
    <col min="3353" max="3353" width="7.25" style="255" customWidth="1"/>
    <col min="3354" max="3354" width="9.125" style="255" customWidth="1"/>
    <col min="3355" max="3355" width="15.125" style="255" customWidth="1"/>
    <col min="3356" max="3356" width="7.75" style="255" customWidth="1"/>
    <col min="3357" max="3357" width="7.125" style="255" customWidth="1"/>
    <col min="3358" max="3358" width="12.125" style="255" customWidth="1"/>
    <col min="3359" max="3359" width="8.25" style="255" customWidth="1"/>
    <col min="3360" max="3361" width="10.375" style="255" customWidth="1"/>
    <col min="3362" max="3362" width="15.625" style="255" customWidth="1"/>
    <col min="3363" max="3363" width="15.875" style="255" customWidth="1"/>
    <col min="3364" max="3364" width="8.125" style="255" customWidth="1"/>
    <col min="3365" max="3368" width="10.375" style="255" customWidth="1"/>
    <col min="3369" max="3369" width="7.25" style="255" customWidth="1"/>
    <col min="3370" max="3370" width="7.125" style="255" customWidth="1"/>
    <col min="3371" max="3371" width="9.5" style="255" customWidth="1"/>
    <col min="3372" max="3373" width="9" style="255" customWidth="1"/>
    <col min="3374" max="3374" width="16.125" style="255" customWidth="1"/>
    <col min="3375" max="3405" width="9" style="255" customWidth="1"/>
    <col min="3406" max="3565" width="25.25" style="255"/>
    <col min="3566" max="3595" width="9" style="255" customWidth="1"/>
    <col min="3596" max="3596" width="0.5" style="255" customWidth="1"/>
    <col min="3597" max="3597" width="25.25" style="255"/>
    <col min="3598" max="3598" width="0.5" style="255" customWidth="1"/>
    <col min="3599" max="3599" width="25.25" style="255"/>
    <col min="3600" max="3600" width="14.75" style="255" customWidth="1"/>
    <col min="3601" max="3601" width="11.5" style="255" customWidth="1"/>
    <col min="3602" max="3602" width="11.25" style="255" customWidth="1"/>
    <col min="3603" max="3603" width="10.75" style="255" customWidth="1"/>
    <col min="3604" max="3604" width="10" style="255" customWidth="1"/>
    <col min="3605" max="3605" width="9.875" style="255" customWidth="1"/>
    <col min="3606" max="3606" width="26.125" style="255" customWidth="1"/>
    <col min="3607" max="3607" width="11.125" style="255" customWidth="1"/>
    <col min="3608" max="3608" width="7.875" style="255" customWidth="1"/>
    <col min="3609" max="3609" width="7.25" style="255" customWidth="1"/>
    <col min="3610" max="3610" width="9.125" style="255" customWidth="1"/>
    <col min="3611" max="3611" width="15.125" style="255" customWidth="1"/>
    <col min="3612" max="3612" width="7.75" style="255" customWidth="1"/>
    <col min="3613" max="3613" width="7.125" style="255" customWidth="1"/>
    <col min="3614" max="3614" width="12.125" style="255" customWidth="1"/>
    <col min="3615" max="3615" width="8.25" style="255" customWidth="1"/>
    <col min="3616" max="3617" width="10.375" style="255" customWidth="1"/>
    <col min="3618" max="3618" width="15.625" style="255" customWidth="1"/>
    <col min="3619" max="3619" width="15.875" style="255" customWidth="1"/>
    <col min="3620" max="3620" width="8.125" style="255" customWidth="1"/>
    <col min="3621" max="3624" width="10.375" style="255" customWidth="1"/>
    <col min="3625" max="3625" width="7.25" style="255" customWidth="1"/>
    <col min="3626" max="3626" width="7.125" style="255" customWidth="1"/>
    <col min="3627" max="3627" width="9.5" style="255" customWidth="1"/>
    <col min="3628" max="3629" width="9" style="255" customWidth="1"/>
    <col min="3630" max="3630" width="16.125" style="255" customWidth="1"/>
    <col min="3631" max="3661" width="9" style="255" customWidth="1"/>
    <col min="3662" max="3821" width="25.25" style="255"/>
    <col min="3822" max="3851" width="9" style="255" customWidth="1"/>
    <col min="3852" max="3852" width="0.5" style="255" customWidth="1"/>
    <col min="3853" max="3853" width="25.25" style="255"/>
    <col min="3854" max="3854" width="0.5" style="255" customWidth="1"/>
    <col min="3855" max="3855" width="25.25" style="255"/>
    <col min="3856" max="3856" width="14.75" style="255" customWidth="1"/>
    <col min="3857" max="3857" width="11.5" style="255" customWidth="1"/>
    <col min="3858" max="3858" width="11.25" style="255" customWidth="1"/>
    <col min="3859" max="3859" width="10.75" style="255" customWidth="1"/>
    <col min="3860" max="3860" width="10" style="255" customWidth="1"/>
    <col min="3861" max="3861" width="9.875" style="255" customWidth="1"/>
    <col min="3862" max="3862" width="26.125" style="255" customWidth="1"/>
    <col min="3863" max="3863" width="11.125" style="255" customWidth="1"/>
    <col min="3864" max="3864" width="7.875" style="255" customWidth="1"/>
    <col min="3865" max="3865" width="7.25" style="255" customWidth="1"/>
    <col min="3866" max="3866" width="9.125" style="255" customWidth="1"/>
    <col min="3867" max="3867" width="15.125" style="255" customWidth="1"/>
    <col min="3868" max="3868" width="7.75" style="255" customWidth="1"/>
    <col min="3869" max="3869" width="7.125" style="255" customWidth="1"/>
    <col min="3870" max="3870" width="12.125" style="255" customWidth="1"/>
    <col min="3871" max="3871" width="8.25" style="255" customWidth="1"/>
    <col min="3872" max="3873" width="10.375" style="255" customWidth="1"/>
    <col min="3874" max="3874" width="15.625" style="255" customWidth="1"/>
    <col min="3875" max="3875" width="15.875" style="255" customWidth="1"/>
    <col min="3876" max="3876" width="8.125" style="255" customWidth="1"/>
    <col min="3877" max="3880" width="10.375" style="255" customWidth="1"/>
    <col min="3881" max="3881" width="7.25" style="255" customWidth="1"/>
    <col min="3882" max="3882" width="7.125" style="255" customWidth="1"/>
    <col min="3883" max="3883" width="9.5" style="255" customWidth="1"/>
    <col min="3884" max="3885" width="9" style="255" customWidth="1"/>
    <col min="3886" max="3886" width="16.125" style="255" customWidth="1"/>
    <col min="3887" max="3917" width="9" style="255" customWidth="1"/>
    <col min="3918" max="4077" width="25.25" style="255"/>
    <col min="4078" max="4107" width="9" style="255" customWidth="1"/>
    <col min="4108" max="4108" width="0.5" style="255" customWidth="1"/>
    <col min="4109" max="4109" width="25.25" style="255"/>
    <col min="4110" max="4110" width="0.5" style="255" customWidth="1"/>
    <col min="4111" max="4111" width="25.25" style="255"/>
    <col min="4112" max="4112" width="14.75" style="255" customWidth="1"/>
    <col min="4113" max="4113" width="11.5" style="255" customWidth="1"/>
    <col min="4114" max="4114" width="11.25" style="255" customWidth="1"/>
    <col min="4115" max="4115" width="10.75" style="255" customWidth="1"/>
    <col min="4116" max="4116" width="10" style="255" customWidth="1"/>
    <col min="4117" max="4117" width="9.875" style="255" customWidth="1"/>
    <col min="4118" max="4118" width="26.125" style="255" customWidth="1"/>
    <col min="4119" max="4119" width="11.125" style="255" customWidth="1"/>
    <col min="4120" max="4120" width="7.875" style="255" customWidth="1"/>
    <col min="4121" max="4121" width="7.25" style="255" customWidth="1"/>
    <col min="4122" max="4122" width="9.125" style="255" customWidth="1"/>
    <col min="4123" max="4123" width="15.125" style="255" customWidth="1"/>
    <col min="4124" max="4124" width="7.75" style="255" customWidth="1"/>
    <col min="4125" max="4125" width="7.125" style="255" customWidth="1"/>
    <col min="4126" max="4126" width="12.125" style="255" customWidth="1"/>
    <col min="4127" max="4127" width="8.25" style="255" customWidth="1"/>
    <col min="4128" max="4129" width="10.375" style="255" customWidth="1"/>
    <col min="4130" max="4130" width="15.625" style="255" customWidth="1"/>
    <col min="4131" max="4131" width="15.875" style="255" customWidth="1"/>
    <col min="4132" max="4132" width="8.125" style="255" customWidth="1"/>
    <col min="4133" max="4136" width="10.375" style="255" customWidth="1"/>
    <col min="4137" max="4137" width="7.25" style="255" customWidth="1"/>
    <col min="4138" max="4138" width="7.125" style="255" customWidth="1"/>
    <col min="4139" max="4139" width="9.5" style="255" customWidth="1"/>
    <col min="4140" max="4141" width="9" style="255" customWidth="1"/>
    <col min="4142" max="4142" width="16.125" style="255" customWidth="1"/>
    <col min="4143" max="4173" width="9" style="255" customWidth="1"/>
    <col min="4174" max="4333" width="25.25" style="255"/>
    <col min="4334" max="4363" width="9" style="255" customWidth="1"/>
    <col min="4364" max="4364" width="0.5" style="255" customWidth="1"/>
    <col min="4365" max="4365" width="25.25" style="255"/>
    <col min="4366" max="4366" width="0.5" style="255" customWidth="1"/>
    <col min="4367" max="4367" width="25.25" style="255"/>
    <col min="4368" max="4368" width="14.75" style="255" customWidth="1"/>
    <col min="4369" max="4369" width="11.5" style="255" customWidth="1"/>
    <col min="4370" max="4370" width="11.25" style="255" customWidth="1"/>
    <col min="4371" max="4371" width="10.75" style="255" customWidth="1"/>
    <col min="4372" max="4372" width="10" style="255" customWidth="1"/>
    <col min="4373" max="4373" width="9.875" style="255" customWidth="1"/>
    <col min="4374" max="4374" width="26.125" style="255" customWidth="1"/>
    <col min="4375" max="4375" width="11.125" style="255" customWidth="1"/>
    <col min="4376" max="4376" width="7.875" style="255" customWidth="1"/>
    <col min="4377" max="4377" width="7.25" style="255" customWidth="1"/>
    <col min="4378" max="4378" width="9.125" style="255" customWidth="1"/>
    <col min="4379" max="4379" width="15.125" style="255" customWidth="1"/>
    <col min="4380" max="4380" width="7.75" style="255" customWidth="1"/>
    <col min="4381" max="4381" width="7.125" style="255" customWidth="1"/>
    <col min="4382" max="4382" width="12.125" style="255" customWidth="1"/>
    <col min="4383" max="4383" width="8.25" style="255" customWidth="1"/>
    <col min="4384" max="4385" width="10.375" style="255" customWidth="1"/>
    <col min="4386" max="4386" width="15.625" style="255" customWidth="1"/>
    <col min="4387" max="4387" width="15.875" style="255" customWidth="1"/>
    <col min="4388" max="4388" width="8.125" style="255" customWidth="1"/>
    <col min="4389" max="4392" width="10.375" style="255" customWidth="1"/>
    <col min="4393" max="4393" width="7.25" style="255" customWidth="1"/>
    <col min="4394" max="4394" width="7.125" style="255" customWidth="1"/>
    <col min="4395" max="4395" width="9.5" style="255" customWidth="1"/>
    <col min="4396" max="4397" width="9" style="255" customWidth="1"/>
    <col min="4398" max="4398" width="16.125" style="255" customWidth="1"/>
    <col min="4399" max="4429" width="9" style="255" customWidth="1"/>
    <col min="4430" max="4589" width="25.25" style="255"/>
    <col min="4590" max="4619" width="9" style="255" customWidth="1"/>
    <col min="4620" max="4620" width="0.5" style="255" customWidth="1"/>
    <col min="4621" max="4621" width="25.25" style="255"/>
    <col min="4622" max="4622" width="0.5" style="255" customWidth="1"/>
    <col min="4623" max="4623" width="25.25" style="255"/>
    <col min="4624" max="4624" width="14.75" style="255" customWidth="1"/>
    <col min="4625" max="4625" width="11.5" style="255" customWidth="1"/>
    <col min="4626" max="4626" width="11.25" style="255" customWidth="1"/>
    <col min="4627" max="4627" width="10.75" style="255" customWidth="1"/>
    <col min="4628" max="4628" width="10" style="255" customWidth="1"/>
    <col min="4629" max="4629" width="9.875" style="255" customWidth="1"/>
    <col min="4630" max="4630" width="26.125" style="255" customWidth="1"/>
    <col min="4631" max="4631" width="11.125" style="255" customWidth="1"/>
    <col min="4632" max="4632" width="7.875" style="255" customWidth="1"/>
    <col min="4633" max="4633" width="7.25" style="255" customWidth="1"/>
    <col min="4634" max="4634" width="9.125" style="255" customWidth="1"/>
    <col min="4635" max="4635" width="15.125" style="255" customWidth="1"/>
    <col min="4636" max="4636" width="7.75" style="255" customWidth="1"/>
    <col min="4637" max="4637" width="7.125" style="255" customWidth="1"/>
    <col min="4638" max="4638" width="12.125" style="255" customWidth="1"/>
    <col min="4639" max="4639" width="8.25" style="255" customWidth="1"/>
    <col min="4640" max="4641" width="10.375" style="255" customWidth="1"/>
    <col min="4642" max="4642" width="15.625" style="255" customWidth="1"/>
    <col min="4643" max="4643" width="15.875" style="255" customWidth="1"/>
    <col min="4644" max="4644" width="8.125" style="255" customWidth="1"/>
    <col min="4645" max="4648" width="10.375" style="255" customWidth="1"/>
    <col min="4649" max="4649" width="7.25" style="255" customWidth="1"/>
    <col min="4650" max="4650" width="7.125" style="255" customWidth="1"/>
    <col min="4651" max="4651" width="9.5" style="255" customWidth="1"/>
    <col min="4652" max="4653" width="9" style="255" customWidth="1"/>
    <col min="4654" max="4654" width="16.125" style="255" customWidth="1"/>
    <col min="4655" max="4685" width="9" style="255" customWidth="1"/>
    <col min="4686" max="4845" width="25.25" style="255"/>
    <col min="4846" max="4875" width="9" style="255" customWidth="1"/>
    <col min="4876" max="4876" width="0.5" style="255" customWidth="1"/>
    <col min="4877" max="4877" width="25.25" style="255"/>
    <col min="4878" max="4878" width="0.5" style="255" customWidth="1"/>
    <col min="4879" max="4879" width="25.25" style="255"/>
    <col min="4880" max="4880" width="14.75" style="255" customWidth="1"/>
    <col min="4881" max="4881" width="11.5" style="255" customWidth="1"/>
    <col min="4882" max="4882" width="11.25" style="255" customWidth="1"/>
    <col min="4883" max="4883" width="10.75" style="255" customWidth="1"/>
    <col min="4884" max="4884" width="10" style="255" customWidth="1"/>
    <col min="4885" max="4885" width="9.875" style="255" customWidth="1"/>
    <col min="4886" max="4886" width="26.125" style="255" customWidth="1"/>
    <col min="4887" max="4887" width="11.125" style="255" customWidth="1"/>
    <col min="4888" max="4888" width="7.875" style="255" customWidth="1"/>
    <col min="4889" max="4889" width="7.25" style="255" customWidth="1"/>
    <col min="4890" max="4890" width="9.125" style="255" customWidth="1"/>
    <col min="4891" max="4891" width="15.125" style="255" customWidth="1"/>
    <col min="4892" max="4892" width="7.75" style="255" customWidth="1"/>
    <col min="4893" max="4893" width="7.125" style="255" customWidth="1"/>
    <col min="4894" max="4894" width="12.125" style="255" customWidth="1"/>
    <col min="4895" max="4895" width="8.25" style="255" customWidth="1"/>
    <col min="4896" max="4897" width="10.375" style="255" customWidth="1"/>
    <col min="4898" max="4898" width="15.625" style="255" customWidth="1"/>
    <col min="4899" max="4899" width="15.875" style="255" customWidth="1"/>
    <col min="4900" max="4900" width="8.125" style="255" customWidth="1"/>
    <col min="4901" max="4904" width="10.375" style="255" customWidth="1"/>
    <col min="4905" max="4905" width="7.25" style="255" customWidth="1"/>
    <col min="4906" max="4906" width="7.125" style="255" customWidth="1"/>
    <col min="4907" max="4907" width="9.5" style="255" customWidth="1"/>
    <col min="4908" max="4909" width="9" style="255" customWidth="1"/>
    <col min="4910" max="4910" width="16.125" style="255" customWidth="1"/>
    <col min="4911" max="4941" width="9" style="255" customWidth="1"/>
    <col min="4942" max="5101" width="25.25" style="255"/>
    <col min="5102" max="5131" width="9" style="255" customWidth="1"/>
    <col min="5132" max="5132" width="0.5" style="255" customWidth="1"/>
    <col min="5133" max="5133" width="25.25" style="255"/>
    <col min="5134" max="5134" width="0.5" style="255" customWidth="1"/>
    <col min="5135" max="5135" width="25.25" style="255"/>
    <col min="5136" max="5136" width="14.75" style="255" customWidth="1"/>
    <col min="5137" max="5137" width="11.5" style="255" customWidth="1"/>
    <col min="5138" max="5138" width="11.25" style="255" customWidth="1"/>
    <col min="5139" max="5139" width="10.75" style="255" customWidth="1"/>
    <col min="5140" max="5140" width="10" style="255" customWidth="1"/>
    <col min="5141" max="5141" width="9.875" style="255" customWidth="1"/>
    <col min="5142" max="5142" width="26.125" style="255" customWidth="1"/>
    <col min="5143" max="5143" width="11.125" style="255" customWidth="1"/>
    <col min="5144" max="5144" width="7.875" style="255" customWidth="1"/>
    <col min="5145" max="5145" width="7.25" style="255" customWidth="1"/>
    <col min="5146" max="5146" width="9.125" style="255" customWidth="1"/>
    <col min="5147" max="5147" width="15.125" style="255" customWidth="1"/>
    <col min="5148" max="5148" width="7.75" style="255" customWidth="1"/>
    <col min="5149" max="5149" width="7.125" style="255" customWidth="1"/>
    <col min="5150" max="5150" width="12.125" style="255" customWidth="1"/>
    <col min="5151" max="5151" width="8.25" style="255" customWidth="1"/>
    <col min="5152" max="5153" width="10.375" style="255" customWidth="1"/>
    <col min="5154" max="5154" width="15.625" style="255" customWidth="1"/>
    <col min="5155" max="5155" width="15.875" style="255" customWidth="1"/>
    <col min="5156" max="5156" width="8.125" style="255" customWidth="1"/>
    <col min="5157" max="5160" width="10.375" style="255" customWidth="1"/>
    <col min="5161" max="5161" width="7.25" style="255" customWidth="1"/>
    <col min="5162" max="5162" width="7.125" style="255" customWidth="1"/>
    <col min="5163" max="5163" width="9.5" style="255" customWidth="1"/>
    <col min="5164" max="5165" width="9" style="255" customWidth="1"/>
    <col min="5166" max="5166" width="16.125" style="255" customWidth="1"/>
    <col min="5167" max="5197" width="9" style="255" customWidth="1"/>
    <col min="5198" max="5357" width="25.25" style="255"/>
    <col min="5358" max="5387" width="9" style="255" customWidth="1"/>
    <col min="5388" max="5388" width="0.5" style="255" customWidth="1"/>
    <col min="5389" max="5389" width="25.25" style="255"/>
    <col min="5390" max="5390" width="0.5" style="255" customWidth="1"/>
    <col min="5391" max="5391" width="25.25" style="255"/>
    <col min="5392" max="5392" width="14.75" style="255" customWidth="1"/>
    <col min="5393" max="5393" width="11.5" style="255" customWidth="1"/>
    <col min="5394" max="5394" width="11.25" style="255" customWidth="1"/>
    <col min="5395" max="5395" width="10.75" style="255" customWidth="1"/>
    <col min="5396" max="5396" width="10" style="255" customWidth="1"/>
    <col min="5397" max="5397" width="9.875" style="255" customWidth="1"/>
    <col min="5398" max="5398" width="26.125" style="255" customWidth="1"/>
    <col min="5399" max="5399" width="11.125" style="255" customWidth="1"/>
    <col min="5400" max="5400" width="7.875" style="255" customWidth="1"/>
    <col min="5401" max="5401" width="7.25" style="255" customWidth="1"/>
    <col min="5402" max="5402" width="9.125" style="255" customWidth="1"/>
    <col min="5403" max="5403" width="15.125" style="255" customWidth="1"/>
    <col min="5404" max="5404" width="7.75" style="255" customWidth="1"/>
    <col min="5405" max="5405" width="7.125" style="255" customWidth="1"/>
    <col min="5406" max="5406" width="12.125" style="255" customWidth="1"/>
    <col min="5407" max="5407" width="8.25" style="255" customWidth="1"/>
    <col min="5408" max="5409" width="10.375" style="255" customWidth="1"/>
    <col min="5410" max="5410" width="15.625" style="255" customWidth="1"/>
    <col min="5411" max="5411" width="15.875" style="255" customWidth="1"/>
    <col min="5412" max="5412" width="8.125" style="255" customWidth="1"/>
    <col min="5413" max="5416" width="10.375" style="255" customWidth="1"/>
    <col min="5417" max="5417" width="7.25" style="255" customWidth="1"/>
    <col min="5418" max="5418" width="7.125" style="255" customWidth="1"/>
    <col min="5419" max="5419" width="9.5" style="255" customWidth="1"/>
    <col min="5420" max="5421" width="9" style="255" customWidth="1"/>
    <col min="5422" max="5422" width="16.125" style="255" customWidth="1"/>
    <col min="5423" max="5453" width="9" style="255" customWidth="1"/>
    <col min="5454" max="5613" width="25.25" style="255"/>
    <col min="5614" max="5643" width="9" style="255" customWidth="1"/>
    <col min="5644" max="5644" width="0.5" style="255" customWidth="1"/>
    <col min="5645" max="5645" width="25.25" style="255"/>
    <col min="5646" max="5646" width="0.5" style="255" customWidth="1"/>
    <col min="5647" max="5647" width="25.25" style="255"/>
    <col min="5648" max="5648" width="14.75" style="255" customWidth="1"/>
    <col min="5649" max="5649" width="11.5" style="255" customWidth="1"/>
    <col min="5650" max="5650" width="11.25" style="255" customWidth="1"/>
    <col min="5651" max="5651" width="10.75" style="255" customWidth="1"/>
    <col min="5652" max="5652" width="10" style="255" customWidth="1"/>
    <col min="5653" max="5653" width="9.875" style="255" customWidth="1"/>
    <col min="5654" max="5654" width="26.125" style="255" customWidth="1"/>
    <col min="5655" max="5655" width="11.125" style="255" customWidth="1"/>
    <col min="5656" max="5656" width="7.875" style="255" customWidth="1"/>
    <col min="5657" max="5657" width="7.25" style="255" customWidth="1"/>
    <col min="5658" max="5658" width="9.125" style="255" customWidth="1"/>
    <col min="5659" max="5659" width="15.125" style="255" customWidth="1"/>
    <col min="5660" max="5660" width="7.75" style="255" customWidth="1"/>
    <col min="5661" max="5661" width="7.125" style="255" customWidth="1"/>
    <col min="5662" max="5662" width="12.125" style="255" customWidth="1"/>
    <col min="5663" max="5663" width="8.25" style="255" customWidth="1"/>
    <col min="5664" max="5665" width="10.375" style="255" customWidth="1"/>
    <col min="5666" max="5666" width="15.625" style="255" customWidth="1"/>
    <col min="5667" max="5667" width="15.875" style="255" customWidth="1"/>
    <col min="5668" max="5668" width="8.125" style="255" customWidth="1"/>
    <col min="5669" max="5672" width="10.375" style="255" customWidth="1"/>
    <col min="5673" max="5673" width="7.25" style="255" customWidth="1"/>
    <col min="5674" max="5674" width="7.125" style="255" customWidth="1"/>
    <col min="5675" max="5675" width="9.5" style="255" customWidth="1"/>
    <col min="5676" max="5677" width="9" style="255" customWidth="1"/>
    <col min="5678" max="5678" width="16.125" style="255" customWidth="1"/>
    <col min="5679" max="5709" width="9" style="255" customWidth="1"/>
    <col min="5710" max="5869" width="25.25" style="255"/>
    <col min="5870" max="5899" width="9" style="255" customWidth="1"/>
    <col min="5900" max="5900" width="0.5" style="255" customWidth="1"/>
    <col min="5901" max="5901" width="25.25" style="255"/>
    <col min="5902" max="5902" width="0.5" style="255" customWidth="1"/>
    <col min="5903" max="5903" width="25.25" style="255"/>
    <col min="5904" max="5904" width="14.75" style="255" customWidth="1"/>
    <col min="5905" max="5905" width="11.5" style="255" customWidth="1"/>
    <col min="5906" max="5906" width="11.25" style="255" customWidth="1"/>
    <col min="5907" max="5907" width="10.75" style="255" customWidth="1"/>
    <col min="5908" max="5908" width="10" style="255" customWidth="1"/>
    <col min="5909" max="5909" width="9.875" style="255" customWidth="1"/>
    <col min="5910" max="5910" width="26.125" style="255" customWidth="1"/>
    <col min="5911" max="5911" width="11.125" style="255" customWidth="1"/>
    <col min="5912" max="5912" width="7.875" style="255" customWidth="1"/>
    <col min="5913" max="5913" width="7.25" style="255" customWidth="1"/>
    <col min="5914" max="5914" width="9.125" style="255" customWidth="1"/>
    <col min="5915" max="5915" width="15.125" style="255" customWidth="1"/>
    <col min="5916" max="5916" width="7.75" style="255" customWidth="1"/>
    <col min="5917" max="5917" width="7.125" style="255" customWidth="1"/>
    <col min="5918" max="5918" width="12.125" style="255" customWidth="1"/>
    <col min="5919" max="5919" width="8.25" style="255" customWidth="1"/>
    <col min="5920" max="5921" width="10.375" style="255" customWidth="1"/>
    <col min="5922" max="5922" width="15.625" style="255" customWidth="1"/>
    <col min="5923" max="5923" width="15.875" style="255" customWidth="1"/>
    <col min="5924" max="5924" width="8.125" style="255" customWidth="1"/>
    <col min="5925" max="5928" width="10.375" style="255" customWidth="1"/>
    <col min="5929" max="5929" width="7.25" style="255" customWidth="1"/>
    <col min="5930" max="5930" width="7.125" style="255" customWidth="1"/>
    <col min="5931" max="5931" width="9.5" style="255" customWidth="1"/>
    <col min="5932" max="5933" width="9" style="255" customWidth="1"/>
    <col min="5934" max="5934" width="16.125" style="255" customWidth="1"/>
    <col min="5935" max="5965" width="9" style="255" customWidth="1"/>
    <col min="5966" max="6125" width="25.25" style="255"/>
    <col min="6126" max="6155" width="9" style="255" customWidth="1"/>
    <col min="6156" max="6156" width="0.5" style="255" customWidth="1"/>
    <col min="6157" max="6157" width="25.25" style="255"/>
    <col min="6158" max="6158" width="0.5" style="255" customWidth="1"/>
    <col min="6159" max="6159" width="25.25" style="255"/>
    <col min="6160" max="6160" width="14.75" style="255" customWidth="1"/>
    <col min="6161" max="6161" width="11.5" style="255" customWidth="1"/>
    <col min="6162" max="6162" width="11.25" style="255" customWidth="1"/>
    <col min="6163" max="6163" width="10.75" style="255" customWidth="1"/>
    <col min="6164" max="6164" width="10" style="255" customWidth="1"/>
    <col min="6165" max="6165" width="9.875" style="255" customWidth="1"/>
    <col min="6166" max="6166" width="26.125" style="255" customWidth="1"/>
    <col min="6167" max="6167" width="11.125" style="255" customWidth="1"/>
    <col min="6168" max="6168" width="7.875" style="255" customWidth="1"/>
    <col min="6169" max="6169" width="7.25" style="255" customWidth="1"/>
    <col min="6170" max="6170" width="9.125" style="255" customWidth="1"/>
    <col min="6171" max="6171" width="15.125" style="255" customWidth="1"/>
    <col min="6172" max="6172" width="7.75" style="255" customWidth="1"/>
    <col min="6173" max="6173" width="7.125" style="255" customWidth="1"/>
    <col min="6174" max="6174" width="12.125" style="255" customWidth="1"/>
    <col min="6175" max="6175" width="8.25" style="255" customWidth="1"/>
    <col min="6176" max="6177" width="10.375" style="255" customWidth="1"/>
    <col min="6178" max="6178" width="15.625" style="255" customWidth="1"/>
    <col min="6179" max="6179" width="15.875" style="255" customWidth="1"/>
    <col min="6180" max="6180" width="8.125" style="255" customWidth="1"/>
    <col min="6181" max="6184" width="10.375" style="255" customWidth="1"/>
    <col min="6185" max="6185" width="7.25" style="255" customWidth="1"/>
    <col min="6186" max="6186" width="7.125" style="255" customWidth="1"/>
    <col min="6187" max="6187" width="9.5" style="255" customWidth="1"/>
    <col min="6188" max="6189" width="9" style="255" customWidth="1"/>
    <col min="6190" max="6190" width="16.125" style="255" customWidth="1"/>
    <col min="6191" max="6221" width="9" style="255" customWidth="1"/>
    <col min="6222" max="6381" width="25.25" style="255"/>
    <col min="6382" max="6411" width="9" style="255" customWidth="1"/>
    <col min="6412" max="6412" width="0.5" style="255" customWidth="1"/>
    <col min="6413" max="6413" width="25.25" style="255"/>
    <col min="6414" max="6414" width="0.5" style="255" customWidth="1"/>
    <col min="6415" max="6415" width="25.25" style="255"/>
    <col min="6416" max="6416" width="14.75" style="255" customWidth="1"/>
    <col min="6417" max="6417" width="11.5" style="255" customWidth="1"/>
    <col min="6418" max="6418" width="11.25" style="255" customWidth="1"/>
    <col min="6419" max="6419" width="10.75" style="255" customWidth="1"/>
    <col min="6420" max="6420" width="10" style="255" customWidth="1"/>
    <col min="6421" max="6421" width="9.875" style="255" customWidth="1"/>
    <col min="6422" max="6422" width="26.125" style="255" customWidth="1"/>
    <col min="6423" max="6423" width="11.125" style="255" customWidth="1"/>
    <col min="6424" max="6424" width="7.875" style="255" customWidth="1"/>
    <col min="6425" max="6425" width="7.25" style="255" customWidth="1"/>
    <col min="6426" max="6426" width="9.125" style="255" customWidth="1"/>
    <col min="6427" max="6427" width="15.125" style="255" customWidth="1"/>
    <col min="6428" max="6428" width="7.75" style="255" customWidth="1"/>
    <col min="6429" max="6429" width="7.125" style="255" customWidth="1"/>
    <col min="6430" max="6430" width="12.125" style="255" customWidth="1"/>
    <col min="6431" max="6431" width="8.25" style="255" customWidth="1"/>
    <col min="6432" max="6433" width="10.375" style="255" customWidth="1"/>
    <col min="6434" max="6434" width="15.625" style="255" customWidth="1"/>
    <col min="6435" max="6435" width="15.875" style="255" customWidth="1"/>
    <col min="6436" max="6436" width="8.125" style="255" customWidth="1"/>
    <col min="6437" max="6440" width="10.375" style="255" customWidth="1"/>
    <col min="6441" max="6441" width="7.25" style="255" customWidth="1"/>
    <col min="6442" max="6442" width="7.125" style="255" customWidth="1"/>
    <col min="6443" max="6443" width="9.5" style="255" customWidth="1"/>
    <col min="6444" max="6445" width="9" style="255" customWidth="1"/>
    <col min="6446" max="6446" width="16.125" style="255" customWidth="1"/>
    <col min="6447" max="6477" width="9" style="255" customWidth="1"/>
    <col min="6478" max="6637" width="25.25" style="255"/>
    <col min="6638" max="6667" width="9" style="255" customWidth="1"/>
    <col min="6668" max="6668" width="0.5" style="255" customWidth="1"/>
    <col min="6669" max="6669" width="25.25" style="255"/>
    <col min="6670" max="6670" width="0.5" style="255" customWidth="1"/>
    <col min="6671" max="6671" width="25.25" style="255"/>
    <col min="6672" max="6672" width="14.75" style="255" customWidth="1"/>
    <col min="6673" max="6673" width="11.5" style="255" customWidth="1"/>
    <col min="6674" max="6674" width="11.25" style="255" customWidth="1"/>
    <col min="6675" max="6675" width="10.75" style="255" customWidth="1"/>
    <col min="6676" max="6676" width="10" style="255" customWidth="1"/>
    <col min="6677" max="6677" width="9.875" style="255" customWidth="1"/>
    <col min="6678" max="6678" width="26.125" style="255" customWidth="1"/>
    <col min="6679" max="6679" width="11.125" style="255" customWidth="1"/>
    <col min="6680" max="6680" width="7.875" style="255" customWidth="1"/>
    <col min="6681" max="6681" width="7.25" style="255" customWidth="1"/>
    <col min="6682" max="6682" width="9.125" style="255" customWidth="1"/>
    <col min="6683" max="6683" width="15.125" style="255" customWidth="1"/>
    <col min="6684" max="6684" width="7.75" style="255" customWidth="1"/>
    <col min="6685" max="6685" width="7.125" style="255" customWidth="1"/>
    <col min="6686" max="6686" width="12.125" style="255" customWidth="1"/>
    <col min="6687" max="6687" width="8.25" style="255" customWidth="1"/>
    <col min="6688" max="6689" width="10.375" style="255" customWidth="1"/>
    <col min="6690" max="6690" width="15.625" style="255" customWidth="1"/>
    <col min="6691" max="6691" width="15.875" style="255" customWidth="1"/>
    <col min="6692" max="6692" width="8.125" style="255" customWidth="1"/>
    <col min="6693" max="6696" width="10.375" style="255" customWidth="1"/>
    <col min="6697" max="6697" width="7.25" style="255" customWidth="1"/>
    <col min="6698" max="6698" width="7.125" style="255" customWidth="1"/>
    <col min="6699" max="6699" width="9.5" style="255" customWidth="1"/>
    <col min="6700" max="6701" width="9" style="255" customWidth="1"/>
    <col min="6702" max="6702" width="16.125" style="255" customWidth="1"/>
    <col min="6703" max="6733" width="9" style="255" customWidth="1"/>
    <col min="6734" max="6893" width="25.25" style="255"/>
    <col min="6894" max="6923" width="9" style="255" customWidth="1"/>
    <col min="6924" max="6924" width="0.5" style="255" customWidth="1"/>
    <col min="6925" max="6925" width="25.25" style="255"/>
    <col min="6926" max="6926" width="0.5" style="255" customWidth="1"/>
    <col min="6927" max="6927" width="25.25" style="255"/>
    <col min="6928" max="6928" width="14.75" style="255" customWidth="1"/>
    <col min="6929" max="6929" width="11.5" style="255" customWidth="1"/>
    <col min="6930" max="6930" width="11.25" style="255" customWidth="1"/>
    <col min="6931" max="6931" width="10.75" style="255" customWidth="1"/>
    <col min="6932" max="6932" width="10" style="255" customWidth="1"/>
    <col min="6933" max="6933" width="9.875" style="255" customWidth="1"/>
    <col min="6934" max="6934" width="26.125" style="255" customWidth="1"/>
    <col min="6935" max="6935" width="11.125" style="255" customWidth="1"/>
    <col min="6936" max="6936" width="7.875" style="255" customWidth="1"/>
    <col min="6937" max="6937" width="7.25" style="255" customWidth="1"/>
    <col min="6938" max="6938" width="9.125" style="255" customWidth="1"/>
    <col min="6939" max="6939" width="15.125" style="255" customWidth="1"/>
    <col min="6940" max="6940" width="7.75" style="255" customWidth="1"/>
    <col min="6941" max="6941" width="7.125" style="255" customWidth="1"/>
    <col min="6942" max="6942" width="12.125" style="255" customWidth="1"/>
    <col min="6943" max="6943" width="8.25" style="255" customWidth="1"/>
    <col min="6944" max="6945" width="10.375" style="255" customWidth="1"/>
    <col min="6946" max="6946" width="15.625" style="255" customWidth="1"/>
    <col min="6947" max="6947" width="15.875" style="255" customWidth="1"/>
    <col min="6948" max="6948" width="8.125" style="255" customWidth="1"/>
    <col min="6949" max="6952" width="10.375" style="255" customWidth="1"/>
    <col min="6953" max="6953" width="7.25" style="255" customWidth="1"/>
    <col min="6954" max="6954" width="7.125" style="255" customWidth="1"/>
    <col min="6955" max="6955" width="9.5" style="255" customWidth="1"/>
    <col min="6956" max="6957" width="9" style="255" customWidth="1"/>
    <col min="6958" max="6958" width="16.125" style="255" customWidth="1"/>
    <col min="6959" max="6989" width="9" style="255" customWidth="1"/>
    <col min="6990" max="7149" width="25.25" style="255"/>
    <col min="7150" max="7179" width="9" style="255" customWidth="1"/>
    <col min="7180" max="7180" width="0.5" style="255" customWidth="1"/>
    <col min="7181" max="7181" width="25.25" style="255"/>
    <col min="7182" max="7182" width="0.5" style="255" customWidth="1"/>
    <col min="7183" max="7183" width="25.25" style="255"/>
    <col min="7184" max="7184" width="14.75" style="255" customWidth="1"/>
    <col min="7185" max="7185" width="11.5" style="255" customWidth="1"/>
    <col min="7186" max="7186" width="11.25" style="255" customWidth="1"/>
    <col min="7187" max="7187" width="10.75" style="255" customWidth="1"/>
    <col min="7188" max="7188" width="10" style="255" customWidth="1"/>
    <col min="7189" max="7189" width="9.875" style="255" customWidth="1"/>
    <col min="7190" max="7190" width="26.125" style="255" customWidth="1"/>
    <col min="7191" max="7191" width="11.125" style="255" customWidth="1"/>
    <col min="7192" max="7192" width="7.875" style="255" customWidth="1"/>
    <col min="7193" max="7193" width="7.25" style="255" customWidth="1"/>
    <col min="7194" max="7194" width="9.125" style="255" customWidth="1"/>
    <col min="7195" max="7195" width="15.125" style="255" customWidth="1"/>
    <col min="7196" max="7196" width="7.75" style="255" customWidth="1"/>
    <col min="7197" max="7197" width="7.125" style="255" customWidth="1"/>
    <col min="7198" max="7198" width="12.125" style="255" customWidth="1"/>
    <col min="7199" max="7199" width="8.25" style="255" customWidth="1"/>
    <col min="7200" max="7201" width="10.375" style="255" customWidth="1"/>
    <col min="7202" max="7202" width="15.625" style="255" customWidth="1"/>
    <col min="7203" max="7203" width="15.875" style="255" customWidth="1"/>
    <col min="7204" max="7204" width="8.125" style="255" customWidth="1"/>
    <col min="7205" max="7208" width="10.375" style="255" customWidth="1"/>
    <col min="7209" max="7209" width="7.25" style="255" customWidth="1"/>
    <col min="7210" max="7210" width="7.125" style="255" customWidth="1"/>
    <col min="7211" max="7211" width="9.5" style="255" customWidth="1"/>
    <col min="7212" max="7213" width="9" style="255" customWidth="1"/>
    <col min="7214" max="7214" width="16.125" style="255" customWidth="1"/>
    <col min="7215" max="7245" width="9" style="255" customWidth="1"/>
    <col min="7246" max="7405" width="25.25" style="255"/>
    <col min="7406" max="7435" width="9" style="255" customWidth="1"/>
    <col min="7436" max="7436" width="0.5" style="255" customWidth="1"/>
    <col min="7437" max="7437" width="25.25" style="255"/>
    <col min="7438" max="7438" width="0.5" style="255" customWidth="1"/>
    <col min="7439" max="7439" width="25.25" style="255"/>
    <col min="7440" max="7440" width="14.75" style="255" customWidth="1"/>
    <col min="7441" max="7441" width="11.5" style="255" customWidth="1"/>
    <col min="7442" max="7442" width="11.25" style="255" customWidth="1"/>
    <col min="7443" max="7443" width="10.75" style="255" customWidth="1"/>
    <col min="7444" max="7444" width="10" style="255" customWidth="1"/>
    <col min="7445" max="7445" width="9.875" style="255" customWidth="1"/>
    <col min="7446" max="7446" width="26.125" style="255" customWidth="1"/>
    <col min="7447" max="7447" width="11.125" style="255" customWidth="1"/>
    <col min="7448" max="7448" width="7.875" style="255" customWidth="1"/>
    <col min="7449" max="7449" width="7.25" style="255" customWidth="1"/>
    <col min="7450" max="7450" width="9.125" style="255" customWidth="1"/>
    <col min="7451" max="7451" width="15.125" style="255" customWidth="1"/>
    <col min="7452" max="7452" width="7.75" style="255" customWidth="1"/>
    <col min="7453" max="7453" width="7.125" style="255" customWidth="1"/>
    <col min="7454" max="7454" width="12.125" style="255" customWidth="1"/>
    <col min="7455" max="7455" width="8.25" style="255" customWidth="1"/>
    <col min="7456" max="7457" width="10.375" style="255" customWidth="1"/>
    <col min="7458" max="7458" width="15.625" style="255" customWidth="1"/>
    <col min="7459" max="7459" width="15.875" style="255" customWidth="1"/>
    <col min="7460" max="7460" width="8.125" style="255" customWidth="1"/>
    <col min="7461" max="7464" width="10.375" style="255" customWidth="1"/>
    <col min="7465" max="7465" width="7.25" style="255" customWidth="1"/>
    <col min="7466" max="7466" width="7.125" style="255" customWidth="1"/>
    <col min="7467" max="7467" width="9.5" style="255" customWidth="1"/>
    <col min="7468" max="7469" width="9" style="255" customWidth="1"/>
    <col min="7470" max="7470" width="16.125" style="255" customWidth="1"/>
    <col min="7471" max="7501" width="9" style="255" customWidth="1"/>
    <col min="7502" max="7661" width="25.25" style="255"/>
    <col min="7662" max="7691" width="9" style="255" customWidth="1"/>
    <col min="7692" max="7692" width="0.5" style="255" customWidth="1"/>
    <col min="7693" max="7693" width="25.25" style="255"/>
    <col min="7694" max="7694" width="0.5" style="255" customWidth="1"/>
    <col min="7695" max="7695" width="25.25" style="255"/>
    <col min="7696" max="7696" width="14.75" style="255" customWidth="1"/>
    <col min="7697" max="7697" width="11.5" style="255" customWidth="1"/>
    <col min="7698" max="7698" width="11.25" style="255" customWidth="1"/>
    <col min="7699" max="7699" width="10.75" style="255" customWidth="1"/>
    <col min="7700" max="7700" width="10" style="255" customWidth="1"/>
    <col min="7701" max="7701" width="9.875" style="255" customWidth="1"/>
    <col min="7702" max="7702" width="26.125" style="255" customWidth="1"/>
    <col min="7703" max="7703" width="11.125" style="255" customWidth="1"/>
    <col min="7704" max="7704" width="7.875" style="255" customWidth="1"/>
    <col min="7705" max="7705" width="7.25" style="255" customWidth="1"/>
    <col min="7706" max="7706" width="9.125" style="255" customWidth="1"/>
    <col min="7707" max="7707" width="15.125" style="255" customWidth="1"/>
    <col min="7708" max="7708" width="7.75" style="255" customWidth="1"/>
    <col min="7709" max="7709" width="7.125" style="255" customWidth="1"/>
    <col min="7710" max="7710" width="12.125" style="255" customWidth="1"/>
    <col min="7711" max="7711" width="8.25" style="255" customWidth="1"/>
    <col min="7712" max="7713" width="10.375" style="255" customWidth="1"/>
    <col min="7714" max="7714" width="15.625" style="255" customWidth="1"/>
    <col min="7715" max="7715" width="15.875" style="255" customWidth="1"/>
    <col min="7716" max="7716" width="8.125" style="255" customWidth="1"/>
    <col min="7717" max="7720" width="10.375" style="255" customWidth="1"/>
    <col min="7721" max="7721" width="7.25" style="255" customWidth="1"/>
    <col min="7722" max="7722" width="7.125" style="255" customWidth="1"/>
    <col min="7723" max="7723" width="9.5" style="255" customWidth="1"/>
    <col min="7724" max="7725" width="9" style="255" customWidth="1"/>
    <col min="7726" max="7726" width="16.125" style="255" customWidth="1"/>
    <col min="7727" max="7757" width="9" style="255" customWidth="1"/>
    <col min="7758" max="7917" width="25.25" style="255"/>
    <col min="7918" max="7947" width="9" style="255" customWidth="1"/>
    <col min="7948" max="7948" width="0.5" style="255" customWidth="1"/>
    <col min="7949" max="7949" width="25.25" style="255"/>
    <col min="7950" max="7950" width="0.5" style="255" customWidth="1"/>
    <col min="7951" max="7951" width="25.25" style="255"/>
    <col min="7952" max="7952" width="14.75" style="255" customWidth="1"/>
    <col min="7953" max="7953" width="11.5" style="255" customWidth="1"/>
    <col min="7954" max="7954" width="11.25" style="255" customWidth="1"/>
    <col min="7955" max="7955" width="10.75" style="255" customWidth="1"/>
    <col min="7956" max="7956" width="10" style="255" customWidth="1"/>
    <col min="7957" max="7957" width="9.875" style="255" customWidth="1"/>
    <col min="7958" max="7958" width="26.125" style="255" customWidth="1"/>
    <col min="7959" max="7959" width="11.125" style="255" customWidth="1"/>
    <col min="7960" max="7960" width="7.875" style="255" customWidth="1"/>
    <col min="7961" max="7961" width="7.25" style="255" customWidth="1"/>
    <col min="7962" max="7962" width="9.125" style="255" customWidth="1"/>
    <col min="7963" max="7963" width="15.125" style="255" customWidth="1"/>
    <col min="7964" max="7964" width="7.75" style="255" customWidth="1"/>
    <col min="7965" max="7965" width="7.125" style="255" customWidth="1"/>
    <col min="7966" max="7966" width="12.125" style="255" customWidth="1"/>
    <col min="7967" max="7967" width="8.25" style="255" customWidth="1"/>
    <col min="7968" max="7969" width="10.375" style="255" customWidth="1"/>
    <col min="7970" max="7970" width="15.625" style="255" customWidth="1"/>
    <col min="7971" max="7971" width="15.875" style="255" customWidth="1"/>
    <col min="7972" max="7972" width="8.125" style="255" customWidth="1"/>
    <col min="7973" max="7976" width="10.375" style="255" customWidth="1"/>
    <col min="7977" max="7977" width="7.25" style="255" customWidth="1"/>
    <col min="7978" max="7978" width="7.125" style="255" customWidth="1"/>
    <col min="7979" max="7979" width="9.5" style="255" customWidth="1"/>
    <col min="7980" max="7981" width="9" style="255" customWidth="1"/>
    <col min="7982" max="7982" width="16.125" style="255" customWidth="1"/>
    <col min="7983" max="8013" width="9" style="255" customWidth="1"/>
    <col min="8014" max="8173" width="25.25" style="255"/>
    <col min="8174" max="8203" width="9" style="255" customWidth="1"/>
    <col min="8204" max="8204" width="0.5" style="255" customWidth="1"/>
    <col min="8205" max="8205" width="25.25" style="255"/>
    <col min="8206" max="8206" width="0.5" style="255" customWidth="1"/>
    <col min="8207" max="8207" width="25.25" style="255"/>
    <col min="8208" max="8208" width="14.75" style="255" customWidth="1"/>
    <col min="8209" max="8209" width="11.5" style="255" customWidth="1"/>
    <col min="8210" max="8210" width="11.25" style="255" customWidth="1"/>
    <col min="8211" max="8211" width="10.75" style="255" customWidth="1"/>
    <col min="8212" max="8212" width="10" style="255" customWidth="1"/>
    <col min="8213" max="8213" width="9.875" style="255" customWidth="1"/>
    <col min="8214" max="8214" width="26.125" style="255" customWidth="1"/>
    <col min="8215" max="8215" width="11.125" style="255" customWidth="1"/>
    <col min="8216" max="8216" width="7.875" style="255" customWidth="1"/>
    <col min="8217" max="8217" width="7.25" style="255" customWidth="1"/>
    <col min="8218" max="8218" width="9.125" style="255" customWidth="1"/>
    <col min="8219" max="8219" width="15.125" style="255" customWidth="1"/>
    <col min="8220" max="8220" width="7.75" style="255" customWidth="1"/>
    <col min="8221" max="8221" width="7.125" style="255" customWidth="1"/>
    <col min="8222" max="8222" width="12.125" style="255" customWidth="1"/>
    <col min="8223" max="8223" width="8.25" style="255" customWidth="1"/>
    <col min="8224" max="8225" width="10.375" style="255" customWidth="1"/>
    <col min="8226" max="8226" width="15.625" style="255" customWidth="1"/>
    <col min="8227" max="8227" width="15.875" style="255" customWidth="1"/>
    <col min="8228" max="8228" width="8.125" style="255" customWidth="1"/>
    <col min="8229" max="8232" width="10.375" style="255" customWidth="1"/>
    <col min="8233" max="8233" width="7.25" style="255" customWidth="1"/>
    <col min="8234" max="8234" width="7.125" style="255" customWidth="1"/>
    <col min="8235" max="8235" width="9.5" style="255" customWidth="1"/>
    <col min="8236" max="8237" width="9" style="255" customWidth="1"/>
    <col min="8238" max="8238" width="16.125" style="255" customWidth="1"/>
    <col min="8239" max="8269" width="9" style="255" customWidth="1"/>
    <col min="8270" max="8429" width="25.25" style="255"/>
    <col min="8430" max="8459" width="9" style="255" customWidth="1"/>
    <col min="8460" max="8460" width="0.5" style="255" customWidth="1"/>
    <col min="8461" max="8461" width="25.25" style="255"/>
    <col min="8462" max="8462" width="0.5" style="255" customWidth="1"/>
    <col min="8463" max="8463" width="25.25" style="255"/>
    <col min="8464" max="8464" width="14.75" style="255" customWidth="1"/>
    <col min="8465" max="8465" width="11.5" style="255" customWidth="1"/>
    <col min="8466" max="8466" width="11.25" style="255" customWidth="1"/>
    <col min="8467" max="8467" width="10.75" style="255" customWidth="1"/>
    <col min="8468" max="8468" width="10" style="255" customWidth="1"/>
    <col min="8469" max="8469" width="9.875" style="255" customWidth="1"/>
    <col min="8470" max="8470" width="26.125" style="255" customWidth="1"/>
    <col min="8471" max="8471" width="11.125" style="255" customWidth="1"/>
    <col min="8472" max="8472" width="7.875" style="255" customWidth="1"/>
    <col min="8473" max="8473" width="7.25" style="255" customWidth="1"/>
    <col min="8474" max="8474" width="9.125" style="255" customWidth="1"/>
    <col min="8475" max="8475" width="15.125" style="255" customWidth="1"/>
    <col min="8476" max="8476" width="7.75" style="255" customWidth="1"/>
    <col min="8477" max="8477" width="7.125" style="255" customWidth="1"/>
    <col min="8478" max="8478" width="12.125" style="255" customWidth="1"/>
    <col min="8479" max="8479" width="8.25" style="255" customWidth="1"/>
    <col min="8480" max="8481" width="10.375" style="255" customWidth="1"/>
    <col min="8482" max="8482" width="15.625" style="255" customWidth="1"/>
    <col min="8483" max="8483" width="15.875" style="255" customWidth="1"/>
    <col min="8484" max="8484" width="8.125" style="255" customWidth="1"/>
    <col min="8485" max="8488" width="10.375" style="255" customWidth="1"/>
    <col min="8489" max="8489" width="7.25" style="255" customWidth="1"/>
    <col min="8490" max="8490" width="7.125" style="255" customWidth="1"/>
    <col min="8491" max="8491" width="9.5" style="255" customWidth="1"/>
    <col min="8492" max="8493" width="9" style="255" customWidth="1"/>
    <col min="8494" max="8494" width="16.125" style="255" customWidth="1"/>
    <col min="8495" max="8525" width="9" style="255" customWidth="1"/>
    <col min="8526" max="8685" width="25.25" style="255"/>
    <col min="8686" max="8715" width="9" style="255" customWidth="1"/>
    <col min="8716" max="8716" width="0.5" style="255" customWidth="1"/>
    <col min="8717" max="8717" width="25.25" style="255"/>
    <col min="8718" max="8718" width="0.5" style="255" customWidth="1"/>
    <col min="8719" max="8719" width="25.25" style="255"/>
    <col min="8720" max="8720" width="14.75" style="255" customWidth="1"/>
    <col min="8721" max="8721" width="11.5" style="255" customWidth="1"/>
    <col min="8722" max="8722" width="11.25" style="255" customWidth="1"/>
    <col min="8723" max="8723" width="10.75" style="255" customWidth="1"/>
    <col min="8724" max="8724" width="10" style="255" customWidth="1"/>
    <col min="8725" max="8725" width="9.875" style="255" customWidth="1"/>
    <col min="8726" max="8726" width="26.125" style="255" customWidth="1"/>
    <col min="8727" max="8727" width="11.125" style="255" customWidth="1"/>
    <col min="8728" max="8728" width="7.875" style="255" customWidth="1"/>
    <col min="8729" max="8729" width="7.25" style="255" customWidth="1"/>
    <col min="8730" max="8730" width="9.125" style="255" customWidth="1"/>
    <col min="8731" max="8731" width="15.125" style="255" customWidth="1"/>
    <col min="8732" max="8732" width="7.75" style="255" customWidth="1"/>
    <col min="8733" max="8733" width="7.125" style="255" customWidth="1"/>
    <col min="8734" max="8734" width="12.125" style="255" customWidth="1"/>
    <col min="8735" max="8735" width="8.25" style="255" customWidth="1"/>
    <col min="8736" max="8737" width="10.375" style="255" customWidth="1"/>
    <col min="8738" max="8738" width="15.625" style="255" customWidth="1"/>
    <col min="8739" max="8739" width="15.875" style="255" customWidth="1"/>
    <col min="8740" max="8740" width="8.125" style="255" customWidth="1"/>
    <col min="8741" max="8744" width="10.375" style="255" customWidth="1"/>
    <col min="8745" max="8745" width="7.25" style="255" customWidth="1"/>
    <col min="8746" max="8746" width="7.125" style="255" customWidth="1"/>
    <col min="8747" max="8747" width="9.5" style="255" customWidth="1"/>
    <col min="8748" max="8749" width="9" style="255" customWidth="1"/>
    <col min="8750" max="8750" width="16.125" style="255" customWidth="1"/>
    <col min="8751" max="8781" width="9" style="255" customWidth="1"/>
    <col min="8782" max="8941" width="25.25" style="255"/>
    <col min="8942" max="8971" width="9" style="255" customWidth="1"/>
    <col min="8972" max="8972" width="0.5" style="255" customWidth="1"/>
    <col min="8973" max="8973" width="25.25" style="255"/>
    <col min="8974" max="8974" width="0.5" style="255" customWidth="1"/>
    <col min="8975" max="8975" width="25.25" style="255"/>
    <col min="8976" max="8976" width="14.75" style="255" customWidth="1"/>
    <col min="8977" max="8977" width="11.5" style="255" customWidth="1"/>
    <col min="8978" max="8978" width="11.25" style="255" customWidth="1"/>
    <col min="8979" max="8979" width="10.75" style="255" customWidth="1"/>
    <col min="8980" max="8980" width="10" style="255" customWidth="1"/>
    <col min="8981" max="8981" width="9.875" style="255" customWidth="1"/>
    <col min="8982" max="8982" width="26.125" style="255" customWidth="1"/>
    <col min="8983" max="8983" width="11.125" style="255" customWidth="1"/>
    <col min="8984" max="8984" width="7.875" style="255" customWidth="1"/>
    <col min="8985" max="8985" width="7.25" style="255" customWidth="1"/>
    <col min="8986" max="8986" width="9.125" style="255" customWidth="1"/>
    <col min="8987" max="8987" width="15.125" style="255" customWidth="1"/>
    <col min="8988" max="8988" width="7.75" style="255" customWidth="1"/>
    <col min="8989" max="8989" width="7.125" style="255" customWidth="1"/>
    <col min="8990" max="8990" width="12.125" style="255" customWidth="1"/>
    <col min="8991" max="8991" width="8.25" style="255" customWidth="1"/>
    <col min="8992" max="8993" width="10.375" style="255" customWidth="1"/>
    <col min="8994" max="8994" width="15.625" style="255" customWidth="1"/>
    <col min="8995" max="8995" width="15.875" style="255" customWidth="1"/>
    <col min="8996" max="8996" width="8.125" style="255" customWidth="1"/>
    <col min="8997" max="9000" width="10.375" style="255" customWidth="1"/>
    <col min="9001" max="9001" width="7.25" style="255" customWidth="1"/>
    <col min="9002" max="9002" width="7.125" style="255" customWidth="1"/>
    <col min="9003" max="9003" width="9.5" style="255" customWidth="1"/>
    <col min="9004" max="9005" width="9" style="255" customWidth="1"/>
    <col min="9006" max="9006" width="16.125" style="255" customWidth="1"/>
    <col min="9007" max="9037" width="9" style="255" customWidth="1"/>
    <col min="9038" max="9197" width="25.25" style="255"/>
    <col min="9198" max="9227" width="9" style="255" customWidth="1"/>
    <col min="9228" max="9228" width="0.5" style="255" customWidth="1"/>
    <col min="9229" max="9229" width="25.25" style="255"/>
    <col min="9230" max="9230" width="0.5" style="255" customWidth="1"/>
    <col min="9231" max="9231" width="25.25" style="255"/>
    <col min="9232" max="9232" width="14.75" style="255" customWidth="1"/>
    <col min="9233" max="9233" width="11.5" style="255" customWidth="1"/>
    <col min="9234" max="9234" width="11.25" style="255" customWidth="1"/>
    <col min="9235" max="9235" width="10.75" style="255" customWidth="1"/>
    <col min="9236" max="9236" width="10" style="255" customWidth="1"/>
    <col min="9237" max="9237" width="9.875" style="255" customWidth="1"/>
    <col min="9238" max="9238" width="26.125" style="255" customWidth="1"/>
    <col min="9239" max="9239" width="11.125" style="255" customWidth="1"/>
    <col min="9240" max="9240" width="7.875" style="255" customWidth="1"/>
    <col min="9241" max="9241" width="7.25" style="255" customWidth="1"/>
    <col min="9242" max="9242" width="9.125" style="255" customWidth="1"/>
    <col min="9243" max="9243" width="15.125" style="255" customWidth="1"/>
    <col min="9244" max="9244" width="7.75" style="255" customWidth="1"/>
    <col min="9245" max="9245" width="7.125" style="255" customWidth="1"/>
    <col min="9246" max="9246" width="12.125" style="255" customWidth="1"/>
    <col min="9247" max="9247" width="8.25" style="255" customWidth="1"/>
    <col min="9248" max="9249" width="10.375" style="255" customWidth="1"/>
    <col min="9250" max="9250" width="15.625" style="255" customWidth="1"/>
    <col min="9251" max="9251" width="15.875" style="255" customWidth="1"/>
    <col min="9252" max="9252" width="8.125" style="255" customWidth="1"/>
    <col min="9253" max="9256" width="10.375" style="255" customWidth="1"/>
    <col min="9257" max="9257" width="7.25" style="255" customWidth="1"/>
    <col min="9258" max="9258" width="7.125" style="255" customWidth="1"/>
    <col min="9259" max="9259" width="9.5" style="255" customWidth="1"/>
    <col min="9260" max="9261" width="9" style="255" customWidth="1"/>
    <col min="9262" max="9262" width="16.125" style="255" customWidth="1"/>
    <col min="9263" max="9293" width="9" style="255" customWidth="1"/>
    <col min="9294" max="9453" width="25.25" style="255"/>
    <col min="9454" max="9483" width="9" style="255" customWidth="1"/>
    <col min="9484" max="9484" width="0.5" style="255" customWidth="1"/>
    <col min="9485" max="9485" width="25.25" style="255"/>
    <col min="9486" max="9486" width="0.5" style="255" customWidth="1"/>
    <col min="9487" max="9487" width="25.25" style="255"/>
    <col min="9488" max="9488" width="14.75" style="255" customWidth="1"/>
    <col min="9489" max="9489" width="11.5" style="255" customWidth="1"/>
    <col min="9490" max="9490" width="11.25" style="255" customWidth="1"/>
    <col min="9491" max="9491" width="10.75" style="255" customWidth="1"/>
    <col min="9492" max="9492" width="10" style="255" customWidth="1"/>
    <col min="9493" max="9493" width="9.875" style="255" customWidth="1"/>
    <col min="9494" max="9494" width="26.125" style="255" customWidth="1"/>
    <col min="9495" max="9495" width="11.125" style="255" customWidth="1"/>
    <col min="9496" max="9496" width="7.875" style="255" customWidth="1"/>
    <col min="9497" max="9497" width="7.25" style="255" customWidth="1"/>
    <col min="9498" max="9498" width="9.125" style="255" customWidth="1"/>
    <col min="9499" max="9499" width="15.125" style="255" customWidth="1"/>
    <col min="9500" max="9500" width="7.75" style="255" customWidth="1"/>
    <col min="9501" max="9501" width="7.125" style="255" customWidth="1"/>
    <col min="9502" max="9502" width="12.125" style="255" customWidth="1"/>
    <col min="9503" max="9503" width="8.25" style="255" customWidth="1"/>
    <col min="9504" max="9505" width="10.375" style="255" customWidth="1"/>
    <col min="9506" max="9506" width="15.625" style="255" customWidth="1"/>
    <col min="9507" max="9507" width="15.875" style="255" customWidth="1"/>
    <col min="9508" max="9508" width="8.125" style="255" customWidth="1"/>
    <col min="9509" max="9512" width="10.375" style="255" customWidth="1"/>
    <col min="9513" max="9513" width="7.25" style="255" customWidth="1"/>
    <col min="9514" max="9514" width="7.125" style="255" customWidth="1"/>
    <col min="9515" max="9515" width="9.5" style="255" customWidth="1"/>
    <col min="9516" max="9517" width="9" style="255" customWidth="1"/>
    <col min="9518" max="9518" width="16.125" style="255" customWidth="1"/>
    <col min="9519" max="9549" width="9" style="255" customWidth="1"/>
    <col min="9550" max="9709" width="25.25" style="255"/>
    <col min="9710" max="9739" width="9" style="255" customWidth="1"/>
    <col min="9740" max="9740" width="0.5" style="255" customWidth="1"/>
    <col min="9741" max="9741" width="25.25" style="255"/>
    <col min="9742" max="9742" width="0.5" style="255" customWidth="1"/>
    <col min="9743" max="9743" width="25.25" style="255"/>
    <col min="9744" max="9744" width="14.75" style="255" customWidth="1"/>
    <col min="9745" max="9745" width="11.5" style="255" customWidth="1"/>
    <col min="9746" max="9746" width="11.25" style="255" customWidth="1"/>
    <col min="9747" max="9747" width="10.75" style="255" customWidth="1"/>
    <col min="9748" max="9748" width="10" style="255" customWidth="1"/>
    <col min="9749" max="9749" width="9.875" style="255" customWidth="1"/>
    <col min="9750" max="9750" width="26.125" style="255" customWidth="1"/>
    <col min="9751" max="9751" width="11.125" style="255" customWidth="1"/>
    <col min="9752" max="9752" width="7.875" style="255" customWidth="1"/>
    <col min="9753" max="9753" width="7.25" style="255" customWidth="1"/>
    <col min="9754" max="9754" width="9.125" style="255" customWidth="1"/>
    <col min="9755" max="9755" width="15.125" style="255" customWidth="1"/>
    <col min="9756" max="9756" width="7.75" style="255" customWidth="1"/>
    <col min="9757" max="9757" width="7.125" style="255" customWidth="1"/>
    <col min="9758" max="9758" width="12.125" style="255" customWidth="1"/>
    <col min="9759" max="9759" width="8.25" style="255" customWidth="1"/>
    <col min="9760" max="9761" width="10.375" style="255" customWidth="1"/>
    <col min="9762" max="9762" width="15.625" style="255" customWidth="1"/>
    <col min="9763" max="9763" width="15.875" style="255" customWidth="1"/>
    <col min="9764" max="9764" width="8.125" style="255" customWidth="1"/>
    <col min="9765" max="9768" width="10.375" style="255" customWidth="1"/>
    <col min="9769" max="9769" width="7.25" style="255" customWidth="1"/>
    <col min="9770" max="9770" width="7.125" style="255" customWidth="1"/>
    <col min="9771" max="9771" width="9.5" style="255" customWidth="1"/>
    <col min="9772" max="9773" width="9" style="255" customWidth="1"/>
    <col min="9774" max="9774" width="16.125" style="255" customWidth="1"/>
    <col min="9775" max="9805" width="9" style="255" customWidth="1"/>
    <col min="9806" max="9965" width="25.25" style="255"/>
    <col min="9966" max="9995" width="9" style="255" customWidth="1"/>
    <col min="9996" max="9996" width="0.5" style="255" customWidth="1"/>
    <col min="9997" max="9997" width="25.25" style="255"/>
    <col min="9998" max="9998" width="0.5" style="255" customWidth="1"/>
    <col min="9999" max="9999" width="25.25" style="255"/>
    <col min="10000" max="10000" width="14.75" style="255" customWidth="1"/>
    <col min="10001" max="10001" width="11.5" style="255" customWidth="1"/>
    <col min="10002" max="10002" width="11.25" style="255" customWidth="1"/>
    <col min="10003" max="10003" width="10.75" style="255" customWidth="1"/>
    <col min="10004" max="10004" width="10" style="255" customWidth="1"/>
    <col min="10005" max="10005" width="9.875" style="255" customWidth="1"/>
    <col min="10006" max="10006" width="26.125" style="255" customWidth="1"/>
    <col min="10007" max="10007" width="11.125" style="255" customWidth="1"/>
    <col min="10008" max="10008" width="7.875" style="255" customWidth="1"/>
    <col min="10009" max="10009" width="7.25" style="255" customWidth="1"/>
    <col min="10010" max="10010" width="9.125" style="255" customWidth="1"/>
    <col min="10011" max="10011" width="15.125" style="255" customWidth="1"/>
    <col min="10012" max="10012" width="7.75" style="255" customWidth="1"/>
    <col min="10013" max="10013" width="7.125" style="255" customWidth="1"/>
    <col min="10014" max="10014" width="12.125" style="255" customWidth="1"/>
    <col min="10015" max="10015" width="8.25" style="255" customWidth="1"/>
    <col min="10016" max="10017" width="10.375" style="255" customWidth="1"/>
    <col min="10018" max="10018" width="15.625" style="255" customWidth="1"/>
    <col min="10019" max="10019" width="15.875" style="255" customWidth="1"/>
    <col min="10020" max="10020" width="8.125" style="255" customWidth="1"/>
    <col min="10021" max="10024" width="10.375" style="255" customWidth="1"/>
    <col min="10025" max="10025" width="7.25" style="255" customWidth="1"/>
    <col min="10026" max="10026" width="7.125" style="255" customWidth="1"/>
    <col min="10027" max="10027" width="9.5" style="255" customWidth="1"/>
    <col min="10028" max="10029" width="9" style="255" customWidth="1"/>
    <col min="10030" max="10030" width="16.125" style="255" customWidth="1"/>
    <col min="10031" max="10061" width="9" style="255" customWidth="1"/>
    <col min="10062" max="10221" width="25.25" style="255"/>
    <col min="10222" max="10251" width="9" style="255" customWidth="1"/>
    <col min="10252" max="10252" width="0.5" style="255" customWidth="1"/>
    <col min="10253" max="10253" width="25.25" style="255"/>
    <col min="10254" max="10254" width="0.5" style="255" customWidth="1"/>
    <col min="10255" max="10255" width="25.25" style="255"/>
    <col min="10256" max="10256" width="14.75" style="255" customWidth="1"/>
    <col min="10257" max="10257" width="11.5" style="255" customWidth="1"/>
    <col min="10258" max="10258" width="11.25" style="255" customWidth="1"/>
    <col min="10259" max="10259" width="10.75" style="255" customWidth="1"/>
    <col min="10260" max="10260" width="10" style="255" customWidth="1"/>
    <col min="10261" max="10261" width="9.875" style="255" customWidth="1"/>
    <col min="10262" max="10262" width="26.125" style="255" customWidth="1"/>
    <col min="10263" max="10263" width="11.125" style="255" customWidth="1"/>
    <col min="10264" max="10264" width="7.875" style="255" customWidth="1"/>
    <col min="10265" max="10265" width="7.25" style="255" customWidth="1"/>
    <col min="10266" max="10266" width="9.125" style="255" customWidth="1"/>
    <col min="10267" max="10267" width="15.125" style="255" customWidth="1"/>
    <col min="10268" max="10268" width="7.75" style="255" customWidth="1"/>
    <col min="10269" max="10269" width="7.125" style="255" customWidth="1"/>
    <col min="10270" max="10270" width="12.125" style="255" customWidth="1"/>
    <col min="10271" max="10271" width="8.25" style="255" customWidth="1"/>
    <col min="10272" max="10273" width="10.375" style="255" customWidth="1"/>
    <col min="10274" max="10274" width="15.625" style="255" customWidth="1"/>
    <col min="10275" max="10275" width="15.875" style="255" customWidth="1"/>
    <col min="10276" max="10276" width="8.125" style="255" customWidth="1"/>
    <col min="10277" max="10280" width="10.375" style="255" customWidth="1"/>
    <col min="10281" max="10281" width="7.25" style="255" customWidth="1"/>
    <col min="10282" max="10282" width="7.125" style="255" customWidth="1"/>
    <col min="10283" max="10283" width="9.5" style="255" customWidth="1"/>
    <col min="10284" max="10285" width="9" style="255" customWidth="1"/>
    <col min="10286" max="10286" width="16.125" style="255" customWidth="1"/>
    <col min="10287" max="10317" width="9" style="255" customWidth="1"/>
    <col min="10318" max="10477" width="25.25" style="255"/>
    <col min="10478" max="10507" width="9" style="255" customWidth="1"/>
    <col min="10508" max="10508" width="0.5" style="255" customWidth="1"/>
    <col min="10509" max="10509" width="25.25" style="255"/>
    <col min="10510" max="10510" width="0.5" style="255" customWidth="1"/>
    <col min="10511" max="10511" width="25.25" style="255"/>
    <col min="10512" max="10512" width="14.75" style="255" customWidth="1"/>
    <col min="10513" max="10513" width="11.5" style="255" customWidth="1"/>
    <col min="10514" max="10514" width="11.25" style="255" customWidth="1"/>
    <col min="10515" max="10515" width="10.75" style="255" customWidth="1"/>
    <col min="10516" max="10516" width="10" style="255" customWidth="1"/>
    <col min="10517" max="10517" width="9.875" style="255" customWidth="1"/>
    <col min="10518" max="10518" width="26.125" style="255" customWidth="1"/>
    <col min="10519" max="10519" width="11.125" style="255" customWidth="1"/>
    <col min="10520" max="10520" width="7.875" style="255" customWidth="1"/>
    <col min="10521" max="10521" width="7.25" style="255" customWidth="1"/>
    <col min="10522" max="10522" width="9.125" style="255" customWidth="1"/>
    <col min="10523" max="10523" width="15.125" style="255" customWidth="1"/>
    <col min="10524" max="10524" width="7.75" style="255" customWidth="1"/>
    <col min="10525" max="10525" width="7.125" style="255" customWidth="1"/>
    <col min="10526" max="10526" width="12.125" style="255" customWidth="1"/>
    <col min="10527" max="10527" width="8.25" style="255" customWidth="1"/>
    <col min="10528" max="10529" width="10.375" style="255" customWidth="1"/>
    <col min="10530" max="10530" width="15.625" style="255" customWidth="1"/>
    <col min="10531" max="10531" width="15.875" style="255" customWidth="1"/>
    <col min="10532" max="10532" width="8.125" style="255" customWidth="1"/>
    <col min="10533" max="10536" width="10.375" style="255" customWidth="1"/>
    <col min="10537" max="10537" width="7.25" style="255" customWidth="1"/>
    <col min="10538" max="10538" width="7.125" style="255" customWidth="1"/>
    <col min="10539" max="10539" width="9.5" style="255" customWidth="1"/>
    <col min="10540" max="10541" width="9" style="255" customWidth="1"/>
    <col min="10542" max="10542" width="16.125" style="255" customWidth="1"/>
    <col min="10543" max="10573" width="9" style="255" customWidth="1"/>
    <col min="10574" max="10733" width="25.25" style="255"/>
    <col min="10734" max="10763" width="9" style="255" customWidth="1"/>
    <col min="10764" max="10764" width="0.5" style="255" customWidth="1"/>
    <col min="10765" max="10765" width="25.25" style="255"/>
    <col min="10766" max="10766" width="0.5" style="255" customWidth="1"/>
    <col min="10767" max="10767" width="25.25" style="255"/>
    <col min="10768" max="10768" width="14.75" style="255" customWidth="1"/>
    <col min="10769" max="10769" width="11.5" style="255" customWidth="1"/>
    <col min="10770" max="10770" width="11.25" style="255" customWidth="1"/>
    <col min="10771" max="10771" width="10.75" style="255" customWidth="1"/>
    <col min="10772" max="10772" width="10" style="255" customWidth="1"/>
    <col min="10773" max="10773" width="9.875" style="255" customWidth="1"/>
    <col min="10774" max="10774" width="26.125" style="255" customWidth="1"/>
    <col min="10775" max="10775" width="11.125" style="255" customWidth="1"/>
    <col min="10776" max="10776" width="7.875" style="255" customWidth="1"/>
    <col min="10777" max="10777" width="7.25" style="255" customWidth="1"/>
    <col min="10778" max="10778" width="9.125" style="255" customWidth="1"/>
    <col min="10779" max="10779" width="15.125" style="255" customWidth="1"/>
    <col min="10780" max="10780" width="7.75" style="255" customWidth="1"/>
    <col min="10781" max="10781" width="7.125" style="255" customWidth="1"/>
    <col min="10782" max="10782" width="12.125" style="255" customWidth="1"/>
    <col min="10783" max="10783" width="8.25" style="255" customWidth="1"/>
    <col min="10784" max="10785" width="10.375" style="255" customWidth="1"/>
    <col min="10786" max="10786" width="15.625" style="255" customWidth="1"/>
    <col min="10787" max="10787" width="15.875" style="255" customWidth="1"/>
    <col min="10788" max="10788" width="8.125" style="255" customWidth="1"/>
    <col min="10789" max="10792" width="10.375" style="255" customWidth="1"/>
    <col min="10793" max="10793" width="7.25" style="255" customWidth="1"/>
    <col min="10794" max="10794" width="7.125" style="255" customWidth="1"/>
    <col min="10795" max="10795" width="9.5" style="255" customWidth="1"/>
    <col min="10796" max="10797" width="9" style="255" customWidth="1"/>
    <col min="10798" max="10798" width="16.125" style="255" customWidth="1"/>
    <col min="10799" max="10829" width="9" style="255" customWidth="1"/>
    <col min="10830" max="10989" width="25.25" style="255"/>
    <col min="10990" max="11019" width="9" style="255" customWidth="1"/>
    <col min="11020" max="11020" width="0.5" style="255" customWidth="1"/>
    <col min="11021" max="11021" width="25.25" style="255"/>
    <col min="11022" max="11022" width="0.5" style="255" customWidth="1"/>
    <col min="11023" max="11023" width="25.25" style="255"/>
    <col min="11024" max="11024" width="14.75" style="255" customWidth="1"/>
    <col min="11025" max="11025" width="11.5" style="255" customWidth="1"/>
    <col min="11026" max="11026" width="11.25" style="255" customWidth="1"/>
    <col min="11027" max="11027" width="10.75" style="255" customWidth="1"/>
    <col min="11028" max="11028" width="10" style="255" customWidth="1"/>
    <col min="11029" max="11029" width="9.875" style="255" customWidth="1"/>
    <col min="11030" max="11030" width="26.125" style="255" customWidth="1"/>
    <col min="11031" max="11031" width="11.125" style="255" customWidth="1"/>
    <col min="11032" max="11032" width="7.875" style="255" customWidth="1"/>
    <col min="11033" max="11033" width="7.25" style="255" customWidth="1"/>
    <col min="11034" max="11034" width="9.125" style="255" customWidth="1"/>
    <col min="11035" max="11035" width="15.125" style="255" customWidth="1"/>
    <col min="11036" max="11036" width="7.75" style="255" customWidth="1"/>
    <col min="11037" max="11037" width="7.125" style="255" customWidth="1"/>
    <col min="11038" max="11038" width="12.125" style="255" customWidth="1"/>
    <col min="11039" max="11039" width="8.25" style="255" customWidth="1"/>
    <col min="11040" max="11041" width="10.375" style="255" customWidth="1"/>
    <col min="11042" max="11042" width="15.625" style="255" customWidth="1"/>
    <col min="11043" max="11043" width="15.875" style="255" customWidth="1"/>
    <col min="11044" max="11044" width="8.125" style="255" customWidth="1"/>
    <col min="11045" max="11048" width="10.375" style="255" customWidth="1"/>
    <col min="11049" max="11049" width="7.25" style="255" customWidth="1"/>
    <col min="11050" max="11050" width="7.125" style="255" customWidth="1"/>
    <col min="11051" max="11051" width="9.5" style="255" customWidth="1"/>
    <col min="11052" max="11053" width="9" style="255" customWidth="1"/>
    <col min="11054" max="11054" width="16.125" style="255" customWidth="1"/>
    <col min="11055" max="11085" width="9" style="255" customWidth="1"/>
    <col min="11086" max="11245" width="25.25" style="255"/>
    <col min="11246" max="11275" width="9" style="255" customWidth="1"/>
    <col min="11276" max="11276" width="0.5" style="255" customWidth="1"/>
    <col min="11277" max="11277" width="25.25" style="255"/>
    <col min="11278" max="11278" width="0.5" style="255" customWidth="1"/>
    <col min="11279" max="11279" width="25.25" style="255"/>
    <col min="11280" max="11280" width="14.75" style="255" customWidth="1"/>
    <col min="11281" max="11281" width="11.5" style="255" customWidth="1"/>
    <col min="11282" max="11282" width="11.25" style="255" customWidth="1"/>
    <col min="11283" max="11283" width="10.75" style="255" customWidth="1"/>
    <col min="11284" max="11284" width="10" style="255" customWidth="1"/>
    <col min="11285" max="11285" width="9.875" style="255" customWidth="1"/>
    <col min="11286" max="11286" width="26.125" style="255" customWidth="1"/>
    <col min="11287" max="11287" width="11.125" style="255" customWidth="1"/>
    <col min="11288" max="11288" width="7.875" style="255" customWidth="1"/>
    <col min="11289" max="11289" width="7.25" style="255" customWidth="1"/>
    <col min="11290" max="11290" width="9.125" style="255" customWidth="1"/>
    <col min="11291" max="11291" width="15.125" style="255" customWidth="1"/>
    <col min="11292" max="11292" width="7.75" style="255" customWidth="1"/>
    <col min="11293" max="11293" width="7.125" style="255" customWidth="1"/>
    <col min="11294" max="11294" width="12.125" style="255" customWidth="1"/>
    <col min="11295" max="11295" width="8.25" style="255" customWidth="1"/>
    <col min="11296" max="11297" width="10.375" style="255" customWidth="1"/>
    <col min="11298" max="11298" width="15.625" style="255" customWidth="1"/>
    <col min="11299" max="11299" width="15.875" style="255" customWidth="1"/>
    <col min="11300" max="11300" width="8.125" style="255" customWidth="1"/>
    <col min="11301" max="11304" width="10.375" style="255" customWidth="1"/>
    <col min="11305" max="11305" width="7.25" style="255" customWidth="1"/>
    <col min="11306" max="11306" width="7.125" style="255" customWidth="1"/>
    <col min="11307" max="11307" width="9.5" style="255" customWidth="1"/>
    <col min="11308" max="11309" width="9" style="255" customWidth="1"/>
    <col min="11310" max="11310" width="16.125" style="255" customWidth="1"/>
    <col min="11311" max="11341" width="9" style="255" customWidth="1"/>
    <col min="11342" max="11501" width="25.25" style="255"/>
    <col min="11502" max="11531" width="9" style="255" customWidth="1"/>
    <col min="11532" max="11532" width="0.5" style="255" customWidth="1"/>
    <col min="11533" max="11533" width="25.25" style="255"/>
    <col min="11534" max="11534" width="0.5" style="255" customWidth="1"/>
    <col min="11535" max="11535" width="25.25" style="255"/>
    <col min="11536" max="11536" width="14.75" style="255" customWidth="1"/>
    <col min="11537" max="11537" width="11.5" style="255" customWidth="1"/>
    <col min="11538" max="11538" width="11.25" style="255" customWidth="1"/>
    <col min="11539" max="11539" width="10.75" style="255" customWidth="1"/>
    <col min="11540" max="11540" width="10" style="255" customWidth="1"/>
    <col min="11541" max="11541" width="9.875" style="255" customWidth="1"/>
    <col min="11542" max="11542" width="26.125" style="255" customWidth="1"/>
    <col min="11543" max="11543" width="11.125" style="255" customWidth="1"/>
    <col min="11544" max="11544" width="7.875" style="255" customWidth="1"/>
    <col min="11545" max="11545" width="7.25" style="255" customWidth="1"/>
    <col min="11546" max="11546" width="9.125" style="255" customWidth="1"/>
    <col min="11547" max="11547" width="15.125" style="255" customWidth="1"/>
    <col min="11548" max="11548" width="7.75" style="255" customWidth="1"/>
    <col min="11549" max="11549" width="7.125" style="255" customWidth="1"/>
    <col min="11550" max="11550" width="12.125" style="255" customWidth="1"/>
    <col min="11551" max="11551" width="8.25" style="255" customWidth="1"/>
    <col min="11552" max="11553" width="10.375" style="255" customWidth="1"/>
    <col min="11554" max="11554" width="15.625" style="255" customWidth="1"/>
    <col min="11555" max="11555" width="15.875" style="255" customWidth="1"/>
    <col min="11556" max="11556" width="8.125" style="255" customWidth="1"/>
    <col min="11557" max="11560" width="10.375" style="255" customWidth="1"/>
    <col min="11561" max="11561" width="7.25" style="255" customWidth="1"/>
    <col min="11562" max="11562" width="7.125" style="255" customWidth="1"/>
    <col min="11563" max="11563" width="9.5" style="255" customWidth="1"/>
    <col min="11564" max="11565" width="9" style="255" customWidth="1"/>
    <col min="11566" max="11566" width="16.125" style="255" customWidth="1"/>
    <col min="11567" max="11597" width="9" style="255" customWidth="1"/>
    <col min="11598" max="11757" width="25.25" style="255"/>
    <col min="11758" max="11787" width="9" style="255" customWidth="1"/>
    <col min="11788" max="11788" width="0.5" style="255" customWidth="1"/>
    <col min="11789" max="11789" width="25.25" style="255"/>
    <col min="11790" max="11790" width="0.5" style="255" customWidth="1"/>
    <col min="11791" max="11791" width="25.25" style="255"/>
    <col min="11792" max="11792" width="14.75" style="255" customWidth="1"/>
    <col min="11793" max="11793" width="11.5" style="255" customWidth="1"/>
    <col min="11794" max="11794" width="11.25" style="255" customWidth="1"/>
    <col min="11795" max="11795" width="10.75" style="255" customWidth="1"/>
    <col min="11796" max="11796" width="10" style="255" customWidth="1"/>
    <col min="11797" max="11797" width="9.875" style="255" customWidth="1"/>
    <col min="11798" max="11798" width="26.125" style="255" customWidth="1"/>
    <col min="11799" max="11799" width="11.125" style="255" customWidth="1"/>
    <col min="11800" max="11800" width="7.875" style="255" customWidth="1"/>
    <col min="11801" max="11801" width="7.25" style="255" customWidth="1"/>
    <col min="11802" max="11802" width="9.125" style="255" customWidth="1"/>
    <col min="11803" max="11803" width="15.125" style="255" customWidth="1"/>
    <col min="11804" max="11804" width="7.75" style="255" customWidth="1"/>
    <col min="11805" max="11805" width="7.125" style="255" customWidth="1"/>
    <col min="11806" max="11806" width="12.125" style="255" customWidth="1"/>
    <col min="11807" max="11807" width="8.25" style="255" customWidth="1"/>
    <col min="11808" max="11809" width="10.375" style="255" customWidth="1"/>
    <col min="11810" max="11810" width="15.625" style="255" customWidth="1"/>
    <col min="11811" max="11811" width="15.875" style="255" customWidth="1"/>
    <col min="11812" max="11812" width="8.125" style="255" customWidth="1"/>
    <col min="11813" max="11816" width="10.375" style="255" customWidth="1"/>
    <col min="11817" max="11817" width="7.25" style="255" customWidth="1"/>
    <col min="11818" max="11818" width="7.125" style="255" customWidth="1"/>
    <col min="11819" max="11819" width="9.5" style="255" customWidth="1"/>
    <col min="11820" max="11821" width="9" style="255" customWidth="1"/>
    <col min="11822" max="11822" width="16.125" style="255" customWidth="1"/>
    <col min="11823" max="11853" width="9" style="255" customWidth="1"/>
    <col min="11854" max="12013" width="25.25" style="255"/>
    <col min="12014" max="12043" width="9" style="255" customWidth="1"/>
    <col min="12044" max="12044" width="0.5" style="255" customWidth="1"/>
    <col min="12045" max="12045" width="25.25" style="255"/>
    <col min="12046" max="12046" width="0.5" style="255" customWidth="1"/>
    <col min="12047" max="12047" width="25.25" style="255"/>
    <col min="12048" max="12048" width="14.75" style="255" customWidth="1"/>
    <col min="12049" max="12049" width="11.5" style="255" customWidth="1"/>
    <col min="12050" max="12050" width="11.25" style="255" customWidth="1"/>
    <col min="12051" max="12051" width="10.75" style="255" customWidth="1"/>
    <col min="12052" max="12052" width="10" style="255" customWidth="1"/>
    <col min="12053" max="12053" width="9.875" style="255" customWidth="1"/>
    <col min="12054" max="12054" width="26.125" style="255" customWidth="1"/>
    <col min="12055" max="12055" width="11.125" style="255" customWidth="1"/>
    <col min="12056" max="12056" width="7.875" style="255" customWidth="1"/>
    <col min="12057" max="12057" width="7.25" style="255" customWidth="1"/>
    <col min="12058" max="12058" width="9.125" style="255" customWidth="1"/>
    <col min="12059" max="12059" width="15.125" style="255" customWidth="1"/>
    <col min="12060" max="12060" width="7.75" style="255" customWidth="1"/>
    <col min="12061" max="12061" width="7.125" style="255" customWidth="1"/>
    <col min="12062" max="12062" width="12.125" style="255" customWidth="1"/>
    <col min="12063" max="12063" width="8.25" style="255" customWidth="1"/>
    <col min="12064" max="12065" width="10.375" style="255" customWidth="1"/>
    <col min="12066" max="12066" width="15.625" style="255" customWidth="1"/>
    <col min="12067" max="12067" width="15.875" style="255" customWidth="1"/>
    <col min="12068" max="12068" width="8.125" style="255" customWidth="1"/>
    <col min="12069" max="12072" width="10.375" style="255" customWidth="1"/>
    <col min="12073" max="12073" width="7.25" style="255" customWidth="1"/>
    <col min="12074" max="12074" width="7.125" style="255" customWidth="1"/>
    <col min="12075" max="12075" width="9.5" style="255" customWidth="1"/>
    <col min="12076" max="12077" width="9" style="255" customWidth="1"/>
    <col min="12078" max="12078" width="16.125" style="255" customWidth="1"/>
    <col min="12079" max="12109" width="9" style="255" customWidth="1"/>
    <col min="12110" max="12269" width="25.25" style="255"/>
    <col min="12270" max="12299" width="9" style="255" customWidth="1"/>
    <col min="12300" max="12300" width="0.5" style="255" customWidth="1"/>
    <col min="12301" max="12301" width="25.25" style="255"/>
    <col min="12302" max="12302" width="0.5" style="255" customWidth="1"/>
    <col min="12303" max="12303" width="25.25" style="255"/>
    <col min="12304" max="12304" width="14.75" style="255" customWidth="1"/>
    <col min="12305" max="12305" width="11.5" style="255" customWidth="1"/>
    <col min="12306" max="12306" width="11.25" style="255" customWidth="1"/>
    <col min="12307" max="12307" width="10.75" style="255" customWidth="1"/>
    <col min="12308" max="12308" width="10" style="255" customWidth="1"/>
    <col min="12309" max="12309" width="9.875" style="255" customWidth="1"/>
    <col min="12310" max="12310" width="26.125" style="255" customWidth="1"/>
    <col min="12311" max="12311" width="11.125" style="255" customWidth="1"/>
    <col min="12312" max="12312" width="7.875" style="255" customWidth="1"/>
    <col min="12313" max="12313" width="7.25" style="255" customWidth="1"/>
    <col min="12314" max="12314" width="9.125" style="255" customWidth="1"/>
    <col min="12315" max="12315" width="15.125" style="255" customWidth="1"/>
    <col min="12316" max="12316" width="7.75" style="255" customWidth="1"/>
    <col min="12317" max="12317" width="7.125" style="255" customWidth="1"/>
    <col min="12318" max="12318" width="12.125" style="255" customWidth="1"/>
    <col min="12319" max="12319" width="8.25" style="255" customWidth="1"/>
    <col min="12320" max="12321" width="10.375" style="255" customWidth="1"/>
    <col min="12322" max="12322" width="15.625" style="255" customWidth="1"/>
    <col min="12323" max="12323" width="15.875" style="255" customWidth="1"/>
    <col min="12324" max="12324" width="8.125" style="255" customWidth="1"/>
    <col min="12325" max="12328" width="10.375" style="255" customWidth="1"/>
    <col min="12329" max="12329" width="7.25" style="255" customWidth="1"/>
    <col min="12330" max="12330" width="7.125" style="255" customWidth="1"/>
    <col min="12331" max="12331" width="9.5" style="255" customWidth="1"/>
    <col min="12332" max="12333" width="9" style="255" customWidth="1"/>
    <col min="12334" max="12334" width="16.125" style="255" customWidth="1"/>
    <col min="12335" max="12365" width="9" style="255" customWidth="1"/>
    <col min="12366" max="12525" width="25.25" style="255"/>
    <col min="12526" max="12555" width="9" style="255" customWidth="1"/>
    <col min="12556" max="12556" width="0.5" style="255" customWidth="1"/>
    <col min="12557" max="12557" width="25.25" style="255"/>
    <col min="12558" max="12558" width="0.5" style="255" customWidth="1"/>
    <col min="12559" max="12559" width="25.25" style="255"/>
    <col min="12560" max="12560" width="14.75" style="255" customWidth="1"/>
    <col min="12561" max="12561" width="11.5" style="255" customWidth="1"/>
    <col min="12562" max="12562" width="11.25" style="255" customWidth="1"/>
    <col min="12563" max="12563" width="10.75" style="255" customWidth="1"/>
    <col min="12564" max="12564" width="10" style="255" customWidth="1"/>
    <col min="12565" max="12565" width="9.875" style="255" customWidth="1"/>
    <col min="12566" max="12566" width="26.125" style="255" customWidth="1"/>
    <col min="12567" max="12567" width="11.125" style="255" customWidth="1"/>
    <col min="12568" max="12568" width="7.875" style="255" customWidth="1"/>
    <col min="12569" max="12569" width="7.25" style="255" customWidth="1"/>
    <col min="12570" max="12570" width="9.125" style="255" customWidth="1"/>
    <col min="12571" max="12571" width="15.125" style="255" customWidth="1"/>
    <col min="12572" max="12572" width="7.75" style="255" customWidth="1"/>
    <col min="12573" max="12573" width="7.125" style="255" customWidth="1"/>
    <col min="12574" max="12574" width="12.125" style="255" customWidth="1"/>
    <col min="12575" max="12575" width="8.25" style="255" customWidth="1"/>
    <col min="12576" max="12577" width="10.375" style="255" customWidth="1"/>
    <col min="12578" max="12578" width="15.625" style="255" customWidth="1"/>
    <col min="12579" max="12579" width="15.875" style="255" customWidth="1"/>
    <col min="12580" max="12580" width="8.125" style="255" customWidth="1"/>
    <col min="12581" max="12584" width="10.375" style="255" customWidth="1"/>
    <col min="12585" max="12585" width="7.25" style="255" customWidth="1"/>
    <col min="12586" max="12586" width="7.125" style="255" customWidth="1"/>
    <col min="12587" max="12587" width="9.5" style="255" customWidth="1"/>
    <col min="12588" max="12589" width="9" style="255" customWidth="1"/>
    <col min="12590" max="12590" width="16.125" style="255" customWidth="1"/>
    <col min="12591" max="12621" width="9" style="255" customWidth="1"/>
    <col min="12622" max="12781" width="25.25" style="255"/>
    <col min="12782" max="12811" width="9" style="255" customWidth="1"/>
    <col min="12812" max="12812" width="0.5" style="255" customWidth="1"/>
    <col min="12813" max="12813" width="25.25" style="255"/>
    <col min="12814" max="12814" width="0.5" style="255" customWidth="1"/>
    <col min="12815" max="12815" width="25.25" style="255"/>
    <col min="12816" max="12816" width="14.75" style="255" customWidth="1"/>
    <col min="12817" max="12817" width="11.5" style="255" customWidth="1"/>
    <col min="12818" max="12818" width="11.25" style="255" customWidth="1"/>
    <col min="12819" max="12819" width="10.75" style="255" customWidth="1"/>
    <col min="12820" max="12820" width="10" style="255" customWidth="1"/>
    <col min="12821" max="12821" width="9.875" style="255" customWidth="1"/>
    <col min="12822" max="12822" width="26.125" style="255" customWidth="1"/>
    <col min="12823" max="12823" width="11.125" style="255" customWidth="1"/>
    <col min="12824" max="12824" width="7.875" style="255" customWidth="1"/>
    <col min="12825" max="12825" width="7.25" style="255" customWidth="1"/>
    <col min="12826" max="12826" width="9.125" style="255" customWidth="1"/>
    <col min="12827" max="12827" width="15.125" style="255" customWidth="1"/>
    <col min="12828" max="12828" width="7.75" style="255" customWidth="1"/>
    <col min="12829" max="12829" width="7.125" style="255" customWidth="1"/>
    <col min="12830" max="12830" width="12.125" style="255" customWidth="1"/>
    <col min="12831" max="12831" width="8.25" style="255" customWidth="1"/>
    <col min="12832" max="12833" width="10.375" style="255" customWidth="1"/>
    <col min="12834" max="12834" width="15.625" style="255" customWidth="1"/>
    <col min="12835" max="12835" width="15.875" style="255" customWidth="1"/>
    <col min="12836" max="12836" width="8.125" style="255" customWidth="1"/>
    <col min="12837" max="12840" width="10.375" style="255" customWidth="1"/>
    <col min="12841" max="12841" width="7.25" style="255" customWidth="1"/>
    <col min="12842" max="12842" width="7.125" style="255" customWidth="1"/>
    <col min="12843" max="12843" width="9.5" style="255" customWidth="1"/>
    <col min="12844" max="12845" width="9" style="255" customWidth="1"/>
    <col min="12846" max="12846" width="16.125" style="255" customWidth="1"/>
    <col min="12847" max="12877" width="9" style="255" customWidth="1"/>
    <col min="12878" max="13037" width="25.25" style="255"/>
    <col min="13038" max="13067" width="9" style="255" customWidth="1"/>
    <col min="13068" max="13068" width="0.5" style="255" customWidth="1"/>
    <col min="13069" max="13069" width="25.25" style="255"/>
    <col min="13070" max="13070" width="0.5" style="255" customWidth="1"/>
    <col min="13071" max="13071" width="25.25" style="255"/>
    <col min="13072" max="13072" width="14.75" style="255" customWidth="1"/>
    <col min="13073" max="13073" width="11.5" style="255" customWidth="1"/>
    <col min="13074" max="13074" width="11.25" style="255" customWidth="1"/>
    <col min="13075" max="13075" width="10.75" style="255" customWidth="1"/>
    <col min="13076" max="13076" width="10" style="255" customWidth="1"/>
    <col min="13077" max="13077" width="9.875" style="255" customWidth="1"/>
    <col min="13078" max="13078" width="26.125" style="255" customWidth="1"/>
    <col min="13079" max="13079" width="11.125" style="255" customWidth="1"/>
    <col min="13080" max="13080" width="7.875" style="255" customWidth="1"/>
    <col min="13081" max="13081" width="7.25" style="255" customWidth="1"/>
    <col min="13082" max="13082" width="9.125" style="255" customWidth="1"/>
    <col min="13083" max="13083" width="15.125" style="255" customWidth="1"/>
    <col min="13084" max="13084" width="7.75" style="255" customWidth="1"/>
    <col min="13085" max="13085" width="7.125" style="255" customWidth="1"/>
    <col min="13086" max="13086" width="12.125" style="255" customWidth="1"/>
    <col min="13087" max="13087" width="8.25" style="255" customWidth="1"/>
    <col min="13088" max="13089" width="10.375" style="255" customWidth="1"/>
    <col min="13090" max="13090" width="15.625" style="255" customWidth="1"/>
    <col min="13091" max="13091" width="15.875" style="255" customWidth="1"/>
    <col min="13092" max="13092" width="8.125" style="255" customWidth="1"/>
    <col min="13093" max="13096" width="10.375" style="255" customWidth="1"/>
    <col min="13097" max="13097" width="7.25" style="255" customWidth="1"/>
    <col min="13098" max="13098" width="7.125" style="255" customWidth="1"/>
    <col min="13099" max="13099" width="9.5" style="255" customWidth="1"/>
    <col min="13100" max="13101" width="9" style="255" customWidth="1"/>
    <col min="13102" max="13102" width="16.125" style="255" customWidth="1"/>
    <col min="13103" max="13133" width="9" style="255" customWidth="1"/>
    <col min="13134" max="13293" width="25.25" style="255"/>
    <col min="13294" max="13323" width="9" style="255" customWidth="1"/>
    <col min="13324" max="13324" width="0.5" style="255" customWidth="1"/>
    <col min="13325" max="13325" width="25.25" style="255"/>
    <col min="13326" max="13326" width="0.5" style="255" customWidth="1"/>
    <col min="13327" max="13327" width="25.25" style="255"/>
    <col min="13328" max="13328" width="14.75" style="255" customWidth="1"/>
    <col min="13329" max="13329" width="11.5" style="255" customWidth="1"/>
    <col min="13330" max="13330" width="11.25" style="255" customWidth="1"/>
    <col min="13331" max="13331" width="10.75" style="255" customWidth="1"/>
    <col min="13332" max="13332" width="10" style="255" customWidth="1"/>
    <col min="13333" max="13333" width="9.875" style="255" customWidth="1"/>
    <col min="13334" max="13334" width="26.125" style="255" customWidth="1"/>
    <col min="13335" max="13335" width="11.125" style="255" customWidth="1"/>
    <col min="13336" max="13336" width="7.875" style="255" customWidth="1"/>
    <col min="13337" max="13337" width="7.25" style="255" customWidth="1"/>
    <col min="13338" max="13338" width="9.125" style="255" customWidth="1"/>
    <col min="13339" max="13339" width="15.125" style="255" customWidth="1"/>
    <col min="13340" max="13340" width="7.75" style="255" customWidth="1"/>
    <col min="13341" max="13341" width="7.125" style="255" customWidth="1"/>
    <col min="13342" max="13342" width="12.125" style="255" customWidth="1"/>
    <col min="13343" max="13343" width="8.25" style="255" customWidth="1"/>
    <col min="13344" max="13345" width="10.375" style="255" customWidth="1"/>
    <col min="13346" max="13346" width="15.625" style="255" customWidth="1"/>
    <col min="13347" max="13347" width="15.875" style="255" customWidth="1"/>
    <col min="13348" max="13348" width="8.125" style="255" customWidth="1"/>
    <col min="13349" max="13352" width="10.375" style="255" customWidth="1"/>
    <col min="13353" max="13353" width="7.25" style="255" customWidth="1"/>
    <col min="13354" max="13354" width="7.125" style="255" customWidth="1"/>
    <col min="13355" max="13355" width="9.5" style="255" customWidth="1"/>
    <col min="13356" max="13357" width="9" style="255" customWidth="1"/>
    <col min="13358" max="13358" width="16.125" style="255" customWidth="1"/>
    <col min="13359" max="13389" width="9" style="255" customWidth="1"/>
    <col min="13390" max="13549" width="25.25" style="255"/>
    <col min="13550" max="13579" width="9" style="255" customWidth="1"/>
    <col min="13580" max="13580" width="0.5" style="255" customWidth="1"/>
    <col min="13581" max="13581" width="25.25" style="255"/>
    <col min="13582" max="13582" width="0.5" style="255" customWidth="1"/>
    <col min="13583" max="13583" width="25.25" style="255"/>
    <col min="13584" max="13584" width="14.75" style="255" customWidth="1"/>
    <col min="13585" max="13585" width="11.5" style="255" customWidth="1"/>
    <col min="13586" max="13586" width="11.25" style="255" customWidth="1"/>
    <col min="13587" max="13587" width="10.75" style="255" customWidth="1"/>
    <col min="13588" max="13588" width="10" style="255" customWidth="1"/>
    <col min="13589" max="13589" width="9.875" style="255" customWidth="1"/>
    <col min="13590" max="13590" width="26.125" style="255" customWidth="1"/>
    <col min="13591" max="13591" width="11.125" style="255" customWidth="1"/>
    <col min="13592" max="13592" width="7.875" style="255" customWidth="1"/>
    <col min="13593" max="13593" width="7.25" style="255" customWidth="1"/>
    <col min="13594" max="13594" width="9.125" style="255" customWidth="1"/>
    <col min="13595" max="13595" width="15.125" style="255" customWidth="1"/>
    <col min="13596" max="13596" width="7.75" style="255" customWidth="1"/>
    <col min="13597" max="13597" width="7.125" style="255" customWidth="1"/>
    <col min="13598" max="13598" width="12.125" style="255" customWidth="1"/>
    <col min="13599" max="13599" width="8.25" style="255" customWidth="1"/>
    <col min="13600" max="13601" width="10.375" style="255" customWidth="1"/>
    <col min="13602" max="13602" width="15.625" style="255" customWidth="1"/>
    <col min="13603" max="13603" width="15.875" style="255" customWidth="1"/>
    <col min="13604" max="13604" width="8.125" style="255" customWidth="1"/>
    <col min="13605" max="13608" width="10.375" style="255" customWidth="1"/>
    <col min="13609" max="13609" width="7.25" style="255" customWidth="1"/>
    <col min="13610" max="13610" width="7.125" style="255" customWidth="1"/>
    <col min="13611" max="13611" width="9.5" style="255" customWidth="1"/>
    <col min="13612" max="13613" width="9" style="255" customWidth="1"/>
    <col min="13614" max="13614" width="16.125" style="255" customWidth="1"/>
    <col min="13615" max="13645" width="9" style="255" customWidth="1"/>
    <col min="13646" max="13805" width="25.25" style="255"/>
    <col min="13806" max="13835" width="9" style="255" customWidth="1"/>
    <col min="13836" max="13836" width="0.5" style="255" customWidth="1"/>
    <col min="13837" max="13837" width="25.25" style="255"/>
    <col min="13838" max="13838" width="0.5" style="255" customWidth="1"/>
    <col min="13839" max="13839" width="25.25" style="255"/>
    <col min="13840" max="13840" width="14.75" style="255" customWidth="1"/>
    <col min="13841" max="13841" width="11.5" style="255" customWidth="1"/>
    <col min="13842" max="13842" width="11.25" style="255" customWidth="1"/>
    <col min="13843" max="13843" width="10.75" style="255" customWidth="1"/>
    <col min="13844" max="13844" width="10" style="255" customWidth="1"/>
    <col min="13845" max="13845" width="9.875" style="255" customWidth="1"/>
    <col min="13846" max="13846" width="26.125" style="255" customWidth="1"/>
    <col min="13847" max="13847" width="11.125" style="255" customWidth="1"/>
    <col min="13848" max="13848" width="7.875" style="255" customWidth="1"/>
    <col min="13849" max="13849" width="7.25" style="255" customWidth="1"/>
    <col min="13850" max="13850" width="9.125" style="255" customWidth="1"/>
    <col min="13851" max="13851" width="15.125" style="255" customWidth="1"/>
    <col min="13852" max="13852" width="7.75" style="255" customWidth="1"/>
    <col min="13853" max="13853" width="7.125" style="255" customWidth="1"/>
    <col min="13854" max="13854" width="12.125" style="255" customWidth="1"/>
    <col min="13855" max="13855" width="8.25" style="255" customWidth="1"/>
    <col min="13856" max="13857" width="10.375" style="255" customWidth="1"/>
    <col min="13858" max="13858" width="15.625" style="255" customWidth="1"/>
    <col min="13859" max="13859" width="15.875" style="255" customWidth="1"/>
    <col min="13860" max="13860" width="8.125" style="255" customWidth="1"/>
    <col min="13861" max="13864" width="10.375" style="255" customWidth="1"/>
    <col min="13865" max="13865" width="7.25" style="255" customWidth="1"/>
    <col min="13866" max="13866" width="7.125" style="255" customWidth="1"/>
    <col min="13867" max="13867" width="9.5" style="255" customWidth="1"/>
    <col min="13868" max="13869" width="9" style="255" customWidth="1"/>
    <col min="13870" max="13870" width="16.125" style="255" customWidth="1"/>
    <col min="13871" max="13901" width="9" style="255" customWidth="1"/>
    <col min="13902" max="14061" width="25.25" style="255"/>
    <col min="14062" max="14091" width="9" style="255" customWidth="1"/>
    <col min="14092" max="14092" width="0.5" style="255" customWidth="1"/>
    <col min="14093" max="14093" width="25.25" style="255"/>
    <col min="14094" max="14094" width="0.5" style="255" customWidth="1"/>
    <col min="14095" max="14095" width="25.25" style="255"/>
    <col min="14096" max="14096" width="14.75" style="255" customWidth="1"/>
    <col min="14097" max="14097" width="11.5" style="255" customWidth="1"/>
    <col min="14098" max="14098" width="11.25" style="255" customWidth="1"/>
    <col min="14099" max="14099" width="10.75" style="255" customWidth="1"/>
    <col min="14100" max="14100" width="10" style="255" customWidth="1"/>
    <col min="14101" max="14101" width="9.875" style="255" customWidth="1"/>
    <col min="14102" max="14102" width="26.125" style="255" customWidth="1"/>
    <col min="14103" max="14103" width="11.125" style="255" customWidth="1"/>
    <col min="14104" max="14104" width="7.875" style="255" customWidth="1"/>
    <col min="14105" max="14105" width="7.25" style="255" customWidth="1"/>
    <col min="14106" max="14106" width="9.125" style="255" customWidth="1"/>
    <col min="14107" max="14107" width="15.125" style="255" customWidth="1"/>
    <col min="14108" max="14108" width="7.75" style="255" customWidth="1"/>
    <col min="14109" max="14109" width="7.125" style="255" customWidth="1"/>
    <col min="14110" max="14110" width="12.125" style="255" customWidth="1"/>
    <col min="14111" max="14111" width="8.25" style="255" customWidth="1"/>
    <col min="14112" max="14113" width="10.375" style="255" customWidth="1"/>
    <col min="14114" max="14114" width="15.625" style="255" customWidth="1"/>
    <col min="14115" max="14115" width="15.875" style="255" customWidth="1"/>
    <col min="14116" max="14116" width="8.125" style="255" customWidth="1"/>
    <col min="14117" max="14120" width="10.375" style="255" customWidth="1"/>
    <col min="14121" max="14121" width="7.25" style="255" customWidth="1"/>
    <col min="14122" max="14122" width="7.125" style="255" customWidth="1"/>
    <col min="14123" max="14123" width="9.5" style="255" customWidth="1"/>
    <col min="14124" max="14125" width="9" style="255" customWidth="1"/>
    <col min="14126" max="14126" width="16.125" style="255" customWidth="1"/>
    <col min="14127" max="14157" width="9" style="255" customWidth="1"/>
    <col min="14158" max="14317" width="25.25" style="255"/>
    <col min="14318" max="14347" width="9" style="255" customWidth="1"/>
    <col min="14348" max="14348" width="0.5" style="255" customWidth="1"/>
    <col min="14349" max="14349" width="25.25" style="255"/>
    <col min="14350" max="14350" width="0.5" style="255" customWidth="1"/>
    <col min="14351" max="14351" width="25.25" style="255"/>
    <col min="14352" max="14352" width="14.75" style="255" customWidth="1"/>
    <col min="14353" max="14353" width="11.5" style="255" customWidth="1"/>
    <col min="14354" max="14354" width="11.25" style="255" customWidth="1"/>
    <col min="14355" max="14355" width="10.75" style="255" customWidth="1"/>
    <col min="14356" max="14356" width="10" style="255" customWidth="1"/>
    <col min="14357" max="14357" width="9.875" style="255" customWidth="1"/>
    <col min="14358" max="14358" width="26.125" style="255" customWidth="1"/>
    <col min="14359" max="14359" width="11.125" style="255" customWidth="1"/>
    <col min="14360" max="14360" width="7.875" style="255" customWidth="1"/>
    <col min="14361" max="14361" width="7.25" style="255" customWidth="1"/>
    <col min="14362" max="14362" width="9.125" style="255" customWidth="1"/>
    <col min="14363" max="14363" width="15.125" style="255" customWidth="1"/>
    <col min="14364" max="14364" width="7.75" style="255" customWidth="1"/>
    <col min="14365" max="14365" width="7.125" style="255" customWidth="1"/>
    <col min="14366" max="14366" width="12.125" style="255" customWidth="1"/>
    <col min="14367" max="14367" width="8.25" style="255" customWidth="1"/>
    <col min="14368" max="14369" width="10.375" style="255" customWidth="1"/>
    <col min="14370" max="14370" width="15.625" style="255" customWidth="1"/>
    <col min="14371" max="14371" width="15.875" style="255" customWidth="1"/>
    <col min="14372" max="14372" width="8.125" style="255" customWidth="1"/>
    <col min="14373" max="14376" width="10.375" style="255" customWidth="1"/>
    <col min="14377" max="14377" width="7.25" style="255" customWidth="1"/>
    <col min="14378" max="14378" width="7.125" style="255" customWidth="1"/>
    <col min="14379" max="14379" width="9.5" style="255" customWidth="1"/>
    <col min="14380" max="14381" width="9" style="255" customWidth="1"/>
    <col min="14382" max="14382" width="16.125" style="255" customWidth="1"/>
    <col min="14383" max="14413" width="9" style="255" customWidth="1"/>
    <col min="14414" max="14573" width="25.25" style="255"/>
    <col min="14574" max="14603" width="9" style="255" customWidth="1"/>
    <col min="14604" max="14604" width="0.5" style="255" customWidth="1"/>
    <col min="14605" max="14605" width="25.25" style="255"/>
    <col min="14606" max="14606" width="0.5" style="255" customWidth="1"/>
    <col min="14607" max="14607" width="25.25" style="255"/>
    <col min="14608" max="14608" width="14.75" style="255" customWidth="1"/>
    <col min="14609" max="14609" width="11.5" style="255" customWidth="1"/>
    <col min="14610" max="14610" width="11.25" style="255" customWidth="1"/>
    <col min="14611" max="14611" width="10.75" style="255" customWidth="1"/>
    <col min="14612" max="14612" width="10" style="255" customWidth="1"/>
    <col min="14613" max="14613" width="9.875" style="255" customWidth="1"/>
    <col min="14614" max="14614" width="26.125" style="255" customWidth="1"/>
    <col min="14615" max="14615" width="11.125" style="255" customWidth="1"/>
    <col min="14616" max="14616" width="7.875" style="255" customWidth="1"/>
    <col min="14617" max="14617" width="7.25" style="255" customWidth="1"/>
    <col min="14618" max="14618" width="9.125" style="255" customWidth="1"/>
    <col min="14619" max="14619" width="15.125" style="255" customWidth="1"/>
    <col min="14620" max="14620" width="7.75" style="255" customWidth="1"/>
    <col min="14621" max="14621" width="7.125" style="255" customWidth="1"/>
    <col min="14622" max="14622" width="12.125" style="255" customWidth="1"/>
    <col min="14623" max="14623" width="8.25" style="255" customWidth="1"/>
    <col min="14624" max="14625" width="10.375" style="255" customWidth="1"/>
    <col min="14626" max="14626" width="15.625" style="255" customWidth="1"/>
    <col min="14627" max="14627" width="15.875" style="255" customWidth="1"/>
    <col min="14628" max="14628" width="8.125" style="255" customWidth="1"/>
    <col min="14629" max="14632" width="10.375" style="255" customWidth="1"/>
    <col min="14633" max="14633" width="7.25" style="255" customWidth="1"/>
    <col min="14634" max="14634" width="7.125" style="255" customWidth="1"/>
    <col min="14635" max="14635" width="9.5" style="255" customWidth="1"/>
    <col min="14636" max="14637" width="9" style="255" customWidth="1"/>
    <col min="14638" max="14638" width="16.125" style="255" customWidth="1"/>
    <col min="14639" max="14669" width="9" style="255" customWidth="1"/>
    <col min="14670" max="14829" width="25.25" style="255"/>
    <col min="14830" max="14859" width="9" style="255" customWidth="1"/>
    <col min="14860" max="14860" width="0.5" style="255" customWidth="1"/>
    <col min="14861" max="14861" width="25.25" style="255"/>
    <col min="14862" max="14862" width="0.5" style="255" customWidth="1"/>
    <col min="14863" max="14863" width="25.25" style="255"/>
    <col min="14864" max="14864" width="14.75" style="255" customWidth="1"/>
    <col min="14865" max="14865" width="11.5" style="255" customWidth="1"/>
    <col min="14866" max="14866" width="11.25" style="255" customWidth="1"/>
    <col min="14867" max="14867" width="10.75" style="255" customWidth="1"/>
    <col min="14868" max="14868" width="10" style="255" customWidth="1"/>
    <col min="14869" max="14869" width="9.875" style="255" customWidth="1"/>
    <col min="14870" max="14870" width="26.125" style="255" customWidth="1"/>
    <col min="14871" max="14871" width="11.125" style="255" customWidth="1"/>
    <col min="14872" max="14872" width="7.875" style="255" customWidth="1"/>
    <col min="14873" max="14873" width="7.25" style="255" customWidth="1"/>
    <col min="14874" max="14874" width="9.125" style="255" customWidth="1"/>
    <col min="14875" max="14875" width="15.125" style="255" customWidth="1"/>
    <col min="14876" max="14876" width="7.75" style="255" customWidth="1"/>
    <col min="14877" max="14877" width="7.125" style="255" customWidth="1"/>
    <col min="14878" max="14878" width="12.125" style="255" customWidth="1"/>
    <col min="14879" max="14879" width="8.25" style="255" customWidth="1"/>
    <col min="14880" max="14881" width="10.375" style="255" customWidth="1"/>
    <col min="14882" max="14882" width="15.625" style="255" customWidth="1"/>
    <col min="14883" max="14883" width="15.875" style="255" customWidth="1"/>
    <col min="14884" max="14884" width="8.125" style="255" customWidth="1"/>
    <col min="14885" max="14888" width="10.375" style="255" customWidth="1"/>
    <col min="14889" max="14889" width="7.25" style="255" customWidth="1"/>
    <col min="14890" max="14890" width="7.125" style="255" customWidth="1"/>
    <col min="14891" max="14891" width="9.5" style="255" customWidth="1"/>
    <col min="14892" max="14893" width="9" style="255" customWidth="1"/>
    <col min="14894" max="14894" width="16.125" style="255" customWidth="1"/>
    <col min="14895" max="14925" width="9" style="255" customWidth="1"/>
    <col min="14926" max="15085" width="25.25" style="255"/>
    <col min="15086" max="15115" width="9" style="255" customWidth="1"/>
    <col min="15116" max="15116" width="0.5" style="255" customWidth="1"/>
    <col min="15117" max="15117" width="25.25" style="255"/>
    <col min="15118" max="15118" width="0.5" style="255" customWidth="1"/>
    <col min="15119" max="15119" width="25.25" style="255"/>
    <col min="15120" max="15120" width="14.75" style="255" customWidth="1"/>
    <col min="15121" max="15121" width="11.5" style="255" customWidth="1"/>
    <col min="15122" max="15122" width="11.25" style="255" customWidth="1"/>
    <col min="15123" max="15123" width="10.75" style="255" customWidth="1"/>
    <col min="15124" max="15124" width="10" style="255" customWidth="1"/>
    <col min="15125" max="15125" width="9.875" style="255" customWidth="1"/>
    <col min="15126" max="15126" width="26.125" style="255" customWidth="1"/>
    <col min="15127" max="15127" width="11.125" style="255" customWidth="1"/>
    <col min="15128" max="15128" width="7.875" style="255" customWidth="1"/>
    <col min="15129" max="15129" width="7.25" style="255" customWidth="1"/>
    <col min="15130" max="15130" width="9.125" style="255" customWidth="1"/>
    <col min="15131" max="15131" width="15.125" style="255" customWidth="1"/>
    <col min="15132" max="15132" width="7.75" style="255" customWidth="1"/>
    <col min="15133" max="15133" width="7.125" style="255" customWidth="1"/>
    <col min="15134" max="15134" width="12.125" style="255" customWidth="1"/>
    <col min="15135" max="15135" width="8.25" style="255" customWidth="1"/>
    <col min="15136" max="15137" width="10.375" style="255" customWidth="1"/>
    <col min="15138" max="15138" width="15.625" style="255" customWidth="1"/>
    <col min="15139" max="15139" width="15.875" style="255" customWidth="1"/>
    <col min="15140" max="15140" width="8.125" style="255" customWidth="1"/>
    <col min="15141" max="15144" width="10.375" style="255" customWidth="1"/>
    <col min="15145" max="15145" width="7.25" style="255" customWidth="1"/>
    <col min="15146" max="15146" width="7.125" style="255" customWidth="1"/>
    <col min="15147" max="15147" width="9.5" style="255" customWidth="1"/>
    <col min="15148" max="15149" width="9" style="255" customWidth="1"/>
    <col min="15150" max="15150" width="16.125" style="255" customWidth="1"/>
    <col min="15151" max="15181" width="9" style="255" customWidth="1"/>
    <col min="15182" max="15341" width="25.25" style="255"/>
    <col min="15342" max="15371" width="9" style="255" customWidth="1"/>
    <col min="15372" max="15372" width="0.5" style="255" customWidth="1"/>
    <col min="15373" max="15373" width="25.25" style="255"/>
    <col min="15374" max="15374" width="0.5" style="255" customWidth="1"/>
    <col min="15375" max="15375" width="25.25" style="255"/>
    <col min="15376" max="15376" width="14.75" style="255" customWidth="1"/>
    <col min="15377" max="15377" width="11.5" style="255" customWidth="1"/>
    <col min="15378" max="15378" width="11.25" style="255" customWidth="1"/>
    <col min="15379" max="15379" width="10.75" style="255" customWidth="1"/>
    <col min="15380" max="15380" width="10" style="255" customWidth="1"/>
    <col min="15381" max="15381" width="9.875" style="255" customWidth="1"/>
    <col min="15382" max="15382" width="26.125" style="255" customWidth="1"/>
    <col min="15383" max="15383" width="11.125" style="255" customWidth="1"/>
    <col min="15384" max="15384" width="7.875" style="255" customWidth="1"/>
    <col min="15385" max="15385" width="7.25" style="255" customWidth="1"/>
    <col min="15386" max="15386" width="9.125" style="255" customWidth="1"/>
    <col min="15387" max="15387" width="15.125" style="255" customWidth="1"/>
    <col min="15388" max="15388" width="7.75" style="255" customWidth="1"/>
    <col min="15389" max="15389" width="7.125" style="255" customWidth="1"/>
    <col min="15390" max="15390" width="12.125" style="255" customWidth="1"/>
    <col min="15391" max="15391" width="8.25" style="255" customWidth="1"/>
    <col min="15392" max="15393" width="10.375" style="255" customWidth="1"/>
    <col min="15394" max="15394" width="15.625" style="255" customWidth="1"/>
    <col min="15395" max="15395" width="15.875" style="255" customWidth="1"/>
    <col min="15396" max="15396" width="8.125" style="255" customWidth="1"/>
    <col min="15397" max="15400" width="10.375" style="255" customWidth="1"/>
    <col min="15401" max="15401" width="7.25" style="255" customWidth="1"/>
    <col min="15402" max="15402" width="7.125" style="255" customWidth="1"/>
    <col min="15403" max="15403" width="9.5" style="255" customWidth="1"/>
    <col min="15404" max="15405" width="9" style="255" customWidth="1"/>
    <col min="15406" max="15406" width="16.125" style="255" customWidth="1"/>
    <col min="15407" max="15437" width="9" style="255" customWidth="1"/>
    <col min="15438" max="15597" width="25.25" style="255"/>
    <col min="15598" max="15627" width="9" style="255" customWidth="1"/>
    <col min="15628" max="15628" width="0.5" style="255" customWidth="1"/>
    <col min="15629" max="15629" width="25.25" style="255"/>
    <col min="15630" max="15630" width="0.5" style="255" customWidth="1"/>
    <col min="15631" max="15631" width="25.25" style="255"/>
    <col min="15632" max="15632" width="14.75" style="255" customWidth="1"/>
    <col min="15633" max="15633" width="11.5" style="255" customWidth="1"/>
    <col min="15634" max="15634" width="11.25" style="255" customWidth="1"/>
    <col min="15635" max="15635" width="10.75" style="255" customWidth="1"/>
    <col min="15636" max="15636" width="10" style="255" customWidth="1"/>
    <col min="15637" max="15637" width="9.875" style="255" customWidth="1"/>
    <col min="15638" max="15638" width="26.125" style="255" customWidth="1"/>
    <col min="15639" max="15639" width="11.125" style="255" customWidth="1"/>
    <col min="15640" max="15640" width="7.875" style="255" customWidth="1"/>
    <col min="15641" max="15641" width="7.25" style="255" customWidth="1"/>
    <col min="15642" max="15642" width="9.125" style="255" customWidth="1"/>
    <col min="15643" max="15643" width="15.125" style="255" customWidth="1"/>
    <col min="15644" max="15644" width="7.75" style="255" customWidth="1"/>
    <col min="15645" max="15645" width="7.125" style="255" customWidth="1"/>
    <col min="15646" max="15646" width="12.125" style="255" customWidth="1"/>
    <col min="15647" max="15647" width="8.25" style="255" customWidth="1"/>
    <col min="15648" max="15649" width="10.375" style="255" customWidth="1"/>
    <col min="15650" max="15650" width="15.625" style="255" customWidth="1"/>
    <col min="15651" max="15651" width="15.875" style="255" customWidth="1"/>
    <col min="15652" max="15652" width="8.125" style="255" customWidth="1"/>
    <col min="15653" max="15656" width="10.375" style="255" customWidth="1"/>
    <col min="15657" max="15657" width="7.25" style="255" customWidth="1"/>
    <col min="15658" max="15658" width="7.125" style="255" customWidth="1"/>
    <col min="15659" max="15659" width="9.5" style="255" customWidth="1"/>
    <col min="15660" max="15661" width="9" style="255" customWidth="1"/>
    <col min="15662" max="15662" width="16.125" style="255" customWidth="1"/>
    <col min="15663" max="15693" width="9" style="255" customWidth="1"/>
    <col min="15694" max="15853" width="25.25" style="255"/>
    <col min="15854" max="15883" width="9" style="255" customWidth="1"/>
    <col min="15884" max="15884" width="0.5" style="255" customWidth="1"/>
    <col min="15885" max="15885" width="25.25" style="255"/>
    <col min="15886" max="15886" width="0.5" style="255" customWidth="1"/>
    <col min="15887" max="15887" width="25.25" style="255"/>
    <col min="15888" max="15888" width="14.75" style="255" customWidth="1"/>
    <col min="15889" max="15889" width="11.5" style="255" customWidth="1"/>
    <col min="15890" max="15890" width="11.25" style="255" customWidth="1"/>
    <col min="15891" max="15891" width="10.75" style="255" customWidth="1"/>
    <col min="15892" max="15892" width="10" style="255" customWidth="1"/>
    <col min="15893" max="15893" width="9.875" style="255" customWidth="1"/>
    <col min="15894" max="15894" width="26.125" style="255" customWidth="1"/>
    <col min="15895" max="15895" width="11.125" style="255" customWidth="1"/>
    <col min="15896" max="15896" width="7.875" style="255" customWidth="1"/>
    <col min="15897" max="15897" width="7.25" style="255" customWidth="1"/>
    <col min="15898" max="15898" width="9.125" style="255" customWidth="1"/>
    <col min="15899" max="15899" width="15.125" style="255" customWidth="1"/>
    <col min="15900" max="15900" width="7.75" style="255" customWidth="1"/>
    <col min="15901" max="15901" width="7.125" style="255" customWidth="1"/>
    <col min="15902" max="15902" width="12.125" style="255" customWidth="1"/>
    <col min="15903" max="15903" width="8.25" style="255" customWidth="1"/>
    <col min="15904" max="15905" width="10.375" style="255" customWidth="1"/>
    <col min="15906" max="15906" width="15.625" style="255" customWidth="1"/>
    <col min="15907" max="15907" width="15.875" style="255" customWidth="1"/>
    <col min="15908" max="15908" width="8.125" style="255" customWidth="1"/>
    <col min="15909" max="15912" width="10.375" style="255" customWidth="1"/>
    <col min="15913" max="15913" width="7.25" style="255" customWidth="1"/>
    <col min="15914" max="15914" width="7.125" style="255" customWidth="1"/>
    <col min="15915" max="15915" width="9.5" style="255" customWidth="1"/>
    <col min="15916" max="15917" width="9" style="255" customWidth="1"/>
    <col min="15918" max="15918" width="16.125" style="255" customWidth="1"/>
    <col min="15919" max="15949" width="9" style="255" customWidth="1"/>
    <col min="15950" max="16109" width="25.25" style="255"/>
    <col min="16110" max="16139" width="9" style="255" customWidth="1"/>
    <col min="16140" max="16140" width="0.5" style="255" customWidth="1"/>
    <col min="16141" max="16384" width="25.25" style="255"/>
  </cols>
  <sheetData>
    <row r="1" spans="1:16" ht="14.25" thickBot="1"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1"/>
      <c r="O1" s="1"/>
      <c r="P1" s="1"/>
    </row>
    <row r="2" spans="1:16" ht="18" customHeight="1">
      <c r="A2" s="5"/>
      <c r="B2" s="6" t="s">
        <v>402</v>
      </c>
      <c r="C2" s="254"/>
      <c r="D2" s="254" t="s">
        <v>9</v>
      </c>
      <c r="E2" s="254" t="s">
        <v>10</v>
      </c>
      <c r="F2" s="661" t="s">
        <v>11</v>
      </c>
      <c r="G2" s="661"/>
      <c r="H2" s="661"/>
      <c r="I2" s="662" t="s">
        <v>12</v>
      </c>
      <c r="J2" s="664" t="s">
        <v>13</v>
      </c>
      <c r="K2" s="665"/>
      <c r="L2" s="665"/>
      <c r="M2" s="666"/>
      <c r="N2" s="8"/>
      <c r="O2" s="8"/>
      <c r="P2" s="8"/>
    </row>
    <row r="3" spans="1:16" ht="18" customHeight="1">
      <c r="B3" s="9" t="s">
        <v>14</v>
      </c>
      <c r="C3" s="10" t="s">
        <v>15</v>
      </c>
      <c r="D3" s="10" t="s">
        <v>16</v>
      </c>
      <c r="E3" s="10" t="s">
        <v>17</v>
      </c>
      <c r="F3" s="10" t="s">
        <v>7</v>
      </c>
      <c r="G3" s="10" t="s">
        <v>5</v>
      </c>
      <c r="H3" s="10" t="s">
        <v>18</v>
      </c>
      <c r="I3" s="663"/>
      <c r="J3" s="11" t="s">
        <v>19</v>
      </c>
      <c r="K3" s="12" t="s">
        <v>20</v>
      </c>
      <c r="L3" s="12" t="s">
        <v>21</v>
      </c>
      <c r="M3" s="13" t="s">
        <v>22</v>
      </c>
      <c r="N3" s="14"/>
      <c r="P3" s="15"/>
    </row>
    <row r="4" spans="1:16" ht="18" customHeight="1">
      <c r="B4" s="667" t="str">
        <f ca="1">MID(CELL("filename",Q13),FIND("]",CELL("filename",Q13))+1,30)</f>
        <v>套门</v>
      </c>
      <c r="C4" s="17" t="s">
        <v>23</v>
      </c>
      <c r="D4" s="17">
        <v>2400</v>
      </c>
      <c r="E4" s="17">
        <v>2725</v>
      </c>
      <c r="F4" s="222">
        <f>D4*E4/10^6</f>
        <v>6.54</v>
      </c>
      <c r="G4" s="17">
        <v>1</v>
      </c>
      <c r="H4" s="17">
        <f>F4*G4</f>
        <v>6.54</v>
      </c>
      <c r="I4" s="663"/>
      <c r="J4" s="19">
        <v>40</v>
      </c>
      <c r="K4" s="20">
        <v>20</v>
      </c>
      <c r="L4" s="21">
        <v>1.5</v>
      </c>
      <c r="M4" s="22">
        <f t="shared" ref="M4:M11" si="0">ROUND(((J4*K4)-(J4-2*L4)*(K4-2*L4))*7.8/1000,3)</f>
        <v>1.3340000000000001</v>
      </c>
    </row>
    <row r="5" spans="1:16" ht="18" customHeight="1">
      <c r="B5" s="668"/>
      <c r="C5" s="221" t="s">
        <v>299</v>
      </c>
      <c r="D5" s="221">
        <f>D4-70</f>
        <v>2330</v>
      </c>
      <c r="E5" s="221">
        <f>E4-70</f>
        <v>2655</v>
      </c>
      <c r="F5" s="222">
        <f>D5*E5/10^6</f>
        <v>6.1861499999999996</v>
      </c>
      <c r="G5" s="221">
        <v>1</v>
      </c>
      <c r="H5" s="222">
        <f>F5*G5</f>
        <v>6.1861499999999996</v>
      </c>
      <c r="I5" s="663"/>
      <c r="J5" s="19">
        <v>40</v>
      </c>
      <c r="K5" s="20">
        <v>20</v>
      </c>
      <c r="L5" s="21">
        <v>2</v>
      </c>
      <c r="M5" s="22">
        <f t="shared" si="0"/>
        <v>1.7470000000000001</v>
      </c>
    </row>
    <row r="6" spans="1:16" ht="18" customHeight="1">
      <c r="B6" s="669"/>
      <c r="C6" s="17" t="s">
        <v>24</v>
      </c>
      <c r="D6" s="17">
        <f>D4</f>
        <v>2400</v>
      </c>
      <c r="E6" s="17">
        <f>E4</f>
        <v>2725</v>
      </c>
      <c r="F6" s="18">
        <f>D6*E6/10^6</f>
        <v>6.54</v>
      </c>
      <c r="G6" s="17">
        <v>1</v>
      </c>
      <c r="H6" s="18">
        <f>F6*G6</f>
        <v>6.54</v>
      </c>
      <c r="I6" s="663"/>
      <c r="J6" s="19">
        <v>40</v>
      </c>
      <c r="K6" s="20">
        <v>20</v>
      </c>
      <c r="L6" s="21">
        <v>2</v>
      </c>
      <c r="M6" s="22">
        <f t="shared" si="0"/>
        <v>1.7470000000000001</v>
      </c>
    </row>
    <row r="7" spans="1:16" ht="18" customHeight="1">
      <c r="B7" s="23" t="s">
        <v>25</v>
      </c>
      <c r="C7" s="252" t="s">
        <v>16</v>
      </c>
      <c r="D7" s="252" t="s">
        <v>26</v>
      </c>
      <c r="E7" s="252" t="s">
        <v>17</v>
      </c>
      <c r="F7" s="252" t="s">
        <v>27</v>
      </c>
      <c r="G7" s="252" t="s">
        <v>22</v>
      </c>
      <c r="H7" s="252" t="s">
        <v>28</v>
      </c>
      <c r="I7" s="25" t="s">
        <v>29</v>
      </c>
      <c r="J7" s="19">
        <v>80</v>
      </c>
      <c r="K7" s="20">
        <v>40</v>
      </c>
      <c r="L7" s="21">
        <v>2</v>
      </c>
      <c r="M7" s="22">
        <f t="shared" si="0"/>
        <v>3.6190000000000002</v>
      </c>
    </row>
    <row r="8" spans="1:16" ht="18" customHeight="1">
      <c r="B8" s="251" t="s">
        <v>30</v>
      </c>
      <c r="C8" s="27">
        <f>D4-30</f>
        <v>2370</v>
      </c>
      <c r="D8" s="27">
        <v>2</v>
      </c>
      <c r="E8" s="27">
        <f>E4-30</f>
        <v>2695</v>
      </c>
      <c r="F8" s="27">
        <v>2</v>
      </c>
      <c r="G8" s="28">
        <f>M4</f>
        <v>1.3340000000000001</v>
      </c>
      <c r="H8" s="29"/>
      <c r="I8" s="30">
        <f>ROUND((C8*D8+E8*F8)*G8*H8/1000*1.1,2)</f>
        <v>0</v>
      </c>
      <c r="J8" s="19">
        <v>40</v>
      </c>
      <c r="K8" s="20">
        <v>20</v>
      </c>
      <c r="L8" s="21">
        <v>1.4</v>
      </c>
      <c r="M8" s="22">
        <f>ROUND(((J8*K8)-(J8-2*L8)*(K8-2*L8))*2.71/1000,3)</f>
        <v>0.434</v>
      </c>
    </row>
    <row r="9" spans="1:16" ht="18" customHeight="1">
      <c r="B9" s="251" t="s">
        <v>30</v>
      </c>
      <c r="C9" s="250"/>
      <c r="D9" s="250"/>
      <c r="E9" s="250"/>
      <c r="F9" s="250"/>
      <c r="G9" s="28">
        <v>1.7470000000000001</v>
      </c>
      <c r="H9" s="32">
        <f>H8</f>
        <v>0</v>
      </c>
      <c r="I9" s="30">
        <f>ROUND((C9*D9+E9*F9)*G9*H9/1000*1.1,2)</f>
        <v>0</v>
      </c>
      <c r="J9" s="19"/>
      <c r="K9" s="20"/>
      <c r="L9" s="21"/>
      <c r="M9" s="22">
        <f t="shared" si="0"/>
        <v>0</v>
      </c>
    </row>
    <row r="10" spans="1:16" ht="18" customHeight="1">
      <c r="B10" s="251" t="s">
        <v>31</v>
      </c>
      <c r="C10" s="250"/>
      <c r="D10" s="250"/>
      <c r="E10" s="250"/>
      <c r="F10" s="250"/>
      <c r="G10" s="28">
        <v>3.6190000000000002</v>
      </c>
      <c r="H10" s="32">
        <f>H9</f>
        <v>0</v>
      </c>
      <c r="I10" s="30">
        <f>ROUND((C10*D10+E10*F10)*G10*H10/1000*1.1,2)</f>
        <v>0</v>
      </c>
      <c r="J10" s="19"/>
      <c r="K10" s="20"/>
      <c r="L10" s="12"/>
      <c r="M10" s="22">
        <f t="shared" si="0"/>
        <v>0</v>
      </c>
    </row>
    <row r="11" spans="1:16" ht="18" customHeight="1" thickBot="1">
      <c r="B11" s="251" t="s">
        <v>32</v>
      </c>
      <c r="C11" s="250"/>
      <c r="D11" s="250"/>
      <c r="E11" s="250"/>
      <c r="F11" s="250"/>
      <c r="G11" s="28">
        <v>2.9950000000000001</v>
      </c>
      <c r="H11" s="32">
        <f>H10</f>
        <v>0</v>
      </c>
      <c r="I11" s="30">
        <f>ROUND((C11*D11+E11*F11)*G11*H11/1000*1.1,2)</f>
        <v>0</v>
      </c>
      <c r="J11" s="33"/>
      <c r="K11" s="34"/>
      <c r="L11" s="35"/>
      <c r="M11" s="36">
        <f t="shared" si="0"/>
        <v>0</v>
      </c>
    </row>
    <row r="12" spans="1:16" ht="18" customHeight="1">
      <c r="B12" s="37" t="s">
        <v>33</v>
      </c>
      <c r="C12" s="38" t="e">
        <f>((I9+I10+I8+I11)/H8)/F4</f>
        <v>#DIV/0!</v>
      </c>
      <c r="D12" s="39" t="s">
        <v>34</v>
      </c>
      <c r="E12" s="38">
        <f>(I9+I10+I8+I11)/F4</f>
        <v>0</v>
      </c>
      <c r="F12" s="40" t="s">
        <v>35</v>
      </c>
      <c r="G12" s="39"/>
      <c r="H12" s="39" t="e">
        <f>ROUND(SUM(I8:I11)/H8,2)</f>
        <v>#DIV/0!</v>
      </c>
      <c r="I12" s="41">
        <f>SUM(I8:I11)</f>
        <v>0</v>
      </c>
      <c r="J12" s="42"/>
    </row>
    <row r="13" spans="1:16" ht="18" customHeight="1">
      <c r="B13" s="23" t="s">
        <v>36</v>
      </c>
      <c r="C13" s="252" t="s">
        <v>14</v>
      </c>
      <c r="D13" s="252" t="s">
        <v>37</v>
      </c>
      <c r="E13" s="252" t="s">
        <v>38</v>
      </c>
      <c r="F13" s="252" t="s">
        <v>39</v>
      </c>
      <c r="G13" s="252" t="s">
        <v>8</v>
      </c>
      <c r="H13" s="252" t="s">
        <v>22</v>
      </c>
      <c r="I13" s="25" t="s">
        <v>40</v>
      </c>
    </row>
    <row r="14" spans="1:16" ht="18" customHeight="1">
      <c r="B14" s="648" t="s">
        <v>41</v>
      </c>
      <c r="C14" s="649" t="s">
        <v>404</v>
      </c>
      <c r="D14" s="250"/>
      <c r="E14" s="250"/>
      <c r="F14" s="44">
        <f>ROUND((D14+E14)*2/1000,4)</f>
        <v>0</v>
      </c>
      <c r="G14" s="250"/>
      <c r="H14" s="250">
        <v>1.47</v>
      </c>
      <c r="I14" s="284">
        <f>ROUND(F14*G14*H14,3)*1.5</f>
        <v>0</v>
      </c>
      <c r="J14" s="42"/>
      <c r="K14" s="46"/>
      <c r="L14" s="46"/>
      <c r="M14" s="42"/>
    </row>
    <row r="15" spans="1:16" ht="18" customHeight="1">
      <c r="B15" s="648"/>
      <c r="C15" s="650"/>
      <c r="D15" s="250"/>
      <c r="E15" s="250"/>
      <c r="F15" s="44">
        <f t="shared" ref="F15:F21" si="1">ROUND((D15+E15)*2/1000,4)</f>
        <v>0</v>
      </c>
      <c r="G15" s="250"/>
      <c r="H15" s="250">
        <f t="shared" ref="H15:H21" si="2">H14</f>
        <v>1.47</v>
      </c>
      <c r="I15" s="247">
        <f t="shared" ref="I15:I21" si="3">ROUND(F15*G15*H15,3)</f>
        <v>0</v>
      </c>
      <c r="K15" s="47"/>
      <c r="M15" s="255"/>
    </row>
    <row r="16" spans="1:16" ht="18" customHeight="1">
      <c r="B16" s="648"/>
      <c r="C16" s="650"/>
      <c r="D16" s="250"/>
      <c r="E16" s="250"/>
      <c r="F16" s="44">
        <f t="shared" si="1"/>
        <v>0</v>
      </c>
      <c r="G16" s="250"/>
      <c r="H16" s="250">
        <f t="shared" si="2"/>
        <v>1.47</v>
      </c>
      <c r="I16" s="247">
        <f t="shared" si="3"/>
        <v>0</v>
      </c>
      <c r="K16" s="47"/>
      <c r="L16" s="46"/>
      <c r="M16" s="42"/>
    </row>
    <row r="17" spans="2:15" ht="18" customHeight="1">
      <c r="B17" s="648"/>
      <c r="C17" s="650"/>
      <c r="D17" s="250"/>
      <c r="E17" s="250"/>
      <c r="F17" s="44">
        <f t="shared" si="1"/>
        <v>0</v>
      </c>
      <c r="G17" s="250"/>
      <c r="H17" s="250">
        <f t="shared" si="2"/>
        <v>1.47</v>
      </c>
      <c r="I17" s="247">
        <f t="shared" si="3"/>
        <v>0</v>
      </c>
      <c r="K17" s="47"/>
      <c r="M17" s="42"/>
    </row>
    <row r="18" spans="2:15" ht="18" customHeight="1">
      <c r="B18" s="648"/>
      <c r="C18" s="650"/>
      <c r="D18" s="250"/>
      <c r="E18" s="250"/>
      <c r="F18" s="44">
        <f t="shared" si="1"/>
        <v>0</v>
      </c>
      <c r="G18" s="250"/>
      <c r="H18" s="250">
        <f t="shared" si="2"/>
        <v>1.47</v>
      </c>
      <c r="I18" s="247">
        <f t="shared" si="3"/>
        <v>0</v>
      </c>
      <c r="M18" s="42"/>
    </row>
    <row r="19" spans="2:15" ht="18" customHeight="1">
      <c r="B19" s="648"/>
      <c r="C19" s="650"/>
      <c r="D19" s="250"/>
      <c r="E19" s="250"/>
      <c r="F19" s="44">
        <f t="shared" si="1"/>
        <v>0</v>
      </c>
      <c r="G19" s="250"/>
      <c r="H19" s="250">
        <f t="shared" si="2"/>
        <v>1.47</v>
      </c>
      <c r="I19" s="247">
        <f t="shared" si="3"/>
        <v>0</v>
      </c>
      <c r="M19" s="42"/>
    </row>
    <row r="20" spans="2:15" ht="18" customHeight="1">
      <c r="B20" s="648"/>
      <c r="C20" s="650"/>
      <c r="D20" s="250"/>
      <c r="E20" s="250"/>
      <c r="F20" s="44">
        <f t="shared" si="1"/>
        <v>0</v>
      </c>
      <c r="G20" s="250"/>
      <c r="H20" s="250">
        <f t="shared" si="2"/>
        <v>1.47</v>
      </c>
      <c r="I20" s="247">
        <f t="shared" si="3"/>
        <v>0</v>
      </c>
      <c r="K20" s="47"/>
      <c r="M20" s="42"/>
    </row>
    <row r="21" spans="2:15" ht="18" customHeight="1">
      <c r="B21" s="648"/>
      <c r="C21" s="651"/>
      <c r="D21" s="250"/>
      <c r="E21" s="250"/>
      <c r="F21" s="44">
        <f t="shared" si="1"/>
        <v>0</v>
      </c>
      <c r="G21" s="250"/>
      <c r="H21" s="250">
        <f t="shared" si="2"/>
        <v>1.47</v>
      </c>
      <c r="I21" s="247">
        <f t="shared" si="3"/>
        <v>0</v>
      </c>
    </row>
    <row r="22" spans="2:15" ht="18" customHeight="1">
      <c r="B22" s="48" t="s">
        <v>42</v>
      </c>
      <c r="C22" s="49">
        <f>SUMPRODUCT(F14:F21*G14:G21)</f>
        <v>0</v>
      </c>
      <c r="D22" s="50" t="s">
        <v>43</v>
      </c>
      <c r="E22" s="49">
        <f>SUM(I14:I21)*1.1</f>
        <v>0</v>
      </c>
      <c r="F22" s="50" t="s">
        <v>44</v>
      </c>
      <c r="G22" s="51">
        <f>(C$218+C$219)/1000</f>
        <v>46.081499999999998</v>
      </c>
      <c r="H22" s="52" t="s">
        <v>45</v>
      </c>
      <c r="I22" s="53">
        <f>ROUND(E22*G22,2)</f>
        <v>0</v>
      </c>
      <c r="J22" s="243">
        <f>SUM(G14:G21)</f>
        <v>0</v>
      </c>
    </row>
    <row r="23" spans="2:15" ht="18" customHeight="1">
      <c r="B23" s="48" t="s">
        <v>46</v>
      </c>
      <c r="C23" s="50">
        <v>207.36</v>
      </c>
      <c r="D23" s="50" t="s">
        <v>47</v>
      </c>
      <c r="E23" s="49">
        <f>ROUND(C22*(C23/1000),2)</f>
        <v>0</v>
      </c>
      <c r="F23" s="50" t="s">
        <v>48</v>
      </c>
      <c r="G23" s="50">
        <v>10</v>
      </c>
      <c r="H23" s="52" t="s">
        <v>49</v>
      </c>
      <c r="I23" s="53">
        <f>E23*G23</f>
        <v>0</v>
      </c>
    </row>
    <row r="24" spans="2:15" ht="18" customHeight="1" thickBot="1">
      <c r="B24" s="48" t="s">
        <v>50</v>
      </c>
      <c r="C24" s="50">
        <v>169.96</v>
      </c>
      <c r="D24" s="50" t="s">
        <v>51</v>
      </c>
      <c r="E24" s="49">
        <f>ROUND(C22*(C24/1000),2)</f>
        <v>0</v>
      </c>
      <c r="F24" s="50" t="s">
        <v>48</v>
      </c>
      <c r="G24" s="50">
        <v>10</v>
      </c>
      <c r="H24" s="52" t="s">
        <v>49</v>
      </c>
      <c r="I24" s="53">
        <f>E24*G24</f>
        <v>0</v>
      </c>
    </row>
    <row r="25" spans="2:15" ht="18" customHeight="1">
      <c r="B25" s="23" t="s">
        <v>36</v>
      </c>
      <c r="C25" s="252" t="s">
        <v>14</v>
      </c>
      <c r="D25" s="252" t="s">
        <v>37</v>
      </c>
      <c r="E25" s="252" t="s">
        <v>38</v>
      </c>
      <c r="F25" s="252" t="s">
        <v>39</v>
      </c>
      <c r="G25" s="252" t="s">
        <v>8</v>
      </c>
      <c r="H25" s="252" t="s">
        <v>22</v>
      </c>
      <c r="I25" s="25" t="s">
        <v>40</v>
      </c>
      <c r="J25" s="54" t="s">
        <v>2</v>
      </c>
      <c r="K25" s="55" t="s">
        <v>3</v>
      </c>
      <c r="L25" s="55" t="s">
        <v>52</v>
      </c>
      <c r="M25" s="55" t="s">
        <v>53</v>
      </c>
      <c r="N25" s="56" t="s">
        <v>14</v>
      </c>
    </row>
    <row r="26" spans="2:15" ht="18" customHeight="1">
      <c r="B26" s="648" t="s">
        <v>54</v>
      </c>
      <c r="C26" s="649" t="s">
        <v>55</v>
      </c>
      <c r="D26" s="253">
        <f>J26-IF(L26=1,44,IF(L26=2,30,IF(L26=3,16,0)))</f>
        <v>0</v>
      </c>
      <c r="E26" s="253">
        <f>K26-IF(M26=1,44,IF(M26=2,30,IF(M26=3,16,0)))</f>
        <v>0</v>
      </c>
      <c r="F26" s="44">
        <f>ROUND((D26+E26)*2/1000,4)</f>
        <v>0</v>
      </c>
      <c r="G26" s="250"/>
      <c r="H26" s="58">
        <v>1.62</v>
      </c>
      <c r="I26" s="59">
        <f>IF(AND(D26&gt;0,E26&gt;0,F26&gt;0),F26*G26*H26,0)</f>
        <v>0</v>
      </c>
      <c r="J26" s="60"/>
      <c r="K26" s="61"/>
      <c r="L26" s="61"/>
      <c r="M26" s="61"/>
      <c r="N26" s="62" t="s">
        <v>56</v>
      </c>
      <c r="O26" s="63" t="s">
        <v>57</v>
      </c>
    </row>
    <row r="27" spans="2:15" ht="18" customHeight="1">
      <c r="B27" s="648"/>
      <c r="C27" s="650"/>
      <c r="D27" s="253">
        <f t="shared" ref="D27:E30" si="4">J27-IF(L27=1,44,IF(L27=2,30,IF(L27=3,16,0)))</f>
        <v>0</v>
      </c>
      <c r="E27" s="253">
        <f t="shared" si="4"/>
        <v>0</v>
      </c>
      <c r="F27" s="44">
        <f>ROUND((D27+E27)*2/1000,4)</f>
        <v>0</v>
      </c>
      <c r="G27" s="250"/>
      <c r="H27" s="58">
        <f>H26</f>
        <v>1.62</v>
      </c>
      <c r="I27" s="59">
        <f>IF(AND(D27&gt;0,E27&gt;0,F27&gt;0),F27*G27*H27,0)</f>
        <v>0</v>
      </c>
      <c r="J27" s="60"/>
      <c r="K27" s="61"/>
      <c r="L27" s="61"/>
      <c r="M27" s="61"/>
      <c r="N27" s="62" t="s">
        <v>58</v>
      </c>
      <c r="O27" s="63" t="s">
        <v>59</v>
      </c>
    </row>
    <row r="28" spans="2:15" ht="18" customHeight="1">
      <c r="B28" s="648"/>
      <c r="C28" s="650"/>
      <c r="D28" s="253">
        <f t="shared" si="4"/>
        <v>0</v>
      </c>
      <c r="E28" s="253">
        <f t="shared" si="4"/>
        <v>0</v>
      </c>
      <c r="F28" s="44">
        <f>ROUND((D28+E28)*2/1000,4)</f>
        <v>0</v>
      </c>
      <c r="G28" s="250"/>
      <c r="H28" s="58">
        <f>H27</f>
        <v>1.62</v>
      </c>
      <c r="I28" s="59">
        <f>IF(AND(D28&gt;0,E28&gt;0,F28&gt;0),F28*G28*H28,0)</f>
        <v>0</v>
      </c>
      <c r="J28" s="60"/>
      <c r="K28" s="61"/>
      <c r="L28" s="61"/>
      <c r="M28" s="61"/>
      <c r="N28" s="62" t="s">
        <v>60</v>
      </c>
      <c r="O28" s="63" t="s">
        <v>59</v>
      </c>
    </row>
    <row r="29" spans="2:15" ht="18" customHeight="1">
      <c r="B29" s="648"/>
      <c r="C29" s="650"/>
      <c r="D29" s="253">
        <f t="shared" si="4"/>
        <v>0</v>
      </c>
      <c r="E29" s="253">
        <f t="shared" si="4"/>
        <v>0</v>
      </c>
      <c r="F29" s="44">
        <f>ROUND((D29+E29)*2/1000,4)</f>
        <v>0</v>
      </c>
      <c r="G29" s="250"/>
      <c r="H29" s="58">
        <f>H28</f>
        <v>1.62</v>
      </c>
      <c r="I29" s="59">
        <f>IF(AND(D29&gt;0,E29&gt;0,F29&gt;0),F29*G29*H29,0)</f>
        <v>0</v>
      </c>
      <c r="J29" s="60"/>
      <c r="K29" s="61"/>
      <c r="L29" s="61"/>
      <c r="M29" s="61"/>
      <c r="N29" s="62"/>
    </row>
    <row r="30" spans="2:15" ht="18" customHeight="1" thickBot="1">
      <c r="B30" s="648"/>
      <c r="C30" s="651"/>
      <c r="D30" s="253">
        <f t="shared" si="4"/>
        <v>0</v>
      </c>
      <c r="E30" s="253">
        <f t="shared" si="4"/>
        <v>0</v>
      </c>
      <c r="F30" s="44">
        <f>ROUND((D30+E30)*2/1000,4)</f>
        <v>0</v>
      </c>
      <c r="G30" s="250"/>
      <c r="H30" s="58">
        <f>H29</f>
        <v>1.62</v>
      </c>
      <c r="I30" s="59">
        <f>IF(AND(D30&gt;0,E30&gt;0,F30&gt;0),F30*G30*H30,0)</f>
        <v>0</v>
      </c>
      <c r="J30" s="64"/>
      <c r="K30" s="65"/>
      <c r="L30" s="65"/>
      <c r="M30" s="65"/>
      <c r="N30" s="66"/>
    </row>
    <row r="31" spans="2:15" ht="18" customHeight="1">
      <c r="B31" s="48" t="s">
        <v>42</v>
      </c>
      <c r="C31" s="49">
        <f>SUMPRODUCT(F26:F30*G26:G30)</f>
        <v>0</v>
      </c>
      <c r="D31" s="50" t="s">
        <v>43</v>
      </c>
      <c r="E31" s="49">
        <f>SUM(I26:I30)*1.1</f>
        <v>0</v>
      </c>
      <c r="F31" s="50" t="s">
        <v>44</v>
      </c>
      <c r="G31" s="51">
        <f>(C$218+C$221)/1000</f>
        <v>46.081499999999998</v>
      </c>
      <c r="H31" s="52" t="s">
        <v>45</v>
      </c>
      <c r="I31" s="53">
        <f>ROUND(E31*G31,2)</f>
        <v>0</v>
      </c>
      <c r="J31" s="243">
        <f>SUM(G26:G30)</f>
        <v>0</v>
      </c>
    </row>
    <row r="32" spans="2:15" ht="18" customHeight="1">
      <c r="B32" s="48" t="s">
        <v>46</v>
      </c>
      <c r="C32" s="50">
        <v>183.32</v>
      </c>
      <c r="D32" s="50" t="s">
        <v>47</v>
      </c>
      <c r="E32" s="49">
        <f>ROUND(C31*(C32/1000),2)</f>
        <v>0</v>
      </c>
      <c r="F32" s="50" t="s">
        <v>48</v>
      </c>
      <c r="G32" s="50">
        <f>G$23</f>
        <v>10</v>
      </c>
      <c r="H32" s="52" t="s">
        <v>49</v>
      </c>
      <c r="I32" s="53">
        <f>E32*G32</f>
        <v>0</v>
      </c>
    </row>
    <row r="33" spans="2:14" ht="18" customHeight="1" thickBot="1">
      <c r="B33" s="48" t="s">
        <v>50</v>
      </c>
      <c r="C33" s="50">
        <v>257.82</v>
      </c>
      <c r="D33" s="50" t="s">
        <v>51</v>
      </c>
      <c r="E33" s="49">
        <f>ROUND(C31*(C33/1000),2)</f>
        <v>0</v>
      </c>
      <c r="F33" s="50" t="s">
        <v>48</v>
      </c>
      <c r="G33" s="50">
        <f>G$24</f>
        <v>10</v>
      </c>
      <c r="H33" s="52" t="s">
        <v>49</v>
      </c>
      <c r="I33" s="53">
        <f>E33*G33</f>
        <v>0</v>
      </c>
    </row>
    <row r="34" spans="2:14" ht="18" customHeight="1" thickBot="1">
      <c r="B34" s="67" t="s">
        <v>36</v>
      </c>
      <c r="C34" s="68" t="s">
        <v>14</v>
      </c>
      <c r="D34" s="68" t="s">
        <v>37</v>
      </c>
      <c r="E34" s="68" t="s">
        <v>38</v>
      </c>
      <c r="F34" s="68" t="s">
        <v>39</v>
      </c>
      <c r="G34" s="68" t="s">
        <v>8</v>
      </c>
      <c r="H34" s="68" t="s">
        <v>22</v>
      </c>
      <c r="I34" s="69" t="s">
        <v>40</v>
      </c>
      <c r="J34" s="54" t="s">
        <v>2</v>
      </c>
      <c r="K34" s="55" t="s">
        <v>3</v>
      </c>
      <c r="L34" s="55" t="s">
        <v>61</v>
      </c>
      <c r="M34" s="55" t="s">
        <v>62</v>
      </c>
      <c r="N34" s="70" t="s">
        <v>14</v>
      </c>
    </row>
    <row r="35" spans="2:14" ht="18" customHeight="1">
      <c r="B35" s="648" t="s">
        <v>63</v>
      </c>
      <c r="C35" s="649" t="s">
        <v>64</v>
      </c>
      <c r="D35" s="253">
        <f t="shared" ref="D35:E37" si="5">J35-IF(L35=1,44,IF(L35=2,30,IF(L35=3,16,IF(L35=11,118,IF(L35=12,100,IF(L35=13,76.8,0))))))</f>
        <v>0</v>
      </c>
      <c r="E35" s="253">
        <f t="shared" si="5"/>
        <v>0</v>
      </c>
      <c r="F35" s="250">
        <f>ROUND((D35+E35)*2/1000,4)</f>
        <v>0</v>
      </c>
      <c r="G35" s="250"/>
      <c r="H35" s="58">
        <v>1.8140000000000001</v>
      </c>
      <c r="I35" s="59">
        <f>ROUND(F35*G35*H35,3)</f>
        <v>0</v>
      </c>
      <c r="J35" s="60"/>
      <c r="K35" s="61"/>
      <c r="L35" s="61"/>
      <c r="M35" s="61"/>
      <c r="N35" s="71" t="s">
        <v>56</v>
      </c>
    </row>
    <row r="36" spans="2:14" ht="18" customHeight="1">
      <c r="B36" s="660"/>
      <c r="C36" s="650"/>
      <c r="D36" s="253">
        <f t="shared" si="5"/>
        <v>0</v>
      </c>
      <c r="E36" s="253">
        <f t="shared" si="5"/>
        <v>0</v>
      </c>
      <c r="F36" s="250">
        <f>ROUND((D36+E36)*2/1000,4)</f>
        <v>0</v>
      </c>
      <c r="G36" s="250"/>
      <c r="H36" s="58">
        <f>H35</f>
        <v>1.8140000000000001</v>
      </c>
      <c r="I36" s="59">
        <f>ROUND(F36*G36*H36,3)</f>
        <v>0</v>
      </c>
      <c r="J36" s="60"/>
      <c r="K36" s="61"/>
      <c r="L36" s="61"/>
      <c r="M36" s="61"/>
      <c r="N36" s="72" t="s">
        <v>58</v>
      </c>
    </row>
    <row r="37" spans="2:14" ht="18" customHeight="1">
      <c r="B37" s="660"/>
      <c r="C37" s="651"/>
      <c r="D37" s="253">
        <f t="shared" si="5"/>
        <v>0</v>
      </c>
      <c r="E37" s="253">
        <f t="shared" si="5"/>
        <v>0</v>
      </c>
      <c r="F37" s="250">
        <f>ROUND((D37+E37)*2/1000,4)</f>
        <v>0</v>
      </c>
      <c r="G37" s="250"/>
      <c r="H37" s="58">
        <f>H36</f>
        <v>1.8140000000000001</v>
      </c>
      <c r="I37" s="59">
        <f>ROUND(F37*G37*H37,3)</f>
        <v>0</v>
      </c>
      <c r="J37" s="60"/>
      <c r="K37" s="61"/>
      <c r="L37" s="61"/>
      <c r="M37" s="61"/>
      <c r="N37" s="72" t="s">
        <v>60</v>
      </c>
    </row>
    <row r="38" spans="2:14" ht="18" customHeight="1">
      <c r="B38" s="48" t="s">
        <v>42</v>
      </c>
      <c r="C38" s="49">
        <f>SUMPRODUCT(F35:F37*G35:G37)</f>
        <v>0</v>
      </c>
      <c r="D38" s="50" t="s">
        <v>43</v>
      </c>
      <c r="E38" s="49">
        <f>SUM(I35:I37)*1.1</f>
        <v>0</v>
      </c>
      <c r="F38" s="50" t="s">
        <v>44</v>
      </c>
      <c r="G38" s="51">
        <f>(C$218+C$219)/1000</f>
        <v>46.081499999999998</v>
      </c>
      <c r="H38" s="52" t="s">
        <v>45</v>
      </c>
      <c r="I38" s="53">
        <f>ROUND(E38*G38,2)</f>
        <v>0</v>
      </c>
      <c r="J38" s="243">
        <f>SUM(G35:G37)</f>
        <v>0</v>
      </c>
      <c r="K38" s="255"/>
      <c r="L38" s="255"/>
      <c r="M38" s="255"/>
      <c r="N38" s="73" t="s">
        <v>65</v>
      </c>
    </row>
    <row r="39" spans="2:14" ht="18" customHeight="1">
      <c r="B39" s="48" t="s">
        <v>46</v>
      </c>
      <c r="C39" s="50">
        <v>320.14</v>
      </c>
      <c r="D39" s="50" t="s">
        <v>47</v>
      </c>
      <c r="E39" s="49">
        <f>ROUND(C38*(C39/1000),2)</f>
        <v>0</v>
      </c>
      <c r="F39" s="50" t="s">
        <v>48</v>
      </c>
      <c r="G39" s="50">
        <f>G$23</f>
        <v>10</v>
      </c>
      <c r="H39" s="52" t="s">
        <v>49</v>
      </c>
      <c r="I39" s="53">
        <f>E39*G39</f>
        <v>0</v>
      </c>
      <c r="J39" s="255"/>
      <c r="K39" s="255"/>
      <c r="L39" s="255"/>
      <c r="M39" s="255"/>
      <c r="N39" s="73" t="s">
        <v>66</v>
      </c>
    </row>
    <row r="40" spans="2:14" ht="18" customHeight="1" thickBot="1">
      <c r="B40" s="48" t="s">
        <v>50</v>
      </c>
      <c r="C40" s="50">
        <v>156.99</v>
      </c>
      <c r="D40" s="50" t="s">
        <v>51</v>
      </c>
      <c r="E40" s="49">
        <f>ROUND(C38*(C40/1000),2)</f>
        <v>0</v>
      </c>
      <c r="F40" s="50" t="s">
        <v>48</v>
      </c>
      <c r="G40" s="50">
        <f>G$24</f>
        <v>10</v>
      </c>
      <c r="H40" s="52" t="s">
        <v>49</v>
      </c>
      <c r="I40" s="53">
        <f>E40*G40</f>
        <v>0</v>
      </c>
      <c r="J40" s="255"/>
      <c r="K40" s="255"/>
      <c r="L40" s="255"/>
      <c r="M40" s="255"/>
      <c r="N40" s="74" t="s">
        <v>67</v>
      </c>
    </row>
    <row r="41" spans="2:14" ht="18" customHeight="1" thickBot="1">
      <c r="B41" s="23" t="s">
        <v>36</v>
      </c>
      <c r="C41" s="252" t="s">
        <v>14</v>
      </c>
      <c r="D41" s="252" t="s">
        <v>37</v>
      </c>
      <c r="E41" s="252" t="s">
        <v>38</v>
      </c>
      <c r="F41" s="252" t="s">
        <v>39</v>
      </c>
      <c r="G41" s="252" t="s">
        <v>8</v>
      </c>
      <c r="H41" s="252" t="s">
        <v>22</v>
      </c>
      <c r="I41" s="25" t="s">
        <v>40</v>
      </c>
      <c r="J41" s="54" t="s">
        <v>2</v>
      </c>
      <c r="K41" s="55" t="s">
        <v>3</v>
      </c>
      <c r="L41" s="55" t="s">
        <v>61</v>
      </c>
      <c r="M41" s="55" t="s">
        <v>62</v>
      </c>
      <c r="N41" s="70" t="s">
        <v>14</v>
      </c>
    </row>
    <row r="42" spans="2:14" ht="18" customHeight="1">
      <c r="B42" s="648" t="s">
        <v>68</v>
      </c>
      <c r="C42" s="649" t="s">
        <v>69</v>
      </c>
      <c r="D42" s="253">
        <f>J42-IF(L42=1,46,IF(L42=2,34.5,IF(L42=3,23)))</f>
        <v>0</v>
      </c>
      <c r="E42" s="253">
        <f>K42-IF(M42=1,46,IF(M42=2,34.5,IF(M42=3,23)))</f>
        <v>0</v>
      </c>
      <c r="F42" s="250">
        <f t="shared" ref="F42:F47" si="6">ROUND((D42+E42)*2/1000,4)</f>
        <v>0</v>
      </c>
      <c r="G42" s="250"/>
      <c r="H42" s="250">
        <v>1.26</v>
      </c>
      <c r="I42" s="59">
        <f t="shared" ref="I42:I47" si="7">ROUND(F42*G42*H42,3)</f>
        <v>0</v>
      </c>
      <c r="J42" s="60"/>
      <c r="K42" s="61"/>
      <c r="L42" s="61"/>
      <c r="M42" s="61"/>
      <c r="N42" s="71" t="s">
        <v>56</v>
      </c>
    </row>
    <row r="43" spans="2:14" ht="18" customHeight="1">
      <c r="B43" s="648"/>
      <c r="C43" s="650"/>
      <c r="D43" s="253">
        <f t="shared" ref="D43:E47" si="8">J43-IF(L43=1,46,IF(L43=2,34.5,IF(L43=3,23)))</f>
        <v>0</v>
      </c>
      <c r="E43" s="253">
        <f t="shared" si="8"/>
        <v>0</v>
      </c>
      <c r="F43" s="250">
        <f t="shared" si="6"/>
        <v>0</v>
      </c>
      <c r="G43" s="250"/>
      <c r="H43" s="250">
        <f>H42</f>
        <v>1.26</v>
      </c>
      <c r="I43" s="59">
        <f t="shared" si="7"/>
        <v>0</v>
      </c>
      <c r="J43" s="60"/>
      <c r="K43" s="61"/>
      <c r="L43" s="61"/>
      <c r="M43" s="61"/>
      <c r="N43" s="72" t="s">
        <v>58</v>
      </c>
    </row>
    <row r="44" spans="2:14" ht="18" customHeight="1">
      <c r="B44" s="648"/>
      <c r="C44" s="651"/>
      <c r="D44" s="253">
        <f t="shared" si="8"/>
        <v>0</v>
      </c>
      <c r="E44" s="253">
        <f t="shared" si="8"/>
        <v>0</v>
      </c>
      <c r="F44" s="250">
        <f t="shared" si="6"/>
        <v>0</v>
      </c>
      <c r="G44" s="250"/>
      <c r="H44" s="250">
        <f>H43</f>
        <v>1.26</v>
      </c>
      <c r="I44" s="59">
        <f t="shared" si="7"/>
        <v>0</v>
      </c>
      <c r="J44" s="60"/>
      <c r="K44" s="61"/>
      <c r="L44" s="61"/>
      <c r="M44" s="61"/>
      <c r="N44" s="72" t="s">
        <v>60</v>
      </c>
    </row>
    <row r="45" spans="2:14" ht="18" customHeight="1">
      <c r="B45" s="648"/>
      <c r="C45" s="649" t="s">
        <v>70</v>
      </c>
      <c r="D45" s="253">
        <f t="shared" si="8"/>
        <v>0</v>
      </c>
      <c r="E45" s="253">
        <f t="shared" si="8"/>
        <v>0</v>
      </c>
      <c r="F45" s="250">
        <f t="shared" si="6"/>
        <v>0</v>
      </c>
      <c r="G45" s="250"/>
      <c r="H45" s="250">
        <f>H44</f>
        <v>1.26</v>
      </c>
      <c r="I45" s="59">
        <f t="shared" si="7"/>
        <v>0</v>
      </c>
      <c r="J45" s="60"/>
      <c r="K45" s="61"/>
      <c r="L45" s="61"/>
      <c r="M45" s="61"/>
      <c r="N45" s="71" t="s">
        <v>56</v>
      </c>
    </row>
    <row r="46" spans="2:14" ht="18" customHeight="1">
      <c r="B46" s="648"/>
      <c r="C46" s="650"/>
      <c r="D46" s="253">
        <f t="shared" si="8"/>
        <v>0</v>
      </c>
      <c r="E46" s="253">
        <f t="shared" si="8"/>
        <v>0</v>
      </c>
      <c r="F46" s="250">
        <f t="shared" si="6"/>
        <v>0</v>
      </c>
      <c r="G46" s="250"/>
      <c r="H46" s="250">
        <f>H45</f>
        <v>1.26</v>
      </c>
      <c r="I46" s="59">
        <f t="shared" si="7"/>
        <v>0</v>
      </c>
      <c r="J46" s="60"/>
      <c r="K46" s="61"/>
      <c r="L46" s="61"/>
      <c r="M46" s="61"/>
      <c r="N46" s="72" t="s">
        <v>58</v>
      </c>
    </row>
    <row r="47" spans="2:14" ht="18" customHeight="1" thickBot="1">
      <c r="B47" s="648"/>
      <c r="C47" s="651"/>
      <c r="D47" s="253">
        <f t="shared" si="8"/>
        <v>0</v>
      </c>
      <c r="E47" s="253">
        <f t="shared" si="8"/>
        <v>0</v>
      </c>
      <c r="F47" s="250">
        <f t="shared" si="6"/>
        <v>0</v>
      </c>
      <c r="G47" s="250"/>
      <c r="H47" s="250">
        <f>H46</f>
        <v>1.26</v>
      </c>
      <c r="I47" s="59">
        <f t="shared" si="7"/>
        <v>0</v>
      </c>
      <c r="J47" s="64"/>
      <c r="K47" s="65"/>
      <c r="L47" s="65"/>
      <c r="M47" s="65"/>
      <c r="N47" s="75" t="s">
        <v>60</v>
      </c>
    </row>
    <row r="48" spans="2:14" ht="18" customHeight="1">
      <c r="B48" s="48" t="s">
        <v>42</v>
      </c>
      <c r="C48" s="49">
        <f>SUMPRODUCT(F42:F47*G42:G47)</f>
        <v>0</v>
      </c>
      <c r="D48" s="50" t="s">
        <v>43</v>
      </c>
      <c r="E48" s="49">
        <f>SUM(I42:I47)*1.1</f>
        <v>0</v>
      </c>
      <c r="F48" s="50" t="s">
        <v>44</v>
      </c>
      <c r="G48" s="51">
        <f>(C$218+C$219)/1000</f>
        <v>46.081499999999998</v>
      </c>
      <c r="H48" s="52" t="s">
        <v>45</v>
      </c>
      <c r="I48" s="53">
        <f>ROUND(E48*G48,2)</f>
        <v>0</v>
      </c>
      <c r="J48" s="243">
        <f>SUM(G42:G47)</f>
        <v>0</v>
      </c>
      <c r="K48" s="255"/>
      <c r="L48" s="255"/>
      <c r="M48" s="255"/>
    </row>
    <row r="49" spans="2:14" ht="18" customHeight="1">
      <c r="B49" s="48" t="s">
        <v>46</v>
      </c>
      <c r="C49" s="50">
        <v>132.47999999999999</v>
      </c>
      <c r="D49" s="50" t="s">
        <v>47</v>
      </c>
      <c r="E49" s="49">
        <f>ROUND(C48*(C49/1000),2)</f>
        <v>0</v>
      </c>
      <c r="F49" s="50" t="s">
        <v>48</v>
      </c>
      <c r="G49" s="50">
        <f>G$23</f>
        <v>10</v>
      </c>
      <c r="H49" s="52" t="s">
        <v>49</v>
      </c>
      <c r="I49" s="53">
        <f>E49*G49</f>
        <v>0</v>
      </c>
      <c r="J49" s="255"/>
      <c r="K49" s="255"/>
      <c r="L49" s="255"/>
      <c r="M49" s="255"/>
    </row>
    <row r="50" spans="2:14" ht="18" customHeight="1" thickBot="1">
      <c r="B50" s="48" t="s">
        <v>50</v>
      </c>
      <c r="C50" s="50">
        <v>202.06</v>
      </c>
      <c r="D50" s="50" t="s">
        <v>51</v>
      </c>
      <c r="E50" s="49">
        <f>ROUND(C48*(C50/1000),2)</f>
        <v>0</v>
      </c>
      <c r="F50" s="50" t="s">
        <v>48</v>
      </c>
      <c r="G50" s="50">
        <f>G$24</f>
        <v>10</v>
      </c>
      <c r="H50" s="52" t="s">
        <v>49</v>
      </c>
      <c r="I50" s="53">
        <f>E50*G50</f>
        <v>0</v>
      </c>
      <c r="J50" s="255"/>
    </row>
    <row r="51" spans="2:14" ht="18" customHeight="1" thickBot="1">
      <c r="B51" s="23" t="s">
        <v>36</v>
      </c>
      <c r="C51" s="252" t="s">
        <v>14</v>
      </c>
      <c r="D51" s="252" t="s">
        <v>37</v>
      </c>
      <c r="E51" s="252" t="s">
        <v>71</v>
      </c>
      <c r="F51" s="252" t="s">
        <v>38</v>
      </c>
      <c r="G51" s="252" t="s">
        <v>72</v>
      </c>
      <c r="H51" s="252" t="s">
        <v>22</v>
      </c>
      <c r="I51" s="25" t="s">
        <v>40</v>
      </c>
      <c r="J51" s="54" t="s">
        <v>2</v>
      </c>
      <c r="K51" s="55" t="s">
        <v>3</v>
      </c>
      <c r="L51" s="55" t="s">
        <v>61</v>
      </c>
      <c r="M51" s="55" t="s">
        <v>62</v>
      </c>
      <c r="N51" s="70" t="s">
        <v>14</v>
      </c>
    </row>
    <row r="52" spans="2:14" ht="18" customHeight="1">
      <c r="B52" s="648" t="s">
        <v>73</v>
      </c>
      <c r="C52" s="649" t="s">
        <v>405</v>
      </c>
      <c r="D52" s="253">
        <f>J52-IF(L52=1,46,IF(L52=2,32,IF(L52=3,18,0)))</f>
        <v>0</v>
      </c>
      <c r="E52" s="253"/>
      <c r="F52" s="253">
        <f>K52-IF(M52=1,46,IF(M52=2,32,IF(M52=3,118,0)))</f>
        <v>0</v>
      </c>
      <c r="G52" s="250"/>
      <c r="H52" s="250">
        <v>1.6379999999999999</v>
      </c>
      <c r="I52" s="59">
        <f>ROUND((D52*E52+F52*G52)/1000*H52,3)</f>
        <v>0</v>
      </c>
      <c r="J52" s="60"/>
      <c r="K52" s="61"/>
      <c r="L52" s="61"/>
      <c r="M52" s="61"/>
      <c r="N52" s="76" t="s">
        <v>56</v>
      </c>
    </row>
    <row r="53" spans="2:14" ht="18" customHeight="1">
      <c r="B53" s="648"/>
      <c r="C53" s="650"/>
      <c r="D53" s="253">
        <f t="shared" ref="D53:D55" si="9">J53-IF(L53=1,46,IF(L53=2,32,IF(L53=3,18,0)))</f>
        <v>0</v>
      </c>
      <c r="E53" s="253"/>
      <c r="F53" s="253">
        <f t="shared" ref="F53:F55" si="10">K53-IF(M53=1,46,IF(M53=2,32,IF(M53=3,118,0)))</f>
        <v>0</v>
      </c>
      <c r="G53" s="250"/>
      <c r="H53" s="250">
        <f>H52</f>
        <v>1.6379999999999999</v>
      </c>
      <c r="I53" s="59">
        <f>ROUND((D53*E53+F53*G53)/1000*H53,3)</f>
        <v>0</v>
      </c>
      <c r="J53" s="60"/>
      <c r="K53" s="61"/>
      <c r="L53" s="61"/>
      <c r="M53" s="61"/>
      <c r="N53" s="76" t="s">
        <v>58</v>
      </c>
    </row>
    <row r="54" spans="2:14" ht="18" customHeight="1">
      <c r="B54" s="648"/>
      <c r="C54" s="650"/>
      <c r="D54" s="253">
        <f t="shared" si="9"/>
        <v>0</v>
      </c>
      <c r="E54" s="253"/>
      <c r="F54" s="253">
        <f t="shared" si="10"/>
        <v>0</v>
      </c>
      <c r="G54" s="250"/>
      <c r="H54" s="250">
        <f>H53</f>
        <v>1.6379999999999999</v>
      </c>
      <c r="I54" s="59">
        <f>ROUND((D54*E54+F54*G54)/1000*H54,3)</f>
        <v>0</v>
      </c>
      <c r="J54" s="60"/>
      <c r="K54" s="61"/>
      <c r="L54" s="61"/>
      <c r="M54" s="61"/>
      <c r="N54" s="76" t="s">
        <v>60</v>
      </c>
    </row>
    <row r="55" spans="2:14" ht="18" customHeight="1" thickBot="1">
      <c r="B55" s="648"/>
      <c r="C55" s="651"/>
      <c r="D55" s="253">
        <f t="shared" si="9"/>
        <v>0</v>
      </c>
      <c r="E55" s="253"/>
      <c r="F55" s="253">
        <f t="shared" si="10"/>
        <v>0</v>
      </c>
      <c r="G55" s="250"/>
      <c r="H55" s="77">
        <f>H54</f>
        <v>1.6379999999999999</v>
      </c>
      <c r="I55" s="59">
        <f>ROUND((D55*E55+F55*G55)/1000*H55,3)</f>
        <v>0</v>
      </c>
      <c r="J55" s="78"/>
      <c r="K55" s="79"/>
      <c r="L55" s="79"/>
      <c r="M55" s="79"/>
      <c r="N55" s="80"/>
    </row>
    <row r="56" spans="2:14" ht="18" customHeight="1">
      <c r="B56" s="48" t="s">
        <v>42</v>
      </c>
      <c r="C56" s="49">
        <f>SUMPRODUCT(D52:D55*E52:E55+F52:F55*G52:G55)/1000</f>
        <v>0</v>
      </c>
      <c r="D56" s="50" t="s">
        <v>43</v>
      </c>
      <c r="E56" s="49">
        <f>SUM(I52:I55)*1.1</f>
        <v>0</v>
      </c>
      <c r="F56" s="50" t="s">
        <v>44</v>
      </c>
      <c r="G56" s="51">
        <f>(C$218+C$219)/1000</f>
        <v>46.081499999999998</v>
      </c>
      <c r="H56" s="52" t="s">
        <v>45</v>
      </c>
      <c r="I56" s="53">
        <f>ROUND(E56*G56,2)</f>
        <v>0</v>
      </c>
      <c r="J56" s="243">
        <f>SUM(E52:E55)+SUM(G52:G55)</f>
        <v>0</v>
      </c>
    </row>
    <row r="57" spans="2:14" ht="18" customHeight="1">
      <c r="B57" s="48" t="s">
        <v>46</v>
      </c>
      <c r="C57" s="50">
        <v>265.52999999999997</v>
      </c>
      <c r="D57" s="50" t="s">
        <v>47</v>
      </c>
      <c r="E57" s="49">
        <f>ROUND(C56*(C57/1000),2)</f>
        <v>0</v>
      </c>
      <c r="F57" s="50" t="s">
        <v>48</v>
      </c>
      <c r="G57" s="50">
        <f>G$23</f>
        <v>10</v>
      </c>
      <c r="H57" s="52" t="s">
        <v>49</v>
      </c>
      <c r="I57" s="53">
        <f>E57*G57</f>
        <v>0</v>
      </c>
      <c r="L57" s="47"/>
    </row>
    <row r="58" spans="2:14" ht="18" customHeight="1">
      <c r="B58" s="48" t="s">
        <v>50</v>
      </c>
      <c r="C58" s="50">
        <v>173.62</v>
      </c>
      <c r="D58" s="50" t="s">
        <v>51</v>
      </c>
      <c r="E58" s="49">
        <f>ROUND(C56*(C58/1000),2)</f>
        <v>0</v>
      </c>
      <c r="F58" s="50" t="s">
        <v>48</v>
      </c>
      <c r="G58" s="50">
        <f>G$24</f>
        <v>10</v>
      </c>
      <c r="H58" s="52" t="s">
        <v>49</v>
      </c>
      <c r="I58" s="53">
        <f>E58*G58</f>
        <v>0</v>
      </c>
      <c r="L58" s="47"/>
    </row>
    <row r="59" spans="2:14" ht="18" customHeight="1">
      <c r="B59" s="23" t="s">
        <v>36</v>
      </c>
      <c r="C59" s="252" t="s">
        <v>14</v>
      </c>
      <c r="D59" s="652" t="s">
        <v>74</v>
      </c>
      <c r="E59" s="652"/>
      <c r="F59" s="652"/>
      <c r="G59" s="252" t="s">
        <v>75</v>
      </c>
      <c r="H59" s="252" t="s">
        <v>22</v>
      </c>
      <c r="I59" s="25" t="s">
        <v>40</v>
      </c>
      <c r="L59" s="47"/>
    </row>
    <row r="60" spans="2:14" ht="18" customHeight="1">
      <c r="B60" s="648" t="s">
        <v>76</v>
      </c>
      <c r="C60" s="649" t="s">
        <v>77</v>
      </c>
      <c r="D60" s="646"/>
      <c r="E60" s="646"/>
      <c r="F60" s="646"/>
      <c r="G60" s="250"/>
      <c r="H60" s="250">
        <v>1.9339999999999999</v>
      </c>
      <c r="I60" s="59">
        <f>ROUND(D60*G60*H60/1000,3)</f>
        <v>0</v>
      </c>
      <c r="L60" s="47"/>
    </row>
    <row r="61" spans="2:14" ht="18" customHeight="1">
      <c r="B61" s="648"/>
      <c r="C61" s="651"/>
      <c r="D61" s="646"/>
      <c r="E61" s="646"/>
      <c r="F61" s="646"/>
      <c r="G61" s="250"/>
      <c r="H61" s="250">
        <v>1.9339999999999999</v>
      </c>
      <c r="I61" s="59">
        <f>ROUND(D61*G61*H61/1000,3)</f>
        <v>0</v>
      </c>
    </row>
    <row r="62" spans="2:14" ht="18" customHeight="1">
      <c r="B62" s="648"/>
      <c r="C62" s="649" t="s">
        <v>78</v>
      </c>
      <c r="D62" s="646"/>
      <c r="E62" s="646"/>
      <c r="F62" s="646"/>
      <c r="G62" s="250"/>
      <c r="H62" s="250">
        <v>2.3130000000000002</v>
      </c>
      <c r="I62" s="59">
        <f>ROUND(D62*G62*H62/1000,3)</f>
        <v>0</v>
      </c>
    </row>
    <row r="63" spans="2:14" ht="18" customHeight="1">
      <c r="B63" s="648"/>
      <c r="C63" s="651"/>
      <c r="D63" s="646"/>
      <c r="E63" s="646"/>
      <c r="F63" s="646"/>
      <c r="G63" s="250"/>
      <c r="H63" s="250">
        <v>2.3130000000000002</v>
      </c>
      <c r="I63" s="59">
        <f>ROUND(D63*G63*H63/1000,3)</f>
        <v>0</v>
      </c>
    </row>
    <row r="64" spans="2:14" ht="18" customHeight="1">
      <c r="B64" s="48" t="s">
        <v>42</v>
      </c>
      <c r="C64" s="49">
        <f>SUMPRODUCT(D60:F63*G60:G63)/1000</f>
        <v>0</v>
      </c>
      <c r="D64" s="50" t="s">
        <v>43</v>
      </c>
      <c r="E64" s="49">
        <f>SUM(I60:I63)*1.1</f>
        <v>0</v>
      </c>
      <c r="F64" s="50" t="s">
        <v>44</v>
      </c>
      <c r="G64" s="51">
        <f>(C$218+C$219)/1000</f>
        <v>46.081499999999998</v>
      </c>
      <c r="H64" s="52" t="s">
        <v>45</v>
      </c>
      <c r="I64" s="53">
        <f>ROUND(E64*G64,2)</f>
        <v>0</v>
      </c>
      <c r="J64" s="43">
        <f>SUM(G60:G63)</f>
        <v>0</v>
      </c>
    </row>
    <row r="65" spans="2:14" ht="18" customHeight="1">
      <c r="B65" s="48" t="s">
        <v>46</v>
      </c>
      <c r="C65" s="50">
        <v>337.92</v>
      </c>
      <c r="D65" s="50" t="s">
        <v>47</v>
      </c>
      <c r="E65" s="49">
        <f>ROUND(C64*(C65/1000),2)</f>
        <v>0</v>
      </c>
      <c r="F65" s="50" t="s">
        <v>48</v>
      </c>
      <c r="G65" s="50">
        <f>G$23</f>
        <v>10</v>
      </c>
      <c r="H65" s="52" t="s">
        <v>49</v>
      </c>
      <c r="I65" s="53">
        <f>E65*G65</f>
        <v>0</v>
      </c>
    </row>
    <row r="66" spans="2:14" ht="18" customHeight="1" thickBot="1">
      <c r="B66" s="48" t="s">
        <v>50</v>
      </c>
      <c r="C66" s="50">
        <v>175.93</v>
      </c>
      <c r="D66" s="50" t="s">
        <v>51</v>
      </c>
      <c r="E66" s="49">
        <f>ROUND(C64*(C66/1000),2)</f>
        <v>0</v>
      </c>
      <c r="F66" s="50" t="s">
        <v>48</v>
      </c>
      <c r="G66" s="50">
        <f>G$24</f>
        <v>10</v>
      </c>
      <c r="H66" s="52" t="s">
        <v>49</v>
      </c>
      <c r="I66" s="53">
        <f>E66*G66</f>
        <v>0</v>
      </c>
    </row>
    <row r="67" spans="2:14" ht="18" customHeight="1" thickBot="1">
      <c r="B67" s="23" t="s">
        <v>36</v>
      </c>
      <c r="C67" s="252" t="s">
        <v>14</v>
      </c>
      <c r="D67" s="252" t="s">
        <v>37</v>
      </c>
      <c r="E67" s="252" t="s">
        <v>38</v>
      </c>
      <c r="F67" s="252" t="s">
        <v>39</v>
      </c>
      <c r="G67" s="252" t="s">
        <v>8</v>
      </c>
      <c r="H67" s="252" t="s">
        <v>22</v>
      </c>
      <c r="I67" s="25" t="s">
        <v>40</v>
      </c>
      <c r="J67" s="54" t="s">
        <v>2</v>
      </c>
      <c r="K67" s="55" t="s">
        <v>3</v>
      </c>
      <c r="L67" s="55" t="s">
        <v>52</v>
      </c>
      <c r="M67" s="55" t="s">
        <v>53</v>
      </c>
      <c r="N67" s="70" t="s">
        <v>14</v>
      </c>
    </row>
    <row r="68" spans="2:14" ht="18" customHeight="1">
      <c r="B68" s="648" t="s">
        <v>79</v>
      </c>
      <c r="C68" s="649" t="s">
        <v>323</v>
      </c>
      <c r="D68" s="81">
        <f>J68-IF(L68=1,72,IF(L68=2,54,IF(L68=3,26,IF(L68=11,102.8,IF(L68=12,88.8,IF(L68=13,74.8,0))))))</f>
        <v>0</v>
      </c>
      <c r="E68" s="81">
        <f>K68-IF(M68=1,72,IF(M68=2,24,IF(M68=3,26,IF(M68=11,102.8,IF(M68=12,88.8,IF(M68=13,74.8,0))))))</f>
        <v>0</v>
      </c>
      <c r="F68" s="81">
        <f>2*(D68+E68)/1000</f>
        <v>0</v>
      </c>
      <c r="G68" s="82"/>
      <c r="H68" s="250">
        <v>0.224</v>
      </c>
      <c r="I68" s="283">
        <f>ROUND(F68*G68*H68,3)*1.5</f>
        <v>0</v>
      </c>
      <c r="J68" s="83"/>
      <c r="K68" s="83"/>
      <c r="L68" s="84"/>
      <c r="M68" s="84"/>
      <c r="N68" s="71" t="s">
        <v>56</v>
      </c>
    </row>
    <row r="69" spans="2:14" ht="18" customHeight="1">
      <c r="B69" s="648"/>
      <c r="C69" s="650"/>
      <c r="D69" s="81">
        <f t="shared" ref="D69:D87" si="11">J69-IF(L69=1,72,IF(L69=2,54,IF(L69=3,26,IF(L69=11,102.8,IF(L69=12,88.8,IF(L69=13,74.8,0))))))</f>
        <v>0</v>
      </c>
      <c r="E69" s="81">
        <f t="shared" ref="E69:E87" si="12">K69-IF(M69=1,72,IF(M69=2,24,IF(M69=3,26,IF(M69=11,102.8,IF(M69=12,88.8,IF(M69=13,74.8,0))))))</f>
        <v>0</v>
      </c>
      <c r="F69" s="81">
        <f t="shared" ref="F69:F87" si="13">2*(D69+E69)/1000</f>
        <v>0</v>
      </c>
      <c r="G69" s="82"/>
      <c r="H69" s="250">
        <f>H68</f>
        <v>0.224</v>
      </c>
      <c r="I69" s="59">
        <f t="shared" ref="I69:I87" si="14">ROUND(F69*G69*H69,3)</f>
        <v>0</v>
      </c>
      <c r="J69" s="83"/>
      <c r="K69" s="84"/>
      <c r="L69" s="84"/>
      <c r="M69" s="84"/>
      <c r="N69" s="72" t="s">
        <v>58</v>
      </c>
    </row>
    <row r="70" spans="2:14" ht="18" customHeight="1">
      <c r="B70" s="648"/>
      <c r="C70" s="650"/>
      <c r="D70" s="81">
        <f t="shared" si="11"/>
        <v>0</v>
      </c>
      <c r="E70" s="81">
        <f t="shared" si="12"/>
        <v>0</v>
      </c>
      <c r="F70" s="81">
        <f t="shared" si="13"/>
        <v>0</v>
      </c>
      <c r="G70" s="82"/>
      <c r="H70" s="250">
        <f>H69</f>
        <v>0.224</v>
      </c>
      <c r="I70" s="59">
        <f t="shared" si="14"/>
        <v>0</v>
      </c>
      <c r="J70" s="83"/>
      <c r="K70" s="84"/>
      <c r="L70" s="84"/>
      <c r="M70" s="84"/>
      <c r="N70" s="72" t="s">
        <v>60</v>
      </c>
    </row>
    <row r="71" spans="2:14" ht="18" customHeight="1">
      <c r="B71" s="648"/>
      <c r="C71" s="650"/>
      <c r="D71" s="81">
        <f t="shared" si="11"/>
        <v>0</v>
      </c>
      <c r="E71" s="81">
        <f t="shared" si="12"/>
        <v>0</v>
      </c>
      <c r="F71" s="81">
        <f t="shared" si="13"/>
        <v>0</v>
      </c>
      <c r="G71" s="82"/>
      <c r="H71" s="77">
        <f>H70</f>
        <v>0.224</v>
      </c>
      <c r="I71" s="59">
        <f t="shared" si="14"/>
        <v>0</v>
      </c>
      <c r="J71" s="85"/>
      <c r="K71" s="86"/>
      <c r="L71" s="86"/>
      <c r="M71" s="86"/>
      <c r="N71" s="72" t="s">
        <v>65</v>
      </c>
    </row>
    <row r="72" spans="2:14" ht="18" customHeight="1">
      <c r="B72" s="648"/>
      <c r="C72" s="650"/>
      <c r="D72" s="81">
        <f t="shared" si="11"/>
        <v>0</v>
      </c>
      <c r="E72" s="81">
        <f t="shared" si="12"/>
        <v>0</v>
      </c>
      <c r="F72" s="81">
        <f t="shared" si="13"/>
        <v>0</v>
      </c>
      <c r="G72" s="82"/>
      <c r="H72" s="77">
        <f>H71</f>
        <v>0.224</v>
      </c>
      <c r="I72" s="87">
        <f t="shared" si="14"/>
        <v>0</v>
      </c>
      <c r="J72" s="85"/>
      <c r="K72" s="86"/>
      <c r="L72" s="86"/>
      <c r="M72" s="86"/>
      <c r="N72" s="72" t="s">
        <v>66</v>
      </c>
    </row>
    <row r="73" spans="2:14" ht="18" customHeight="1">
      <c r="B73" s="648"/>
      <c r="C73" s="650"/>
      <c r="D73" s="81">
        <f t="shared" si="11"/>
        <v>0</v>
      </c>
      <c r="E73" s="81">
        <f t="shared" si="12"/>
        <v>0</v>
      </c>
      <c r="F73" s="81">
        <f t="shared" si="13"/>
        <v>0</v>
      </c>
      <c r="G73" s="82"/>
      <c r="H73" s="250">
        <f>H70</f>
        <v>0.224</v>
      </c>
      <c r="I73" s="87">
        <f t="shared" si="14"/>
        <v>0</v>
      </c>
      <c r="J73" s="83"/>
      <c r="K73" s="84"/>
      <c r="L73" s="84"/>
      <c r="M73" s="84"/>
      <c r="N73" s="72" t="s">
        <v>67</v>
      </c>
    </row>
    <row r="74" spans="2:14" ht="18" customHeight="1">
      <c r="B74" s="648"/>
      <c r="C74" s="651"/>
      <c r="D74" s="81">
        <f t="shared" si="11"/>
        <v>0</v>
      </c>
      <c r="E74" s="81">
        <f t="shared" si="12"/>
        <v>0</v>
      </c>
      <c r="F74" s="81">
        <f t="shared" si="13"/>
        <v>0</v>
      </c>
      <c r="G74" s="82"/>
      <c r="H74" s="250">
        <f>H73</f>
        <v>0.224</v>
      </c>
      <c r="I74" s="87">
        <f t="shared" si="14"/>
        <v>0</v>
      </c>
      <c r="J74" s="83"/>
      <c r="K74" s="84"/>
      <c r="L74" s="84"/>
      <c r="M74" s="84"/>
      <c r="N74" s="88"/>
    </row>
    <row r="75" spans="2:14" ht="18" customHeight="1">
      <c r="B75" s="648"/>
      <c r="C75" s="649" t="s">
        <v>324</v>
      </c>
      <c r="D75" s="89">
        <f t="shared" si="11"/>
        <v>0</v>
      </c>
      <c r="E75" s="89">
        <f t="shared" si="12"/>
        <v>0</v>
      </c>
      <c r="F75" s="89">
        <f t="shared" si="13"/>
        <v>0</v>
      </c>
      <c r="G75" s="90"/>
      <c r="H75" s="91">
        <f>H74</f>
        <v>0.224</v>
      </c>
      <c r="I75" s="92">
        <f t="shared" si="14"/>
        <v>0</v>
      </c>
      <c r="J75" s="83"/>
      <c r="K75" s="84"/>
      <c r="L75" s="84"/>
      <c r="M75" s="84"/>
      <c r="N75" s="93" t="s">
        <v>80</v>
      </c>
    </row>
    <row r="76" spans="2:14" ht="18" customHeight="1">
      <c r="B76" s="648"/>
      <c r="C76" s="650"/>
      <c r="D76" s="89">
        <f t="shared" si="11"/>
        <v>0</v>
      </c>
      <c r="E76" s="89">
        <f t="shared" si="12"/>
        <v>0</v>
      </c>
      <c r="F76" s="89">
        <f t="shared" si="13"/>
        <v>0</v>
      </c>
      <c r="G76" s="90"/>
      <c r="H76" s="91">
        <f>H72</f>
        <v>0.224</v>
      </c>
      <c r="I76" s="92">
        <f t="shared" si="14"/>
        <v>0</v>
      </c>
      <c r="J76" s="83"/>
      <c r="K76" s="84"/>
      <c r="L76" s="84"/>
      <c r="M76" s="84"/>
      <c r="N76" s="93" t="s">
        <v>80</v>
      </c>
    </row>
    <row r="77" spans="2:14" ht="18" customHeight="1">
      <c r="B77" s="648"/>
      <c r="C77" s="650"/>
      <c r="D77" s="89">
        <f t="shared" si="11"/>
        <v>0</v>
      </c>
      <c r="E77" s="89">
        <f t="shared" si="12"/>
        <v>0</v>
      </c>
      <c r="F77" s="89">
        <f t="shared" si="13"/>
        <v>0</v>
      </c>
      <c r="G77" s="90"/>
      <c r="H77" s="91">
        <f t="shared" ref="H77:H87" si="15">H76</f>
        <v>0.224</v>
      </c>
      <c r="I77" s="92">
        <f t="shared" si="14"/>
        <v>0</v>
      </c>
      <c r="J77" s="83"/>
      <c r="K77" s="84"/>
      <c r="L77" s="84"/>
      <c r="M77" s="84"/>
      <c r="N77" s="93" t="s">
        <v>80</v>
      </c>
    </row>
    <row r="78" spans="2:14" ht="18" customHeight="1">
      <c r="B78" s="648"/>
      <c r="C78" s="650"/>
      <c r="D78" s="89">
        <f t="shared" si="11"/>
        <v>0</v>
      </c>
      <c r="E78" s="89">
        <f t="shared" si="12"/>
        <v>0</v>
      </c>
      <c r="F78" s="89">
        <f t="shared" si="13"/>
        <v>0</v>
      </c>
      <c r="G78" s="90"/>
      <c r="H78" s="91">
        <f t="shared" si="15"/>
        <v>0.224</v>
      </c>
      <c r="I78" s="92">
        <f t="shared" si="14"/>
        <v>0</v>
      </c>
      <c r="J78" s="83"/>
      <c r="K78" s="84"/>
      <c r="L78" s="84"/>
      <c r="M78" s="84"/>
      <c r="N78" s="93" t="s">
        <v>80</v>
      </c>
    </row>
    <row r="79" spans="2:14" ht="18" customHeight="1">
      <c r="B79" s="648"/>
      <c r="C79" s="650"/>
      <c r="D79" s="89">
        <f t="shared" si="11"/>
        <v>0</v>
      </c>
      <c r="E79" s="89">
        <f t="shared" si="12"/>
        <v>0</v>
      </c>
      <c r="F79" s="89">
        <f t="shared" si="13"/>
        <v>0</v>
      </c>
      <c r="G79" s="90"/>
      <c r="H79" s="91">
        <f t="shared" si="15"/>
        <v>0.224</v>
      </c>
      <c r="I79" s="94">
        <f t="shared" si="14"/>
        <v>0</v>
      </c>
      <c r="J79" s="83"/>
      <c r="K79" s="84"/>
      <c r="L79" s="84"/>
      <c r="M79" s="84"/>
      <c r="N79" s="93" t="s">
        <v>80</v>
      </c>
    </row>
    <row r="80" spans="2:14" ht="18" customHeight="1">
      <c r="B80" s="648"/>
      <c r="C80" s="650"/>
      <c r="D80" s="89">
        <f t="shared" si="11"/>
        <v>0</v>
      </c>
      <c r="E80" s="89">
        <f t="shared" si="12"/>
        <v>0</v>
      </c>
      <c r="F80" s="89">
        <f t="shared" si="13"/>
        <v>0</v>
      </c>
      <c r="G80" s="90"/>
      <c r="H80" s="91">
        <f t="shared" si="15"/>
        <v>0.224</v>
      </c>
      <c r="I80" s="94">
        <f t="shared" si="14"/>
        <v>0</v>
      </c>
      <c r="J80" s="83"/>
      <c r="K80" s="84"/>
      <c r="L80" s="84"/>
      <c r="M80" s="84"/>
      <c r="N80" s="93" t="s">
        <v>80</v>
      </c>
    </row>
    <row r="81" spans="2:14" ht="18" customHeight="1">
      <c r="B81" s="648"/>
      <c r="C81" s="651"/>
      <c r="D81" s="89">
        <f t="shared" si="11"/>
        <v>0</v>
      </c>
      <c r="E81" s="89">
        <f t="shared" si="12"/>
        <v>0</v>
      </c>
      <c r="F81" s="89">
        <f t="shared" si="13"/>
        <v>0</v>
      </c>
      <c r="G81" s="90"/>
      <c r="H81" s="91">
        <f t="shared" si="15"/>
        <v>0.224</v>
      </c>
      <c r="I81" s="94">
        <f t="shared" si="14"/>
        <v>0</v>
      </c>
      <c r="J81" s="95"/>
      <c r="K81" s="96"/>
      <c r="L81" s="96"/>
      <c r="M81" s="96"/>
      <c r="N81" s="93" t="s">
        <v>81</v>
      </c>
    </row>
    <row r="82" spans="2:14" ht="18" customHeight="1">
      <c r="B82" s="648"/>
      <c r="C82" s="639" t="s">
        <v>325</v>
      </c>
      <c r="D82" s="81">
        <f t="shared" si="11"/>
        <v>0</v>
      </c>
      <c r="E82" s="81">
        <f t="shared" si="12"/>
        <v>0</v>
      </c>
      <c r="F82" s="81">
        <f t="shared" si="13"/>
        <v>0</v>
      </c>
      <c r="G82" s="82"/>
      <c r="H82" s="250">
        <f t="shared" si="15"/>
        <v>0.224</v>
      </c>
      <c r="I82" s="59">
        <f t="shared" si="14"/>
        <v>0</v>
      </c>
      <c r="J82" s="83"/>
      <c r="K82" s="84"/>
      <c r="L82" s="84"/>
      <c r="M82" s="84"/>
      <c r="N82" s="88"/>
    </row>
    <row r="83" spans="2:14" ht="18" customHeight="1">
      <c r="B83" s="648"/>
      <c r="C83" s="645"/>
      <c r="D83" s="81">
        <f t="shared" si="11"/>
        <v>0</v>
      </c>
      <c r="E83" s="81">
        <f t="shared" si="12"/>
        <v>0</v>
      </c>
      <c r="F83" s="81">
        <f t="shared" si="13"/>
        <v>0</v>
      </c>
      <c r="G83" s="82"/>
      <c r="H83" s="250">
        <f t="shared" si="15"/>
        <v>0.224</v>
      </c>
      <c r="I83" s="59">
        <f t="shared" si="14"/>
        <v>0</v>
      </c>
      <c r="J83" s="83"/>
      <c r="K83" s="84"/>
      <c r="L83" s="84"/>
      <c r="M83" s="84"/>
      <c r="N83" s="88"/>
    </row>
    <row r="84" spans="2:14" ht="18" customHeight="1">
      <c r="B84" s="648"/>
      <c r="C84" s="645"/>
      <c r="D84" s="81">
        <f t="shared" si="11"/>
        <v>0</v>
      </c>
      <c r="E84" s="81">
        <f t="shared" si="12"/>
        <v>0</v>
      </c>
      <c r="F84" s="81">
        <f t="shared" si="13"/>
        <v>0</v>
      </c>
      <c r="G84" s="82"/>
      <c r="H84" s="250">
        <f t="shared" si="15"/>
        <v>0.224</v>
      </c>
      <c r="I84" s="59">
        <f t="shared" si="14"/>
        <v>0</v>
      </c>
      <c r="J84" s="83"/>
      <c r="K84" s="84"/>
      <c r="L84" s="84"/>
      <c r="M84" s="84"/>
      <c r="N84" s="76"/>
    </row>
    <row r="85" spans="2:14" ht="18" customHeight="1">
      <c r="B85" s="648"/>
      <c r="C85" s="645"/>
      <c r="D85" s="81">
        <f t="shared" si="11"/>
        <v>0</v>
      </c>
      <c r="E85" s="81">
        <f t="shared" si="12"/>
        <v>0</v>
      </c>
      <c r="F85" s="81">
        <f t="shared" si="13"/>
        <v>0</v>
      </c>
      <c r="G85" s="82"/>
      <c r="H85" s="250">
        <f t="shared" si="15"/>
        <v>0.224</v>
      </c>
      <c r="I85" s="59">
        <f t="shared" si="14"/>
        <v>0</v>
      </c>
      <c r="J85" s="83"/>
      <c r="K85" s="84"/>
      <c r="L85" s="84"/>
      <c r="M85" s="84"/>
      <c r="N85" s="76"/>
    </row>
    <row r="86" spans="2:14" ht="18" customHeight="1">
      <c r="B86" s="648"/>
      <c r="C86" s="645"/>
      <c r="D86" s="81">
        <f t="shared" si="11"/>
        <v>0</v>
      </c>
      <c r="E86" s="81">
        <f t="shared" si="12"/>
        <v>0</v>
      </c>
      <c r="F86" s="81">
        <f t="shared" si="13"/>
        <v>0</v>
      </c>
      <c r="G86" s="82"/>
      <c r="H86" s="250">
        <f t="shared" si="15"/>
        <v>0.224</v>
      </c>
      <c r="I86" s="59">
        <f t="shared" si="14"/>
        <v>0</v>
      </c>
      <c r="J86" s="85"/>
      <c r="K86" s="86"/>
      <c r="L86" s="86"/>
      <c r="M86" s="86"/>
      <c r="N86" s="76"/>
    </row>
    <row r="87" spans="2:14" ht="18" customHeight="1" thickBot="1">
      <c r="B87" s="648"/>
      <c r="C87" s="640"/>
      <c r="D87" s="81">
        <f t="shared" si="11"/>
        <v>0</v>
      </c>
      <c r="E87" s="81">
        <f t="shared" si="12"/>
        <v>0</v>
      </c>
      <c r="F87" s="81">
        <f t="shared" si="13"/>
        <v>0</v>
      </c>
      <c r="G87" s="82"/>
      <c r="H87" s="250">
        <f t="shared" si="15"/>
        <v>0.224</v>
      </c>
      <c r="I87" s="59">
        <f t="shared" si="14"/>
        <v>0</v>
      </c>
      <c r="J87" s="97"/>
      <c r="K87" s="98"/>
      <c r="L87" s="98"/>
      <c r="M87" s="98"/>
      <c r="N87" s="80"/>
    </row>
    <row r="88" spans="2:14" ht="18" customHeight="1">
      <c r="B88" s="48" t="s">
        <v>42</v>
      </c>
      <c r="C88" s="49">
        <f>SUMPRODUCT(F68:F87*G68:G87)</f>
        <v>0</v>
      </c>
      <c r="D88" s="50" t="s">
        <v>43</v>
      </c>
      <c r="E88" s="49">
        <f>SUM(I68:I87)*1.1</f>
        <v>0</v>
      </c>
      <c r="F88" s="50" t="s">
        <v>44</v>
      </c>
      <c r="G88" s="51">
        <f>(C$218+C$222)/1000</f>
        <v>39.781500000000001</v>
      </c>
      <c r="H88" s="52" t="s">
        <v>45</v>
      </c>
      <c r="I88" s="53">
        <f>ROUND(E88*G88,2)</f>
        <v>0</v>
      </c>
      <c r="J88" s="255"/>
      <c r="K88" s="255"/>
      <c r="L88" s="255"/>
      <c r="M88" s="255"/>
    </row>
    <row r="89" spans="2:14" ht="18" customHeight="1">
      <c r="B89" s="48" t="s">
        <v>46</v>
      </c>
      <c r="C89" s="50">
        <v>181.72</v>
      </c>
      <c r="D89" s="50" t="s">
        <v>47</v>
      </c>
      <c r="E89" s="49">
        <f>ROUND(C88*(C89/1000),2)</f>
        <v>0</v>
      </c>
      <c r="F89" s="50" t="s">
        <v>48</v>
      </c>
      <c r="G89" s="50">
        <f>G$23</f>
        <v>10</v>
      </c>
      <c r="H89" s="52" t="s">
        <v>49</v>
      </c>
      <c r="I89" s="53">
        <f>E89*G89</f>
        <v>0</v>
      </c>
      <c r="J89" s="255"/>
      <c r="K89" s="255"/>
      <c r="L89" s="255"/>
      <c r="M89" s="255"/>
    </row>
    <row r="90" spans="2:14" ht="18" customHeight="1">
      <c r="B90" s="48" t="s">
        <v>50</v>
      </c>
      <c r="C90" s="50"/>
      <c r="D90" s="50" t="s">
        <v>51</v>
      </c>
      <c r="E90" s="49">
        <f>ROUND(C88*(C90/1000),2)</f>
        <v>0</v>
      </c>
      <c r="F90" s="50" t="s">
        <v>48</v>
      </c>
      <c r="G90" s="50">
        <f>G$24</f>
        <v>10</v>
      </c>
      <c r="H90" s="52" t="s">
        <v>49</v>
      </c>
      <c r="I90" s="53">
        <f>E90*G90</f>
        <v>0</v>
      </c>
      <c r="J90" s="255"/>
      <c r="K90" s="255"/>
      <c r="L90" s="255"/>
      <c r="M90" s="255"/>
    </row>
    <row r="91" spans="2:14" ht="18" customHeight="1">
      <c r="B91" s="23" t="s">
        <v>36</v>
      </c>
      <c r="C91" s="252" t="s">
        <v>14</v>
      </c>
      <c r="D91" s="252" t="s">
        <v>37</v>
      </c>
      <c r="E91" s="252" t="s">
        <v>38</v>
      </c>
      <c r="F91" s="252" t="s">
        <v>39</v>
      </c>
      <c r="G91" s="252" t="s">
        <v>8</v>
      </c>
      <c r="H91" s="252" t="s">
        <v>22</v>
      </c>
      <c r="I91" s="25" t="s">
        <v>40</v>
      </c>
      <c r="J91" s="255"/>
      <c r="K91" s="255"/>
      <c r="L91" s="255"/>
      <c r="M91" s="255"/>
    </row>
    <row r="92" spans="2:14" ht="18" customHeight="1">
      <c r="B92" s="648" t="s">
        <v>82</v>
      </c>
      <c r="C92" s="653" t="s">
        <v>326</v>
      </c>
      <c r="D92" s="253">
        <f>D26-90</f>
        <v>-90</v>
      </c>
      <c r="E92" s="253">
        <f>E26-90</f>
        <v>-90</v>
      </c>
      <c r="F92" s="253">
        <f>2*(D92+E92)/1000</f>
        <v>-0.36</v>
      </c>
      <c r="G92" s="250">
        <f>G26</f>
        <v>0</v>
      </c>
      <c r="H92" s="250">
        <v>0.27100000000000002</v>
      </c>
      <c r="I92" s="59">
        <f>ROUND(F92*G92*H92,3)</f>
        <v>0</v>
      </c>
    </row>
    <row r="93" spans="2:14" ht="18" customHeight="1">
      <c r="B93" s="648"/>
      <c r="C93" s="658"/>
      <c r="D93" s="253">
        <f t="shared" ref="D93:E96" si="16">D27-90</f>
        <v>-90</v>
      </c>
      <c r="E93" s="253">
        <f t="shared" si="16"/>
        <v>-90</v>
      </c>
      <c r="F93" s="253">
        <f>2*(D93+E93)/1000</f>
        <v>-0.36</v>
      </c>
      <c r="G93" s="250">
        <f>G27</f>
        <v>0</v>
      </c>
      <c r="H93" s="250">
        <f>H92</f>
        <v>0.27100000000000002</v>
      </c>
      <c r="I93" s="59">
        <f>ROUND(F93*G93*H93,3)</f>
        <v>0</v>
      </c>
      <c r="M93" s="42"/>
    </row>
    <row r="94" spans="2:14" ht="18" customHeight="1">
      <c r="B94" s="648"/>
      <c r="C94" s="658"/>
      <c r="D94" s="253">
        <f t="shared" si="16"/>
        <v>-90</v>
      </c>
      <c r="E94" s="253">
        <f t="shared" si="16"/>
        <v>-90</v>
      </c>
      <c r="F94" s="253">
        <f>2*(D94+E94)/1000</f>
        <v>-0.36</v>
      </c>
      <c r="G94" s="250">
        <f>G28</f>
        <v>0</v>
      </c>
      <c r="H94" s="250">
        <f>H93</f>
        <v>0.27100000000000002</v>
      </c>
      <c r="I94" s="59">
        <f>ROUND(F94*G94*H94,3)</f>
        <v>0</v>
      </c>
    </row>
    <row r="95" spans="2:14" ht="18" customHeight="1">
      <c r="B95" s="648"/>
      <c r="C95" s="658"/>
      <c r="D95" s="253">
        <f t="shared" si="16"/>
        <v>-90</v>
      </c>
      <c r="E95" s="253">
        <f t="shared" si="16"/>
        <v>-90</v>
      </c>
      <c r="F95" s="253">
        <f>2*(D95+E95)/1000</f>
        <v>-0.36</v>
      </c>
      <c r="G95" s="250">
        <f>G29</f>
        <v>0</v>
      </c>
      <c r="H95" s="250">
        <f>H94</f>
        <v>0.27100000000000002</v>
      </c>
      <c r="I95" s="59">
        <f>ROUND(F95*G95*H95,3)</f>
        <v>0</v>
      </c>
    </row>
    <row r="96" spans="2:14" ht="18" customHeight="1">
      <c r="B96" s="648"/>
      <c r="C96" s="659"/>
      <c r="D96" s="253">
        <f t="shared" si="16"/>
        <v>-90</v>
      </c>
      <c r="E96" s="253">
        <f t="shared" si="16"/>
        <v>-90</v>
      </c>
      <c r="F96" s="253">
        <f>2*(D96+E96)/1000</f>
        <v>-0.36</v>
      </c>
      <c r="G96" s="250">
        <f>G30</f>
        <v>0</v>
      </c>
      <c r="H96" s="250">
        <f>H95</f>
        <v>0.27100000000000002</v>
      </c>
      <c r="I96" s="59">
        <f>ROUND(F96*G96*H96,3)</f>
        <v>0</v>
      </c>
    </row>
    <row r="97" spans="2:13" ht="18" customHeight="1">
      <c r="B97" s="48" t="s">
        <v>42</v>
      </c>
      <c r="C97" s="49">
        <f>SUMPRODUCT(F92:F96*G92:G96)</f>
        <v>0</v>
      </c>
      <c r="D97" s="50" t="s">
        <v>43</v>
      </c>
      <c r="E97" s="49">
        <f>SUM(I92:I96)*1.1</f>
        <v>0</v>
      </c>
      <c r="F97" s="50" t="s">
        <v>44</v>
      </c>
      <c r="G97" s="51">
        <f>(C$218+C$222)/1000</f>
        <v>39.781500000000001</v>
      </c>
      <c r="H97" s="52" t="s">
        <v>45</v>
      </c>
      <c r="I97" s="53">
        <f>ROUND(E97*G97,2)</f>
        <v>0</v>
      </c>
    </row>
    <row r="98" spans="2:13" ht="18" customHeight="1">
      <c r="B98" s="48" t="s">
        <v>46</v>
      </c>
      <c r="C98" s="50">
        <v>186.72</v>
      </c>
      <c r="D98" s="50" t="s">
        <v>47</v>
      </c>
      <c r="E98" s="49">
        <f>ROUND(C97*(C98/1000),2)</f>
        <v>0</v>
      </c>
      <c r="F98" s="50" t="s">
        <v>48</v>
      </c>
      <c r="G98" s="50">
        <f>G$23</f>
        <v>10</v>
      </c>
      <c r="H98" s="52" t="s">
        <v>49</v>
      </c>
      <c r="I98" s="53">
        <f>E98*G98</f>
        <v>0</v>
      </c>
    </row>
    <row r="99" spans="2:13" ht="18" customHeight="1">
      <c r="B99" s="48" t="s">
        <v>50</v>
      </c>
      <c r="C99" s="50">
        <v>0</v>
      </c>
      <c r="D99" s="50" t="s">
        <v>51</v>
      </c>
      <c r="E99" s="49">
        <f>ROUND(C97*(C99/1000),2)</f>
        <v>0</v>
      </c>
      <c r="F99" s="50" t="s">
        <v>48</v>
      </c>
      <c r="G99" s="50">
        <f>G$24</f>
        <v>10</v>
      </c>
      <c r="H99" s="52" t="s">
        <v>49</v>
      </c>
      <c r="I99" s="53">
        <f>E99*G99</f>
        <v>0</v>
      </c>
    </row>
    <row r="100" spans="2:13" ht="18" customHeight="1">
      <c r="B100" s="23" t="s">
        <v>36</v>
      </c>
      <c r="C100" s="252" t="s">
        <v>14</v>
      </c>
      <c r="D100" s="252" t="s">
        <v>37</v>
      </c>
      <c r="E100" s="252" t="s">
        <v>38</v>
      </c>
      <c r="F100" s="252" t="s">
        <v>39</v>
      </c>
      <c r="G100" s="252" t="s">
        <v>8</v>
      </c>
      <c r="H100" s="252" t="s">
        <v>22</v>
      </c>
      <c r="I100" s="25" t="s">
        <v>40</v>
      </c>
    </row>
    <row r="101" spans="2:13" ht="18" customHeight="1">
      <c r="B101" s="648" t="s">
        <v>84</v>
      </c>
      <c r="C101" s="653" t="str">
        <f>C92</f>
        <v>SDL2281</v>
      </c>
      <c r="D101" s="253">
        <f>D35-122</f>
        <v>-122</v>
      </c>
      <c r="E101" s="253">
        <f t="shared" ref="D101:E103" si="17">E35-122</f>
        <v>-122</v>
      </c>
      <c r="F101" s="253">
        <f>2*(D101+E101)/1000</f>
        <v>-0.48799999999999999</v>
      </c>
      <c r="G101" s="250">
        <f>G35</f>
        <v>0</v>
      </c>
      <c r="H101" s="250">
        <f>H96</f>
        <v>0.27100000000000002</v>
      </c>
      <c r="I101" s="59">
        <f>ROUND(F101*G101*H101,3)</f>
        <v>0</v>
      </c>
    </row>
    <row r="102" spans="2:13" ht="18" customHeight="1">
      <c r="B102" s="648"/>
      <c r="C102" s="650"/>
      <c r="D102" s="253">
        <f t="shared" si="17"/>
        <v>-122</v>
      </c>
      <c r="E102" s="253">
        <f t="shared" si="17"/>
        <v>-122</v>
      </c>
      <c r="F102" s="253">
        <f>2*(D102+E102)/1000</f>
        <v>-0.48799999999999999</v>
      </c>
      <c r="G102" s="250">
        <f>G36</f>
        <v>0</v>
      </c>
      <c r="H102" s="250">
        <f>H101</f>
        <v>0.27100000000000002</v>
      </c>
      <c r="I102" s="59">
        <f>ROUND(F102*G102*H102,3)</f>
        <v>0</v>
      </c>
      <c r="K102" s="99"/>
      <c r="M102" s="99"/>
    </row>
    <row r="103" spans="2:13" ht="18" customHeight="1">
      <c r="B103" s="648"/>
      <c r="C103" s="651"/>
      <c r="D103" s="253">
        <f t="shared" si="17"/>
        <v>-122</v>
      </c>
      <c r="E103" s="253">
        <f t="shared" si="17"/>
        <v>-122</v>
      </c>
      <c r="F103" s="253">
        <f>2*(D103+E103)/1000</f>
        <v>-0.48799999999999999</v>
      </c>
      <c r="G103" s="250">
        <f>G37</f>
        <v>0</v>
      </c>
      <c r="H103" s="250">
        <f>H102</f>
        <v>0.27100000000000002</v>
      </c>
      <c r="I103" s="59">
        <f>ROUND(F103*G103*H103,3)</f>
        <v>0</v>
      </c>
      <c r="M103" s="99"/>
    </row>
    <row r="104" spans="2:13" ht="18" customHeight="1">
      <c r="B104" s="48" t="s">
        <v>42</v>
      </c>
      <c r="C104" s="49">
        <f>SUMPRODUCT(F101:F103*G101:G103)</f>
        <v>0</v>
      </c>
      <c r="D104" s="50" t="s">
        <v>43</v>
      </c>
      <c r="E104" s="49">
        <f>SUM(I101:I103)*1.1</f>
        <v>0</v>
      </c>
      <c r="F104" s="50" t="s">
        <v>44</v>
      </c>
      <c r="G104" s="51">
        <f>(C$218+C$222)/1000</f>
        <v>39.781500000000001</v>
      </c>
      <c r="H104" s="52" t="s">
        <v>45</v>
      </c>
      <c r="I104" s="53">
        <f>ROUND(E104*G104,2)</f>
        <v>0</v>
      </c>
    </row>
    <row r="105" spans="2:13" ht="18" customHeight="1">
      <c r="B105" s="48" t="s">
        <v>46</v>
      </c>
      <c r="C105" s="50">
        <v>186.72</v>
      </c>
      <c r="D105" s="50" t="s">
        <v>47</v>
      </c>
      <c r="E105" s="49">
        <f>ROUND(C104*(C105/1000),2)</f>
        <v>0</v>
      </c>
      <c r="F105" s="50" t="s">
        <v>48</v>
      </c>
      <c r="G105" s="50">
        <f>G$23</f>
        <v>10</v>
      </c>
      <c r="H105" s="52" t="s">
        <v>49</v>
      </c>
      <c r="I105" s="53">
        <f>ROUND(E105*G105,2)</f>
        <v>0</v>
      </c>
    </row>
    <row r="106" spans="2:13" ht="18" customHeight="1">
      <c r="B106" s="48" t="s">
        <v>50</v>
      </c>
      <c r="C106" s="50">
        <v>0</v>
      </c>
      <c r="D106" s="50" t="s">
        <v>51</v>
      </c>
      <c r="E106" s="49">
        <f>ROUND(C104*(C106/1000),2)</f>
        <v>0</v>
      </c>
      <c r="F106" s="50" t="s">
        <v>48</v>
      </c>
      <c r="G106" s="50">
        <f>G$24</f>
        <v>10</v>
      </c>
      <c r="H106" s="52" t="s">
        <v>49</v>
      </c>
      <c r="I106" s="53">
        <f>ROUND(E106*G106,2)</f>
        <v>0</v>
      </c>
    </row>
    <row r="107" spans="2:13" ht="18" customHeight="1">
      <c r="B107" s="23" t="s">
        <v>36</v>
      </c>
      <c r="C107" s="252" t="s">
        <v>14</v>
      </c>
      <c r="D107" s="252" t="s">
        <v>37</v>
      </c>
      <c r="E107" s="252" t="s">
        <v>38</v>
      </c>
      <c r="F107" s="252" t="s">
        <v>39</v>
      </c>
      <c r="G107" s="252" t="s">
        <v>8</v>
      </c>
      <c r="H107" s="252" t="s">
        <v>22</v>
      </c>
      <c r="I107" s="25" t="s">
        <v>40</v>
      </c>
    </row>
    <row r="108" spans="2:13" ht="18" customHeight="1">
      <c r="B108" s="648" t="s">
        <v>85</v>
      </c>
      <c r="C108" s="655" t="s">
        <v>86</v>
      </c>
      <c r="D108" s="250">
        <f>D6</f>
        <v>2400</v>
      </c>
      <c r="E108" s="250">
        <f>E6</f>
        <v>2725</v>
      </c>
      <c r="F108" s="250">
        <f>ROUND((D108+E108)*2/1000,4)</f>
        <v>10.25</v>
      </c>
      <c r="G108" s="250">
        <v>1</v>
      </c>
      <c r="H108" s="250">
        <v>1.857</v>
      </c>
      <c r="I108" s="59">
        <f>ROUND(F108*G108*H108,3)</f>
        <v>19.033999999999999</v>
      </c>
    </row>
    <row r="109" spans="2:13" ht="18" customHeight="1">
      <c r="B109" s="648"/>
      <c r="C109" s="656"/>
      <c r="D109" s="250"/>
      <c r="E109" s="250"/>
      <c r="F109" s="250">
        <f>ROUND((D109+E109)*2/1000,4)</f>
        <v>0</v>
      </c>
      <c r="G109" s="250"/>
      <c r="H109" s="250">
        <f>H108</f>
        <v>1.857</v>
      </c>
      <c r="I109" s="59">
        <f>ROUND(F109*G109*H109,3)</f>
        <v>0</v>
      </c>
      <c r="K109" s="42"/>
      <c r="L109" s="42"/>
      <c r="M109" s="42"/>
    </row>
    <row r="110" spans="2:13" ht="18" customHeight="1">
      <c r="B110" s="648"/>
      <c r="C110" s="656"/>
      <c r="D110" s="250"/>
      <c r="E110" s="250"/>
      <c r="F110" s="250">
        <f>ROUND((D110+E110)*2/1000,4)</f>
        <v>0</v>
      </c>
      <c r="G110" s="250"/>
      <c r="H110" s="250">
        <f>H109</f>
        <v>1.857</v>
      </c>
      <c r="I110" s="59">
        <f>ROUND(F110*G110*H110,3)</f>
        <v>0</v>
      </c>
      <c r="K110" s="42"/>
      <c r="L110" s="42"/>
      <c r="M110" s="42"/>
    </row>
    <row r="111" spans="2:13" ht="18" customHeight="1">
      <c r="B111" s="648"/>
      <c r="C111" s="657"/>
      <c r="D111" s="250"/>
      <c r="E111" s="250"/>
      <c r="F111" s="250">
        <f>ROUND((D111+E111)*2/1000,4)</f>
        <v>0</v>
      </c>
      <c r="G111" s="250"/>
      <c r="H111" s="250">
        <f>H110</f>
        <v>1.857</v>
      </c>
      <c r="I111" s="59">
        <f>ROUND(F111*G111*H111,3)</f>
        <v>0</v>
      </c>
      <c r="K111" s="42"/>
      <c r="L111" s="42"/>
      <c r="M111" s="42"/>
    </row>
    <row r="112" spans="2:13" ht="18" customHeight="1">
      <c r="B112" s="48" t="s">
        <v>42</v>
      </c>
      <c r="C112" s="49">
        <f>SUMPRODUCT(F108:F111*G108:G111)</f>
        <v>10.25</v>
      </c>
      <c r="D112" s="50" t="s">
        <v>43</v>
      </c>
      <c r="E112" s="49">
        <f>SUM(I108:I111)*1.1</f>
        <v>20.9374</v>
      </c>
      <c r="F112" s="50" t="s">
        <v>44</v>
      </c>
      <c r="G112" s="51">
        <f>(C$218+C$219)/1000</f>
        <v>46.081499999999998</v>
      </c>
      <c r="H112" s="52" t="s">
        <v>45</v>
      </c>
      <c r="I112" s="53">
        <f>ROUND(E112*G112,2)</f>
        <v>964.83</v>
      </c>
      <c r="J112" s="243">
        <f>SUM(G108:G111)</f>
        <v>1</v>
      </c>
      <c r="K112" s="42"/>
      <c r="L112" s="42"/>
      <c r="M112" s="42"/>
    </row>
    <row r="113" spans="2:14" ht="18" customHeight="1">
      <c r="B113" s="48" t="s">
        <v>46</v>
      </c>
      <c r="C113" s="50">
        <v>241.03</v>
      </c>
      <c r="D113" s="50" t="s">
        <v>47</v>
      </c>
      <c r="E113" s="49">
        <f>ROUND(C112*(C113/1000),2)</f>
        <v>2.4700000000000002</v>
      </c>
      <c r="F113" s="50" t="s">
        <v>48</v>
      </c>
      <c r="G113" s="50">
        <f>G$23</f>
        <v>10</v>
      </c>
      <c r="H113" s="52" t="s">
        <v>49</v>
      </c>
      <c r="I113" s="53">
        <f>E113*G113</f>
        <v>24.700000000000003</v>
      </c>
      <c r="K113" s="42"/>
      <c r="L113" s="42"/>
      <c r="M113" s="42"/>
    </row>
    <row r="114" spans="2:14" ht="18" customHeight="1" thickBot="1">
      <c r="B114" s="48" t="s">
        <v>50</v>
      </c>
      <c r="C114" s="50">
        <v>204.38</v>
      </c>
      <c r="D114" s="50" t="s">
        <v>51</v>
      </c>
      <c r="E114" s="49">
        <f>ROUND(C112*(C114/1000),2)</f>
        <v>2.09</v>
      </c>
      <c r="F114" s="50" t="s">
        <v>48</v>
      </c>
      <c r="G114" s="50">
        <f>G$24</f>
        <v>10</v>
      </c>
      <c r="H114" s="52" t="s">
        <v>49</v>
      </c>
      <c r="I114" s="53">
        <f>E114*G114</f>
        <v>20.9</v>
      </c>
    </row>
    <row r="115" spans="2:14" ht="18" customHeight="1" thickBot="1">
      <c r="B115" s="23" t="s">
        <v>36</v>
      </c>
      <c r="C115" s="252" t="s">
        <v>14</v>
      </c>
      <c r="D115" s="252" t="s">
        <v>37</v>
      </c>
      <c r="E115" s="252" t="s">
        <v>38</v>
      </c>
      <c r="F115" s="252" t="s">
        <v>39</v>
      </c>
      <c r="G115" s="252" t="s">
        <v>8</v>
      </c>
      <c r="H115" s="252" t="s">
        <v>22</v>
      </c>
      <c r="I115" s="25" t="s">
        <v>40</v>
      </c>
      <c r="J115" s="54" t="s">
        <v>2</v>
      </c>
      <c r="K115" s="55" t="s">
        <v>3</v>
      </c>
      <c r="L115" s="55" t="s">
        <v>61</v>
      </c>
      <c r="M115" s="55" t="s">
        <v>62</v>
      </c>
      <c r="N115" s="70" t="s">
        <v>14</v>
      </c>
    </row>
    <row r="116" spans="2:14" ht="18" customHeight="1">
      <c r="B116" s="648" t="s">
        <v>87</v>
      </c>
      <c r="C116" s="649" t="s">
        <v>88</v>
      </c>
      <c r="D116" s="253">
        <f t="shared" ref="D116:E118" si="18">J116-IF(L116=1,78,IF(L116=2,55.5,IF(L116=3,41,0)))</f>
        <v>1159</v>
      </c>
      <c r="E116" s="253">
        <f t="shared" si="18"/>
        <v>2647</v>
      </c>
      <c r="F116" s="250">
        <f>ROUND((D116+E116)*2/1000,4)</f>
        <v>7.6120000000000001</v>
      </c>
      <c r="G116" s="250">
        <v>2</v>
      </c>
      <c r="H116" s="58">
        <v>2.456</v>
      </c>
      <c r="I116" s="59">
        <f>ROUND(F116*G116*H116,3)</f>
        <v>37.39</v>
      </c>
      <c r="J116" s="60">
        <f>D108/2</f>
        <v>1200</v>
      </c>
      <c r="K116" s="61">
        <f>E108</f>
        <v>2725</v>
      </c>
      <c r="L116" s="61">
        <v>3</v>
      </c>
      <c r="M116" s="61">
        <v>1</v>
      </c>
      <c r="N116" s="76" t="s">
        <v>56</v>
      </c>
    </row>
    <row r="117" spans="2:14" ht="18" customHeight="1">
      <c r="B117" s="648"/>
      <c r="C117" s="650"/>
      <c r="D117" s="253">
        <f t="shared" si="18"/>
        <v>0</v>
      </c>
      <c r="E117" s="253">
        <f t="shared" si="18"/>
        <v>0</v>
      </c>
      <c r="F117" s="250">
        <f>ROUND((D117+E117)*2/1000,4)</f>
        <v>0</v>
      </c>
      <c r="G117" s="250">
        <v>0</v>
      </c>
      <c r="H117" s="58">
        <f>H116</f>
        <v>2.456</v>
      </c>
      <c r="I117" s="59">
        <f>ROUND(F117*G117*H117,3)</f>
        <v>0</v>
      </c>
      <c r="J117" s="60"/>
      <c r="K117" s="61"/>
      <c r="L117" s="61"/>
      <c r="M117" s="61"/>
      <c r="N117" s="76" t="s">
        <v>58</v>
      </c>
    </row>
    <row r="118" spans="2:14" ht="18" customHeight="1" thickBot="1">
      <c r="B118" s="648"/>
      <c r="C118" s="651"/>
      <c r="D118" s="253">
        <f t="shared" si="18"/>
        <v>0</v>
      </c>
      <c r="E118" s="253">
        <f t="shared" si="18"/>
        <v>0</v>
      </c>
      <c r="F118" s="250">
        <f>ROUND((D118+E118)*2/1000,4)</f>
        <v>0</v>
      </c>
      <c r="G118" s="250">
        <v>0</v>
      </c>
      <c r="H118" s="58">
        <f>H117</f>
        <v>2.456</v>
      </c>
      <c r="I118" s="59">
        <f>ROUND(F118*G118*H118,3)</f>
        <v>0</v>
      </c>
      <c r="J118" s="64"/>
      <c r="K118" s="65"/>
      <c r="L118" s="65"/>
      <c r="M118" s="65"/>
      <c r="N118" s="80" t="s">
        <v>89</v>
      </c>
    </row>
    <row r="119" spans="2:14" ht="18" customHeight="1">
      <c r="B119" s="48" t="s">
        <v>42</v>
      </c>
      <c r="C119" s="49">
        <f>SUMPRODUCT(F116:F118*G116:G118)</f>
        <v>15.224</v>
      </c>
      <c r="D119" s="100" t="s">
        <v>43</v>
      </c>
      <c r="E119" s="100">
        <f>SUM(I116:I118)*1.1</f>
        <v>41.129000000000005</v>
      </c>
      <c r="F119" s="50" t="s">
        <v>44</v>
      </c>
      <c r="G119" s="51">
        <f>(C$218+C$219)/1000</f>
        <v>46.081499999999998</v>
      </c>
      <c r="H119" s="52" t="s">
        <v>45</v>
      </c>
      <c r="I119" s="53">
        <f>ROUND(E119*G119,2)</f>
        <v>1895.29</v>
      </c>
      <c r="J119" s="243">
        <f>SUM(G116:G118)</f>
        <v>2</v>
      </c>
      <c r="K119" s="255"/>
      <c r="L119" s="255"/>
      <c r="M119" s="255"/>
    </row>
    <row r="120" spans="2:14" ht="18" customHeight="1">
      <c r="B120" s="48" t="s">
        <v>46</v>
      </c>
      <c r="C120" s="50">
        <v>350.56</v>
      </c>
      <c r="D120" s="100" t="s">
        <v>47</v>
      </c>
      <c r="E120" s="100">
        <f>ROUND(C119*(C120/1000),2)</f>
        <v>5.34</v>
      </c>
      <c r="F120" s="50" t="s">
        <v>48</v>
      </c>
      <c r="G120" s="50">
        <f>G$23</f>
        <v>10</v>
      </c>
      <c r="H120" s="52" t="s">
        <v>49</v>
      </c>
      <c r="I120" s="53">
        <f>E120*G120</f>
        <v>53.4</v>
      </c>
      <c r="J120" s="255"/>
      <c r="K120" s="255"/>
      <c r="L120" s="255"/>
      <c r="M120" s="255"/>
    </row>
    <row r="121" spans="2:14" ht="18" customHeight="1" thickBot="1">
      <c r="B121" s="48" t="s">
        <v>50</v>
      </c>
      <c r="C121" s="50">
        <v>189.03</v>
      </c>
      <c r="D121" s="100" t="s">
        <v>51</v>
      </c>
      <c r="E121" s="100">
        <f>ROUND(C119*(C121/1000),2)</f>
        <v>2.88</v>
      </c>
      <c r="F121" s="50" t="s">
        <v>48</v>
      </c>
      <c r="G121" s="50">
        <f>G$24</f>
        <v>10</v>
      </c>
      <c r="H121" s="52" t="s">
        <v>49</v>
      </c>
      <c r="I121" s="53">
        <f>E121*G121</f>
        <v>28.799999999999997</v>
      </c>
      <c r="J121" s="255"/>
    </row>
    <row r="122" spans="2:14" ht="18" customHeight="1" thickBot="1">
      <c r="B122" s="23" t="s">
        <v>36</v>
      </c>
      <c r="C122" s="252" t="s">
        <v>14</v>
      </c>
      <c r="D122" s="101" t="s">
        <v>37</v>
      </c>
      <c r="E122" s="101" t="s">
        <v>38</v>
      </c>
      <c r="F122" s="252" t="s">
        <v>39</v>
      </c>
      <c r="G122" s="252" t="s">
        <v>8</v>
      </c>
      <c r="H122" s="252" t="s">
        <v>22</v>
      </c>
      <c r="I122" s="25" t="s">
        <v>40</v>
      </c>
      <c r="J122" s="54" t="s">
        <v>2</v>
      </c>
      <c r="K122" s="55" t="s">
        <v>3</v>
      </c>
      <c r="L122" s="55" t="s">
        <v>61</v>
      </c>
      <c r="M122" s="55" t="s">
        <v>62</v>
      </c>
      <c r="N122" s="70" t="s">
        <v>14</v>
      </c>
    </row>
    <row r="123" spans="2:14" ht="18" customHeight="1">
      <c r="B123" s="648" t="s">
        <v>90</v>
      </c>
      <c r="C123" s="649" t="s">
        <v>91</v>
      </c>
      <c r="D123" s="253">
        <f t="shared" ref="D123:E125" si="19">J123-IF(L123=1,78,IF(L123=2,55.5,IF(L123=3,41,0)))</f>
        <v>0</v>
      </c>
      <c r="E123" s="253">
        <f t="shared" si="19"/>
        <v>0</v>
      </c>
      <c r="F123" s="250">
        <f>ROUND((D123+E123)*2/1000,4)</f>
        <v>0</v>
      </c>
      <c r="G123" s="250"/>
      <c r="H123" s="58">
        <v>2.4710000000000001</v>
      </c>
      <c r="I123" s="59">
        <f>ROUND(F123*G123*H123,3)</f>
        <v>0</v>
      </c>
      <c r="J123" s="60"/>
      <c r="K123" s="61"/>
      <c r="L123" s="61"/>
      <c r="M123" s="61"/>
      <c r="N123" s="76" t="s">
        <v>56</v>
      </c>
    </row>
    <row r="124" spans="2:14" ht="18" customHeight="1">
      <c r="B124" s="648"/>
      <c r="C124" s="650"/>
      <c r="D124" s="253">
        <f t="shared" si="19"/>
        <v>0</v>
      </c>
      <c r="E124" s="253">
        <f t="shared" si="19"/>
        <v>0</v>
      </c>
      <c r="F124" s="250">
        <f>ROUND((D124+E124)*2/1000,4)</f>
        <v>0</v>
      </c>
      <c r="G124" s="250"/>
      <c r="H124" s="58">
        <f>H123</f>
        <v>2.4710000000000001</v>
      </c>
      <c r="I124" s="59">
        <f>ROUND(F124*G124*H124,3)</f>
        <v>0</v>
      </c>
      <c r="J124" s="60"/>
      <c r="K124" s="61"/>
      <c r="L124" s="61"/>
      <c r="M124" s="61"/>
      <c r="N124" s="76" t="s">
        <v>58</v>
      </c>
    </row>
    <row r="125" spans="2:14" ht="18" customHeight="1" thickBot="1">
      <c r="B125" s="648"/>
      <c r="C125" s="651"/>
      <c r="D125" s="253">
        <f t="shared" si="19"/>
        <v>0</v>
      </c>
      <c r="E125" s="253">
        <f t="shared" si="19"/>
        <v>0</v>
      </c>
      <c r="F125" s="250">
        <f>ROUND((D125+E125)*2/1000,4)</f>
        <v>0</v>
      </c>
      <c r="G125" s="250"/>
      <c r="H125" s="58">
        <f>H124</f>
        <v>2.4710000000000001</v>
      </c>
      <c r="I125" s="59">
        <f>ROUND(F125*G125*H125,3)</f>
        <v>0</v>
      </c>
      <c r="J125" s="64"/>
      <c r="K125" s="65"/>
      <c r="L125" s="65"/>
      <c r="M125" s="65"/>
      <c r="N125" s="80" t="s">
        <v>89</v>
      </c>
    </row>
    <row r="126" spans="2:14" ht="18" customHeight="1">
      <c r="B126" s="48" t="s">
        <v>42</v>
      </c>
      <c r="C126" s="49">
        <f>SUMPRODUCT(F123:F125*G123:G125)</f>
        <v>0</v>
      </c>
      <c r="D126" s="50" t="s">
        <v>43</v>
      </c>
      <c r="E126" s="49">
        <f>SUM(I123:I125)*1.1</f>
        <v>0</v>
      </c>
      <c r="F126" s="50" t="s">
        <v>44</v>
      </c>
      <c r="G126" s="51">
        <f>(C$218+C$221)/1000</f>
        <v>46.081499999999998</v>
      </c>
      <c r="H126" s="52" t="s">
        <v>45</v>
      </c>
      <c r="I126" s="53">
        <f>ROUND(E126*G126,2)</f>
        <v>0</v>
      </c>
      <c r="J126" s="243">
        <f>SUM(G123:G125)</f>
        <v>0</v>
      </c>
      <c r="K126" s="255"/>
      <c r="L126" s="255"/>
      <c r="M126" s="255"/>
    </row>
    <row r="127" spans="2:14" ht="18" customHeight="1">
      <c r="B127" s="48" t="s">
        <v>46</v>
      </c>
      <c r="C127" s="50">
        <v>236.53</v>
      </c>
      <c r="D127" s="50" t="s">
        <v>47</v>
      </c>
      <c r="E127" s="49">
        <f>ROUND(C126*(C127/1000),2)</f>
        <v>0</v>
      </c>
      <c r="F127" s="50" t="s">
        <v>48</v>
      </c>
      <c r="G127" s="50">
        <f>G$23</f>
        <v>10</v>
      </c>
      <c r="H127" s="52" t="s">
        <v>49</v>
      </c>
      <c r="I127" s="53">
        <f>E127*G127</f>
        <v>0</v>
      </c>
      <c r="J127" s="255"/>
      <c r="K127" s="255"/>
      <c r="L127" s="255"/>
      <c r="M127" s="255"/>
    </row>
    <row r="128" spans="2:14" ht="18" customHeight="1" thickBot="1">
      <c r="B128" s="48" t="s">
        <v>50</v>
      </c>
      <c r="C128" s="50">
        <v>311.02999999999997</v>
      </c>
      <c r="D128" s="50" t="s">
        <v>51</v>
      </c>
      <c r="E128" s="49">
        <f>ROUND(C126*(C128/1000),2)</f>
        <v>0</v>
      </c>
      <c r="F128" s="50" t="s">
        <v>48</v>
      </c>
      <c r="G128" s="50">
        <f>G$24</f>
        <v>10</v>
      </c>
      <c r="H128" s="52" t="s">
        <v>49</v>
      </c>
      <c r="I128" s="53">
        <f>E128*G128</f>
        <v>0</v>
      </c>
      <c r="J128" s="255"/>
    </row>
    <row r="129" spans="2:14" ht="18" customHeight="1" thickBot="1">
      <c r="B129" s="23" t="s">
        <v>36</v>
      </c>
      <c r="C129" s="252" t="s">
        <v>14</v>
      </c>
      <c r="D129" s="252" t="s">
        <v>37</v>
      </c>
      <c r="E129" s="252" t="s">
        <v>71</v>
      </c>
      <c r="F129" s="252" t="s">
        <v>38</v>
      </c>
      <c r="G129" s="252" t="s">
        <v>72</v>
      </c>
      <c r="H129" s="252" t="s">
        <v>22</v>
      </c>
      <c r="I129" s="25" t="s">
        <v>40</v>
      </c>
      <c r="J129" s="54" t="s">
        <v>2</v>
      </c>
      <c r="K129" s="55" t="s">
        <v>3</v>
      </c>
      <c r="L129" s="55" t="s">
        <v>61</v>
      </c>
      <c r="M129" s="55" t="s">
        <v>62</v>
      </c>
      <c r="N129" s="70" t="s">
        <v>14</v>
      </c>
    </row>
    <row r="130" spans="2:14" ht="18" customHeight="1">
      <c r="B130" s="648" t="s">
        <v>92</v>
      </c>
      <c r="C130" s="649" t="s">
        <v>93</v>
      </c>
      <c r="D130" s="253">
        <f>J130-IF(L130=1,81,IF(L130=2,58.5,IF(L130=3,36,0)))</f>
        <v>0</v>
      </c>
      <c r="E130" s="253">
        <v>0</v>
      </c>
      <c r="F130" s="253">
        <f>K130-IF(M130=1,81,IF(M130=2,58.5,IF(M130=3,36,0)))</f>
        <v>0</v>
      </c>
      <c r="G130" s="250">
        <v>0</v>
      </c>
      <c r="H130" s="250">
        <v>2.0489999999999999</v>
      </c>
      <c r="I130" s="59">
        <f>ROUND((D130*E130+F130*G130)/1000*H130,3)</f>
        <v>0</v>
      </c>
      <c r="J130" s="60"/>
      <c r="K130" s="61"/>
      <c r="L130" s="61"/>
      <c r="M130" s="61"/>
      <c r="N130" s="76" t="s">
        <v>56</v>
      </c>
    </row>
    <row r="131" spans="2:14" ht="18" customHeight="1">
      <c r="B131" s="648"/>
      <c r="C131" s="650"/>
      <c r="D131" s="253">
        <f>J131-IF(L131=1,81,IF(L131=2,58.5,IF(L131=3,36,0)))</f>
        <v>0</v>
      </c>
      <c r="E131" s="253">
        <v>0</v>
      </c>
      <c r="F131" s="253">
        <f>K131-IF(M131=1,81,IF(M131=2,58.5,IF(M131=3,36,0)))</f>
        <v>0</v>
      </c>
      <c r="G131" s="250"/>
      <c r="H131" s="250">
        <f>H130</f>
        <v>2.0489999999999999</v>
      </c>
      <c r="I131" s="59">
        <f>ROUND((D131*E131+F131*G131)/1000*H131,3)</f>
        <v>0</v>
      </c>
      <c r="J131" s="60"/>
      <c r="K131" s="61"/>
      <c r="L131" s="61"/>
      <c r="M131" s="61"/>
      <c r="N131" s="76" t="s">
        <v>58</v>
      </c>
    </row>
    <row r="132" spans="2:14" ht="18" customHeight="1" thickBot="1">
      <c r="B132" s="648"/>
      <c r="C132" s="651"/>
      <c r="D132" s="253">
        <f>J132-IF(L132=1,81,IF(L132=2,58.5,IF(L132=3,36,0)))</f>
        <v>0</v>
      </c>
      <c r="E132" s="253"/>
      <c r="F132" s="253">
        <f>K132-IF(M132=1,81,IF(M132=2,58.5,IF(M132=3,36,0)))</f>
        <v>0</v>
      </c>
      <c r="G132" s="250"/>
      <c r="H132" s="250">
        <f>H131</f>
        <v>2.0489999999999999</v>
      </c>
      <c r="I132" s="59">
        <f>ROUND((D132*E132+F132*G132)/1000*H132,3)</f>
        <v>0</v>
      </c>
      <c r="J132" s="64"/>
      <c r="K132" s="65"/>
      <c r="L132" s="65"/>
      <c r="M132" s="65"/>
      <c r="N132" s="80" t="s">
        <v>89</v>
      </c>
    </row>
    <row r="133" spans="2:14" ht="18" customHeight="1">
      <c r="B133" s="48" t="s">
        <v>42</v>
      </c>
      <c r="C133" s="49">
        <f>SUMPRODUCT(D130:D132*E130:E132+F130:F132*G130:G132)/1000</f>
        <v>0</v>
      </c>
      <c r="D133" s="50" t="s">
        <v>43</v>
      </c>
      <c r="E133" s="49">
        <f>SUM(I130:I132)*1.1</f>
        <v>0</v>
      </c>
      <c r="F133" s="50" t="s">
        <v>44</v>
      </c>
      <c r="G133" s="51">
        <f>(C$218+C$219)/1000</f>
        <v>46.081499999999998</v>
      </c>
      <c r="H133" s="52" t="s">
        <v>45</v>
      </c>
      <c r="I133" s="53">
        <f>ROUND(E133*G133,2)</f>
        <v>0</v>
      </c>
      <c r="J133" s="243">
        <f>SUM(G130:G132)+SUM(E130:E132)</f>
        <v>0</v>
      </c>
    </row>
    <row r="134" spans="2:14" ht="18" customHeight="1">
      <c r="B134" s="48" t="s">
        <v>46</v>
      </c>
      <c r="C134" s="50">
        <v>298.42</v>
      </c>
      <c r="D134" s="50" t="s">
        <v>47</v>
      </c>
      <c r="E134" s="49">
        <f>ROUND(C133*(C134/1000),2)</f>
        <v>0</v>
      </c>
      <c r="F134" s="50" t="s">
        <v>48</v>
      </c>
      <c r="G134" s="50">
        <f>G$23</f>
        <v>10</v>
      </c>
      <c r="H134" s="52" t="s">
        <v>49</v>
      </c>
      <c r="I134" s="53">
        <f>ROUND(E134*G134,2)</f>
        <v>0</v>
      </c>
    </row>
    <row r="135" spans="2:14" ht="18" customHeight="1">
      <c r="B135" s="48" t="s">
        <v>50</v>
      </c>
      <c r="C135" s="50">
        <v>208.08</v>
      </c>
      <c r="D135" s="50" t="s">
        <v>51</v>
      </c>
      <c r="E135" s="49">
        <f>ROUND(C133*(C135/1000),2)</f>
        <v>0</v>
      </c>
      <c r="F135" s="50" t="s">
        <v>48</v>
      </c>
      <c r="G135" s="50">
        <f>G$24</f>
        <v>10</v>
      </c>
      <c r="H135" s="52" t="s">
        <v>49</v>
      </c>
      <c r="I135" s="53">
        <f>ROUND(E135*G135,2)</f>
        <v>0</v>
      </c>
    </row>
    <row r="136" spans="2:14" ht="18" customHeight="1">
      <c r="B136" s="23" t="s">
        <v>36</v>
      </c>
      <c r="C136" s="252" t="s">
        <v>14</v>
      </c>
      <c r="D136" s="652" t="s">
        <v>38</v>
      </c>
      <c r="E136" s="652"/>
      <c r="F136" s="652"/>
      <c r="G136" s="252" t="s">
        <v>72</v>
      </c>
      <c r="H136" s="252" t="s">
        <v>22</v>
      </c>
      <c r="I136" s="25" t="s">
        <v>40</v>
      </c>
    </row>
    <row r="137" spans="2:14" ht="18" customHeight="1">
      <c r="B137" s="648" t="s">
        <v>94</v>
      </c>
      <c r="C137" s="649" t="s">
        <v>95</v>
      </c>
      <c r="D137" s="654">
        <f>E116</f>
        <v>2647</v>
      </c>
      <c r="E137" s="646"/>
      <c r="F137" s="646"/>
      <c r="G137" s="250">
        <v>1</v>
      </c>
      <c r="H137" s="250">
        <v>1.3360000000000001</v>
      </c>
      <c r="I137" s="59">
        <f>ROUND(D137*H137*G137/1000,3)</f>
        <v>3.536</v>
      </c>
    </row>
    <row r="138" spans="2:14" ht="18" customHeight="1">
      <c r="B138" s="648"/>
      <c r="C138" s="651"/>
      <c r="D138" s="654"/>
      <c r="E138" s="646"/>
      <c r="F138" s="646"/>
      <c r="G138" s="250"/>
      <c r="H138" s="250">
        <f>H137</f>
        <v>1.3360000000000001</v>
      </c>
      <c r="I138" s="59">
        <f>ROUND(D138*H138*G138/1000,3)</f>
        <v>0</v>
      </c>
    </row>
    <row r="139" spans="2:14" ht="18" customHeight="1">
      <c r="B139" s="48" t="s">
        <v>42</v>
      </c>
      <c r="C139" s="49">
        <f>SUMPRODUCT(D137:F138*G137:G138)/1000</f>
        <v>2.6469999999999998</v>
      </c>
      <c r="D139" s="50" t="s">
        <v>43</v>
      </c>
      <c r="E139" s="49">
        <f>SUM(I137:I138)*1.1</f>
        <v>3.8896000000000002</v>
      </c>
      <c r="F139" s="50" t="s">
        <v>44</v>
      </c>
      <c r="G139" s="51">
        <f>(C$218+C$219)/1000</f>
        <v>46.081499999999998</v>
      </c>
      <c r="H139" s="52" t="s">
        <v>45</v>
      </c>
      <c r="I139" s="53">
        <f>ROUND(E139*G139,2)</f>
        <v>179.24</v>
      </c>
    </row>
    <row r="140" spans="2:14" ht="18" customHeight="1">
      <c r="B140" s="48" t="s">
        <v>46</v>
      </c>
      <c r="C140" s="50">
        <v>143.24</v>
      </c>
      <c r="D140" s="50" t="s">
        <v>47</v>
      </c>
      <c r="E140" s="49">
        <f>ROUND(C139*(C140/1000),2)</f>
        <v>0.38</v>
      </c>
      <c r="F140" s="50" t="s">
        <v>48</v>
      </c>
      <c r="G140" s="50">
        <f>G$23</f>
        <v>10</v>
      </c>
      <c r="H140" s="52" t="s">
        <v>49</v>
      </c>
      <c r="I140" s="53">
        <f>E140*G140</f>
        <v>3.8</v>
      </c>
    </row>
    <row r="141" spans="2:14" ht="18" customHeight="1">
      <c r="B141" s="48" t="s">
        <v>50</v>
      </c>
      <c r="C141" s="50">
        <v>85.04</v>
      </c>
      <c r="D141" s="50" t="s">
        <v>51</v>
      </c>
      <c r="E141" s="49">
        <f>ROUND(C139*(C141/1000),2)</f>
        <v>0.23</v>
      </c>
      <c r="F141" s="50" t="s">
        <v>48</v>
      </c>
      <c r="G141" s="50">
        <f>G$24</f>
        <v>10</v>
      </c>
      <c r="H141" s="52" t="s">
        <v>49</v>
      </c>
      <c r="I141" s="53">
        <f>E141*G141</f>
        <v>2.3000000000000003</v>
      </c>
    </row>
    <row r="142" spans="2:14" ht="18" customHeight="1">
      <c r="B142" s="23" t="s">
        <v>36</v>
      </c>
      <c r="C142" s="252" t="s">
        <v>14</v>
      </c>
      <c r="D142" s="252" t="s">
        <v>37</v>
      </c>
      <c r="E142" s="252" t="s">
        <v>38</v>
      </c>
      <c r="F142" s="252" t="s">
        <v>39</v>
      </c>
      <c r="G142" s="252" t="s">
        <v>8</v>
      </c>
      <c r="H142" s="252" t="s">
        <v>22</v>
      </c>
      <c r="I142" s="25" t="s">
        <v>40</v>
      </c>
    </row>
    <row r="143" spans="2:14" ht="18" customHeight="1">
      <c r="B143" s="648" t="s">
        <v>96</v>
      </c>
      <c r="C143" s="653" t="s">
        <v>83</v>
      </c>
      <c r="D143" s="253">
        <f t="shared" ref="D143:E145" si="20">D116-154</f>
        <v>1005</v>
      </c>
      <c r="E143" s="253">
        <f t="shared" si="20"/>
        <v>2493</v>
      </c>
      <c r="F143" s="253">
        <f>(D143+E143)*2/1000</f>
        <v>6.9960000000000004</v>
      </c>
      <c r="G143" s="250">
        <f>G116</f>
        <v>2</v>
      </c>
      <c r="H143" s="250">
        <v>0.27100000000000002</v>
      </c>
      <c r="I143" s="59">
        <f>ROUND((F143*G143)*H143,3)</f>
        <v>3.7919999999999998</v>
      </c>
    </row>
    <row r="144" spans="2:14" ht="18" customHeight="1">
      <c r="B144" s="648"/>
      <c r="C144" s="650"/>
      <c r="D144" s="253">
        <f t="shared" si="20"/>
        <v>-154</v>
      </c>
      <c r="E144" s="253">
        <f t="shared" si="20"/>
        <v>-154</v>
      </c>
      <c r="F144" s="253">
        <f>(D144+E144)*2/1000</f>
        <v>-0.61599999999999999</v>
      </c>
      <c r="G144" s="250">
        <f>G117</f>
        <v>0</v>
      </c>
      <c r="H144" s="250">
        <f>H143</f>
        <v>0.27100000000000002</v>
      </c>
      <c r="I144" s="59">
        <f>ROUND((F144*G144)*H144,3)</f>
        <v>0</v>
      </c>
    </row>
    <row r="145" spans="2:14" ht="18" customHeight="1">
      <c r="B145" s="648"/>
      <c r="C145" s="651"/>
      <c r="D145" s="253">
        <f t="shared" si="20"/>
        <v>-154</v>
      </c>
      <c r="E145" s="253">
        <f t="shared" si="20"/>
        <v>-154</v>
      </c>
      <c r="F145" s="253">
        <f>(D145+E145)*2/1000</f>
        <v>-0.61599999999999999</v>
      </c>
      <c r="G145" s="250">
        <f>G118</f>
        <v>0</v>
      </c>
      <c r="H145" s="250">
        <f>H144</f>
        <v>0.27100000000000002</v>
      </c>
      <c r="I145" s="59">
        <f>ROUND((F145*G145)*H145,3)</f>
        <v>0</v>
      </c>
    </row>
    <row r="146" spans="2:14" ht="18" customHeight="1">
      <c r="B146" s="48" t="s">
        <v>42</v>
      </c>
      <c r="C146" s="49">
        <f>SUMPRODUCT(F143:F145*G143:G145)</f>
        <v>13.992000000000001</v>
      </c>
      <c r="D146" s="50" t="s">
        <v>43</v>
      </c>
      <c r="E146" s="49">
        <f>SUM(I143:I145)*1.1</f>
        <v>4.1711999999999998</v>
      </c>
      <c r="F146" s="50" t="s">
        <v>44</v>
      </c>
      <c r="G146" s="51">
        <f>(C$218+C$222)/1000</f>
        <v>39.781500000000001</v>
      </c>
      <c r="H146" s="52" t="s">
        <v>45</v>
      </c>
      <c r="I146" s="53">
        <f>ROUND(E146*G146,2)</f>
        <v>165.94</v>
      </c>
    </row>
    <row r="147" spans="2:14" ht="18" customHeight="1">
      <c r="B147" s="48" t="s">
        <v>46</v>
      </c>
      <c r="C147" s="50">
        <v>186.72</v>
      </c>
      <c r="D147" s="50" t="s">
        <v>47</v>
      </c>
      <c r="E147" s="49">
        <f>ROUND(C146*(C147/1000),2)</f>
        <v>2.61</v>
      </c>
      <c r="F147" s="50" t="s">
        <v>48</v>
      </c>
      <c r="G147" s="50">
        <f>G$23</f>
        <v>10</v>
      </c>
      <c r="H147" s="52" t="s">
        <v>49</v>
      </c>
      <c r="I147" s="53">
        <f>E147*G147</f>
        <v>26.099999999999998</v>
      </c>
      <c r="K147" s="42"/>
      <c r="L147" s="42"/>
      <c r="M147" s="42"/>
    </row>
    <row r="148" spans="2:14" ht="18" customHeight="1">
      <c r="B148" s="48" t="s">
        <v>50</v>
      </c>
      <c r="C148" s="50">
        <v>0</v>
      </c>
      <c r="D148" s="50" t="s">
        <v>51</v>
      </c>
      <c r="E148" s="49">
        <f>ROUND(C146*(C148/1000),2)</f>
        <v>0</v>
      </c>
      <c r="F148" s="50" t="s">
        <v>48</v>
      </c>
      <c r="G148" s="50">
        <f>G$24</f>
        <v>10</v>
      </c>
      <c r="H148" s="52" t="s">
        <v>49</v>
      </c>
      <c r="I148" s="53">
        <f>E148*G148</f>
        <v>0</v>
      </c>
      <c r="K148" s="42"/>
      <c r="L148" s="42"/>
      <c r="M148" s="42"/>
    </row>
    <row r="149" spans="2:14" ht="18" customHeight="1">
      <c r="B149" s="23" t="s">
        <v>36</v>
      </c>
      <c r="C149" s="252" t="s">
        <v>14</v>
      </c>
      <c r="D149" s="252" t="s">
        <v>37</v>
      </c>
      <c r="E149" s="252" t="s">
        <v>38</v>
      </c>
      <c r="F149" s="252" t="s">
        <v>39</v>
      </c>
      <c r="G149" s="252" t="s">
        <v>8</v>
      </c>
      <c r="H149" s="252" t="s">
        <v>22</v>
      </c>
      <c r="I149" s="25" t="s">
        <v>40</v>
      </c>
      <c r="K149" s="42"/>
      <c r="L149" s="42"/>
      <c r="M149" s="42"/>
    </row>
    <row r="150" spans="2:14" ht="18" customHeight="1">
      <c r="B150" s="648" t="s">
        <v>97</v>
      </c>
      <c r="C150" s="653" t="s">
        <v>83</v>
      </c>
      <c r="D150" s="253">
        <f t="shared" ref="D150:E152" si="21">D123-160</f>
        <v>-160</v>
      </c>
      <c r="E150" s="253">
        <f t="shared" si="21"/>
        <v>-160</v>
      </c>
      <c r="F150" s="253">
        <f>(D150+E150)*2/1000</f>
        <v>-0.64</v>
      </c>
      <c r="G150" s="250">
        <f>G123</f>
        <v>0</v>
      </c>
      <c r="H150" s="250">
        <f>H145</f>
        <v>0.27100000000000002</v>
      </c>
      <c r="I150" s="59">
        <f>ROUND((F150*G150)*H150,3)</f>
        <v>0</v>
      </c>
      <c r="K150" s="42"/>
      <c r="L150" s="42"/>
      <c r="M150" s="42"/>
    </row>
    <row r="151" spans="2:14" ht="18" customHeight="1">
      <c r="B151" s="648"/>
      <c r="C151" s="650"/>
      <c r="D151" s="253">
        <f t="shared" si="21"/>
        <v>-160</v>
      </c>
      <c r="E151" s="253">
        <f t="shared" si="21"/>
        <v>-160</v>
      </c>
      <c r="F151" s="253">
        <f>(D151+E151)*2/1000</f>
        <v>-0.64</v>
      </c>
      <c r="G151" s="250">
        <f>G124</f>
        <v>0</v>
      </c>
      <c r="H151" s="250">
        <f>H150</f>
        <v>0.27100000000000002</v>
      </c>
      <c r="I151" s="59">
        <f>ROUND((F151*G151)*H151,3)</f>
        <v>0</v>
      </c>
      <c r="K151" s="42"/>
      <c r="L151" s="42"/>
      <c r="M151" s="42"/>
    </row>
    <row r="152" spans="2:14" ht="18" customHeight="1">
      <c r="B152" s="648"/>
      <c r="C152" s="651"/>
      <c r="D152" s="253">
        <f t="shared" si="21"/>
        <v>-160</v>
      </c>
      <c r="E152" s="253">
        <f t="shared" si="21"/>
        <v>-160</v>
      </c>
      <c r="F152" s="253">
        <f>(D152+E152)*2/1000</f>
        <v>-0.64</v>
      </c>
      <c r="G152" s="250">
        <f>G125</f>
        <v>0</v>
      </c>
      <c r="H152" s="250">
        <f>H151</f>
        <v>0.27100000000000002</v>
      </c>
      <c r="I152" s="59">
        <f>ROUND((F152*G152)*H152,3)</f>
        <v>0</v>
      </c>
      <c r="K152" s="42"/>
      <c r="L152" s="42"/>
      <c r="M152" s="42"/>
    </row>
    <row r="153" spans="2:14" ht="18" customHeight="1">
      <c r="B153" s="48" t="s">
        <v>42</v>
      </c>
      <c r="C153" s="49">
        <f>SUMPRODUCT(F150:F152*G150:G152)</f>
        <v>0</v>
      </c>
      <c r="D153" s="50" t="s">
        <v>43</v>
      </c>
      <c r="E153" s="49">
        <f>SUM(I150:I152)*1.1</f>
        <v>0</v>
      </c>
      <c r="F153" s="50" t="s">
        <v>44</v>
      </c>
      <c r="G153" s="51">
        <f>(C$218+C$222)/1000</f>
        <v>39.781500000000001</v>
      </c>
      <c r="H153" s="52" t="s">
        <v>45</v>
      </c>
      <c r="I153" s="53">
        <f>ROUND(E153*G153,2)</f>
        <v>0</v>
      </c>
      <c r="K153" s="42"/>
      <c r="L153" s="42"/>
      <c r="M153" s="42"/>
    </row>
    <row r="154" spans="2:14" ht="18" customHeight="1">
      <c r="B154" s="48" t="s">
        <v>46</v>
      </c>
      <c r="C154" s="50">
        <v>186.72</v>
      </c>
      <c r="D154" s="50" t="s">
        <v>47</v>
      </c>
      <c r="E154" s="49">
        <f>ROUND(C153*(C154/1000),2)</f>
        <v>0</v>
      </c>
      <c r="F154" s="50" t="s">
        <v>48</v>
      </c>
      <c r="G154" s="50">
        <f>G$23</f>
        <v>10</v>
      </c>
      <c r="H154" s="52" t="s">
        <v>49</v>
      </c>
      <c r="I154" s="53">
        <f>E154*G154</f>
        <v>0</v>
      </c>
    </row>
    <row r="155" spans="2:14" ht="18" customHeight="1" thickBot="1">
      <c r="B155" s="48" t="s">
        <v>50</v>
      </c>
      <c r="C155" s="50">
        <v>0</v>
      </c>
      <c r="D155" s="50" t="s">
        <v>51</v>
      </c>
      <c r="E155" s="49">
        <f>ROUND(C153*(C155/1000),2)</f>
        <v>0</v>
      </c>
      <c r="F155" s="50" t="s">
        <v>48</v>
      </c>
      <c r="G155" s="50">
        <f>G$24</f>
        <v>10</v>
      </c>
      <c r="H155" s="52" t="s">
        <v>49</v>
      </c>
      <c r="I155" s="53">
        <f>E155*G155</f>
        <v>0</v>
      </c>
    </row>
    <row r="156" spans="2:14" ht="18" customHeight="1" thickBot="1">
      <c r="B156" s="23" t="s">
        <v>36</v>
      </c>
      <c r="C156" s="252" t="s">
        <v>14</v>
      </c>
      <c r="D156" s="252" t="s">
        <v>37</v>
      </c>
      <c r="E156" s="252" t="s">
        <v>38</v>
      </c>
      <c r="F156" s="252" t="s">
        <v>39</v>
      </c>
      <c r="G156" s="252" t="s">
        <v>8</v>
      </c>
      <c r="H156" s="252" t="s">
        <v>22</v>
      </c>
      <c r="I156" s="25" t="s">
        <v>40</v>
      </c>
      <c r="J156" s="54" t="s">
        <v>2</v>
      </c>
      <c r="K156" s="55" t="s">
        <v>3</v>
      </c>
      <c r="L156" s="55" t="s">
        <v>61</v>
      </c>
      <c r="M156" s="55" t="s">
        <v>62</v>
      </c>
      <c r="N156" s="70" t="s">
        <v>14</v>
      </c>
    </row>
    <row r="157" spans="2:14" ht="18" customHeight="1">
      <c r="B157" s="648" t="s">
        <v>98</v>
      </c>
      <c r="C157" s="649" t="s">
        <v>99</v>
      </c>
      <c r="D157" s="253">
        <f t="shared" ref="D157:E162" si="22">J157-IF(L157=1,90,IF(L157=2,67.5,IF(L157=3,45,0)))</f>
        <v>0</v>
      </c>
      <c r="E157" s="253">
        <f t="shared" si="22"/>
        <v>0</v>
      </c>
      <c r="F157" s="253">
        <f t="shared" ref="F157:F162" si="23">2*(D157+E157)/1000</f>
        <v>0</v>
      </c>
      <c r="G157" s="250">
        <v>0</v>
      </c>
      <c r="H157" s="250">
        <f>H68</f>
        <v>0.224</v>
      </c>
      <c r="I157" s="59">
        <f t="shared" ref="I157:I162" si="24">ROUND((F157*G157)*H157,3)</f>
        <v>0</v>
      </c>
      <c r="J157" s="60"/>
      <c r="K157" s="61"/>
      <c r="L157" s="61"/>
      <c r="M157" s="61"/>
      <c r="N157" s="76" t="s">
        <v>56</v>
      </c>
    </row>
    <row r="158" spans="2:14" ht="18" customHeight="1">
      <c r="B158" s="648"/>
      <c r="C158" s="650"/>
      <c r="D158" s="253">
        <f t="shared" si="22"/>
        <v>0</v>
      </c>
      <c r="E158" s="253">
        <f t="shared" si="22"/>
        <v>0</v>
      </c>
      <c r="F158" s="253">
        <f t="shared" si="23"/>
        <v>0</v>
      </c>
      <c r="G158" s="250"/>
      <c r="H158" s="250">
        <f>H157</f>
        <v>0.224</v>
      </c>
      <c r="I158" s="59">
        <f t="shared" si="24"/>
        <v>0</v>
      </c>
      <c r="J158" s="60"/>
      <c r="K158" s="61"/>
      <c r="L158" s="61"/>
      <c r="M158" s="61"/>
      <c r="N158" s="76" t="s">
        <v>58</v>
      </c>
    </row>
    <row r="159" spans="2:14" ht="18" customHeight="1">
      <c r="B159" s="648"/>
      <c r="C159" s="650"/>
      <c r="D159" s="253">
        <f t="shared" si="22"/>
        <v>0</v>
      </c>
      <c r="E159" s="253">
        <f t="shared" si="22"/>
        <v>0</v>
      </c>
      <c r="F159" s="253">
        <f t="shared" si="23"/>
        <v>0</v>
      </c>
      <c r="G159" s="250"/>
      <c r="H159" s="250">
        <f>H158</f>
        <v>0.224</v>
      </c>
      <c r="I159" s="59">
        <f t="shared" si="24"/>
        <v>0</v>
      </c>
      <c r="J159" s="60"/>
      <c r="K159" s="61"/>
      <c r="L159" s="61"/>
      <c r="M159" s="61"/>
      <c r="N159" s="76" t="s">
        <v>60</v>
      </c>
    </row>
    <row r="160" spans="2:14" ht="18" customHeight="1">
      <c r="B160" s="648"/>
      <c r="C160" s="650"/>
      <c r="D160" s="253">
        <f t="shared" si="22"/>
        <v>0</v>
      </c>
      <c r="E160" s="253">
        <f t="shared" si="22"/>
        <v>0</v>
      </c>
      <c r="F160" s="253">
        <f t="shared" si="23"/>
        <v>0</v>
      </c>
      <c r="G160" s="250">
        <v>0</v>
      </c>
      <c r="H160" s="77">
        <f>H159</f>
        <v>0.224</v>
      </c>
      <c r="I160" s="59">
        <f t="shared" si="24"/>
        <v>0</v>
      </c>
      <c r="J160" s="60"/>
      <c r="K160" s="61"/>
      <c r="L160" s="61"/>
      <c r="M160" s="61"/>
      <c r="N160" s="76"/>
    </row>
    <row r="161" spans="2:16" ht="18" customHeight="1">
      <c r="B161" s="648"/>
      <c r="C161" s="650"/>
      <c r="D161" s="253">
        <f t="shared" si="22"/>
        <v>0</v>
      </c>
      <c r="E161" s="253">
        <f t="shared" si="22"/>
        <v>0</v>
      </c>
      <c r="F161" s="253">
        <f t="shared" si="23"/>
        <v>0</v>
      </c>
      <c r="G161" s="250"/>
      <c r="H161" s="250">
        <f>H160</f>
        <v>0.224</v>
      </c>
      <c r="I161" s="59">
        <f t="shared" si="24"/>
        <v>0</v>
      </c>
      <c r="J161" s="60"/>
      <c r="K161" s="61"/>
      <c r="L161" s="61"/>
      <c r="M161" s="61"/>
      <c r="N161" s="76"/>
    </row>
    <row r="162" spans="2:16" ht="18" customHeight="1" thickBot="1">
      <c r="B162" s="648"/>
      <c r="C162" s="651"/>
      <c r="D162" s="253">
        <f t="shared" si="22"/>
        <v>0</v>
      </c>
      <c r="E162" s="253">
        <f t="shared" si="22"/>
        <v>0</v>
      </c>
      <c r="F162" s="253">
        <f t="shared" si="23"/>
        <v>0</v>
      </c>
      <c r="G162" s="250"/>
      <c r="H162" s="250">
        <f>H160</f>
        <v>0.224</v>
      </c>
      <c r="I162" s="59">
        <f t="shared" si="24"/>
        <v>0</v>
      </c>
      <c r="J162" s="64"/>
      <c r="K162" s="65"/>
      <c r="L162" s="65"/>
      <c r="M162" s="65"/>
      <c r="N162" s="80"/>
    </row>
    <row r="163" spans="2:16" ht="18" customHeight="1">
      <c r="B163" s="48" t="s">
        <v>42</v>
      </c>
      <c r="C163" s="49">
        <f>SUMPRODUCT(F157:F162*G157:G162)</f>
        <v>0</v>
      </c>
      <c r="D163" s="50" t="s">
        <v>43</v>
      </c>
      <c r="E163" s="49">
        <f>SUM(I157:I162)*1.1</f>
        <v>0</v>
      </c>
      <c r="F163" s="50" t="s">
        <v>44</v>
      </c>
      <c r="G163" s="51">
        <f>(C$218+C$222)/1000</f>
        <v>39.781500000000001</v>
      </c>
      <c r="H163" s="52" t="s">
        <v>45</v>
      </c>
      <c r="I163" s="53">
        <f>ROUND(E163*G163,2)</f>
        <v>0</v>
      </c>
      <c r="J163" s="102"/>
      <c r="K163" s="102"/>
      <c r="L163" s="102"/>
      <c r="M163" s="102"/>
      <c r="O163" s="102"/>
      <c r="P163" s="102"/>
    </row>
    <row r="164" spans="2:16" ht="18" customHeight="1">
      <c r="B164" s="48" t="s">
        <v>46</v>
      </c>
      <c r="C164" s="50">
        <v>181.72</v>
      </c>
      <c r="D164" s="50" t="s">
        <v>47</v>
      </c>
      <c r="E164" s="49">
        <f>ROUND(C163*(C164/1000),2)</f>
        <v>0</v>
      </c>
      <c r="F164" s="50" t="s">
        <v>48</v>
      </c>
      <c r="G164" s="50">
        <f>G$23</f>
        <v>10</v>
      </c>
      <c r="H164" s="52" t="s">
        <v>49</v>
      </c>
      <c r="I164" s="53">
        <f>E164*G164</f>
        <v>0</v>
      </c>
      <c r="J164" s="102"/>
      <c r="K164" s="102"/>
      <c r="L164" s="102"/>
      <c r="M164" s="102"/>
      <c r="O164" s="102"/>
      <c r="P164" s="102"/>
    </row>
    <row r="165" spans="2:16" ht="18" customHeight="1">
      <c r="B165" s="48" t="s">
        <v>50</v>
      </c>
      <c r="C165" s="50"/>
      <c r="D165" s="50" t="s">
        <v>51</v>
      </c>
      <c r="E165" s="49">
        <f>ROUND(C163*(C165/1000),2)</f>
        <v>0</v>
      </c>
      <c r="F165" s="50" t="s">
        <v>48</v>
      </c>
      <c r="G165" s="50">
        <f>G$24</f>
        <v>10</v>
      </c>
      <c r="H165" s="52" t="s">
        <v>49</v>
      </c>
      <c r="I165" s="53">
        <f>E165*G165</f>
        <v>0</v>
      </c>
      <c r="K165" s="43">
        <f>J165*E165</f>
        <v>0</v>
      </c>
    </row>
    <row r="166" spans="2:16" ht="18" customHeight="1">
      <c r="B166" s="23" t="s">
        <v>36</v>
      </c>
      <c r="C166" s="252" t="s">
        <v>14</v>
      </c>
      <c r="D166" s="252" t="s">
        <v>37</v>
      </c>
      <c r="E166" s="252" t="s">
        <v>71</v>
      </c>
      <c r="F166" s="252" t="s">
        <v>38</v>
      </c>
      <c r="G166" s="252" t="s">
        <v>72</v>
      </c>
      <c r="H166" s="252" t="s">
        <v>22</v>
      </c>
      <c r="I166" s="25" t="s">
        <v>40</v>
      </c>
    </row>
    <row r="167" spans="2:16" ht="18" customHeight="1">
      <c r="B167" s="648" t="s">
        <v>100</v>
      </c>
      <c r="C167" s="649" t="s">
        <v>101</v>
      </c>
      <c r="D167" s="250"/>
      <c r="E167" s="250"/>
      <c r="F167" s="250"/>
      <c r="G167" s="250"/>
      <c r="H167" s="28">
        <v>6.3E-2</v>
      </c>
      <c r="I167" s="59">
        <f>ROUND((D167*E167+F167*G167)/1000*H167,3)</f>
        <v>0</v>
      </c>
    </row>
    <row r="168" spans="2:16" ht="18" customHeight="1">
      <c r="B168" s="648"/>
      <c r="C168" s="650"/>
      <c r="D168" s="250"/>
      <c r="E168" s="250"/>
      <c r="F168" s="250"/>
      <c r="G168" s="250"/>
      <c r="H168" s="28">
        <f>H167</f>
        <v>6.3E-2</v>
      </c>
      <c r="I168" s="59">
        <f>ROUND((D168*E168+F168*G168)/1000*H168,3)</f>
        <v>0</v>
      </c>
    </row>
    <row r="169" spans="2:16" ht="18" customHeight="1">
      <c r="B169" s="648"/>
      <c r="C169" s="651"/>
      <c r="D169" s="250"/>
      <c r="E169" s="250"/>
      <c r="F169" s="250"/>
      <c r="G169" s="250"/>
      <c r="H169" s="28">
        <f>H168</f>
        <v>6.3E-2</v>
      </c>
      <c r="I169" s="59">
        <f>ROUND((D169*E169+F169*G169)/1000*H169,3)</f>
        <v>0</v>
      </c>
    </row>
    <row r="170" spans="2:16" ht="18" customHeight="1">
      <c r="B170" s="48" t="s">
        <v>42</v>
      </c>
      <c r="C170" s="49">
        <f>SUMPRODUCT(D167:D169*E167:E169+F167:F169*G167:G169)/1000</f>
        <v>0</v>
      </c>
      <c r="D170" s="50" t="s">
        <v>43</v>
      </c>
      <c r="E170" s="49">
        <f>SUM(I167:I169)*1.1</f>
        <v>0</v>
      </c>
      <c r="F170" s="50" t="s">
        <v>44</v>
      </c>
      <c r="G170" s="51">
        <f>(C$218+$C$222)/1000</f>
        <v>39.781500000000001</v>
      </c>
      <c r="H170" s="52" t="s">
        <v>45</v>
      </c>
      <c r="I170" s="53">
        <f>ROUND(E170*G170,2)</f>
        <v>0</v>
      </c>
    </row>
    <row r="171" spans="2:16" ht="18" customHeight="1">
      <c r="B171" s="48" t="s">
        <v>46</v>
      </c>
      <c r="C171" s="50">
        <v>105.66</v>
      </c>
      <c r="D171" s="50" t="s">
        <v>47</v>
      </c>
      <c r="E171" s="49">
        <f>ROUND(C170*(C171/1000),2)</f>
        <v>0</v>
      </c>
      <c r="F171" s="50" t="s">
        <v>48</v>
      </c>
      <c r="G171" s="50">
        <f>G$23</f>
        <v>10</v>
      </c>
      <c r="H171" s="52" t="s">
        <v>49</v>
      </c>
      <c r="I171" s="53">
        <f>E171*G171</f>
        <v>0</v>
      </c>
    </row>
    <row r="172" spans="2:16" ht="18" customHeight="1">
      <c r="B172" s="48" t="s">
        <v>50</v>
      </c>
      <c r="C172" s="50">
        <v>125.66</v>
      </c>
      <c r="D172" s="50" t="s">
        <v>51</v>
      </c>
      <c r="E172" s="49">
        <f>ROUND(C170*(C172/1000),2)</f>
        <v>0</v>
      </c>
      <c r="F172" s="50" t="s">
        <v>48</v>
      </c>
      <c r="G172" s="50">
        <f>G$24</f>
        <v>10</v>
      </c>
      <c r="H172" s="52" t="s">
        <v>49</v>
      </c>
      <c r="I172" s="53">
        <f>E172*G172</f>
        <v>0</v>
      </c>
    </row>
    <row r="173" spans="2:16" ht="18" customHeight="1">
      <c r="B173" s="23" t="s">
        <v>36</v>
      </c>
      <c r="C173" s="252" t="s">
        <v>14</v>
      </c>
      <c r="D173" s="252" t="s">
        <v>37</v>
      </c>
      <c r="E173" s="252" t="s">
        <v>71</v>
      </c>
      <c r="F173" s="252" t="s">
        <v>38</v>
      </c>
      <c r="G173" s="252" t="s">
        <v>72</v>
      </c>
      <c r="H173" s="252" t="s">
        <v>22</v>
      </c>
      <c r="I173" s="25" t="s">
        <v>40</v>
      </c>
    </row>
    <row r="174" spans="2:16" ht="18" customHeight="1">
      <c r="B174" s="648" t="s">
        <v>102</v>
      </c>
      <c r="C174" s="649" t="s">
        <v>103</v>
      </c>
      <c r="D174" s="250"/>
      <c r="E174" s="250"/>
      <c r="F174" s="250"/>
      <c r="G174" s="250"/>
      <c r="H174" s="28">
        <v>1.0980000000000001</v>
      </c>
      <c r="I174" s="59">
        <f>ROUND((D174*E174+F174*G174)/1000*H174,3)</f>
        <v>0</v>
      </c>
    </row>
    <row r="175" spans="2:16" ht="18" customHeight="1">
      <c r="B175" s="648"/>
      <c r="C175" s="650"/>
      <c r="D175" s="250"/>
      <c r="E175" s="250"/>
      <c r="F175" s="250"/>
      <c r="G175" s="250"/>
      <c r="H175" s="28">
        <f>H174</f>
        <v>1.0980000000000001</v>
      </c>
      <c r="I175" s="59">
        <f>ROUND((D175*E175+F175*G175)/1000*H175,3)</f>
        <v>0</v>
      </c>
    </row>
    <row r="176" spans="2:16" ht="18" customHeight="1">
      <c r="B176" s="648"/>
      <c r="C176" s="651"/>
      <c r="D176" s="250"/>
      <c r="E176" s="250"/>
      <c r="F176" s="250"/>
      <c r="G176" s="250"/>
      <c r="H176" s="28">
        <f>H175</f>
        <v>1.0980000000000001</v>
      </c>
      <c r="I176" s="59">
        <f>ROUND((D176*E176+F176*G176)/1000*H176,3)</f>
        <v>0</v>
      </c>
    </row>
    <row r="177" spans="2:9" ht="18" customHeight="1">
      <c r="B177" s="48" t="s">
        <v>42</v>
      </c>
      <c r="C177" s="49">
        <f>SUMPRODUCT(D174:D176*E174:E176+F174:F176*G174:G176)/1000</f>
        <v>0</v>
      </c>
      <c r="D177" s="50" t="s">
        <v>43</v>
      </c>
      <c r="E177" s="49">
        <f>SUM(I174:I176)*1.1</f>
        <v>0</v>
      </c>
      <c r="F177" s="50" t="s">
        <v>44</v>
      </c>
      <c r="G177" s="51">
        <f>(C$218+C$219)/1000</f>
        <v>46.081499999999998</v>
      </c>
      <c r="H177" s="52" t="s">
        <v>45</v>
      </c>
      <c r="I177" s="53">
        <f>ROUND(E177*G177,2)</f>
        <v>0</v>
      </c>
    </row>
    <row r="178" spans="2:9" ht="18" customHeight="1">
      <c r="B178" s="48" t="s">
        <v>46</v>
      </c>
      <c r="C178" s="50">
        <v>105.66</v>
      </c>
      <c r="D178" s="50" t="s">
        <v>47</v>
      </c>
      <c r="E178" s="49">
        <f>ROUND(C177*(C178/1000),2)</f>
        <v>0</v>
      </c>
      <c r="F178" s="50" t="s">
        <v>48</v>
      </c>
      <c r="G178" s="50">
        <f>G$23</f>
        <v>10</v>
      </c>
      <c r="H178" s="52" t="s">
        <v>49</v>
      </c>
      <c r="I178" s="53">
        <f>E178*G178</f>
        <v>0</v>
      </c>
    </row>
    <row r="179" spans="2:9" ht="18" customHeight="1">
      <c r="B179" s="48" t="s">
        <v>50</v>
      </c>
      <c r="C179" s="50">
        <v>125.66</v>
      </c>
      <c r="D179" s="50" t="s">
        <v>51</v>
      </c>
      <c r="E179" s="49">
        <f>ROUND(C177*(C179/1000),2)</f>
        <v>0</v>
      </c>
      <c r="F179" s="50" t="s">
        <v>48</v>
      </c>
      <c r="G179" s="50">
        <f>G$24</f>
        <v>10</v>
      </c>
      <c r="H179" s="52" t="s">
        <v>49</v>
      </c>
      <c r="I179" s="53">
        <f>E179*G179</f>
        <v>0</v>
      </c>
    </row>
    <row r="180" spans="2:9" ht="18" customHeight="1">
      <c r="B180" s="23" t="s">
        <v>36</v>
      </c>
      <c r="C180" s="252" t="s">
        <v>14</v>
      </c>
      <c r="D180" s="252" t="s">
        <v>37</v>
      </c>
      <c r="E180" s="252" t="s">
        <v>71</v>
      </c>
      <c r="F180" s="252" t="s">
        <v>38</v>
      </c>
      <c r="G180" s="252" t="s">
        <v>72</v>
      </c>
      <c r="H180" s="252" t="s">
        <v>22</v>
      </c>
      <c r="I180" s="25" t="s">
        <v>40</v>
      </c>
    </row>
    <row r="181" spans="2:9" ht="18" customHeight="1">
      <c r="B181" s="648" t="s">
        <v>104</v>
      </c>
      <c r="C181" s="649" t="s">
        <v>105</v>
      </c>
      <c r="D181" s="250">
        <f>D6</f>
        <v>2400</v>
      </c>
      <c r="E181" s="250"/>
      <c r="F181" s="250"/>
      <c r="G181" s="250"/>
      <c r="H181" s="28">
        <v>1.5629999999999999</v>
      </c>
      <c r="I181" s="59">
        <f>ROUND((D181*E181+F181*G181)/1000*H181,3)</f>
        <v>0</v>
      </c>
    </row>
    <row r="182" spans="2:9" ht="18" customHeight="1">
      <c r="B182" s="648"/>
      <c r="C182" s="650"/>
      <c r="D182" s="250"/>
      <c r="E182" s="250"/>
      <c r="F182" s="250"/>
      <c r="G182" s="250"/>
      <c r="H182" s="28">
        <f>H181</f>
        <v>1.5629999999999999</v>
      </c>
      <c r="I182" s="59">
        <f>ROUND((D182*E182+F182*G182)/1000*H182,3)</f>
        <v>0</v>
      </c>
    </row>
    <row r="183" spans="2:9" ht="18" customHeight="1">
      <c r="B183" s="648"/>
      <c r="C183" s="651"/>
      <c r="D183" s="250"/>
      <c r="E183" s="250"/>
      <c r="F183" s="250"/>
      <c r="G183" s="250"/>
      <c r="H183" s="28">
        <f>H182</f>
        <v>1.5629999999999999</v>
      </c>
      <c r="I183" s="59">
        <f>ROUND((D183*E183+F183*G183)/1000*H183,3)</f>
        <v>0</v>
      </c>
    </row>
    <row r="184" spans="2:9" ht="18" customHeight="1">
      <c r="B184" s="48" t="s">
        <v>42</v>
      </c>
      <c r="C184" s="49">
        <f>SUMPRODUCT(D181:D183*E181:E183+F181:F183*G181:G183)/1000</f>
        <v>0</v>
      </c>
      <c r="D184" s="50" t="s">
        <v>43</v>
      </c>
      <c r="E184" s="49">
        <f>SUM(I181:I183)*1.1</f>
        <v>0</v>
      </c>
      <c r="F184" s="50" t="s">
        <v>44</v>
      </c>
      <c r="G184" s="51">
        <f>(C$218+C$219)/1000</f>
        <v>46.081499999999998</v>
      </c>
      <c r="H184" s="52" t="s">
        <v>45</v>
      </c>
      <c r="I184" s="53">
        <f>ROUND(E184*G184,2)</f>
        <v>0</v>
      </c>
    </row>
    <row r="185" spans="2:9" ht="18" customHeight="1">
      <c r="B185" s="48" t="s">
        <v>46</v>
      </c>
      <c r="C185" s="50">
        <v>105.66</v>
      </c>
      <c r="D185" s="50" t="s">
        <v>47</v>
      </c>
      <c r="E185" s="49">
        <f>ROUND(C184*(C185/1000),2)</f>
        <v>0</v>
      </c>
      <c r="F185" s="50" t="s">
        <v>48</v>
      </c>
      <c r="G185" s="50">
        <f>G$23</f>
        <v>10</v>
      </c>
      <c r="H185" s="52" t="s">
        <v>49</v>
      </c>
      <c r="I185" s="53">
        <f>E185*G185</f>
        <v>0</v>
      </c>
    </row>
    <row r="186" spans="2:9" ht="18" customHeight="1">
      <c r="B186" s="48" t="s">
        <v>50</v>
      </c>
      <c r="C186" s="50">
        <v>125.66</v>
      </c>
      <c r="D186" s="50" t="s">
        <v>51</v>
      </c>
      <c r="E186" s="49">
        <f>ROUND(C184*(C186/1000),2)</f>
        <v>0</v>
      </c>
      <c r="F186" s="50" t="s">
        <v>48</v>
      </c>
      <c r="G186" s="50">
        <f>G$24</f>
        <v>10</v>
      </c>
      <c r="H186" s="52" t="s">
        <v>49</v>
      </c>
      <c r="I186" s="53">
        <f>E186*G186</f>
        <v>0</v>
      </c>
    </row>
    <row r="187" spans="2:9" ht="18" customHeight="1">
      <c r="B187" s="23" t="s">
        <v>36</v>
      </c>
      <c r="C187" s="252" t="s">
        <v>14</v>
      </c>
      <c r="D187" s="252" t="s">
        <v>37</v>
      </c>
      <c r="E187" s="252" t="s">
        <v>71</v>
      </c>
      <c r="F187" s="252" t="s">
        <v>38</v>
      </c>
      <c r="G187" s="252" t="s">
        <v>72</v>
      </c>
      <c r="H187" s="252" t="s">
        <v>22</v>
      </c>
      <c r="I187" s="25" t="s">
        <v>40</v>
      </c>
    </row>
    <row r="188" spans="2:9" ht="18" customHeight="1">
      <c r="B188" s="648" t="s">
        <v>106</v>
      </c>
      <c r="C188" s="649" t="s">
        <v>107</v>
      </c>
      <c r="D188" s="250"/>
      <c r="E188" s="250"/>
      <c r="F188" s="250"/>
      <c r="G188" s="250"/>
      <c r="H188" s="28">
        <v>1.732</v>
      </c>
      <c r="I188" s="59">
        <f>ROUND((D188*E188+F188*G188)/1000*H188,3)</f>
        <v>0</v>
      </c>
    </row>
    <row r="189" spans="2:9" ht="18" customHeight="1">
      <c r="B189" s="648"/>
      <c r="C189" s="650"/>
      <c r="D189" s="250"/>
      <c r="E189" s="250"/>
      <c r="F189" s="250"/>
      <c r="G189" s="250"/>
      <c r="H189" s="28">
        <f>H188</f>
        <v>1.732</v>
      </c>
      <c r="I189" s="59">
        <f>ROUND((D189*E189+F189*G189)/1000*H189,3)</f>
        <v>0</v>
      </c>
    </row>
    <row r="190" spans="2:9" ht="18" customHeight="1">
      <c r="B190" s="648"/>
      <c r="C190" s="651"/>
      <c r="D190" s="250"/>
      <c r="E190" s="250"/>
      <c r="F190" s="250">
        <f>E6</f>
        <v>2725</v>
      </c>
      <c r="G190" s="250"/>
      <c r="H190" s="28">
        <f>H189</f>
        <v>1.732</v>
      </c>
      <c r="I190" s="59">
        <f>ROUND((D190*E190+F190*G190)/1000*H190,3)</f>
        <v>0</v>
      </c>
    </row>
    <row r="191" spans="2:9" ht="18" customHeight="1">
      <c r="B191" s="48" t="s">
        <v>42</v>
      </c>
      <c r="C191" s="49">
        <f>SUMPRODUCT(D188:D190*E188:E190+F188:F190*G188:G190)/1000</f>
        <v>0</v>
      </c>
      <c r="D191" s="50" t="s">
        <v>43</v>
      </c>
      <c r="E191" s="49">
        <f>SUM(I188:I190)*1.1</f>
        <v>0</v>
      </c>
      <c r="F191" s="50" t="s">
        <v>44</v>
      </c>
      <c r="G191" s="51">
        <f>(C$218+C$219)/1000</f>
        <v>46.081499999999998</v>
      </c>
      <c r="H191" s="52" t="s">
        <v>45</v>
      </c>
      <c r="I191" s="53">
        <f>ROUND(E191*G191,2)</f>
        <v>0</v>
      </c>
    </row>
    <row r="192" spans="2:9" ht="18" customHeight="1">
      <c r="B192" s="48" t="s">
        <v>46</v>
      </c>
      <c r="C192" s="50">
        <v>105.66</v>
      </c>
      <c r="D192" s="50" t="s">
        <v>47</v>
      </c>
      <c r="E192" s="49">
        <f>ROUND(C191*(C192/1000),2)</f>
        <v>0</v>
      </c>
      <c r="F192" s="50" t="s">
        <v>48</v>
      </c>
      <c r="G192" s="50">
        <f>G$23</f>
        <v>10</v>
      </c>
      <c r="H192" s="52" t="s">
        <v>49</v>
      </c>
      <c r="I192" s="53">
        <f>E192*G192</f>
        <v>0</v>
      </c>
    </row>
    <row r="193" spans="2:15" ht="18" customHeight="1">
      <c r="B193" s="48" t="s">
        <v>50</v>
      </c>
      <c r="C193" s="50">
        <v>125.66</v>
      </c>
      <c r="D193" s="50" t="s">
        <v>51</v>
      </c>
      <c r="E193" s="49">
        <f>ROUND(C191*(C193/1000),2)</f>
        <v>0</v>
      </c>
      <c r="F193" s="50" t="s">
        <v>48</v>
      </c>
      <c r="G193" s="50">
        <f>G$24</f>
        <v>10</v>
      </c>
      <c r="H193" s="52" t="s">
        <v>49</v>
      </c>
      <c r="I193" s="53">
        <f>E193*G193</f>
        <v>0</v>
      </c>
    </row>
    <row r="194" spans="2:15" ht="18" customHeight="1">
      <c r="B194" s="23" t="s">
        <v>36</v>
      </c>
      <c r="C194" s="252" t="s">
        <v>14</v>
      </c>
      <c r="D194" s="652" t="s">
        <v>38</v>
      </c>
      <c r="E194" s="652"/>
      <c r="F194" s="652"/>
      <c r="G194" s="252" t="s">
        <v>72</v>
      </c>
      <c r="H194" s="252" t="s">
        <v>22</v>
      </c>
      <c r="I194" s="25" t="s">
        <v>40</v>
      </c>
    </row>
    <row r="195" spans="2:15" ht="18" customHeight="1">
      <c r="B195" s="643" t="s">
        <v>108</v>
      </c>
      <c r="C195" s="645" t="s">
        <v>109</v>
      </c>
      <c r="D195" s="646"/>
      <c r="E195" s="646"/>
      <c r="F195" s="646"/>
      <c r="G195" s="250"/>
      <c r="H195" s="250">
        <v>1.796</v>
      </c>
      <c r="I195" s="59">
        <f>ROUND((D195*G195*H195)/1000,3)</f>
        <v>0</v>
      </c>
    </row>
    <row r="196" spans="2:15" ht="18" customHeight="1">
      <c r="B196" s="644"/>
      <c r="C196" s="640"/>
      <c r="D196" s="646"/>
      <c r="E196" s="646"/>
      <c r="F196" s="646"/>
      <c r="G196" s="250"/>
      <c r="H196" s="250">
        <f>H195</f>
        <v>1.796</v>
      </c>
      <c r="I196" s="59">
        <f>ROUND((D196*G196*H196)/1000,3)</f>
        <v>0</v>
      </c>
    </row>
    <row r="197" spans="2:15" ht="18" customHeight="1">
      <c r="B197" s="643" t="s">
        <v>110</v>
      </c>
      <c r="C197" s="645" t="s">
        <v>111</v>
      </c>
      <c r="D197" s="646"/>
      <c r="E197" s="646"/>
      <c r="F197" s="646"/>
      <c r="G197" s="250"/>
      <c r="H197" s="250">
        <v>1.355</v>
      </c>
      <c r="I197" s="59"/>
    </row>
    <row r="198" spans="2:15" ht="18" customHeight="1">
      <c r="B198" s="644"/>
      <c r="C198" s="640"/>
      <c r="D198" s="646"/>
      <c r="E198" s="646"/>
      <c r="F198" s="646"/>
      <c r="G198" s="250"/>
      <c r="H198" s="250">
        <f>H197</f>
        <v>1.355</v>
      </c>
      <c r="I198" s="59"/>
    </row>
    <row r="199" spans="2:15" ht="18" customHeight="1">
      <c r="B199" s="48" t="s">
        <v>42</v>
      </c>
      <c r="C199" s="49">
        <f>SUMPRODUCT(D195:F198*G195:G198)/1000</f>
        <v>0</v>
      </c>
      <c r="D199" s="50" t="s">
        <v>43</v>
      </c>
      <c r="E199" s="49">
        <f>SUM(I195:I198)*1.1</f>
        <v>0</v>
      </c>
      <c r="F199" s="50" t="s">
        <v>44</v>
      </c>
      <c r="G199" s="51">
        <f>(C$218+C$219)/1000</f>
        <v>46.081499999999998</v>
      </c>
      <c r="H199" s="52" t="s">
        <v>45</v>
      </c>
      <c r="I199" s="53">
        <f>ROUND(E199*G199,2)</f>
        <v>0</v>
      </c>
    </row>
    <row r="200" spans="2:15" ht="18" customHeight="1">
      <c r="B200" s="48" t="s">
        <v>46</v>
      </c>
      <c r="C200" s="50">
        <v>267.77999999999997</v>
      </c>
      <c r="D200" s="50" t="s">
        <v>47</v>
      </c>
      <c r="E200" s="49">
        <f>ROUND(C199*(C200/1000),2)</f>
        <v>0</v>
      </c>
      <c r="F200" s="50" t="s">
        <v>48</v>
      </c>
      <c r="G200" s="50">
        <f>G$23</f>
        <v>10</v>
      </c>
      <c r="H200" s="52" t="s">
        <v>49</v>
      </c>
      <c r="I200" s="53">
        <f>E200*G200</f>
        <v>0</v>
      </c>
    </row>
    <row r="201" spans="2:15" ht="18" customHeight="1">
      <c r="B201" s="48" t="s">
        <v>50</v>
      </c>
      <c r="C201" s="50">
        <v>104.29</v>
      </c>
      <c r="D201" s="50" t="s">
        <v>51</v>
      </c>
      <c r="E201" s="49">
        <f>ROUND(C199*(C201/1000),2)</f>
        <v>0</v>
      </c>
      <c r="F201" s="50" t="s">
        <v>48</v>
      </c>
      <c r="G201" s="50">
        <f>G$24</f>
        <v>10</v>
      </c>
      <c r="H201" s="52" t="s">
        <v>49</v>
      </c>
      <c r="I201" s="53">
        <f>E201*G201</f>
        <v>0</v>
      </c>
    </row>
    <row r="202" spans="2:15" ht="18" customHeight="1">
      <c r="B202" s="103" t="s">
        <v>112</v>
      </c>
      <c r="C202" s="104" t="s">
        <v>113</v>
      </c>
      <c r="D202" s="104" t="s">
        <v>28</v>
      </c>
      <c r="E202" s="104" t="s">
        <v>8</v>
      </c>
      <c r="F202" s="104" t="s">
        <v>112</v>
      </c>
      <c r="G202" s="104" t="s">
        <v>113</v>
      </c>
      <c r="H202" s="104" t="s">
        <v>28</v>
      </c>
      <c r="I202" s="105" t="s">
        <v>8</v>
      </c>
      <c r="N202" s="106"/>
      <c r="O202" s="102"/>
    </row>
    <row r="203" spans="2:15" ht="18" customHeight="1">
      <c r="B203" s="251" t="s">
        <v>327</v>
      </c>
      <c r="C203" s="107" t="s">
        <v>114</v>
      </c>
      <c r="D203" s="108">
        <v>2.15</v>
      </c>
      <c r="E203" s="253">
        <f>SUM(G14:G21)*4</f>
        <v>0</v>
      </c>
      <c r="F203" s="647" t="s">
        <v>115</v>
      </c>
      <c r="G203" s="107" t="s">
        <v>116</v>
      </c>
      <c r="H203" s="108">
        <v>2.46</v>
      </c>
      <c r="I203" s="247">
        <f>SUM(G108:G111)*4</f>
        <v>4</v>
      </c>
      <c r="J203" s="42"/>
      <c r="N203" s="106"/>
      <c r="O203" s="102"/>
    </row>
    <row r="204" spans="2:15" ht="18" customHeight="1">
      <c r="B204" s="251" t="s">
        <v>328</v>
      </c>
      <c r="C204" s="107" t="s">
        <v>117</v>
      </c>
      <c r="D204" s="108">
        <v>1.72</v>
      </c>
      <c r="E204" s="253">
        <f>E203</f>
        <v>0</v>
      </c>
      <c r="F204" s="646"/>
      <c r="G204" s="107" t="s">
        <v>118</v>
      </c>
      <c r="H204" s="108">
        <v>3.11</v>
      </c>
      <c r="I204" s="247">
        <f>I203</f>
        <v>4</v>
      </c>
      <c r="J204" s="42"/>
      <c r="N204" s="106"/>
      <c r="O204" s="102"/>
    </row>
    <row r="205" spans="2:15" ht="18" customHeight="1">
      <c r="B205" s="109" t="s">
        <v>330</v>
      </c>
      <c r="C205" s="107" t="s">
        <v>119</v>
      </c>
      <c r="D205" s="108">
        <v>2.68</v>
      </c>
      <c r="E205" s="253">
        <f>SUM(G26:G30)*4</f>
        <v>0</v>
      </c>
      <c r="F205" s="110" t="s">
        <v>120</v>
      </c>
      <c r="G205" s="107" t="s">
        <v>121</v>
      </c>
      <c r="H205" s="111">
        <v>4.76</v>
      </c>
      <c r="I205" s="247">
        <f>SUM(G123:G125)*4</f>
        <v>0</v>
      </c>
      <c r="J205" s="42"/>
      <c r="N205" s="106"/>
      <c r="O205" s="102"/>
    </row>
    <row r="206" spans="2:15" ht="18" customHeight="1">
      <c r="B206" s="109" t="s">
        <v>329</v>
      </c>
      <c r="C206" s="107" t="s">
        <v>122</v>
      </c>
      <c r="D206" s="108">
        <v>1.27</v>
      </c>
      <c r="E206" s="253">
        <f>E205</f>
        <v>0</v>
      </c>
      <c r="F206" s="110" t="s">
        <v>123</v>
      </c>
      <c r="G206" s="107" t="s">
        <v>124</v>
      </c>
      <c r="H206" s="111">
        <v>3.85</v>
      </c>
      <c r="I206" s="247">
        <f>I205</f>
        <v>0</v>
      </c>
      <c r="J206" s="42"/>
      <c r="N206" s="106"/>
      <c r="O206" s="102"/>
    </row>
    <row r="207" spans="2:15" ht="18" customHeight="1">
      <c r="B207" s="109" t="s">
        <v>331</v>
      </c>
      <c r="C207" s="107" t="s">
        <v>125</v>
      </c>
      <c r="D207" s="111" t="s">
        <v>126</v>
      </c>
      <c r="E207" s="253">
        <f>SUM(G35:G37)*4</f>
        <v>0</v>
      </c>
      <c r="F207" s="110" t="s">
        <v>127</v>
      </c>
      <c r="G207" s="107" t="s">
        <v>128</v>
      </c>
      <c r="H207" s="111">
        <v>4.29</v>
      </c>
      <c r="I207" s="247">
        <f>SUM(G116:G118)*4</f>
        <v>8</v>
      </c>
      <c r="J207" s="42"/>
      <c r="N207" s="106"/>
      <c r="O207" s="102"/>
    </row>
    <row r="208" spans="2:15" ht="18" customHeight="1">
      <c r="B208" s="109" t="s">
        <v>332</v>
      </c>
      <c r="C208" s="107" t="s">
        <v>129</v>
      </c>
      <c r="D208" s="111" t="s">
        <v>130</v>
      </c>
      <c r="E208" s="253">
        <f>E207</f>
        <v>0</v>
      </c>
      <c r="F208" s="110" t="s">
        <v>131</v>
      </c>
      <c r="G208" s="107" t="s">
        <v>132</v>
      </c>
      <c r="H208" s="111">
        <v>4.5</v>
      </c>
      <c r="I208" s="247">
        <f>I207</f>
        <v>8</v>
      </c>
      <c r="J208" s="42"/>
      <c r="N208" s="106"/>
      <c r="O208" s="102"/>
    </row>
    <row r="209" spans="2:15" ht="18" customHeight="1">
      <c r="B209" s="249" t="s">
        <v>333</v>
      </c>
      <c r="C209" s="250">
        <v>12.6</v>
      </c>
      <c r="D209" s="111">
        <v>1.32</v>
      </c>
      <c r="E209" s="253">
        <f>SUM(G42:G47)*4</f>
        <v>0</v>
      </c>
      <c r="F209" s="639"/>
      <c r="G209" s="107"/>
      <c r="H209" s="28"/>
      <c r="I209" s="247"/>
      <c r="N209" s="106"/>
      <c r="O209" s="102"/>
    </row>
    <row r="210" spans="2:15" ht="18" customHeight="1">
      <c r="B210" s="249" t="s">
        <v>334</v>
      </c>
      <c r="C210" s="250">
        <v>15.8</v>
      </c>
      <c r="D210" s="111">
        <v>1.18</v>
      </c>
      <c r="E210" s="253">
        <f>E209</f>
        <v>0</v>
      </c>
      <c r="F210" s="640"/>
      <c r="G210" s="107"/>
      <c r="H210" s="28"/>
      <c r="I210" s="231"/>
      <c r="N210" s="106"/>
      <c r="O210" s="102"/>
    </row>
    <row r="211" spans="2:15" ht="18" customHeight="1">
      <c r="B211" s="251" t="s">
        <v>335</v>
      </c>
      <c r="C211" s="107" t="s">
        <v>337</v>
      </c>
      <c r="D211" s="111">
        <v>2.81</v>
      </c>
      <c r="E211" s="250">
        <f>SUM(E52+E53+E54+E55+G52+G53+G54+G55+G60+G61+G62+G63)*2</f>
        <v>0</v>
      </c>
      <c r="F211" s="641" t="s">
        <v>133</v>
      </c>
      <c r="G211" s="111">
        <f>SUMPRODUCT(D35:D37,G35:G37)/1000</f>
        <v>0</v>
      </c>
      <c r="H211" s="28">
        <v>0.16</v>
      </c>
      <c r="I211" s="232">
        <f>G211*H211</f>
        <v>0</v>
      </c>
      <c r="N211" s="106"/>
      <c r="O211" s="102"/>
    </row>
    <row r="212" spans="2:15" ht="18" customHeight="1">
      <c r="B212" s="251" t="s">
        <v>336</v>
      </c>
      <c r="C212" s="107" t="s">
        <v>338</v>
      </c>
      <c r="D212" s="111">
        <v>3.51</v>
      </c>
      <c r="E212" s="250">
        <f>E211</f>
        <v>0</v>
      </c>
      <c r="F212" s="641"/>
      <c r="G212" s="111">
        <f>SUMPRODUCT(D26:D30,G26:G30)/1000</f>
        <v>0</v>
      </c>
      <c r="H212" s="28">
        <v>0.16</v>
      </c>
      <c r="I212" s="232">
        <f>G212*H212</f>
        <v>0</v>
      </c>
      <c r="N212" s="106"/>
      <c r="O212" s="102"/>
    </row>
    <row r="213" spans="2:15" ht="18" customHeight="1">
      <c r="B213" s="251" t="s">
        <v>134</v>
      </c>
      <c r="C213" s="250">
        <v>30.6</v>
      </c>
      <c r="D213" s="111">
        <v>2.81</v>
      </c>
      <c r="E213" s="253">
        <f>SUM(+E130+E131+E132+G130+G131+G132)*2</f>
        <v>0</v>
      </c>
      <c r="F213" s="641" t="s">
        <v>135</v>
      </c>
      <c r="G213" s="111">
        <f>SUMPRODUCT(E26:E30,G26:G30)/1000</f>
        <v>0</v>
      </c>
      <c r="H213" s="28">
        <v>0.16</v>
      </c>
      <c r="I213" s="232">
        <f>G213*H213</f>
        <v>0</v>
      </c>
      <c r="N213" s="106"/>
      <c r="O213" s="102"/>
    </row>
    <row r="214" spans="2:15" ht="18" customHeight="1">
      <c r="B214" s="251" t="s">
        <v>136</v>
      </c>
      <c r="C214" s="250">
        <v>30.6</v>
      </c>
      <c r="D214" s="111">
        <v>3.51</v>
      </c>
      <c r="E214" s="253">
        <f>E213</f>
        <v>0</v>
      </c>
      <c r="F214" s="641"/>
      <c r="G214" s="111">
        <f>SUMPRODUCT(E35:E37,G35:G37)/1000</f>
        <v>0</v>
      </c>
      <c r="H214" s="28">
        <v>0.16</v>
      </c>
      <c r="I214" s="232">
        <f>G214*H214</f>
        <v>0</v>
      </c>
      <c r="N214" s="106"/>
      <c r="O214" s="102"/>
    </row>
    <row r="215" spans="2:15" ht="18" customHeight="1">
      <c r="B215" s="52" t="s">
        <v>137</v>
      </c>
      <c r="C215" s="112" cm="1">
        <f t="array" ref="C215">SUMPRODUCT(D203:D214*E203:E214)+SUMPRODUCT(H203:H210*I203:I210)</f>
        <v>92.6</v>
      </c>
      <c r="D215" s="52"/>
      <c r="E215" s="52"/>
      <c r="F215" s="52"/>
      <c r="G215" s="52" t="s">
        <v>138</v>
      </c>
      <c r="H215" s="52" cm="1">
        <f t="array" ref="H215">SUMPRODUCT(G211:G214*H211:H214)</f>
        <v>0</v>
      </c>
      <c r="I215" s="233">
        <f>H215*1.08</f>
        <v>0</v>
      </c>
      <c r="N215" s="106"/>
      <c r="O215" s="102"/>
    </row>
    <row r="216" spans="2:15" ht="18" customHeight="1">
      <c r="B216" s="23" t="s">
        <v>139</v>
      </c>
      <c r="C216" s="252" t="s">
        <v>14</v>
      </c>
      <c r="D216" s="252" t="s">
        <v>22</v>
      </c>
      <c r="E216" s="252" t="s">
        <v>8</v>
      </c>
      <c r="F216" s="252" t="s">
        <v>113</v>
      </c>
      <c r="G216" s="252" t="s">
        <v>40</v>
      </c>
      <c r="H216" s="252" t="s">
        <v>28</v>
      </c>
      <c r="I216" s="25" t="s">
        <v>29</v>
      </c>
      <c r="N216" s="106"/>
      <c r="O216" s="102"/>
    </row>
    <row r="217" spans="2:15" ht="18" customHeight="1">
      <c r="B217" s="48" t="s">
        <v>140</v>
      </c>
      <c r="C217" s="52" t="s">
        <v>141</v>
      </c>
      <c r="D217" s="50">
        <v>0.14199999999999999</v>
      </c>
      <c r="E217" s="50">
        <v>1</v>
      </c>
      <c r="F217" s="50">
        <f>D6</f>
        <v>2400</v>
      </c>
      <c r="G217" s="128">
        <f>D217*F217*E217/1000*1.1</f>
        <v>0.37487999999999994</v>
      </c>
      <c r="H217" s="52">
        <f>(C218+C222)/1000</f>
        <v>39.781500000000001</v>
      </c>
      <c r="I217" s="193">
        <f>G217*H217</f>
        <v>14.913288719999997</v>
      </c>
      <c r="N217" s="106"/>
      <c r="O217" s="102"/>
    </row>
    <row r="218" spans="2:15" ht="18" customHeight="1">
      <c r="B218" s="37" t="s">
        <v>142</v>
      </c>
      <c r="C218" s="113">
        <f>材料价格!B4</f>
        <v>22081.5</v>
      </c>
      <c r="D218" s="39" t="s">
        <v>143</v>
      </c>
      <c r="E218" s="114">
        <f>E139+E133+E126+E119+E112+E199+E177+E64+E56+E48+E38+E31+E22+E184+E191</f>
        <v>65.956000000000003</v>
      </c>
      <c r="F218" s="39" t="s">
        <v>144</v>
      </c>
      <c r="G218" s="115">
        <f>I218/E218-C218/1000</f>
        <v>24.000130177694217</v>
      </c>
      <c r="H218" s="39" t="s">
        <v>145</v>
      </c>
      <c r="I218" s="116">
        <f>I22+I31+I38+I48+I56+I64+I199+I112+I119+I126+I133+I139+I177+I184+I191</f>
        <v>3039.3599999999997</v>
      </c>
      <c r="N218" s="106"/>
      <c r="O218" s="102"/>
    </row>
    <row r="219" spans="2:15" ht="18" customHeight="1">
      <c r="B219" s="117" t="s">
        <v>146</v>
      </c>
      <c r="C219" s="118">
        <f>材料价格!B5</f>
        <v>24000</v>
      </c>
      <c r="D219" s="39" t="s">
        <v>147</v>
      </c>
      <c r="E219" s="114">
        <f>E163+E153+E146+E104+E97+E88+G217+E170</f>
        <v>4.5460799999999999</v>
      </c>
      <c r="F219" s="39" t="s">
        <v>148</v>
      </c>
      <c r="G219" s="119">
        <f>I219/E219-C218/1000</f>
        <v>17.700749480871437</v>
      </c>
      <c r="H219" s="39" t="s">
        <v>149</v>
      </c>
      <c r="I219" s="116">
        <f>I88+I97+I104+I146+I153+I163+I217+I170</f>
        <v>180.85328871999999</v>
      </c>
      <c r="N219" s="106"/>
      <c r="O219" s="102"/>
    </row>
    <row r="220" spans="2:15" ht="18" customHeight="1">
      <c r="B220" s="117" t="s">
        <v>150</v>
      </c>
      <c r="C220" s="118">
        <f>C219</f>
        <v>24000</v>
      </c>
      <c r="D220" s="39" t="s">
        <v>151</v>
      </c>
      <c r="E220" s="120">
        <f>I215</f>
        <v>0</v>
      </c>
      <c r="F220" s="39" t="s">
        <v>152</v>
      </c>
      <c r="G220" s="119" t="e">
        <f>I220/E220-C218/1000</f>
        <v>#DIV/0!</v>
      </c>
      <c r="H220" s="39" t="s">
        <v>153</v>
      </c>
      <c r="I220" s="116">
        <f>ROUND(E220*(C218+C223)/1000,2)</f>
        <v>0</v>
      </c>
      <c r="N220" s="106"/>
      <c r="O220" s="102"/>
    </row>
    <row r="221" spans="2:15" ht="18" customHeight="1">
      <c r="B221" s="117" t="s">
        <v>154</v>
      </c>
      <c r="C221" s="121">
        <f>C220</f>
        <v>24000</v>
      </c>
      <c r="D221" s="39" t="s">
        <v>155</v>
      </c>
      <c r="E221" s="39"/>
      <c r="F221" s="39" t="s">
        <v>156</v>
      </c>
      <c r="G221" s="39"/>
      <c r="H221" s="39" t="s">
        <v>49</v>
      </c>
      <c r="I221" s="116">
        <f>E221*G221</f>
        <v>0</v>
      </c>
      <c r="J221" s="42"/>
      <c r="K221" s="255"/>
    </row>
    <row r="222" spans="2:15" ht="18" customHeight="1">
      <c r="B222" s="117" t="s">
        <v>148</v>
      </c>
      <c r="C222" s="122">
        <f>材料价格!B6</f>
        <v>17700</v>
      </c>
      <c r="D222" s="39" t="s">
        <v>157</v>
      </c>
      <c r="E222" s="39"/>
      <c r="F222" s="39" t="s">
        <v>156</v>
      </c>
      <c r="G222" s="39"/>
      <c r="H222" s="39" t="s">
        <v>49</v>
      </c>
      <c r="I222" s="116">
        <f>E222*G222</f>
        <v>0</v>
      </c>
      <c r="J222" s="123"/>
      <c r="K222" s="123"/>
      <c r="L222" s="123"/>
    </row>
    <row r="223" spans="2:15" ht="18" customHeight="1">
      <c r="B223" s="117" t="s">
        <v>152</v>
      </c>
      <c r="C223" s="122">
        <f>材料价格!B9</f>
        <v>2900</v>
      </c>
      <c r="D223" s="39" t="s">
        <v>158</v>
      </c>
      <c r="E223" s="114">
        <f>SUM(E218:E220)</f>
        <v>70.502080000000007</v>
      </c>
      <c r="F223" s="39"/>
      <c r="G223" s="39" t="s">
        <v>339</v>
      </c>
      <c r="H223" s="39"/>
      <c r="I223" s="234">
        <f>SUM(I218:I222)+C215</f>
        <v>3312.8132887199995</v>
      </c>
      <c r="J223" s="123"/>
      <c r="K223" s="123"/>
      <c r="L223" s="123"/>
    </row>
    <row r="224" spans="2:15" ht="18" customHeight="1">
      <c r="B224" s="23" t="s">
        <v>159</v>
      </c>
      <c r="C224" s="252" t="s">
        <v>113</v>
      </c>
      <c r="D224" s="252" t="s">
        <v>16</v>
      </c>
      <c r="E224" s="252" t="s">
        <v>7</v>
      </c>
      <c r="F224" s="252" t="s">
        <v>8</v>
      </c>
      <c r="G224" s="252" t="s">
        <v>28</v>
      </c>
      <c r="H224" s="252" t="s">
        <v>160</v>
      </c>
      <c r="I224" s="25" t="s">
        <v>1</v>
      </c>
      <c r="J224" s="255"/>
      <c r="K224" s="255"/>
      <c r="L224" s="255"/>
      <c r="M224" s="255"/>
    </row>
    <row r="225" spans="2:13" ht="18" customHeight="1">
      <c r="B225" s="124" t="str">
        <f>材料价格!A10</f>
        <v>6单银Low-E+12A+6</v>
      </c>
      <c r="C225" s="253">
        <f t="shared" ref="C225:D229" si="25">D92</f>
        <v>-90</v>
      </c>
      <c r="D225" s="253">
        <f t="shared" si="25"/>
        <v>-90</v>
      </c>
      <c r="E225" s="32">
        <f>C225*D225/10^6</f>
        <v>8.0999999999999996E-3</v>
      </c>
      <c r="F225" s="250">
        <f>G26</f>
        <v>0</v>
      </c>
      <c r="G225" s="125">
        <f>材料价格!B10</f>
        <v>148</v>
      </c>
      <c r="H225" s="250">
        <f>ROUND(E225*G225*F225,2)</f>
        <v>0</v>
      </c>
      <c r="I225" s="247" t="s">
        <v>161</v>
      </c>
      <c r="J225" s="255"/>
      <c r="K225" s="255"/>
      <c r="L225" s="255"/>
      <c r="M225" s="255"/>
    </row>
    <row r="226" spans="2:13" ht="18" customHeight="1">
      <c r="B226" s="124" t="str">
        <f t="shared" ref="B226:B232" si="26">B225</f>
        <v>6单银Low-E+12A+6</v>
      </c>
      <c r="C226" s="253">
        <f t="shared" si="25"/>
        <v>-90</v>
      </c>
      <c r="D226" s="253">
        <f t="shared" si="25"/>
        <v>-90</v>
      </c>
      <c r="E226" s="32">
        <f t="shared" ref="E226:E284" si="27">C226*D226/10^6</f>
        <v>8.0999999999999996E-3</v>
      </c>
      <c r="F226" s="250">
        <f>G27</f>
        <v>0</v>
      </c>
      <c r="G226" s="126">
        <f t="shared" ref="G226:G232" si="28">G225</f>
        <v>148</v>
      </c>
      <c r="H226" s="250">
        <f t="shared" ref="H226:H241" si="29">ROUND(E226*G226*F226,2)</f>
        <v>0</v>
      </c>
      <c r="I226" s="247" t="s">
        <v>162</v>
      </c>
      <c r="J226" s="255"/>
      <c r="K226" s="255"/>
      <c r="L226" s="255"/>
      <c r="M226" s="255"/>
    </row>
    <row r="227" spans="2:13" ht="18" customHeight="1">
      <c r="B227" s="124" t="str">
        <f t="shared" si="26"/>
        <v>6单银Low-E+12A+6</v>
      </c>
      <c r="C227" s="253">
        <f t="shared" si="25"/>
        <v>-90</v>
      </c>
      <c r="D227" s="253">
        <f t="shared" si="25"/>
        <v>-90</v>
      </c>
      <c r="E227" s="32">
        <f t="shared" si="27"/>
        <v>8.0999999999999996E-3</v>
      </c>
      <c r="F227" s="250">
        <f>G28</f>
        <v>0</v>
      </c>
      <c r="G227" s="126">
        <f t="shared" si="28"/>
        <v>148</v>
      </c>
      <c r="H227" s="250">
        <f t="shared" si="29"/>
        <v>0</v>
      </c>
      <c r="I227" s="247" t="s">
        <v>162</v>
      </c>
      <c r="J227" s="255"/>
      <c r="K227" s="255"/>
      <c r="L227" s="255"/>
      <c r="M227" s="255"/>
    </row>
    <row r="228" spans="2:13" ht="18" customHeight="1">
      <c r="B228" s="124" t="str">
        <f t="shared" si="26"/>
        <v>6单银Low-E+12A+6</v>
      </c>
      <c r="C228" s="253">
        <f t="shared" si="25"/>
        <v>-90</v>
      </c>
      <c r="D228" s="253">
        <f t="shared" si="25"/>
        <v>-90</v>
      </c>
      <c r="E228" s="32">
        <f t="shared" si="27"/>
        <v>8.0999999999999996E-3</v>
      </c>
      <c r="F228" s="250">
        <f>G29</f>
        <v>0</v>
      </c>
      <c r="G228" s="126">
        <f t="shared" si="28"/>
        <v>148</v>
      </c>
      <c r="H228" s="250">
        <f t="shared" si="29"/>
        <v>0</v>
      </c>
      <c r="I228" s="247" t="s">
        <v>162</v>
      </c>
      <c r="J228" s="255"/>
      <c r="K228" s="255"/>
      <c r="L228" s="255"/>
      <c r="M228" s="255"/>
    </row>
    <row r="229" spans="2:13" ht="18" customHeight="1">
      <c r="B229" s="124" t="str">
        <f t="shared" si="26"/>
        <v>6单银Low-E+12A+6</v>
      </c>
      <c r="C229" s="253">
        <f t="shared" si="25"/>
        <v>-90</v>
      </c>
      <c r="D229" s="253">
        <f t="shared" si="25"/>
        <v>-90</v>
      </c>
      <c r="E229" s="32">
        <f t="shared" si="27"/>
        <v>8.0999999999999996E-3</v>
      </c>
      <c r="F229" s="250">
        <f>G30</f>
        <v>0</v>
      </c>
      <c r="G229" s="126">
        <f t="shared" si="28"/>
        <v>148</v>
      </c>
      <c r="H229" s="250">
        <f t="shared" si="29"/>
        <v>0</v>
      </c>
      <c r="I229" s="247" t="s">
        <v>162</v>
      </c>
      <c r="J229" s="123"/>
      <c r="K229" s="123"/>
      <c r="L229" s="123"/>
    </row>
    <row r="230" spans="2:13" ht="18" customHeight="1">
      <c r="B230" s="124" t="str">
        <f t="shared" si="26"/>
        <v>6单银Low-E+12A+6</v>
      </c>
      <c r="C230" s="253">
        <f t="shared" ref="C230:D232" si="30">D101</f>
        <v>-122</v>
      </c>
      <c r="D230" s="253">
        <f t="shared" si="30"/>
        <v>-122</v>
      </c>
      <c r="E230" s="32">
        <f t="shared" si="27"/>
        <v>1.4884E-2</v>
      </c>
      <c r="F230" s="250">
        <f>G101</f>
        <v>0</v>
      </c>
      <c r="G230" s="126">
        <f t="shared" si="28"/>
        <v>148</v>
      </c>
      <c r="H230" s="250">
        <f t="shared" si="29"/>
        <v>0</v>
      </c>
      <c r="I230" s="127" t="s">
        <v>163</v>
      </c>
      <c r="J230" s="123"/>
      <c r="K230" s="123"/>
      <c r="L230" s="123"/>
    </row>
    <row r="231" spans="2:13" ht="18" customHeight="1">
      <c r="B231" s="124" t="str">
        <f t="shared" si="26"/>
        <v>6单银Low-E+12A+6</v>
      </c>
      <c r="C231" s="253">
        <f t="shared" si="30"/>
        <v>-122</v>
      </c>
      <c r="D231" s="253">
        <f t="shared" si="30"/>
        <v>-122</v>
      </c>
      <c r="E231" s="32">
        <f t="shared" si="27"/>
        <v>1.4884E-2</v>
      </c>
      <c r="F231" s="250">
        <f>G102</f>
        <v>0</v>
      </c>
      <c r="G231" s="126">
        <f t="shared" si="28"/>
        <v>148</v>
      </c>
      <c r="H231" s="250">
        <f t="shared" si="29"/>
        <v>0</v>
      </c>
      <c r="I231" s="127" t="s">
        <v>163</v>
      </c>
    </row>
    <row r="232" spans="2:13" ht="18" customHeight="1">
      <c r="B232" s="124" t="str">
        <f t="shared" si="26"/>
        <v>6单银Low-E+12A+6</v>
      </c>
      <c r="C232" s="253">
        <f t="shared" si="30"/>
        <v>-122</v>
      </c>
      <c r="D232" s="253">
        <f t="shared" si="30"/>
        <v>-122</v>
      </c>
      <c r="E232" s="32">
        <f t="shared" si="27"/>
        <v>1.4884E-2</v>
      </c>
      <c r="F232" s="250">
        <f>G103</f>
        <v>0</v>
      </c>
      <c r="G232" s="126">
        <f t="shared" si="28"/>
        <v>148</v>
      </c>
      <c r="H232" s="250">
        <f t="shared" si="29"/>
        <v>0</v>
      </c>
      <c r="I232" s="127" t="s">
        <v>163</v>
      </c>
    </row>
    <row r="233" spans="2:13" ht="18" customHeight="1">
      <c r="B233" s="48" t="s">
        <v>164</v>
      </c>
      <c r="C233" s="52"/>
      <c r="D233" s="50"/>
      <c r="E233" s="128"/>
      <c r="F233" s="50">
        <f>SUM(F225:F232)</f>
        <v>0</v>
      </c>
      <c r="G233" s="50"/>
      <c r="H233" s="52">
        <f>SUM(H225:H232)</f>
        <v>0</v>
      </c>
      <c r="I233" s="53">
        <f>ROUND((E225*F225+E226*F226+E227*F227+E228*F228+E229*F229+E230*F230+E231*F231+E232*F232),2)</f>
        <v>0</v>
      </c>
    </row>
    <row r="234" spans="2:13" ht="18" customHeight="1">
      <c r="B234" s="124" t="str">
        <f>B232</f>
        <v>6单银Low-E+12A+6</v>
      </c>
      <c r="C234" s="253">
        <f>C225</f>
        <v>-90</v>
      </c>
      <c r="D234" s="253">
        <f>D225</f>
        <v>-90</v>
      </c>
      <c r="E234" s="32">
        <f t="shared" si="27"/>
        <v>8.0999999999999996E-3</v>
      </c>
      <c r="F234" s="250">
        <f>IF(F225=0,G26,0)</f>
        <v>0</v>
      </c>
      <c r="G234" s="126">
        <f>G232</f>
        <v>148</v>
      </c>
      <c r="H234" s="250">
        <f t="shared" si="29"/>
        <v>0</v>
      </c>
      <c r="I234" s="247" t="s">
        <v>165</v>
      </c>
      <c r="J234" s="129"/>
    </row>
    <row r="235" spans="2:13" ht="18" customHeight="1">
      <c r="B235" s="124" t="str">
        <f t="shared" ref="B235:B241" si="31">B234</f>
        <v>6单银Low-E+12A+6</v>
      </c>
      <c r="C235" s="253">
        <f t="shared" ref="C235:D241" si="32">C226</f>
        <v>-90</v>
      </c>
      <c r="D235" s="253">
        <f t="shared" si="32"/>
        <v>-90</v>
      </c>
      <c r="E235" s="32">
        <f t="shared" si="27"/>
        <v>8.0999999999999996E-3</v>
      </c>
      <c r="F235" s="250">
        <f>IF(F226=0,G27,0)</f>
        <v>0</v>
      </c>
      <c r="G235" s="126">
        <f>G234</f>
        <v>148</v>
      </c>
      <c r="H235" s="250">
        <f t="shared" si="29"/>
        <v>0</v>
      </c>
      <c r="I235" s="247" t="s">
        <v>165</v>
      </c>
      <c r="J235" s="129"/>
    </row>
    <row r="236" spans="2:13" ht="18" customHeight="1">
      <c r="B236" s="124" t="str">
        <f t="shared" si="31"/>
        <v>6单银Low-E+12A+6</v>
      </c>
      <c r="C236" s="253">
        <f t="shared" si="32"/>
        <v>-90</v>
      </c>
      <c r="D236" s="253">
        <f t="shared" si="32"/>
        <v>-90</v>
      </c>
      <c r="E236" s="32">
        <f t="shared" si="27"/>
        <v>8.0999999999999996E-3</v>
      </c>
      <c r="F236" s="250">
        <f>IF(F227=0,G28,0)</f>
        <v>0</v>
      </c>
      <c r="G236" s="126">
        <f t="shared" ref="G236:G241" si="33">G234</f>
        <v>148</v>
      </c>
      <c r="H236" s="250">
        <f t="shared" si="29"/>
        <v>0</v>
      </c>
      <c r="I236" s="247" t="s">
        <v>165</v>
      </c>
      <c r="J236" s="129"/>
    </row>
    <row r="237" spans="2:13" ht="18" customHeight="1">
      <c r="B237" s="124" t="str">
        <f t="shared" si="31"/>
        <v>6单银Low-E+12A+6</v>
      </c>
      <c r="C237" s="253">
        <f t="shared" si="32"/>
        <v>-90</v>
      </c>
      <c r="D237" s="253">
        <f t="shared" si="32"/>
        <v>-90</v>
      </c>
      <c r="E237" s="32">
        <f t="shared" si="27"/>
        <v>8.0999999999999996E-3</v>
      </c>
      <c r="F237" s="250">
        <f>IF(F228=0,G29,0)</f>
        <v>0</v>
      </c>
      <c r="G237" s="126">
        <f t="shared" si="33"/>
        <v>148</v>
      </c>
      <c r="H237" s="250">
        <f t="shared" si="29"/>
        <v>0</v>
      </c>
      <c r="I237" s="247" t="s">
        <v>165</v>
      </c>
      <c r="J237" s="129"/>
    </row>
    <row r="238" spans="2:13" ht="18" customHeight="1">
      <c r="B238" s="124" t="str">
        <f t="shared" si="31"/>
        <v>6单银Low-E+12A+6</v>
      </c>
      <c r="C238" s="253">
        <f t="shared" si="32"/>
        <v>-90</v>
      </c>
      <c r="D238" s="253">
        <f t="shared" si="32"/>
        <v>-90</v>
      </c>
      <c r="E238" s="32">
        <f t="shared" si="27"/>
        <v>8.0999999999999996E-3</v>
      </c>
      <c r="F238" s="250">
        <f>IF(F229=0,G30,0)</f>
        <v>0</v>
      </c>
      <c r="G238" s="126">
        <f t="shared" si="33"/>
        <v>148</v>
      </c>
      <c r="H238" s="250">
        <f t="shared" si="29"/>
        <v>0</v>
      </c>
      <c r="I238" s="247" t="s">
        <v>165</v>
      </c>
      <c r="J238" s="129"/>
    </row>
    <row r="239" spans="2:13" ht="18" customHeight="1">
      <c r="B239" s="124" t="str">
        <f t="shared" si="31"/>
        <v>6单银Low-E+12A+6</v>
      </c>
      <c r="C239" s="253">
        <f t="shared" si="32"/>
        <v>-122</v>
      </c>
      <c r="D239" s="253">
        <f t="shared" si="32"/>
        <v>-122</v>
      </c>
      <c r="E239" s="32">
        <f t="shared" si="27"/>
        <v>1.4884E-2</v>
      </c>
      <c r="F239" s="250">
        <f>IF(F230=0,G35,0)</f>
        <v>0</v>
      </c>
      <c r="G239" s="126">
        <f t="shared" si="33"/>
        <v>148</v>
      </c>
      <c r="H239" s="250">
        <f t="shared" si="29"/>
        <v>0</v>
      </c>
      <c r="I239" s="127" t="s">
        <v>166</v>
      </c>
      <c r="J239" s="129"/>
    </row>
    <row r="240" spans="2:13" ht="18" customHeight="1">
      <c r="B240" s="124" t="str">
        <f t="shared" si="31"/>
        <v>6单银Low-E+12A+6</v>
      </c>
      <c r="C240" s="253">
        <f t="shared" si="32"/>
        <v>-122</v>
      </c>
      <c r="D240" s="253">
        <f t="shared" si="32"/>
        <v>-122</v>
      </c>
      <c r="E240" s="32">
        <f t="shared" si="27"/>
        <v>1.4884E-2</v>
      </c>
      <c r="F240" s="250">
        <f>IF(F231=0,G36,0)</f>
        <v>0</v>
      </c>
      <c r="G240" s="126">
        <f t="shared" si="33"/>
        <v>148</v>
      </c>
      <c r="H240" s="250">
        <f t="shared" si="29"/>
        <v>0</v>
      </c>
      <c r="I240" s="127" t="s">
        <v>166</v>
      </c>
      <c r="J240" s="129"/>
    </row>
    <row r="241" spans="1:16" ht="18" customHeight="1">
      <c r="B241" s="124" t="str">
        <f t="shared" si="31"/>
        <v>6单银Low-E+12A+6</v>
      </c>
      <c r="C241" s="253">
        <f t="shared" si="32"/>
        <v>-122</v>
      </c>
      <c r="D241" s="253">
        <f t="shared" si="32"/>
        <v>-122</v>
      </c>
      <c r="E241" s="32">
        <f t="shared" si="27"/>
        <v>1.4884E-2</v>
      </c>
      <c r="F241" s="250">
        <f>IF(F232=0,G37,0)</f>
        <v>0</v>
      </c>
      <c r="G241" s="126">
        <f t="shared" si="33"/>
        <v>148</v>
      </c>
      <c r="H241" s="250">
        <f t="shared" si="29"/>
        <v>0</v>
      </c>
      <c r="I241" s="127" t="s">
        <v>166</v>
      </c>
      <c r="J241" s="129"/>
    </row>
    <row r="242" spans="1:16" s="43" customFormat="1" ht="18" customHeight="1">
      <c r="A242" s="1"/>
      <c r="B242" s="48" t="s">
        <v>167</v>
      </c>
      <c r="C242" s="52"/>
      <c r="D242" s="50"/>
      <c r="E242" s="128"/>
      <c r="F242" s="50">
        <f>SUM(F234:F241)</f>
        <v>0</v>
      </c>
      <c r="G242" s="50"/>
      <c r="H242" s="52">
        <f>SUM(H234:H241)</f>
        <v>0</v>
      </c>
      <c r="I242" s="53">
        <f>ROUND(SUMPRODUCT(E234:E241*F234:F241),2)</f>
        <v>0</v>
      </c>
      <c r="J242" s="129"/>
      <c r="N242" s="255"/>
      <c r="O242" s="255"/>
      <c r="P242" s="255"/>
    </row>
    <row r="243" spans="1:16" s="43" customFormat="1" ht="18" customHeight="1">
      <c r="A243" s="1"/>
      <c r="B243" s="124" t="str">
        <f>B240</f>
        <v>6单银Low-E+12A+6</v>
      </c>
      <c r="C243" s="253">
        <f t="shared" ref="C243:D249" si="34">D68-12</f>
        <v>-12</v>
      </c>
      <c r="D243" s="253">
        <f t="shared" si="34"/>
        <v>-12</v>
      </c>
      <c r="E243" s="32">
        <f t="shared" si="27"/>
        <v>1.44E-4</v>
      </c>
      <c r="F243" s="82">
        <f t="shared" ref="F243:F249" si="35">G68</f>
        <v>0</v>
      </c>
      <c r="G243" s="130">
        <f>G241</f>
        <v>148</v>
      </c>
      <c r="H243" s="250">
        <f t="shared" ref="H243:H249" si="36">ROUND(E243*G243*F243,2)</f>
        <v>0</v>
      </c>
      <c r="I243" s="247" t="s">
        <v>168</v>
      </c>
      <c r="J243" s="129"/>
      <c r="N243" s="255"/>
      <c r="O243" s="255"/>
      <c r="P243" s="255"/>
    </row>
    <row r="244" spans="1:16" s="43" customFormat="1" ht="18" customHeight="1">
      <c r="A244" s="1"/>
      <c r="B244" s="124" t="str">
        <f t="shared" ref="B244:B249" si="37">B243</f>
        <v>6单银Low-E+12A+6</v>
      </c>
      <c r="C244" s="253">
        <f t="shared" si="34"/>
        <v>-12</v>
      </c>
      <c r="D244" s="253">
        <f t="shared" si="34"/>
        <v>-12</v>
      </c>
      <c r="E244" s="32">
        <f t="shared" si="27"/>
        <v>1.44E-4</v>
      </c>
      <c r="F244" s="82">
        <f t="shared" si="35"/>
        <v>0</v>
      </c>
      <c r="G244" s="130">
        <f t="shared" ref="G244:G249" si="38">G243</f>
        <v>148</v>
      </c>
      <c r="H244" s="250">
        <f t="shared" si="36"/>
        <v>0</v>
      </c>
      <c r="I244" s="247" t="s">
        <v>168</v>
      </c>
      <c r="J244" s="129"/>
      <c r="N244" s="255"/>
      <c r="O244" s="255"/>
      <c r="P244" s="255"/>
    </row>
    <row r="245" spans="1:16" s="43" customFormat="1" ht="18" customHeight="1">
      <c r="A245" s="1"/>
      <c r="B245" s="124" t="str">
        <f t="shared" si="37"/>
        <v>6单银Low-E+12A+6</v>
      </c>
      <c r="C245" s="253">
        <f t="shared" si="34"/>
        <v>-12</v>
      </c>
      <c r="D245" s="253">
        <f t="shared" si="34"/>
        <v>-12</v>
      </c>
      <c r="E245" s="32">
        <f t="shared" si="27"/>
        <v>1.44E-4</v>
      </c>
      <c r="F245" s="82">
        <f t="shared" si="35"/>
        <v>0</v>
      </c>
      <c r="G245" s="130">
        <f t="shared" si="38"/>
        <v>148</v>
      </c>
      <c r="H245" s="250">
        <f t="shared" si="36"/>
        <v>0</v>
      </c>
      <c r="I245" s="247" t="s">
        <v>168</v>
      </c>
      <c r="J245" s="129"/>
      <c r="N245" s="255"/>
      <c r="O245" s="255"/>
      <c r="P245" s="255"/>
    </row>
    <row r="246" spans="1:16" s="43" customFormat="1" ht="18" customHeight="1">
      <c r="A246" s="1"/>
      <c r="B246" s="124" t="str">
        <f t="shared" si="37"/>
        <v>6单银Low-E+12A+6</v>
      </c>
      <c r="C246" s="253">
        <f t="shared" si="34"/>
        <v>-12</v>
      </c>
      <c r="D246" s="253">
        <f t="shared" si="34"/>
        <v>-12</v>
      </c>
      <c r="E246" s="32">
        <f t="shared" si="27"/>
        <v>1.44E-4</v>
      </c>
      <c r="F246" s="82">
        <f t="shared" si="35"/>
        <v>0</v>
      </c>
      <c r="G246" s="130">
        <f t="shared" si="38"/>
        <v>148</v>
      </c>
      <c r="H246" s="250">
        <f t="shared" si="36"/>
        <v>0</v>
      </c>
      <c r="I246" s="247" t="s">
        <v>168</v>
      </c>
      <c r="J246" s="129"/>
      <c r="N246" s="255"/>
      <c r="O246" s="255"/>
      <c r="P246" s="255"/>
    </row>
    <row r="247" spans="1:16" s="43" customFormat="1" ht="18" customHeight="1">
      <c r="A247" s="1"/>
      <c r="B247" s="124" t="str">
        <f t="shared" si="37"/>
        <v>6单银Low-E+12A+6</v>
      </c>
      <c r="C247" s="253">
        <f t="shared" si="34"/>
        <v>-12</v>
      </c>
      <c r="D247" s="253">
        <f t="shared" si="34"/>
        <v>-12</v>
      </c>
      <c r="E247" s="32">
        <f t="shared" si="27"/>
        <v>1.44E-4</v>
      </c>
      <c r="F247" s="82">
        <f t="shared" si="35"/>
        <v>0</v>
      </c>
      <c r="G247" s="130">
        <f t="shared" si="38"/>
        <v>148</v>
      </c>
      <c r="H247" s="250">
        <f t="shared" si="36"/>
        <v>0</v>
      </c>
      <c r="I247" s="247" t="s">
        <v>168</v>
      </c>
      <c r="J247" s="129"/>
      <c r="N247" s="255"/>
      <c r="O247" s="255"/>
      <c r="P247" s="255"/>
    </row>
    <row r="248" spans="1:16" s="43" customFormat="1" ht="18" customHeight="1">
      <c r="A248" s="1"/>
      <c r="B248" s="124" t="str">
        <f t="shared" si="37"/>
        <v>6单银Low-E+12A+6</v>
      </c>
      <c r="C248" s="253">
        <f t="shared" si="34"/>
        <v>-12</v>
      </c>
      <c r="D248" s="253">
        <f t="shared" si="34"/>
        <v>-12</v>
      </c>
      <c r="E248" s="32">
        <f t="shared" si="27"/>
        <v>1.44E-4</v>
      </c>
      <c r="F248" s="82">
        <f t="shared" si="35"/>
        <v>0</v>
      </c>
      <c r="G248" s="130">
        <f t="shared" si="38"/>
        <v>148</v>
      </c>
      <c r="H248" s="250">
        <f t="shared" si="36"/>
        <v>0</v>
      </c>
      <c r="I248" s="247" t="s">
        <v>168</v>
      </c>
      <c r="J248" s="129"/>
      <c r="N248" s="255"/>
      <c r="O248" s="255"/>
      <c r="P248" s="255"/>
    </row>
    <row r="249" spans="1:16" s="43" customFormat="1" ht="18" customHeight="1">
      <c r="A249" s="1"/>
      <c r="B249" s="124" t="str">
        <f t="shared" si="37"/>
        <v>6单银Low-E+12A+6</v>
      </c>
      <c r="C249" s="253">
        <f t="shared" si="34"/>
        <v>-12</v>
      </c>
      <c r="D249" s="253">
        <f t="shared" si="34"/>
        <v>-12</v>
      </c>
      <c r="E249" s="32">
        <f t="shared" si="27"/>
        <v>1.44E-4</v>
      </c>
      <c r="F249" s="82">
        <f t="shared" si="35"/>
        <v>0</v>
      </c>
      <c r="G249" s="130">
        <f t="shared" si="38"/>
        <v>148</v>
      </c>
      <c r="H249" s="250">
        <f t="shared" si="36"/>
        <v>0</v>
      </c>
      <c r="I249" s="247" t="s">
        <v>168</v>
      </c>
      <c r="J249" s="129"/>
      <c r="N249" s="255"/>
      <c r="O249" s="255"/>
      <c r="P249" s="255"/>
    </row>
    <row r="250" spans="1:16" s="43" customFormat="1" ht="18" customHeight="1">
      <c r="A250" s="1"/>
      <c r="B250" s="131" t="str">
        <f>B246</f>
        <v>6单银Low-E+12A+6</v>
      </c>
      <c r="C250" s="52"/>
      <c r="D250" s="50"/>
      <c r="E250" s="128"/>
      <c r="F250" s="50">
        <f>SUM(F243:F249)</f>
        <v>0</v>
      </c>
      <c r="G250" s="50"/>
      <c r="H250" s="52">
        <f>SUM(H243:H249)</f>
        <v>0</v>
      </c>
      <c r="I250" s="53">
        <f>ROUND((E243*F243+E244*F244+E245*F245+E246*F246+E247*F247+E248*F248+E249*F249),2)</f>
        <v>0</v>
      </c>
      <c r="J250" s="43">
        <f>(I242+I258+I273+I280)</f>
        <v>0</v>
      </c>
      <c r="N250" s="255"/>
      <c r="O250" s="255"/>
      <c r="P250" s="255"/>
    </row>
    <row r="251" spans="1:16" s="43" customFormat="1" ht="18" customHeight="1">
      <c r="A251" s="1"/>
      <c r="B251" s="124" t="str">
        <f>B249</f>
        <v>6单银Low-E+12A+6</v>
      </c>
      <c r="C251" s="253">
        <f t="shared" ref="C251:D257" si="39">D75-12</f>
        <v>-12</v>
      </c>
      <c r="D251" s="253">
        <f t="shared" si="39"/>
        <v>-12</v>
      </c>
      <c r="E251" s="32">
        <f t="shared" si="27"/>
        <v>1.44E-4</v>
      </c>
      <c r="F251" s="82">
        <f t="shared" ref="F251:F257" si="40">G75</f>
        <v>0</v>
      </c>
      <c r="G251" s="130">
        <f>G249</f>
        <v>148</v>
      </c>
      <c r="H251" s="250">
        <f>ROUND(E251*G251*F251,2)</f>
        <v>0</v>
      </c>
      <c r="I251" s="132" t="s">
        <v>169</v>
      </c>
      <c r="N251" s="255"/>
      <c r="O251" s="255"/>
      <c r="P251" s="255"/>
    </row>
    <row r="252" spans="1:16" s="43" customFormat="1" ht="18" customHeight="1">
      <c r="A252" s="1"/>
      <c r="B252" s="124" t="str">
        <f t="shared" ref="B252:B257" si="41">B251</f>
        <v>6单银Low-E+12A+6</v>
      </c>
      <c r="C252" s="253">
        <f t="shared" si="39"/>
        <v>-12</v>
      </c>
      <c r="D252" s="253">
        <f t="shared" si="39"/>
        <v>-12</v>
      </c>
      <c r="E252" s="32">
        <f t="shared" si="27"/>
        <v>1.44E-4</v>
      </c>
      <c r="F252" s="82">
        <f t="shared" si="40"/>
        <v>0</v>
      </c>
      <c r="G252" s="130">
        <f t="shared" ref="G252:G257" si="42">G251</f>
        <v>148</v>
      </c>
      <c r="H252" s="250">
        <f t="shared" ref="H252:H264" si="43">ROUND(E252*G252*F252,2)</f>
        <v>0</v>
      </c>
      <c r="I252" s="132" t="str">
        <f t="shared" ref="I252:I257" si="44">I251</f>
        <v>固定钢化中空</v>
      </c>
      <c r="N252" s="255"/>
      <c r="O252" s="255"/>
      <c r="P252" s="255"/>
    </row>
    <row r="253" spans="1:16" s="43" customFormat="1" ht="18" customHeight="1">
      <c r="A253" s="1"/>
      <c r="B253" s="124" t="str">
        <f t="shared" si="41"/>
        <v>6单银Low-E+12A+6</v>
      </c>
      <c r="C253" s="253">
        <f t="shared" si="39"/>
        <v>-12</v>
      </c>
      <c r="D253" s="253">
        <f t="shared" si="39"/>
        <v>-12</v>
      </c>
      <c r="E253" s="32">
        <f t="shared" si="27"/>
        <v>1.44E-4</v>
      </c>
      <c r="F253" s="82">
        <f t="shared" si="40"/>
        <v>0</v>
      </c>
      <c r="G253" s="130">
        <f t="shared" si="42"/>
        <v>148</v>
      </c>
      <c r="H253" s="250">
        <f t="shared" si="43"/>
        <v>0</v>
      </c>
      <c r="I253" s="132" t="str">
        <f t="shared" si="44"/>
        <v>固定钢化中空</v>
      </c>
      <c r="N253" s="255"/>
      <c r="O253" s="255"/>
      <c r="P253" s="255"/>
    </row>
    <row r="254" spans="1:16" s="43" customFormat="1" ht="18" customHeight="1">
      <c r="A254" s="1"/>
      <c r="B254" s="124" t="str">
        <f t="shared" si="41"/>
        <v>6单银Low-E+12A+6</v>
      </c>
      <c r="C254" s="253">
        <f t="shared" si="39"/>
        <v>-12</v>
      </c>
      <c r="D254" s="253">
        <f t="shared" si="39"/>
        <v>-12</v>
      </c>
      <c r="E254" s="32">
        <f t="shared" si="27"/>
        <v>1.44E-4</v>
      </c>
      <c r="F254" s="82">
        <f t="shared" si="40"/>
        <v>0</v>
      </c>
      <c r="G254" s="130">
        <f t="shared" si="42"/>
        <v>148</v>
      </c>
      <c r="H254" s="250">
        <f t="shared" si="43"/>
        <v>0</v>
      </c>
      <c r="I254" s="132" t="str">
        <f t="shared" si="44"/>
        <v>固定钢化中空</v>
      </c>
      <c r="J254" s="42"/>
      <c r="N254" s="255"/>
      <c r="O254" s="255"/>
      <c r="P254" s="255"/>
    </row>
    <row r="255" spans="1:16" s="43" customFormat="1" ht="18" customHeight="1">
      <c r="A255" s="1"/>
      <c r="B255" s="124" t="str">
        <f t="shared" si="41"/>
        <v>6单银Low-E+12A+6</v>
      </c>
      <c r="C255" s="253">
        <f t="shared" si="39"/>
        <v>-12</v>
      </c>
      <c r="D255" s="253">
        <f t="shared" si="39"/>
        <v>-12</v>
      </c>
      <c r="E255" s="32">
        <f t="shared" si="27"/>
        <v>1.44E-4</v>
      </c>
      <c r="F255" s="82">
        <f t="shared" si="40"/>
        <v>0</v>
      </c>
      <c r="G255" s="130">
        <f t="shared" si="42"/>
        <v>148</v>
      </c>
      <c r="H255" s="250">
        <f t="shared" si="43"/>
        <v>0</v>
      </c>
      <c r="I255" s="132" t="str">
        <f t="shared" si="44"/>
        <v>固定钢化中空</v>
      </c>
      <c r="N255" s="255"/>
      <c r="O255" s="255"/>
      <c r="P255" s="255"/>
    </row>
    <row r="256" spans="1:16" s="43" customFormat="1" ht="18" customHeight="1">
      <c r="A256" s="1"/>
      <c r="B256" s="124" t="str">
        <f t="shared" si="41"/>
        <v>6单银Low-E+12A+6</v>
      </c>
      <c r="C256" s="253">
        <f t="shared" si="39"/>
        <v>-12</v>
      </c>
      <c r="D256" s="253">
        <f t="shared" si="39"/>
        <v>-12</v>
      </c>
      <c r="E256" s="32">
        <f t="shared" si="27"/>
        <v>1.44E-4</v>
      </c>
      <c r="F256" s="82">
        <f t="shared" si="40"/>
        <v>0</v>
      </c>
      <c r="G256" s="130">
        <f t="shared" si="42"/>
        <v>148</v>
      </c>
      <c r="H256" s="250">
        <f t="shared" si="43"/>
        <v>0</v>
      </c>
      <c r="I256" s="132" t="str">
        <f t="shared" si="44"/>
        <v>固定钢化中空</v>
      </c>
      <c r="N256" s="255"/>
      <c r="O256" s="255"/>
      <c r="P256" s="255"/>
    </row>
    <row r="257" spans="1:16" s="43" customFormat="1" ht="18" customHeight="1">
      <c r="A257" s="1"/>
      <c r="B257" s="124" t="str">
        <f t="shared" si="41"/>
        <v>6单银Low-E+12A+6</v>
      </c>
      <c r="C257" s="253">
        <f t="shared" si="39"/>
        <v>-12</v>
      </c>
      <c r="D257" s="253">
        <f t="shared" si="39"/>
        <v>-12</v>
      </c>
      <c r="E257" s="32">
        <f t="shared" si="27"/>
        <v>1.44E-4</v>
      </c>
      <c r="F257" s="82">
        <f t="shared" si="40"/>
        <v>0</v>
      </c>
      <c r="G257" s="130">
        <f t="shared" si="42"/>
        <v>148</v>
      </c>
      <c r="H257" s="250">
        <f t="shared" si="43"/>
        <v>0</v>
      </c>
      <c r="I257" s="132" t="str">
        <f t="shared" si="44"/>
        <v>固定钢化中空</v>
      </c>
      <c r="N257" s="255"/>
      <c r="O257" s="255"/>
      <c r="P257" s="255"/>
    </row>
    <row r="258" spans="1:16" s="43" customFormat="1" ht="18" customHeight="1">
      <c r="A258" s="1"/>
      <c r="B258" s="48" t="s">
        <v>170</v>
      </c>
      <c r="C258" s="52"/>
      <c r="D258" s="50"/>
      <c r="E258" s="128"/>
      <c r="F258" s="50">
        <f>SUM(F251:F257)</f>
        <v>0</v>
      </c>
      <c r="G258" s="50"/>
      <c r="H258" s="52">
        <f>SUM(H251:H257)</f>
        <v>0</v>
      </c>
      <c r="I258" s="53">
        <f>ROUND((E251*F251+E252*F252+E253*F253+E254*F254+E255*F255+E256*F256+E257*F257),2)</f>
        <v>0</v>
      </c>
      <c r="N258" s="255"/>
      <c r="O258" s="255"/>
      <c r="P258" s="255"/>
    </row>
    <row r="259" spans="1:16" s="43" customFormat="1" ht="18" customHeight="1">
      <c r="A259" s="1"/>
      <c r="B259" s="124" t="str">
        <f>B257</f>
        <v>6单银Low-E+12A+6</v>
      </c>
      <c r="C259" s="253">
        <f t="shared" ref="C259:D264" si="45">D82-12</f>
        <v>-12</v>
      </c>
      <c r="D259" s="253">
        <f t="shared" si="45"/>
        <v>-12</v>
      </c>
      <c r="E259" s="32">
        <f t="shared" si="27"/>
        <v>1.44E-4</v>
      </c>
      <c r="F259" s="82">
        <f t="shared" ref="F259:F264" si="46">G82</f>
        <v>0</v>
      </c>
      <c r="G259" s="130">
        <f>G257</f>
        <v>148</v>
      </c>
      <c r="H259" s="250">
        <f t="shared" si="43"/>
        <v>0</v>
      </c>
      <c r="I259" s="247" t="s">
        <v>171</v>
      </c>
      <c r="N259" s="255"/>
      <c r="O259" s="255"/>
      <c r="P259" s="255"/>
    </row>
    <row r="260" spans="1:16" s="43" customFormat="1" ht="18" customHeight="1">
      <c r="A260" s="1"/>
      <c r="B260" s="124" t="str">
        <f>B259</f>
        <v>6单银Low-E+12A+6</v>
      </c>
      <c r="C260" s="253">
        <f t="shared" si="45"/>
        <v>-12</v>
      </c>
      <c r="D260" s="253">
        <f t="shared" si="45"/>
        <v>-12</v>
      </c>
      <c r="E260" s="32">
        <f t="shared" si="27"/>
        <v>1.44E-4</v>
      </c>
      <c r="F260" s="82">
        <f t="shared" si="46"/>
        <v>0</v>
      </c>
      <c r="G260" s="130">
        <f>G259</f>
        <v>148</v>
      </c>
      <c r="H260" s="250">
        <f t="shared" si="43"/>
        <v>0</v>
      </c>
      <c r="I260" s="247" t="s">
        <v>171</v>
      </c>
      <c r="N260" s="255"/>
      <c r="O260" s="255"/>
      <c r="P260" s="255"/>
    </row>
    <row r="261" spans="1:16" s="43" customFormat="1" ht="18" customHeight="1">
      <c r="A261" s="1"/>
      <c r="B261" s="124" t="str">
        <f>B260</f>
        <v>6单银Low-E+12A+6</v>
      </c>
      <c r="C261" s="253">
        <f t="shared" si="45"/>
        <v>-12</v>
      </c>
      <c r="D261" s="253">
        <f t="shared" si="45"/>
        <v>-12</v>
      </c>
      <c r="E261" s="32">
        <f t="shared" si="27"/>
        <v>1.44E-4</v>
      </c>
      <c r="F261" s="82">
        <f t="shared" si="46"/>
        <v>0</v>
      </c>
      <c r="G261" s="130">
        <f>G260</f>
        <v>148</v>
      </c>
      <c r="H261" s="250">
        <f t="shared" si="43"/>
        <v>0</v>
      </c>
      <c r="I261" s="247" t="s">
        <v>171</v>
      </c>
      <c r="N261" s="255"/>
      <c r="O261" s="255"/>
      <c r="P261" s="255"/>
    </row>
    <row r="262" spans="1:16" s="43" customFormat="1" ht="18" customHeight="1">
      <c r="A262" s="1"/>
      <c r="B262" s="124" t="str">
        <f>B261</f>
        <v>6单银Low-E+12A+6</v>
      </c>
      <c r="C262" s="253">
        <f t="shared" si="45"/>
        <v>-12</v>
      </c>
      <c r="D262" s="253">
        <f t="shared" si="45"/>
        <v>-12</v>
      </c>
      <c r="E262" s="32">
        <f t="shared" si="27"/>
        <v>1.44E-4</v>
      </c>
      <c r="F262" s="82">
        <f t="shared" si="46"/>
        <v>0</v>
      </c>
      <c r="G262" s="130">
        <f>G261</f>
        <v>148</v>
      </c>
      <c r="H262" s="250">
        <f t="shared" si="43"/>
        <v>0</v>
      </c>
      <c r="I262" s="247" t="s">
        <v>171</v>
      </c>
      <c r="N262" s="255"/>
      <c r="O262" s="255"/>
      <c r="P262" s="255"/>
    </row>
    <row r="263" spans="1:16" s="43" customFormat="1" ht="18" customHeight="1">
      <c r="A263" s="1"/>
      <c r="B263" s="124" t="str">
        <f>B262</f>
        <v>6单银Low-E+12A+6</v>
      </c>
      <c r="C263" s="253">
        <f t="shared" si="45"/>
        <v>-12</v>
      </c>
      <c r="D263" s="253">
        <f t="shared" si="45"/>
        <v>-12</v>
      </c>
      <c r="E263" s="32">
        <f t="shared" si="27"/>
        <v>1.44E-4</v>
      </c>
      <c r="F263" s="82">
        <f t="shared" si="46"/>
        <v>0</v>
      </c>
      <c r="G263" s="130">
        <f>G262</f>
        <v>148</v>
      </c>
      <c r="H263" s="250">
        <f t="shared" si="43"/>
        <v>0</v>
      </c>
      <c r="I263" s="247" t="s">
        <v>171</v>
      </c>
      <c r="N263" s="255"/>
      <c r="O263" s="255"/>
      <c r="P263" s="255"/>
    </row>
    <row r="264" spans="1:16" s="43" customFormat="1" ht="18" customHeight="1">
      <c r="A264" s="1"/>
      <c r="B264" s="124" t="str">
        <f>B263</f>
        <v>6单银Low-E+12A+6</v>
      </c>
      <c r="C264" s="253">
        <f t="shared" si="45"/>
        <v>-12</v>
      </c>
      <c r="D264" s="253">
        <f t="shared" si="45"/>
        <v>-12</v>
      </c>
      <c r="E264" s="32">
        <f t="shared" si="27"/>
        <v>1.44E-4</v>
      </c>
      <c r="F264" s="82">
        <f t="shared" si="46"/>
        <v>0</v>
      </c>
      <c r="G264" s="130">
        <f>G263</f>
        <v>148</v>
      </c>
      <c r="H264" s="250">
        <f t="shared" si="43"/>
        <v>0</v>
      </c>
      <c r="I264" s="247" t="s">
        <v>171</v>
      </c>
      <c r="N264" s="255"/>
      <c r="O264" s="255"/>
      <c r="P264" s="255"/>
    </row>
    <row r="265" spans="1:16" s="43" customFormat="1" ht="18" customHeight="1">
      <c r="A265" s="1"/>
      <c r="B265" s="48" t="s">
        <v>172</v>
      </c>
      <c r="C265" s="52"/>
      <c r="D265" s="50"/>
      <c r="E265" s="128"/>
      <c r="F265" s="50">
        <f>SUM(F259:F264)</f>
        <v>0</v>
      </c>
      <c r="G265" s="50"/>
      <c r="H265" s="52">
        <f>SUM(H259:H264)</f>
        <v>0</v>
      </c>
      <c r="I265" s="53">
        <f>ROUND(SUMPRODUCT(E259:E264*F259:F264),2)</f>
        <v>0</v>
      </c>
      <c r="N265" s="255"/>
      <c r="O265" s="255"/>
      <c r="P265" s="255"/>
    </row>
    <row r="266" spans="1:16" s="43" customFormat="1" ht="18" customHeight="1">
      <c r="A266" s="1"/>
      <c r="B266" s="124" t="str">
        <f>B264</f>
        <v>6单银Low-E+12A+6</v>
      </c>
      <c r="C266" s="133">
        <f t="shared" ref="C266:D268" si="47">D143</f>
        <v>1005</v>
      </c>
      <c r="D266" s="133">
        <f t="shared" si="47"/>
        <v>2493</v>
      </c>
      <c r="E266" s="32">
        <f t="shared" si="27"/>
        <v>2.5054650000000001</v>
      </c>
      <c r="F266" s="134">
        <f>G143</f>
        <v>2</v>
      </c>
      <c r="G266" s="135">
        <f>G264</f>
        <v>148</v>
      </c>
      <c r="H266" s="134">
        <f>ROUND(E266*G266*F266,2)</f>
        <v>741.62</v>
      </c>
      <c r="I266" s="136" t="s">
        <v>173</v>
      </c>
      <c r="N266" s="255"/>
      <c r="O266" s="255"/>
      <c r="P266" s="255"/>
    </row>
    <row r="267" spans="1:16" s="43" customFormat="1" ht="18" customHeight="1">
      <c r="A267" s="1"/>
      <c r="B267" s="124" t="str">
        <f>B264</f>
        <v>6单银Low-E+12A+6</v>
      </c>
      <c r="C267" s="133">
        <f t="shared" si="47"/>
        <v>-154</v>
      </c>
      <c r="D267" s="133">
        <f t="shared" si="47"/>
        <v>-154</v>
      </c>
      <c r="E267" s="32">
        <f t="shared" si="27"/>
        <v>2.3716000000000001E-2</v>
      </c>
      <c r="F267" s="134">
        <f>G144</f>
        <v>0</v>
      </c>
      <c r="G267" s="135">
        <f>G266</f>
        <v>148</v>
      </c>
      <c r="H267" s="134">
        <f>ROUND(E267*G267*F267,2)</f>
        <v>0</v>
      </c>
      <c r="I267" s="136" t="s">
        <v>173</v>
      </c>
      <c r="N267" s="255"/>
      <c r="O267" s="255"/>
      <c r="P267" s="255"/>
    </row>
    <row r="268" spans="1:16" s="43" customFormat="1" ht="18" customHeight="1">
      <c r="A268" s="1"/>
      <c r="B268" s="124" t="str">
        <f>B267</f>
        <v>6单银Low-E+12A+6</v>
      </c>
      <c r="C268" s="133">
        <f t="shared" si="47"/>
        <v>-154</v>
      </c>
      <c r="D268" s="133">
        <f t="shared" si="47"/>
        <v>-154</v>
      </c>
      <c r="E268" s="32">
        <f t="shared" si="27"/>
        <v>2.3716000000000001E-2</v>
      </c>
      <c r="F268" s="134">
        <f>G145</f>
        <v>0</v>
      </c>
      <c r="G268" s="135">
        <f>G267</f>
        <v>148</v>
      </c>
      <c r="H268" s="134">
        <f>ROUND(E268*G268*F268,2)</f>
        <v>0</v>
      </c>
      <c r="I268" s="136" t="s">
        <v>173</v>
      </c>
      <c r="N268" s="255"/>
      <c r="O268" s="255"/>
      <c r="P268" s="255"/>
    </row>
    <row r="269" spans="1:16" s="43" customFormat="1" ht="18" customHeight="1">
      <c r="A269" s="1"/>
      <c r="B269" s="48" t="s">
        <v>174</v>
      </c>
      <c r="C269" s="52"/>
      <c r="D269" s="50"/>
      <c r="E269" s="128"/>
      <c r="F269" s="50">
        <f>SUM(F266:F268)</f>
        <v>2</v>
      </c>
      <c r="G269" s="50"/>
      <c r="H269" s="52">
        <f>SUM(H266:H268)</f>
        <v>741.62</v>
      </c>
      <c r="I269" s="53">
        <f>ROUND((E266*F266+E267*F267+E268*F268),2)</f>
        <v>5.01</v>
      </c>
      <c r="N269" s="255"/>
      <c r="O269" s="255"/>
      <c r="P269" s="255"/>
    </row>
    <row r="270" spans="1:16" s="43" customFormat="1" ht="18" customHeight="1">
      <c r="A270" s="1"/>
      <c r="B270" s="124" t="str">
        <f>B268</f>
        <v>6单银Low-E+12A+6</v>
      </c>
      <c r="C270" s="133">
        <f t="shared" ref="C270:D272" si="48">D150</f>
        <v>-160</v>
      </c>
      <c r="D270" s="133">
        <f t="shared" si="48"/>
        <v>-160</v>
      </c>
      <c r="E270" s="32">
        <f t="shared" si="27"/>
        <v>2.5600000000000001E-2</v>
      </c>
      <c r="F270" s="134">
        <f>G150</f>
        <v>0</v>
      </c>
      <c r="G270" s="135">
        <f>G268</f>
        <v>148</v>
      </c>
      <c r="H270" s="134">
        <f>ROUND(E270*G270*F270,2)</f>
        <v>0</v>
      </c>
      <c r="I270" s="136" t="s">
        <v>173</v>
      </c>
      <c r="N270" s="255"/>
      <c r="O270" s="255"/>
      <c r="P270" s="255"/>
    </row>
    <row r="271" spans="1:16" s="43" customFormat="1" ht="18" customHeight="1">
      <c r="A271" s="1"/>
      <c r="B271" s="124" t="str">
        <f>B270</f>
        <v>6单银Low-E+12A+6</v>
      </c>
      <c r="C271" s="133">
        <f t="shared" si="48"/>
        <v>-160</v>
      </c>
      <c r="D271" s="133">
        <f t="shared" si="48"/>
        <v>-160</v>
      </c>
      <c r="E271" s="32">
        <f t="shared" si="27"/>
        <v>2.5600000000000001E-2</v>
      </c>
      <c r="F271" s="134">
        <f>G151</f>
        <v>0</v>
      </c>
      <c r="G271" s="135">
        <f>G270</f>
        <v>148</v>
      </c>
      <c r="H271" s="134">
        <f>ROUND(E271*G271*F271,2)</f>
        <v>0</v>
      </c>
      <c r="I271" s="136" t="s">
        <v>173</v>
      </c>
      <c r="N271" s="255"/>
      <c r="O271" s="255"/>
      <c r="P271" s="255"/>
    </row>
    <row r="272" spans="1:16" s="43" customFormat="1" ht="18" customHeight="1">
      <c r="A272" s="1"/>
      <c r="B272" s="124" t="str">
        <f>B271</f>
        <v>6单银Low-E+12A+6</v>
      </c>
      <c r="C272" s="133">
        <f t="shared" si="48"/>
        <v>-160</v>
      </c>
      <c r="D272" s="133">
        <f t="shared" si="48"/>
        <v>-160</v>
      </c>
      <c r="E272" s="32">
        <f t="shared" si="27"/>
        <v>2.5600000000000001E-2</v>
      </c>
      <c r="F272" s="134">
        <f>G152</f>
        <v>0</v>
      </c>
      <c r="G272" s="135">
        <f>G271</f>
        <v>148</v>
      </c>
      <c r="H272" s="134">
        <f>ROUND(E272*G272*F272,2)</f>
        <v>0</v>
      </c>
      <c r="I272" s="136" t="s">
        <v>173</v>
      </c>
      <c r="N272" s="255"/>
      <c r="O272" s="255"/>
      <c r="P272" s="255"/>
    </row>
    <row r="273" spans="1:16" s="43" customFormat="1" ht="18" customHeight="1">
      <c r="A273" s="1"/>
      <c r="B273" s="48" t="s">
        <v>175</v>
      </c>
      <c r="C273" s="52"/>
      <c r="D273" s="50"/>
      <c r="E273" s="128"/>
      <c r="F273" s="50">
        <f>SUM(F270:F272)</f>
        <v>0</v>
      </c>
      <c r="G273" s="50"/>
      <c r="H273" s="52">
        <f>SUM(H270:H272)</f>
        <v>0</v>
      </c>
      <c r="I273" s="53">
        <f>ROUND((E270*F270+E271*F271+E272*F272),2)</f>
        <v>0</v>
      </c>
      <c r="N273" s="255"/>
      <c r="O273" s="255"/>
      <c r="P273" s="255"/>
    </row>
    <row r="274" spans="1:16" ht="18" customHeight="1">
      <c r="B274" s="124" t="str">
        <f>B272</f>
        <v>6单银Low-E+12A+6</v>
      </c>
      <c r="C274" s="133">
        <f t="shared" ref="C274:D279" si="49">D157-12</f>
        <v>-12</v>
      </c>
      <c r="D274" s="133">
        <f t="shared" si="49"/>
        <v>-12</v>
      </c>
      <c r="E274" s="32">
        <f t="shared" si="27"/>
        <v>1.44E-4</v>
      </c>
      <c r="F274" s="134">
        <f t="shared" ref="F274:F279" si="50">G157</f>
        <v>0</v>
      </c>
      <c r="G274" s="135">
        <f>G272</f>
        <v>148</v>
      </c>
      <c r="H274" s="134">
        <f t="shared" ref="H274:H279" si="51">ROUND(E274*G274*F274,2)</f>
        <v>0</v>
      </c>
      <c r="I274" s="136" t="s">
        <v>176</v>
      </c>
    </row>
    <row r="275" spans="1:16" ht="18" customHeight="1">
      <c r="B275" s="124" t="str">
        <f>B274</f>
        <v>6单银Low-E+12A+6</v>
      </c>
      <c r="C275" s="133">
        <f t="shared" si="49"/>
        <v>-12</v>
      </c>
      <c r="D275" s="133">
        <f t="shared" si="49"/>
        <v>-12</v>
      </c>
      <c r="E275" s="32">
        <f t="shared" si="27"/>
        <v>1.44E-4</v>
      </c>
      <c r="F275" s="134">
        <f t="shared" si="50"/>
        <v>0</v>
      </c>
      <c r="G275" s="135">
        <f>G274</f>
        <v>148</v>
      </c>
      <c r="H275" s="134">
        <f t="shared" si="51"/>
        <v>0</v>
      </c>
      <c r="I275" s="136" t="str">
        <f>I274</f>
        <v>门钢化中空玻璃</v>
      </c>
      <c r="K275" s="43" t="s">
        <v>177</v>
      </c>
    </row>
    <row r="276" spans="1:16" ht="18" customHeight="1">
      <c r="B276" s="124" t="str">
        <f>B275</f>
        <v>6单银Low-E+12A+6</v>
      </c>
      <c r="C276" s="133">
        <f t="shared" si="49"/>
        <v>-12</v>
      </c>
      <c r="D276" s="133">
        <f t="shared" si="49"/>
        <v>-12</v>
      </c>
      <c r="E276" s="32">
        <f t="shared" si="27"/>
        <v>1.44E-4</v>
      </c>
      <c r="F276" s="134">
        <f t="shared" si="50"/>
        <v>0</v>
      </c>
      <c r="G276" s="135">
        <f>G275</f>
        <v>148</v>
      </c>
      <c r="H276" s="134">
        <f t="shared" si="51"/>
        <v>0</v>
      </c>
      <c r="I276" s="136" t="str">
        <f>I275</f>
        <v>门钢化中空玻璃</v>
      </c>
    </row>
    <row r="277" spans="1:16" ht="18" customHeight="1">
      <c r="B277" s="124" t="str">
        <f>B276</f>
        <v>6单银Low-E+12A+6</v>
      </c>
      <c r="C277" s="133">
        <f t="shared" si="49"/>
        <v>-12</v>
      </c>
      <c r="D277" s="133">
        <f t="shared" si="49"/>
        <v>-12</v>
      </c>
      <c r="E277" s="32">
        <f t="shared" si="27"/>
        <v>1.44E-4</v>
      </c>
      <c r="F277" s="134">
        <f t="shared" si="50"/>
        <v>0</v>
      </c>
      <c r="G277" s="135">
        <f>G276</f>
        <v>148</v>
      </c>
      <c r="H277" s="134">
        <f t="shared" si="51"/>
        <v>0</v>
      </c>
      <c r="I277" s="136" t="str">
        <f>I276</f>
        <v>门钢化中空玻璃</v>
      </c>
    </row>
    <row r="278" spans="1:16" ht="18" customHeight="1">
      <c r="B278" s="124" t="str">
        <f>B277</f>
        <v>6单银Low-E+12A+6</v>
      </c>
      <c r="C278" s="133">
        <f t="shared" si="49"/>
        <v>-12</v>
      </c>
      <c r="D278" s="133">
        <f t="shared" si="49"/>
        <v>-12</v>
      </c>
      <c r="E278" s="32">
        <f t="shared" si="27"/>
        <v>1.44E-4</v>
      </c>
      <c r="F278" s="134">
        <f t="shared" si="50"/>
        <v>0</v>
      </c>
      <c r="G278" s="135">
        <f>G277</f>
        <v>148</v>
      </c>
      <c r="H278" s="134">
        <f t="shared" si="51"/>
        <v>0</v>
      </c>
      <c r="I278" s="136" t="str">
        <f>I277</f>
        <v>门钢化中空玻璃</v>
      </c>
    </row>
    <row r="279" spans="1:16" ht="18" customHeight="1">
      <c r="B279" s="124" t="str">
        <f>B278</f>
        <v>6单银Low-E+12A+6</v>
      </c>
      <c r="C279" s="133">
        <f t="shared" si="49"/>
        <v>-12</v>
      </c>
      <c r="D279" s="133">
        <f t="shared" si="49"/>
        <v>-12</v>
      </c>
      <c r="E279" s="32">
        <f t="shared" si="27"/>
        <v>1.44E-4</v>
      </c>
      <c r="F279" s="134">
        <f t="shared" si="50"/>
        <v>0</v>
      </c>
      <c r="G279" s="135">
        <f>G278</f>
        <v>148</v>
      </c>
      <c r="H279" s="134">
        <f t="shared" si="51"/>
        <v>0</v>
      </c>
      <c r="I279" s="136" t="str">
        <f>I278</f>
        <v>门钢化中空玻璃</v>
      </c>
    </row>
    <row r="280" spans="1:16" ht="18" customHeight="1">
      <c r="B280" s="48" t="s">
        <v>178</v>
      </c>
      <c r="C280" s="52"/>
      <c r="D280" s="50"/>
      <c r="E280" s="128"/>
      <c r="F280" s="50">
        <f>SUM(F274:F279)</f>
        <v>0</v>
      </c>
      <c r="G280" s="50"/>
      <c r="H280" s="52">
        <f>SUM(H274:H279)</f>
        <v>0</v>
      </c>
      <c r="I280" s="53">
        <f>ROUND(SUMPRODUCT(E274:E279*F274:F279),2)</f>
        <v>0</v>
      </c>
    </row>
    <row r="281" spans="1:16" ht="18" customHeight="1">
      <c r="B281" s="124" t="str">
        <f>材料价格!A10</f>
        <v>6单银Low-E+12A+6</v>
      </c>
      <c r="C281" s="133">
        <f>C252</f>
        <v>-12</v>
      </c>
      <c r="D281" s="133">
        <f>D252</f>
        <v>-12</v>
      </c>
      <c r="E281" s="32">
        <f t="shared" si="27"/>
        <v>1.44E-4</v>
      </c>
      <c r="F281" s="134"/>
      <c r="G281" s="137">
        <f>材料价格!B10</f>
        <v>148</v>
      </c>
      <c r="H281" s="134">
        <f>ROUND(E281*G281*F281,2)</f>
        <v>0</v>
      </c>
      <c r="I281" s="247" t="s">
        <v>179</v>
      </c>
    </row>
    <row r="282" spans="1:16" ht="18" customHeight="1">
      <c r="B282" s="124" t="str">
        <f>B281</f>
        <v>6单银Low-E+12A+6</v>
      </c>
      <c r="C282" s="133">
        <f>C253</f>
        <v>-12</v>
      </c>
      <c r="D282" s="133">
        <f>D253</f>
        <v>-12</v>
      </c>
      <c r="E282" s="32">
        <f t="shared" si="27"/>
        <v>1.44E-4</v>
      </c>
      <c r="F282" s="134"/>
      <c r="G282" s="135">
        <f>G281</f>
        <v>148</v>
      </c>
      <c r="H282" s="134">
        <f>ROUND(E282*G282*F282,2)</f>
        <v>0</v>
      </c>
      <c r="I282" s="247" t="s">
        <v>179</v>
      </c>
      <c r="J282" s="255"/>
      <c r="K282" s="255"/>
      <c r="L282" s="255"/>
      <c r="M282" s="255"/>
    </row>
    <row r="283" spans="1:16" ht="18" customHeight="1">
      <c r="B283" s="124" t="str">
        <f>B282</f>
        <v>6单银Low-E+12A+6</v>
      </c>
      <c r="C283" s="133">
        <f>D84-12</f>
        <v>-12</v>
      </c>
      <c r="D283" s="133">
        <f>E84-12</f>
        <v>-12</v>
      </c>
      <c r="E283" s="32">
        <f t="shared" si="27"/>
        <v>1.44E-4</v>
      </c>
      <c r="F283" s="134">
        <f>G84</f>
        <v>0</v>
      </c>
      <c r="G283" s="135">
        <f>G282</f>
        <v>148</v>
      </c>
      <c r="H283" s="134">
        <f>ROUND(E283*G283*F283,2)</f>
        <v>0</v>
      </c>
      <c r="I283" s="247" t="s">
        <v>179</v>
      </c>
      <c r="J283" s="255"/>
      <c r="K283" s="255"/>
      <c r="L283" s="255"/>
      <c r="M283" s="255"/>
    </row>
    <row r="284" spans="1:16" ht="18" customHeight="1">
      <c r="B284" s="124" t="str">
        <f>B283</f>
        <v>6单银Low-E+12A+6</v>
      </c>
      <c r="C284" s="133">
        <f>D85-12</f>
        <v>-12</v>
      </c>
      <c r="D284" s="133">
        <f>E85-12</f>
        <v>-12</v>
      </c>
      <c r="E284" s="32">
        <f t="shared" si="27"/>
        <v>1.44E-4</v>
      </c>
      <c r="F284" s="134">
        <f>G85</f>
        <v>0</v>
      </c>
      <c r="G284" s="135">
        <f>G283</f>
        <v>148</v>
      </c>
      <c r="H284" s="134">
        <f>ROUND(E284*G284*F284,2)</f>
        <v>0</v>
      </c>
      <c r="I284" s="247" t="s">
        <v>179</v>
      </c>
      <c r="J284" s="255"/>
      <c r="K284" s="255"/>
      <c r="L284" s="255"/>
      <c r="M284" s="255"/>
    </row>
    <row r="285" spans="1:16" ht="18" customHeight="1">
      <c r="B285" s="48" t="s">
        <v>180</v>
      </c>
      <c r="C285" s="52"/>
      <c r="D285" s="50"/>
      <c r="E285" s="50"/>
      <c r="F285" s="50">
        <f>SUM(F281:F284)</f>
        <v>0</v>
      </c>
      <c r="G285" s="50"/>
      <c r="H285" s="52">
        <f>SUM(H281:H284)</f>
        <v>0</v>
      </c>
      <c r="I285" s="53">
        <f>ROUND((E281*F281+E282*F282+E283*F283+E284*F284),2)</f>
        <v>0</v>
      </c>
      <c r="J285" s="255"/>
      <c r="K285" s="255"/>
      <c r="L285" s="255"/>
      <c r="M285" s="255"/>
    </row>
    <row r="286" spans="1:16" ht="18" customHeight="1">
      <c r="B286" s="124" t="str">
        <f>材料价格!A11</f>
        <v>8单银Low-E+12Ar+8+12A+8mm</v>
      </c>
      <c r="C286" s="133"/>
      <c r="D286" s="133"/>
      <c r="E286" s="32">
        <f>C286*D286/10^6</f>
        <v>0</v>
      </c>
      <c r="F286" s="134"/>
      <c r="G286" s="137">
        <f>材料价格!B11</f>
        <v>312</v>
      </c>
      <c r="H286" s="134">
        <f>ROUND(E286*G286*F286,2)</f>
        <v>0</v>
      </c>
      <c r="I286" s="247" t="s">
        <v>181</v>
      </c>
      <c r="J286" s="255"/>
      <c r="K286" s="255"/>
      <c r="L286" s="255"/>
      <c r="M286" s="255"/>
    </row>
    <row r="287" spans="1:16" ht="18" customHeight="1">
      <c r="B287" s="124" t="str">
        <f>B286</f>
        <v>8单银Low-E+12Ar+8+12A+8mm</v>
      </c>
      <c r="C287" s="133"/>
      <c r="D287" s="133"/>
      <c r="E287" s="32">
        <f>C287*D287/10^6</f>
        <v>0</v>
      </c>
      <c r="F287" s="134"/>
      <c r="G287" s="135">
        <f>G286</f>
        <v>312</v>
      </c>
      <c r="H287" s="134">
        <f>ROUND(E287*G287*F287,2)</f>
        <v>0</v>
      </c>
      <c r="I287" s="247" t="s">
        <v>181</v>
      </c>
      <c r="J287" s="255"/>
      <c r="K287" s="255"/>
      <c r="L287" s="255"/>
      <c r="M287" s="255"/>
    </row>
    <row r="288" spans="1:16" ht="18" customHeight="1">
      <c r="B288" s="138" t="str">
        <f>材料价格!A12</f>
        <v>10单银Low-E+12Ar+10+12A+10mm</v>
      </c>
      <c r="C288" s="139"/>
      <c r="D288" s="139"/>
      <c r="E288" s="140">
        <f>C288*D288/10^6</f>
        <v>0</v>
      </c>
      <c r="F288" s="141"/>
      <c r="G288" s="142">
        <f>材料价格!B12</f>
        <v>395</v>
      </c>
      <c r="H288" s="141">
        <f>ROUND(E288*G288*F288,2)</f>
        <v>0</v>
      </c>
      <c r="I288" s="143" t="s">
        <v>181</v>
      </c>
      <c r="J288" s="255"/>
      <c r="K288" s="255"/>
      <c r="L288" s="255"/>
      <c r="M288" s="255"/>
    </row>
    <row r="289" spans="2:13" ht="18" customHeight="1">
      <c r="B289" s="138" t="str">
        <f>B288</f>
        <v>10单银Low-E+12Ar+10+12A+10mm</v>
      </c>
      <c r="C289" s="139"/>
      <c r="D289" s="139"/>
      <c r="E289" s="140">
        <f>C289*D289/10^6</f>
        <v>0</v>
      </c>
      <c r="F289" s="141"/>
      <c r="G289" s="142">
        <f>G288</f>
        <v>395</v>
      </c>
      <c r="H289" s="141">
        <f>ROUND(E289*G289*F289,2)</f>
        <v>0</v>
      </c>
      <c r="I289" s="143" t="s">
        <v>181</v>
      </c>
      <c r="J289" s="255"/>
      <c r="K289" s="255"/>
      <c r="L289" s="255"/>
      <c r="M289" s="255"/>
    </row>
    <row r="290" spans="2:13" ht="18" customHeight="1">
      <c r="B290" s="48" t="s">
        <v>180</v>
      </c>
      <c r="C290" s="52"/>
      <c r="D290" s="50"/>
      <c r="E290" s="50"/>
      <c r="F290" s="50">
        <f>SUM(F286:F289)</f>
        <v>0</v>
      </c>
      <c r="G290" s="50"/>
      <c r="H290" s="52">
        <f>SUM(H286:H289)</f>
        <v>0</v>
      </c>
      <c r="I290" s="53">
        <f>ROUND((E286*F286+E287*F287+E288*F288+E289*F289),2)</f>
        <v>0</v>
      </c>
      <c r="J290" s="255"/>
      <c r="K290" s="255"/>
      <c r="L290" s="255"/>
      <c r="M290" s="255"/>
    </row>
    <row r="291" spans="2:13" ht="18" customHeight="1">
      <c r="B291" s="642" t="s">
        <v>182</v>
      </c>
      <c r="C291" s="144" t="s">
        <v>183</v>
      </c>
      <c r="D291" s="144" cm="1">
        <f t="array" ref="D291">SUMPRODUCT(E225:E232*F225:F232)+SUMPRODUCT(E243:E249*F243:F249)</f>
        <v>0</v>
      </c>
      <c r="E291" s="144" t="s">
        <v>184</v>
      </c>
      <c r="F291" s="145">
        <f>F233+F250</f>
        <v>0</v>
      </c>
      <c r="G291" s="145" t="s">
        <v>185</v>
      </c>
      <c r="H291" s="144">
        <f>H233+H250</f>
        <v>0</v>
      </c>
      <c r="I291" s="146">
        <f>H291/F366</f>
        <v>0</v>
      </c>
      <c r="J291" s="255"/>
      <c r="K291" s="255"/>
      <c r="L291" s="255"/>
      <c r="M291" s="255"/>
    </row>
    <row r="292" spans="2:13" ht="18" customHeight="1">
      <c r="B292" s="642"/>
      <c r="C292" s="144" t="s">
        <v>186</v>
      </c>
      <c r="D292" s="144">
        <f>SUMPRODUCT(E234:E241*F234:F241)+SUMPRODUCT(E251:E257*F251:F257)+SUMPRODUCT(E259:E264*F259:F264)+SUMPRODUCT(E266:E268*F266:F268)+SUMPRODUCT(E270:E272*F270:F272)+SUMPRODUCT(E281:E284*F281:F284)+SUMPRODUCT(E286:E289*F286:F289)+SUMPRODUCT(E274:E279*F274:F279)</f>
        <v>5.0109300000000001</v>
      </c>
      <c r="E292" s="144" t="s">
        <v>186</v>
      </c>
      <c r="F292" s="145">
        <f>F242+F258+F265+F269+F273+F285+F290+F280</f>
        <v>2</v>
      </c>
      <c r="G292" s="145" t="s">
        <v>185</v>
      </c>
      <c r="H292" s="144">
        <f>H242+H258+H265+H269+H273+H280+H285+H290</f>
        <v>741.62</v>
      </c>
      <c r="I292" s="146">
        <f>H292/F366</f>
        <v>119.88393427252815</v>
      </c>
      <c r="J292" s="255"/>
      <c r="K292" s="255"/>
      <c r="L292" s="255"/>
      <c r="M292" s="255"/>
    </row>
    <row r="293" spans="2:13" ht="18" customHeight="1">
      <c r="B293" s="23" t="s">
        <v>187</v>
      </c>
      <c r="C293" s="252" t="s">
        <v>188</v>
      </c>
      <c r="D293" s="68" t="s">
        <v>189</v>
      </c>
      <c r="E293" s="252" t="s">
        <v>8</v>
      </c>
      <c r="F293" s="252" t="s">
        <v>190</v>
      </c>
      <c r="G293" s="252" t="s">
        <v>191</v>
      </c>
      <c r="H293" s="252" t="s">
        <v>160</v>
      </c>
      <c r="I293" s="25" t="s">
        <v>1</v>
      </c>
      <c r="J293" s="255"/>
      <c r="K293" s="255"/>
      <c r="L293" s="255"/>
      <c r="M293" s="255"/>
    </row>
    <row r="294" spans="2:13" ht="18" customHeight="1">
      <c r="B294" s="629" t="s">
        <v>192</v>
      </c>
      <c r="C294" s="253">
        <f>D26</f>
        <v>0</v>
      </c>
      <c r="D294" s="250"/>
      <c r="E294" s="250"/>
      <c r="F294" s="250" t="s">
        <v>193</v>
      </c>
      <c r="G294" s="108">
        <f>材料价格!B14</f>
        <v>153</v>
      </c>
      <c r="H294" s="147">
        <f>E294*G294</f>
        <v>0</v>
      </c>
      <c r="I294" s="632" t="s">
        <v>194</v>
      </c>
      <c r="J294" s="255"/>
      <c r="K294" s="255"/>
      <c r="L294" s="255"/>
      <c r="M294" s="255"/>
    </row>
    <row r="295" spans="2:13" ht="18" customHeight="1">
      <c r="B295" s="629"/>
      <c r="C295" s="253"/>
      <c r="D295" s="250"/>
      <c r="E295" s="250"/>
      <c r="F295" s="250"/>
      <c r="G295" s="108"/>
      <c r="H295" s="147">
        <f t="shared" ref="H295:H303" si="52">E295*G295</f>
        <v>0</v>
      </c>
      <c r="I295" s="633"/>
      <c r="J295" s="255"/>
      <c r="K295" s="255"/>
      <c r="L295" s="255"/>
      <c r="M295" s="255"/>
    </row>
    <row r="296" spans="2:13" ht="18" customHeight="1">
      <c r="B296" s="629" t="s">
        <v>195</v>
      </c>
      <c r="C296" s="253"/>
      <c r="D296" s="148"/>
      <c r="E296" s="250"/>
      <c r="F296" s="250" t="str">
        <f>F294</f>
        <v>坚朗</v>
      </c>
      <c r="G296" s="108">
        <f>材料价格!B15</f>
        <v>80</v>
      </c>
      <c r="H296" s="147">
        <f t="shared" si="52"/>
        <v>0</v>
      </c>
      <c r="I296" s="632" t="s">
        <v>196</v>
      </c>
      <c r="J296" s="255"/>
      <c r="K296" s="255"/>
      <c r="L296" s="255"/>
      <c r="M296" s="255"/>
    </row>
    <row r="297" spans="2:13" ht="18" customHeight="1">
      <c r="B297" s="629"/>
      <c r="C297" s="253"/>
      <c r="D297" s="148"/>
      <c r="E297" s="250"/>
      <c r="F297" s="250"/>
      <c r="G297" s="108"/>
      <c r="H297" s="147">
        <f t="shared" si="52"/>
        <v>0</v>
      </c>
      <c r="I297" s="633"/>
      <c r="J297" s="255"/>
      <c r="K297" s="255"/>
      <c r="L297" s="255"/>
      <c r="M297" s="255"/>
    </row>
    <row r="298" spans="2:13" ht="18" customHeight="1">
      <c r="B298" s="629" t="s">
        <v>197</v>
      </c>
      <c r="C298" s="253"/>
      <c r="D298" s="148"/>
      <c r="E298" s="250"/>
      <c r="F298" s="250" t="str">
        <f>F296</f>
        <v>坚朗</v>
      </c>
      <c r="G298" s="108">
        <f>材料价格!B16</f>
        <v>88</v>
      </c>
      <c r="H298" s="147">
        <f t="shared" si="52"/>
        <v>0</v>
      </c>
      <c r="I298" s="633"/>
      <c r="J298" s="255"/>
      <c r="K298" s="255"/>
      <c r="L298" s="255"/>
      <c r="M298" s="255"/>
    </row>
    <row r="299" spans="2:13" ht="18" customHeight="1">
      <c r="B299" s="629"/>
      <c r="C299" s="253"/>
      <c r="D299" s="148"/>
      <c r="E299" s="250"/>
      <c r="F299" s="250"/>
      <c r="G299" s="108"/>
      <c r="H299" s="147">
        <f t="shared" si="52"/>
        <v>0</v>
      </c>
      <c r="I299" s="633"/>
      <c r="J299" s="255"/>
      <c r="K299" s="255"/>
      <c r="L299" s="255"/>
      <c r="M299" s="255"/>
    </row>
    <row r="300" spans="2:13" ht="18" customHeight="1">
      <c r="B300" s="629" t="s">
        <v>198</v>
      </c>
      <c r="C300" s="253">
        <f>D35</f>
        <v>0</v>
      </c>
      <c r="D300" s="148"/>
      <c r="E300" s="250"/>
      <c r="F300" s="250" t="str">
        <f>F298</f>
        <v>坚朗</v>
      </c>
      <c r="G300" s="108">
        <f>材料价格!B17</f>
        <v>115</v>
      </c>
      <c r="H300" s="147">
        <f t="shared" si="52"/>
        <v>0</v>
      </c>
      <c r="I300" s="149"/>
      <c r="J300" s="255"/>
      <c r="K300" s="255"/>
      <c r="L300" s="255"/>
      <c r="M300" s="255"/>
    </row>
    <row r="301" spans="2:13" ht="18" customHeight="1">
      <c r="B301" s="629"/>
      <c r="C301" s="253"/>
      <c r="D301" s="148"/>
      <c r="E301" s="250"/>
      <c r="F301" s="250"/>
      <c r="G301" s="108"/>
      <c r="H301" s="147">
        <f t="shared" si="52"/>
        <v>0</v>
      </c>
      <c r="I301" s="149"/>
      <c r="J301" s="255"/>
      <c r="K301" s="255"/>
      <c r="L301" s="255"/>
      <c r="M301" s="255"/>
    </row>
    <row r="302" spans="2:13" ht="18" customHeight="1">
      <c r="B302" s="629" t="s">
        <v>199</v>
      </c>
      <c r="C302" s="250" t="s">
        <v>200</v>
      </c>
      <c r="D302" s="148"/>
      <c r="E302" s="250"/>
      <c r="F302" s="250" t="str">
        <f>F300</f>
        <v>坚朗</v>
      </c>
      <c r="G302" s="108">
        <f>材料价格!B19</f>
        <v>230</v>
      </c>
      <c r="H302" s="147">
        <f t="shared" si="52"/>
        <v>0</v>
      </c>
      <c r="I302" s="247"/>
      <c r="J302" s="255"/>
      <c r="K302" s="255"/>
      <c r="L302" s="255"/>
      <c r="M302" s="255"/>
    </row>
    <row r="303" spans="2:13" ht="18" customHeight="1">
      <c r="B303" s="629"/>
      <c r="C303" s="250" t="s">
        <v>201</v>
      </c>
      <c r="D303" s="148"/>
      <c r="E303" s="250">
        <v>1</v>
      </c>
      <c r="F303" s="250" t="str">
        <f>F302</f>
        <v>坚朗</v>
      </c>
      <c r="G303" s="108">
        <f>材料价格!B20</f>
        <v>335</v>
      </c>
      <c r="H303" s="147">
        <f t="shared" si="52"/>
        <v>335</v>
      </c>
      <c r="I303" s="247"/>
      <c r="J303" s="255"/>
      <c r="K303" s="255"/>
      <c r="L303" s="255"/>
      <c r="M303" s="255"/>
    </row>
    <row r="304" spans="2:13" ht="18" customHeight="1">
      <c r="B304" s="150" t="s">
        <v>202</v>
      </c>
      <c r="C304" s="50"/>
      <c r="D304" s="50"/>
      <c r="E304" s="50">
        <f>SUM(E294:E303)</f>
        <v>1</v>
      </c>
      <c r="F304" s="50"/>
      <c r="G304" s="166"/>
      <c r="H304" s="151">
        <f>SUM(H294:H303)</f>
        <v>335</v>
      </c>
      <c r="I304" s="152"/>
      <c r="J304" s="42"/>
    </row>
    <row r="305" spans="1:16" ht="18" customHeight="1">
      <c r="B305" s="246" t="s">
        <v>300</v>
      </c>
      <c r="C305" s="250"/>
      <c r="D305" s="148"/>
      <c r="E305" s="253">
        <f>E294+E296</f>
        <v>0</v>
      </c>
      <c r="F305" s="148"/>
      <c r="G305" s="148">
        <f>材料价格!B27</f>
        <v>0</v>
      </c>
      <c r="H305" s="154">
        <f>E305*G305</f>
        <v>0</v>
      </c>
      <c r="I305" s="247" t="s">
        <v>203</v>
      </c>
    </row>
    <row r="306" spans="1:16" s="16" customFormat="1" ht="18" customHeight="1">
      <c r="A306" s="1"/>
      <c r="B306" s="246" t="s">
        <v>204</v>
      </c>
      <c r="C306" s="250"/>
      <c r="D306" s="148"/>
      <c r="E306" s="253">
        <f>E298+E299+E300+E301</f>
        <v>0</v>
      </c>
      <c r="F306" s="148"/>
      <c r="G306" s="148">
        <f>材料价格!B28</f>
        <v>118</v>
      </c>
      <c r="H306" s="154">
        <f>E306*G306</f>
        <v>0</v>
      </c>
      <c r="I306" s="247" t="s">
        <v>205</v>
      </c>
      <c r="J306" s="43"/>
      <c r="K306" s="43"/>
      <c r="L306" s="43"/>
      <c r="M306" s="43"/>
      <c r="N306" s="255"/>
      <c r="O306" s="255"/>
      <c r="P306" s="255"/>
    </row>
    <row r="307" spans="1:16" s="16" customFormat="1" ht="18" customHeight="1">
      <c r="A307" s="1"/>
      <c r="B307" s="246" t="s">
        <v>206</v>
      </c>
      <c r="C307" s="250"/>
      <c r="D307" s="148"/>
      <c r="E307" s="253"/>
      <c r="F307" s="148"/>
      <c r="G307" s="148"/>
      <c r="H307" s="154">
        <f>E307*G307</f>
        <v>0</v>
      </c>
      <c r="I307" s="247" t="s">
        <v>207</v>
      </c>
      <c r="J307" s="43"/>
      <c r="K307" s="43"/>
      <c r="L307" s="43"/>
      <c r="M307" s="43"/>
      <c r="N307" s="255"/>
      <c r="O307" s="255"/>
      <c r="P307" s="255"/>
    </row>
    <row r="308" spans="1:16" s="16" customFormat="1" ht="18" customHeight="1">
      <c r="A308" s="1"/>
      <c r="B308" s="150" t="s">
        <v>208</v>
      </c>
      <c r="C308" s="50"/>
      <c r="D308" s="50"/>
      <c r="E308" s="100">
        <f>SUM(E305:E307)</f>
        <v>0</v>
      </c>
      <c r="F308" s="50"/>
      <c r="G308" s="166"/>
      <c r="H308" s="155">
        <f>SUM(H305:H307)</f>
        <v>0</v>
      </c>
      <c r="I308" s="152"/>
      <c r="J308" s="43"/>
      <c r="K308" s="43"/>
      <c r="L308" s="43"/>
      <c r="M308" s="43"/>
      <c r="N308" s="255"/>
      <c r="O308" s="255"/>
      <c r="P308" s="255"/>
    </row>
    <row r="309" spans="1:16" s="16" customFormat="1" ht="18" customHeight="1">
      <c r="A309" s="1"/>
      <c r="B309" s="156" t="s">
        <v>209</v>
      </c>
      <c r="C309" s="157">
        <f>ROUND(IF(D4&lt;=200,4,0)+IF(D4&gt;200,(D4/200+1))+IF(E4&lt;=200,4,0)+IF(E4&gt;200,(E4/200+1)),0)</f>
        <v>28</v>
      </c>
      <c r="D309" s="148"/>
      <c r="E309" s="148"/>
      <c r="F309" s="148"/>
      <c r="G309" s="158">
        <v>0.5</v>
      </c>
      <c r="H309" s="159">
        <f>ROUND(C309*G309,2)</f>
        <v>14</v>
      </c>
      <c r="I309" s="247" t="s">
        <v>210</v>
      </c>
      <c r="J309" s="43"/>
      <c r="K309" s="43"/>
      <c r="L309" s="43"/>
      <c r="M309" s="43"/>
      <c r="N309" s="255"/>
      <c r="O309" s="255"/>
      <c r="P309" s="255"/>
    </row>
    <row r="310" spans="1:16" s="16" customFormat="1" ht="18" customHeight="1">
      <c r="A310" s="1"/>
      <c r="B310" s="156" t="s">
        <v>211</v>
      </c>
      <c r="C310" s="157">
        <f>C309*2</f>
        <v>56</v>
      </c>
      <c r="D310" s="148">
        <f>D309*2</f>
        <v>0</v>
      </c>
      <c r="E310" s="148"/>
      <c r="F310" s="148"/>
      <c r="G310" s="158">
        <v>0.3</v>
      </c>
      <c r="H310" s="159">
        <f>ROUND(C310*G310,2)</f>
        <v>16.8</v>
      </c>
      <c r="I310" s="247" t="s">
        <v>212</v>
      </c>
      <c r="J310" s="43"/>
      <c r="K310" s="43"/>
      <c r="L310" s="255"/>
      <c r="M310" s="255"/>
      <c r="N310" s="255"/>
      <c r="O310" s="255"/>
      <c r="P310" s="255"/>
    </row>
    <row r="311" spans="1:16" s="16" customFormat="1" ht="18" customHeight="1">
      <c r="A311" s="1"/>
      <c r="B311" s="160" t="s">
        <v>213</v>
      </c>
      <c r="C311" s="161">
        <f>F6</f>
        <v>6.54</v>
      </c>
      <c r="D311" s="162"/>
      <c r="E311" s="162"/>
      <c r="F311" s="162"/>
      <c r="G311" s="163">
        <v>5</v>
      </c>
      <c r="H311" s="159">
        <f>ROUND(C311*G311,2)</f>
        <v>32.700000000000003</v>
      </c>
      <c r="I311" s="247"/>
      <c r="J311" s="43"/>
      <c r="K311" s="43"/>
      <c r="L311" s="255"/>
      <c r="M311" s="255"/>
      <c r="N311" s="255"/>
      <c r="O311" s="255"/>
      <c r="P311" s="255"/>
    </row>
    <row r="312" spans="1:16" s="16" customFormat="1" ht="18" customHeight="1">
      <c r="A312" s="1"/>
      <c r="B312" s="160" t="s">
        <v>214</v>
      </c>
      <c r="C312" s="161"/>
      <c r="D312" s="162"/>
      <c r="E312" s="162"/>
      <c r="F312" s="162"/>
      <c r="G312" s="163"/>
      <c r="H312" s="159">
        <f>ROUND(C312*G312,2)</f>
        <v>0</v>
      </c>
      <c r="I312" s="247"/>
      <c r="J312" s="43"/>
      <c r="K312" s="43"/>
      <c r="L312" s="255"/>
      <c r="M312" s="255"/>
      <c r="N312" s="255"/>
      <c r="O312" s="255"/>
      <c r="P312" s="255"/>
    </row>
    <row r="313" spans="1:16" s="16" customFormat="1" ht="18" customHeight="1">
      <c r="A313" s="1"/>
      <c r="B313" s="164" t="s">
        <v>397</v>
      </c>
      <c r="C313" s="161">
        <f>D291+D292</f>
        <v>5.0109300000000001</v>
      </c>
      <c r="D313" s="162"/>
      <c r="E313" s="162"/>
      <c r="F313" s="162"/>
      <c r="G313" s="163">
        <f>10+5</f>
        <v>15</v>
      </c>
      <c r="H313" s="159">
        <f>ROUND(C313*G313,2)</f>
        <v>75.16</v>
      </c>
      <c r="I313" s="247"/>
      <c r="J313" s="43"/>
      <c r="K313" s="43"/>
      <c r="L313" s="255"/>
      <c r="M313" s="255"/>
      <c r="N313" s="255"/>
      <c r="O313" s="255"/>
      <c r="P313" s="255"/>
    </row>
    <row r="314" spans="1:16" s="16" customFormat="1" ht="18" customHeight="1">
      <c r="A314" s="1"/>
      <c r="B314" s="150" t="s">
        <v>215</v>
      </c>
      <c r="C314" s="165"/>
      <c r="D314" s="50"/>
      <c r="E314" s="50"/>
      <c r="F314" s="50"/>
      <c r="G314" s="166"/>
      <c r="H314" s="155">
        <f>SUM(H309:H313)</f>
        <v>138.66</v>
      </c>
      <c r="I314" s="152"/>
      <c r="J314" s="43"/>
      <c r="K314" s="43"/>
      <c r="L314" s="255"/>
      <c r="M314" s="255"/>
      <c r="N314" s="255"/>
      <c r="O314" s="255"/>
      <c r="P314" s="255"/>
    </row>
    <row r="315" spans="1:16" s="16" customFormat="1" ht="18" customHeight="1">
      <c r="A315" s="1"/>
      <c r="B315" s="156" t="s">
        <v>216</v>
      </c>
      <c r="C315" s="167">
        <f>E203+E205+E207+I203+I205+E209+I207</f>
        <v>12</v>
      </c>
      <c r="D315" s="148"/>
      <c r="E315" s="148"/>
      <c r="F315" s="148"/>
      <c r="G315" s="168">
        <v>1.9</v>
      </c>
      <c r="H315" s="154">
        <f t="shared" ref="H315:H318" si="53">ROUND(C315*G315,2)</f>
        <v>22.8</v>
      </c>
      <c r="I315" s="224" t="s">
        <v>340</v>
      </c>
      <c r="J315" s="255"/>
      <c r="K315" s="43"/>
      <c r="L315" s="255"/>
      <c r="M315" s="255"/>
      <c r="N315" s="255"/>
      <c r="O315" s="255"/>
      <c r="P315" s="255"/>
    </row>
    <row r="316" spans="1:16" s="16" customFormat="1" ht="18" customHeight="1">
      <c r="A316" s="1"/>
      <c r="B316" s="156" t="s">
        <v>217</v>
      </c>
      <c r="C316" s="167">
        <f>ROUND((D4+E4)*2/1000,2)</f>
        <v>10.25</v>
      </c>
      <c r="D316" s="148"/>
      <c r="E316" s="238">
        <v>4</v>
      </c>
      <c r="F316" s="235">
        <f>材料价格!B25</f>
        <v>8.52</v>
      </c>
      <c r="G316" s="168">
        <f t="shared" ref="G316:G321" si="54">F316/E316</f>
        <v>2.13</v>
      </c>
      <c r="H316" s="154">
        <f t="shared" si="53"/>
        <v>21.83</v>
      </c>
      <c r="I316" s="169" t="s">
        <v>218</v>
      </c>
      <c r="J316" s="255"/>
      <c r="K316" s="43"/>
      <c r="L316" s="255"/>
      <c r="M316" s="255"/>
      <c r="N316" s="255"/>
      <c r="O316" s="255"/>
      <c r="P316" s="255"/>
    </row>
    <row r="317" spans="1:16" s="16" customFormat="1" ht="18" customHeight="1">
      <c r="A317" s="1"/>
      <c r="B317" s="156" t="s">
        <v>219</v>
      </c>
      <c r="C317" s="167">
        <f>C316</f>
        <v>10.25</v>
      </c>
      <c r="D317" s="148"/>
      <c r="E317" s="238">
        <v>3</v>
      </c>
      <c r="F317" s="235">
        <f>F316</f>
        <v>8.52</v>
      </c>
      <c r="G317" s="168">
        <f t="shared" si="54"/>
        <v>2.84</v>
      </c>
      <c r="H317" s="154">
        <f t="shared" si="53"/>
        <v>29.11</v>
      </c>
      <c r="I317" s="169" t="s">
        <v>220</v>
      </c>
      <c r="J317" s="255"/>
      <c r="K317" s="43"/>
      <c r="L317" s="255"/>
      <c r="M317" s="255"/>
      <c r="N317" s="255"/>
      <c r="O317" s="255"/>
      <c r="P317" s="255"/>
    </row>
    <row r="318" spans="1:16" s="16" customFormat="1" ht="18" customHeight="1">
      <c r="A318" s="1"/>
      <c r="B318" s="156" t="s">
        <v>221</v>
      </c>
      <c r="C318" s="167">
        <f>C316</f>
        <v>10.25</v>
      </c>
      <c r="D318" s="148"/>
      <c r="E318" s="238">
        <v>6.5</v>
      </c>
      <c r="F318" s="235">
        <f>材料价格!B26</f>
        <v>23</v>
      </c>
      <c r="G318" s="168">
        <f t="shared" si="54"/>
        <v>3.5384615384615383</v>
      </c>
      <c r="H318" s="154">
        <f t="shared" si="53"/>
        <v>36.270000000000003</v>
      </c>
      <c r="I318" s="224" t="s">
        <v>222</v>
      </c>
      <c r="J318" s="255"/>
      <c r="K318" s="43"/>
      <c r="L318" s="255"/>
      <c r="M318" s="255"/>
      <c r="N318" s="255"/>
      <c r="O318" s="255"/>
      <c r="P318" s="255"/>
    </row>
    <row r="319" spans="1:16" s="16" customFormat="1" ht="18" customHeight="1">
      <c r="A319" s="1"/>
      <c r="B319" s="156" t="s">
        <v>341</v>
      </c>
      <c r="C319" s="167">
        <f>ROUND((C97+C104+C88+C146+C153+C163)*1,2)</f>
        <v>13.99</v>
      </c>
      <c r="D319" s="77">
        <v>1</v>
      </c>
      <c r="E319" s="238">
        <f>10</f>
        <v>10</v>
      </c>
      <c r="F319" s="235">
        <f>F317</f>
        <v>8.52</v>
      </c>
      <c r="G319" s="168">
        <f>F319/E319</f>
        <v>0.85199999999999998</v>
      </c>
      <c r="H319" s="154">
        <f>ROUND(C319*G319,2)</f>
        <v>11.92</v>
      </c>
      <c r="I319" s="247" t="s">
        <v>223</v>
      </c>
      <c r="J319" s="255"/>
      <c r="K319" s="43"/>
      <c r="L319" s="255"/>
      <c r="M319" s="255"/>
      <c r="N319" s="255"/>
      <c r="O319" s="255"/>
      <c r="P319" s="255"/>
    </row>
    <row r="320" spans="1:16" s="16" customFormat="1" ht="18" customHeight="1">
      <c r="A320" s="1"/>
      <c r="B320" s="156" t="s">
        <v>342</v>
      </c>
      <c r="C320" s="167">
        <f>C319</f>
        <v>13.99</v>
      </c>
      <c r="D320" s="77">
        <v>1</v>
      </c>
      <c r="E320" s="238">
        <v>6</v>
      </c>
      <c r="F320" s="235">
        <f>F319</f>
        <v>8.52</v>
      </c>
      <c r="G320" s="168">
        <f t="shared" si="54"/>
        <v>1.42</v>
      </c>
      <c r="H320" s="154">
        <f>ROUND(C320*G320,2)</f>
        <v>19.87</v>
      </c>
      <c r="I320" s="247" t="s">
        <v>224</v>
      </c>
      <c r="J320" s="255"/>
      <c r="K320" s="170"/>
      <c r="L320" s="170"/>
      <c r="M320" s="170"/>
      <c r="N320" s="170"/>
      <c r="O320" s="170"/>
      <c r="P320" s="170"/>
    </row>
    <row r="321" spans="1:16" s="16" customFormat="1" ht="18" customHeight="1">
      <c r="A321" s="1"/>
      <c r="B321" s="156" t="s">
        <v>225</v>
      </c>
      <c r="C321" s="167">
        <f>C334*D334+C324*D324+C327*D327</f>
        <v>0</v>
      </c>
      <c r="D321" s="77">
        <v>1</v>
      </c>
      <c r="E321" s="238">
        <f>10</f>
        <v>10</v>
      </c>
      <c r="F321" s="235">
        <f>F317</f>
        <v>8.52</v>
      </c>
      <c r="G321" s="168">
        <f t="shared" si="54"/>
        <v>0.85199999999999998</v>
      </c>
      <c r="H321" s="154">
        <f>ROUND(C321*G321,2)</f>
        <v>0</v>
      </c>
      <c r="I321" s="247" t="s">
        <v>226</v>
      </c>
      <c r="J321" s="255"/>
      <c r="K321" s="170"/>
      <c r="L321" s="170"/>
      <c r="M321" s="170"/>
      <c r="N321" s="170"/>
      <c r="O321" s="170"/>
      <c r="P321" s="170"/>
    </row>
    <row r="322" spans="1:16" s="16" customFormat="1" ht="18" customHeight="1">
      <c r="A322" s="1"/>
      <c r="B322" s="150" t="s">
        <v>227</v>
      </c>
      <c r="C322" s="165"/>
      <c r="D322" s="50"/>
      <c r="E322" s="50"/>
      <c r="F322" s="50"/>
      <c r="G322" s="166" t="s">
        <v>396</v>
      </c>
      <c r="H322" s="155">
        <f>SUM(H315:H321)</f>
        <v>141.79999999999998</v>
      </c>
      <c r="I322" s="152"/>
      <c r="J322" s="244" t="s">
        <v>399</v>
      </c>
      <c r="K322" s="245" t="s">
        <v>379</v>
      </c>
      <c r="L322" s="170"/>
      <c r="M322" s="170"/>
      <c r="N322" s="170"/>
      <c r="O322" s="170"/>
      <c r="P322" s="170"/>
    </row>
    <row r="323" spans="1:16" s="16" customFormat="1" ht="18" customHeight="1">
      <c r="A323" s="1"/>
      <c r="B323" s="156" t="s">
        <v>356</v>
      </c>
      <c r="C323" s="167">
        <f>C31</f>
        <v>0</v>
      </c>
      <c r="D323" s="239">
        <v>1</v>
      </c>
      <c r="E323" s="148"/>
      <c r="F323" s="148"/>
      <c r="G323" s="236">
        <f>0.45+0.85</f>
        <v>1.3</v>
      </c>
      <c r="H323" s="154">
        <f>ROUND(C323*D323*G323,2)</f>
        <v>0</v>
      </c>
      <c r="I323" s="247" t="s">
        <v>345</v>
      </c>
      <c r="J323" s="244">
        <v>1.76</v>
      </c>
      <c r="K323" s="245" t="s">
        <v>400</v>
      </c>
      <c r="L323" s="170"/>
      <c r="M323" s="171"/>
      <c r="N323" s="170"/>
      <c r="O323" s="170"/>
      <c r="P323" s="170"/>
    </row>
    <row r="324" spans="1:16" s="16" customFormat="1" ht="18" customHeight="1">
      <c r="A324" s="1"/>
      <c r="B324" s="156" t="s">
        <v>347</v>
      </c>
      <c r="C324" s="167">
        <f>C323</f>
        <v>0</v>
      </c>
      <c r="D324" s="239">
        <v>1</v>
      </c>
      <c r="E324" s="148"/>
      <c r="F324" s="148"/>
      <c r="G324" s="236">
        <v>6.89</v>
      </c>
      <c r="H324" s="154">
        <f t="shared" ref="H324:H329" si="55">ROUND(C324*D324*G324,2)</f>
        <v>0</v>
      </c>
      <c r="I324" s="247" t="s">
        <v>346</v>
      </c>
      <c r="J324" s="244">
        <v>12.25</v>
      </c>
      <c r="K324" s="245" t="s">
        <v>376</v>
      </c>
      <c r="L324" s="170"/>
      <c r="M324" s="171"/>
      <c r="N324" s="170"/>
      <c r="O324" s="170"/>
      <c r="P324" s="170"/>
    </row>
    <row r="325" spans="1:16" s="16" customFormat="1" ht="18" customHeight="1">
      <c r="A325" s="1"/>
      <c r="B325" s="156" t="s">
        <v>357</v>
      </c>
      <c r="C325" s="167">
        <f>C38</f>
        <v>0</v>
      </c>
      <c r="D325" s="239">
        <v>1</v>
      </c>
      <c r="E325" s="148"/>
      <c r="F325" s="148"/>
      <c r="G325" s="236">
        <f>0.85+0.61</f>
        <v>1.46</v>
      </c>
      <c r="H325" s="154">
        <f t="shared" si="55"/>
        <v>0</v>
      </c>
      <c r="I325" s="247" t="s">
        <v>354</v>
      </c>
      <c r="J325" s="244">
        <v>1.76</v>
      </c>
      <c r="K325" s="245" t="s">
        <v>378</v>
      </c>
      <c r="L325" s="170"/>
      <c r="M325" s="171"/>
      <c r="N325" s="170"/>
      <c r="O325" s="170"/>
      <c r="P325" s="170"/>
    </row>
    <row r="326" spans="1:16" s="16" customFormat="1" ht="18" customHeight="1">
      <c r="A326" s="1"/>
      <c r="B326" s="156" t="s">
        <v>355</v>
      </c>
      <c r="C326" s="167">
        <f>C325</f>
        <v>0</v>
      </c>
      <c r="D326" s="239">
        <v>1</v>
      </c>
      <c r="E326" s="148"/>
      <c r="F326" s="148"/>
      <c r="G326" s="236">
        <v>3.27</v>
      </c>
      <c r="H326" s="154">
        <f>ROUND(C326*D326*G326,2)</f>
        <v>0</v>
      </c>
      <c r="I326" s="247" t="s">
        <v>358</v>
      </c>
      <c r="J326" s="244">
        <v>3.27</v>
      </c>
      <c r="K326" s="245" t="s">
        <v>358</v>
      </c>
      <c r="L326" s="170"/>
      <c r="M326" s="171"/>
      <c r="N326" s="170"/>
      <c r="O326" s="170"/>
      <c r="P326" s="170"/>
    </row>
    <row r="327" spans="1:16" s="16" customFormat="1" ht="18" customHeight="1">
      <c r="A327" s="1"/>
      <c r="B327" s="156" t="s">
        <v>228</v>
      </c>
      <c r="C327" s="167">
        <f>C126</f>
        <v>0</v>
      </c>
      <c r="D327" s="239">
        <v>1</v>
      </c>
      <c r="E327" s="110"/>
      <c r="F327" s="148"/>
      <c r="G327" s="236">
        <v>6.89</v>
      </c>
      <c r="H327" s="154">
        <f t="shared" si="55"/>
        <v>0</v>
      </c>
      <c r="I327" s="247" t="s">
        <v>346</v>
      </c>
      <c r="J327" s="244">
        <v>12.25</v>
      </c>
      <c r="K327" s="245" t="s">
        <v>346</v>
      </c>
      <c r="L327" s="170"/>
      <c r="M327" s="171"/>
      <c r="N327" s="170"/>
      <c r="O327" s="170"/>
      <c r="P327" s="170"/>
    </row>
    <row r="328" spans="1:16" s="16" customFormat="1" ht="18" customHeight="1">
      <c r="A328" s="1"/>
      <c r="B328" s="156" t="s">
        <v>229</v>
      </c>
      <c r="C328" s="167">
        <f>C327</f>
        <v>0</v>
      </c>
      <c r="D328" s="239">
        <v>1</v>
      </c>
      <c r="E328" s="110"/>
      <c r="F328" s="148"/>
      <c r="G328" s="236">
        <f>G3233</f>
        <v>0</v>
      </c>
      <c r="H328" s="154">
        <f t="shared" si="55"/>
        <v>0</v>
      </c>
      <c r="I328" s="247" t="s">
        <v>345</v>
      </c>
      <c r="J328" s="244">
        <v>0</v>
      </c>
      <c r="K328" s="245" t="s">
        <v>400</v>
      </c>
      <c r="L328" s="170"/>
      <c r="M328" s="171"/>
      <c r="N328" s="170"/>
      <c r="O328" s="170"/>
      <c r="P328" s="170"/>
    </row>
    <row r="329" spans="1:16" s="16" customFormat="1" ht="18" customHeight="1">
      <c r="A329" s="1"/>
      <c r="B329" s="156" t="s">
        <v>230</v>
      </c>
      <c r="C329" s="167">
        <f>C119</f>
        <v>15.224</v>
      </c>
      <c r="D329" s="239">
        <v>1</v>
      </c>
      <c r="E329" s="148"/>
      <c r="F329" s="148"/>
      <c r="G329" s="236">
        <f>G3253</f>
        <v>0</v>
      </c>
      <c r="H329" s="154">
        <f t="shared" si="55"/>
        <v>0</v>
      </c>
      <c r="I329" s="247" t="s">
        <v>354</v>
      </c>
      <c r="J329" s="244">
        <v>0</v>
      </c>
      <c r="K329" s="245" t="s">
        <v>378</v>
      </c>
      <c r="L329" s="170"/>
      <c r="M329" s="171"/>
      <c r="N329" s="170"/>
      <c r="O329" s="170"/>
      <c r="P329" s="170"/>
    </row>
    <row r="330" spans="1:16" s="16" customFormat="1" ht="18" customHeight="1">
      <c r="A330" s="1"/>
      <c r="B330" s="156" t="s">
        <v>362</v>
      </c>
      <c r="C330" s="167">
        <f>C329</f>
        <v>15.224</v>
      </c>
      <c r="D330" s="239">
        <v>1</v>
      </c>
      <c r="E330" s="148"/>
      <c r="F330" s="148"/>
      <c r="G330" s="236">
        <v>3.27</v>
      </c>
      <c r="H330" s="154">
        <f>ROUND(C330*D330*G330,2)</f>
        <v>49.78</v>
      </c>
      <c r="I330" s="247" t="s">
        <v>358</v>
      </c>
      <c r="J330" s="244">
        <v>3.27</v>
      </c>
      <c r="K330" s="245" t="s">
        <v>358</v>
      </c>
      <c r="L330" s="170"/>
      <c r="M330" s="171"/>
      <c r="N330" s="170"/>
      <c r="O330" s="170"/>
      <c r="P330" s="170"/>
    </row>
    <row r="331" spans="1:16" s="16" customFormat="1" ht="18" customHeight="1">
      <c r="A331" s="1"/>
      <c r="B331" s="156" t="s">
        <v>343</v>
      </c>
      <c r="C331" s="167">
        <f>C319</f>
        <v>13.99</v>
      </c>
      <c r="D331" s="239">
        <v>1</v>
      </c>
      <c r="E331" s="148"/>
      <c r="F331" s="148"/>
      <c r="G331" s="236">
        <v>1.25</v>
      </c>
      <c r="H331" s="154">
        <f>C331*D331*G331</f>
        <v>17.487500000000001</v>
      </c>
      <c r="I331" s="247" t="s">
        <v>344</v>
      </c>
      <c r="J331" s="244">
        <v>1.25</v>
      </c>
      <c r="K331" s="245" t="s">
        <v>344</v>
      </c>
      <c r="L331" s="170"/>
      <c r="M331" s="171"/>
      <c r="N331" s="170"/>
      <c r="O331" s="170"/>
      <c r="P331" s="170"/>
    </row>
    <row r="332" spans="1:16" s="16" customFormat="1" ht="18" customHeight="1">
      <c r="A332" s="1"/>
      <c r="B332" s="156" t="s">
        <v>350</v>
      </c>
      <c r="C332" s="167" cm="1">
        <f t="array" ref="C332">SUMPRODUCT(D26:D30*G26:G30)/1000</f>
        <v>0</v>
      </c>
      <c r="D332" s="239">
        <v>1</v>
      </c>
      <c r="E332" s="148"/>
      <c r="F332" s="148"/>
      <c r="G332" s="236">
        <v>0.41</v>
      </c>
      <c r="H332" s="154">
        <f>C332*D332*G332</f>
        <v>0</v>
      </c>
      <c r="I332" s="247" t="s">
        <v>348</v>
      </c>
      <c r="J332" s="244">
        <v>0.41</v>
      </c>
      <c r="K332" s="245" t="s">
        <v>348</v>
      </c>
      <c r="L332" s="170"/>
      <c r="M332" s="171"/>
      <c r="N332" s="170"/>
      <c r="O332" s="170"/>
      <c r="P332" s="170"/>
    </row>
    <row r="333" spans="1:16" s="16" customFormat="1" ht="18" customHeight="1">
      <c r="A333" s="1"/>
      <c r="B333" s="156" t="s">
        <v>349</v>
      </c>
      <c r="C333" s="167">
        <f>C88+C97+C104+C153+C163+C146</f>
        <v>13.992000000000001</v>
      </c>
      <c r="D333" s="239">
        <v>1</v>
      </c>
      <c r="E333" s="148"/>
      <c r="F333" s="148"/>
      <c r="G333" s="236">
        <v>0.49</v>
      </c>
      <c r="H333" s="154">
        <f>C333*D333*G333</f>
        <v>6.8560800000000004</v>
      </c>
      <c r="I333" s="247" t="s">
        <v>351</v>
      </c>
      <c r="J333" s="244">
        <v>0.49</v>
      </c>
      <c r="K333" s="245" t="s">
        <v>351</v>
      </c>
      <c r="L333" s="170"/>
      <c r="M333" s="171"/>
      <c r="N333" s="170"/>
      <c r="O333" s="170"/>
      <c r="P333" s="170"/>
    </row>
    <row r="334" spans="1:16" s="16" customFormat="1" ht="18" customHeight="1">
      <c r="A334" s="1"/>
      <c r="B334" s="156" t="s">
        <v>353</v>
      </c>
      <c r="C334" s="167">
        <f t="array" ref="C334">SUMPRODUCT(D157:D162*G157:G162)/1000+SUM(G157:G162)*0.3+SUMPRODUCT(D68:D87*G68:G87)/1000+SUM(G68:G87)*0.3</f>
        <v>0</v>
      </c>
      <c r="D334" s="239">
        <v>1</v>
      </c>
      <c r="E334" s="148"/>
      <c r="F334" s="148"/>
      <c r="G334" s="237">
        <v>5.36</v>
      </c>
      <c r="H334" s="154">
        <f>C334*G334</f>
        <v>0</v>
      </c>
      <c r="I334" s="247" t="s">
        <v>352</v>
      </c>
      <c r="J334" s="244">
        <v>9.5500000000000007</v>
      </c>
      <c r="K334" s="245" t="s">
        <v>377</v>
      </c>
      <c r="L334" s="170"/>
      <c r="M334" s="171"/>
      <c r="N334" s="170"/>
      <c r="O334" s="170"/>
      <c r="P334" s="170"/>
    </row>
    <row r="335" spans="1:16" s="16" customFormat="1" ht="18" customHeight="1">
      <c r="A335" s="1"/>
      <c r="B335" s="156" t="s">
        <v>364</v>
      </c>
      <c r="C335" s="167">
        <f>C319</f>
        <v>13.99</v>
      </c>
      <c r="D335" s="239">
        <v>1</v>
      </c>
      <c r="E335" s="148"/>
      <c r="F335" s="148"/>
      <c r="G335" s="237">
        <v>1.25</v>
      </c>
      <c r="H335" s="154"/>
      <c r="I335" s="149" t="s">
        <v>363</v>
      </c>
      <c r="J335" s="244">
        <v>1.25</v>
      </c>
      <c r="K335" s="245" t="s">
        <v>363</v>
      </c>
      <c r="L335" s="170"/>
      <c r="M335" s="171"/>
      <c r="N335" s="170"/>
      <c r="O335" s="170"/>
      <c r="P335" s="170"/>
    </row>
    <row r="336" spans="1:16" s="16" customFormat="1" ht="18" customHeight="1">
      <c r="A336" s="1"/>
      <c r="B336" s="156" t="s">
        <v>365</v>
      </c>
      <c r="C336" s="167">
        <f>C320</f>
        <v>13.99</v>
      </c>
      <c r="D336" s="239">
        <v>1</v>
      </c>
      <c r="E336" s="148"/>
      <c r="F336" s="148"/>
      <c r="G336" s="237">
        <v>1.63</v>
      </c>
      <c r="H336" s="154"/>
      <c r="I336" s="149" t="s">
        <v>363</v>
      </c>
      <c r="J336" s="244">
        <v>1.63</v>
      </c>
      <c r="K336" s="245" t="s">
        <v>363</v>
      </c>
      <c r="L336" s="170"/>
      <c r="M336" s="171"/>
      <c r="N336" s="170"/>
      <c r="O336" s="170"/>
      <c r="P336" s="170"/>
    </row>
    <row r="337" spans="1:16" s="16" customFormat="1" ht="18" customHeight="1">
      <c r="A337" s="1"/>
      <c r="B337" s="150" t="s">
        <v>231</v>
      </c>
      <c r="C337" s="165"/>
      <c r="D337" s="50"/>
      <c r="E337" s="50"/>
      <c r="F337" s="50"/>
      <c r="G337" s="166"/>
      <c r="H337" s="155">
        <f>SUM(H323:H336)*1.05</f>
        <v>77.82975900000001</v>
      </c>
      <c r="I337" s="152"/>
      <c r="J337" s="172"/>
      <c r="K337" s="170"/>
      <c r="L337" s="170"/>
      <c r="M337" s="170"/>
      <c r="N337" s="170"/>
      <c r="O337" s="170"/>
      <c r="P337" s="170"/>
    </row>
    <row r="338" spans="1:16" s="16" customFormat="1" ht="18" customHeight="1">
      <c r="A338" s="1"/>
      <c r="B338" s="173" t="s">
        <v>366</v>
      </c>
      <c r="C338" s="174">
        <f>F250+F258+F265+F280+F285+F290</f>
        <v>0</v>
      </c>
      <c r="D338" s="175">
        <v>2</v>
      </c>
      <c r="E338" s="176"/>
      <c r="F338" s="176"/>
      <c r="G338" s="240">
        <v>0.5</v>
      </c>
      <c r="H338" s="177">
        <f t="shared" ref="H338:H343" si="56">D338*G338*C338</f>
        <v>0</v>
      </c>
      <c r="I338" s="178" t="s">
        <v>233</v>
      </c>
      <c r="J338" s="172"/>
      <c r="K338" s="170"/>
      <c r="L338" s="170"/>
      <c r="M338" s="170"/>
      <c r="N338" s="170"/>
      <c r="O338" s="170"/>
      <c r="P338" s="170"/>
    </row>
    <row r="339" spans="1:16" s="16" customFormat="1" ht="18" customHeight="1">
      <c r="A339" s="1"/>
      <c r="B339" s="173" t="s">
        <v>367</v>
      </c>
      <c r="C339" s="174">
        <f>F233+F242+F269+F273</f>
        <v>2</v>
      </c>
      <c r="D339" s="175">
        <v>4</v>
      </c>
      <c r="E339" s="176"/>
      <c r="F339" s="176"/>
      <c r="G339" s="240">
        <v>0.63</v>
      </c>
      <c r="H339" s="177">
        <f t="shared" si="56"/>
        <v>5.04</v>
      </c>
      <c r="I339" s="178" t="s">
        <v>234</v>
      </c>
      <c r="J339" s="172"/>
      <c r="K339" s="170"/>
      <c r="L339" s="170"/>
      <c r="M339" s="170"/>
      <c r="N339" s="170"/>
      <c r="O339" s="170"/>
      <c r="P339" s="170"/>
    </row>
    <row r="340" spans="1:16" s="16" customFormat="1" ht="18" customHeight="1">
      <c r="A340" s="1"/>
      <c r="B340" s="173" t="s">
        <v>366</v>
      </c>
      <c r="C340" s="174">
        <f>SUM(G157:G162)</f>
        <v>0</v>
      </c>
      <c r="D340" s="175">
        <f>IF(E113&gt;2200,2,0)</f>
        <v>0</v>
      </c>
      <c r="E340" s="176"/>
      <c r="F340" s="176"/>
      <c r="G340" s="240">
        <v>0.5</v>
      </c>
      <c r="H340" s="177">
        <f t="shared" si="56"/>
        <v>0</v>
      </c>
      <c r="I340" s="178" t="s">
        <v>235</v>
      </c>
      <c r="J340" s="172"/>
      <c r="K340" s="170"/>
      <c r="L340" s="170"/>
      <c r="M340" s="170"/>
      <c r="N340" s="170"/>
      <c r="O340" s="170"/>
      <c r="P340" s="170"/>
    </row>
    <row r="341" spans="1:16" s="16" customFormat="1" ht="18" customHeight="1">
      <c r="A341" s="1"/>
      <c r="B341" s="173" t="s">
        <v>367</v>
      </c>
      <c r="C341" s="174">
        <f>SUM(G116:G118)</f>
        <v>2</v>
      </c>
      <c r="D341" s="175">
        <v>4</v>
      </c>
      <c r="E341" s="176"/>
      <c r="F341" s="176"/>
      <c r="G341" s="240">
        <v>0.63</v>
      </c>
      <c r="H341" s="177">
        <f t="shared" si="56"/>
        <v>5.04</v>
      </c>
      <c r="I341" s="178" t="s">
        <v>236</v>
      </c>
      <c r="J341" s="172"/>
      <c r="K341" s="170"/>
      <c r="L341" s="170"/>
      <c r="M341" s="170"/>
      <c r="N341" s="170"/>
      <c r="O341" s="170"/>
      <c r="P341" s="170"/>
    </row>
    <row r="342" spans="1:16" ht="18" customHeight="1">
      <c r="B342" s="173" t="s">
        <v>237</v>
      </c>
      <c r="C342" s="174">
        <v>1</v>
      </c>
      <c r="D342" s="175">
        <f>(F291+F292)*10</f>
        <v>20</v>
      </c>
      <c r="E342" s="176"/>
      <c r="F342" s="176"/>
      <c r="G342" s="240">
        <v>0.37</v>
      </c>
      <c r="H342" s="177">
        <f t="shared" si="56"/>
        <v>7.4</v>
      </c>
      <c r="I342" s="178"/>
      <c r="J342" s="172"/>
      <c r="K342" s="172"/>
      <c r="L342" s="172"/>
      <c r="N342" s="43"/>
    </row>
    <row r="343" spans="1:16" ht="18" customHeight="1">
      <c r="B343" s="173" t="s">
        <v>232</v>
      </c>
      <c r="C343" s="174">
        <f>C338</f>
        <v>0</v>
      </c>
      <c r="D343" s="175">
        <v>0</v>
      </c>
      <c r="E343" s="176"/>
      <c r="F343" s="176"/>
      <c r="G343" s="240">
        <v>0.49</v>
      </c>
      <c r="H343" s="177">
        <f t="shared" si="56"/>
        <v>0</v>
      </c>
      <c r="I343" s="178" t="s">
        <v>238</v>
      </c>
      <c r="J343" s="172"/>
      <c r="K343" s="172"/>
      <c r="L343" s="172"/>
      <c r="N343" s="43"/>
    </row>
    <row r="344" spans="1:16" ht="18" customHeight="1">
      <c r="B344" s="156" t="s">
        <v>239</v>
      </c>
      <c r="C344" s="157"/>
      <c r="D344" s="250">
        <f>E203+E205*2+E207*2+I203+I205*2+I207*2</f>
        <v>20</v>
      </c>
      <c r="E344" s="148"/>
      <c r="F344" s="148"/>
      <c r="G344" s="148">
        <v>0.2</v>
      </c>
      <c r="H344" s="179">
        <f>D344*G344</f>
        <v>4</v>
      </c>
      <c r="I344" s="247" t="s">
        <v>368</v>
      </c>
      <c r="J344" s="172"/>
      <c r="K344" s="172"/>
      <c r="L344" s="172"/>
    </row>
    <row r="345" spans="1:16" ht="18" customHeight="1">
      <c r="B345" s="156" t="s">
        <v>240</v>
      </c>
      <c r="C345" s="157"/>
      <c r="D345" s="250">
        <f>4*(E52+E53+E54+E55+G52+G53+G54+G55+G60+G61+G62+G63+E130+E131+E132+G130+G131+G132+G137+G138)</f>
        <v>4</v>
      </c>
      <c r="E345" s="148"/>
      <c r="F345" s="148"/>
      <c r="G345" s="148">
        <v>0.22</v>
      </c>
      <c r="H345" s="179">
        <f>D345*G345</f>
        <v>0.88</v>
      </c>
      <c r="I345" s="247" t="s">
        <v>241</v>
      </c>
      <c r="J345" s="172"/>
      <c r="K345" s="172"/>
      <c r="L345" s="172"/>
    </row>
    <row r="346" spans="1:16" ht="18" customHeight="1">
      <c r="B346" s="156" t="s">
        <v>242</v>
      </c>
      <c r="C346" s="157"/>
      <c r="D346" s="250">
        <f>D345/2</f>
        <v>2</v>
      </c>
      <c r="E346" s="148"/>
      <c r="F346" s="148"/>
      <c r="G346" s="148">
        <v>0.22</v>
      </c>
      <c r="H346" s="179">
        <f>ROUND(D346*G346,2)</f>
        <v>0.44</v>
      </c>
      <c r="I346" s="247" t="s">
        <v>243</v>
      </c>
      <c r="J346" s="172"/>
      <c r="K346" s="172"/>
      <c r="L346" s="172"/>
    </row>
    <row r="347" spans="1:16" ht="18" customHeight="1">
      <c r="B347" s="156" t="s">
        <v>369</v>
      </c>
      <c r="C347" s="157"/>
      <c r="D347" s="250">
        <f>D346</f>
        <v>2</v>
      </c>
      <c r="E347" s="148"/>
      <c r="F347" s="148"/>
      <c r="G347" s="148">
        <v>1.37</v>
      </c>
      <c r="H347" s="179">
        <f>ROUND(D347*G347,2)</f>
        <v>2.74</v>
      </c>
      <c r="I347" s="247" t="s">
        <v>370</v>
      </c>
      <c r="J347" s="172"/>
      <c r="K347" s="172"/>
      <c r="L347" s="172"/>
    </row>
    <row r="348" spans="1:16" ht="18" customHeight="1">
      <c r="B348" s="156" t="s">
        <v>244</v>
      </c>
      <c r="C348" s="157"/>
      <c r="D348" s="250">
        <f>(F291+F292)*2</f>
        <v>4</v>
      </c>
      <c r="E348" s="148"/>
      <c r="F348" s="148"/>
      <c r="G348" s="148">
        <v>0.48</v>
      </c>
      <c r="H348" s="179">
        <f>ROUND(D348*G348,2)</f>
        <v>1.92</v>
      </c>
      <c r="I348" s="247" t="s">
        <v>245</v>
      </c>
      <c r="J348" s="255"/>
    </row>
    <row r="349" spans="1:16" ht="18" customHeight="1">
      <c r="B349" s="156" t="s">
        <v>246</v>
      </c>
      <c r="C349" s="157"/>
      <c r="D349" s="250">
        <f>ROUND((D4+E4-240)*2/200+E217*F217/200,0)</f>
        <v>61</v>
      </c>
      <c r="E349" s="148"/>
      <c r="F349" s="148"/>
      <c r="G349" s="148">
        <v>0.05</v>
      </c>
      <c r="H349" s="179">
        <f>ROUND(D349*G349,2)</f>
        <v>3.05</v>
      </c>
      <c r="I349" s="247" t="s">
        <v>247</v>
      </c>
      <c r="J349" s="255"/>
    </row>
    <row r="350" spans="1:16" ht="18" customHeight="1">
      <c r="B350" s="150" t="s">
        <v>248</v>
      </c>
      <c r="C350" s="165"/>
      <c r="D350" s="50"/>
      <c r="E350" s="50"/>
      <c r="F350" s="50"/>
      <c r="G350" s="166"/>
      <c r="H350" s="155">
        <f>SUM(H338:H349)</f>
        <v>30.51</v>
      </c>
      <c r="I350" s="152"/>
    </row>
    <row r="351" spans="1:16" ht="18" customHeight="1">
      <c r="B351" s="156" t="s">
        <v>359</v>
      </c>
      <c r="C351" s="157"/>
      <c r="D351" s="250">
        <f>SUMPRODUCT(G26:G30)*8+SUMPRODUCT(G35:G37)*8+SUMPRODUCT(G116:G118)*8+SUMPRODUCT(G123:G125)*8</f>
        <v>16</v>
      </c>
      <c r="E351" s="148"/>
      <c r="F351" s="148"/>
      <c r="G351" s="148">
        <v>1.26</v>
      </c>
      <c r="H351" s="154">
        <f>ROUND(D351*G351,2)</f>
        <v>20.16</v>
      </c>
      <c r="I351" s="247" t="s">
        <v>386</v>
      </c>
    </row>
    <row r="352" spans="1:16" ht="18" customHeight="1">
      <c r="B352" s="156" t="s">
        <v>360</v>
      </c>
      <c r="C352" s="157"/>
      <c r="D352" s="250">
        <f>G26*4+G27*4+G28*4+G29*4+G30*4</f>
        <v>0</v>
      </c>
      <c r="E352" s="148"/>
      <c r="F352" s="148"/>
      <c r="G352" s="148">
        <v>2</v>
      </c>
      <c r="H352" s="154">
        <f>ROUND(D352*G352,2)</f>
        <v>0</v>
      </c>
      <c r="I352" s="247" t="s">
        <v>361</v>
      </c>
    </row>
    <row r="353" spans="1:22" ht="18" customHeight="1">
      <c r="B353" s="156" t="s">
        <v>249</v>
      </c>
      <c r="C353" s="157"/>
      <c r="D353" s="250"/>
      <c r="E353" s="148"/>
      <c r="F353" s="148"/>
      <c r="G353" s="148">
        <v>1.6</v>
      </c>
      <c r="H353" s="154"/>
      <c r="I353" s="247"/>
    </row>
    <row r="354" spans="1:22" ht="18" customHeight="1">
      <c r="B354" s="156" t="s">
        <v>250</v>
      </c>
      <c r="C354" s="157"/>
      <c r="D354" s="44">
        <f>C22+C31+C38+C48+C56+C64+C112+C119+C126+C133+C139+C199</f>
        <v>28.120999999999999</v>
      </c>
      <c r="E354" s="148"/>
      <c r="F354" s="148"/>
      <c r="G354" s="179">
        <v>4</v>
      </c>
      <c r="H354" s="154">
        <f t="shared" ref="H354:H356" si="57">ROUND(D354*G354,2)</f>
        <v>112.48</v>
      </c>
      <c r="I354" s="247"/>
    </row>
    <row r="355" spans="1:22" ht="18" customHeight="1">
      <c r="B355" s="156" t="s">
        <v>251</v>
      </c>
      <c r="C355" s="157" t="s">
        <v>252</v>
      </c>
      <c r="D355" s="44">
        <f>C88+C163</f>
        <v>0</v>
      </c>
      <c r="E355" s="148"/>
      <c r="F355" s="148"/>
      <c r="G355" s="179">
        <v>3.15</v>
      </c>
      <c r="H355" s="154">
        <f t="shared" si="57"/>
        <v>0</v>
      </c>
      <c r="I355" s="247"/>
    </row>
    <row r="356" spans="1:22" ht="18" customHeight="1">
      <c r="B356" s="156" t="s">
        <v>253</v>
      </c>
      <c r="C356" s="157" t="s">
        <v>254</v>
      </c>
      <c r="D356" s="44">
        <f>C97+C104+C146+C153</f>
        <v>13.992000000000001</v>
      </c>
      <c r="E356" s="148"/>
      <c r="F356" s="148"/>
      <c r="G356" s="179">
        <v>3.65</v>
      </c>
      <c r="H356" s="154">
        <f t="shared" si="57"/>
        <v>51.07</v>
      </c>
      <c r="I356" s="247"/>
    </row>
    <row r="357" spans="1:22" ht="18" customHeight="1">
      <c r="B357" s="156" t="s">
        <v>387</v>
      </c>
      <c r="C357" s="157"/>
      <c r="D357" s="44">
        <f>F291+F292</f>
        <v>2</v>
      </c>
      <c r="E357" s="148"/>
      <c r="F357" s="148"/>
      <c r="G357" s="179">
        <v>6</v>
      </c>
      <c r="H357" s="154"/>
      <c r="I357" s="247"/>
    </row>
    <row r="358" spans="1:22" ht="18" customHeight="1">
      <c r="B358" s="156" t="s">
        <v>255</v>
      </c>
      <c r="C358" s="157"/>
      <c r="D358" s="180">
        <f>D14*1.5/1000</f>
        <v>0</v>
      </c>
      <c r="E358" s="148"/>
      <c r="F358" s="148"/>
      <c r="G358" s="148">
        <v>70</v>
      </c>
      <c r="H358" s="154">
        <f>D358*G358</f>
        <v>0</v>
      </c>
      <c r="I358" s="247"/>
    </row>
    <row r="359" spans="1:22" ht="18" customHeight="1">
      <c r="B359" s="156" t="s">
        <v>858</v>
      </c>
      <c r="C359" s="157"/>
      <c r="D359" s="180">
        <f>D4/1000</f>
        <v>2.4</v>
      </c>
      <c r="E359" s="148"/>
      <c r="F359" s="148"/>
      <c r="G359" s="148">
        <v>180</v>
      </c>
      <c r="H359" s="154">
        <f>D359*G359</f>
        <v>432</v>
      </c>
      <c r="I359" s="247"/>
    </row>
    <row r="360" spans="1:22" ht="18" customHeight="1">
      <c r="B360" s="156" t="s">
        <v>388</v>
      </c>
      <c r="C360" s="157"/>
      <c r="D360" s="250">
        <v>1</v>
      </c>
      <c r="E360" s="148"/>
      <c r="F360" s="148"/>
      <c r="G360" s="148">
        <v>9.6</v>
      </c>
      <c r="H360" s="154">
        <f>ROUND(D360*G360,2)</f>
        <v>9.6</v>
      </c>
      <c r="I360" s="247"/>
    </row>
    <row r="361" spans="1:22" ht="18" customHeight="1">
      <c r="B361" s="156"/>
      <c r="C361" s="157"/>
      <c r="D361" s="463"/>
      <c r="E361" s="148"/>
      <c r="F361" s="148"/>
      <c r="G361" s="148"/>
      <c r="H361" s="154"/>
      <c r="I361" s="468"/>
    </row>
    <row r="362" spans="1:22" ht="18" customHeight="1">
      <c r="B362" s="181" t="s">
        <v>398</v>
      </c>
      <c r="C362" s="157"/>
      <c r="D362" s="182">
        <f>F366</f>
        <v>6.1861499999999996</v>
      </c>
      <c r="E362" s="148"/>
      <c r="F362" s="148"/>
      <c r="G362" s="148">
        <v>3</v>
      </c>
      <c r="H362" s="154">
        <f>D362*G362</f>
        <v>18.558450000000001</v>
      </c>
      <c r="I362" s="247"/>
    </row>
    <row r="363" spans="1:22" ht="18" customHeight="1">
      <c r="B363" s="150" t="s">
        <v>256</v>
      </c>
      <c r="C363" s="50"/>
      <c r="D363" s="50"/>
      <c r="E363" s="50"/>
      <c r="F363" s="50"/>
      <c r="G363" s="166"/>
      <c r="H363" s="155">
        <f>SUM(H351:H362)</f>
        <v>643.86845000000005</v>
      </c>
      <c r="I363" s="183"/>
    </row>
    <row r="364" spans="1:22" ht="18" customHeight="1">
      <c r="B364" s="248" t="s">
        <v>257</v>
      </c>
      <c r="C364" s="185"/>
      <c r="D364" s="186"/>
      <c r="E364" s="185"/>
      <c r="F364" s="186"/>
      <c r="G364" s="186"/>
      <c r="H364" s="187">
        <f>SUM(H363,H350,H337,H322,H314,H308,H304)</f>
        <v>1367.6682089999999</v>
      </c>
      <c r="I364" s="188"/>
    </row>
    <row r="365" spans="1:22" ht="18" customHeight="1">
      <c r="A365" s="189"/>
      <c r="B365" s="190" t="s">
        <v>258</v>
      </c>
      <c r="C365" s="10" t="s">
        <v>14</v>
      </c>
      <c r="D365" s="10" t="s">
        <v>16</v>
      </c>
      <c r="E365" s="10" t="s">
        <v>17</v>
      </c>
      <c r="F365" s="10" t="s">
        <v>7</v>
      </c>
      <c r="G365" s="10" t="s">
        <v>5</v>
      </c>
      <c r="H365" s="10" t="s">
        <v>18</v>
      </c>
      <c r="I365" s="191" t="s">
        <v>259</v>
      </c>
      <c r="L365" s="192"/>
      <c r="M365" s="192"/>
    </row>
    <row r="366" spans="1:22" ht="18" customHeight="1">
      <c r="B366" s="48">
        <f>ROUND(I366/F366,2)</f>
        <v>876.49</v>
      </c>
      <c r="C366" s="50" t="s">
        <v>299</v>
      </c>
      <c r="D366" s="50">
        <f>D5</f>
        <v>2330</v>
      </c>
      <c r="E366" s="50">
        <f>E5</f>
        <v>2655</v>
      </c>
      <c r="F366" s="49">
        <f>E366*D366/1000000</f>
        <v>6.1861499999999996</v>
      </c>
      <c r="G366" s="50">
        <f>G4</f>
        <v>1</v>
      </c>
      <c r="H366" s="49">
        <f>F366</f>
        <v>6.1861499999999996</v>
      </c>
      <c r="I366" s="193">
        <f>H364+H291+H292+I223+I12</f>
        <v>5422.1014977199993</v>
      </c>
      <c r="K366" s="192"/>
    </row>
    <row r="367" spans="1:22" ht="18" customHeight="1">
      <c r="B367" s="194" t="s">
        <v>258</v>
      </c>
      <c r="C367" s="195" t="s">
        <v>260</v>
      </c>
      <c r="D367" s="195" t="s">
        <v>261</v>
      </c>
      <c r="E367" s="195" t="s">
        <v>262</v>
      </c>
      <c r="F367" s="195" t="s">
        <v>263</v>
      </c>
      <c r="G367" s="195" t="s">
        <v>264</v>
      </c>
      <c r="H367" s="195" t="s">
        <v>265</v>
      </c>
      <c r="I367" s="196" t="s">
        <v>266</v>
      </c>
    </row>
    <row r="368" spans="1:22" ht="30" customHeight="1" thickBot="1">
      <c r="B368" s="197">
        <f>ROUND(I366/H366,2)</f>
        <v>876.49</v>
      </c>
      <c r="C368" s="198">
        <f>E294+E296+E298+E300+E302+E303+E297+E299</f>
        <v>1</v>
      </c>
      <c r="D368" s="199"/>
      <c r="E368" s="199"/>
      <c r="F368" s="200"/>
      <c r="G368" s="200"/>
      <c r="H368" s="200"/>
      <c r="I368" s="201"/>
      <c r="O368" s="631" t="s">
        <v>603</v>
      </c>
      <c r="P368" s="631"/>
      <c r="Q368" s="631"/>
      <c r="R368" s="631"/>
      <c r="S368" s="631"/>
      <c r="T368" s="631"/>
      <c r="U368" s="631"/>
      <c r="V368" s="631"/>
    </row>
    <row r="369" spans="2:22" ht="20.100000000000001" customHeight="1">
      <c r="B369" s="42"/>
      <c r="L369" s="202"/>
      <c r="M369" s="202"/>
      <c r="N369" s="202"/>
      <c r="O369" s="634" t="s">
        <v>604</v>
      </c>
      <c r="P369" s="634"/>
      <c r="Q369" s="634"/>
      <c r="R369" s="634"/>
      <c r="S369" s="634"/>
      <c r="T369" s="634"/>
      <c r="U369" s="634"/>
      <c r="V369" s="634"/>
    </row>
    <row r="370" spans="2:22" ht="20.100000000000001" customHeight="1">
      <c r="B370" s="102" t="s">
        <v>602</v>
      </c>
      <c r="C370" s="203"/>
      <c r="D370" s="203" t="s">
        <v>267</v>
      </c>
      <c r="E370" s="203"/>
      <c r="J370" s="102"/>
      <c r="O370" s="285" t="s">
        <v>279</v>
      </c>
      <c r="P370" s="624" t="s">
        <v>629</v>
      </c>
      <c r="Q370" s="625"/>
      <c r="R370" s="312" t="str">
        <f ca="1">B4</f>
        <v>套门</v>
      </c>
      <c r="S370" s="312"/>
      <c r="T370" s="313"/>
      <c r="U370" s="287" t="s">
        <v>605</v>
      </c>
      <c r="V370" s="288"/>
    </row>
    <row r="371" spans="2:22" ht="24.95" customHeight="1">
      <c r="B371" s="102">
        <f>ROUND(I366/F4,2)</f>
        <v>829.07</v>
      </c>
      <c r="C371" s="203"/>
      <c r="D371" s="203">
        <f>E304</f>
        <v>1</v>
      </c>
      <c r="E371" s="203"/>
      <c r="J371" s="102"/>
      <c r="O371" s="635" t="s">
        <v>606</v>
      </c>
      <c r="P371" s="623" t="s">
        <v>626</v>
      </c>
      <c r="Q371" s="623"/>
      <c r="R371" s="623"/>
      <c r="S371" s="623"/>
      <c r="T371" s="637"/>
      <c r="U371" s="291" t="s">
        <v>607</v>
      </c>
      <c r="V371" s="292" t="s">
        <v>313</v>
      </c>
    </row>
    <row r="372" spans="2:22" ht="24.95" customHeight="1">
      <c r="L372" s="102"/>
      <c r="M372" s="102"/>
      <c r="N372" s="102"/>
      <c r="O372" s="636"/>
      <c r="P372" s="638"/>
      <c r="Q372" s="638"/>
      <c r="R372" s="638"/>
      <c r="S372" s="638"/>
      <c r="T372" s="638"/>
      <c r="U372" s="291" t="s">
        <v>268</v>
      </c>
      <c r="V372" s="293">
        <f>F4</f>
        <v>6.54</v>
      </c>
    </row>
    <row r="373" spans="2:22" ht="24.95" customHeight="1">
      <c r="J373" s="102"/>
      <c r="K373" s="102"/>
      <c r="L373" s="102"/>
      <c r="M373" s="102"/>
      <c r="N373" s="102"/>
      <c r="O373" s="311" t="s">
        <v>0</v>
      </c>
      <c r="P373" s="289" t="s">
        <v>608</v>
      </c>
      <c r="Q373" s="289" t="s">
        <v>627</v>
      </c>
      <c r="R373" s="289" t="s">
        <v>269</v>
      </c>
      <c r="S373" s="294" t="s">
        <v>8</v>
      </c>
      <c r="T373" s="295" t="s">
        <v>609</v>
      </c>
      <c r="U373" s="296" t="s">
        <v>270</v>
      </c>
      <c r="V373" s="295" t="s">
        <v>610</v>
      </c>
    </row>
    <row r="374" spans="2:22" ht="20.100000000000001" customHeight="1">
      <c r="J374" s="102"/>
      <c r="K374" s="102"/>
      <c r="L374" s="102"/>
      <c r="M374" s="102"/>
      <c r="N374" s="102"/>
      <c r="O374" s="297" t="s">
        <v>305</v>
      </c>
      <c r="P374" s="298" t="s">
        <v>611</v>
      </c>
      <c r="Q374" s="298"/>
      <c r="R374" s="286"/>
      <c r="S374" s="299"/>
      <c r="T374" s="300"/>
      <c r="U374" s="301">
        <f>SUM(U375:U383)</f>
        <v>5422.0991377199989</v>
      </c>
      <c r="V374" s="286"/>
    </row>
    <row r="375" spans="2:22" ht="20.100000000000001" customHeight="1">
      <c r="J375" s="102"/>
      <c r="K375" s="102"/>
      <c r="L375" s="102"/>
      <c r="M375" s="102"/>
      <c r="N375" s="102"/>
      <c r="O375" s="286">
        <v>1</v>
      </c>
      <c r="P375" s="302" t="s">
        <v>612</v>
      </c>
      <c r="Q375" s="307"/>
      <c r="R375" s="286" t="s">
        <v>271</v>
      </c>
      <c r="S375" s="303">
        <f>E223</f>
        <v>70.502080000000007</v>
      </c>
      <c r="T375" s="304">
        <f>I223/E223</f>
        <v>46.98887307608512</v>
      </c>
      <c r="U375" s="305">
        <f t="shared" ref="U375:U383" si="58">T375*S375</f>
        <v>3312.8132887199995</v>
      </c>
      <c r="V375" s="306"/>
    </row>
    <row r="376" spans="2:22" ht="20.100000000000001" customHeight="1">
      <c r="J376" s="102"/>
      <c r="K376" s="102"/>
      <c r="L376" s="102"/>
      <c r="M376" s="102"/>
      <c r="N376" s="102"/>
      <c r="O376" s="286">
        <v>2</v>
      </c>
      <c r="P376" s="290" t="s">
        <v>613</v>
      </c>
      <c r="Q376" s="307"/>
      <c r="R376" s="286" t="s">
        <v>276</v>
      </c>
      <c r="S376" s="303">
        <f>D358</f>
        <v>0</v>
      </c>
      <c r="T376" s="304">
        <f>G358</f>
        <v>70</v>
      </c>
      <c r="U376" s="305">
        <f t="shared" si="58"/>
        <v>0</v>
      </c>
      <c r="V376" s="306"/>
    </row>
    <row r="377" spans="2:22" ht="20.100000000000001" customHeight="1">
      <c r="J377" s="102"/>
      <c r="K377" s="102"/>
      <c r="L377" s="102"/>
      <c r="M377" s="102"/>
      <c r="N377" s="102"/>
      <c r="O377" s="286">
        <v>3</v>
      </c>
      <c r="P377" s="302" t="s">
        <v>614</v>
      </c>
      <c r="Q377" s="302"/>
      <c r="R377" s="286" t="s">
        <v>312</v>
      </c>
      <c r="S377" s="303">
        <f>D291+D292</f>
        <v>5.0109300000000001</v>
      </c>
      <c r="T377" s="304">
        <f>材料价格!B10</f>
        <v>148</v>
      </c>
      <c r="U377" s="305">
        <f t="shared" si="58"/>
        <v>741.61764000000005</v>
      </c>
      <c r="V377" s="306"/>
    </row>
    <row r="378" spans="2:22" ht="20.100000000000001" customHeight="1">
      <c r="B378" s="630" t="s">
        <v>277</v>
      </c>
      <c r="C378" s="630"/>
      <c r="D378" s="630"/>
      <c r="E378" s="630"/>
      <c r="F378" s="630"/>
      <c r="G378" s="630"/>
      <c r="H378" s="630"/>
      <c r="I378" s="630"/>
      <c r="J378" s="102"/>
      <c r="K378" s="102"/>
      <c r="L378" s="102"/>
      <c r="M378" s="102"/>
      <c r="N378" s="102"/>
      <c r="O378" s="286">
        <v>4</v>
      </c>
      <c r="P378" s="302" t="s">
        <v>615</v>
      </c>
      <c r="Q378" s="306"/>
      <c r="R378" s="286" t="s">
        <v>278</v>
      </c>
      <c r="S378" s="303">
        <f>(H316+H317+H319+H320+H321)/F316</f>
        <v>9.7100938967136159</v>
      </c>
      <c r="T378" s="304">
        <f>材料价格!B25</f>
        <v>8.52</v>
      </c>
      <c r="U378" s="305">
        <f t="shared" si="58"/>
        <v>82.73</v>
      </c>
      <c r="V378" s="306"/>
    </row>
    <row r="379" spans="2:22" ht="20.100000000000001" customHeight="1">
      <c r="B379" s="204" t="s">
        <v>279</v>
      </c>
      <c r="C379" s="205" t="s">
        <v>280</v>
      </c>
      <c r="D379" s="205" t="s">
        <v>281</v>
      </c>
      <c r="E379" s="205" t="s">
        <v>282</v>
      </c>
      <c r="F379" s="205" t="s">
        <v>379</v>
      </c>
      <c r="G379" s="205"/>
      <c r="H379" s="205" t="s">
        <v>28</v>
      </c>
      <c r="I379" s="205" t="s">
        <v>259</v>
      </c>
      <c r="J379" s="102"/>
      <c r="K379" s="102"/>
      <c r="L379" s="102"/>
      <c r="M379" s="102"/>
      <c r="N379" s="102"/>
      <c r="O379" s="286">
        <v>5</v>
      </c>
      <c r="P379" s="306" t="s">
        <v>616</v>
      </c>
      <c r="Q379" s="302"/>
      <c r="R379" s="286" t="s">
        <v>628</v>
      </c>
      <c r="S379" s="303">
        <f>H337/21</f>
        <v>3.7061790000000006</v>
      </c>
      <c r="T379" s="304">
        <v>21</v>
      </c>
      <c r="U379" s="305">
        <f t="shared" si="58"/>
        <v>77.82975900000001</v>
      </c>
      <c r="V379" s="306"/>
    </row>
    <row r="380" spans="2:22" ht="20.100000000000001" customHeight="1">
      <c r="B380" s="206" t="s">
        <v>284</v>
      </c>
      <c r="C380" s="208" t="s">
        <v>384</v>
      </c>
      <c r="D380" s="207">
        <f>C22+C31+C38+C48+C56+C112+C119+C126+C133+C139+C177+C184+C191+C199</f>
        <v>28.120999999999999</v>
      </c>
      <c r="E380" s="207" t="s">
        <v>383</v>
      </c>
      <c r="F380" s="206"/>
      <c r="G380" s="206"/>
      <c r="H380" s="241">
        <v>2.4</v>
      </c>
      <c r="I380" s="207"/>
      <c r="J380" s="102"/>
      <c r="K380" s="102"/>
      <c r="L380" s="102"/>
      <c r="M380" s="102"/>
      <c r="N380" s="102"/>
      <c r="O380" s="286">
        <v>6</v>
      </c>
      <c r="P380" s="302" t="s">
        <v>319</v>
      </c>
      <c r="Q380" s="302"/>
      <c r="R380" s="286" t="s">
        <v>273</v>
      </c>
      <c r="S380" s="303"/>
      <c r="T380" s="304"/>
      <c r="U380" s="305">
        <f t="shared" si="58"/>
        <v>0</v>
      </c>
      <c r="V380" s="306"/>
    </row>
    <row r="381" spans="2:22" ht="20.100000000000001" customHeight="1">
      <c r="B381" s="206" t="s">
        <v>286</v>
      </c>
      <c r="C381" s="206" t="s">
        <v>287</v>
      </c>
      <c r="D381" s="209">
        <f>(J22+J31+J38+J48+J112+J119+J126)*4+(J56+J133)*2</f>
        <v>12</v>
      </c>
      <c r="E381" s="207" t="s">
        <v>285</v>
      </c>
      <c r="F381" s="206"/>
      <c r="G381" s="206"/>
      <c r="H381" s="241">
        <v>0.5</v>
      </c>
      <c r="I381" s="207">
        <f>H381*D381</f>
        <v>6</v>
      </c>
      <c r="J381" s="102"/>
      <c r="K381" s="102"/>
      <c r="L381" s="102"/>
      <c r="M381" s="102"/>
      <c r="N381" s="102"/>
      <c r="O381" s="286">
        <v>7</v>
      </c>
      <c r="P381" s="302" t="s">
        <v>295</v>
      </c>
      <c r="Q381" s="302"/>
      <c r="R381" s="286" t="s">
        <v>273</v>
      </c>
      <c r="S381" s="303"/>
      <c r="T381" s="304">
        <f>材料价格!B19</f>
        <v>230</v>
      </c>
      <c r="U381" s="305">
        <f t="shared" si="58"/>
        <v>0</v>
      </c>
      <c r="V381" s="306"/>
    </row>
    <row r="382" spans="2:22" ht="20.100000000000001" customHeight="1">
      <c r="B382" s="206" t="s">
        <v>289</v>
      </c>
      <c r="C382" s="206"/>
      <c r="D382" s="210">
        <f>ROUND((C22+C56*2+C64*2+C112+C133*2+C139*2)/0.3,0)+2</f>
        <v>54</v>
      </c>
      <c r="E382" s="207" t="s">
        <v>285</v>
      </c>
      <c r="F382" s="206"/>
      <c r="G382" s="206"/>
      <c r="H382" s="241">
        <v>0.3</v>
      </c>
      <c r="I382" s="207">
        <f t="shared" ref="I382:I387" si="59">H382*D382</f>
        <v>16.2</v>
      </c>
      <c r="J382" s="102"/>
      <c r="K382" s="102"/>
      <c r="L382" s="102"/>
      <c r="M382" s="102"/>
      <c r="N382" s="102"/>
      <c r="O382" s="286">
        <v>8</v>
      </c>
      <c r="P382" s="302" t="s">
        <v>296</v>
      </c>
      <c r="Q382" s="302"/>
      <c r="R382" s="286" t="s">
        <v>273</v>
      </c>
      <c r="S382" s="303">
        <f>E303</f>
        <v>1</v>
      </c>
      <c r="T382" s="304">
        <f>材料价格!B20</f>
        <v>335</v>
      </c>
      <c r="U382" s="305">
        <f t="shared" si="58"/>
        <v>335</v>
      </c>
      <c r="V382" s="306"/>
    </row>
    <row r="383" spans="2:22" ht="20.100000000000001" customHeight="1">
      <c r="B383" s="206" t="s">
        <v>381</v>
      </c>
      <c r="C383" s="206" t="s">
        <v>389</v>
      </c>
      <c r="D383" s="211">
        <f>C22+C31+C38+C56*2+C64*2+C112+C119+C126+C133*2</f>
        <v>25.474</v>
      </c>
      <c r="E383" s="207" t="s">
        <v>285</v>
      </c>
      <c r="F383" s="206" t="s">
        <v>380</v>
      </c>
      <c r="G383" s="206"/>
      <c r="H383" s="241">
        <v>2.81</v>
      </c>
      <c r="I383" s="207">
        <f>H383*D383</f>
        <v>71.581940000000003</v>
      </c>
      <c r="J383" s="102"/>
      <c r="K383" s="102"/>
      <c r="L383" s="102"/>
      <c r="M383" s="102"/>
      <c r="N383" s="102"/>
      <c r="O383" s="286">
        <v>9</v>
      </c>
      <c r="P383" s="302" t="s">
        <v>617</v>
      </c>
      <c r="Q383" s="302"/>
      <c r="R383" s="286" t="s">
        <v>618</v>
      </c>
      <c r="S383" s="296">
        <v>1</v>
      </c>
      <c r="T383" s="304">
        <f>H363-H358+H350+H318+H315+H314</f>
        <v>872.10844999999995</v>
      </c>
      <c r="U383" s="305">
        <f t="shared" si="58"/>
        <v>872.10844999999995</v>
      </c>
      <c r="V383" s="306"/>
    </row>
    <row r="384" spans="2:22" ht="20.100000000000001" customHeight="1">
      <c r="B384" s="206" t="s">
        <v>390</v>
      </c>
      <c r="C384" s="206" t="s">
        <v>392</v>
      </c>
      <c r="D384" s="211">
        <f>C22+C88+C112+C163</f>
        <v>10.25</v>
      </c>
      <c r="E384" s="207" t="s">
        <v>285</v>
      </c>
      <c r="F384" s="206" t="s">
        <v>394</v>
      </c>
      <c r="G384" s="206"/>
      <c r="H384" s="241">
        <v>3.27</v>
      </c>
      <c r="I384" s="207">
        <f t="shared" ref="I384" si="60">H384*D384</f>
        <v>33.517499999999998</v>
      </c>
      <c r="J384" s="102"/>
      <c r="K384" s="102"/>
      <c r="L384" s="102"/>
      <c r="M384" s="102"/>
      <c r="N384" s="102"/>
      <c r="O384" s="297" t="s">
        <v>306</v>
      </c>
      <c r="P384" s="308" t="s">
        <v>314</v>
      </c>
      <c r="Q384" s="298"/>
      <c r="R384" s="286"/>
      <c r="S384" s="296"/>
      <c r="T384" s="309"/>
      <c r="U384" s="301">
        <f>SUM(U385:U386)</f>
        <v>1046.4000000000001</v>
      </c>
      <c r="V384" s="286"/>
    </row>
    <row r="385" spans="2:22" ht="20.100000000000001" customHeight="1">
      <c r="B385" s="206" t="s">
        <v>391</v>
      </c>
      <c r="C385" s="206" t="s">
        <v>393</v>
      </c>
      <c r="D385" s="211">
        <f>(C97+C104+C119+C126)*2</f>
        <v>30.448</v>
      </c>
      <c r="E385" s="207" t="s">
        <v>285</v>
      </c>
      <c r="F385" s="206" t="s">
        <v>395</v>
      </c>
      <c r="G385" s="206"/>
      <c r="H385" s="241">
        <v>1.74</v>
      </c>
      <c r="I385" s="207">
        <f t="shared" si="59"/>
        <v>52.979520000000001</v>
      </c>
      <c r="J385" s="102"/>
      <c r="K385" s="102"/>
      <c r="L385" s="102"/>
      <c r="M385" s="102"/>
      <c r="N385" s="102"/>
      <c r="O385" s="286">
        <v>1</v>
      </c>
      <c r="P385" s="307" t="s">
        <v>619</v>
      </c>
      <c r="Q385" s="307"/>
      <c r="R385" s="300" t="s">
        <v>312</v>
      </c>
      <c r="S385" s="296">
        <f>V372</f>
        <v>6.54</v>
      </c>
      <c r="T385" s="310">
        <v>60</v>
      </c>
      <c r="U385" s="305">
        <f>T385*S385</f>
        <v>392.4</v>
      </c>
      <c r="V385" s="286"/>
    </row>
    <row r="386" spans="2:22" ht="20.100000000000001" customHeight="1">
      <c r="B386" s="208" t="s">
        <v>382</v>
      </c>
      <c r="C386" s="206" t="s">
        <v>291</v>
      </c>
      <c r="D386" s="211">
        <f>D338+D339+D341</f>
        <v>10</v>
      </c>
      <c r="E386" s="207" t="s">
        <v>285</v>
      </c>
      <c r="F386" s="206"/>
      <c r="G386" s="206"/>
      <c r="H386" s="241">
        <v>0.56999999999999995</v>
      </c>
      <c r="I386" s="207">
        <f>H386*D386</f>
        <v>5.6999999999999993</v>
      </c>
      <c r="J386" s="102"/>
      <c r="K386" s="102"/>
      <c r="L386" s="102"/>
      <c r="M386" s="102"/>
      <c r="N386" s="102"/>
      <c r="O386" s="286">
        <v>2</v>
      </c>
      <c r="P386" s="307" t="s">
        <v>288</v>
      </c>
      <c r="Q386" s="307"/>
      <c r="R386" s="300" t="s">
        <v>312</v>
      </c>
      <c r="S386" s="296">
        <f>V372</f>
        <v>6.54</v>
      </c>
      <c r="T386" s="310">
        <v>100</v>
      </c>
      <c r="U386" s="305">
        <f>T386*S386</f>
        <v>654</v>
      </c>
      <c r="V386" s="286"/>
    </row>
    <row r="387" spans="2:22" ht="20.100000000000001" customHeight="1">
      <c r="B387" s="206" t="s">
        <v>292</v>
      </c>
      <c r="C387" s="206"/>
      <c r="D387" s="211">
        <f>H366</f>
        <v>6.1861499999999996</v>
      </c>
      <c r="E387" s="207" t="s">
        <v>285</v>
      </c>
      <c r="F387" s="206"/>
      <c r="G387" s="206"/>
      <c r="H387" s="241">
        <v>20</v>
      </c>
      <c r="I387" s="207">
        <f t="shared" si="59"/>
        <v>123.72299999999998</v>
      </c>
      <c r="J387" s="102"/>
      <c r="K387" s="102"/>
      <c r="L387" s="102"/>
      <c r="M387" s="102"/>
      <c r="N387" s="102"/>
      <c r="O387" s="297" t="s">
        <v>307</v>
      </c>
      <c r="P387" s="308" t="s">
        <v>290</v>
      </c>
      <c r="Q387" s="298"/>
      <c r="R387" s="286"/>
      <c r="S387" s="296"/>
      <c r="T387" s="309"/>
      <c r="U387" s="301">
        <f>SUM(U388)</f>
        <v>130.80000000000001</v>
      </c>
      <c r="V387" s="286"/>
    </row>
    <row r="388" spans="2:22" ht="20.100000000000001" customHeight="1">
      <c r="B388" s="212" t="s">
        <v>4</v>
      </c>
      <c r="C388" s="213"/>
      <c r="D388" s="212"/>
      <c r="E388" s="212"/>
      <c r="F388" s="212"/>
      <c r="G388" s="212"/>
      <c r="H388" s="212"/>
      <c r="I388" s="213">
        <f>SUM(I380:I387)</f>
        <v>309.70195999999999</v>
      </c>
      <c r="J388" s="242"/>
      <c r="K388" s="102"/>
      <c r="L388" s="102"/>
      <c r="M388" s="102"/>
      <c r="N388" s="102"/>
      <c r="O388" s="286">
        <v>1</v>
      </c>
      <c r="P388" s="307" t="s">
        <v>290</v>
      </c>
      <c r="Q388" s="307"/>
      <c r="R388" s="300" t="s">
        <v>312</v>
      </c>
      <c r="S388" s="296">
        <f>V372</f>
        <v>6.54</v>
      </c>
      <c r="T388" s="310">
        <v>20</v>
      </c>
      <c r="U388" s="305">
        <f>T388*S388</f>
        <v>130.80000000000001</v>
      </c>
      <c r="V388" s="286"/>
    </row>
    <row r="389" spans="2:22" ht="20.100000000000001" customHeight="1">
      <c r="J389" s="102"/>
      <c r="K389" s="102"/>
      <c r="L389" s="102"/>
      <c r="M389" s="102"/>
      <c r="N389" s="102"/>
      <c r="O389" s="286" t="s">
        <v>308</v>
      </c>
      <c r="P389" s="618" t="s">
        <v>620</v>
      </c>
      <c r="Q389" s="619"/>
      <c r="R389" s="620"/>
      <c r="S389" s="621"/>
      <c r="T389" s="622"/>
      <c r="U389" s="301">
        <f>U374+U384+U387</f>
        <v>6599.2991377199987</v>
      </c>
      <c r="V389" s="286"/>
    </row>
    <row r="390" spans="2:22" ht="20.100000000000001" customHeight="1">
      <c r="J390" s="102"/>
      <c r="K390" s="102"/>
      <c r="L390" s="102"/>
      <c r="M390" s="102"/>
      <c r="N390" s="102"/>
      <c r="O390" s="286" t="s">
        <v>309</v>
      </c>
      <c r="P390" s="618" t="s">
        <v>621</v>
      </c>
      <c r="Q390" s="619"/>
      <c r="R390" s="626">
        <v>0.2</v>
      </c>
      <c r="S390" s="627"/>
      <c r="T390" s="628"/>
      <c r="U390" s="301">
        <f>U389*R390</f>
        <v>1319.8598275439999</v>
      </c>
      <c r="V390" s="286"/>
    </row>
    <row r="391" spans="2:22" ht="20.100000000000001" customHeight="1">
      <c r="J391" s="102"/>
      <c r="K391" s="102"/>
      <c r="L391" s="102"/>
      <c r="M391" s="102"/>
      <c r="N391" s="102"/>
      <c r="O391" s="286" t="s">
        <v>310</v>
      </c>
      <c r="P391" s="618" t="s">
        <v>622</v>
      </c>
      <c r="Q391" s="619"/>
      <c r="R391" s="620"/>
      <c r="S391" s="621"/>
      <c r="T391" s="622"/>
      <c r="U391" s="301">
        <f>U389+U390</f>
        <v>7919.1589652639987</v>
      </c>
      <c r="V391" s="286"/>
    </row>
    <row r="392" spans="2:22" ht="30" customHeight="1">
      <c r="L392" s="102"/>
      <c r="M392" s="102"/>
      <c r="N392" s="102"/>
      <c r="O392" s="297" t="s">
        <v>311</v>
      </c>
      <c r="P392" s="618" t="s">
        <v>623</v>
      </c>
      <c r="Q392" s="619"/>
      <c r="R392" s="620"/>
      <c r="S392" s="621"/>
      <c r="T392" s="622"/>
      <c r="U392" s="301">
        <f>U391/V372</f>
        <v>1210.8805757284401</v>
      </c>
      <c r="V392" s="286" t="s">
        <v>624</v>
      </c>
    </row>
    <row r="393" spans="2:22" ht="45" customHeight="1">
      <c r="L393" s="102"/>
      <c r="M393" s="102"/>
      <c r="N393" s="102"/>
      <c r="O393" s="623" t="s">
        <v>625</v>
      </c>
      <c r="P393" s="623"/>
      <c r="Q393" s="623"/>
      <c r="R393" s="623"/>
      <c r="S393" s="623"/>
      <c r="T393" s="623"/>
      <c r="U393" s="623"/>
      <c r="V393" s="623"/>
    </row>
    <row r="394" spans="2:22" ht="18" customHeight="1">
      <c r="L394" s="102"/>
      <c r="M394" s="102"/>
      <c r="N394" s="102"/>
      <c r="O394" s="102"/>
      <c r="P394" s="102"/>
    </row>
    <row r="395" spans="2:22">
      <c r="L395" s="102"/>
      <c r="M395" s="102"/>
      <c r="N395" s="102"/>
      <c r="O395" s="102"/>
      <c r="P395" s="102"/>
    </row>
    <row r="396" spans="2:22">
      <c r="L396" s="102"/>
      <c r="M396" s="102"/>
      <c r="N396" s="102"/>
      <c r="O396" s="102"/>
      <c r="P396" s="102"/>
    </row>
    <row r="397" spans="2:22">
      <c r="L397" s="102"/>
      <c r="M397" s="102"/>
      <c r="N397" s="102"/>
      <c r="O397" s="102"/>
      <c r="P397" s="102"/>
    </row>
    <row r="398" spans="2:22">
      <c r="L398" s="102"/>
      <c r="M398" s="102"/>
      <c r="N398" s="102"/>
      <c r="O398" s="102"/>
      <c r="P398" s="102"/>
    </row>
    <row r="399" spans="2:22">
      <c r="L399" s="102"/>
      <c r="M399" s="102"/>
      <c r="N399" s="102"/>
      <c r="O399" s="102"/>
      <c r="P399" s="102"/>
    </row>
    <row r="400" spans="2:22">
      <c r="L400" s="102"/>
      <c r="M400" s="102"/>
      <c r="N400" s="102"/>
      <c r="O400" s="102"/>
      <c r="P400" s="102"/>
    </row>
    <row r="401" spans="12:16">
      <c r="L401" s="102"/>
      <c r="M401" s="102"/>
      <c r="N401" s="102"/>
      <c r="O401" s="102"/>
      <c r="P401" s="102"/>
    </row>
    <row r="402" spans="12:16">
      <c r="L402" s="102"/>
      <c r="M402" s="102"/>
      <c r="N402" s="102"/>
      <c r="O402" s="102"/>
      <c r="P402" s="102"/>
    </row>
    <row r="403" spans="12:16">
      <c r="L403" s="102"/>
      <c r="M403" s="102"/>
      <c r="N403" s="102"/>
      <c r="O403" s="102"/>
      <c r="P403" s="102"/>
    </row>
    <row r="404" spans="12:16">
      <c r="L404" s="102"/>
      <c r="M404" s="102"/>
      <c r="N404" s="102"/>
      <c r="O404" s="102"/>
      <c r="P404" s="102"/>
    </row>
    <row r="405" spans="12:16">
      <c r="L405" s="102"/>
      <c r="M405" s="102"/>
      <c r="N405" s="102"/>
      <c r="O405" s="102"/>
      <c r="P405" s="102"/>
    </row>
    <row r="406" spans="12:16">
      <c r="L406" s="102"/>
      <c r="M406" s="102"/>
      <c r="N406" s="102"/>
      <c r="O406" s="102"/>
      <c r="P406" s="102"/>
    </row>
    <row r="407" spans="12:16">
      <c r="L407" s="102"/>
      <c r="M407" s="102"/>
      <c r="N407" s="102"/>
      <c r="O407" s="102"/>
      <c r="P407" s="102"/>
    </row>
    <row r="408" spans="12:16">
      <c r="L408" s="102"/>
      <c r="M408" s="102"/>
      <c r="N408" s="102"/>
      <c r="O408" s="102"/>
      <c r="P408" s="102"/>
    </row>
    <row r="409" spans="12:16">
      <c r="L409" s="102"/>
      <c r="M409" s="102"/>
      <c r="N409" s="102"/>
      <c r="O409" s="102"/>
      <c r="P409" s="102"/>
    </row>
    <row r="410" spans="12:16">
      <c r="L410" s="102"/>
      <c r="M410" s="102"/>
      <c r="N410" s="102"/>
      <c r="O410" s="102"/>
      <c r="P410" s="102"/>
    </row>
    <row r="411" spans="12:16">
      <c r="L411" s="102"/>
      <c r="M411" s="102"/>
      <c r="N411" s="102"/>
      <c r="O411" s="102"/>
      <c r="P411" s="102"/>
    </row>
    <row r="412" spans="12:16">
      <c r="L412" s="102"/>
      <c r="M412" s="102"/>
      <c r="N412" s="102"/>
      <c r="O412" s="102"/>
      <c r="P412" s="102"/>
    </row>
    <row r="413" spans="12:16">
      <c r="L413" s="102"/>
      <c r="M413" s="102"/>
      <c r="N413" s="102"/>
      <c r="O413" s="102"/>
      <c r="P413" s="102"/>
    </row>
    <row r="414" spans="12:16">
      <c r="L414" s="102"/>
      <c r="M414" s="102"/>
      <c r="N414" s="102"/>
      <c r="O414" s="102"/>
      <c r="P414" s="102"/>
    </row>
    <row r="415" spans="12:16">
      <c r="L415" s="102"/>
      <c r="M415" s="102"/>
      <c r="N415" s="102"/>
      <c r="O415" s="102"/>
      <c r="P415" s="102"/>
    </row>
    <row r="416" spans="12:16">
      <c r="L416" s="102"/>
      <c r="M416" s="102"/>
      <c r="N416" s="102"/>
      <c r="O416" s="102"/>
      <c r="P416" s="102"/>
    </row>
    <row r="417" spans="10:16">
      <c r="L417" s="102"/>
      <c r="M417" s="102"/>
      <c r="N417" s="102"/>
      <c r="O417" s="102"/>
      <c r="P417" s="102"/>
    </row>
    <row r="418" spans="10:16">
      <c r="L418" s="102"/>
      <c r="M418" s="102"/>
      <c r="N418" s="102"/>
      <c r="O418" s="102"/>
      <c r="P418" s="102"/>
    </row>
    <row r="419" spans="10:16">
      <c r="L419" s="102"/>
      <c r="M419" s="102"/>
      <c r="N419" s="102"/>
      <c r="O419" s="102"/>
      <c r="P419" s="102"/>
    </row>
    <row r="420" spans="10:16">
      <c r="L420" s="102"/>
      <c r="M420" s="102"/>
      <c r="N420" s="102"/>
      <c r="O420" s="102"/>
      <c r="P420" s="102"/>
    </row>
    <row r="421" spans="10:16">
      <c r="L421" s="102"/>
      <c r="M421" s="102"/>
      <c r="N421" s="102"/>
      <c r="O421" s="102"/>
      <c r="P421" s="102"/>
    </row>
    <row r="422" spans="10:16">
      <c r="L422" s="102"/>
      <c r="M422" s="102"/>
      <c r="N422" s="102"/>
      <c r="O422" s="102"/>
      <c r="P422" s="102"/>
    </row>
    <row r="423" spans="10:16">
      <c r="L423" s="102"/>
      <c r="M423" s="102"/>
      <c r="N423" s="102"/>
      <c r="O423" s="102"/>
      <c r="P423" s="102"/>
    </row>
    <row r="424" spans="10:16">
      <c r="L424" s="102"/>
      <c r="M424" s="102"/>
      <c r="N424" s="102"/>
      <c r="O424" s="102"/>
      <c r="P424" s="102"/>
    </row>
    <row r="425" spans="10:16">
      <c r="L425" s="102"/>
      <c r="M425" s="102"/>
      <c r="N425" s="102"/>
      <c r="O425" s="102"/>
      <c r="P425" s="102"/>
    </row>
    <row r="426" spans="10:16">
      <c r="L426" s="102"/>
      <c r="M426" s="102"/>
      <c r="N426" s="102"/>
      <c r="O426" s="102"/>
      <c r="P426" s="102"/>
    </row>
    <row r="427" spans="10:16">
      <c r="J427" s="102"/>
      <c r="K427" s="102"/>
      <c r="L427" s="102"/>
      <c r="M427" s="102"/>
      <c r="N427" s="102"/>
      <c r="O427" s="102"/>
      <c r="P427" s="102"/>
    </row>
    <row r="428" spans="10:16">
      <c r="J428" s="102"/>
      <c r="K428" s="102"/>
      <c r="L428" s="102"/>
      <c r="M428" s="102"/>
      <c r="N428" s="102"/>
      <c r="O428" s="102"/>
      <c r="P428" s="102"/>
    </row>
    <row r="429" spans="10:16">
      <c r="J429" s="102"/>
      <c r="K429" s="102"/>
      <c r="L429" s="102"/>
      <c r="M429" s="102"/>
      <c r="N429" s="102"/>
      <c r="O429" s="102"/>
      <c r="P429" s="102"/>
    </row>
    <row r="430" spans="10:16">
      <c r="J430" s="102"/>
      <c r="K430" s="102"/>
      <c r="L430" s="102"/>
      <c r="M430" s="102"/>
      <c r="N430" s="102"/>
      <c r="O430" s="102"/>
      <c r="P430" s="102"/>
    </row>
    <row r="431" spans="10:16">
      <c r="J431" s="102"/>
      <c r="K431" s="102"/>
      <c r="L431" s="102"/>
      <c r="M431" s="102"/>
      <c r="N431" s="102"/>
      <c r="O431" s="102"/>
      <c r="P431" s="102"/>
    </row>
    <row r="432" spans="10:16">
      <c r="J432" s="102"/>
      <c r="K432" s="102"/>
      <c r="L432" s="102"/>
      <c r="M432" s="102"/>
      <c r="N432" s="102"/>
      <c r="O432" s="102"/>
      <c r="P432" s="102"/>
    </row>
    <row r="433" spans="10:16">
      <c r="J433" s="102"/>
      <c r="K433" s="102"/>
      <c r="L433" s="102"/>
      <c r="M433" s="102"/>
      <c r="N433" s="102"/>
      <c r="O433" s="102"/>
      <c r="P433" s="102"/>
    </row>
    <row r="434" spans="10:16">
      <c r="J434" s="102"/>
      <c r="K434" s="102"/>
      <c r="L434" s="102"/>
      <c r="M434" s="102"/>
      <c r="N434" s="102"/>
      <c r="O434" s="102"/>
      <c r="P434" s="102"/>
    </row>
    <row r="435" spans="10:16">
      <c r="J435" s="102"/>
      <c r="K435" s="102"/>
      <c r="L435" s="102"/>
      <c r="M435" s="102"/>
      <c r="N435" s="102"/>
      <c r="O435" s="102"/>
      <c r="P435" s="102"/>
    </row>
    <row r="436" spans="10:16">
      <c r="J436" s="102"/>
      <c r="K436" s="102"/>
      <c r="L436" s="102"/>
      <c r="M436" s="102"/>
      <c r="N436" s="102"/>
      <c r="O436" s="102"/>
      <c r="P436" s="102"/>
    </row>
    <row r="437" spans="10:16">
      <c r="J437" s="102"/>
      <c r="K437" s="102"/>
      <c r="L437" s="102"/>
      <c r="M437" s="102"/>
      <c r="N437" s="102"/>
      <c r="O437" s="102"/>
      <c r="P437" s="102"/>
    </row>
    <row r="438" spans="10:16">
      <c r="J438" s="102"/>
      <c r="K438" s="102"/>
      <c r="L438" s="102"/>
      <c r="M438" s="102"/>
      <c r="N438" s="102"/>
      <c r="O438" s="102"/>
      <c r="P438" s="102"/>
    </row>
    <row r="439" spans="10:16">
      <c r="J439" s="102"/>
      <c r="K439" s="102"/>
      <c r="L439" s="102"/>
      <c r="M439" s="102"/>
      <c r="N439" s="102"/>
      <c r="O439" s="102"/>
      <c r="P439" s="102"/>
    </row>
    <row r="440" spans="10:16">
      <c r="J440" s="102"/>
      <c r="K440" s="102"/>
      <c r="L440" s="102"/>
      <c r="M440" s="102"/>
      <c r="N440" s="102"/>
      <c r="O440" s="102"/>
      <c r="P440" s="102"/>
    </row>
    <row r="441" spans="10:16">
      <c r="J441" s="102"/>
      <c r="K441" s="102"/>
      <c r="L441" s="102"/>
      <c r="M441" s="102"/>
      <c r="N441" s="102"/>
      <c r="O441" s="102"/>
      <c r="P441" s="102"/>
    </row>
    <row r="442" spans="10:16">
      <c r="J442" s="102"/>
      <c r="K442" s="102"/>
      <c r="L442" s="102"/>
      <c r="M442" s="102"/>
      <c r="N442" s="102"/>
      <c r="O442" s="102"/>
      <c r="P442" s="102"/>
    </row>
    <row r="443" spans="10:16">
      <c r="J443" s="102"/>
      <c r="K443" s="102"/>
      <c r="L443" s="102"/>
      <c r="M443" s="102"/>
      <c r="N443" s="102"/>
      <c r="O443" s="102"/>
      <c r="P443" s="102"/>
    </row>
    <row r="444" spans="10:16">
      <c r="J444" s="102"/>
      <c r="K444" s="102"/>
      <c r="L444" s="102"/>
      <c r="M444" s="102"/>
      <c r="N444" s="102"/>
      <c r="O444" s="102"/>
      <c r="P444" s="102"/>
    </row>
    <row r="445" spans="10:16">
      <c r="J445" s="102"/>
      <c r="K445" s="102"/>
      <c r="L445" s="102"/>
      <c r="M445" s="102"/>
      <c r="N445" s="102"/>
      <c r="O445" s="102"/>
      <c r="P445" s="102"/>
    </row>
    <row r="446" spans="10:16">
      <c r="J446" s="102"/>
      <c r="K446" s="102"/>
      <c r="L446" s="102"/>
      <c r="M446" s="102"/>
      <c r="N446" s="102"/>
      <c r="O446" s="102"/>
      <c r="P446" s="102"/>
    </row>
    <row r="447" spans="10:16">
      <c r="J447" s="102"/>
      <c r="K447" s="102"/>
      <c r="L447" s="102"/>
      <c r="M447" s="102"/>
      <c r="N447" s="102"/>
      <c r="O447" s="102"/>
      <c r="P447" s="102"/>
    </row>
    <row r="448" spans="10:16">
      <c r="J448" s="102"/>
      <c r="K448" s="102"/>
      <c r="L448" s="102"/>
      <c r="M448" s="102"/>
      <c r="N448" s="102"/>
      <c r="O448" s="102"/>
      <c r="P448" s="102"/>
    </row>
    <row r="449" spans="10:16">
      <c r="J449" s="102"/>
      <c r="K449" s="102"/>
      <c r="L449" s="102"/>
      <c r="M449" s="102"/>
      <c r="N449" s="102"/>
      <c r="O449" s="102"/>
      <c r="P449" s="102"/>
    </row>
    <row r="450" spans="10:16">
      <c r="J450" s="102"/>
      <c r="K450" s="102"/>
      <c r="L450" s="102"/>
      <c r="M450" s="102"/>
      <c r="N450" s="102"/>
      <c r="O450" s="102"/>
      <c r="P450" s="102"/>
    </row>
    <row r="451" spans="10:16">
      <c r="J451" s="102"/>
      <c r="K451" s="102"/>
      <c r="L451" s="102"/>
      <c r="M451" s="102"/>
      <c r="N451" s="102"/>
      <c r="O451" s="102"/>
      <c r="P451" s="102"/>
    </row>
    <row r="452" spans="10:16">
      <c r="J452" s="102"/>
      <c r="K452" s="102"/>
      <c r="L452" s="102"/>
      <c r="M452" s="102"/>
      <c r="N452" s="102"/>
      <c r="O452" s="102"/>
      <c r="P452" s="102"/>
    </row>
    <row r="453" spans="10:16">
      <c r="J453" s="102"/>
      <c r="K453" s="102"/>
      <c r="L453" s="102"/>
      <c r="M453" s="102"/>
      <c r="N453" s="102"/>
      <c r="O453" s="102"/>
      <c r="P453" s="102"/>
    </row>
    <row r="454" spans="10:16">
      <c r="J454" s="102"/>
      <c r="K454" s="102"/>
      <c r="L454" s="102"/>
      <c r="M454" s="102"/>
      <c r="N454" s="102"/>
      <c r="O454" s="102"/>
      <c r="P454" s="102"/>
    </row>
    <row r="455" spans="10:16">
      <c r="J455" s="102"/>
      <c r="K455" s="102"/>
      <c r="L455" s="102"/>
      <c r="M455" s="102"/>
      <c r="N455" s="102"/>
      <c r="O455" s="102"/>
      <c r="P455" s="102"/>
    </row>
    <row r="456" spans="10:16">
      <c r="J456" s="102"/>
      <c r="K456" s="102"/>
      <c r="L456" s="102"/>
      <c r="M456" s="102"/>
      <c r="N456" s="102"/>
      <c r="O456" s="102"/>
      <c r="P456" s="102"/>
    </row>
    <row r="457" spans="10:16">
      <c r="J457" s="102"/>
      <c r="K457" s="102"/>
      <c r="L457" s="102"/>
      <c r="M457" s="102"/>
      <c r="N457" s="102"/>
      <c r="O457" s="102"/>
      <c r="P457" s="102"/>
    </row>
    <row r="458" spans="10:16">
      <c r="J458" s="102"/>
      <c r="K458" s="102"/>
      <c r="L458" s="102"/>
      <c r="M458" s="102"/>
      <c r="N458" s="102"/>
      <c r="O458" s="102"/>
      <c r="P458" s="102"/>
    </row>
    <row r="459" spans="10:16">
      <c r="J459" s="102"/>
      <c r="K459" s="102"/>
      <c r="L459" s="102"/>
      <c r="M459" s="102"/>
      <c r="N459" s="102"/>
      <c r="O459" s="102"/>
      <c r="P459" s="102"/>
    </row>
    <row r="460" spans="10:16">
      <c r="J460" s="102"/>
      <c r="K460" s="102"/>
      <c r="L460" s="102"/>
      <c r="M460" s="102"/>
      <c r="N460" s="102"/>
      <c r="O460" s="102"/>
      <c r="P460" s="102"/>
    </row>
    <row r="461" spans="10:16">
      <c r="J461" s="102"/>
      <c r="K461" s="102"/>
      <c r="L461" s="102"/>
      <c r="M461" s="102"/>
      <c r="N461" s="102"/>
      <c r="O461" s="102"/>
      <c r="P461" s="102"/>
    </row>
    <row r="462" spans="10:16">
      <c r="J462" s="102"/>
      <c r="K462" s="102"/>
      <c r="L462" s="102"/>
      <c r="M462" s="102"/>
      <c r="N462" s="102"/>
      <c r="O462" s="102"/>
      <c r="P462" s="102"/>
    </row>
    <row r="463" spans="10:16">
      <c r="J463" s="102"/>
      <c r="K463" s="102"/>
      <c r="L463" s="102"/>
      <c r="M463" s="102"/>
      <c r="N463" s="102"/>
      <c r="O463" s="102"/>
      <c r="P463" s="102"/>
    </row>
    <row r="464" spans="10:16">
      <c r="J464" s="102"/>
      <c r="K464" s="102"/>
      <c r="L464" s="102"/>
      <c r="M464" s="102"/>
      <c r="N464" s="102"/>
      <c r="O464" s="102"/>
      <c r="P464" s="102"/>
    </row>
  </sheetData>
  <mergeCells count="95">
    <mergeCell ref="F2:H2"/>
    <mergeCell ref="I2:I6"/>
    <mergeCell ref="J2:M2"/>
    <mergeCell ref="B4:B6"/>
    <mergeCell ref="B14:B21"/>
    <mergeCell ref="C14:C21"/>
    <mergeCell ref="B26:B30"/>
    <mergeCell ref="C26:C30"/>
    <mergeCell ref="B35:B37"/>
    <mergeCell ref="C35:C37"/>
    <mergeCell ref="B42:B47"/>
    <mergeCell ref="C42:C44"/>
    <mergeCell ref="C45:C47"/>
    <mergeCell ref="B52:B55"/>
    <mergeCell ref="C52:C55"/>
    <mergeCell ref="D59:F59"/>
    <mergeCell ref="B60:B63"/>
    <mergeCell ref="C60:C61"/>
    <mergeCell ref="D60:F60"/>
    <mergeCell ref="D61:F61"/>
    <mergeCell ref="C62:C63"/>
    <mergeCell ref="D62:F62"/>
    <mergeCell ref="D63:F63"/>
    <mergeCell ref="B68:B87"/>
    <mergeCell ref="C68:C74"/>
    <mergeCell ref="C75:C81"/>
    <mergeCell ref="C82:C87"/>
    <mergeCell ref="B92:B96"/>
    <mergeCell ref="C92:C96"/>
    <mergeCell ref="B137:B138"/>
    <mergeCell ref="C137:C138"/>
    <mergeCell ref="D137:F137"/>
    <mergeCell ref="D138:F138"/>
    <mergeCell ref="B101:B103"/>
    <mergeCell ref="C101:C103"/>
    <mergeCell ref="B108:B111"/>
    <mergeCell ref="C108:C111"/>
    <mergeCell ref="B116:B118"/>
    <mergeCell ref="C116:C118"/>
    <mergeCell ref="B123:B125"/>
    <mergeCell ref="C123:C125"/>
    <mergeCell ref="B130:B132"/>
    <mergeCell ref="C130:C132"/>
    <mergeCell ref="D136:F136"/>
    <mergeCell ref="B143:B145"/>
    <mergeCell ref="C143:C145"/>
    <mergeCell ref="B150:B152"/>
    <mergeCell ref="C150:C152"/>
    <mergeCell ref="B157:B162"/>
    <mergeCell ref="C157:C162"/>
    <mergeCell ref="B167:B169"/>
    <mergeCell ref="C167:C169"/>
    <mergeCell ref="B174:B176"/>
    <mergeCell ref="C174:C176"/>
    <mergeCell ref="B181:B183"/>
    <mergeCell ref="C181:C183"/>
    <mergeCell ref="F209:F210"/>
    <mergeCell ref="B188:B190"/>
    <mergeCell ref="C188:C190"/>
    <mergeCell ref="D194:F194"/>
    <mergeCell ref="B195:B196"/>
    <mergeCell ref="C195:C196"/>
    <mergeCell ref="D195:F195"/>
    <mergeCell ref="D196:F196"/>
    <mergeCell ref="B197:B198"/>
    <mergeCell ref="C197:C198"/>
    <mergeCell ref="D197:F197"/>
    <mergeCell ref="D198:F198"/>
    <mergeCell ref="F203:F204"/>
    <mergeCell ref="O369:V369"/>
    <mergeCell ref="F211:F212"/>
    <mergeCell ref="F213:F214"/>
    <mergeCell ref="B291:B292"/>
    <mergeCell ref="B294:B295"/>
    <mergeCell ref="I294:I295"/>
    <mergeCell ref="B296:B297"/>
    <mergeCell ref="I296:I297"/>
    <mergeCell ref="B298:B299"/>
    <mergeCell ref="I298:I299"/>
    <mergeCell ref="B300:B301"/>
    <mergeCell ref="B302:B303"/>
    <mergeCell ref="O368:V368"/>
    <mergeCell ref="P370:Q370"/>
    <mergeCell ref="O371:O372"/>
    <mergeCell ref="P371:T372"/>
    <mergeCell ref="B378:I378"/>
    <mergeCell ref="P389:Q389"/>
    <mergeCell ref="R389:T389"/>
    <mergeCell ref="O393:V393"/>
    <mergeCell ref="P390:Q390"/>
    <mergeCell ref="R390:T390"/>
    <mergeCell ref="P391:Q391"/>
    <mergeCell ref="R391:T391"/>
    <mergeCell ref="P392:Q392"/>
    <mergeCell ref="R392:T392"/>
  </mergeCells>
  <phoneticPr fontId="5" type="noConversion"/>
  <pageMargins left="0.19685039370078741" right="0.19685039370078741" top="0.74803149606299213" bottom="0.74803149606299213" header="0.31496062992125984" footer="0.31496062992125984"/>
  <pageSetup paperSize="9" scale="78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ACE58-70D6-4EB1-84E3-0F151689B4E9}">
  <sheetPr>
    <tabColor rgb="FF7030A0"/>
    <pageSetUpPr fitToPage="1"/>
  </sheetPr>
  <dimension ref="A1:V464"/>
  <sheetViews>
    <sheetView showZeros="0" topLeftCell="A358" zoomScaleNormal="100" workbookViewId="0">
      <selection activeCell="G306" sqref="G306"/>
    </sheetView>
  </sheetViews>
  <sheetFormatPr defaultColWidth="25.25" defaultRowHeight="13.5"/>
  <cols>
    <col min="1" max="1" width="0.5" style="1" customWidth="1"/>
    <col min="2" max="2" width="25.25" style="102" customWidth="1"/>
    <col min="3" max="3" width="14.75" style="102" customWidth="1"/>
    <col min="4" max="4" width="11.5" style="102" customWidth="1"/>
    <col min="5" max="5" width="11.25" style="102" customWidth="1"/>
    <col min="6" max="6" width="12.25" style="102" customWidth="1"/>
    <col min="7" max="7" width="10" style="102" customWidth="1"/>
    <col min="8" max="8" width="9.875" style="102" customWidth="1"/>
    <col min="9" max="9" width="26.875" style="102" customWidth="1"/>
    <col min="10" max="10" width="11.125" style="43" customWidth="1"/>
    <col min="11" max="11" width="7.875" style="43" customWidth="1"/>
    <col min="12" max="12" width="7.25" style="43" customWidth="1"/>
    <col min="13" max="13" width="9.125" style="43" customWidth="1"/>
    <col min="14" max="14" width="15.125" style="255" customWidth="1"/>
    <col min="15" max="15" width="13.125" style="255" customWidth="1"/>
    <col min="16" max="16" width="24.375" style="255" customWidth="1"/>
    <col min="17" max="17" width="13.75" style="255" customWidth="1"/>
    <col min="18" max="18" width="11.25" style="255" customWidth="1"/>
    <col min="19" max="19" width="10.75" style="255" customWidth="1"/>
    <col min="20" max="20" width="10" style="255" customWidth="1"/>
    <col min="21" max="21" width="9.875" style="255" customWidth="1"/>
    <col min="22" max="22" width="26.125" style="255" customWidth="1"/>
    <col min="23" max="23" width="11.125" style="255" customWidth="1"/>
    <col min="24" max="24" width="7.875" style="255" customWidth="1"/>
    <col min="25" max="25" width="7.25" style="255" customWidth="1"/>
    <col min="26" max="26" width="9.125" style="255" customWidth="1"/>
    <col min="27" max="27" width="15.125" style="255" customWidth="1"/>
    <col min="28" max="28" width="7.75" style="255" customWidth="1"/>
    <col min="29" max="29" width="7.125" style="255" customWidth="1"/>
    <col min="30" max="30" width="12.125" style="255" customWidth="1"/>
    <col min="31" max="31" width="8.25" style="255" customWidth="1"/>
    <col min="32" max="33" width="10.375" style="255" customWidth="1"/>
    <col min="34" max="34" width="15.625" style="255" customWidth="1"/>
    <col min="35" max="35" width="15.875" style="255" customWidth="1"/>
    <col min="36" max="36" width="8.125" style="255" customWidth="1"/>
    <col min="37" max="40" width="10.375" style="255" customWidth="1"/>
    <col min="41" max="41" width="7.25" style="255" customWidth="1"/>
    <col min="42" max="42" width="7.125" style="255" customWidth="1"/>
    <col min="43" max="43" width="9.5" style="255" customWidth="1"/>
    <col min="44" max="45" width="9" style="255" customWidth="1"/>
    <col min="46" max="46" width="16.125" style="255" customWidth="1"/>
    <col min="47" max="77" width="9" style="255" customWidth="1"/>
    <col min="78" max="237" width="25.25" style="255"/>
    <col min="238" max="267" width="9" style="255" customWidth="1"/>
    <col min="268" max="268" width="0.5" style="255" customWidth="1"/>
    <col min="269" max="269" width="25.25" style="255"/>
    <col min="270" max="270" width="0.5" style="255" customWidth="1"/>
    <col min="271" max="271" width="25.25" style="255"/>
    <col min="272" max="272" width="14.75" style="255" customWidth="1"/>
    <col min="273" max="273" width="11.5" style="255" customWidth="1"/>
    <col min="274" max="274" width="11.25" style="255" customWidth="1"/>
    <col min="275" max="275" width="10.75" style="255" customWidth="1"/>
    <col min="276" max="276" width="10" style="255" customWidth="1"/>
    <col min="277" max="277" width="9.875" style="255" customWidth="1"/>
    <col min="278" max="278" width="26.125" style="255" customWidth="1"/>
    <col min="279" max="279" width="11.125" style="255" customWidth="1"/>
    <col min="280" max="280" width="7.875" style="255" customWidth="1"/>
    <col min="281" max="281" width="7.25" style="255" customWidth="1"/>
    <col min="282" max="282" width="9.125" style="255" customWidth="1"/>
    <col min="283" max="283" width="15.125" style="255" customWidth="1"/>
    <col min="284" max="284" width="7.75" style="255" customWidth="1"/>
    <col min="285" max="285" width="7.125" style="255" customWidth="1"/>
    <col min="286" max="286" width="12.125" style="255" customWidth="1"/>
    <col min="287" max="287" width="8.25" style="255" customWidth="1"/>
    <col min="288" max="289" width="10.375" style="255" customWidth="1"/>
    <col min="290" max="290" width="15.625" style="255" customWidth="1"/>
    <col min="291" max="291" width="15.875" style="255" customWidth="1"/>
    <col min="292" max="292" width="8.125" style="255" customWidth="1"/>
    <col min="293" max="296" width="10.375" style="255" customWidth="1"/>
    <col min="297" max="297" width="7.25" style="255" customWidth="1"/>
    <col min="298" max="298" width="7.125" style="255" customWidth="1"/>
    <col min="299" max="299" width="9.5" style="255" customWidth="1"/>
    <col min="300" max="301" width="9" style="255" customWidth="1"/>
    <col min="302" max="302" width="16.125" style="255" customWidth="1"/>
    <col min="303" max="333" width="9" style="255" customWidth="1"/>
    <col min="334" max="493" width="25.25" style="255"/>
    <col min="494" max="523" width="9" style="255" customWidth="1"/>
    <col min="524" max="524" width="0.5" style="255" customWidth="1"/>
    <col min="525" max="525" width="25.25" style="255"/>
    <col min="526" max="526" width="0.5" style="255" customWidth="1"/>
    <col min="527" max="527" width="25.25" style="255"/>
    <col min="528" max="528" width="14.75" style="255" customWidth="1"/>
    <col min="529" max="529" width="11.5" style="255" customWidth="1"/>
    <col min="530" max="530" width="11.25" style="255" customWidth="1"/>
    <col min="531" max="531" width="10.75" style="255" customWidth="1"/>
    <col min="532" max="532" width="10" style="255" customWidth="1"/>
    <col min="533" max="533" width="9.875" style="255" customWidth="1"/>
    <col min="534" max="534" width="26.125" style="255" customWidth="1"/>
    <col min="535" max="535" width="11.125" style="255" customWidth="1"/>
    <col min="536" max="536" width="7.875" style="255" customWidth="1"/>
    <col min="537" max="537" width="7.25" style="255" customWidth="1"/>
    <col min="538" max="538" width="9.125" style="255" customWidth="1"/>
    <col min="539" max="539" width="15.125" style="255" customWidth="1"/>
    <col min="540" max="540" width="7.75" style="255" customWidth="1"/>
    <col min="541" max="541" width="7.125" style="255" customWidth="1"/>
    <col min="542" max="542" width="12.125" style="255" customWidth="1"/>
    <col min="543" max="543" width="8.25" style="255" customWidth="1"/>
    <col min="544" max="545" width="10.375" style="255" customWidth="1"/>
    <col min="546" max="546" width="15.625" style="255" customWidth="1"/>
    <col min="547" max="547" width="15.875" style="255" customWidth="1"/>
    <col min="548" max="548" width="8.125" style="255" customWidth="1"/>
    <col min="549" max="552" width="10.375" style="255" customWidth="1"/>
    <col min="553" max="553" width="7.25" style="255" customWidth="1"/>
    <col min="554" max="554" width="7.125" style="255" customWidth="1"/>
    <col min="555" max="555" width="9.5" style="255" customWidth="1"/>
    <col min="556" max="557" width="9" style="255" customWidth="1"/>
    <col min="558" max="558" width="16.125" style="255" customWidth="1"/>
    <col min="559" max="589" width="9" style="255" customWidth="1"/>
    <col min="590" max="749" width="25.25" style="255"/>
    <col min="750" max="779" width="9" style="255" customWidth="1"/>
    <col min="780" max="780" width="0.5" style="255" customWidth="1"/>
    <col min="781" max="781" width="25.25" style="255"/>
    <col min="782" max="782" width="0.5" style="255" customWidth="1"/>
    <col min="783" max="783" width="25.25" style="255"/>
    <col min="784" max="784" width="14.75" style="255" customWidth="1"/>
    <col min="785" max="785" width="11.5" style="255" customWidth="1"/>
    <col min="786" max="786" width="11.25" style="255" customWidth="1"/>
    <col min="787" max="787" width="10.75" style="255" customWidth="1"/>
    <col min="788" max="788" width="10" style="255" customWidth="1"/>
    <col min="789" max="789" width="9.875" style="255" customWidth="1"/>
    <col min="790" max="790" width="26.125" style="255" customWidth="1"/>
    <col min="791" max="791" width="11.125" style="255" customWidth="1"/>
    <col min="792" max="792" width="7.875" style="255" customWidth="1"/>
    <col min="793" max="793" width="7.25" style="255" customWidth="1"/>
    <col min="794" max="794" width="9.125" style="255" customWidth="1"/>
    <col min="795" max="795" width="15.125" style="255" customWidth="1"/>
    <col min="796" max="796" width="7.75" style="255" customWidth="1"/>
    <col min="797" max="797" width="7.125" style="255" customWidth="1"/>
    <col min="798" max="798" width="12.125" style="255" customWidth="1"/>
    <col min="799" max="799" width="8.25" style="255" customWidth="1"/>
    <col min="800" max="801" width="10.375" style="255" customWidth="1"/>
    <col min="802" max="802" width="15.625" style="255" customWidth="1"/>
    <col min="803" max="803" width="15.875" style="255" customWidth="1"/>
    <col min="804" max="804" width="8.125" style="255" customWidth="1"/>
    <col min="805" max="808" width="10.375" style="255" customWidth="1"/>
    <col min="809" max="809" width="7.25" style="255" customWidth="1"/>
    <col min="810" max="810" width="7.125" style="255" customWidth="1"/>
    <col min="811" max="811" width="9.5" style="255" customWidth="1"/>
    <col min="812" max="813" width="9" style="255" customWidth="1"/>
    <col min="814" max="814" width="16.125" style="255" customWidth="1"/>
    <col min="815" max="845" width="9" style="255" customWidth="1"/>
    <col min="846" max="1005" width="25.25" style="255"/>
    <col min="1006" max="1035" width="9" style="255" customWidth="1"/>
    <col min="1036" max="1036" width="0.5" style="255" customWidth="1"/>
    <col min="1037" max="1037" width="25.25" style="255"/>
    <col min="1038" max="1038" width="0.5" style="255" customWidth="1"/>
    <col min="1039" max="1039" width="25.25" style="255"/>
    <col min="1040" max="1040" width="14.75" style="255" customWidth="1"/>
    <col min="1041" max="1041" width="11.5" style="255" customWidth="1"/>
    <col min="1042" max="1042" width="11.25" style="255" customWidth="1"/>
    <col min="1043" max="1043" width="10.75" style="255" customWidth="1"/>
    <col min="1044" max="1044" width="10" style="255" customWidth="1"/>
    <col min="1045" max="1045" width="9.875" style="255" customWidth="1"/>
    <col min="1046" max="1046" width="26.125" style="255" customWidth="1"/>
    <col min="1047" max="1047" width="11.125" style="255" customWidth="1"/>
    <col min="1048" max="1048" width="7.875" style="255" customWidth="1"/>
    <col min="1049" max="1049" width="7.25" style="255" customWidth="1"/>
    <col min="1050" max="1050" width="9.125" style="255" customWidth="1"/>
    <col min="1051" max="1051" width="15.125" style="255" customWidth="1"/>
    <col min="1052" max="1052" width="7.75" style="255" customWidth="1"/>
    <col min="1053" max="1053" width="7.125" style="255" customWidth="1"/>
    <col min="1054" max="1054" width="12.125" style="255" customWidth="1"/>
    <col min="1055" max="1055" width="8.25" style="255" customWidth="1"/>
    <col min="1056" max="1057" width="10.375" style="255" customWidth="1"/>
    <col min="1058" max="1058" width="15.625" style="255" customWidth="1"/>
    <col min="1059" max="1059" width="15.875" style="255" customWidth="1"/>
    <col min="1060" max="1060" width="8.125" style="255" customWidth="1"/>
    <col min="1061" max="1064" width="10.375" style="255" customWidth="1"/>
    <col min="1065" max="1065" width="7.25" style="255" customWidth="1"/>
    <col min="1066" max="1066" width="7.125" style="255" customWidth="1"/>
    <col min="1067" max="1067" width="9.5" style="255" customWidth="1"/>
    <col min="1068" max="1069" width="9" style="255" customWidth="1"/>
    <col min="1070" max="1070" width="16.125" style="255" customWidth="1"/>
    <col min="1071" max="1101" width="9" style="255" customWidth="1"/>
    <col min="1102" max="1261" width="25.25" style="255"/>
    <col min="1262" max="1291" width="9" style="255" customWidth="1"/>
    <col min="1292" max="1292" width="0.5" style="255" customWidth="1"/>
    <col min="1293" max="1293" width="25.25" style="255"/>
    <col min="1294" max="1294" width="0.5" style="255" customWidth="1"/>
    <col min="1295" max="1295" width="25.25" style="255"/>
    <col min="1296" max="1296" width="14.75" style="255" customWidth="1"/>
    <col min="1297" max="1297" width="11.5" style="255" customWidth="1"/>
    <col min="1298" max="1298" width="11.25" style="255" customWidth="1"/>
    <col min="1299" max="1299" width="10.75" style="255" customWidth="1"/>
    <col min="1300" max="1300" width="10" style="255" customWidth="1"/>
    <col min="1301" max="1301" width="9.875" style="255" customWidth="1"/>
    <col min="1302" max="1302" width="26.125" style="255" customWidth="1"/>
    <col min="1303" max="1303" width="11.125" style="255" customWidth="1"/>
    <col min="1304" max="1304" width="7.875" style="255" customWidth="1"/>
    <col min="1305" max="1305" width="7.25" style="255" customWidth="1"/>
    <col min="1306" max="1306" width="9.125" style="255" customWidth="1"/>
    <col min="1307" max="1307" width="15.125" style="255" customWidth="1"/>
    <col min="1308" max="1308" width="7.75" style="255" customWidth="1"/>
    <col min="1309" max="1309" width="7.125" style="255" customWidth="1"/>
    <col min="1310" max="1310" width="12.125" style="255" customWidth="1"/>
    <col min="1311" max="1311" width="8.25" style="255" customWidth="1"/>
    <col min="1312" max="1313" width="10.375" style="255" customWidth="1"/>
    <col min="1314" max="1314" width="15.625" style="255" customWidth="1"/>
    <col min="1315" max="1315" width="15.875" style="255" customWidth="1"/>
    <col min="1316" max="1316" width="8.125" style="255" customWidth="1"/>
    <col min="1317" max="1320" width="10.375" style="255" customWidth="1"/>
    <col min="1321" max="1321" width="7.25" style="255" customWidth="1"/>
    <col min="1322" max="1322" width="7.125" style="255" customWidth="1"/>
    <col min="1323" max="1323" width="9.5" style="255" customWidth="1"/>
    <col min="1324" max="1325" width="9" style="255" customWidth="1"/>
    <col min="1326" max="1326" width="16.125" style="255" customWidth="1"/>
    <col min="1327" max="1357" width="9" style="255" customWidth="1"/>
    <col min="1358" max="1517" width="25.25" style="255"/>
    <col min="1518" max="1547" width="9" style="255" customWidth="1"/>
    <col min="1548" max="1548" width="0.5" style="255" customWidth="1"/>
    <col min="1549" max="1549" width="25.25" style="255"/>
    <col min="1550" max="1550" width="0.5" style="255" customWidth="1"/>
    <col min="1551" max="1551" width="25.25" style="255"/>
    <col min="1552" max="1552" width="14.75" style="255" customWidth="1"/>
    <col min="1553" max="1553" width="11.5" style="255" customWidth="1"/>
    <col min="1554" max="1554" width="11.25" style="255" customWidth="1"/>
    <col min="1555" max="1555" width="10.75" style="255" customWidth="1"/>
    <col min="1556" max="1556" width="10" style="255" customWidth="1"/>
    <col min="1557" max="1557" width="9.875" style="255" customWidth="1"/>
    <col min="1558" max="1558" width="26.125" style="255" customWidth="1"/>
    <col min="1559" max="1559" width="11.125" style="255" customWidth="1"/>
    <col min="1560" max="1560" width="7.875" style="255" customWidth="1"/>
    <col min="1561" max="1561" width="7.25" style="255" customWidth="1"/>
    <col min="1562" max="1562" width="9.125" style="255" customWidth="1"/>
    <col min="1563" max="1563" width="15.125" style="255" customWidth="1"/>
    <col min="1564" max="1564" width="7.75" style="255" customWidth="1"/>
    <col min="1565" max="1565" width="7.125" style="255" customWidth="1"/>
    <col min="1566" max="1566" width="12.125" style="255" customWidth="1"/>
    <col min="1567" max="1567" width="8.25" style="255" customWidth="1"/>
    <col min="1568" max="1569" width="10.375" style="255" customWidth="1"/>
    <col min="1570" max="1570" width="15.625" style="255" customWidth="1"/>
    <col min="1571" max="1571" width="15.875" style="255" customWidth="1"/>
    <col min="1572" max="1572" width="8.125" style="255" customWidth="1"/>
    <col min="1573" max="1576" width="10.375" style="255" customWidth="1"/>
    <col min="1577" max="1577" width="7.25" style="255" customWidth="1"/>
    <col min="1578" max="1578" width="7.125" style="255" customWidth="1"/>
    <col min="1579" max="1579" width="9.5" style="255" customWidth="1"/>
    <col min="1580" max="1581" width="9" style="255" customWidth="1"/>
    <col min="1582" max="1582" width="16.125" style="255" customWidth="1"/>
    <col min="1583" max="1613" width="9" style="255" customWidth="1"/>
    <col min="1614" max="1773" width="25.25" style="255"/>
    <col min="1774" max="1803" width="9" style="255" customWidth="1"/>
    <col min="1804" max="1804" width="0.5" style="255" customWidth="1"/>
    <col min="1805" max="1805" width="25.25" style="255"/>
    <col min="1806" max="1806" width="0.5" style="255" customWidth="1"/>
    <col min="1807" max="1807" width="25.25" style="255"/>
    <col min="1808" max="1808" width="14.75" style="255" customWidth="1"/>
    <col min="1809" max="1809" width="11.5" style="255" customWidth="1"/>
    <col min="1810" max="1810" width="11.25" style="255" customWidth="1"/>
    <col min="1811" max="1811" width="10.75" style="255" customWidth="1"/>
    <col min="1812" max="1812" width="10" style="255" customWidth="1"/>
    <col min="1813" max="1813" width="9.875" style="255" customWidth="1"/>
    <col min="1814" max="1814" width="26.125" style="255" customWidth="1"/>
    <col min="1815" max="1815" width="11.125" style="255" customWidth="1"/>
    <col min="1816" max="1816" width="7.875" style="255" customWidth="1"/>
    <col min="1817" max="1817" width="7.25" style="255" customWidth="1"/>
    <col min="1818" max="1818" width="9.125" style="255" customWidth="1"/>
    <col min="1819" max="1819" width="15.125" style="255" customWidth="1"/>
    <col min="1820" max="1820" width="7.75" style="255" customWidth="1"/>
    <col min="1821" max="1821" width="7.125" style="255" customWidth="1"/>
    <col min="1822" max="1822" width="12.125" style="255" customWidth="1"/>
    <col min="1823" max="1823" width="8.25" style="255" customWidth="1"/>
    <col min="1824" max="1825" width="10.375" style="255" customWidth="1"/>
    <col min="1826" max="1826" width="15.625" style="255" customWidth="1"/>
    <col min="1827" max="1827" width="15.875" style="255" customWidth="1"/>
    <col min="1828" max="1828" width="8.125" style="255" customWidth="1"/>
    <col min="1829" max="1832" width="10.375" style="255" customWidth="1"/>
    <col min="1833" max="1833" width="7.25" style="255" customWidth="1"/>
    <col min="1834" max="1834" width="7.125" style="255" customWidth="1"/>
    <col min="1835" max="1835" width="9.5" style="255" customWidth="1"/>
    <col min="1836" max="1837" width="9" style="255" customWidth="1"/>
    <col min="1838" max="1838" width="16.125" style="255" customWidth="1"/>
    <col min="1839" max="1869" width="9" style="255" customWidth="1"/>
    <col min="1870" max="2029" width="25.25" style="255"/>
    <col min="2030" max="2059" width="9" style="255" customWidth="1"/>
    <col min="2060" max="2060" width="0.5" style="255" customWidth="1"/>
    <col min="2061" max="2061" width="25.25" style="255"/>
    <col min="2062" max="2062" width="0.5" style="255" customWidth="1"/>
    <col min="2063" max="2063" width="25.25" style="255"/>
    <col min="2064" max="2064" width="14.75" style="255" customWidth="1"/>
    <col min="2065" max="2065" width="11.5" style="255" customWidth="1"/>
    <col min="2066" max="2066" width="11.25" style="255" customWidth="1"/>
    <col min="2067" max="2067" width="10.75" style="255" customWidth="1"/>
    <col min="2068" max="2068" width="10" style="255" customWidth="1"/>
    <col min="2069" max="2069" width="9.875" style="255" customWidth="1"/>
    <col min="2070" max="2070" width="26.125" style="255" customWidth="1"/>
    <col min="2071" max="2071" width="11.125" style="255" customWidth="1"/>
    <col min="2072" max="2072" width="7.875" style="255" customWidth="1"/>
    <col min="2073" max="2073" width="7.25" style="255" customWidth="1"/>
    <col min="2074" max="2074" width="9.125" style="255" customWidth="1"/>
    <col min="2075" max="2075" width="15.125" style="255" customWidth="1"/>
    <col min="2076" max="2076" width="7.75" style="255" customWidth="1"/>
    <col min="2077" max="2077" width="7.125" style="255" customWidth="1"/>
    <col min="2078" max="2078" width="12.125" style="255" customWidth="1"/>
    <col min="2079" max="2079" width="8.25" style="255" customWidth="1"/>
    <col min="2080" max="2081" width="10.375" style="255" customWidth="1"/>
    <col min="2082" max="2082" width="15.625" style="255" customWidth="1"/>
    <col min="2083" max="2083" width="15.875" style="255" customWidth="1"/>
    <col min="2084" max="2084" width="8.125" style="255" customWidth="1"/>
    <col min="2085" max="2088" width="10.375" style="255" customWidth="1"/>
    <col min="2089" max="2089" width="7.25" style="255" customWidth="1"/>
    <col min="2090" max="2090" width="7.125" style="255" customWidth="1"/>
    <col min="2091" max="2091" width="9.5" style="255" customWidth="1"/>
    <col min="2092" max="2093" width="9" style="255" customWidth="1"/>
    <col min="2094" max="2094" width="16.125" style="255" customWidth="1"/>
    <col min="2095" max="2125" width="9" style="255" customWidth="1"/>
    <col min="2126" max="2285" width="25.25" style="255"/>
    <col min="2286" max="2315" width="9" style="255" customWidth="1"/>
    <col min="2316" max="2316" width="0.5" style="255" customWidth="1"/>
    <col min="2317" max="2317" width="25.25" style="255"/>
    <col min="2318" max="2318" width="0.5" style="255" customWidth="1"/>
    <col min="2319" max="2319" width="25.25" style="255"/>
    <col min="2320" max="2320" width="14.75" style="255" customWidth="1"/>
    <col min="2321" max="2321" width="11.5" style="255" customWidth="1"/>
    <col min="2322" max="2322" width="11.25" style="255" customWidth="1"/>
    <col min="2323" max="2323" width="10.75" style="255" customWidth="1"/>
    <col min="2324" max="2324" width="10" style="255" customWidth="1"/>
    <col min="2325" max="2325" width="9.875" style="255" customWidth="1"/>
    <col min="2326" max="2326" width="26.125" style="255" customWidth="1"/>
    <col min="2327" max="2327" width="11.125" style="255" customWidth="1"/>
    <col min="2328" max="2328" width="7.875" style="255" customWidth="1"/>
    <col min="2329" max="2329" width="7.25" style="255" customWidth="1"/>
    <col min="2330" max="2330" width="9.125" style="255" customWidth="1"/>
    <col min="2331" max="2331" width="15.125" style="255" customWidth="1"/>
    <col min="2332" max="2332" width="7.75" style="255" customWidth="1"/>
    <col min="2333" max="2333" width="7.125" style="255" customWidth="1"/>
    <col min="2334" max="2334" width="12.125" style="255" customWidth="1"/>
    <col min="2335" max="2335" width="8.25" style="255" customWidth="1"/>
    <col min="2336" max="2337" width="10.375" style="255" customWidth="1"/>
    <col min="2338" max="2338" width="15.625" style="255" customWidth="1"/>
    <col min="2339" max="2339" width="15.875" style="255" customWidth="1"/>
    <col min="2340" max="2340" width="8.125" style="255" customWidth="1"/>
    <col min="2341" max="2344" width="10.375" style="255" customWidth="1"/>
    <col min="2345" max="2345" width="7.25" style="255" customWidth="1"/>
    <col min="2346" max="2346" width="7.125" style="255" customWidth="1"/>
    <col min="2347" max="2347" width="9.5" style="255" customWidth="1"/>
    <col min="2348" max="2349" width="9" style="255" customWidth="1"/>
    <col min="2350" max="2350" width="16.125" style="255" customWidth="1"/>
    <col min="2351" max="2381" width="9" style="255" customWidth="1"/>
    <col min="2382" max="2541" width="25.25" style="255"/>
    <col min="2542" max="2571" width="9" style="255" customWidth="1"/>
    <col min="2572" max="2572" width="0.5" style="255" customWidth="1"/>
    <col min="2573" max="2573" width="25.25" style="255"/>
    <col min="2574" max="2574" width="0.5" style="255" customWidth="1"/>
    <col min="2575" max="2575" width="25.25" style="255"/>
    <col min="2576" max="2576" width="14.75" style="255" customWidth="1"/>
    <col min="2577" max="2577" width="11.5" style="255" customWidth="1"/>
    <col min="2578" max="2578" width="11.25" style="255" customWidth="1"/>
    <col min="2579" max="2579" width="10.75" style="255" customWidth="1"/>
    <col min="2580" max="2580" width="10" style="255" customWidth="1"/>
    <col min="2581" max="2581" width="9.875" style="255" customWidth="1"/>
    <col min="2582" max="2582" width="26.125" style="255" customWidth="1"/>
    <col min="2583" max="2583" width="11.125" style="255" customWidth="1"/>
    <col min="2584" max="2584" width="7.875" style="255" customWidth="1"/>
    <col min="2585" max="2585" width="7.25" style="255" customWidth="1"/>
    <col min="2586" max="2586" width="9.125" style="255" customWidth="1"/>
    <col min="2587" max="2587" width="15.125" style="255" customWidth="1"/>
    <col min="2588" max="2588" width="7.75" style="255" customWidth="1"/>
    <col min="2589" max="2589" width="7.125" style="255" customWidth="1"/>
    <col min="2590" max="2590" width="12.125" style="255" customWidth="1"/>
    <col min="2591" max="2591" width="8.25" style="255" customWidth="1"/>
    <col min="2592" max="2593" width="10.375" style="255" customWidth="1"/>
    <col min="2594" max="2594" width="15.625" style="255" customWidth="1"/>
    <col min="2595" max="2595" width="15.875" style="255" customWidth="1"/>
    <col min="2596" max="2596" width="8.125" style="255" customWidth="1"/>
    <col min="2597" max="2600" width="10.375" style="255" customWidth="1"/>
    <col min="2601" max="2601" width="7.25" style="255" customWidth="1"/>
    <col min="2602" max="2602" width="7.125" style="255" customWidth="1"/>
    <col min="2603" max="2603" width="9.5" style="255" customWidth="1"/>
    <col min="2604" max="2605" width="9" style="255" customWidth="1"/>
    <col min="2606" max="2606" width="16.125" style="255" customWidth="1"/>
    <col min="2607" max="2637" width="9" style="255" customWidth="1"/>
    <col min="2638" max="2797" width="25.25" style="255"/>
    <col min="2798" max="2827" width="9" style="255" customWidth="1"/>
    <col min="2828" max="2828" width="0.5" style="255" customWidth="1"/>
    <col min="2829" max="2829" width="25.25" style="255"/>
    <col min="2830" max="2830" width="0.5" style="255" customWidth="1"/>
    <col min="2831" max="2831" width="25.25" style="255"/>
    <col min="2832" max="2832" width="14.75" style="255" customWidth="1"/>
    <col min="2833" max="2833" width="11.5" style="255" customWidth="1"/>
    <col min="2834" max="2834" width="11.25" style="255" customWidth="1"/>
    <col min="2835" max="2835" width="10.75" style="255" customWidth="1"/>
    <col min="2836" max="2836" width="10" style="255" customWidth="1"/>
    <col min="2837" max="2837" width="9.875" style="255" customWidth="1"/>
    <col min="2838" max="2838" width="26.125" style="255" customWidth="1"/>
    <col min="2839" max="2839" width="11.125" style="255" customWidth="1"/>
    <col min="2840" max="2840" width="7.875" style="255" customWidth="1"/>
    <col min="2841" max="2841" width="7.25" style="255" customWidth="1"/>
    <col min="2842" max="2842" width="9.125" style="255" customWidth="1"/>
    <col min="2843" max="2843" width="15.125" style="255" customWidth="1"/>
    <col min="2844" max="2844" width="7.75" style="255" customWidth="1"/>
    <col min="2845" max="2845" width="7.125" style="255" customWidth="1"/>
    <col min="2846" max="2846" width="12.125" style="255" customWidth="1"/>
    <col min="2847" max="2847" width="8.25" style="255" customWidth="1"/>
    <col min="2848" max="2849" width="10.375" style="255" customWidth="1"/>
    <col min="2850" max="2850" width="15.625" style="255" customWidth="1"/>
    <col min="2851" max="2851" width="15.875" style="255" customWidth="1"/>
    <col min="2852" max="2852" width="8.125" style="255" customWidth="1"/>
    <col min="2853" max="2856" width="10.375" style="255" customWidth="1"/>
    <col min="2857" max="2857" width="7.25" style="255" customWidth="1"/>
    <col min="2858" max="2858" width="7.125" style="255" customWidth="1"/>
    <col min="2859" max="2859" width="9.5" style="255" customWidth="1"/>
    <col min="2860" max="2861" width="9" style="255" customWidth="1"/>
    <col min="2862" max="2862" width="16.125" style="255" customWidth="1"/>
    <col min="2863" max="2893" width="9" style="255" customWidth="1"/>
    <col min="2894" max="3053" width="25.25" style="255"/>
    <col min="3054" max="3083" width="9" style="255" customWidth="1"/>
    <col min="3084" max="3084" width="0.5" style="255" customWidth="1"/>
    <col min="3085" max="3085" width="25.25" style="255"/>
    <col min="3086" max="3086" width="0.5" style="255" customWidth="1"/>
    <col min="3087" max="3087" width="25.25" style="255"/>
    <col min="3088" max="3088" width="14.75" style="255" customWidth="1"/>
    <col min="3089" max="3089" width="11.5" style="255" customWidth="1"/>
    <col min="3090" max="3090" width="11.25" style="255" customWidth="1"/>
    <col min="3091" max="3091" width="10.75" style="255" customWidth="1"/>
    <col min="3092" max="3092" width="10" style="255" customWidth="1"/>
    <col min="3093" max="3093" width="9.875" style="255" customWidth="1"/>
    <col min="3094" max="3094" width="26.125" style="255" customWidth="1"/>
    <col min="3095" max="3095" width="11.125" style="255" customWidth="1"/>
    <col min="3096" max="3096" width="7.875" style="255" customWidth="1"/>
    <col min="3097" max="3097" width="7.25" style="255" customWidth="1"/>
    <col min="3098" max="3098" width="9.125" style="255" customWidth="1"/>
    <col min="3099" max="3099" width="15.125" style="255" customWidth="1"/>
    <col min="3100" max="3100" width="7.75" style="255" customWidth="1"/>
    <col min="3101" max="3101" width="7.125" style="255" customWidth="1"/>
    <col min="3102" max="3102" width="12.125" style="255" customWidth="1"/>
    <col min="3103" max="3103" width="8.25" style="255" customWidth="1"/>
    <col min="3104" max="3105" width="10.375" style="255" customWidth="1"/>
    <col min="3106" max="3106" width="15.625" style="255" customWidth="1"/>
    <col min="3107" max="3107" width="15.875" style="255" customWidth="1"/>
    <col min="3108" max="3108" width="8.125" style="255" customWidth="1"/>
    <col min="3109" max="3112" width="10.375" style="255" customWidth="1"/>
    <col min="3113" max="3113" width="7.25" style="255" customWidth="1"/>
    <col min="3114" max="3114" width="7.125" style="255" customWidth="1"/>
    <col min="3115" max="3115" width="9.5" style="255" customWidth="1"/>
    <col min="3116" max="3117" width="9" style="255" customWidth="1"/>
    <col min="3118" max="3118" width="16.125" style="255" customWidth="1"/>
    <col min="3119" max="3149" width="9" style="255" customWidth="1"/>
    <col min="3150" max="3309" width="25.25" style="255"/>
    <col min="3310" max="3339" width="9" style="255" customWidth="1"/>
    <col min="3340" max="3340" width="0.5" style="255" customWidth="1"/>
    <col min="3341" max="3341" width="25.25" style="255"/>
    <col min="3342" max="3342" width="0.5" style="255" customWidth="1"/>
    <col min="3343" max="3343" width="25.25" style="255"/>
    <col min="3344" max="3344" width="14.75" style="255" customWidth="1"/>
    <col min="3345" max="3345" width="11.5" style="255" customWidth="1"/>
    <col min="3346" max="3346" width="11.25" style="255" customWidth="1"/>
    <col min="3347" max="3347" width="10.75" style="255" customWidth="1"/>
    <col min="3348" max="3348" width="10" style="255" customWidth="1"/>
    <col min="3349" max="3349" width="9.875" style="255" customWidth="1"/>
    <col min="3350" max="3350" width="26.125" style="255" customWidth="1"/>
    <col min="3351" max="3351" width="11.125" style="255" customWidth="1"/>
    <col min="3352" max="3352" width="7.875" style="255" customWidth="1"/>
    <col min="3353" max="3353" width="7.25" style="255" customWidth="1"/>
    <col min="3354" max="3354" width="9.125" style="255" customWidth="1"/>
    <col min="3355" max="3355" width="15.125" style="255" customWidth="1"/>
    <col min="3356" max="3356" width="7.75" style="255" customWidth="1"/>
    <col min="3357" max="3357" width="7.125" style="255" customWidth="1"/>
    <col min="3358" max="3358" width="12.125" style="255" customWidth="1"/>
    <col min="3359" max="3359" width="8.25" style="255" customWidth="1"/>
    <col min="3360" max="3361" width="10.375" style="255" customWidth="1"/>
    <col min="3362" max="3362" width="15.625" style="255" customWidth="1"/>
    <col min="3363" max="3363" width="15.875" style="255" customWidth="1"/>
    <col min="3364" max="3364" width="8.125" style="255" customWidth="1"/>
    <col min="3365" max="3368" width="10.375" style="255" customWidth="1"/>
    <col min="3369" max="3369" width="7.25" style="255" customWidth="1"/>
    <col min="3370" max="3370" width="7.125" style="255" customWidth="1"/>
    <col min="3371" max="3371" width="9.5" style="255" customWidth="1"/>
    <col min="3372" max="3373" width="9" style="255" customWidth="1"/>
    <col min="3374" max="3374" width="16.125" style="255" customWidth="1"/>
    <col min="3375" max="3405" width="9" style="255" customWidth="1"/>
    <col min="3406" max="3565" width="25.25" style="255"/>
    <col min="3566" max="3595" width="9" style="255" customWidth="1"/>
    <col min="3596" max="3596" width="0.5" style="255" customWidth="1"/>
    <col min="3597" max="3597" width="25.25" style="255"/>
    <col min="3598" max="3598" width="0.5" style="255" customWidth="1"/>
    <col min="3599" max="3599" width="25.25" style="255"/>
    <col min="3600" max="3600" width="14.75" style="255" customWidth="1"/>
    <col min="3601" max="3601" width="11.5" style="255" customWidth="1"/>
    <col min="3602" max="3602" width="11.25" style="255" customWidth="1"/>
    <col min="3603" max="3603" width="10.75" style="255" customWidth="1"/>
    <col min="3604" max="3604" width="10" style="255" customWidth="1"/>
    <col min="3605" max="3605" width="9.875" style="255" customWidth="1"/>
    <col min="3606" max="3606" width="26.125" style="255" customWidth="1"/>
    <col min="3607" max="3607" width="11.125" style="255" customWidth="1"/>
    <col min="3608" max="3608" width="7.875" style="255" customWidth="1"/>
    <col min="3609" max="3609" width="7.25" style="255" customWidth="1"/>
    <col min="3610" max="3610" width="9.125" style="255" customWidth="1"/>
    <col min="3611" max="3611" width="15.125" style="255" customWidth="1"/>
    <col min="3612" max="3612" width="7.75" style="255" customWidth="1"/>
    <col min="3613" max="3613" width="7.125" style="255" customWidth="1"/>
    <col min="3614" max="3614" width="12.125" style="255" customWidth="1"/>
    <col min="3615" max="3615" width="8.25" style="255" customWidth="1"/>
    <col min="3616" max="3617" width="10.375" style="255" customWidth="1"/>
    <col min="3618" max="3618" width="15.625" style="255" customWidth="1"/>
    <col min="3619" max="3619" width="15.875" style="255" customWidth="1"/>
    <col min="3620" max="3620" width="8.125" style="255" customWidth="1"/>
    <col min="3621" max="3624" width="10.375" style="255" customWidth="1"/>
    <col min="3625" max="3625" width="7.25" style="255" customWidth="1"/>
    <col min="3626" max="3626" width="7.125" style="255" customWidth="1"/>
    <col min="3627" max="3627" width="9.5" style="255" customWidth="1"/>
    <col min="3628" max="3629" width="9" style="255" customWidth="1"/>
    <col min="3630" max="3630" width="16.125" style="255" customWidth="1"/>
    <col min="3631" max="3661" width="9" style="255" customWidth="1"/>
    <col min="3662" max="3821" width="25.25" style="255"/>
    <col min="3822" max="3851" width="9" style="255" customWidth="1"/>
    <col min="3852" max="3852" width="0.5" style="255" customWidth="1"/>
    <col min="3853" max="3853" width="25.25" style="255"/>
    <col min="3854" max="3854" width="0.5" style="255" customWidth="1"/>
    <col min="3855" max="3855" width="25.25" style="255"/>
    <col min="3856" max="3856" width="14.75" style="255" customWidth="1"/>
    <col min="3857" max="3857" width="11.5" style="255" customWidth="1"/>
    <col min="3858" max="3858" width="11.25" style="255" customWidth="1"/>
    <col min="3859" max="3859" width="10.75" style="255" customWidth="1"/>
    <col min="3860" max="3860" width="10" style="255" customWidth="1"/>
    <col min="3861" max="3861" width="9.875" style="255" customWidth="1"/>
    <col min="3862" max="3862" width="26.125" style="255" customWidth="1"/>
    <col min="3863" max="3863" width="11.125" style="255" customWidth="1"/>
    <col min="3864" max="3864" width="7.875" style="255" customWidth="1"/>
    <col min="3865" max="3865" width="7.25" style="255" customWidth="1"/>
    <col min="3866" max="3866" width="9.125" style="255" customWidth="1"/>
    <col min="3867" max="3867" width="15.125" style="255" customWidth="1"/>
    <col min="3868" max="3868" width="7.75" style="255" customWidth="1"/>
    <col min="3869" max="3869" width="7.125" style="255" customWidth="1"/>
    <col min="3870" max="3870" width="12.125" style="255" customWidth="1"/>
    <col min="3871" max="3871" width="8.25" style="255" customWidth="1"/>
    <col min="3872" max="3873" width="10.375" style="255" customWidth="1"/>
    <col min="3874" max="3874" width="15.625" style="255" customWidth="1"/>
    <col min="3875" max="3875" width="15.875" style="255" customWidth="1"/>
    <col min="3876" max="3876" width="8.125" style="255" customWidth="1"/>
    <col min="3877" max="3880" width="10.375" style="255" customWidth="1"/>
    <col min="3881" max="3881" width="7.25" style="255" customWidth="1"/>
    <col min="3882" max="3882" width="7.125" style="255" customWidth="1"/>
    <col min="3883" max="3883" width="9.5" style="255" customWidth="1"/>
    <col min="3884" max="3885" width="9" style="255" customWidth="1"/>
    <col min="3886" max="3886" width="16.125" style="255" customWidth="1"/>
    <col min="3887" max="3917" width="9" style="255" customWidth="1"/>
    <col min="3918" max="4077" width="25.25" style="255"/>
    <col min="4078" max="4107" width="9" style="255" customWidth="1"/>
    <col min="4108" max="4108" width="0.5" style="255" customWidth="1"/>
    <col min="4109" max="4109" width="25.25" style="255"/>
    <col min="4110" max="4110" width="0.5" style="255" customWidth="1"/>
    <col min="4111" max="4111" width="25.25" style="255"/>
    <col min="4112" max="4112" width="14.75" style="255" customWidth="1"/>
    <col min="4113" max="4113" width="11.5" style="255" customWidth="1"/>
    <col min="4114" max="4114" width="11.25" style="255" customWidth="1"/>
    <col min="4115" max="4115" width="10.75" style="255" customWidth="1"/>
    <col min="4116" max="4116" width="10" style="255" customWidth="1"/>
    <col min="4117" max="4117" width="9.875" style="255" customWidth="1"/>
    <col min="4118" max="4118" width="26.125" style="255" customWidth="1"/>
    <col min="4119" max="4119" width="11.125" style="255" customWidth="1"/>
    <col min="4120" max="4120" width="7.875" style="255" customWidth="1"/>
    <col min="4121" max="4121" width="7.25" style="255" customWidth="1"/>
    <col min="4122" max="4122" width="9.125" style="255" customWidth="1"/>
    <col min="4123" max="4123" width="15.125" style="255" customWidth="1"/>
    <col min="4124" max="4124" width="7.75" style="255" customWidth="1"/>
    <col min="4125" max="4125" width="7.125" style="255" customWidth="1"/>
    <col min="4126" max="4126" width="12.125" style="255" customWidth="1"/>
    <col min="4127" max="4127" width="8.25" style="255" customWidth="1"/>
    <col min="4128" max="4129" width="10.375" style="255" customWidth="1"/>
    <col min="4130" max="4130" width="15.625" style="255" customWidth="1"/>
    <col min="4131" max="4131" width="15.875" style="255" customWidth="1"/>
    <col min="4132" max="4132" width="8.125" style="255" customWidth="1"/>
    <col min="4133" max="4136" width="10.375" style="255" customWidth="1"/>
    <col min="4137" max="4137" width="7.25" style="255" customWidth="1"/>
    <col min="4138" max="4138" width="7.125" style="255" customWidth="1"/>
    <col min="4139" max="4139" width="9.5" style="255" customWidth="1"/>
    <col min="4140" max="4141" width="9" style="255" customWidth="1"/>
    <col min="4142" max="4142" width="16.125" style="255" customWidth="1"/>
    <col min="4143" max="4173" width="9" style="255" customWidth="1"/>
    <col min="4174" max="4333" width="25.25" style="255"/>
    <col min="4334" max="4363" width="9" style="255" customWidth="1"/>
    <col min="4364" max="4364" width="0.5" style="255" customWidth="1"/>
    <col min="4365" max="4365" width="25.25" style="255"/>
    <col min="4366" max="4366" width="0.5" style="255" customWidth="1"/>
    <col min="4367" max="4367" width="25.25" style="255"/>
    <col min="4368" max="4368" width="14.75" style="255" customWidth="1"/>
    <col min="4369" max="4369" width="11.5" style="255" customWidth="1"/>
    <col min="4370" max="4370" width="11.25" style="255" customWidth="1"/>
    <col min="4371" max="4371" width="10.75" style="255" customWidth="1"/>
    <col min="4372" max="4372" width="10" style="255" customWidth="1"/>
    <col min="4373" max="4373" width="9.875" style="255" customWidth="1"/>
    <col min="4374" max="4374" width="26.125" style="255" customWidth="1"/>
    <col min="4375" max="4375" width="11.125" style="255" customWidth="1"/>
    <col min="4376" max="4376" width="7.875" style="255" customWidth="1"/>
    <col min="4377" max="4377" width="7.25" style="255" customWidth="1"/>
    <col min="4378" max="4378" width="9.125" style="255" customWidth="1"/>
    <col min="4379" max="4379" width="15.125" style="255" customWidth="1"/>
    <col min="4380" max="4380" width="7.75" style="255" customWidth="1"/>
    <col min="4381" max="4381" width="7.125" style="255" customWidth="1"/>
    <col min="4382" max="4382" width="12.125" style="255" customWidth="1"/>
    <col min="4383" max="4383" width="8.25" style="255" customWidth="1"/>
    <col min="4384" max="4385" width="10.375" style="255" customWidth="1"/>
    <col min="4386" max="4386" width="15.625" style="255" customWidth="1"/>
    <col min="4387" max="4387" width="15.875" style="255" customWidth="1"/>
    <col min="4388" max="4388" width="8.125" style="255" customWidth="1"/>
    <col min="4389" max="4392" width="10.375" style="255" customWidth="1"/>
    <col min="4393" max="4393" width="7.25" style="255" customWidth="1"/>
    <col min="4394" max="4394" width="7.125" style="255" customWidth="1"/>
    <col min="4395" max="4395" width="9.5" style="255" customWidth="1"/>
    <col min="4396" max="4397" width="9" style="255" customWidth="1"/>
    <col min="4398" max="4398" width="16.125" style="255" customWidth="1"/>
    <col min="4399" max="4429" width="9" style="255" customWidth="1"/>
    <col min="4430" max="4589" width="25.25" style="255"/>
    <col min="4590" max="4619" width="9" style="255" customWidth="1"/>
    <col min="4620" max="4620" width="0.5" style="255" customWidth="1"/>
    <col min="4621" max="4621" width="25.25" style="255"/>
    <col min="4622" max="4622" width="0.5" style="255" customWidth="1"/>
    <col min="4623" max="4623" width="25.25" style="255"/>
    <col min="4624" max="4624" width="14.75" style="255" customWidth="1"/>
    <col min="4625" max="4625" width="11.5" style="255" customWidth="1"/>
    <col min="4626" max="4626" width="11.25" style="255" customWidth="1"/>
    <col min="4627" max="4627" width="10.75" style="255" customWidth="1"/>
    <col min="4628" max="4628" width="10" style="255" customWidth="1"/>
    <col min="4629" max="4629" width="9.875" style="255" customWidth="1"/>
    <col min="4630" max="4630" width="26.125" style="255" customWidth="1"/>
    <col min="4631" max="4631" width="11.125" style="255" customWidth="1"/>
    <col min="4632" max="4632" width="7.875" style="255" customWidth="1"/>
    <col min="4633" max="4633" width="7.25" style="255" customWidth="1"/>
    <col min="4634" max="4634" width="9.125" style="255" customWidth="1"/>
    <col min="4635" max="4635" width="15.125" style="255" customWidth="1"/>
    <col min="4636" max="4636" width="7.75" style="255" customWidth="1"/>
    <col min="4637" max="4637" width="7.125" style="255" customWidth="1"/>
    <col min="4638" max="4638" width="12.125" style="255" customWidth="1"/>
    <col min="4639" max="4639" width="8.25" style="255" customWidth="1"/>
    <col min="4640" max="4641" width="10.375" style="255" customWidth="1"/>
    <col min="4642" max="4642" width="15.625" style="255" customWidth="1"/>
    <col min="4643" max="4643" width="15.875" style="255" customWidth="1"/>
    <col min="4644" max="4644" width="8.125" style="255" customWidth="1"/>
    <col min="4645" max="4648" width="10.375" style="255" customWidth="1"/>
    <col min="4649" max="4649" width="7.25" style="255" customWidth="1"/>
    <col min="4650" max="4650" width="7.125" style="255" customWidth="1"/>
    <col min="4651" max="4651" width="9.5" style="255" customWidth="1"/>
    <col min="4652" max="4653" width="9" style="255" customWidth="1"/>
    <col min="4654" max="4654" width="16.125" style="255" customWidth="1"/>
    <col min="4655" max="4685" width="9" style="255" customWidth="1"/>
    <col min="4686" max="4845" width="25.25" style="255"/>
    <col min="4846" max="4875" width="9" style="255" customWidth="1"/>
    <col min="4876" max="4876" width="0.5" style="255" customWidth="1"/>
    <col min="4877" max="4877" width="25.25" style="255"/>
    <col min="4878" max="4878" width="0.5" style="255" customWidth="1"/>
    <col min="4879" max="4879" width="25.25" style="255"/>
    <col min="4880" max="4880" width="14.75" style="255" customWidth="1"/>
    <col min="4881" max="4881" width="11.5" style="255" customWidth="1"/>
    <col min="4882" max="4882" width="11.25" style="255" customWidth="1"/>
    <col min="4883" max="4883" width="10.75" style="255" customWidth="1"/>
    <col min="4884" max="4884" width="10" style="255" customWidth="1"/>
    <col min="4885" max="4885" width="9.875" style="255" customWidth="1"/>
    <col min="4886" max="4886" width="26.125" style="255" customWidth="1"/>
    <col min="4887" max="4887" width="11.125" style="255" customWidth="1"/>
    <col min="4888" max="4888" width="7.875" style="255" customWidth="1"/>
    <col min="4889" max="4889" width="7.25" style="255" customWidth="1"/>
    <col min="4890" max="4890" width="9.125" style="255" customWidth="1"/>
    <col min="4891" max="4891" width="15.125" style="255" customWidth="1"/>
    <col min="4892" max="4892" width="7.75" style="255" customWidth="1"/>
    <col min="4893" max="4893" width="7.125" style="255" customWidth="1"/>
    <col min="4894" max="4894" width="12.125" style="255" customWidth="1"/>
    <col min="4895" max="4895" width="8.25" style="255" customWidth="1"/>
    <col min="4896" max="4897" width="10.375" style="255" customWidth="1"/>
    <col min="4898" max="4898" width="15.625" style="255" customWidth="1"/>
    <col min="4899" max="4899" width="15.875" style="255" customWidth="1"/>
    <col min="4900" max="4900" width="8.125" style="255" customWidth="1"/>
    <col min="4901" max="4904" width="10.375" style="255" customWidth="1"/>
    <col min="4905" max="4905" width="7.25" style="255" customWidth="1"/>
    <col min="4906" max="4906" width="7.125" style="255" customWidth="1"/>
    <col min="4907" max="4907" width="9.5" style="255" customWidth="1"/>
    <col min="4908" max="4909" width="9" style="255" customWidth="1"/>
    <col min="4910" max="4910" width="16.125" style="255" customWidth="1"/>
    <col min="4911" max="4941" width="9" style="255" customWidth="1"/>
    <col min="4942" max="5101" width="25.25" style="255"/>
    <col min="5102" max="5131" width="9" style="255" customWidth="1"/>
    <col min="5132" max="5132" width="0.5" style="255" customWidth="1"/>
    <col min="5133" max="5133" width="25.25" style="255"/>
    <col min="5134" max="5134" width="0.5" style="255" customWidth="1"/>
    <col min="5135" max="5135" width="25.25" style="255"/>
    <col min="5136" max="5136" width="14.75" style="255" customWidth="1"/>
    <col min="5137" max="5137" width="11.5" style="255" customWidth="1"/>
    <col min="5138" max="5138" width="11.25" style="255" customWidth="1"/>
    <col min="5139" max="5139" width="10.75" style="255" customWidth="1"/>
    <col min="5140" max="5140" width="10" style="255" customWidth="1"/>
    <col min="5141" max="5141" width="9.875" style="255" customWidth="1"/>
    <col min="5142" max="5142" width="26.125" style="255" customWidth="1"/>
    <col min="5143" max="5143" width="11.125" style="255" customWidth="1"/>
    <col min="5144" max="5144" width="7.875" style="255" customWidth="1"/>
    <col min="5145" max="5145" width="7.25" style="255" customWidth="1"/>
    <col min="5146" max="5146" width="9.125" style="255" customWidth="1"/>
    <col min="5147" max="5147" width="15.125" style="255" customWidth="1"/>
    <col min="5148" max="5148" width="7.75" style="255" customWidth="1"/>
    <col min="5149" max="5149" width="7.125" style="255" customWidth="1"/>
    <col min="5150" max="5150" width="12.125" style="255" customWidth="1"/>
    <col min="5151" max="5151" width="8.25" style="255" customWidth="1"/>
    <col min="5152" max="5153" width="10.375" style="255" customWidth="1"/>
    <col min="5154" max="5154" width="15.625" style="255" customWidth="1"/>
    <col min="5155" max="5155" width="15.875" style="255" customWidth="1"/>
    <col min="5156" max="5156" width="8.125" style="255" customWidth="1"/>
    <col min="5157" max="5160" width="10.375" style="255" customWidth="1"/>
    <col min="5161" max="5161" width="7.25" style="255" customWidth="1"/>
    <col min="5162" max="5162" width="7.125" style="255" customWidth="1"/>
    <col min="5163" max="5163" width="9.5" style="255" customWidth="1"/>
    <col min="5164" max="5165" width="9" style="255" customWidth="1"/>
    <col min="5166" max="5166" width="16.125" style="255" customWidth="1"/>
    <col min="5167" max="5197" width="9" style="255" customWidth="1"/>
    <col min="5198" max="5357" width="25.25" style="255"/>
    <col min="5358" max="5387" width="9" style="255" customWidth="1"/>
    <col min="5388" max="5388" width="0.5" style="255" customWidth="1"/>
    <col min="5389" max="5389" width="25.25" style="255"/>
    <col min="5390" max="5390" width="0.5" style="255" customWidth="1"/>
    <col min="5391" max="5391" width="25.25" style="255"/>
    <col min="5392" max="5392" width="14.75" style="255" customWidth="1"/>
    <col min="5393" max="5393" width="11.5" style="255" customWidth="1"/>
    <col min="5394" max="5394" width="11.25" style="255" customWidth="1"/>
    <col min="5395" max="5395" width="10.75" style="255" customWidth="1"/>
    <col min="5396" max="5396" width="10" style="255" customWidth="1"/>
    <col min="5397" max="5397" width="9.875" style="255" customWidth="1"/>
    <col min="5398" max="5398" width="26.125" style="255" customWidth="1"/>
    <col min="5399" max="5399" width="11.125" style="255" customWidth="1"/>
    <col min="5400" max="5400" width="7.875" style="255" customWidth="1"/>
    <col min="5401" max="5401" width="7.25" style="255" customWidth="1"/>
    <col min="5402" max="5402" width="9.125" style="255" customWidth="1"/>
    <col min="5403" max="5403" width="15.125" style="255" customWidth="1"/>
    <col min="5404" max="5404" width="7.75" style="255" customWidth="1"/>
    <col min="5405" max="5405" width="7.125" style="255" customWidth="1"/>
    <col min="5406" max="5406" width="12.125" style="255" customWidth="1"/>
    <col min="5407" max="5407" width="8.25" style="255" customWidth="1"/>
    <col min="5408" max="5409" width="10.375" style="255" customWidth="1"/>
    <col min="5410" max="5410" width="15.625" style="255" customWidth="1"/>
    <col min="5411" max="5411" width="15.875" style="255" customWidth="1"/>
    <col min="5412" max="5412" width="8.125" style="255" customWidth="1"/>
    <col min="5413" max="5416" width="10.375" style="255" customWidth="1"/>
    <col min="5417" max="5417" width="7.25" style="255" customWidth="1"/>
    <col min="5418" max="5418" width="7.125" style="255" customWidth="1"/>
    <col min="5419" max="5419" width="9.5" style="255" customWidth="1"/>
    <col min="5420" max="5421" width="9" style="255" customWidth="1"/>
    <col min="5422" max="5422" width="16.125" style="255" customWidth="1"/>
    <col min="5423" max="5453" width="9" style="255" customWidth="1"/>
    <col min="5454" max="5613" width="25.25" style="255"/>
    <col min="5614" max="5643" width="9" style="255" customWidth="1"/>
    <col min="5644" max="5644" width="0.5" style="255" customWidth="1"/>
    <col min="5645" max="5645" width="25.25" style="255"/>
    <col min="5646" max="5646" width="0.5" style="255" customWidth="1"/>
    <col min="5647" max="5647" width="25.25" style="255"/>
    <col min="5648" max="5648" width="14.75" style="255" customWidth="1"/>
    <col min="5649" max="5649" width="11.5" style="255" customWidth="1"/>
    <col min="5650" max="5650" width="11.25" style="255" customWidth="1"/>
    <col min="5651" max="5651" width="10.75" style="255" customWidth="1"/>
    <col min="5652" max="5652" width="10" style="255" customWidth="1"/>
    <col min="5653" max="5653" width="9.875" style="255" customWidth="1"/>
    <col min="5654" max="5654" width="26.125" style="255" customWidth="1"/>
    <col min="5655" max="5655" width="11.125" style="255" customWidth="1"/>
    <col min="5656" max="5656" width="7.875" style="255" customWidth="1"/>
    <col min="5657" max="5657" width="7.25" style="255" customWidth="1"/>
    <col min="5658" max="5658" width="9.125" style="255" customWidth="1"/>
    <col min="5659" max="5659" width="15.125" style="255" customWidth="1"/>
    <col min="5660" max="5660" width="7.75" style="255" customWidth="1"/>
    <col min="5661" max="5661" width="7.125" style="255" customWidth="1"/>
    <col min="5662" max="5662" width="12.125" style="255" customWidth="1"/>
    <col min="5663" max="5663" width="8.25" style="255" customWidth="1"/>
    <col min="5664" max="5665" width="10.375" style="255" customWidth="1"/>
    <col min="5666" max="5666" width="15.625" style="255" customWidth="1"/>
    <col min="5667" max="5667" width="15.875" style="255" customWidth="1"/>
    <col min="5668" max="5668" width="8.125" style="255" customWidth="1"/>
    <col min="5669" max="5672" width="10.375" style="255" customWidth="1"/>
    <col min="5673" max="5673" width="7.25" style="255" customWidth="1"/>
    <col min="5674" max="5674" width="7.125" style="255" customWidth="1"/>
    <col min="5675" max="5675" width="9.5" style="255" customWidth="1"/>
    <col min="5676" max="5677" width="9" style="255" customWidth="1"/>
    <col min="5678" max="5678" width="16.125" style="255" customWidth="1"/>
    <col min="5679" max="5709" width="9" style="255" customWidth="1"/>
    <col min="5710" max="5869" width="25.25" style="255"/>
    <col min="5870" max="5899" width="9" style="255" customWidth="1"/>
    <col min="5900" max="5900" width="0.5" style="255" customWidth="1"/>
    <col min="5901" max="5901" width="25.25" style="255"/>
    <col min="5902" max="5902" width="0.5" style="255" customWidth="1"/>
    <col min="5903" max="5903" width="25.25" style="255"/>
    <col min="5904" max="5904" width="14.75" style="255" customWidth="1"/>
    <col min="5905" max="5905" width="11.5" style="255" customWidth="1"/>
    <col min="5906" max="5906" width="11.25" style="255" customWidth="1"/>
    <col min="5907" max="5907" width="10.75" style="255" customWidth="1"/>
    <col min="5908" max="5908" width="10" style="255" customWidth="1"/>
    <col min="5909" max="5909" width="9.875" style="255" customWidth="1"/>
    <col min="5910" max="5910" width="26.125" style="255" customWidth="1"/>
    <col min="5911" max="5911" width="11.125" style="255" customWidth="1"/>
    <col min="5912" max="5912" width="7.875" style="255" customWidth="1"/>
    <col min="5913" max="5913" width="7.25" style="255" customWidth="1"/>
    <col min="5914" max="5914" width="9.125" style="255" customWidth="1"/>
    <col min="5915" max="5915" width="15.125" style="255" customWidth="1"/>
    <col min="5916" max="5916" width="7.75" style="255" customWidth="1"/>
    <col min="5917" max="5917" width="7.125" style="255" customWidth="1"/>
    <col min="5918" max="5918" width="12.125" style="255" customWidth="1"/>
    <col min="5919" max="5919" width="8.25" style="255" customWidth="1"/>
    <col min="5920" max="5921" width="10.375" style="255" customWidth="1"/>
    <col min="5922" max="5922" width="15.625" style="255" customWidth="1"/>
    <col min="5923" max="5923" width="15.875" style="255" customWidth="1"/>
    <col min="5924" max="5924" width="8.125" style="255" customWidth="1"/>
    <col min="5925" max="5928" width="10.375" style="255" customWidth="1"/>
    <col min="5929" max="5929" width="7.25" style="255" customWidth="1"/>
    <col min="5930" max="5930" width="7.125" style="255" customWidth="1"/>
    <col min="5931" max="5931" width="9.5" style="255" customWidth="1"/>
    <col min="5932" max="5933" width="9" style="255" customWidth="1"/>
    <col min="5934" max="5934" width="16.125" style="255" customWidth="1"/>
    <col min="5935" max="5965" width="9" style="255" customWidth="1"/>
    <col min="5966" max="6125" width="25.25" style="255"/>
    <col min="6126" max="6155" width="9" style="255" customWidth="1"/>
    <col min="6156" max="6156" width="0.5" style="255" customWidth="1"/>
    <col min="6157" max="6157" width="25.25" style="255"/>
    <col min="6158" max="6158" width="0.5" style="255" customWidth="1"/>
    <col min="6159" max="6159" width="25.25" style="255"/>
    <col min="6160" max="6160" width="14.75" style="255" customWidth="1"/>
    <col min="6161" max="6161" width="11.5" style="255" customWidth="1"/>
    <col min="6162" max="6162" width="11.25" style="255" customWidth="1"/>
    <col min="6163" max="6163" width="10.75" style="255" customWidth="1"/>
    <col min="6164" max="6164" width="10" style="255" customWidth="1"/>
    <col min="6165" max="6165" width="9.875" style="255" customWidth="1"/>
    <col min="6166" max="6166" width="26.125" style="255" customWidth="1"/>
    <col min="6167" max="6167" width="11.125" style="255" customWidth="1"/>
    <col min="6168" max="6168" width="7.875" style="255" customWidth="1"/>
    <col min="6169" max="6169" width="7.25" style="255" customWidth="1"/>
    <col min="6170" max="6170" width="9.125" style="255" customWidth="1"/>
    <col min="6171" max="6171" width="15.125" style="255" customWidth="1"/>
    <col min="6172" max="6172" width="7.75" style="255" customWidth="1"/>
    <col min="6173" max="6173" width="7.125" style="255" customWidth="1"/>
    <col min="6174" max="6174" width="12.125" style="255" customWidth="1"/>
    <col min="6175" max="6175" width="8.25" style="255" customWidth="1"/>
    <col min="6176" max="6177" width="10.375" style="255" customWidth="1"/>
    <col min="6178" max="6178" width="15.625" style="255" customWidth="1"/>
    <col min="6179" max="6179" width="15.875" style="255" customWidth="1"/>
    <col min="6180" max="6180" width="8.125" style="255" customWidth="1"/>
    <col min="6181" max="6184" width="10.375" style="255" customWidth="1"/>
    <col min="6185" max="6185" width="7.25" style="255" customWidth="1"/>
    <col min="6186" max="6186" width="7.125" style="255" customWidth="1"/>
    <col min="6187" max="6187" width="9.5" style="255" customWidth="1"/>
    <col min="6188" max="6189" width="9" style="255" customWidth="1"/>
    <col min="6190" max="6190" width="16.125" style="255" customWidth="1"/>
    <col min="6191" max="6221" width="9" style="255" customWidth="1"/>
    <col min="6222" max="6381" width="25.25" style="255"/>
    <col min="6382" max="6411" width="9" style="255" customWidth="1"/>
    <col min="6412" max="6412" width="0.5" style="255" customWidth="1"/>
    <col min="6413" max="6413" width="25.25" style="255"/>
    <col min="6414" max="6414" width="0.5" style="255" customWidth="1"/>
    <col min="6415" max="6415" width="25.25" style="255"/>
    <col min="6416" max="6416" width="14.75" style="255" customWidth="1"/>
    <col min="6417" max="6417" width="11.5" style="255" customWidth="1"/>
    <col min="6418" max="6418" width="11.25" style="255" customWidth="1"/>
    <col min="6419" max="6419" width="10.75" style="255" customWidth="1"/>
    <col min="6420" max="6420" width="10" style="255" customWidth="1"/>
    <col min="6421" max="6421" width="9.875" style="255" customWidth="1"/>
    <col min="6422" max="6422" width="26.125" style="255" customWidth="1"/>
    <col min="6423" max="6423" width="11.125" style="255" customWidth="1"/>
    <col min="6424" max="6424" width="7.875" style="255" customWidth="1"/>
    <col min="6425" max="6425" width="7.25" style="255" customWidth="1"/>
    <col min="6426" max="6426" width="9.125" style="255" customWidth="1"/>
    <col min="6427" max="6427" width="15.125" style="255" customWidth="1"/>
    <col min="6428" max="6428" width="7.75" style="255" customWidth="1"/>
    <col min="6429" max="6429" width="7.125" style="255" customWidth="1"/>
    <col min="6430" max="6430" width="12.125" style="255" customWidth="1"/>
    <col min="6431" max="6431" width="8.25" style="255" customWidth="1"/>
    <col min="6432" max="6433" width="10.375" style="255" customWidth="1"/>
    <col min="6434" max="6434" width="15.625" style="255" customWidth="1"/>
    <col min="6435" max="6435" width="15.875" style="255" customWidth="1"/>
    <col min="6436" max="6436" width="8.125" style="255" customWidth="1"/>
    <col min="6437" max="6440" width="10.375" style="255" customWidth="1"/>
    <col min="6441" max="6441" width="7.25" style="255" customWidth="1"/>
    <col min="6442" max="6442" width="7.125" style="255" customWidth="1"/>
    <col min="6443" max="6443" width="9.5" style="255" customWidth="1"/>
    <col min="6444" max="6445" width="9" style="255" customWidth="1"/>
    <col min="6446" max="6446" width="16.125" style="255" customWidth="1"/>
    <col min="6447" max="6477" width="9" style="255" customWidth="1"/>
    <col min="6478" max="6637" width="25.25" style="255"/>
    <col min="6638" max="6667" width="9" style="255" customWidth="1"/>
    <col min="6668" max="6668" width="0.5" style="255" customWidth="1"/>
    <col min="6669" max="6669" width="25.25" style="255"/>
    <col min="6670" max="6670" width="0.5" style="255" customWidth="1"/>
    <col min="6671" max="6671" width="25.25" style="255"/>
    <col min="6672" max="6672" width="14.75" style="255" customWidth="1"/>
    <col min="6673" max="6673" width="11.5" style="255" customWidth="1"/>
    <col min="6674" max="6674" width="11.25" style="255" customWidth="1"/>
    <col min="6675" max="6675" width="10.75" style="255" customWidth="1"/>
    <col min="6676" max="6676" width="10" style="255" customWidth="1"/>
    <col min="6677" max="6677" width="9.875" style="255" customWidth="1"/>
    <col min="6678" max="6678" width="26.125" style="255" customWidth="1"/>
    <col min="6679" max="6679" width="11.125" style="255" customWidth="1"/>
    <col min="6680" max="6680" width="7.875" style="255" customWidth="1"/>
    <col min="6681" max="6681" width="7.25" style="255" customWidth="1"/>
    <col min="6682" max="6682" width="9.125" style="255" customWidth="1"/>
    <col min="6683" max="6683" width="15.125" style="255" customWidth="1"/>
    <col min="6684" max="6684" width="7.75" style="255" customWidth="1"/>
    <col min="6685" max="6685" width="7.125" style="255" customWidth="1"/>
    <col min="6686" max="6686" width="12.125" style="255" customWidth="1"/>
    <col min="6687" max="6687" width="8.25" style="255" customWidth="1"/>
    <col min="6688" max="6689" width="10.375" style="255" customWidth="1"/>
    <col min="6690" max="6690" width="15.625" style="255" customWidth="1"/>
    <col min="6691" max="6691" width="15.875" style="255" customWidth="1"/>
    <col min="6692" max="6692" width="8.125" style="255" customWidth="1"/>
    <col min="6693" max="6696" width="10.375" style="255" customWidth="1"/>
    <col min="6697" max="6697" width="7.25" style="255" customWidth="1"/>
    <col min="6698" max="6698" width="7.125" style="255" customWidth="1"/>
    <col min="6699" max="6699" width="9.5" style="255" customWidth="1"/>
    <col min="6700" max="6701" width="9" style="255" customWidth="1"/>
    <col min="6702" max="6702" width="16.125" style="255" customWidth="1"/>
    <col min="6703" max="6733" width="9" style="255" customWidth="1"/>
    <col min="6734" max="6893" width="25.25" style="255"/>
    <col min="6894" max="6923" width="9" style="255" customWidth="1"/>
    <col min="6924" max="6924" width="0.5" style="255" customWidth="1"/>
    <col min="6925" max="6925" width="25.25" style="255"/>
    <col min="6926" max="6926" width="0.5" style="255" customWidth="1"/>
    <col min="6927" max="6927" width="25.25" style="255"/>
    <col min="6928" max="6928" width="14.75" style="255" customWidth="1"/>
    <col min="6929" max="6929" width="11.5" style="255" customWidth="1"/>
    <col min="6930" max="6930" width="11.25" style="255" customWidth="1"/>
    <col min="6931" max="6931" width="10.75" style="255" customWidth="1"/>
    <col min="6932" max="6932" width="10" style="255" customWidth="1"/>
    <col min="6933" max="6933" width="9.875" style="255" customWidth="1"/>
    <col min="6934" max="6934" width="26.125" style="255" customWidth="1"/>
    <col min="6935" max="6935" width="11.125" style="255" customWidth="1"/>
    <col min="6936" max="6936" width="7.875" style="255" customWidth="1"/>
    <col min="6937" max="6937" width="7.25" style="255" customWidth="1"/>
    <col min="6938" max="6938" width="9.125" style="255" customWidth="1"/>
    <col min="6939" max="6939" width="15.125" style="255" customWidth="1"/>
    <col min="6940" max="6940" width="7.75" style="255" customWidth="1"/>
    <col min="6941" max="6941" width="7.125" style="255" customWidth="1"/>
    <col min="6942" max="6942" width="12.125" style="255" customWidth="1"/>
    <col min="6943" max="6943" width="8.25" style="255" customWidth="1"/>
    <col min="6944" max="6945" width="10.375" style="255" customWidth="1"/>
    <col min="6946" max="6946" width="15.625" style="255" customWidth="1"/>
    <col min="6947" max="6947" width="15.875" style="255" customWidth="1"/>
    <col min="6948" max="6948" width="8.125" style="255" customWidth="1"/>
    <col min="6949" max="6952" width="10.375" style="255" customWidth="1"/>
    <col min="6953" max="6953" width="7.25" style="255" customWidth="1"/>
    <col min="6954" max="6954" width="7.125" style="255" customWidth="1"/>
    <col min="6955" max="6955" width="9.5" style="255" customWidth="1"/>
    <col min="6956" max="6957" width="9" style="255" customWidth="1"/>
    <col min="6958" max="6958" width="16.125" style="255" customWidth="1"/>
    <col min="6959" max="6989" width="9" style="255" customWidth="1"/>
    <col min="6990" max="7149" width="25.25" style="255"/>
    <col min="7150" max="7179" width="9" style="255" customWidth="1"/>
    <col min="7180" max="7180" width="0.5" style="255" customWidth="1"/>
    <col min="7181" max="7181" width="25.25" style="255"/>
    <col min="7182" max="7182" width="0.5" style="255" customWidth="1"/>
    <col min="7183" max="7183" width="25.25" style="255"/>
    <col min="7184" max="7184" width="14.75" style="255" customWidth="1"/>
    <col min="7185" max="7185" width="11.5" style="255" customWidth="1"/>
    <col min="7186" max="7186" width="11.25" style="255" customWidth="1"/>
    <col min="7187" max="7187" width="10.75" style="255" customWidth="1"/>
    <col min="7188" max="7188" width="10" style="255" customWidth="1"/>
    <col min="7189" max="7189" width="9.875" style="255" customWidth="1"/>
    <col min="7190" max="7190" width="26.125" style="255" customWidth="1"/>
    <col min="7191" max="7191" width="11.125" style="255" customWidth="1"/>
    <col min="7192" max="7192" width="7.875" style="255" customWidth="1"/>
    <col min="7193" max="7193" width="7.25" style="255" customWidth="1"/>
    <col min="7194" max="7194" width="9.125" style="255" customWidth="1"/>
    <col min="7195" max="7195" width="15.125" style="255" customWidth="1"/>
    <col min="7196" max="7196" width="7.75" style="255" customWidth="1"/>
    <col min="7197" max="7197" width="7.125" style="255" customWidth="1"/>
    <col min="7198" max="7198" width="12.125" style="255" customWidth="1"/>
    <col min="7199" max="7199" width="8.25" style="255" customWidth="1"/>
    <col min="7200" max="7201" width="10.375" style="255" customWidth="1"/>
    <col min="7202" max="7202" width="15.625" style="255" customWidth="1"/>
    <col min="7203" max="7203" width="15.875" style="255" customWidth="1"/>
    <col min="7204" max="7204" width="8.125" style="255" customWidth="1"/>
    <col min="7205" max="7208" width="10.375" style="255" customWidth="1"/>
    <col min="7209" max="7209" width="7.25" style="255" customWidth="1"/>
    <col min="7210" max="7210" width="7.125" style="255" customWidth="1"/>
    <col min="7211" max="7211" width="9.5" style="255" customWidth="1"/>
    <col min="7212" max="7213" width="9" style="255" customWidth="1"/>
    <col min="7214" max="7214" width="16.125" style="255" customWidth="1"/>
    <col min="7215" max="7245" width="9" style="255" customWidth="1"/>
    <col min="7246" max="7405" width="25.25" style="255"/>
    <col min="7406" max="7435" width="9" style="255" customWidth="1"/>
    <col min="7436" max="7436" width="0.5" style="255" customWidth="1"/>
    <col min="7437" max="7437" width="25.25" style="255"/>
    <col min="7438" max="7438" width="0.5" style="255" customWidth="1"/>
    <col min="7439" max="7439" width="25.25" style="255"/>
    <col min="7440" max="7440" width="14.75" style="255" customWidth="1"/>
    <col min="7441" max="7441" width="11.5" style="255" customWidth="1"/>
    <col min="7442" max="7442" width="11.25" style="255" customWidth="1"/>
    <col min="7443" max="7443" width="10.75" style="255" customWidth="1"/>
    <col min="7444" max="7444" width="10" style="255" customWidth="1"/>
    <col min="7445" max="7445" width="9.875" style="255" customWidth="1"/>
    <col min="7446" max="7446" width="26.125" style="255" customWidth="1"/>
    <col min="7447" max="7447" width="11.125" style="255" customWidth="1"/>
    <col min="7448" max="7448" width="7.875" style="255" customWidth="1"/>
    <col min="7449" max="7449" width="7.25" style="255" customWidth="1"/>
    <col min="7450" max="7450" width="9.125" style="255" customWidth="1"/>
    <col min="7451" max="7451" width="15.125" style="255" customWidth="1"/>
    <col min="7452" max="7452" width="7.75" style="255" customWidth="1"/>
    <col min="7453" max="7453" width="7.125" style="255" customWidth="1"/>
    <col min="7454" max="7454" width="12.125" style="255" customWidth="1"/>
    <col min="7455" max="7455" width="8.25" style="255" customWidth="1"/>
    <col min="7456" max="7457" width="10.375" style="255" customWidth="1"/>
    <col min="7458" max="7458" width="15.625" style="255" customWidth="1"/>
    <col min="7459" max="7459" width="15.875" style="255" customWidth="1"/>
    <col min="7460" max="7460" width="8.125" style="255" customWidth="1"/>
    <col min="7461" max="7464" width="10.375" style="255" customWidth="1"/>
    <col min="7465" max="7465" width="7.25" style="255" customWidth="1"/>
    <col min="7466" max="7466" width="7.125" style="255" customWidth="1"/>
    <col min="7467" max="7467" width="9.5" style="255" customWidth="1"/>
    <col min="7468" max="7469" width="9" style="255" customWidth="1"/>
    <col min="7470" max="7470" width="16.125" style="255" customWidth="1"/>
    <col min="7471" max="7501" width="9" style="255" customWidth="1"/>
    <col min="7502" max="7661" width="25.25" style="255"/>
    <col min="7662" max="7691" width="9" style="255" customWidth="1"/>
    <col min="7692" max="7692" width="0.5" style="255" customWidth="1"/>
    <col min="7693" max="7693" width="25.25" style="255"/>
    <col min="7694" max="7694" width="0.5" style="255" customWidth="1"/>
    <col min="7695" max="7695" width="25.25" style="255"/>
    <col min="7696" max="7696" width="14.75" style="255" customWidth="1"/>
    <col min="7697" max="7697" width="11.5" style="255" customWidth="1"/>
    <col min="7698" max="7698" width="11.25" style="255" customWidth="1"/>
    <col min="7699" max="7699" width="10.75" style="255" customWidth="1"/>
    <col min="7700" max="7700" width="10" style="255" customWidth="1"/>
    <col min="7701" max="7701" width="9.875" style="255" customWidth="1"/>
    <col min="7702" max="7702" width="26.125" style="255" customWidth="1"/>
    <col min="7703" max="7703" width="11.125" style="255" customWidth="1"/>
    <col min="7704" max="7704" width="7.875" style="255" customWidth="1"/>
    <col min="7705" max="7705" width="7.25" style="255" customWidth="1"/>
    <col min="7706" max="7706" width="9.125" style="255" customWidth="1"/>
    <col min="7707" max="7707" width="15.125" style="255" customWidth="1"/>
    <col min="7708" max="7708" width="7.75" style="255" customWidth="1"/>
    <col min="7709" max="7709" width="7.125" style="255" customWidth="1"/>
    <col min="7710" max="7710" width="12.125" style="255" customWidth="1"/>
    <col min="7711" max="7711" width="8.25" style="255" customWidth="1"/>
    <col min="7712" max="7713" width="10.375" style="255" customWidth="1"/>
    <col min="7714" max="7714" width="15.625" style="255" customWidth="1"/>
    <col min="7715" max="7715" width="15.875" style="255" customWidth="1"/>
    <col min="7716" max="7716" width="8.125" style="255" customWidth="1"/>
    <col min="7717" max="7720" width="10.375" style="255" customWidth="1"/>
    <col min="7721" max="7721" width="7.25" style="255" customWidth="1"/>
    <col min="7722" max="7722" width="7.125" style="255" customWidth="1"/>
    <col min="7723" max="7723" width="9.5" style="255" customWidth="1"/>
    <col min="7724" max="7725" width="9" style="255" customWidth="1"/>
    <col min="7726" max="7726" width="16.125" style="255" customWidth="1"/>
    <col min="7727" max="7757" width="9" style="255" customWidth="1"/>
    <col min="7758" max="7917" width="25.25" style="255"/>
    <col min="7918" max="7947" width="9" style="255" customWidth="1"/>
    <col min="7948" max="7948" width="0.5" style="255" customWidth="1"/>
    <col min="7949" max="7949" width="25.25" style="255"/>
    <col min="7950" max="7950" width="0.5" style="255" customWidth="1"/>
    <col min="7951" max="7951" width="25.25" style="255"/>
    <col min="7952" max="7952" width="14.75" style="255" customWidth="1"/>
    <col min="7953" max="7953" width="11.5" style="255" customWidth="1"/>
    <col min="7954" max="7954" width="11.25" style="255" customWidth="1"/>
    <col min="7955" max="7955" width="10.75" style="255" customWidth="1"/>
    <col min="7956" max="7956" width="10" style="255" customWidth="1"/>
    <col min="7957" max="7957" width="9.875" style="255" customWidth="1"/>
    <col min="7958" max="7958" width="26.125" style="255" customWidth="1"/>
    <col min="7959" max="7959" width="11.125" style="255" customWidth="1"/>
    <col min="7960" max="7960" width="7.875" style="255" customWidth="1"/>
    <col min="7961" max="7961" width="7.25" style="255" customWidth="1"/>
    <col min="7962" max="7962" width="9.125" style="255" customWidth="1"/>
    <col min="7963" max="7963" width="15.125" style="255" customWidth="1"/>
    <col min="7964" max="7964" width="7.75" style="255" customWidth="1"/>
    <col min="7965" max="7965" width="7.125" style="255" customWidth="1"/>
    <col min="7966" max="7966" width="12.125" style="255" customWidth="1"/>
    <col min="7967" max="7967" width="8.25" style="255" customWidth="1"/>
    <col min="7968" max="7969" width="10.375" style="255" customWidth="1"/>
    <col min="7970" max="7970" width="15.625" style="255" customWidth="1"/>
    <col min="7971" max="7971" width="15.875" style="255" customWidth="1"/>
    <col min="7972" max="7972" width="8.125" style="255" customWidth="1"/>
    <col min="7973" max="7976" width="10.375" style="255" customWidth="1"/>
    <col min="7977" max="7977" width="7.25" style="255" customWidth="1"/>
    <col min="7978" max="7978" width="7.125" style="255" customWidth="1"/>
    <col min="7979" max="7979" width="9.5" style="255" customWidth="1"/>
    <col min="7980" max="7981" width="9" style="255" customWidth="1"/>
    <col min="7982" max="7982" width="16.125" style="255" customWidth="1"/>
    <col min="7983" max="8013" width="9" style="255" customWidth="1"/>
    <col min="8014" max="8173" width="25.25" style="255"/>
    <col min="8174" max="8203" width="9" style="255" customWidth="1"/>
    <col min="8204" max="8204" width="0.5" style="255" customWidth="1"/>
    <col min="8205" max="8205" width="25.25" style="255"/>
    <col min="8206" max="8206" width="0.5" style="255" customWidth="1"/>
    <col min="8207" max="8207" width="25.25" style="255"/>
    <col min="8208" max="8208" width="14.75" style="255" customWidth="1"/>
    <col min="8209" max="8209" width="11.5" style="255" customWidth="1"/>
    <col min="8210" max="8210" width="11.25" style="255" customWidth="1"/>
    <col min="8211" max="8211" width="10.75" style="255" customWidth="1"/>
    <col min="8212" max="8212" width="10" style="255" customWidth="1"/>
    <col min="8213" max="8213" width="9.875" style="255" customWidth="1"/>
    <col min="8214" max="8214" width="26.125" style="255" customWidth="1"/>
    <col min="8215" max="8215" width="11.125" style="255" customWidth="1"/>
    <col min="8216" max="8216" width="7.875" style="255" customWidth="1"/>
    <col min="8217" max="8217" width="7.25" style="255" customWidth="1"/>
    <col min="8218" max="8218" width="9.125" style="255" customWidth="1"/>
    <col min="8219" max="8219" width="15.125" style="255" customWidth="1"/>
    <col min="8220" max="8220" width="7.75" style="255" customWidth="1"/>
    <col min="8221" max="8221" width="7.125" style="255" customWidth="1"/>
    <col min="8222" max="8222" width="12.125" style="255" customWidth="1"/>
    <col min="8223" max="8223" width="8.25" style="255" customWidth="1"/>
    <col min="8224" max="8225" width="10.375" style="255" customWidth="1"/>
    <col min="8226" max="8226" width="15.625" style="255" customWidth="1"/>
    <col min="8227" max="8227" width="15.875" style="255" customWidth="1"/>
    <col min="8228" max="8228" width="8.125" style="255" customWidth="1"/>
    <col min="8229" max="8232" width="10.375" style="255" customWidth="1"/>
    <col min="8233" max="8233" width="7.25" style="255" customWidth="1"/>
    <col min="8234" max="8234" width="7.125" style="255" customWidth="1"/>
    <col min="8235" max="8235" width="9.5" style="255" customWidth="1"/>
    <col min="8236" max="8237" width="9" style="255" customWidth="1"/>
    <col min="8238" max="8238" width="16.125" style="255" customWidth="1"/>
    <col min="8239" max="8269" width="9" style="255" customWidth="1"/>
    <col min="8270" max="8429" width="25.25" style="255"/>
    <col min="8430" max="8459" width="9" style="255" customWidth="1"/>
    <col min="8460" max="8460" width="0.5" style="255" customWidth="1"/>
    <col min="8461" max="8461" width="25.25" style="255"/>
    <col min="8462" max="8462" width="0.5" style="255" customWidth="1"/>
    <col min="8463" max="8463" width="25.25" style="255"/>
    <col min="8464" max="8464" width="14.75" style="255" customWidth="1"/>
    <col min="8465" max="8465" width="11.5" style="255" customWidth="1"/>
    <col min="8466" max="8466" width="11.25" style="255" customWidth="1"/>
    <col min="8467" max="8467" width="10.75" style="255" customWidth="1"/>
    <col min="8468" max="8468" width="10" style="255" customWidth="1"/>
    <col min="8469" max="8469" width="9.875" style="255" customWidth="1"/>
    <col min="8470" max="8470" width="26.125" style="255" customWidth="1"/>
    <col min="8471" max="8471" width="11.125" style="255" customWidth="1"/>
    <col min="8472" max="8472" width="7.875" style="255" customWidth="1"/>
    <col min="8473" max="8473" width="7.25" style="255" customWidth="1"/>
    <col min="8474" max="8474" width="9.125" style="255" customWidth="1"/>
    <col min="8475" max="8475" width="15.125" style="255" customWidth="1"/>
    <col min="8476" max="8476" width="7.75" style="255" customWidth="1"/>
    <col min="8477" max="8477" width="7.125" style="255" customWidth="1"/>
    <col min="8478" max="8478" width="12.125" style="255" customWidth="1"/>
    <col min="8479" max="8479" width="8.25" style="255" customWidth="1"/>
    <col min="8480" max="8481" width="10.375" style="255" customWidth="1"/>
    <col min="8482" max="8482" width="15.625" style="255" customWidth="1"/>
    <col min="8483" max="8483" width="15.875" style="255" customWidth="1"/>
    <col min="8484" max="8484" width="8.125" style="255" customWidth="1"/>
    <col min="8485" max="8488" width="10.375" style="255" customWidth="1"/>
    <col min="8489" max="8489" width="7.25" style="255" customWidth="1"/>
    <col min="8490" max="8490" width="7.125" style="255" customWidth="1"/>
    <col min="8491" max="8491" width="9.5" style="255" customWidth="1"/>
    <col min="8492" max="8493" width="9" style="255" customWidth="1"/>
    <col min="8494" max="8494" width="16.125" style="255" customWidth="1"/>
    <col min="8495" max="8525" width="9" style="255" customWidth="1"/>
    <col min="8526" max="8685" width="25.25" style="255"/>
    <col min="8686" max="8715" width="9" style="255" customWidth="1"/>
    <col min="8716" max="8716" width="0.5" style="255" customWidth="1"/>
    <col min="8717" max="8717" width="25.25" style="255"/>
    <col min="8718" max="8718" width="0.5" style="255" customWidth="1"/>
    <col min="8719" max="8719" width="25.25" style="255"/>
    <col min="8720" max="8720" width="14.75" style="255" customWidth="1"/>
    <col min="8721" max="8721" width="11.5" style="255" customWidth="1"/>
    <col min="8722" max="8722" width="11.25" style="255" customWidth="1"/>
    <col min="8723" max="8723" width="10.75" style="255" customWidth="1"/>
    <col min="8724" max="8724" width="10" style="255" customWidth="1"/>
    <col min="8725" max="8725" width="9.875" style="255" customWidth="1"/>
    <col min="8726" max="8726" width="26.125" style="255" customWidth="1"/>
    <col min="8727" max="8727" width="11.125" style="255" customWidth="1"/>
    <col min="8728" max="8728" width="7.875" style="255" customWidth="1"/>
    <col min="8729" max="8729" width="7.25" style="255" customWidth="1"/>
    <col min="8730" max="8730" width="9.125" style="255" customWidth="1"/>
    <col min="8731" max="8731" width="15.125" style="255" customWidth="1"/>
    <col min="8732" max="8732" width="7.75" style="255" customWidth="1"/>
    <col min="8733" max="8733" width="7.125" style="255" customWidth="1"/>
    <col min="8734" max="8734" width="12.125" style="255" customWidth="1"/>
    <col min="8735" max="8735" width="8.25" style="255" customWidth="1"/>
    <col min="8736" max="8737" width="10.375" style="255" customWidth="1"/>
    <col min="8738" max="8738" width="15.625" style="255" customWidth="1"/>
    <col min="8739" max="8739" width="15.875" style="255" customWidth="1"/>
    <col min="8740" max="8740" width="8.125" style="255" customWidth="1"/>
    <col min="8741" max="8744" width="10.375" style="255" customWidth="1"/>
    <col min="8745" max="8745" width="7.25" style="255" customWidth="1"/>
    <col min="8746" max="8746" width="7.125" style="255" customWidth="1"/>
    <col min="8747" max="8747" width="9.5" style="255" customWidth="1"/>
    <col min="8748" max="8749" width="9" style="255" customWidth="1"/>
    <col min="8750" max="8750" width="16.125" style="255" customWidth="1"/>
    <col min="8751" max="8781" width="9" style="255" customWidth="1"/>
    <col min="8782" max="8941" width="25.25" style="255"/>
    <col min="8942" max="8971" width="9" style="255" customWidth="1"/>
    <col min="8972" max="8972" width="0.5" style="255" customWidth="1"/>
    <col min="8973" max="8973" width="25.25" style="255"/>
    <col min="8974" max="8974" width="0.5" style="255" customWidth="1"/>
    <col min="8975" max="8975" width="25.25" style="255"/>
    <col min="8976" max="8976" width="14.75" style="255" customWidth="1"/>
    <col min="8977" max="8977" width="11.5" style="255" customWidth="1"/>
    <col min="8978" max="8978" width="11.25" style="255" customWidth="1"/>
    <col min="8979" max="8979" width="10.75" style="255" customWidth="1"/>
    <col min="8980" max="8980" width="10" style="255" customWidth="1"/>
    <col min="8981" max="8981" width="9.875" style="255" customWidth="1"/>
    <col min="8982" max="8982" width="26.125" style="255" customWidth="1"/>
    <col min="8983" max="8983" width="11.125" style="255" customWidth="1"/>
    <col min="8984" max="8984" width="7.875" style="255" customWidth="1"/>
    <col min="8985" max="8985" width="7.25" style="255" customWidth="1"/>
    <col min="8986" max="8986" width="9.125" style="255" customWidth="1"/>
    <col min="8987" max="8987" width="15.125" style="255" customWidth="1"/>
    <col min="8988" max="8988" width="7.75" style="255" customWidth="1"/>
    <col min="8989" max="8989" width="7.125" style="255" customWidth="1"/>
    <col min="8990" max="8990" width="12.125" style="255" customWidth="1"/>
    <col min="8991" max="8991" width="8.25" style="255" customWidth="1"/>
    <col min="8992" max="8993" width="10.375" style="255" customWidth="1"/>
    <col min="8994" max="8994" width="15.625" style="255" customWidth="1"/>
    <col min="8995" max="8995" width="15.875" style="255" customWidth="1"/>
    <col min="8996" max="8996" width="8.125" style="255" customWidth="1"/>
    <col min="8997" max="9000" width="10.375" style="255" customWidth="1"/>
    <col min="9001" max="9001" width="7.25" style="255" customWidth="1"/>
    <col min="9002" max="9002" width="7.125" style="255" customWidth="1"/>
    <col min="9003" max="9003" width="9.5" style="255" customWidth="1"/>
    <col min="9004" max="9005" width="9" style="255" customWidth="1"/>
    <col min="9006" max="9006" width="16.125" style="255" customWidth="1"/>
    <col min="9007" max="9037" width="9" style="255" customWidth="1"/>
    <col min="9038" max="9197" width="25.25" style="255"/>
    <col min="9198" max="9227" width="9" style="255" customWidth="1"/>
    <col min="9228" max="9228" width="0.5" style="255" customWidth="1"/>
    <col min="9229" max="9229" width="25.25" style="255"/>
    <col min="9230" max="9230" width="0.5" style="255" customWidth="1"/>
    <col min="9231" max="9231" width="25.25" style="255"/>
    <col min="9232" max="9232" width="14.75" style="255" customWidth="1"/>
    <col min="9233" max="9233" width="11.5" style="255" customWidth="1"/>
    <col min="9234" max="9234" width="11.25" style="255" customWidth="1"/>
    <col min="9235" max="9235" width="10.75" style="255" customWidth="1"/>
    <col min="9236" max="9236" width="10" style="255" customWidth="1"/>
    <col min="9237" max="9237" width="9.875" style="255" customWidth="1"/>
    <col min="9238" max="9238" width="26.125" style="255" customWidth="1"/>
    <col min="9239" max="9239" width="11.125" style="255" customWidth="1"/>
    <col min="9240" max="9240" width="7.875" style="255" customWidth="1"/>
    <col min="9241" max="9241" width="7.25" style="255" customWidth="1"/>
    <col min="9242" max="9242" width="9.125" style="255" customWidth="1"/>
    <col min="9243" max="9243" width="15.125" style="255" customWidth="1"/>
    <col min="9244" max="9244" width="7.75" style="255" customWidth="1"/>
    <col min="9245" max="9245" width="7.125" style="255" customWidth="1"/>
    <col min="9246" max="9246" width="12.125" style="255" customWidth="1"/>
    <col min="9247" max="9247" width="8.25" style="255" customWidth="1"/>
    <col min="9248" max="9249" width="10.375" style="255" customWidth="1"/>
    <col min="9250" max="9250" width="15.625" style="255" customWidth="1"/>
    <col min="9251" max="9251" width="15.875" style="255" customWidth="1"/>
    <col min="9252" max="9252" width="8.125" style="255" customWidth="1"/>
    <col min="9253" max="9256" width="10.375" style="255" customWidth="1"/>
    <col min="9257" max="9257" width="7.25" style="255" customWidth="1"/>
    <col min="9258" max="9258" width="7.125" style="255" customWidth="1"/>
    <col min="9259" max="9259" width="9.5" style="255" customWidth="1"/>
    <col min="9260" max="9261" width="9" style="255" customWidth="1"/>
    <col min="9262" max="9262" width="16.125" style="255" customWidth="1"/>
    <col min="9263" max="9293" width="9" style="255" customWidth="1"/>
    <col min="9294" max="9453" width="25.25" style="255"/>
    <col min="9454" max="9483" width="9" style="255" customWidth="1"/>
    <col min="9484" max="9484" width="0.5" style="255" customWidth="1"/>
    <col min="9485" max="9485" width="25.25" style="255"/>
    <col min="9486" max="9486" width="0.5" style="255" customWidth="1"/>
    <col min="9487" max="9487" width="25.25" style="255"/>
    <col min="9488" max="9488" width="14.75" style="255" customWidth="1"/>
    <col min="9489" max="9489" width="11.5" style="255" customWidth="1"/>
    <col min="9490" max="9490" width="11.25" style="255" customWidth="1"/>
    <col min="9491" max="9491" width="10.75" style="255" customWidth="1"/>
    <col min="9492" max="9492" width="10" style="255" customWidth="1"/>
    <col min="9493" max="9493" width="9.875" style="255" customWidth="1"/>
    <col min="9494" max="9494" width="26.125" style="255" customWidth="1"/>
    <col min="9495" max="9495" width="11.125" style="255" customWidth="1"/>
    <col min="9496" max="9496" width="7.875" style="255" customWidth="1"/>
    <col min="9497" max="9497" width="7.25" style="255" customWidth="1"/>
    <col min="9498" max="9498" width="9.125" style="255" customWidth="1"/>
    <col min="9499" max="9499" width="15.125" style="255" customWidth="1"/>
    <col min="9500" max="9500" width="7.75" style="255" customWidth="1"/>
    <col min="9501" max="9501" width="7.125" style="255" customWidth="1"/>
    <col min="9502" max="9502" width="12.125" style="255" customWidth="1"/>
    <col min="9503" max="9503" width="8.25" style="255" customWidth="1"/>
    <col min="9504" max="9505" width="10.375" style="255" customWidth="1"/>
    <col min="9506" max="9506" width="15.625" style="255" customWidth="1"/>
    <col min="9507" max="9507" width="15.875" style="255" customWidth="1"/>
    <col min="9508" max="9508" width="8.125" style="255" customWidth="1"/>
    <col min="9509" max="9512" width="10.375" style="255" customWidth="1"/>
    <col min="9513" max="9513" width="7.25" style="255" customWidth="1"/>
    <col min="9514" max="9514" width="7.125" style="255" customWidth="1"/>
    <col min="9515" max="9515" width="9.5" style="255" customWidth="1"/>
    <col min="9516" max="9517" width="9" style="255" customWidth="1"/>
    <col min="9518" max="9518" width="16.125" style="255" customWidth="1"/>
    <col min="9519" max="9549" width="9" style="255" customWidth="1"/>
    <col min="9550" max="9709" width="25.25" style="255"/>
    <col min="9710" max="9739" width="9" style="255" customWidth="1"/>
    <col min="9740" max="9740" width="0.5" style="255" customWidth="1"/>
    <col min="9741" max="9741" width="25.25" style="255"/>
    <col min="9742" max="9742" width="0.5" style="255" customWidth="1"/>
    <col min="9743" max="9743" width="25.25" style="255"/>
    <col min="9744" max="9744" width="14.75" style="255" customWidth="1"/>
    <col min="9745" max="9745" width="11.5" style="255" customWidth="1"/>
    <col min="9746" max="9746" width="11.25" style="255" customWidth="1"/>
    <col min="9747" max="9747" width="10.75" style="255" customWidth="1"/>
    <col min="9748" max="9748" width="10" style="255" customWidth="1"/>
    <col min="9749" max="9749" width="9.875" style="255" customWidth="1"/>
    <col min="9750" max="9750" width="26.125" style="255" customWidth="1"/>
    <col min="9751" max="9751" width="11.125" style="255" customWidth="1"/>
    <col min="9752" max="9752" width="7.875" style="255" customWidth="1"/>
    <col min="9753" max="9753" width="7.25" style="255" customWidth="1"/>
    <col min="9754" max="9754" width="9.125" style="255" customWidth="1"/>
    <col min="9755" max="9755" width="15.125" style="255" customWidth="1"/>
    <col min="9756" max="9756" width="7.75" style="255" customWidth="1"/>
    <col min="9757" max="9757" width="7.125" style="255" customWidth="1"/>
    <col min="9758" max="9758" width="12.125" style="255" customWidth="1"/>
    <col min="9759" max="9759" width="8.25" style="255" customWidth="1"/>
    <col min="9760" max="9761" width="10.375" style="255" customWidth="1"/>
    <col min="9762" max="9762" width="15.625" style="255" customWidth="1"/>
    <col min="9763" max="9763" width="15.875" style="255" customWidth="1"/>
    <col min="9764" max="9764" width="8.125" style="255" customWidth="1"/>
    <col min="9765" max="9768" width="10.375" style="255" customWidth="1"/>
    <col min="9769" max="9769" width="7.25" style="255" customWidth="1"/>
    <col min="9770" max="9770" width="7.125" style="255" customWidth="1"/>
    <col min="9771" max="9771" width="9.5" style="255" customWidth="1"/>
    <col min="9772" max="9773" width="9" style="255" customWidth="1"/>
    <col min="9774" max="9774" width="16.125" style="255" customWidth="1"/>
    <col min="9775" max="9805" width="9" style="255" customWidth="1"/>
    <col min="9806" max="9965" width="25.25" style="255"/>
    <col min="9966" max="9995" width="9" style="255" customWidth="1"/>
    <col min="9996" max="9996" width="0.5" style="255" customWidth="1"/>
    <col min="9997" max="9997" width="25.25" style="255"/>
    <col min="9998" max="9998" width="0.5" style="255" customWidth="1"/>
    <col min="9999" max="9999" width="25.25" style="255"/>
    <col min="10000" max="10000" width="14.75" style="255" customWidth="1"/>
    <col min="10001" max="10001" width="11.5" style="255" customWidth="1"/>
    <col min="10002" max="10002" width="11.25" style="255" customWidth="1"/>
    <col min="10003" max="10003" width="10.75" style="255" customWidth="1"/>
    <col min="10004" max="10004" width="10" style="255" customWidth="1"/>
    <col min="10005" max="10005" width="9.875" style="255" customWidth="1"/>
    <col min="10006" max="10006" width="26.125" style="255" customWidth="1"/>
    <col min="10007" max="10007" width="11.125" style="255" customWidth="1"/>
    <col min="10008" max="10008" width="7.875" style="255" customWidth="1"/>
    <col min="10009" max="10009" width="7.25" style="255" customWidth="1"/>
    <col min="10010" max="10010" width="9.125" style="255" customWidth="1"/>
    <col min="10011" max="10011" width="15.125" style="255" customWidth="1"/>
    <col min="10012" max="10012" width="7.75" style="255" customWidth="1"/>
    <col min="10013" max="10013" width="7.125" style="255" customWidth="1"/>
    <col min="10014" max="10014" width="12.125" style="255" customWidth="1"/>
    <col min="10015" max="10015" width="8.25" style="255" customWidth="1"/>
    <col min="10016" max="10017" width="10.375" style="255" customWidth="1"/>
    <col min="10018" max="10018" width="15.625" style="255" customWidth="1"/>
    <col min="10019" max="10019" width="15.875" style="255" customWidth="1"/>
    <col min="10020" max="10020" width="8.125" style="255" customWidth="1"/>
    <col min="10021" max="10024" width="10.375" style="255" customWidth="1"/>
    <col min="10025" max="10025" width="7.25" style="255" customWidth="1"/>
    <col min="10026" max="10026" width="7.125" style="255" customWidth="1"/>
    <col min="10027" max="10027" width="9.5" style="255" customWidth="1"/>
    <col min="10028" max="10029" width="9" style="255" customWidth="1"/>
    <col min="10030" max="10030" width="16.125" style="255" customWidth="1"/>
    <col min="10031" max="10061" width="9" style="255" customWidth="1"/>
    <col min="10062" max="10221" width="25.25" style="255"/>
    <col min="10222" max="10251" width="9" style="255" customWidth="1"/>
    <col min="10252" max="10252" width="0.5" style="255" customWidth="1"/>
    <col min="10253" max="10253" width="25.25" style="255"/>
    <col min="10254" max="10254" width="0.5" style="255" customWidth="1"/>
    <col min="10255" max="10255" width="25.25" style="255"/>
    <col min="10256" max="10256" width="14.75" style="255" customWidth="1"/>
    <col min="10257" max="10257" width="11.5" style="255" customWidth="1"/>
    <col min="10258" max="10258" width="11.25" style="255" customWidth="1"/>
    <col min="10259" max="10259" width="10.75" style="255" customWidth="1"/>
    <col min="10260" max="10260" width="10" style="255" customWidth="1"/>
    <col min="10261" max="10261" width="9.875" style="255" customWidth="1"/>
    <col min="10262" max="10262" width="26.125" style="255" customWidth="1"/>
    <col min="10263" max="10263" width="11.125" style="255" customWidth="1"/>
    <col min="10264" max="10264" width="7.875" style="255" customWidth="1"/>
    <col min="10265" max="10265" width="7.25" style="255" customWidth="1"/>
    <col min="10266" max="10266" width="9.125" style="255" customWidth="1"/>
    <col min="10267" max="10267" width="15.125" style="255" customWidth="1"/>
    <col min="10268" max="10268" width="7.75" style="255" customWidth="1"/>
    <col min="10269" max="10269" width="7.125" style="255" customWidth="1"/>
    <col min="10270" max="10270" width="12.125" style="255" customWidth="1"/>
    <col min="10271" max="10271" width="8.25" style="255" customWidth="1"/>
    <col min="10272" max="10273" width="10.375" style="255" customWidth="1"/>
    <col min="10274" max="10274" width="15.625" style="255" customWidth="1"/>
    <col min="10275" max="10275" width="15.875" style="255" customWidth="1"/>
    <col min="10276" max="10276" width="8.125" style="255" customWidth="1"/>
    <col min="10277" max="10280" width="10.375" style="255" customWidth="1"/>
    <col min="10281" max="10281" width="7.25" style="255" customWidth="1"/>
    <col min="10282" max="10282" width="7.125" style="255" customWidth="1"/>
    <col min="10283" max="10283" width="9.5" style="255" customWidth="1"/>
    <col min="10284" max="10285" width="9" style="255" customWidth="1"/>
    <col min="10286" max="10286" width="16.125" style="255" customWidth="1"/>
    <col min="10287" max="10317" width="9" style="255" customWidth="1"/>
    <col min="10318" max="10477" width="25.25" style="255"/>
    <col min="10478" max="10507" width="9" style="255" customWidth="1"/>
    <col min="10508" max="10508" width="0.5" style="255" customWidth="1"/>
    <col min="10509" max="10509" width="25.25" style="255"/>
    <col min="10510" max="10510" width="0.5" style="255" customWidth="1"/>
    <col min="10511" max="10511" width="25.25" style="255"/>
    <col min="10512" max="10512" width="14.75" style="255" customWidth="1"/>
    <col min="10513" max="10513" width="11.5" style="255" customWidth="1"/>
    <col min="10514" max="10514" width="11.25" style="255" customWidth="1"/>
    <col min="10515" max="10515" width="10.75" style="255" customWidth="1"/>
    <col min="10516" max="10516" width="10" style="255" customWidth="1"/>
    <col min="10517" max="10517" width="9.875" style="255" customWidth="1"/>
    <col min="10518" max="10518" width="26.125" style="255" customWidth="1"/>
    <col min="10519" max="10519" width="11.125" style="255" customWidth="1"/>
    <col min="10520" max="10520" width="7.875" style="255" customWidth="1"/>
    <col min="10521" max="10521" width="7.25" style="255" customWidth="1"/>
    <col min="10522" max="10522" width="9.125" style="255" customWidth="1"/>
    <col min="10523" max="10523" width="15.125" style="255" customWidth="1"/>
    <col min="10524" max="10524" width="7.75" style="255" customWidth="1"/>
    <col min="10525" max="10525" width="7.125" style="255" customWidth="1"/>
    <col min="10526" max="10526" width="12.125" style="255" customWidth="1"/>
    <col min="10527" max="10527" width="8.25" style="255" customWidth="1"/>
    <col min="10528" max="10529" width="10.375" style="255" customWidth="1"/>
    <col min="10530" max="10530" width="15.625" style="255" customWidth="1"/>
    <col min="10531" max="10531" width="15.875" style="255" customWidth="1"/>
    <col min="10532" max="10532" width="8.125" style="255" customWidth="1"/>
    <col min="10533" max="10536" width="10.375" style="255" customWidth="1"/>
    <col min="10537" max="10537" width="7.25" style="255" customWidth="1"/>
    <col min="10538" max="10538" width="7.125" style="255" customWidth="1"/>
    <col min="10539" max="10539" width="9.5" style="255" customWidth="1"/>
    <col min="10540" max="10541" width="9" style="255" customWidth="1"/>
    <col min="10542" max="10542" width="16.125" style="255" customWidth="1"/>
    <col min="10543" max="10573" width="9" style="255" customWidth="1"/>
    <col min="10574" max="10733" width="25.25" style="255"/>
    <col min="10734" max="10763" width="9" style="255" customWidth="1"/>
    <col min="10764" max="10764" width="0.5" style="255" customWidth="1"/>
    <col min="10765" max="10765" width="25.25" style="255"/>
    <col min="10766" max="10766" width="0.5" style="255" customWidth="1"/>
    <col min="10767" max="10767" width="25.25" style="255"/>
    <col min="10768" max="10768" width="14.75" style="255" customWidth="1"/>
    <col min="10769" max="10769" width="11.5" style="255" customWidth="1"/>
    <col min="10770" max="10770" width="11.25" style="255" customWidth="1"/>
    <col min="10771" max="10771" width="10.75" style="255" customWidth="1"/>
    <col min="10772" max="10772" width="10" style="255" customWidth="1"/>
    <col min="10773" max="10773" width="9.875" style="255" customWidth="1"/>
    <col min="10774" max="10774" width="26.125" style="255" customWidth="1"/>
    <col min="10775" max="10775" width="11.125" style="255" customWidth="1"/>
    <col min="10776" max="10776" width="7.875" style="255" customWidth="1"/>
    <col min="10777" max="10777" width="7.25" style="255" customWidth="1"/>
    <col min="10778" max="10778" width="9.125" style="255" customWidth="1"/>
    <col min="10779" max="10779" width="15.125" style="255" customWidth="1"/>
    <col min="10780" max="10780" width="7.75" style="255" customWidth="1"/>
    <col min="10781" max="10781" width="7.125" style="255" customWidth="1"/>
    <col min="10782" max="10782" width="12.125" style="255" customWidth="1"/>
    <col min="10783" max="10783" width="8.25" style="255" customWidth="1"/>
    <col min="10784" max="10785" width="10.375" style="255" customWidth="1"/>
    <col min="10786" max="10786" width="15.625" style="255" customWidth="1"/>
    <col min="10787" max="10787" width="15.875" style="255" customWidth="1"/>
    <col min="10788" max="10788" width="8.125" style="255" customWidth="1"/>
    <col min="10789" max="10792" width="10.375" style="255" customWidth="1"/>
    <col min="10793" max="10793" width="7.25" style="255" customWidth="1"/>
    <col min="10794" max="10794" width="7.125" style="255" customWidth="1"/>
    <col min="10795" max="10795" width="9.5" style="255" customWidth="1"/>
    <col min="10796" max="10797" width="9" style="255" customWidth="1"/>
    <col min="10798" max="10798" width="16.125" style="255" customWidth="1"/>
    <col min="10799" max="10829" width="9" style="255" customWidth="1"/>
    <col min="10830" max="10989" width="25.25" style="255"/>
    <col min="10990" max="11019" width="9" style="255" customWidth="1"/>
    <col min="11020" max="11020" width="0.5" style="255" customWidth="1"/>
    <col min="11021" max="11021" width="25.25" style="255"/>
    <col min="11022" max="11022" width="0.5" style="255" customWidth="1"/>
    <col min="11023" max="11023" width="25.25" style="255"/>
    <col min="11024" max="11024" width="14.75" style="255" customWidth="1"/>
    <col min="11025" max="11025" width="11.5" style="255" customWidth="1"/>
    <col min="11026" max="11026" width="11.25" style="255" customWidth="1"/>
    <col min="11027" max="11027" width="10.75" style="255" customWidth="1"/>
    <col min="11028" max="11028" width="10" style="255" customWidth="1"/>
    <col min="11029" max="11029" width="9.875" style="255" customWidth="1"/>
    <col min="11030" max="11030" width="26.125" style="255" customWidth="1"/>
    <col min="11031" max="11031" width="11.125" style="255" customWidth="1"/>
    <col min="11032" max="11032" width="7.875" style="255" customWidth="1"/>
    <col min="11033" max="11033" width="7.25" style="255" customWidth="1"/>
    <col min="11034" max="11034" width="9.125" style="255" customWidth="1"/>
    <col min="11035" max="11035" width="15.125" style="255" customWidth="1"/>
    <col min="11036" max="11036" width="7.75" style="255" customWidth="1"/>
    <col min="11037" max="11037" width="7.125" style="255" customWidth="1"/>
    <col min="11038" max="11038" width="12.125" style="255" customWidth="1"/>
    <col min="11039" max="11039" width="8.25" style="255" customWidth="1"/>
    <col min="11040" max="11041" width="10.375" style="255" customWidth="1"/>
    <col min="11042" max="11042" width="15.625" style="255" customWidth="1"/>
    <col min="11043" max="11043" width="15.875" style="255" customWidth="1"/>
    <col min="11044" max="11044" width="8.125" style="255" customWidth="1"/>
    <col min="11045" max="11048" width="10.375" style="255" customWidth="1"/>
    <col min="11049" max="11049" width="7.25" style="255" customWidth="1"/>
    <col min="11050" max="11050" width="7.125" style="255" customWidth="1"/>
    <col min="11051" max="11051" width="9.5" style="255" customWidth="1"/>
    <col min="11052" max="11053" width="9" style="255" customWidth="1"/>
    <col min="11054" max="11054" width="16.125" style="255" customWidth="1"/>
    <col min="11055" max="11085" width="9" style="255" customWidth="1"/>
    <col min="11086" max="11245" width="25.25" style="255"/>
    <col min="11246" max="11275" width="9" style="255" customWidth="1"/>
    <col min="11276" max="11276" width="0.5" style="255" customWidth="1"/>
    <col min="11277" max="11277" width="25.25" style="255"/>
    <col min="11278" max="11278" width="0.5" style="255" customWidth="1"/>
    <col min="11279" max="11279" width="25.25" style="255"/>
    <col min="11280" max="11280" width="14.75" style="255" customWidth="1"/>
    <col min="11281" max="11281" width="11.5" style="255" customWidth="1"/>
    <col min="11282" max="11282" width="11.25" style="255" customWidth="1"/>
    <col min="11283" max="11283" width="10.75" style="255" customWidth="1"/>
    <col min="11284" max="11284" width="10" style="255" customWidth="1"/>
    <col min="11285" max="11285" width="9.875" style="255" customWidth="1"/>
    <col min="11286" max="11286" width="26.125" style="255" customWidth="1"/>
    <col min="11287" max="11287" width="11.125" style="255" customWidth="1"/>
    <col min="11288" max="11288" width="7.875" style="255" customWidth="1"/>
    <col min="11289" max="11289" width="7.25" style="255" customWidth="1"/>
    <col min="11290" max="11290" width="9.125" style="255" customWidth="1"/>
    <col min="11291" max="11291" width="15.125" style="255" customWidth="1"/>
    <col min="11292" max="11292" width="7.75" style="255" customWidth="1"/>
    <col min="11293" max="11293" width="7.125" style="255" customWidth="1"/>
    <col min="11294" max="11294" width="12.125" style="255" customWidth="1"/>
    <col min="11295" max="11295" width="8.25" style="255" customWidth="1"/>
    <col min="11296" max="11297" width="10.375" style="255" customWidth="1"/>
    <col min="11298" max="11298" width="15.625" style="255" customWidth="1"/>
    <col min="11299" max="11299" width="15.875" style="255" customWidth="1"/>
    <col min="11300" max="11300" width="8.125" style="255" customWidth="1"/>
    <col min="11301" max="11304" width="10.375" style="255" customWidth="1"/>
    <col min="11305" max="11305" width="7.25" style="255" customWidth="1"/>
    <col min="11306" max="11306" width="7.125" style="255" customWidth="1"/>
    <col min="11307" max="11307" width="9.5" style="255" customWidth="1"/>
    <col min="11308" max="11309" width="9" style="255" customWidth="1"/>
    <col min="11310" max="11310" width="16.125" style="255" customWidth="1"/>
    <col min="11311" max="11341" width="9" style="255" customWidth="1"/>
    <col min="11342" max="11501" width="25.25" style="255"/>
    <col min="11502" max="11531" width="9" style="255" customWidth="1"/>
    <col min="11532" max="11532" width="0.5" style="255" customWidth="1"/>
    <col min="11533" max="11533" width="25.25" style="255"/>
    <col min="11534" max="11534" width="0.5" style="255" customWidth="1"/>
    <col min="11535" max="11535" width="25.25" style="255"/>
    <col min="11536" max="11536" width="14.75" style="255" customWidth="1"/>
    <col min="11537" max="11537" width="11.5" style="255" customWidth="1"/>
    <col min="11538" max="11538" width="11.25" style="255" customWidth="1"/>
    <col min="11539" max="11539" width="10.75" style="255" customWidth="1"/>
    <col min="11540" max="11540" width="10" style="255" customWidth="1"/>
    <col min="11541" max="11541" width="9.875" style="255" customWidth="1"/>
    <col min="11542" max="11542" width="26.125" style="255" customWidth="1"/>
    <col min="11543" max="11543" width="11.125" style="255" customWidth="1"/>
    <col min="11544" max="11544" width="7.875" style="255" customWidth="1"/>
    <col min="11545" max="11545" width="7.25" style="255" customWidth="1"/>
    <col min="11546" max="11546" width="9.125" style="255" customWidth="1"/>
    <col min="11547" max="11547" width="15.125" style="255" customWidth="1"/>
    <col min="11548" max="11548" width="7.75" style="255" customWidth="1"/>
    <col min="11549" max="11549" width="7.125" style="255" customWidth="1"/>
    <col min="11550" max="11550" width="12.125" style="255" customWidth="1"/>
    <col min="11551" max="11551" width="8.25" style="255" customWidth="1"/>
    <col min="11552" max="11553" width="10.375" style="255" customWidth="1"/>
    <col min="11554" max="11554" width="15.625" style="255" customWidth="1"/>
    <col min="11555" max="11555" width="15.875" style="255" customWidth="1"/>
    <col min="11556" max="11556" width="8.125" style="255" customWidth="1"/>
    <col min="11557" max="11560" width="10.375" style="255" customWidth="1"/>
    <col min="11561" max="11561" width="7.25" style="255" customWidth="1"/>
    <col min="11562" max="11562" width="7.125" style="255" customWidth="1"/>
    <col min="11563" max="11563" width="9.5" style="255" customWidth="1"/>
    <col min="11564" max="11565" width="9" style="255" customWidth="1"/>
    <col min="11566" max="11566" width="16.125" style="255" customWidth="1"/>
    <col min="11567" max="11597" width="9" style="255" customWidth="1"/>
    <col min="11598" max="11757" width="25.25" style="255"/>
    <col min="11758" max="11787" width="9" style="255" customWidth="1"/>
    <col min="11788" max="11788" width="0.5" style="255" customWidth="1"/>
    <col min="11789" max="11789" width="25.25" style="255"/>
    <col min="11790" max="11790" width="0.5" style="255" customWidth="1"/>
    <col min="11791" max="11791" width="25.25" style="255"/>
    <col min="11792" max="11792" width="14.75" style="255" customWidth="1"/>
    <col min="11793" max="11793" width="11.5" style="255" customWidth="1"/>
    <col min="11794" max="11794" width="11.25" style="255" customWidth="1"/>
    <col min="11795" max="11795" width="10.75" style="255" customWidth="1"/>
    <col min="11796" max="11796" width="10" style="255" customWidth="1"/>
    <col min="11797" max="11797" width="9.875" style="255" customWidth="1"/>
    <col min="11798" max="11798" width="26.125" style="255" customWidth="1"/>
    <col min="11799" max="11799" width="11.125" style="255" customWidth="1"/>
    <col min="11800" max="11800" width="7.875" style="255" customWidth="1"/>
    <col min="11801" max="11801" width="7.25" style="255" customWidth="1"/>
    <col min="11802" max="11802" width="9.125" style="255" customWidth="1"/>
    <col min="11803" max="11803" width="15.125" style="255" customWidth="1"/>
    <col min="11804" max="11804" width="7.75" style="255" customWidth="1"/>
    <col min="11805" max="11805" width="7.125" style="255" customWidth="1"/>
    <col min="11806" max="11806" width="12.125" style="255" customWidth="1"/>
    <col min="11807" max="11807" width="8.25" style="255" customWidth="1"/>
    <col min="11808" max="11809" width="10.375" style="255" customWidth="1"/>
    <col min="11810" max="11810" width="15.625" style="255" customWidth="1"/>
    <col min="11811" max="11811" width="15.875" style="255" customWidth="1"/>
    <col min="11812" max="11812" width="8.125" style="255" customWidth="1"/>
    <col min="11813" max="11816" width="10.375" style="255" customWidth="1"/>
    <col min="11817" max="11817" width="7.25" style="255" customWidth="1"/>
    <col min="11818" max="11818" width="7.125" style="255" customWidth="1"/>
    <col min="11819" max="11819" width="9.5" style="255" customWidth="1"/>
    <col min="11820" max="11821" width="9" style="255" customWidth="1"/>
    <col min="11822" max="11822" width="16.125" style="255" customWidth="1"/>
    <col min="11823" max="11853" width="9" style="255" customWidth="1"/>
    <col min="11854" max="12013" width="25.25" style="255"/>
    <col min="12014" max="12043" width="9" style="255" customWidth="1"/>
    <col min="12044" max="12044" width="0.5" style="255" customWidth="1"/>
    <col min="12045" max="12045" width="25.25" style="255"/>
    <col min="12046" max="12046" width="0.5" style="255" customWidth="1"/>
    <col min="12047" max="12047" width="25.25" style="255"/>
    <col min="12048" max="12048" width="14.75" style="255" customWidth="1"/>
    <col min="12049" max="12049" width="11.5" style="255" customWidth="1"/>
    <col min="12050" max="12050" width="11.25" style="255" customWidth="1"/>
    <col min="12051" max="12051" width="10.75" style="255" customWidth="1"/>
    <col min="12052" max="12052" width="10" style="255" customWidth="1"/>
    <col min="12053" max="12053" width="9.875" style="255" customWidth="1"/>
    <col min="12054" max="12054" width="26.125" style="255" customWidth="1"/>
    <col min="12055" max="12055" width="11.125" style="255" customWidth="1"/>
    <col min="12056" max="12056" width="7.875" style="255" customWidth="1"/>
    <col min="12057" max="12057" width="7.25" style="255" customWidth="1"/>
    <col min="12058" max="12058" width="9.125" style="255" customWidth="1"/>
    <col min="12059" max="12059" width="15.125" style="255" customWidth="1"/>
    <col min="12060" max="12060" width="7.75" style="255" customWidth="1"/>
    <col min="12061" max="12061" width="7.125" style="255" customWidth="1"/>
    <col min="12062" max="12062" width="12.125" style="255" customWidth="1"/>
    <col min="12063" max="12063" width="8.25" style="255" customWidth="1"/>
    <col min="12064" max="12065" width="10.375" style="255" customWidth="1"/>
    <col min="12066" max="12066" width="15.625" style="255" customWidth="1"/>
    <col min="12067" max="12067" width="15.875" style="255" customWidth="1"/>
    <col min="12068" max="12068" width="8.125" style="255" customWidth="1"/>
    <col min="12069" max="12072" width="10.375" style="255" customWidth="1"/>
    <col min="12073" max="12073" width="7.25" style="255" customWidth="1"/>
    <col min="12074" max="12074" width="7.125" style="255" customWidth="1"/>
    <col min="12075" max="12075" width="9.5" style="255" customWidth="1"/>
    <col min="12076" max="12077" width="9" style="255" customWidth="1"/>
    <col min="12078" max="12078" width="16.125" style="255" customWidth="1"/>
    <col min="12079" max="12109" width="9" style="255" customWidth="1"/>
    <col min="12110" max="12269" width="25.25" style="255"/>
    <col min="12270" max="12299" width="9" style="255" customWidth="1"/>
    <col min="12300" max="12300" width="0.5" style="255" customWidth="1"/>
    <col min="12301" max="12301" width="25.25" style="255"/>
    <col min="12302" max="12302" width="0.5" style="255" customWidth="1"/>
    <col min="12303" max="12303" width="25.25" style="255"/>
    <col min="12304" max="12304" width="14.75" style="255" customWidth="1"/>
    <col min="12305" max="12305" width="11.5" style="255" customWidth="1"/>
    <col min="12306" max="12306" width="11.25" style="255" customWidth="1"/>
    <col min="12307" max="12307" width="10.75" style="255" customWidth="1"/>
    <col min="12308" max="12308" width="10" style="255" customWidth="1"/>
    <col min="12309" max="12309" width="9.875" style="255" customWidth="1"/>
    <col min="12310" max="12310" width="26.125" style="255" customWidth="1"/>
    <col min="12311" max="12311" width="11.125" style="255" customWidth="1"/>
    <col min="12312" max="12312" width="7.875" style="255" customWidth="1"/>
    <col min="12313" max="12313" width="7.25" style="255" customWidth="1"/>
    <col min="12314" max="12314" width="9.125" style="255" customWidth="1"/>
    <col min="12315" max="12315" width="15.125" style="255" customWidth="1"/>
    <col min="12316" max="12316" width="7.75" style="255" customWidth="1"/>
    <col min="12317" max="12317" width="7.125" style="255" customWidth="1"/>
    <col min="12318" max="12318" width="12.125" style="255" customWidth="1"/>
    <col min="12319" max="12319" width="8.25" style="255" customWidth="1"/>
    <col min="12320" max="12321" width="10.375" style="255" customWidth="1"/>
    <col min="12322" max="12322" width="15.625" style="255" customWidth="1"/>
    <col min="12323" max="12323" width="15.875" style="255" customWidth="1"/>
    <col min="12324" max="12324" width="8.125" style="255" customWidth="1"/>
    <col min="12325" max="12328" width="10.375" style="255" customWidth="1"/>
    <col min="12329" max="12329" width="7.25" style="255" customWidth="1"/>
    <col min="12330" max="12330" width="7.125" style="255" customWidth="1"/>
    <col min="12331" max="12331" width="9.5" style="255" customWidth="1"/>
    <col min="12332" max="12333" width="9" style="255" customWidth="1"/>
    <col min="12334" max="12334" width="16.125" style="255" customWidth="1"/>
    <col min="12335" max="12365" width="9" style="255" customWidth="1"/>
    <col min="12366" max="12525" width="25.25" style="255"/>
    <col min="12526" max="12555" width="9" style="255" customWidth="1"/>
    <col min="12556" max="12556" width="0.5" style="255" customWidth="1"/>
    <col min="12557" max="12557" width="25.25" style="255"/>
    <col min="12558" max="12558" width="0.5" style="255" customWidth="1"/>
    <col min="12559" max="12559" width="25.25" style="255"/>
    <col min="12560" max="12560" width="14.75" style="255" customWidth="1"/>
    <col min="12561" max="12561" width="11.5" style="255" customWidth="1"/>
    <col min="12562" max="12562" width="11.25" style="255" customWidth="1"/>
    <col min="12563" max="12563" width="10.75" style="255" customWidth="1"/>
    <col min="12564" max="12564" width="10" style="255" customWidth="1"/>
    <col min="12565" max="12565" width="9.875" style="255" customWidth="1"/>
    <col min="12566" max="12566" width="26.125" style="255" customWidth="1"/>
    <col min="12567" max="12567" width="11.125" style="255" customWidth="1"/>
    <col min="12568" max="12568" width="7.875" style="255" customWidth="1"/>
    <col min="12569" max="12569" width="7.25" style="255" customWidth="1"/>
    <col min="12570" max="12570" width="9.125" style="255" customWidth="1"/>
    <col min="12571" max="12571" width="15.125" style="255" customWidth="1"/>
    <col min="12572" max="12572" width="7.75" style="255" customWidth="1"/>
    <col min="12573" max="12573" width="7.125" style="255" customWidth="1"/>
    <col min="12574" max="12574" width="12.125" style="255" customWidth="1"/>
    <col min="12575" max="12575" width="8.25" style="255" customWidth="1"/>
    <col min="12576" max="12577" width="10.375" style="255" customWidth="1"/>
    <col min="12578" max="12578" width="15.625" style="255" customWidth="1"/>
    <col min="12579" max="12579" width="15.875" style="255" customWidth="1"/>
    <col min="12580" max="12580" width="8.125" style="255" customWidth="1"/>
    <col min="12581" max="12584" width="10.375" style="255" customWidth="1"/>
    <col min="12585" max="12585" width="7.25" style="255" customWidth="1"/>
    <col min="12586" max="12586" width="7.125" style="255" customWidth="1"/>
    <col min="12587" max="12587" width="9.5" style="255" customWidth="1"/>
    <col min="12588" max="12589" width="9" style="255" customWidth="1"/>
    <col min="12590" max="12590" width="16.125" style="255" customWidth="1"/>
    <col min="12591" max="12621" width="9" style="255" customWidth="1"/>
    <col min="12622" max="12781" width="25.25" style="255"/>
    <col min="12782" max="12811" width="9" style="255" customWidth="1"/>
    <col min="12812" max="12812" width="0.5" style="255" customWidth="1"/>
    <col min="12813" max="12813" width="25.25" style="255"/>
    <col min="12814" max="12814" width="0.5" style="255" customWidth="1"/>
    <col min="12815" max="12815" width="25.25" style="255"/>
    <col min="12816" max="12816" width="14.75" style="255" customWidth="1"/>
    <col min="12817" max="12817" width="11.5" style="255" customWidth="1"/>
    <col min="12818" max="12818" width="11.25" style="255" customWidth="1"/>
    <col min="12819" max="12819" width="10.75" style="255" customWidth="1"/>
    <col min="12820" max="12820" width="10" style="255" customWidth="1"/>
    <col min="12821" max="12821" width="9.875" style="255" customWidth="1"/>
    <col min="12822" max="12822" width="26.125" style="255" customWidth="1"/>
    <col min="12823" max="12823" width="11.125" style="255" customWidth="1"/>
    <col min="12824" max="12824" width="7.875" style="255" customWidth="1"/>
    <col min="12825" max="12825" width="7.25" style="255" customWidth="1"/>
    <col min="12826" max="12826" width="9.125" style="255" customWidth="1"/>
    <col min="12827" max="12827" width="15.125" style="255" customWidth="1"/>
    <col min="12828" max="12828" width="7.75" style="255" customWidth="1"/>
    <col min="12829" max="12829" width="7.125" style="255" customWidth="1"/>
    <col min="12830" max="12830" width="12.125" style="255" customWidth="1"/>
    <col min="12831" max="12831" width="8.25" style="255" customWidth="1"/>
    <col min="12832" max="12833" width="10.375" style="255" customWidth="1"/>
    <col min="12834" max="12834" width="15.625" style="255" customWidth="1"/>
    <col min="12835" max="12835" width="15.875" style="255" customWidth="1"/>
    <col min="12836" max="12836" width="8.125" style="255" customWidth="1"/>
    <col min="12837" max="12840" width="10.375" style="255" customWidth="1"/>
    <col min="12841" max="12841" width="7.25" style="255" customWidth="1"/>
    <col min="12842" max="12842" width="7.125" style="255" customWidth="1"/>
    <col min="12843" max="12843" width="9.5" style="255" customWidth="1"/>
    <col min="12844" max="12845" width="9" style="255" customWidth="1"/>
    <col min="12846" max="12846" width="16.125" style="255" customWidth="1"/>
    <col min="12847" max="12877" width="9" style="255" customWidth="1"/>
    <col min="12878" max="13037" width="25.25" style="255"/>
    <col min="13038" max="13067" width="9" style="255" customWidth="1"/>
    <col min="13068" max="13068" width="0.5" style="255" customWidth="1"/>
    <col min="13069" max="13069" width="25.25" style="255"/>
    <col min="13070" max="13070" width="0.5" style="255" customWidth="1"/>
    <col min="13071" max="13071" width="25.25" style="255"/>
    <col min="13072" max="13072" width="14.75" style="255" customWidth="1"/>
    <col min="13073" max="13073" width="11.5" style="255" customWidth="1"/>
    <col min="13074" max="13074" width="11.25" style="255" customWidth="1"/>
    <col min="13075" max="13075" width="10.75" style="255" customWidth="1"/>
    <col min="13076" max="13076" width="10" style="255" customWidth="1"/>
    <col min="13077" max="13077" width="9.875" style="255" customWidth="1"/>
    <col min="13078" max="13078" width="26.125" style="255" customWidth="1"/>
    <col min="13079" max="13079" width="11.125" style="255" customWidth="1"/>
    <col min="13080" max="13080" width="7.875" style="255" customWidth="1"/>
    <col min="13081" max="13081" width="7.25" style="255" customWidth="1"/>
    <col min="13082" max="13082" width="9.125" style="255" customWidth="1"/>
    <col min="13083" max="13083" width="15.125" style="255" customWidth="1"/>
    <col min="13084" max="13084" width="7.75" style="255" customWidth="1"/>
    <col min="13085" max="13085" width="7.125" style="255" customWidth="1"/>
    <col min="13086" max="13086" width="12.125" style="255" customWidth="1"/>
    <col min="13087" max="13087" width="8.25" style="255" customWidth="1"/>
    <col min="13088" max="13089" width="10.375" style="255" customWidth="1"/>
    <col min="13090" max="13090" width="15.625" style="255" customWidth="1"/>
    <col min="13091" max="13091" width="15.875" style="255" customWidth="1"/>
    <col min="13092" max="13092" width="8.125" style="255" customWidth="1"/>
    <col min="13093" max="13096" width="10.375" style="255" customWidth="1"/>
    <col min="13097" max="13097" width="7.25" style="255" customWidth="1"/>
    <col min="13098" max="13098" width="7.125" style="255" customWidth="1"/>
    <col min="13099" max="13099" width="9.5" style="255" customWidth="1"/>
    <col min="13100" max="13101" width="9" style="255" customWidth="1"/>
    <col min="13102" max="13102" width="16.125" style="255" customWidth="1"/>
    <col min="13103" max="13133" width="9" style="255" customWidth="1"/>
    <col min="13134" max="13293" width="25.25" style="255"/>
    <col min="13294" max="13323" width="9" style="255" customWidth="1"/>
    <col min="13324" max="13324" width="0.5" style="255" customWidth="1"/>
    <col min="13325" max="13325" width="25.25" style="255"/>
    <col min="13326" max="13326" width="0.5" style="255" customWidth="1"/>
    <col min="13327" max="13327" width="25.25" style="255"/>
    <col min="13328" max="13328" width="14.75" style="255" customWidth="1"/>
    <col min="13329" max="13329" width="11.5" style="255" customWidth="1"/>
    <col min="13330" max="13330" width="11.25" style="255" customWidth="1"/>
    <col min="13331" max="13331" width="10.75" style="255" customWidth="1"/>
    <col min="13332" max="13332" width="10" style="255" customWidth="1"/>
    <col min="13333" max="13333" width="9.875" style="255" customWidth="1"/>
    <col min="13334" max="13334" width="26.125" style="255" customWidth="1"/>
    <col min="13335" max="13335" width="11.125" style="255" customWidth="1"/>
    <col min="13336" max="13336" width="7.875" style="255" customWidth="1"/>
    <col min="13337" max="13337" width="7.25" style="255" customWidth="1"/>
    <col min="13338" max="13338" width="9.125" style="255" customWidth="1"/>
    <col min="13339" max="13339" width="15.125" style="255" customWidth="1"/>
    <col min="13340" max="13340" width="7.75" style="255" customWidth="1"/>
    <col min="13341" max="13341" width="7.125" style="255" customWidth="1"/>
    <col min="13342" max="13342" width="12.125" style="255" customWidth="1"/>
    <col min="13343" max="13343" width="8.25" style="255" customWidth="1"/>
    <col min="13344" max="13345" width="10.375" style="255" customWidth="1"/>
    <col min="13346" max="13346" width="15.625" style="255" customWidth="1"/>
    <col min="13347" max="13347" width="15.875" style="255" customWidth="1"/>
    <col min="13348" max="13348" width="8.125" style="255" customWidth="1"/>
    <col min="13349" max="13352" width="10.375" style="255" customWidth="1"/>
    <col min="13353" max="13353" width="7.25" style="255" customWidth="1"/>
    <col min="13354" max="13354" width="7.125" style="255" customWidth="1"/>
    <col min="13355" max="13355" width="9.5" style="255" customWidth="1"/>
    <col min="13356" max="13357" width="9" style="255" customWidth="1"/>
    <col min="13358" max="13358" width="16.125" style="255" customWidth="1"/>
    <col min="13359" max="13389" width="9" style="255" customWidth="1"/>
    <col min="13390" max="13549" width="25.25" style="255"/>
    <col min="13550" max="13579" width="9" style="255" customWidth="1"/>
    <col min="13580" max="13580" width="0.5" style="255" customWidth="1"/>
    <col min="13581" max="13581" width="25.25" style="255"/>
    <col min="13582" max="13582" width="0.5" style="255" customWidth="1"/>
    <col min="13583" max="13583" width="25.25" style="255"/>
    <col min="13584" max="13584" width="14.75" style="255" customWidth="1"/>
    <col min="13585" max="13585" width="11.5" style="255" customWidth="1"/>
    <col min="13586" max="13586" width="11.25" style="255" customWidth="1"/>
    <col min="13587" max="13587" width="10.75" style="255" customWidth="1"/>
    <col min="13588" max="13588" width="10" style="255" customWidth="1"/>
    <col min="13589" max="13589" width="9.875" style="255" customWidth="1"/>
    <col min="13590" max="13590" width="26.125" style="255" customWidth="1"/>
    <col min="13591" max="13591" width="11.125" style="255" customWidth="1"/>
    <col min="13592" max="13592" width="7.875" style="255" customWidth="1"/>
    <col min="13593" max="13593" width="7.25" style="255" customWidth="1"/>
    <col min="13594" max="13594" width="9.125" style="255" customWidth="1"/>
    <col min="13595" max="13595" width="15.125" style="255" customWidth="1"/>
    <col min="13596" max="13596" width="7.75" style="255" customWidth="1"/>
    <col min="13597" max="13597" width="7.125" style="255" customWidth="1"/>
    <col min="13598" max="13598" width="12.125" style="255" customWidth="1"/>
    <col min="13599" max="13599" width="8.25" style="255" customWidth="1"/>
    <col min="13600" max="13601" width="10.375" style="255" customWidth="1"/>
    <col min="13602" max="13602" width="15.625" style="255" customWidth="1"/>
    <col min="13603" max="13603" width="15.875" style="255" customWidth="1"/>
    <col min="13604" max="13604" width="8.125" style="255" customWidth="1"/>
    <col min="13605" max="13608" width="10.375" style="255" customWidth="1"/>
    <col min="13609" max="13609" width="7.25" style="255" customWidth="1"/>
    <col min="13610" max="13610" width="7.125" style="255" customWidth="1"/>
    <col min="13611" max="13611" width="9.5" style="255" customWidth="1"/>
    <col min="13612" max="13613" width="9" style="255" customWidth="1"/>
    <col min="13614" max="13614" width="16.125" style="255" customWidth="1"/>
    <col min="13615" max="13645" width="9" style="255" customWidth="1"/>
    <col min="13646" max="13805" width="25.25" style="255"/>
    <col min="13806" max="13835" width="9" style="255" customWidth="1"/>
    <col min="13836" max="13836" width="0.5" style="255" customWidth="1"/>
    <col min="13837" max="13837" width="25.25" style="255"/>
    <col min="13838" max="13838" width="0.5" style="255" customWidth="1"/>
    <col min="13839" max="13839" width="25.25" style="255"/>
    <col min="13840" max="13840" width="14.75" style="255" customWidth="1"/>
    <col min="13841" max="13841" width="11.5" style="255" customWidth="1"/>
    <col min="13842" max="13842" width="11.25" style="255" customWidth="1"/>
    <col min="13843" max="13843" width="10.75" style="255" customWidth="1"/>
    <col min="13844" max="13844" width="10" style="255" customWidth="1"/>
    <col min="13845" max="13845" width="9.875" style="255" customWidth="1"/>
    <col min="13846" max="13846" width="26.125" style="255" customWidth="1"/>
    <col min="13847" max="13847" width="11.125" style="255" customWidth="1"/>
    <col min="13848" max="13848" width="7.875" style="255" customWidth="1"/>
    <col min="13849" max="13849" width="7.25" style="255" customWidth="1"/>
    <col min="13850" max="13850" width="9.125" style="255" customWidth="1"/>
    <col min="13851" max="13851" width="15.125" style="255" customWidth="1"/>
    <col min="13852" max="13852" width="7.75" style="255" customWidth="1"/>
    <col min="13853" max="13853" width="7.125" style="255" customWidth="1"/>
    <col min="13854" max="13854" width="12.125" style="255" customWidth="1"/>
    <col min="13855" max="13855" width="8.25" style="255" customWidth="1"/>
    <col min="13856" max="13857" width="10.375" style="255" customWidth="1"/>
    <col min="13858" max="13858" width="15.625" style="255" customWidth="1"/>
    <col min="13859" max="13859" width="15.875" style="255" customWidth="1"/>
    <col min="13860" max="13860" width="8.125" style="255" customWidth="1"/>
    <col min="13861" max="13864" width="10.375" style="255" customWidth="1"/>
    <col min="13865" max="13865" width="7.25" style="255" customWidth="1"/>
    <col min="13866" max="13866" width="7.125" style="255" customWidth="1"/>
    <col min="13867" max="13867" width="9.5" style="255" customWidth="1"/>
    <col min="13868" max="13869" width="9" style="255" customWidth="1"/>
    <col min="13870" max="13870" width="16.125" style="255" customWidth="1"/>
    <col min="13871" max="13901" width="9" style="255" customWidth="1"/>
    <col min="13902" max="14061" width="25.25" style="255"/>
    <col min="14062" max="14091" width="9" style="255" customWidth="1"/>
    <col min="14092" max="14092" width="0.5" style="255" customWidth="1"/>
    <col min="14093" max="14093" width="25.25" style="255"/>
    <col min="14094" max="14094" width="0.5" style="255" customWidth="1"/>
    <col min="14095" max="14095" width="25.25" style="255"/>
    <col min="14096" max="14096" width="14.75" style="255" customWidth="1"/>
    <col min="14097" max="14097" width="11.5" style="255" customWidth="1"/>
    <col min="14098" max="14098" width="11.25" style="255" customWidth="1"/>
    <col min="14099" max="14099" width="10.75" style="255" customWidth="1"/>
    <col min="14100" max="14100" width="10" style="255" customWidth="1"/>
    <col min="14101" max="14101" width="9.875" style="255" customWidth="1"/>
    <col min="14102" max="14102" width="26.125" style="255" customWidth="1"/>
    <col min="14103" max="14103" width="11.125" style="255" customWidth="1"/>
    <col min="14104" max="14104" width="7.875" style="255" customWidth="1"/>
    <col min="14105" max="14105" width="7.25" style="255" customWidth="1"/>
    <col min="14106" max="14106" width="9.125" style="255" customWidth="1"/>
    <col min="14107" max="14107" width="15.125" style="255" customWidth="1"/>
    <col min="14108" max="14108" width="7.75" style="255" customWidth="1"/>
    <col min="14109" max="14109" width="7.125" style="255" customWidth="1"/>
    <col min="14110" max="14110" width="12.125" style="255" customWidth="1"/>
    <col min="14111" max="14111" width="8.25" style="255" customWidth="1"/>
    <col min="14112" max="14113" width="10.375" style="255" customWidth="1"/>
    <col min="14114" max="14114" width="15.625" style="255" customWidth="1"/>
    <col min="14115" max="14115" width="15.875" style="255" customWidth="1"/>
    <col min="14116" max="14116" width="8.125" style="255" customWidth="1"/>
    <col min="14117" max="14120" width="10.375" style="255" customWidth="1"/>
    <col min="14121" max="14121" width="7.25" style="255" customWidth="1"/>
    <col min="14122" max="14122" width="7.125" style="255" customWidth="1"/>
    <col min="14123" max="14123" width="9.5" style="255" customWidth="1"/>
    <col min="14124" max="14125" width="9" style="255" customWidth="1"/>
    <col min="14126" max="14126" width="16.125" style="255" customWidth="1"/>
    <col min="14127" max="14157" width="9" style="255" customWidth="1"/>
    <col min="14158" max="14317" width="25.25" style="255"/>
    <col min="14318" max="14347" width="9" style="255" customWidth="1"/>
    <col min="14348" max="14348" width="0.5" style="255" customWidth="1"/>
    <col min="14349" max="14349" width="25.25" style="255"/>
    <col min="14350" max="14350" width="0.5" style="255" customWidth="1"/>
    <col min="14351" max="14351" width="25.25" style="255"/>
    <col min="14352" max="14352" width="14.75" style="255" customWidth="1"/>
    <col min="14353" max="14353" width="11.5" style="255" customWidth="1"/>
    <col min="14354" max="14354" width="11.25" style="255" customWidth="1"/>
    <col min="14355" max="14355" width="10.75" style="255" customWidth="1"/>
    <col min="14356" max="14356" width="10" style="255" customWidth="1"/>
    <col min="14357" max="14357" width="9.875" style="255" customWidth="1"/>
    <col min="14358" max="14358" width="26.125" style="255" customWidth="1"/>
    <col min="14359" max="14359" width="11.125" style="255" customWidth="1"/>
    <col min="14360" max="14360" width="7.875" style="255" customWidth="1"/>
    <col min="14361" max="14361" width="7.25" style="255" customWidth="1"/>
    <col min="14362" max="14362" width="9.125" style="255" customWidth="1"/>
    <col min="14363" max="14363" width="15.125" style="255" customWidth="1"/>
    <col min="14364" max="14364" width="7.75" style="255" customWidth="1"/>
    <col min="14365" max="14365" width="7.125" style="255" customWidth="1"/>
    <col min="14366" max="14366" width="12.125" style="255" customWidth="1"/>
    <col min="14367" max="14367" width="8.25" style="255" customWidth="1"/>
    <col min="14368" max="14369" width="10.375" style="255" customWidth="1"/>
    <col min="14370" max="14370" width="15.625" style="255" customWidth="1"/>
    <col min="14371" max="14371" width="15.875" style="255" customWidth="1"/>
    <col min="14372" max="14372" width="8.125" style="255" customWidth="1"/>
    <col min="14373" max="14376" width="10.375" style="255" customWidth="1"/>
    <col min="14377" max="14377" width="7.25" style="255" customWidth="1"/>
    <col min="14378" max="14378" width="7.125" style="255" customWidth="1"/>
    <col min="14379" max="14379" width="9.5" style="255" customWidth="1"/>
    <col min="14380" max="14381" width="9" style="255" customWidth="1"/>
    <col min="14382" max="14382" width="16.125" style="255" customWidth="1"/>
    <col min="14383" max="14413" width="9" style="255" customWidth="1"/>
    <col min="14414" max="14573" width="25.25" style="255"/>
    <col min="14574" max="14603" width="9" style="255" customWidth="1"/>
    <col min="14604" max="14604" width="0.5" style="255" customWidth="1"/>
    <col min="14605" max="14605" width="25.25" style="255"/>
    <col min="14606" max="14606" width="0.5" style="255" customWidth="1"/>
    <col min="14607" max="14607" width="25.25" style="255"/>
    <col min="14608" max="14608" width="14.75" style="255" customWidth="1"/>
    <col min="14609" max="14609" width="11.5" style="255" customWidth="1"/>
    <col min="14610" max="14610" width="11.25" style="255" customWidth="1"/>
    <col min="14611" max="14611" width="10.75" style="255" customWidth="1"/>
    <col min="14612" max="14612" width="10" style="255" customWidth="1"/>
    <col min="14613" max="14613" width="9.875" style="255" customWidth="1"/>
    <col min="14614" max="14614" width="26.125" style="255" customWidth="1"/>
    <col min="14615" max="14615" width="11.125" style="255" customWidth="1"/>
    <col min="14616" max="14616" width="7.875" style="255" customWidth="1"/>
    <col min="14617" max="14617" width="7.25" style="255" customWidth="1"/>
    <col min="14618" max="14618" width="9.125" style="255" customWidth="1"/>
    <col min="14619" max="14619" width="15.125" style="255" customWidth="1"/>
    <col min="14620" max="14620" width="7.75" style="255" customWidth="1"/>
    <col min="14621" max="14621" width="7.125" style="255" customWidth="1"/>
    <col min="14622" max="14622" width="12.125" style="255" customWidth="1"/>
    <col min="14623" max="14623" width="8.25" style="255" customWidth="1"/>
    <col min="14624" max="14625" width="10.375" style="255" customWidth="1"/>
    <col min="14626" max="14626" width="15.625" style="255" customWidth="1"/>
    <col min="14627" max="14627" width="15.875" style="255" customWidth="1"/>
    <col min="14628" max="14628" width="8.125" style="255" customWidth="1"/>
    <col min="14629" max="14632" width="10.375" style="255" customWidth="1"/>
    <col min="14633" max="14633" width="7.25" style="255" customWidth="1"/>
    <col min="14634" max="14634" width="7.125" style="255" customWidth="1"/>
    <col min="14635" max="14635" width="9.5" style="255" customWidth="1"/>
    <col min="14636" max="14637" width="9" style="255" customWidth="1"/>
    <col min="14638" max="14638" width="16.125" style="255" customWidth="1"/>
    <col min="14639" max="14669" width="9" style="255" customWidth="1"/>
    <col min="14670" max="14829" width="25.25" style="255"/>
    <col min="14830" max="14859" width="9" style="255" customWidth="1"/>
    <col min="14860" max="14860" width="0.5" style="255" customWidth="1"/>
    <col min="14861" max="14861" width="25.25" style="255"/>
    <col min="14862" max="14862" width="0.5" style="255" customWidth="1"/>
    <col min="14863" max="14863" width="25.25" style="255"/>
    <col min="14864" max="14864" width="14.75" style="255" customWidth="1"/>
    <col min="14865" max="14865" width="11.5" style="255" customWidth="1"/>
    <col min="14866" max="14866" width="11.25" style="255" customWidth="1"/>
    <col min="14867" max="14867" width="10.75" style="255" customWidth="1"/>
    <col min="14868" max="14868" width="10" style="255" customWidth="1"/>
    <col min="14869" max="14869" width="9.875" style="255" customWidth="1"/>
    <col min="14870" max="14870" width="26.125" style="255" customWidth="1"/>
    <col min="14871" max="14871" width="11.125" style="255" customWidth="1"/>
    <col min="14872" max="14872" width="7.875" style="255" customWidth="1"/>
    <col min="14873" max="14873" width="7.25" style="255" customWidth="1"/>
    <col min="14874" max="14874" width="9.125" style="255" customWidth="1"/>
    <col min="14875" max="14875" width="15.125" style="255" customWidth="1"/>
    <col min="14876" max="14876" width="7.75" style="255" customWidth="1"/>
    <col min="14877" max="14877" width="7.125" style="255" customWidth="1"/>
    <col min="14878" max="14878" width="12.125" style="255" customWidth="1"/>
    <col min="14879" max="14879" width="8.25" style="255" customWidth="1"/>
    <col min="14880" max="14881" width="10.375" style="255" customWidth="1"/>
    <col min="14882" max="14882" width="15.625" style="255" customWidth="1"/>
    <col min="14883" max="14883" width="15.875" style="255" customWidth="1"/>
    <col min="14884" max="14884" width="8.125" style="255" customWidth="1"/>
    <col min="14885" max="14888" width="10.375" style="255" customWidth="1"/>
    <col min="14889" max="14889" width="7.25" style="255" customWidth="1"/>
    <col min="14890" max="14890" width="7.125" style="255" customWidth="1"/>
    <col min="14891" max="14891" width="9.5" style="255" customWidth="1"/>
    <col min="14892" max="14893" width="9" style="255" customWidth="1"/>
    <col min="14894" max="14894" width="16.125" style="255" customWidth="1"/>
    <col min="14895" max="14925" width="9" style="255" customWidth="1"/>
    <col min="14926" max="15085" width="25.25" style="255"/>
    <col min="15086" max="15115" width="9" style="255" customWidth="1"/>
    <col min="15116" max="15116" width="0.5" style="255" customWidth="1"/>
    <col min="15117" max="15117" width="25.25" style="255"/>
    <col min="15118" max="15118" width="0.5" style="255" customWidth="1"/>
    <col min="15119" max="15119" width="25.25" style="255"/>
    <col min="15120" max="15120" width="14.75" style="255" customWidth="1"/>
    <col min="15121" max="15121" width="11.5" style="255" customWidth="1"/>
    <col min="15122" max="15122" width="11.25" style="255" customWidth="1"/>
    <col min="15123" max="15123" width="10.75" style="255" customWidth="1"/>
    <col min="15124" max="15124" width="10" style="255" customWidth="1"/>
    <col min="15125" max="15125" width="9.875" style="255" customWidth="1"/>
    <col min="15126" max="15126" width="26.125" style="255" customWidth="1"/>
    <col min="15127" max="15127" width="11.125" style="255" customWidth="1"/>
    <col min="15128" max="15128" width="7.875" style="255" customWidth="1"/>
    <col min="15129" max="15129" width="7.25" style="255" customWidth="1"/>
    <col min="15130" max="15130" width="9.125" style="255" customWidth="1"/>
    <col min="15131" max="15131" width="15.125" style="255" customWidth="1"/>
    <col min="15132" max="15132" width="7.75" style="255" customWidth="1"/>
    <col min="15133" max="15133" width="7.125" style="255" customWidth="1"/>
    <col min="15134" max="15134" width="12.125" style="255" customWidth="1"/>
    <col min="15135" max="15135" width="8.25" style="255" customWidth="1"/>
    <col min="15136" max="15137" width="10.375" style="255" customWidth="1"/>
    <col min="15138" max="15138" width="15.625" style="255" customWidth="1"/>
    <col min="15139" max="15139" width="15.875" style="255" customWidth="1"/>
    <col min="15140" max="15140" width="8.125" style="255" customWidth="1"/>
    <col min="15141" max="15144" width="10.375" style="255" customWidth="1"/>
    <col min="15145" max="15145" width="7.25" style="255" customWidth="1"/>
    <col min="15146" max="15146" width="7.125" style="255" customWidth="1"/>
    <col min="15147" max="15147" width="9.5" style="255" customWidth="1"/>
    <col min="15148" max="15149" width="9" style="255" customWidth="1"/>
    <col min="15150" max="15150" width="16.125" style="255" customWidth="1"/>
    <col min="15151" max="15181" width="9" style="255" customWidth="1"/>
    <col min="15182" max="15341" width="25.25" style="255"/>
    <col min="15342" max="15371" width="9" style="255" customWidth="1"/>
    <col min="15372" max="15372" width="0.5" style="255" customWidth="1"/>
    <col min="15373" max="15373" width="25.25" style="255"/>
    <col min="15374" max="15374" width="0.5" style="255" customWidth="1"/>
    <col min="15375" max="15375" width="25.25" style="255"/>
    <col min="15376" max="15376" width="14.75" style="255" customWidth="1"/>
    <col min="15377" max="15377" width="11.5" style="255" customWidth="1"/>
    <col min="15378" max="15378" width="11.25" style="255" customWidth="1"/>
    <col min="15379" max="15379" width="10.75" style="255" customWidth="1"/>
    <col min="15380" max="15380" width="10" style="255" customWidth="1"/>
    <col min="15381" max="15381" width="9.875" style="255" customWidth="1"/>
    <col min="15382" max="15382" width="26.125" style="255" customWidth="1"/>
    <col min="15383" max="15383" width="11.125" style="255" customWidth="1"/>
    <col min="15384" max="15384" width="7.875" style="255" customWidth="1"/>
    <col min="15385" max="15385" width="7.25" style="255" customWidth="1"/>
    <col min="15386" max="15386" width="9.125" style="255" customWidth="1"/>
    <col min="15387" max="15387" width="15.125" style="255" customWidth="1"/>
    <col min="15388" max="15388" width="7.75" style="255" customWidth="1"/>
    <col min="15389" max="15389" width="7.125" style="255" customWidth="1"/>
    <col min="15390" max="15390" width="12.125" style="255" customWidth="1"/>
    <col min="15391" max="15391" width="8.25" style="255" customWidth="1"/>
    <col min="15392" max="15393" width="10.375" style="255" customWidth="1"/>
    <col min="15394" max="15394" width="15.625" style="255" customWidth="1"/>
    <col min="15395" max="15395" width="15.875" style="255" customWidth="1"/>
    <col min="15396" max="15396" width="8.125" style="255" customWidth="1"/>
    <col min="15397" max="15400" width="10.375" style="255" customWidth="1"/>
    <col min="15401" max="15401" width="7.25" style="255" customWidth="1"/>
    <col min="15402" max="15402" width="7.125" style="255" customWidth="1"/>
    <col min="15403" max="15403" width="9.5" style="255" customWidth="1"/>
    <col min="15404" max="15405" width="9" style="255" customWidth="1"/>
    <col min="15406" max="15406" width="16.125" style="255" customWidth="1"/>
    <col min="15407" max="15437" width="9" style="255" customWidth="1"/>
    <col min="15438" max="15597" width="25.25" style="255"/>
    <col min="15598" max="15627" width="9" style="255" customWidth="1"/>
    <col min="15628" max="15628" width="0.5" style="255" customWidth="1"/>
    <col min="15629" max="15629" width="25.25" style="255"/>
    <col min="15630" max="15630" width="0.5" style="255" customWidth="1"/>
    <col min="15631" max="15631" width="25.25" style="255"/>
    <col min="15632" max="15632" width="14.75" style="255" customWidth="1"/>
    <col min="15633" max="15633" width="11.5" style="255" customWidth="1"/>
    <col min="15634" max="15634" width="11.25" style="255" customWidth="1"/>
    <col min="15635" max="15635" width="10.75" style="255" customWidth="1"/>
    <col min="15636" max="15636" width="10" style="255" customWidth="1"/>
    <col min="15637" max="15637" width="9.875" style="255" customWidth="1"/>
    <col min="15638" max="15638" width="26.125" style="255" customWidth="1"/>
    <col min="15639" max="15639" width="11.125" style="255" customWidth="1"/>
    <col min="15640" max="15640" width="7.875" style="255" customWidth="1"/>
    <col min="15641" max="15641" width="7.25" style="255" customWidth="1"/>
    <col min="15642" max="15642" width="9.125" style="255" customWidth="1"/>
    <col min="15643" max="15643" width="15.125" style="255" customWidth="1"/>
    <col min="15644" max="15644" width="7.75" style="255" customWidth="1"/>
    <col min="15645" max="15645" width="7.125" style="255" customWidth="1"/>
    <col min="15646" max="15646" width="12.125" style="255" customWidth="1"/>
    <col min="15647" max="15647" width="8.25" style="255" customWidth="1"/>
    <col min="15648" max="15649" width="10.375" style="255" customWidth="1"/>
    <col min="15650" max="15650" width="15.625" style="255" customWidth="1"/>
    <col min="15651" max="15651" width="15.875" style="255" customWidth="1"/>
    <col min="15652" max="15652" width="8.125" style="255" customWidth="1"/>
    <col min="15653" max="15656" width="10.375" style="255" customWidth="1"/>
    <col min="15657" max="15657" width="7.25" style="255" customWidth="1"/>
    <col min="15658" max="15658" width="7.125" style="255" customWidth="1"/>
    <col min="15659" max="15659" width="9.5" style="255" customWidth="1"/>
    <col min="15660" max="15661" width="9" style="255" customWidth="1"/>
    <col min="15662" max="15662" width="16.125" style="255" customWidth="1"/>
    <col min="15663" max="15693" width="9" style="255" customWidth="1"/>
    <col min="15694" max="15853" width="25.25" style="255"/>
    <col min="15854" max="15883" width="9" style="255" customWidth="1"/>
    <col min="15884" max="15884" width="0.5" style="255" customWidth="1"/>
    <col min="15885" max="15885" width="25.25" style="255"/>
    <col min="15886" max="15886" width="0.5" style="255" customWidth="1"/>
    <col min="15887" max="15887" width="25.25" style="255"/>
    <col min="15888" max="15888" width="14.75" style="255" customWidth="1"/>
    <col min="15889" max="15889" width="11.5" style="255" customWidth="1"/>
    <col min="15890" max="15890" width="11.25" style="255" customWidth="1"/>
    <col min="15891" max="15891" width="10.75" style="255" customWidth="1"/>
    <col min="15892" max="15892" width="10" style="255" customWidth="1"/>
    <col min="15893" max="15893" width="9.875" style="255" customWidth="1"/>
    <col min="15894" max="15894" width="26.125" style="255" customWidth="1"/>
    <col min="15895" max="15895" width="11.125" style="255" customWidth="1"/>
    <col min="15896" max="15896" width="7.875" style="255" customWidth="1"/>
    <col min="15897" max="15897" width="7.25" style="255" customWidth="1"/>
    <col min="15898" max="15898" width="9.125" style="255" customWidth="1"/>
    <col min="15899" max="15899" width="15.125" style="255" customWidth="1"/>
    <col min="15900" max="15900" width="7.75" style="255" customWidth="1"/>
    <col min="15901" max="15901" width="7.125" style="255" customWidth="1"/>
    <col min="15902" max="15902" width="12.125" style="255" customWidth="1"/>
    <col min="15903" max="15903" width="8.25" style="255" customWidth="1"/>
    <col min="15904" max="15905" width="10.375" style="255" customWidth="1"/>
    <col min="15906" max="15906" width="15.625" style="255" customWidth="1"/>
    <col min="15907" max="15907" width="15.875" style="255" customWidth="1"/>
    <col min="15908" max="15908" width="8.125" style="255" customWidth="1"/>
    <col min="15909" max="15912" width="10.375" style="255" customWidth="1"/>
    <col min="15913" max="15913" width="7.25" style="255" customWidth="1"/>
    <col min="15914" max="15914" width="7.125" style="255" customWidth="1"/>
    <col min="15915" max="15915" width="9.5" style="255" customWidth="1"/>
    <col min="15916" max="15917" width="9" style="255" customWidth="1"/>
    <col min="15918" max="15918" width="16.125" style="255" customWidth="1"/>
    <col min="15919" max="15949" width="9" style="255" customWidth="1"/>
    <col min="15950" max="16109" width="25.25" style="255"/>
    <col min="16110" max="16139" width="9" style="255" customWidth="1"/>
    <col min="16140" max="16140" width="0.5" style="255" customWidth="1"/>
    <col min="16141" max="16384" width="25.25" style="255"/>
  </cols>
  <sheetData>
    <row r="1" spans="1:16" ht="14.25" thickBot="1"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1"/>
      <c r="O1" s="1"/>
      <c r="P1" s="1"/>
    </row>
    <row r="2" spans="1:16" ht="18" customHeight="1">
      <c r="A2" s="5"/>
      <c r="B2" s="6" t="s">
        <v>402</v>
      </c>
      <c r="C2" s="444"/>
      <c r="D2" s="444" t="s">
        <v>9</v>
      </c>
      <c r="E2" s="444" t="s">
        <v>10</v>
      </c>
      <c r="F2" s="661" t="s">
        <v>11</v>
      </c>
      <c r="G2" s="661"/>
      <c r="H2" s="661"/>
      <c r="I2" s="662" t="s">
        <v>12</v>
      </c>
      <c r="J2" s="664" t="s">
        <v>13</v>
      </c>
      <c r="K2" s="665"/>
      <c r="L2" s="665"/>
      <c r="M2" s="666"/>
      <c r="N2" s="8"/>
      <c r="O2" s="8"/>
      <c r="P2" s="8"/>
    </row>
    <row r="3" spans="1:16" ht="18" customHeight="1">
      <c r="B3" s="9" t="s">
        <v>14</v>
      </c>
      <c r="C3" s="10" t="s">
        <v>15</v>
      </c>
      <c r="D3" s="10" t="s">
        <v>16</v>
      </c>
      <c r="E3" s="10" t="s">
        <v>17</v>
      </c>
      <c r="F3" s="10" t="s">
        <v>7</v>
      </c>
      <c r="G3" s="10" t="s">
        <v>5</v>
      </c>
      <c r="H3" s="10" t="s">
        <v>18</v>
      </c>
      <c r="I3" s="663"/>
      <c r="J3" s="11" t="s">
        <v>19</v>
      </c>
      <c r="K3" s="12" t="s">
        <v>20</v>
      </c>
      <c r="L3" s="12" t="s">
        <v>21</v>
      </c>
      <c r="M3" s="13" t="s">
        <v>22</v>
      </c>
      <c r="N3" s="14"/>
      <c r="P3" s="15"/>
    </row>
    <row r="4" spans="1:16" ht="18" customHeight="1">
      <c r="B4" s="667" t="str">
        <f ca="1">MID(CELL("filename",Q13),FIND("]",CELL("filename",Q13))+1,30)</f>
        <v>套门 (2)</v>
      </c>
      <c r="C4" s="17" t="s">
        <v>23</v>
      </c>
      <c r="D4" s="17">
        <v>2300</v>
      </c>
      <c r="E4" s="17">
        <v>2325</v>
      </c>
      <c r="F4" s="222">
        <f>D4*E4/10^6</f>
        <v>5.3475000000000001</v>
      </c>
      <c r="G4" s="17">
        <v>1</v>
      </c>
      <c r="H4" s="17">
        <f>F4*G4</f>
        <v>5.3475000000000001</v>
      </c>
      <c r="I4" s="663"/>
      <c r="J4" s="19">
        <v>40</v>
      </c>
      <c r="K4" s="20">
        <v>20</v>
      </c>
      <c r="L4" s="21">
        <v>1.5</v>
      </c>
      <c r="M4" s="22">
        <f t="shared" ref="M4:M11" si="0">ROUND(((J4*K4)-(J4-2*L4)*(K4-2*L4))*7.8/1000,3)</f>
        <v>1.3340000000000001</v>
      </c>
    </row>
    <row r="5" spans="1:16" ht="18" customHeight="1">
      <c r="B5" s="668"/>
      <c r="C5" s="221" t="s">
        <v>299</v>
      </c>
      <c r="D5" s="221">
        <f>D4-70</f>
        <v>2230</v>
      </c>
      <c r="E5" s="221">
        <f>E4-70</f>
        <v>2255</v>
      </c>
      <c r="F5" s="222">
        <f>D5*E5/10^6</f>
        <v>5.0286499999999998</v>
      </c>
      <c r="G5" s="221">
        <v>1</v>
      </c>
      <c r="H5" s="222">
        <f>F5*G5</f>
        <v>5.0286499999999998</v>
      </c>
      <c r="I5" s="663"/>
      <c r="J5" s="19">
        <v>40</v>
      </c>
      <c r="K5" s="20">
        <v>20</v>
      </c>
      <c r="L5" s="21">
        <v>2</v>
      </c>
      <c r="M5" s="22">
        <f t="shared" si="0"/>
        <v>1.7470000000000001</v>
      </c>
    </row>
    <row r="6" spans="1:16" ht="18" customHeight="1">
      <c r="B6" s="669"/>
      <c r="C6" s="17" t="s">
        <v>24</v>
      </c>
      <c r="D6" s="17">
        <f>D4</f>
        <v>2300</v>
      </c>
      <c r="E6" s="17">
        <f>E4</f>
        <v>2325</v>
      </c>
      <c r="F6" s="18">
        <f>D6*E6/10^6</f>
        <v>5.3475000000000001</v>
      </c>
      <c r="G6" s="17">
        <v>1</v>
      </c>
      <c r="H6" s="18">
        <f>F6*G6</f>
        <v>5.3475000000000001</v>
      </c>
      <c r="I6" s="663"/>
      <c r="J6" s="19">
        <v>40</v>
      </c>
      <c r="K6" s="20">
        <v>20</v>
      </c>
      <c r="L6" s="21">
        <v>2</v>
      </c>
      <c r="M6" s="22">
        <f t="shared" si="0"/>
        <v>1.7470000000000001</v>
      </c>
    </row>
    <row r="7" spans="1:16" ht="18" customHeight="1">
      <c r="B7" s="23" t="s">
        <v>25</v>
      </c>
      <c r="C7" s="442" t="s">
        <v>16</v>
      </c>
      <c r="D7" s="442" t="s">
        <v>26</v>
      </c>
      <c r="E7" s="442" t="s">
        <v>17</v>
      </c>
      <c r="F7" s="442" t="s">
        <v>27</v>
      </c>
      <c r="G7" s="442" t="s">
        <v>22</v>
      </c>
      <c r="H7" s="442" t="s">
        <v>28</v>
      </c>
      <c r="I7" s="25" t="s">
        <v>29</v>
      </c>
      <c r="J7" s="19">
        <v>80</v>
      </c>
      <c r="K7" s="20">
        <v>40</v>
      </c>
      <c r="L7" s="21">
        <v>2</v>
      </c>
      <c r="M7" s="22">
        <f t="shared" si="0"/>
        <v>3.6190000000000002</v>
      </c>
    </row>
    <row r="8" spans="1:16" ht="18" customHeight="1">
      <c r="B8" s="441" t="s">
        <v>30</v>
      </c>
      <c r="C8" s="27">
        <f>D4-30</f>
        <v>2270</v>
      </c>
      <c r="D8" s="27">
        <v>2</v>
      </c>
      <c r="E8" s="27">
        <f>E4-30</f>
        <v>2295</v>
      </c>
      <c r="F8" s="27">
        <v>2</v>
      </c>
      <c r="G8" s="28">
        <f>M4</f>
        <v>1.3340000000000001</v>
      </c>
      <c r="H8" s="29"/>
      <c r="I8" s="30">
        <f>ROUND((C8*D8+E8*F8)*G8*H8/1000*1.1,2)</f>
        <v>0</v>
      </c>
      <c r="J8" s="19">
        <v>40</v>
      </c>
      <c r="K8" s="20">
        <v>20</v>
      </c>
      <c r="L8" s="21">
        <v>1.4</v>
      </c>
      <c r="M8" s="22">
        <f>ROUND(((J8*K8)-(J8-2*L8)*(K8-2*L8))*2.71/1000,3)</f>
        <v>0.434</v>
      </c>
    </row>
    <row r="9" spans="1:16" ht="18" customHeight="1">
      <c r="B9" s="441" t="s">
        <v>30</v>
      </c>
      <c r="C9" s="440"/>
      <c r="D9" s="440"/>
      <c r="E9" s="440"/>
      <c r="F9" s="440"/>
      <c r="G9" s="28">
        <v>1.7470000000000001</v>
      </c>
      <c r="H9" s="32">
        <f>H8</f>
        <v>0</v>
      </c>
      <c r="I9" s="30">
        <f>ROUND((C9*D9+E9*F9)*G9*H9/1000*1.1,2)</f>
        <v>0</v>
      </c>
      <c r="J9" s="19"/>
      <c r="K9" s="20"/>
      <c r="L9" s="21"/>
      <c r="M9" s="22">
        <f t="shared" si="0"/>
        <v>0</v>
      </c>
    </row>
    <row r="10" spans="1:16" ht="18" customHeight="1">
      <c r="B10" s="441" t="s">
        <v>31</v>
      </c>
      <c r="C10" s="440"/>
      <c r="D10" s="440"/>
      <c r="E10" s="440"/>
      <c r="F10" s="440"/>
      <c r="G10" s="28">
        <v>3.6190000000000002</v>
      </c>
      <c r="H10" s="32">
        <f>H9</f>
        <v>0</v>
      </c>
      <c r="I10" s="30">
        <f>ROUND((C10*D10+E10*F10)*G10*H10/1000*1.1,2)</f>
        <v>0</v>
      </c>
      <c r="J10" s="19"/>
      <c r="K10" s="20"/>
      <c r="L10" s="12"/>
      <c r="M10" s="22">
        <f t="shared" si="0"/>
        <v>0</v>
      </c>
    </row>
    <row r="11" spans="1:16" ht="18" customHeight="1" thickBot="1">
      <c r="B11" s="441" t="s">
        <v>32</v>
      </c>
      <c r="C11" s="440"/>
      <c r="D11" s="440"/>
      <c r="E11" s="440"/>
      <c r="F11" s="440"/>
      <c r="G11" s="28">
        <v>2.9950000000000001</v>
      </c>
      <c r="H11" s="32">
        <f>H10</f>
        <v>0</v>
      </c>
      <c r="I11" s="30">
        <f>ROUND((C11*D11+E11*F11)*G11*H11/1000*1.1,2)</f>
        <v>0</v>
      </c>
      <c r="J11" s="33"/>
      <c r="K11" s="34"/>
      <c r="L11" s="35"/>
      <c r="M11" s="36">
        <f t="shared" si="0"/>
        <v>0</v>
      </c>
    </row>
    <row r="12" spans="1:16" ht="18" customHeight="1">
      <c r="B12" s="37" t="s">
        <v>33</v>
      </c>
      <c r="C12" s="38" t="e">
        <f>((I9+I10+I8+I11)/H8)/F4</f>
        <v>#DIV/0!</v>
      </c>
      <c r="D12" s="39" t="s">
        <v>34</v>
      </c>
      <c r="E12" s="38">
        <f>(I9+I10+I8+I11)/F4</f>
        <v>0</v>
      </c>
      <c r="F12" s="40" t="s">
        <v>35</v>
      </c>
      <c r="G12" s="39"/>
      <c r="H12" s="39" t="e">
        <f>ROUND(SUM(I8:I11)/H8,2)</f>
        <v>#DIV/0!</v>
      </c>
      <c r="I12" s="41">
        <f>SUM(I8:I11)</f>
        <v>0</v>
      </c>
      <c r="J12" s="42"/>
    </row>
    <row r="13" spans="1:16" ht="18" customHeight="1">
      <c r="B13" s="23" t="s">
        <v>36</v>
      </c>
      <c r="C13" s="442" t="s">
        <v>14</v>
      </c>
      <c r="D13" s="442" t="s">
        <v>37</v>
      </c>
      <c r="E13" s="442" t="s">
        <v>38</v>
      </c>
      <c r="F13" s="442" t="s">
        <v>39</v>
      </c>
      <c r="G13" s="442" t="s">
        <v>8</v>
      </c>
      <c r="H13" s="442" t="s">
        <v>22</v>
      </c>
      <c r="I13" s="25" t="s">
        <v>40</v>
      </c>
    </row>
    <row r="14" spans="1:16" ht="18" customHeight="1">
      <c r="B14" s="648" t="s">
        <v>41</v>
      </c>
      <c r="C14" s="649" t="s">
        <v>404</v>
      </c>
      <c r="D14" s="440"/>
      <c r="E14" s="440"/>
      <c r="F14" s="44">
        <f>ROUND((D14+E14)*2/1000,4)</f>
        <v>0</v>
      </c>
      <c r="G14" s="440"/>
      <c r="H14" s="440">
        <v>1.47</v>
      </c>
      <c r="I14" s="284">
        <f>ROUND(F14*G14*H14,3)*1.5</f>
        <v>0</v>
      </c>
      <c r="J14" s="42"/>
      <c r="K14" s="46"/>
      <c r="L14" s="46"/>
      <c r="M14" s="42"/>
    </row>
    <row r="15" spans="1:16" ht="18" customHeight="1">
      <c r="B15" s="648"/>
      <c r="C15" s="650"/>
      <c r="D15" s="440"/>
      <c r="E15" s="440"/>
      <c r="F15" s="44">
        <f t="shared" ref="F15:F21" si="1">ROUND((D15+E15)*2/1000,4)</f>
        <v>0</v>
      </c>
      <c r="G15" s="440"/>
      <c r="H15" s="440">
        <f t="shared" ref="H15:H21" si="2">H14</f>
        <v>1.47</v>
      </c>
      <c r="I15" s="437">
        <f t="shared" ref="I15:I21" si="3">ROUND(F15*G15*H15,3)</f>
        <v>0</v>
      </c>
      <c r="K15" s="47"/>
      <c r="M15" s="255"/>
    </row>
    <row r="16" spans="1:16" ht="18" customHeight="1">
      <c r="B16" s="648"/>
      <c r="C16" s="650"/>
      <c r="D16" s="440"/>
      <c r="E16" s="440"/>
      <c r="F16" s="44">
        <f t="shared" si="1"/>
        <v>0</v>
      </c>
      <c r="G16" s="440"/>
      <c r="H16" s="440">
        <f t="shared" si="2"/>
        <v>1.47</v>
      </c>
      <c r="I16" s="437">
        <f t="shared" si="3"/>
        <v>0</v>
      </c>
      <c r="K16" s="47"/>
      <c r="L16" s="46"/>
      <c r="M16" s="42"/>
    </row>
    <row r="17" spans="2:15" ht="18" customHeight="1">
      <c r="B17" s="648"/>
      <c r="C17" s="650"/>
      <c r="D17" s="440"/>
      <c r="E17" s="440"/>
      <c r="F17" s="44">
        <f t="shared" si="1"/>
        <v>0</v>
      </c>
      <c r="G17" s="440"/>
      <c r="H17" s="440">
        <f t="shared" si="2"/>
        <v>1.47</v>
      </c>
      <c r="I17" s="437">
        <f t="shared" si="3"/>
        <v>0</v>
      </c>
      <c r="K17" s="47"/>
      <c r="M17" s="42"/>
    </row>
    <row r="18" spans="2:15" ht="18" customHeight="1">
      <c r="B18" s="648"/>
      <c r="C18" s="650"/>
      <c r="D18" s="440"/>
      <c r="E18" s="440"/>
      <c r="F18" s="44">
        <f t="shared" si="1"/>
        <v>0</v>
      </c>
      <c r="G18" s="440"/>
      <c r="H18" s="440">
        <f t="shared" si="2"/>
        <v>1.47</v>
      </c>
      <c r="I18" s="437">
        <f t="shared" si="3"/>
        <v>0</v>
      </c>
      <c r="M18" s="42"/>
    </row>
    <row r="19" spans="2:15" ht="18" customHeight="1">
      <c r="B19" s="648"/>
      <c r="C19" s="650"/>
      <c r="D19" s="440"/>
      <c r="E19" s="440"/>
      <c r="F19" s="44">
        <f t="shared" si="1"/>
        <v>0</v>
      </c>
      <c r="G19" s="440"/>
      <c r="H19" s="440">
        <f t="shared" si="2"/>
        <v>1.47</v>
      </c>
      <c r="I19" s="437">
        <f t="shared" si="3"/>
        <v>0</v>
      </c>
      <c r="M19" s="42"/>
    </row>
    <row r="20" spans="2:15" ht="18" customHeight="1">
      <c r="B20" s="648"/>
      <c r="C20" s="650"/>
      <c r="D20" s="440"/>
      <c r="E20" s="440"/>
      <c r="F20" s="44">
        <f t="shared" si="1"/>
        <v>0</v>
      </c>
      <c r="G20" s="440"/>
      <c r="H20" s="440">
        <f t="shared" si="2"/>
        <v>1.47</v>
      </c>
      <c r="I20" s="437">
        <f t="shared" si="3"/>
        <v>0</v>
      </c>
      <c r="K20" s="47"/>
      <c r="M20" s="42"/>
    </row>
    <row r="21" spans="2:15" ht="18" customHeight="1">
      <c r="B21" s="648"/>
      <c r="C21" s="651"/>
      <c r="D21" s="440"/>
      <c r="E21" s="440"/>
      <c r="F21" s="44">
        <f t="shared" si="1"/>
        <v>0</v>
      </c>
      <c r="G21" s="440"/>
      <c r="H21" s="440">
        <f t="shared" si="2"/>
        <v>1.47</v>
      </c>
      <c r="I21" s="437">
        <f t="shared" si="3"/>
        <v>0</v>
      </c>
    </row>
    <row r="22" spans="2:15" ht="18" customHeight="1">
      <c r="B22" s="48" t="s">
        <v>42</v>
      </c>
      <c r="C22" s="49">
        <f>SUMPRODUCT(F14:F21*G14:G21)</f>
        <v>0</v>
      </c>
      <c r="D22" s="50" t="s">
        <v>43</v>
      </c>
      <c r="E22" s="49">
        <f>SUM(I14:I21)*1.1</f>
        <v>0</v>
      </c>
      <c r="F22" s="50" t="s">
        <v>44</v>
      </c>
      <c r="G22" s="51">
        <f>(C$218+C$219)/1000</f>
        <v>46.081499999999998</v>
      </c>
      <c r="H22" s="52" t="s">
        <v>45</v>
      </c>
      <c r="I22" s="53">
        <f>ROUND(E22*G22,2)</f>
        <v>0</v>
      </c>
      <c r="J22" s="243">
        <f>SUM(G14:G21)</f>
        <v>0</v>
      </c>
    </row>
    <row r="23" spans="2:15" ht="18" customHeight="1">
      <c r="B23" s="48" t="s">
        <v>46</v>
      </c>
      <c r="C23" s="50">
        <v>207.36</v>
      </c>
      <c r="D23" s="50" t="s">
        <v>47</v>
      </c>
      <c r="E23" s="49">
        <f>ROUND(C22*(C23/1000),2)</f>
        <v>0</v>
      </c>
      <c r="F23" s="50" t="s">
        <v>48</v>
      </c>
      <c r="G23" s="50">
        <v>10</v>
      </c>
      <c r="H23" s="52" t="s">
        <v>49</v>
      </c>
      <c r="I23" s="53">
        <f>E23*G23</f>
        <v>0</v>
      </c>
    </row>
    <row r="24" spans="2:15" ht="18" customHeight="1" thickBot="1">
      <c r="B24" s="48" t="s">
        <v>50</v>
      </c>
      <c r="C24" s="50">
        <v>169.96</v>
      </c>
      <c r="D24" s="50" t="s">
        <v>51</v>
      </c>
      <c r="E24" s="49">
        <f>ROUND(C22*(C24/1000),2)</f>
        <v>0</v>
      </c>
      <c r="F24" s="50" t="s">
        <v>48</v>
      </c>
      <c r="G24" s="50">
        <v>10</v>
      </c>
      <c r="H24" s="52" t="s">
        <v>49</v>
      </c>
      <c r="I24" s="53">
        <f>E24*G24</f>
        <v>0</v>
      </c>
    </row>
    <row r="25" spans="2:15" ht="18" customHeight="1">
      <c r="B25" s="23" t="s">
        <v>36</v>
      </c>
      <c r="C25" s="442" t="s">
        <v>14</v>
      </c>
      <c r="D25" s="442" t="s">
        <v>37</v>
      </c>
      <c r="E25" s="442" t="s">
        <v>38</v>
      </c>
      <c r="F25" s="442" t="s">
        <v>39</v>
      </c>
      <c r="G25" s="442" t="s">
        <v>8</v>
      </c>
      <c r="H25" s="442" t="s">
        <v>22</v>
      </c>
      <c r="I25" s="25" t="s">
        <v>40</v>
      </c>
      <c r="J25" s="54" t="s">
        <v>2</v>
      </c>
      <c r="K25" s="55" t="s">
        <v>3</v>
      </c>
      <c r="L25" s="55" t="s">
        <v>52</v>
      </c>
      <c r="M25" s="55" t="s">
        <v>53</v>
      </c>
      <c r="N25" s="56" t="s">
        <v>14</v>
      </c>
    </row>
    <row r="26" spans="2:15" ht="18" customHeight="1">
      <c r="B26" s="648" t="s">
        <v>54</v>
      </c>
      <c r="C26" s="649" t="s">
        <v>55</v>
      </c>
      <c r="D26" s="443">
        <f>J26-IF(L26=1,44,IF(L26=2,30,IF(L26=3,16,0)))</f>
        <v>0</v>
      </c>
      <c r="E26" s="443">
        <f>K26-IF(M26=1,44,IF(M26=2,30,IF(M26=3,16,0)))</f>
        <v>0</v>
      </c>
      <c r="F26" s="44">
        <f>ROUND((D26+E26)*2/1000,4)</f>
        <v>0</v>
      </c>
      <c r="G26" s="440"/>
      <c r="H26" s="58">
        <v>1.62</v>
      </c>
      <c r="I26" s="59">
        <f>IF(AND(D26&gt;0,E26&gt;0,F26&gt;0),F26*G26*H26,0)</f>
        <v>0</v>
      </c>
      <c r="J26" s="60"/>
      <c r="K26" s="61"/>
      <c r="L26" s="61"/>
      <c r="M26" s="61"/>
      <c r="N26" s="62" t="s">
        <v>56</v>
      </c>
      <c r="O26" s="63" t="s">
        <v>57</v>
      </c>
    </row>
    <row r="27" spans="2:15" ht="18" customHeight="1">
      <c r="B27" s="648"/>
      <c r="C27" s="650"/>
      <c r="D27" s="443">
        <f t="shared" ref="D27:E30" si="4">J27-IF(L27=1,44,IF(L27=2,30,IF(L27=3,16,0)))</f>
        <v>0</v>
      </c>
      <c r="E27" s="443">
        <f t="shared" si="4"/>
        <v>0</v>
      </c>
      <c r="F27" s="44">
        <f>ROUND((D27+E27)*2/1000,4)</f>
        <v>0</v>
      </c>
      <c r="G27" s="440"/>
      <c r="H27" s="58">
        <f>H26</f>
        <v>1.62</v>
      </c>
      <c r="I27" s="59">
        <f>IF(AND(D27&gt;0,E27&gt;0,F27&gt;0),F27*G27*H27,0)</f>
        <v>0</v>
      </c>
      <c r="J27" s="60"/>
      <c r="K27" s="61"/>
      <c r="L27" s="61"/>
      <c r="M27" s="61"/>
      <c r="N27" s="62" t="s">
        <v>58</v>
      </c>
      <c r="O27" s="63" t="s">
        <v>59</v>
      </c>
    </row>
    <row r="28" spans="2:15" ht="18" customHeight="1">
      <c r="B28" s="648"/>
      <c r="C28" s="650"/>
      <c r="D28" s="443">
        <f t="shared" si="4"/>
        <v>0</v>
      </c>
      <c r="E28" s="443">
        <f t="shared" si="4"/>
        <v>0</v>
      </c>
      <c r="F28" s="44">
        <f>ROUND((D28+E28)*2/1000,4)</f>
        <v>0</v>
      </c>
      <c r="G28" s="440"/>
      <c r="H28" s="58">
        <f>H27</f>
        <v>1.62</v>
      </c>
      <c r="I28" s="59">
        <f>IF(AND(D28&gt;0,E28&gt;0,F28&gt;0),F28*G28*H28,0)</f>
        <v>0</v>
      </c>
      <c r="J28" s="60"/>
      <c r="K28" s="61"/>
      <c r="L28" s="61"/>
      <c r="M28" s="61"/>
      <c r="N28" s="62" t="s">
        <v>60</v>
      </c>
      <c r="O28" s="63" t="s">
        <v>59</v>
      </c>
    </row>
    <row r="29" spans="2:15" ht="18" customHeight="1">
      <c r="B29" s="648"/>
      <c r="C29" s="650"/>
      <c r="D29" s="443">
        <f t="shared" si="4"/>
        <v>0</v>
      </c>
      <c r="E29" s="443">
        <f t="shared" si="4"/>
        <v>0</v>
      </c>
      <c r="F29" s="44">
        <f>ROUND((D29+E29)*2/1000,4)</f>
        <v>0</v>
      </c>
      <c r="G29" s="440"/>
      <c r="H29" s="58">
        <f>H28</f>
        <v>1.62</v>
      </c>
      <c r="I29" s="59">
        <f>IF(AND(D29&gt;0,E29&gt;0,F29&gt;0),F29*G29*H29,0)</f>
        <v>0</v>
      </c>
      <c r="J29" s="60"/>
      <c r="K29" s="61"/>
      <c r="L29" s="61"/>
      <c r="M29" s="61"/>
      <c r="N29" s="62"/>
    </row>
    <row r="30" spans="2:15" ht="18" customHeight="1" thickBot="1">
      <c r="B30" s="648"/>
      <c r="C30" s="651"/>
      <c r="D30" s="443">
        <f t="shared" si="4"/>
        <v>0</v>
      </c>
      <c r="E30" s="443">
        <f t="shared" si="4"/>
        <v>0</v>
      </c>
      <c r="F30" s="44">
        <f>ROUND((D30+E30)*2/1000,4)</f>
        <v>0</v>
      </c>
      <c r="G30" s="440"/>
      <c r="H30" s="58">
        <f>H29</f>
        <v>1.62</v>
      </c>
      <c r="I30" s="59">
        <f>IF(AND(D30&gt;0,E30&gt;0,F30&gt;0),F30*G30*H30,0)</f>
        <v>0</v>
      </c>
      <c r="J30" s="64"/>
      <c r="K30" s="65"/>
      <c r="L30" s="65"/>
      <c r="M30" s="65"/>
      <c r="N30" s="66"/>
    </row>
    <row r="31" spans="2:15" ht="18" customHeight="1">
      <c r="B31" s="48" t="s">
        <v>42</v>
      </c>
      <c r="C31" s="49">
        <f>SUMPRODUCT(F26:F30*G26:G30)</f>
        <v>0</v>
      </c>
      <c r="D31" s="50" t="s">
        <v>43</v>
      </c>
      <c r="E31" s="49">
        <f>SUM(I26:I30)*1.1</f>
        <v>0</v>
      </c>
      <c r="F31" s="50" t="s">
        <v>44</v>
      </c>
      <c r="G31" s="51">
        <f>(C$218+C$221)/1000</f>
        <v>46.081499999999998</v>
      </c>
      <c r="H31" s="52" t="s">
        <v>45</v>
      </c>
      <c r="I31" s="53">
        <f>ROUND(E31*G31,2)</f>
        <v>0</v>
      </c>
      <c r="J31" s="243">
        <f>SUM(G26:G30)</f>
        <v>0</v>
      </c>
    </row>
    <row r="32" spans="2:15" ht="18" customHeight="1">
      <c r="B32" s="48" t="s">
        <v>46</v>
      </c>
      <c r="C32" s="50">
        <v>183.32</v>
      </c>
      <c r="D32" s="50" t="s">
        <v>47</v>
      </c>
      <c r="E32" s="49">
        <f>ROUND(C31*(C32/1000),2)</f>
        <v>0</v>
      </c>
      <c r="F32" s="50" t="s">
        <v>48</v>
      </c>
      <c r="G32" s="50">
        <f>G$23</f>
        <v>10</v>
      </c>
      <c r="H32" s="52" t="s">
        <v>49</v>
      </c>
      <c r="I32" s="53">
        <f>E32*G32</f>
        <v>0</v>
      </c>
    </row>
    <row r="33" spans="2:14" ht="18" customHeight="1" thickBot="1">
      <c r="B33" s="48" t="s">
        <v>50</v>
      </c>
      <c r="C33" s="50">
        <v>257.82</v>
      </c>
      <c r="D33" s="50" t="s">
        <v>51</v>
      </c>
      <c r="E33" s="49">
        <f>ROUND(C31*(C33/1000),2)</f>
        <v>0</v>
      </c>
      <c r="F33" s="50" t="s">
        <v>48</v>
      </c>
      <c r="G33" s="50">
        <f>G$24</f>
        <v>10</v>
      </c>
      <c r="H33" s="52" t="s">
        <v>49</v>
      </c>
      <c r="I33" s="53">
        <f>E33*G33</f>
        <v>0</v>
      </c>
    </row>
    <row r="34" spans="2:14" ht="18" customHeight="1" thickBot="1">
      <c r="B34" s="67" t="s">
        <v>36</v>
      </c>
      <c r="C34" s="68" t="s">
        <v>14</v>
      </c>
      <c r="D34" s="68" t="s">
        <v>37</v>
      </c>
      <c r="E34" s="68" t="s">
        <v>38</v>
      </c>
      <c r="F34" s="68" t="s">
        <v>39</v>
      </c>
      <c r="G34" s="68" t="s">
        <v>8</v>
      </c>
      <c r="H34" s="68" t="s">
        <v>22</v>
      </c>
      <c r="I34" s="69" t="s">
        <v>40</v>
      </c>
      <c r="J34" s="54" t="s">
        <v>2</v>
      </c>
      <c r="K34" s="55" t="s">
        <v>3</v>
      </c>
      <c r="L34" s="55" t="s">
        <v>61</v>
      </c>
      <c r="M34" s="55" t="s">
        <v>62</v>
      </c>
      <c r="N34" s="70" t="s">
        <v>14</v>
      </c>
    </row>
    <row r="35" spans="2:14" ht="18" customHeight="1">
      <c r="B35" s="648" t="s">
        <v>63</v>
      </c>
      <c r="C35" s="649" t="s">
        <v>64</v>
      </c>
      <c r="D35" s="443">
        <f t="shared" ref="D35:E37" si="5">J35-IF(L35=1,44,IF(L35=2,30,IF(L35=3,16,IF(L35=11,118,IF(L35=12,100,IF(L35=13,76.8,0))))))</f>
        <v>0</v>
      </c>
      <c r="E35" s="443">
        <f t="shared" si="5"/>
        <v>0</v>
      </c>
      <c r="F35" s="440">
        <f>ROUND((D35+E35)*2/1000,4)</f>
        <v>0</v>
      </c>
      <c r="G35" s="440"/>
      <c r="H35" s="58">
        <v>1.8140000000000001</v>
      </c>
      <c r="I35" s="59">
        <f>ROUND(F35*G35*H35,3)</f>
        <v>0</v>
      </c>
      <c r="J35" s="60"/>
      <c r="K35" s="61"/>
      <c r="L35" s="61"/>
      <c r="M35" s="61"/>
      <c r="N35" s="71" t="s">
        <v>56</v>
      </c>
    </row>
    <row r="36" spans="2:14" ht="18" customHeight="1">
      <c r="B36" s="660"/>
      <c r="C36" s="650"/>
      <c r="D36" s="443">
        <f t="shared" si="5"/>
        <v>0</v>
      </c>
      <c r="E36" s="443">
        <f t="shared" si="5"/>
        <v>0</v>
      </c>
      <c r="F36" s="440">
        <f>ROUND((D36+E36)*2/1000,4)</f>
        <v>0</v>
      </c>
      <c r="G36" s="440"/>
      <c r="H36" s="58">
        <f>H35</f>
        <v>1.8140000000000001</v>
      </c>
      <c r="I36" s="59">
        <f>ROUND(F36*G36*H36,3)</f>
        <v>0</v>
      </c>
      <c r="J36" s="60"/>
      <c r="K36" s="61"/>
      <c r="L36" s="61"/>
      <c r="M36" s="61"/>
      <c r="N36" s="72" t="s">
        <v>58</v>
      </c>
    </row>
    <row r="37" spans="2:14" ht="18" customHeight="1">
      <c r="B37" s="660"/>
      <c r="C37" s="651"/>
      <c r="D37" s="443">
        <f t="shared" si="5"/>
        <v>0</v>
      </c>
      <c r="E37" s="443">
        <f t="shared" si="5"/>
        <v>0</v>
      </c>
      <c r="F37" s="440">
        <f>ROUND((D37+E37)*2/1000,4)</f>
        <v>0</v>
      </c>
      <c r="G37" s="440"/>
      <c r="H37" s="58">
        <f>H36</f>
        <v>1.8140000000000001</v>
      </c>
      <c r="I37" s="59">
        <f>ROUND(F37*G37*H37,3)</f>
        <v>0</v>
      </c>
      <c r="J37" s="60"/>
      <c r="K37" s="61"/>
      <c r="L37" s="61"/>
      <c r="M37" s="61"/>
      <c r="N37" s="72" t="s">
        <v>60</v>
      </c>
    </row>
    <row r="38" spans="2:14" ht="18" customHeight="1">
      <c r="B38" s="48" t="s">
        <v>42</v>
      </c>
      <c r="C38" s="49">
        <f>SUMPRODUCT(F35:F37*G35:G37)</f>
        <v>0</v>
      </c>
      <c r="D38" s="50" t="s">
        <v>43</v>
      </c>
      <c r="E38" s="49">
        <f>SUM(I35:I37)*1.1</f>
        <v>0</v>
      </c>
      <c r="F38" s="50" t="s">
        <v>44</v>
      </c>
      <c r="G38" s="51">
        <f>(C$218+C$219)/1000</f>
        <v>46.081499999999998</v>
      </c>
      <c r="H38" s="52" t="s">
        <v>45</v>
      </c>
      <c r="I38" s="53">
        <f>ROUND(E38*G38,2)</f>
        <v>0</v>
      </c>
      <c r="J38" s="243">
        <f>SUM(G35:G37)</f>
        <v>0</v>
      </c>
      <c r="K38" s="255"/>
      <c r="L38" s="255"/>
      <c r="M38" s="255"/>
      <c r="N38" s="73" t="s">
        <v>65</v>
      </c>
    </row>
    <row r="39" spans="2:14" ht="18" customHeight="1">
      <c r="B39" s="48" t="s">
        <v>46</v>
      </c>
      <c r="C39" s="50">
        <v>320.14</v>
      </c>
      <c r="D39" s="50" t="s">
        <v>47</v>
      </c>
      <c r="E39" s="49">
        <f>ROUND(C38*(C39/1000),2)</f>
        <v>0</v>
      </c>
      <c r="F39" s="50" t="s">
        <v>48</v>
      </c>
      <c r="G39" s="50">
        <f>G$23</f>
        <v>10</v>
      </c>
      <c r="H39" s="52" t="s">
        <v>49</v>
      </c>
      <c r="I39" s="53">
        <f>E39*G39</f>
        <v>0</v>
      </c>
      <c r="J39" s="255"/>
      <c r="K39" s="255"/>
      <c r="L39" s="255"/>
      <c r="M39" s="255"/>
      <c r="N39" s="73" t="s">
        <v>66</v>
      </c>
    </row>
    <row r="40" spans="2:14" ht="18" customHeight="1" thickBot="1">
      <c r="B40" s="48" t="s">
        <v>50</v>
      </c>
      <c r="C40" s="50">
        <v>156.99</v>
      </c>
      <c r="D40" s="50" t="s">
        <v>51</v>
      </c>
      <c r="E40" s="49">
        <f>ROUND(C38*(C40/1000),2)</f>
        <v>0</v>
      </c>
      <c r="F40" s="50" t="s">
        <v>48</v>
      </c>
      <c r="G40" s="50">
        <f>G$24</f>
        <v>10</v>
      </c>
      <c r="H40" s="52" t="s">
        <v>49</v>
      </c>
      <c r="I40" s="53">
        <f>E40*G40</f>
        <v>0</v>
      </c>
      <c r="J40" s="255"/>
      <c r="K40" s="255"/>
      <c r="L40" s="255"/>
      <c r="M40" s="255"/>
      <c r="N40" s="74" t="s">
        <v>67</v>
      </c>
    </row>
    <row r="41" spans="2:14" ht="18" customHeight="1" thickBot="1">
      <c r="B41" s="23" t="s">
        <v>36</v>
      </c>
      <c r="C41" s="442" t="s">
        <v>14</v>
      </c>
      <c r="D41" s="442" t="s">
        <v>37</v>
      </c>
      <c r="E41" s="442" t="s">
        <v>38</v>
      </c>
      <c r="F41" s="442" t="s">
        <v>39</v>
      </c>
      <c r="G41" s="442" t="s">
        <v>8</v>
      </c>
      <c r="H41" s="442" t="s">
        <v>22</v>
      </c>
      <c r="I41" s="25" t="s">
        <v>40</v>
      </c>
      <c r="J41" s="54" t="s">
        <v>2</v>
      </c>
      <c r="K41" s="55" t="s">
        <v>3</v>
      </c>
      <c r="L41" s="55" t="s">
        <v>61</v>
      </c>
      <c r="M41" s="55" t="s">
        <v>62</v>
      </c>
      <c r="N41" s="70" t="s">
        <v>14</v>
      </c>
    </row>
    <row r="42" spans="2:14" ht="18" customHeight="1">
      <c r="B42" s="648" t="s">
        <v>68</v>
      </c>
      <c r="C42" s="649" t="s">
        <v>69</v>
      </c>
      <c r="D42" s="443">
        <f>J42-IF(L42=1,46,IF(L42=2,34.5,IF(L42=3,23)))</f>
        <v>0</v>
      </c>
      <c r="E42" s="443">
        <f>K42-IF(M42=1,46,IF(M42=2,34.5,IF(M42=3,23)))</f>
        <v>0</v>
      </c>
      <c r="F42" s="440">
        <f t="shared" ref="F42:F47" si="6">ROUND((D42+E42)*2/1000,4)</f>
        <v>0</v>
      </c>
      <c r="G42" s="440"/>
      <c r="H42" s="440">
        <v>1.26</v>
      </c>
      <c r="I42" s="59">
        <f t="shared" ref="I42:I47" si="7">ROUND(F42*G42*H42,3)</f>
        <v>0</v>
      </c>
      <c r="J42" s="60"/>
      <c r="K42" s="61"/>
      <c r="L42" s="61"/>
      <c r="M42" s="61"/>
      <c r="N42" s="71" t="s">
        <v>56</v>
      </c>
    </row>
    <row r="43" spans="2:14" ht="18" customHeight="1">
      <c r="B43" s="648"/>
      <c r="C43" s="650"/>
      <c r="D43" s="443">
        <f t="shared" ref="D43:E47" si="8">J43-IF(L43=1,46,IF(L43=2,34.5,IF(L43=3,23)))</f>
        <v>0</v>
      </c>
      <c r="E43" s="443">
        <f t="shared" si="8"/>
        <v>0</v>
      </c>
      <c r="F43" s="440">
        <f t="shared" si="6"/>
        <v>0</v>
      </c>
      <c r="G43" s="440"/>
      <c r="H43" s="440">
        <f>H42</f>
        <v>1.26</v>
      </c>
      <c r="I43" s="59">
        <f t="shared" si="7"/>
        <v>0</v>
      </c>
      <c r="J43" s="60"/>
      <c r="K43" s="61"/>
      <c r="L43" s="61"/>
      <c r="M43" s="61"/>
      <c r="N43" s="72" t="s">
        <v>58</v>
      </c>
    </row>
    <row r="44" spans="2:14" ht="18" customHeight="1">
      <c r="B44" s="648"/>
      <c r="C44" s="651"/>
      <c r="D44" s="443">
        <f t="shared" si="8"/>
        <v>0</v>
      </c>
      <c r="E44" s="443">
        <f t="shared" si="8"/>
        <v>0</v>
      </c>
      <c r="F44" s="440">
        <f t="shared" si="6"/>
        <v>0</v>
      </c>
      <c r="G44" s="440"/>
      <c r="H44" s="440">
        <f>H43</f>
        <v>1.26</v>
      </c>
      <c r="I44" s="59">
        <f t="shared" si="7"/>
        <v>0</v>
      </c>
      <c r="J44" s="60"/>
      <c r="K44" s="61"/>
      <c r="L44" s="61"/>
      <c r="M44" s="61"/>
      <c r="N44" s="72" t="s">
        <v>60</v>
      </c>
    </row>
    <row r="45" spans="2:14" ht="18" customHeight="1">
      <c r="B45" s="648"/>
      <c r="C45" s="649" t="s">
        <v>70</v>
      </c>
      <c r="D45" s="443">
        <f t="shared" si="8"/>
        <v>0</v>
      </c>
      <c r="E45" s="443">
        <f t="shared" si="8"/>
        <v>0</v>
      </c>
      <c r="F45" s="440">
        <f t="shared" si="6"/>
        <v>0</v>
      </c>
      <c r="G45" s="440"/>
      <c r="H45" s="440">
        <f>H44</f>
        <v>1.26</v>
      </c>
      <c r="I45" s="59">
        <f t="shared" si="7"/>
        <v>0</v>
      </c>
      <c r="J45" s="60"/>
      <c r="K45" s="61"/>
      <c r="L45" s="61"/>
      <c r="M45" s="61"/>
      <c r="N45" s="71" t="s">
        <v>56</v>
      </c>
    </row>
    <row r="46" spans="2:14" ht="18" customHeight="1">
      <c r="B46" s="648"/>
      <c r="C46" s="650"/>
      <c r="D46" s="443">
        <f t="shared" si="8"/>
        <v>0</v>
      </c>
      <c r="E46" s="443">
        <f t="shared" si="8"/>
        <v>0</v>
      </c>
      <c r="F46" s="440">
        <f t="shared" si="6"/>
        <v>0</v>
      </c>
      <c r="G46" s="440"/>
      <c r="H46" s="440">
        <f>H45</f>
        <v>1.26</v>
      </c>
      <c r="I46" s="59">
        <f t="shared" si="7"/>
        <v>0</v>
      </c>
      <c r="J46" s="60"/>
      <c r="K46" s="61"/>
      <c r="L46" s="61"/>
      <c r="M46" s="61"/>
      <c r="N46" s="72" t="s">
        <v>58</v>
      </c>
    </row>
    <row r="47" spans="2:14" ht="18" customHeight="1" thickBot="1">
      <c r="B47" s="648"/>
      <c r="C47" s="651"/>
      <c r="D47" s="443">
        <f t="shared" si="8"/>
        <v>0</v>
      </c>
      <c r="E47" s="443">
        <f t="shared" si="8"/>
        <v>0</v>
      </c>
      <c r="F47" s="440">
        <f t="shared" si="6"/>
        <v>0</v>
      </c>
      <c r="G47" s="440"/>
      <c r="H47" s="440">
        <f>H46</f>
        <v>1.26</v>
      </c>
      <c r="I47" s="59">
        <f t="shared" si="7"/>
        <v>0</v>
      </c>
      <c r="J47" s="64"/>
      <c r="K47" s="65"/>
      <c r="L47" s="65"/>
      <c r="M47" s="65"/>
      <c r="N47" s="75" t="s">
        <v>60</v>
      </c>
    </row>
    <row r="48" spans="2:14" ht="18" customHeight="1">
      <c r="B48" s="48" t="s">
        <v>42</v>
      </c>
      <c r="C48" s="49">
        <f>SUMPRODUCT(F42:F47*G42:G47)</f>
        <v>0</v>
      </c>
      <c r="D48" s="50" t="s">
        <v>43</v>
      </c>
      <c r="E48" s="49">
        <f>SUM(I42:I47)*1.1</f>
        <v>0</v>
      </c>
      <c r="F48" s="50" t="s">
        <v>44</v>
      </c>
      <c r="G48" s="51">
        <f>(C$218+C$219)/1000</f>
        <v>46.081499999999998</v>
      </c>
      <c r="H48" s="52" t="s">
        <v>45</v>
      </c>
      <c r="I48" s="53">
        <f>ROUND(E48*G48,2)</f>
        <v>0</v>
      </c>
      <c r="J48" s="243">
        <f>SUM(G42:G47)</f>
        <v>0</v>
      </c>
      <c r="K48" s="255"/>
      <c r="L48" s="255"/>
      <c r="M48" s="255"/>
    </row>
    <row r="49" spans="2:14" ht="18" customHeight="1">
      <c r="B49" s="48" t="s">
        <v>46</v>
      </c>
      <c r="C49" s="50">
        <v>132.47999999999999</v>
      </c>
      <c r="D49" s="50" t="s">
        <v>47</v>
      </c>
      <c r="E49" s="49">
        <f>ROUND(C48*(C49/1000),2)</f>
        <v>0</v>
      </c>
      <c r="F49" s="50" t="s">
        <v>48</v>
      </c>
      <c r="G49" s="50">
        <f>G$23</f>
        <v>10</v>
      </c>
      <c r="H49" s="52" t="s">
        <v>49</v>
      </c>
      <c r="I49" s="53">
        <f>E49*G49</f>
        <v>0</v>
      </c>
      <c r="J49" s="255"/>
      <c r="K49" s="255"/>
      <c r="L49" s="255"/>
      <c r="M49" s="255"/>
    </row>
    <row r="50" spans="2:14" ht="18" customHeight="1" thickBot="1">
      <c r="B50" s="48" t="s">
        <v>50</v>
      </c>
      <c r="C50" s="50">
        <v>202.06</v>
      </c>
      <c r="D50" s="50" t="s">
        <v>51</v>
      </c>
      <c r="E50" s="49">
        <f>ROUND(C48*(C50/1000),2)</f>
        <v>0</v>
      </c>
      <c r="F50" s="50" t="s">
        <v>48</v>
      </c>
      <c r="G50" s="50">
        <f>G$24</f>
        <v>10</v>
      </c>
      <c r="H50" s="52" t="s">
        <v>49</v>
      </c>
      <c r="I50" s="53">
        <f>E50*G50</f>
        <v>0</v>
      </c>
      <c r="J50" s="255"/>
    </row>
    <row r="51" spans="2:14" ht="18" customHeight="1" thickBot="1">
      <c r="B51" s="23" t="s">
        <v>36</v>
      </c>
      <c r="C51" s="442" t="s">
        <v>14</v>
      </c>
      <c r="D51" s="442" t="s">
        <v>37</v>
      </c>
      <c r="E51" s="442" t="s">
        <v>71</v>
      </c>
      <c r="F51" s="442" t="s">
        <v>38</v>
      </c>
      <c r="G51" s="442" t="s">
        <v>72</v>
      </c>
      <c r="H51" s="442" t="s">
        <v>22</v>
      </c>
      <c r="I51" s="25" t="s">
        <v>40</v>
      </c>
      <c r="J51" s="54" t="s">
        <v>2</v>
      </c>
      <c r="K51" s="55" t="s">
        <v>3</v>
      </c>
      <c r="L51" s="55" t="s">
        <v>61</v>
      </c>
      <c r="M51" s="55" t="s">
        <v>62</v>
      </c>
      <c r="N51" s="70" t="s">
        <v>14</v>
      </c>
    </row>
    <row r="52" spans="2:14" ht="18" customHeight="1">
      <c r="B52" s="648" t="s">
        <v>73</v>
      </c>
      <c r="C52" s="649" t="s">
        <v>405</v>
      </c>
      <c r="D52" s="443">
        <f>J52-IF(L52=1,46,IF(L52=2,32,IF(L52=3,18,0)))</f>
        <v>0</v>
      </c>
      <c r="E52" s="443"/>
      <c r="F52" s="443">
        <f>K52-IF(M52=1,46,IF(M52=2,32,IF(M52=3,118,0)))</f>
        <v>0</v>
      </c>
      <c r="G52" s="440"/>
      <c r="H52" s="440">
        <v>1.6379999999999999</v>
      </c>
      <c r="I52" s="59">
        <f>ROUND((D52*E52+F52*G52)/1000*H52,3)</f>
        <v>0</v>
      </c>
      <c r="J52" s="60"/>
      <c r="K52" s="61"/>
      <c r="L52" s="61"/>
      <c r="M52" s="61"/>
      <c r="N52" s="76" t="s">
        <v>56</v>
      </c>
    </row>
    <row r="53" spans="2:14" ht="18" customHeight="1">
      <c r="B53" s="648"/>
      <c r="C53" s="650"/>
      <c r="D53" s="443">
        <f t="shared" ref="D53:D55" si="9">J53-IF(L53=1,46,IF(L53=2,32,IF(L53=3,18,0)))</f>
        <v>0</v>
      </c>
      <c r="E53" s="443"/>
      <c r="F53" s="443">
        <f t="shared" ref="F53:F55" si="10">K53-IF(M53=1,46,IF(M53=2,32,IF(M53=3,118,0)))</f>
        <v>0</v>
      </c>
      <c r="G53" s="440"/>
      <c r="H53" s="440">
        <f>H52</f>
        <v>1.6379999999999999</v>
      </c>
      <c r="I53" s="59">
        <f>ROUND((D53*E53+F53*G53)/1000*H53,3)</f>
        <v>0</v>
      </c>
      <c r="J53" s="60"/>
      <c r="K53" s="61"/>
      <c r="L53" s="61"/>
      <c r="M53" s="61"/>
      <c r="N53" s="76" t="s">
        <v>58</v>
      </c>
    </row>
    <row r="54" spans="2:14" ht="18" customHeight="1">
      <c r="B54" s="648"/>
      <c r="C54" s="650"/>
      <c r="D54" s="443">
        <f t="shared" si="9"/>
        <v>0</v>
      </c>
      <c r="E54" s="443"/>
      <c r="F54" s="443">
        <f t="shared" si="10"/>
        <v>0</v>
      </c>
      <c r="G54" s="440"/>
      <c r="H54" s="440">
        <f>H53</f>
        <v>1.6379999999999999</v>
      </c>
      <c r="I54" s="59">
        <f>ROUND((D54*E54+F54*G54)/1000*H54,3)</f>
        <v>0</v>
      </c>
      <c r="J54" s="60"/>
      <c r="K54" s="61"/>
      <c r="L54" s="61"/>
      <c r="M54" s="61"/>
      <c r="N54" s="76" t="s">
        <v>60</v>
      </c>
    </row>
    <row r="55" spans="2:14" ht="18" customHeight="1" thickBot="1">
      <c r="B55" s="648"/>
      <c r="C55" s="651"/>
      <c r="D55" s="443">
        <f t="shared" si="9"/>
        <v>0</v>
      </c>
      <c r="E55" s="443"/>
      <c r="F55" s="443">
        <f t="shared" si="10"/>
        <v>0</v>
      </c>
      <c r="G55" s="440"/>
      <c r="H55" s="77">
        <f>H54</f>
        <v>1.6379999999999999</v>
      </c>
      <c r="I55" s="59">
        <f>ROUND((D55*E55+F55*G55)/1000*H55,3)</f>
        <v>0</v>
      </c>
      <c r="J55" s="78"/>
      <c r="K55" s="79"/>
      <c r="L55" s="79"/>
      <c r="M55" s="79"/>
      <c r="N55" s="80"/>
    </row>
    <row r="56" spans="2:14" ht="18" customHeight="1">
      <c r="B56" s="48" t="s">
        <v>42</v>
      </c>
      <c r="C56" s="49">
        <f>SUMPRODUCT(D52:D55*E52:E55+F52:F55*G52:G55)/1000</f>
        <v>0</v>
      </c>
      <c r="D56" s="50" t="s">
        <v>43</v>
      </c>
      <c r="E56" s="49">
        <f>SUM(I52:I55)*1.1</f>
        <v>0</v>
      </c>
      <c r="F56" s="50" t="s">
        <v>44</v>
      </c>
      <c r="G56" s="51">
        <f>(C$218+C$219)/1000</f>
        <v>46.081499999999998</v>
      </c>
      <c r="H56" s="52" t="s">
        <v>45</v>
      </c>
      <c r="I56" s="53">
        <f>ROUND(E56*G56,2)</f>
        <v>0</v>
      </c>
      <c r="J56" s="243">
        <f>SUM(E52:E55)+SUM(G52:G55)</f>
        <v>0</v>
      </c>
    </row>
    <row r="57" spans="2:14" ht="18" customHeight="1">
      <c r="B57" s="48" t="s">
        <v>46</v>
      </c>
      <c r="C57" s="50">
        <v>265.52999999999997</v>
      </c>
      <c r="D57" s="50" t="s">
        <v>47</v>
      </c>
      <c r="E57" s="49">
        <f>ROUND(C56*(C57/1000),2)</f>
        <v>0</v>
      </c>
      <c r="F57" s="50" t="s">
        <v>48</v>
      </c>
      <c r="G57" s="50">
        <f>G$23</f>
        <v>10</v>
      </c>
      <c r="H57" s="52" t="s">
        <v>49</v>
      </c>
      <c r="I57" s="53">
        <f>E57*G57</f>
        <v>0</v>
      </c>
      <c r="L57" s="47"/>
    </row>
    <row r="58" spans="2:14" ht="18" customHeight="1">
      <c r="B58" s="48" t="s">
        <v>50</v>
      </c>
      <c r="C58" s="50">
        <v>173.62</v>
      </c>
      <c r="D58" s="50" t="s">
        <v>51</v>
      </c>
      <c r="E58" s="49">
        <f>ROUND(C56*(C58/1000),2)</f>
        <v>0</v>
      </c>
      <c r="F58" s="50" t="s">
        <v>48</v>
      </c>
      <c r="G58" s="50">
        <f>G$24</f>
        <v>10</v>
      </c>
      <c r="H58" s="52" t="s">
        <v>49</v>
      </c>
      <c r="I58" s="53">
        <f>E58*G58</f>
        <v>0</v>
      </c>
      <c r="L58" s="47"/>
    </row>
    <row r="59" spans="2:14" ht="18" customHeight="1">
      <c r="B59" s="23" t="s">
        <v>36</v>
      </c>
      <c r="C59" s="442" t="s">
        <v>14</v>
      </c>
      <c r="D59" s="652" t="s">
        <v>74</v>
      </c>
      <c r="E59" s="652"/>
      <c r="F59" s="652"/>
      <c r="G59" s="442" t="s">
        <v>75</v>
      </c>
      <c r="H59" s="442" t="s">
        <v>22</v>
      </c>
      <c r="I59" s="25" t="s">
        <v>40</v>
      </c>
      <c r="L59" s="47"/>
    </row>
    <row r="60" spans="2:14" ht="18" customHeight="1">
      <c r="B60" s="648" t="s">
        <v>76</v>
      </c>
      <c r="C60" s="649" t="s">
        <v>77</v>
      </c>
      <c r="D60" s="646"/>
      <c r="E60" s="646"/>
      <c r="F60" s="646"/>
      <c r="G60" s="440"/>
      <c r="H60" s="440">
        <v>1.9339999999999999</v>
      </c>
      <c r="I60" s="59">
        <f>ROUND(D60*G60*H60/1000,3)</f>
        <v>0</v>
      </c>
      <c r="L60" s="47"/>
    </row>
    <row r="61" spans="2:14" ht="18" customHeight="1">
      <c r="B61" s="648"/>
      <c r="C61" s="651"/>
      <c r="D61" s="646"/>
      <c r="E61" s="646"/>
      <c r="F61" s="646"/>
      <c r="G61" s="440"/>
      <c r="H61" s="440">
        <v>1.9339999999999999</v>
      </c>
      <c r="I61" s="59">
        <f>ROUND(D61*G61*H61/1000,3)</f>
        <v>0</v>
      </c>
    </row>
    <row r="62" spans="2:14" ht="18" customHeight="1">
      <c r="B62" s="648"/>
      <c r="C62" s="649" t="s">
        <v>78</v>
      </c>
      <c r="D62" s="646"/>
      <c r="E62" s="646"/>
      <c r="F62" s="646"/>
      <c r="G62" s="440"/>
      <c r="H62" s="440">
        <v>2.3130000000000002</v>
      </c>
      <c r="I62" s="59">
        <f>ROUND(D62*G62*H62/1000,3)</f>
        <v>0</v>
      </c>
    </row>
    <row r="63" spans="2:14" ht="18" customHeight="1">
      <c r="B63" s="648"/>
      <c r="C63" s="651"/>
      <c r="D63" s="646"/>
      <c r="E63" s="646"/>
      <c r="F63" s="646"/>
      <c r="G63" s="440"/>
      <c r="H63" s="440">
        <v>2.3130000000000002</v>
      </c>
      <c r="I63" s="59">
        <f>ROUND(D63*G63*H63/1000,3)</f>
        <v>0</v>
      </c>
    </row>
    <row r="64" spans="2:14" ht="18" customHeight="1">
      <c r="B64" s="48" t="s">
        <v>42</v>
      </c>
      <c r="C64" s="49">
        <f>SUMPRODUCT(D60:F63*G60:G63)/1000</f>
        <v>0</v>
      </c>
      <c r="D64" s="50" t="s">
        <v>43</v>
      </c>
      <c r="E64" s="49">
        <f>SUM(I60:I63)*1.1</f>
        <v>0</v>
      </c>
      <c r="F64" s="50" t="s">
        <v>44</v>
      </c>
      <c r="G64" s="51">
        <f>(C$218+C$219)/1000</f>
        <v>46.081499999999998</v>
      </c>
      <c r="H64" s="52" t="s">
        <v>45</v>
      </c>
      <c r="I64" s="53">
        <f>ROUND(E64*G64,2)</f>
        <v>0</v>
      </c>
      <c r="J64" s="43">
        <f>SUM(G60:G63)</f>
        <v>0</v>
      </c>
    </row>
    <row r="65" spans="2:14" ht="18" customHeight="1">
      <c r="B65" s="48" t="s">
        <v>46</v>
      </c>
      <c r="C65" s="50">
        <v>337.92</v>
      </c>
      <c r="D65" s="50" t="s">
        <v>47</v>
      </c>
      <c r="E65" s="49">
        <f>ROUND(C64*(C65/1000),2)</f>
        <v>0</v>
      </c>
      <c r="F65" s="50" t="s">
        <v>48</v>
      </c>
      <c r="G65" s="50">
        <f>G$23</f>
        <v>10</v>
      </c>
      <c r="H65" s="52" t="s">
        <v>49</v>
      </c>
      <c r="I65" s="53">
        <f>E65*G65</f>
        <v>0</v>
      </c>
    </row>
    <row r="66" spans="2:14" ht="18" customHeight="1" thickBot="1">
      <c r="B66" s="48" t="s">
        <v>50</v>
      </c>
      <c r="C66" s="50">
        <v>175.93</v>
      </c>
      <c r="D66" s="50" t="s">
        <v>51</v>
      </c>
      <c r="E66" s="49">
        <f>ROUND(C64*(C66/1000),2)</f>
        <v>0</v>
      </c>
      <c r="F66" s="50" t="s">
        <v>48</v>
      </c>
      <c r="G66" s="50">
        <f>G$24</f>
        <v>10</v>
      </c>
      <c r="H66" s="52" t="s">
        <v>49</v>
      </c>
      <c r="I66" s="53">
        <f>E66*G66</f>
        <v>0</v>
      </c>
    </row>
    <row r="67" spans="2:14" ht="18" customHeight="1" thickBot="1">
      <c r="B67" s="23" t="s">
        <v>36</v>
      </c>
      <c r="C67" s="442" t="s">
        <v>14</v>
      </c>
      <c r="D67" s="442" t="s">
        <v>37</v>
      </c>
      <c r="E67" s="442" t="s">
        <v>38</v>
      </c>
      <c r="F67" s="442" t="s">
        <v>39</v>
      </c>
      <c r="G67" s="442" t="s">
        <v>8</v>
      </c>
      <c r="H67" s="442" t="s">
        <v>22</v>
      </c>
      <c r="I67" s="25" t="s">
        <v>40</v>
      </c>
      <c r="J67" s="54" t="s">
        <v>2</v>
      </c>
      <c r="K67" s="55" t="s">
        <v>3</v>
      </c>
      <c r="L67" s="55" t="s">
        <v>52</v>
      </c>
      <c r="M67" s="55" t="s">
        <v>53</v>
      </c>
      <c r="N67" s="70" t="s">
        <v>14</v>
      </c>
    </row>
    <row r="68" spans="2:14" ht="18" customHeight="1">
      <c r="B68" s="648" t="s">
        <v>79</v>
      </c>
      <c r="C68" s="649" t="s">
        <v>323</v>
      </c>
      <c r="D68" s="81">
        <f>J68-IF(L68=1,72,IF(L68=2,54,IF(L68=3,26,IF(L68=11,102.8,IF(L68=12,88.8,IF(L68=13,74.8,0))))))</f>
        <v>0</v>
      </c>
      <c r="E68" s="81">
        <f>K68-IF(M68=1,72,IF(M68=2,24,IF(M68=3,26,IF(M68=11,102.8,IF(M68=12,88.8,IF(M68=13,74.8,0))))))</f>
        <v>0</v>
      </c>
      <c r="F68" s="81">
        <f>2*(D68+E68)/1000</f>
        <v>0</v>
      </c>
      <c r="G68" s="82"/>
      <c r="H68" s="440">
        <v>0.224</v>
      </c>
      <c r="I68" s="283">
        <f>ROUND(F68*G68*H68,3)*1.5</f>
        <v>0</v>
      </c>
      <c r="J68" s="83"/>
      <c r="K68" s="83"/>
      <c r="L68" s="84"/>
      <c r="M68" s="84"/>
      <c r="N68" s="71" t="s">
        <v>56</v>
      </c>
    </row>
    <row r="69" spans="2:14" ht="18" customHeight="1">
      <c r="B69" s="648"/>
      <c r="C69" s="650"/>
      <c r="D69" s="81">
        <f t="shared" ref="D69:D87" si="11">J69-IF(L69=1,72,IF(L69=2,54,IF(L69=3,26,IF(L69=11,102.8,IF(L69=12,88.8,IF(L69=13,74.8,0))))))</f>
        <v>0</v>
      </c>
      <c r="E69" s="81">
        <f t="shared" ref="E69:E87" si="12">K69-IF(M69=1,72,IF(M69=2,24,IF(M69=3,26,IF(M69=11,102.8,IF(M69=12,88.8,IF(M69=13,74.8,0))))))</f>
        <v>0</v>
      </c>
      <c r="F69" s="81">
        <f t="shared" ref="F69:F87" si="13">2*(D69+E69)/1000</f>
        <v>0</v>
      </c>
      <c r="G69" s="82"/>
      <c r="H69" s="440">
        <f>H68</f>
        <v>0.224</v>
      </c>
      <c r="I69" s="59">
        <f t="shared" ref="I69:I87" si="14">ROUND(F69*G69*H69,3)</f>
        <v>0</v>
      </c>
      <c r="J69" s="83"/>
      <c r="K69" s="84"/>
      <c r="L69" s="84"/>
      <c r="M69" s="84"/>
      <c r="N69" s="72" t="s">
        <v>58</v>
      </c>
    </row>
    <row r="70" spans="2:14" ht="18" customHeight="1">
      <c r="B70" s="648"/>
      <c r="C70" s="650"/>
      <c r="D70" s="81">
        <f t="shared" si="11"/>
        <v>0</v>
      </c>
      <c r="E70" s="81">
        <f t="shared" si="12"/>
        <v>0</v>
      </c>
      <c r="F70" s="81">
        <f t="shared" si="13"/>
        <v>0</v>
      </c>
      <c r="G70" s="82"/>
      <c r="H70" s="440">
        <f>H69</f>
        <v>0.224</v>
      </c>
      <c r="I70" s="59">
        <f t="shared" si="14"/>
        <v>0</v>
      </c>
      <c r="J70" s="83"/>
      <c r="K70" s="84"/>
      <c r="L70" s="84"/>
      <c r="M70" s="84"/>
      <c r="N70" s="72" t="s">
        <v>60</v>
      </c>
    </row>
    <row r="71" spans="2:14" ht="18" customHeight="1">
      <c r="B71" s="648"/>
      <c r="C71" s="650"/>
      <c r="D71" s="81">
        <f t="shared" si="11"/>
        <v>0</v>
      </c>
      <c r="E71" s="81">
        <f t="shared" si="12"/>
        <v>0</v>
      </c>
      <c r="F71" s="81">
        <f t="shared" si="13"/>
        <v>0</v>
      </c>
      <c r="G71" s="82"/>
      <c r="H71" s="77">
        <f>H70</f>
        <v>0.224</v>
      </c>
      <c r="I71" s="59">
        <f t="shared" si="14"/>
        <v>0</v>
      </c>
      <c r="J71" s="85"/>
      <c r="K71" s="86"/>
      <c r="L71" s="86"/>
      <c r="M71" s="86"/>
      <c r="N71" s="72" t="s">
        <v>65</v>
      </c>
    </row>
    <row r="72" spans="2:14" ht="18" customHeight="1">
      <c r="B72" s="648"/>
      <c r="C72" s="650"/>
      <c r="D72" s="81">
        <f t="shared" si="11"/>
        <v>0</v>
      </c>
      <c r="E72" s="81">
        <f t="shared" si="12"/>
        <v>0</v>
      </c>
      <c r="F72" s="81">
        <f t="shared" si="13"/>
        <v>0</v>
      </c>
      <c r="G72" s="82"/>
      <c r="H72" s="77">
        <f>H71</f>
        <v>0.224</v>
      </c>
      <c r="I72" s="87">
        <f t="shared" si="14"/>
        <v>0</v>
      </c>
      <c r="J72" s="85"/>
      <c r="K72" s="86"/>
      <c r="L72" s="86"/>
      <c r="M72" s="86"/>
      <c r="N72" s="72" t="s">
        <v>66</v>
      </c>
    </row>
    <row r="73" spans="2:14" ht="18" customHeight="1">
      <c r="B73" s="648"/>
      <c r="C73" s="650"/>
      <c r="D73" s="81">
        <f t="shared" si="11"/>
        <v>0</v>
      </c>
      <c r="E73" s="81">
        <f t="shared" si="12"/>
        <v>0</v>
      </c>
      <c r="F73" s="81">
        <f t="shared" si="13"/>
        <v>0</v>
      </c>
      <c r="G73" s="82"/>
      <c r="H73" s="440">
        <f>H70</f>
        <v>0.224</v>
      </c>
      <c r="I73" s="87">
        <f t="shared" si="14"/>
        <v>0</v>
      </c>
      <c r="J73" s="83"/>
      <c r="K73" s="84"/>
      <c r="L73" s="84"/>
      <c r="M73" s="84"/>
      <c r="N73" s="72" t="s">
        <v>67</v>
      </c>
    </row>
    <row r="74" spans="2:14" ht="18" customHeight="1">
      <c r="B74" s="648"/>
      <c r="C74" s="651"/>
      <c r="D74" s="81">
        <f t="shared" si="11"/>
        <v>0</v>
      </c>
      <c r="E74" s="81">
        <f t="shared" si="12"/>
        <v>0</v>
      </c>
      <c r="F74" s="81">
        <f t="shared" si="13"/>
        <v>0</v>
      </c>
      <c r="G74" s="82"/>
      <c r="H74" s="440">
        <f>H73</f>
        <v>0.224</v>
      </c>
      <c r="I74" s="87">
        <f t="shared" si="14"/>
        <v>0</v>
      </c>
      <c r="J74" s="83"/>
      <c r="K74" s="84"/>
      <c r="L74" s="84"/>
      <c r="M74" s="84"/>
      <c r="N74" s="88"/>
    </row>
    <row r="75" spans="2:14" ht="18" customHeight="1">
      <c r="B75" s="648"/>
      <c r="C75" s="649" t="s">
        <v>324</v>
      </c>
      <c r="D75" s="89">
        <f t="shared" si="11"/>
        <v>0</v>
      </c>
      <c r="E75" s="89">
        <f t="shared" si="12"/>
        <v>0</v>
      </c>
      <c r="F75" s="89">
        <f t="shared" si="13"/>
        <v>0</v>
      </c>
      <c r="G75" s="90"/>
      <c r="H75" s="91">
        <f>H74</f>
        <v>0.224</v>
      </c>
      <c r="I75" s="92">
        <f t="shared" si="14"/>
        <v>0</v>
      </c>
      <c r="J75" s="83"/>
      <c r="K75" s="84"/>
      <c r="L75" s="84"/>
      <c r="M75" s="84"/>
      <c r="N75" s="93" t="s">
        <v>80</v>
      </c>
    </row>
    <row r="76" spans="2:14" ht="18" customHeight="1">
      <c r="B76" s="648"/>
      <c r="C76" s="650"/>
      <c r="D76" s="89">
        <f t="shared" si="11"/>
        <v>0</v>
      </c>
      <c r="E76" s="89">
        <f t="shared" si="12"/>
        <v>0</v>
      </c>
      <c r="F76" s="89">
        <f t="shared" si="13"/>
        <v>0</v>
      </c>
      <c r="G76" s="90"/>
      <c r="H76" s="91">
        <f>H72</f>
        <v>0.224</v>
      </c>
      <c r="I76" s="92">
        <f t="shared" si="14"/>
        <v>0</v>
      </c>
      <c r="J76" s="83"/>
      <c r="K76" s="84"/>
      <c r="L76" s="84"/>
      <c r="M76" s="84"/>
      <c r="N76" s="93" t="s">
        <v>80</v>
      </c>
    </row>
    <row r="77" spans="2:14" ht="18" customHeight="1">
      <c r="B77" s="648"/>
      <c r="C77" s="650"/>
      <c r="D77" s="89">
        <f t="shared" si="11"/>
        <v>0</v>
      </c>
      <c r="E77" s="89">
        <f t="shared" si="12"/>
        <v>0</v>
      </c>
      <c r="F77" s="89">
        <f t="shared" si="13"/>
        <v>0</v>
      </c>
      <c r="G77" s="90"/>
      <c r="H77" s="91">
        <f t="shared" ref="H77:H87" si="15">H76</f>
        <v>0.224</v>
      </c>
      <c r="I77" s="92">
        <f t="shared" si="14"/>
        <v>0</v>
      </c>
      <c r="J77" s="83"/>
      <c r="K77" s="84"/>
      <c r="L77" s="84"/>
      <c r="M77" s="84"/>
      <c r="N77" s="93" t="s">
        <v>80</v>
      </c>
    </row>
    <row r="78" spans="2:14" ht="18" customHeight="1">
      <c r="B78" s="648"/>
      <c r="C78" s="650"/>
      <c r="D78" s="89">
        <f t="shared" si="11"/>
        <v>0</v>
      </c>
      <c r="E78" s="89">
        <f t="shared" si="12"/>
        <v>0</v>
      </c>
      <c r="F78" s="89">
        <f t="shared" si="13"/>
        <v>0</v>
      </c>
      <c r="G78" s="90"/>
      <c r="H78" s="91">
        <f t="shared" si="15"/>
        <v>0.224</v>
      </c>
      <c r="I78" s="92">
        <f t="shared" si="14"/>
        <v>0</v>
      </c>
      <c r="J78" s="83"/>
      <c r="K78" s="84"/>
      <c r="L78" s="84"/>
      <c r="M78" s="84"/>
      <c r="N78" s="93" t="s">
        <v>80</v>
      </c>
    </row>
    <row r="79" spans="2:14" ht="18" customHeight="1">
      <c r="B79" s="648"/>
      <c r="C79" s="650"/>
      <c r="D79" s="89">
        <f t="shared" si="11"/>
        <v>0</v>
      </c>
      <c r="E79" s="89">
        <f t="shared" si="12"/>
        <v>0</v>
      </c>
      <c r="F79" s="89">
        <f t="shared" si="13"/>
        <v>0</v>
      </c>
      <c r="G79" s="90"/>
      <c r="H79" s="91">
        <f t="shared" si="15"/>
        <v>0.224</v>
      </c>
      <c r="I79" s="94">
        <f t="shared" si="14"/>
        <v>0</v>
      </c>
      <c r="J79" s="83"/>
      <c r="K79" s="84"/>
      <c r="L79" s="84"/>
      <c r="M79" s="84"/>
      <c r="N79" s="93" t="s">
        <v>80</v>
      </c>
    </row>
    <row r="80" spans="2:14" ht="18" customHeight="1">
      <c r="B80" s="648"/>
      <c r="C80" s="650"/>
      <c r="D80" s="89">
        <f t="shared" si="11"/>
        <v>0</v>
      </c>
      <c r="E80" s="89">
        <f t="shared" si="12"/>
        <v>0</v>
      </c>
      <c r="F80" s="89">
        <f t="shared" si="13"/>
        <v>0</v>
      </c>
      <c r="G80" s="90"/>
      <c r="H80" s="91">
        <f t="shared" si="15"/>
        <v>0.224</v>
      </c>
      <c r="I80" s="94">
        <f t="shared" si="14"/>
        <v>0</v>
      </c>
      <c r="J80" s="83"/>
      <c r="K80" s="84"/>
      <c r="L80" s="84"/>
      <c r="M80" s="84"/>
      <c r="N80" s="93" t="s">
        <v>80</v>
      </c>
    </row>
    <row r="81" spans="2:14" ht="18" customHeight="1">
      <c r="B81" s="648"/>
      <c r="C81" s="651"/>
      <c r="D81" s="89">
        <f t="shared" si="11"/>
        <v>0</v>
      </c>
      <c r="E81" s="89">
        <f t="shared" si="12"/>
        <v>0</v>
      </c>
      <c r="F81" s="89">
        <f t="shared" si="13"/>
        <v>0</v>
      </c>
      <c r="G81" s="90"/>
      <c r="H81" s="91">
        <f t="shared" si="15"/>
        <v>0.224</v>
      </c>
      <c r="I81" s="94">
        <f t="shared" si="14"/>
        <v>0</v>
      </c>
      <c r="J81" s="95"/>
      <c r="K81" s="96"/>
      <c r="L81" s="96"/>
      <c r="M81" s="96"/>
      <c r="N81" s="93" t="s">
        <v>81</v>
      </c>
    </row>
    <row r="82" spans="2:14" ht="18" customHeight="1">
      <c r="B82" s="648"/>
      <c r="C82" s="639" t="s">
        <v>325</v>
      </c>
      <c r="D82" s="81">
        <f t="shared" si="11"/>
        <v>0</v>
      </c>
      <c r="E82" s="81">
        <f t="shared" si="12"/>
        <v>0</v>
      </c>
      <c r="F82" s="81">
        <f t="shared" si="13"/>
        <v>0</v>
      </c>
      <c r="G82" s="82"/>
      <c r="H82" s="440">
        <f t="shared" si="15"/>
        <v>0.224</v>
      </c>
      <c r="I82" s="59">
        <f t="shared" si="14"/>
        <v>0</v>
      </c>
      <c r="J82" s="83"/>
      <c r="K82" s="84"/>
      <c r="L82" s="84"/>
      <c r="M82" s="84"/>
      <c r="N82" s="88"/>
    </row>
    <row r="83" spans="2:14" ht="18" customHeight="1">
      <c r="B83" s="648"/>
      <c r="C83" s="645"/>
      <c r="D83" s="81">
        <f t="shared" si="11"/>
        <v>0</v>
      </c>
      <c r="E83" s="81">
        <f t="shared" si="12"/>
        <v>0</v>
      </c>
      <c r="F83" s="81">
        <f t="shared" si="13"/>
        <v>0</v>
      </c>
      <c r="G83" s="82"/>
      <c r="H83" s="440">
        <f t="shared" si="15"/>
        <v>0.224</v>
      </c>
      <c r="I83" s="59">
        <f t="shared" si="14"/>
        <v>0</v>
      </c>
      <c r="J83" s="83"/>
      <c r="K83" s="84"/>
      <c r="L83" s="84"/>
      <c r="M83" s="84"/>
      <c r="N83" s="88"/>
    </row>
    <row r="84" spans="2:14" ht="18" customHeight="1">
      <c r="B84" s="648"/>
      <c r="C84" s="645"/>
      <c r="D84" s="81">
        <f t="shared" si="11"/>
        <v>0</v>
      </c>
      <c r="E84" s="81">
        <f t="shared" si="12"/>
        <v>0</v>
      </c>
      <c r="F84" s="81">
        <f t="shared" si="13"/>
        <v>0</v>
      </c>
      <c r="G84" s="82"/>
      <c r="H84" s="440">
        <f t="shared" si="15"/>
        <v>0.224</v>
      </c>
      <c r="I84" s="59">
        <f t="shared" si="14"/>
        <v>0</v>
      </c>
      <c r="J84" s="83"/>
      <c r="K84" s="84"/>
      <c r="L84" s="84"/>
      <c r="M84" s="84"/>
      <c r="N84" s="76"/>
    </row>
    <row r="85" spans="2:14" ht="18" customHeight="1">
      <c r="B85" s="648"/>
      <c r="C85" s="645"/>
      <c r="D85" s="81">
        <f t="shared" si="11"/>
        <v>0</v>
      </c>
      <c r="E85" s="81">
        <f t="shared" si="12"/>
        <v>0</v>
      </c>
      <c r="F85" s="81">
        <f t="shared" si="13"/>
        <v>0</v>
      </c>
      <c r="G85" s="82"/>
      <c r="H85" s="440">
        <f t="shared" si="15"/>
        <v>0.224</v>
      </c>
      <c r="I85" s="59">
        <f t="shared" si="14"/>
        <v>0</v>
      </c>
      <c r="J85" s="83"/>
      <c r="K85" s="84"/>
      <c r="L85" s="84"/>
      <c r="M85" s="84"/>
      <c r="N85" s="76"/>
    </row>
    <row r="86" spans="2:14" ht="18" customHeight="1">
      <c r="B86" s="648"/>
      <c r="C86" s="645"/>
      <c r="D86" s="81">
        <f t="shared" si="11"/>
        <v>0</v>
      </c>
      <c r="E86" s="81">
        <f t="shared" si="12"/>
        <v>0</v>
      </c>
      <c r="F86" s="81">
        <f t="shared" si="13"/>
        <v>0</v>
      </c>
      <c r="G86" s="82"/>
      <c r="H86" s="440">
        <f t="shared" si="15"/>
        <v>0.224</v>
      </c>
      <c r="I86" s="59">
        <f t="shared" si="14"/>
        <v>0</v>
      </c>
      <c r="J86" s="85"/>
      <c r="K86" s="86"/>
      <c r="L86" s="86"/>
      <c r="M86" s="86"/>
      <c r="N86" s="76"/>
    </row>
    <row r="87" spans="2:14" ht="18" customHeight="1" thickBot="1">
      <c r="B87" s="648"/>
      <c r="C87" s="640"/>
      <c r="D87" s="81">
        <f t="shared" si="11"/>
        <v>0</v>
      </c>
      <c r="E87" s="81">
        <f t="shared" si="12"/>
        <v>0</v>
      </c>
      <c r="F87" s="81">
        <f t="shared" si="13"/>
        <v>0</v>
      </c>
      <c r="G87" s="82"/>
      <c r="H87" s="440">
        <f t="shared" si="15"/>
        <v>0.224</v>
      </c>
      <c r="I87" s="59">
        <f t="shared" si="14"/>
        <v>0</v>
      </c>
      <c r="J87" s="97"/>
      <c r="K87" s="98"/>
      <c r="L87" s="98"/>
      <c r="M87" s="98"/>
      <c r="N87" s="80"/>
    </row>
    <row r="88" spans="2:14" ht="18" customHeight="1">
      <c r="B88" s="48" t="s">
        <v>42</v>
      </c>
      <c r="C88" s="49">
        <f>SUMPRODUCT(F68:F87*G68:G87)</f>
        <v>0</v>
      </c>
      <c r="D88" s="50" t="s">
        <v>43</v>
      </c>
      <c r="E88" s="49">
        <f>SUM(I68:I87)*1.1</f>
        <v>0</v>
      </c>
      <c r="F88" s="50" t="s">
        <v>44</v>
      </c>
      <c r="G88" s="51">
        <f>(C$218+C$222)/1000</f>
        <v>39.781500000000001</v>
      </c>
      <c r="H88" s="52" t="s">
        <v>45</v>
      </c>
      <c r="I88" s="53">
        <f>ROUND(E88*G88,2)</f>
        <v>0</v>
      </c>
      <c r="J88" s="255"/>
      <c r="K88" s="255"/>
      <c r="L88" s="255"/>
      <c r="M88" s="255"/>
    </row>
    <row r="89" spans="2:14" ht="18" customHeight="1">
      <c r="B89" s="48" t="s">
        <v>46</v>
      </c>
      <c r="C89" s="50">
        <v>181.72</v>
      </c>
      <c r="D89" s="50" t="s">
        <v>47</v>
      </c>
      <c r="E89" s="49">
        <f>ROUND(C88*(C89/1000),2)</f>
        <v>0</v>
      </c>
      <c r="F89" s="50" t="s">
        <v>48</v>
      </c>
      <c r="G89" s="50">
        <f>G$23</f>
        <v>10</v>
      </c>
      <c r="H89" s="52" t="s">
        <v>49</v>
      </c>
      <c r="I89" s="53">
        <f>E89*G89</f>
        <v>0</v>
      </c>
      <c r="J89" s="255"/>
      <c r="K89" s="255"/>
      <c r="L89" s="255"/>
      <c r="M89" s="255"/>
    </row>
    <row r="90" spans="2:14" ht="18" customHeight="1">
      <c r="B90" s="48" t="s">
        <v>50</v>
      </c>
      <c r="C90" s="50"/>
      <c r="D90" s="50" t="s">
        <v>51</v>
      </c>
      <c r="E90" s="49">
        <f>ROUND(C88*(C90/1000),2)</f>
        <v>0</v>
      </c>
      <c r="F90" s="50" t="s">
        <v>48</v>
      </c>
      <c r="G90" s="50">
        <f>G$24</f>
        <v>10</v>
      </c>
      <c r="H90" s="52" t="s">
        <v>49</v>
      </c>
      <c r="I90" s="53">
        <f>E90*G90</f>
        <v>0</v>
      </c>
      <c r="J90" s="255"/>
      <c r="K90" s="255"/>
      <c r="L90" s="255"/>
      <c r="M90" s="255"/>
    </row>
    <row r="91" spans="2:14" ht="18" customHeight="1">
      <c r="B91" s="23" t="s">
        <v>36</v>
      </c>
      <c r="C91" s="442" t="s">
        <v>14</v>
      </c>
      <c r="D91" s="442" t="s">
        <v>37</v>
      </c>
      <c r="E91" s="442" t="s">
        <v>38</v>
      </c>
      <c r="F91" s="442" t="s">
        <v>39</v>
      </c>
      <c r="G91" s="442" t="s">
        <v>8</v>
      </c>
      <c r="H91" s="442" t="s">
        <v>22</v>
      </c>
      <c r="I91" s="25" t="s">
        <v>40</v>
      </c>
      <c r="J91" s="255"/>
      <c r="K91" s="255"/>
      <c r="L91" s="255"/>
      <c r="M91" s="255"/>
    </row>
    <row r="92" spans="2:14" ht="18" customHeight="1">
      <c r="B92" s="648" t="s">
        <v>82</v>
      </c>
      <c r="C92" s="653" t="s">
        <v>326</v>
      </c>
      <c r="D92" s="443">
        <f>D26-90</f>
        <v>-90</v>
      </c>
      <c r="E92" s="443">
        <f>E26-90</f>
        <v>-90</v>
      </c>
      <c r="F92" s="443">
        <f>2*(D92+E92)/1000</f>
        <v>-0.36</v>
      </c>
      <c r="G92" s="440">
        <f>G26</f>
        <v>0</v>
      </c>
      <c r="H92" s="440">
        <v>0.27100000000000002</v>
      </c>
      <c r="I92" s="59">
        <f>ROUND(F92*G92*H92,3)</f>
        <v>0</v>
      </c>
    </row>
    <row r="93" spans="2:14" ht="18" customHeight="1">
      <c r="B93" s="648"/>
      <c r="C93" s="658"/>
      <c r="D93" s="443">
        <f t="shared" ref="D93:E96" si="16">D27-90</f>
        <v>-90</v>
      </c>
      <c r="E93" s="443">
        <f t="shared" si="16"/>
        <v>-90</v>
      </c>
      <c r="F93" s="443">
        <f>2*(D93+E93)/1000</f>
        <v>-0.36</v>
      </c>
      <c r="G93" s="440">
        <f>G27</f>
        <v>0</v>
      </c>
      <c r="H93" s="440">
        <f>H92</f>
        <v>0.27100000000000002</v>
      </c>
      <c r="I93" s="59">
        <f>ROUND(F93*G93*H93,3)</f>
        <v>0</v>
      </c>
      <c r="M93" s="42"/>
    </row>
    <row r="94" spans="2:14" ht="18" customHeight="1">
      <c r="B94" s="648"/>
      <c r="C94" s="658"/>
      <c r="D94" s="443">
        <f t="shared" si="16"/>
        <v>-90</v>
      </c>
      <c r="E94" s="443">
        <f t="shared" si="16"/>
        <v>-90</v>
      </c>
      <c r="F94" s="443">
        <f>2*(D94+E94)/1000</f>
        <v>-0.36</v>
      </c>
      <c r="G94" s="440">
        <f>G28</f>
        <v>0</v>
      </c>
      <c r="H94" s="440">
        <f>H93</f>
        <v>0.27100000000000002</v>
      </c>
      <c r="I94" s="59">
        <f>ROUND(F94*G94*H94,3)</f>
        <v>0</v>
      </c>
    </row>
    <row r="95" spans="2:14" ht="18" customHeight="1">
      <c r="B95" s="648"/>
      <c r="C95" s="658"/>
      <c r="D95" s="443">
        <f t="shared" si="16"/>
        <v>-90</v>
      </c>
      <c r="E95" s="443">
        <f t="shared" si="16"/>
        <v>-90</v>
      </c>
      <c r="F95" s="443">
        <f>2*(D95+E95)/1000</f>
        <v>-0.36</v>
      </c>
      <c r="G95" s="440">
        <f>G29</f>
        <v>0</v>
      </c>
      <c r="H95" s="440">
        <f>H94</f>
        <v>0.27100000000000002</v>
      </c>
      <c r="I95" s="59">
        <f>ROUND(F95*G95*H95,3)</f>
        <v>0</v>
      </c>
    </row>
    <row r="96" spans="2:14" ht="18" customHeight="1">
      <c r="B96" s="648"/>
      <c r="C96" s="659"/>
      <c r="D96" s="443">
        <f t="shared" si="16"/>
        <v>-90</v>
      </c>
      <c r="E96" s="443">
        <f t="shared" si="16"/>
        <v>-90</v>
      </c>
      <c r="F96" s="443">
        <f>2*(D96+E96)/1000</f>
        <v>-0.36</v>
      </c>
      <c r="G96" s="440">
        <f>G30</f>
        <v>0</v>
      </c>
      <c r="H96" s="440">
        <f>H95</f>
        <v>0.27100000000000002</v>
      </c>
      <c r="I96" s="59">
        <f>ROUND(F96*G96*H96,3)</f>
        <v>0</v>
      </c>
    </row>
    <row r="97" spans="2:13" ht="18" customHeight="1">
      <c r="B97" s="48" t="s">
        <v>42</v>
      </c>
      <c r="C97" s="49">
        <f>SUMPRODUCT(F92:F96*G92:G96)</f>
        <v>0</v>
      </c>
      <c r="D97" s="50" t="s">
        <v>43</v>
      </c>
      <c r="E97" s="49">
        <f>SUM(I92:I96)*1.1</f>
        <v>0</v>
      </c>
      <c r="F97" s="50" t="s">
        <v>44</v>
      </c>
      <c r="G97" s="51">
        <f>(C$218+C$222)/1000</f>
        <v>39.781500000000001</v>
      </c>
      <c r="H97" s="52" t="s">
        <v>45</v>
      </c>
      <c r="I97" s="53">
        <f>ROUND(E97*G97,2)</f>
        <v>0</v>
      </c>
    </row>
    <row r="98" spans="2:13" ht="18" customHeight="1">
      <c r="B98" s="48" t="s">
        <v>46</v>
      </c>
      <c r="C98" s="50">
        <v>186.72</v>
      </c>
      <c r="D98" s="50" t="s">
        <v>47</v>
      </c>
      <c r="E98" s="49">
        <f>ROUND(C97*(C98/1000),2)</f>
        <v>0</v>
      </c>
      <c r="F98" s="50" t="s">
        <v>48</v>
      </c>
      <c r="G98" s="50">
        <f>G$23</f>
        <v>10</v>
      </c>
      <c r="H98" s="52" t="s">
        <v>49</v>
      </c>
      <c r="I98" s="53">
        <f>E98*G98</f>
        <v>0</v>
      </c>
    </row>
    <row r="99" spans="2:13" ht="18" customHeight="1">
      <c r="B99" s="48" t="s">
        <v>50</v>
      </c>
      <c r="C99" s="50">
        <v>0</v>
      </c>
      <c r="D99" s="50" t="s">
        <v>51</v>
      </c>
      <c r="E99" s="49">
        <f>ROUND(C97*(C99/1000),2)</f>
        <v>0</v>
      </c>
      <c r="F99" s="50" t="s">
        <v>48</v>
      </c>
      <c r="G99" s="50">
        <f>G$24</f>
        <v>10</v>
      </c>
      <c r="H99" s="52" t="s">
        <v>49</v>
      </c>
      <c r="I99" s="53">
        <f>E99*G99</f>
        <v>0</v>
      </c>
    </row>
    <row r="100" spans="2:13" ht="18" customHeight="1">
      <c r="B100" s="23" t="s">
        <v>36</v>
      </c>
      <c r="C100" s="442" t="s">
        <v>14</v>
      </c>
      <c r="D100" s="442" t="s">
        <v>37</v>
      </c>
      <c r="E100" s="442" t="s">
        <v>38</v>
      </c>
      <c r="F100" s="442" t="s">
        <v>39</v>
      </c>
      <c r="G100" s="442" t="s">
        <v>8</v>
      </c>
      <c r="H100" s="442" t="s">
        <v>22</v>
      </c>
      <c r="I100" s="25" t="s">
        <v>40</v>
      </c>
    </row>
    <row r="101" spans="2:13" ht="18" customHeight="1">
      <c r="B101" s="648" t="s">
        <v>84</v>
      </c>
      <c r="C101" s="653" t="str">
        <f>C92</f>
        <v>SDL2281</v>
      </c>
      <c r="D101" s="443">
        <f>D35-122</f>
        <v>-122</v>
      </c>
      <c r="E101" s="443">
        <f t="shared" ref="D101:E103" si="17">E35-122</f>
        <v>-122</v>
      </c>
      <c r="F101" s="443">
        <f>2*(D101+E101)/1000</f>
        <v>-0.48799999999999999</v>
      </c>
      <c r="G101" s="440">
        <f>G35</f>
        <v>0</v>
      </c>
      <c r="H101" s="440">
        <f>H96</f>
        <v>0.27100000000000002</v>
      </c>
      <c r="I101" s="59">
        <f>ROUND(F101*G101*H101,3)</f>
        <v>0</v>
      </c>
    </row>
    <row r="102" spans="2:13" ht="18" customHeight="1">
      <c r="B102" s="648"/>
      <c r="C102" s="650"/>
      <c r="D102" s="443">
        <f t="shared" si="17"/>
        <v>-122</v>
      </c>
      <c r="E102" s="443">
        <f t="shared" si="17"/>
        <v>-122</v>
      </c>
      <c r="F102" s="443">
        <f>2*(D102+E102)/1000</f>
        <v>-0.48799999999999999</v>
      </c>
      <c r="G102" s="440">
        <f>G36</f>
        <v>0</v>
      </c>
      <c r="H102" s="440">
        <f>H101</f>
        <v>0.27100000000000002</v>
      </c>
      <c r="I102" s="59">
        <f>ROUND(F102*G102*H102,3)</f>
        <v>0</v>
      </c>
      <c r="K102" s="99"/>
      <c r="M102" s="99"/>
    </row>
    <row r="103" spans="2:13" ht="18" customHeight="1">
      <c r="B103" s="648"/>
      <c r="C103" s="651"/>
      <c r="D103" s="443">
        <f t="shared" si="17"/>
        <v>-122</v>
      </c>
      <c r="E103" s="443">
        <f t="shared" si="17"/>
        <v>-122</v>
      </c>
      <c r="F103" s="443">
        <f>2*(D103+E103)/1000</f>
        <v>-0.48799999999999999</v>
      </c>
      <c r="G103" s="440">
        <f>G37</f>
        <v>0</v>
      </c>
      <c r="H103" s="440">
        <f>H102</f>
        <v>0.27100000000000002</v>
      </c>
      <c r="I103" s="59">
        <f>ROUND(F103*G103*H103,3)</f>
        <v>0</v>
      </c>
      <c r="M103" s="99"/>
    </row>
    <row r="104" spans="2:13" ht="18" customHeight="1">
      <c r="B104" s="48" t="s">
        <v>42</v>
      </c>
      <c r="C104" s="49">
        <f>SUMPRODUCT(F101:F103*G101:G103)</f>
        <v>0</v>
      </c>
      <c r="D104" s="50" t="s">
        <v>43</v>
      </c>
      <c r="E104" s="49">
        <f>SUM(I101:I103)*1.1</f>
        <v>0</v>
      </c>
      <c r="F104" s="50" t="s">
        <v>44</v>
      </c>
      <c r="G104" s="51">
        <f>(C$218+C$222)/1000</f>
        <v>39.781500000000001</v>
      </c>
      <c r="H104" s="52" t="s">
        <v>45</v>
      </c>
      <c r="I104" s="53">
        <f>ROUND(E104*G104,2)</f>
        <v>0</v>
      </c>
    </row>
    <row r="105" spans="2:13" ht="18" customHeight="1">
      <c r="B105" s="48" t="s">
        <v>46</v>
      </c>
      <c r="C105" s="50">
        <v>186.72</v>
      </c>
      <c r="D105" s="50" t="s">
        <v>47</v>
      </c>
      <c r="E105" s="49">
        <f>ROUND(C104*(C105/1000),2)</f>
        <v>0</v>
      </c>
      <c r="F105" s="50" t="s">
        <v>48</v>
      </c>
      <c r="G105" s="50">
        <f>G$23</f>
        <v>10</v>
      </c>
      <c r="H105" s="52" t="s">
        <v>49</v>
      </c>
      <c r="I105" s="53">
        <f>ROUND(E105*G105,2)</f>
        <v>0</v>
      </c>
    </row>
    <row r="106" spans="2:13" ht="18" customHeight="1">
      <c r="B106" s="48" t="s">
        <v>50</v>
      </c>
      <c r="C106" s="50">
        <v>0</v>
      </c>
      <c r="D106" s="50" t="s">
        <v>51</v>
      </c>
      <c r="E106" s="49">
        <f>ROUND(C104*(C106/1000),2)</f>
        <v>0</v>
      </c>
      <c r="F106" s="50" t="s">
        <v>48</v>
      </c>
      <c r="G106" s="50">
        <f>G$24</f>
        <v>10</v>
      </c>
      <c r="H106" s="52" t="s">
        <v>49</v>
      </c>
      <c r="I106" s="53">
        <f>ROUND(E106*G106,2)</f>
        <v>0</v>
      </c>
    </row>
    <row r="107" spans="2:13" ht="18" customHeight="1">
      <c r="B107" s="23" t="s">
        <v>36</v>
      </c>
      <c r="C107" s="442" t="s">
        <v>14</v>
      </c>
      <c r="D107" s="442" t="s">
        <v>37</v>
      </c>
      <c r="E107" s="442" t="s">
        <v>38</v>
      </c>
      <c r="F107" s="442" t="s">
        <v>39</v>
      </c>
      <c r="G107" s="442" t="s">
        <v>8</v>
      </c>
      <c r="H107" s="442" t="s">
        <v>22</v>
      </c>
      <c r="I107" s="25" t="s">
        <v>40</v>
      </c>
    </row>
    <row r="108" spans="2:13" ht="18" customHeight="1">
      <c r="B108" s="648" t="s">
        <v>85</v>
      </c>
      <c r="C108" s="655" t="s">
        <v>86</v>
      </c>
      <c r="D108" s="440">
        <f>D6</f>
        <v>2300</v>
      </c>
      <c r="E108" s="440">
        <f>E6</f>
        <v>2325</v>
      </c>
      <c r="F108" s="440">
        <f>ROUND((D108+E108)*2/1000,4)</f>
        <v>9.25</v>
      </c>
      <c r="G108" s="440">
        <v>1</v>
      </c>
      <c r="H108" s="440">
        <v>1.857</v>
      </c>
      <c r="I108" s="59">
        <f>ROUND(F108*G108*H108,3)</f>
        <v>17.177</v>
      </c>
    </row>
    <row r="109" spans="2:13" ht="18" customHeight="1">
      <c r="B109" s="648"/>
      <c r="C109" s="656"/>
      <c r="D109" s="440"/>
      <c r="E109" s="440"/>
      <c r="F109" s="440">
        <f>ROUND((D109+E109)*2/1000,4)</f>
        <v>0</v>
      </c>
      <c r="G109" s="440"/>
      <c r="H109" s="440">
        <f>H108</f>
        <v>1.857</v>
      </c>
      <c r="I109" s="59">
        <f>ROUND(F109*G109*H109,3)</f>
        <v>0</v>
      </c>
      <c r="K109" s="42"/>
      <c r="L109" s="42"/>
      <c r="M109" s="42"/>
    </row>
    <row r="110" spans="2:13" ht="18" customHeight="1">
      <c r="B110" s="648"/>
      <c r="C110" s="656"/>
      <c r="D110" s="440"/>
      <c r="E110" s="440"/>
      <c r="F110" s="440">
        <f>ROUND((D110+E110)*2/1000,4)</f>
        <v>0</v>
      </c>
      <c r="G110" s="440"/>
      <c r="H110" s="440">
        <f>H109</f>
        <v>1.857</v>
      </c>
      <c r="I110" s="59">
        <f>ROUND(F110*G110*H110,3)</f>
        <v>0</v>
      </c>
      <c r="K110" s="42"/>
      <c r="L110" s="42"/>
      <c r="M110" s="42"/>
    </row>
    <row r="111" spans="2:13" ht="18" customHeight="1">
      <c r="B111" s="648"/>
      <c r="C111" s="657"/>
      <c r="D111" s="440"/>
      <c r="E111" s="440"/>
      <c r="F111" s="440">
        <f>ROUND((D111+E111)*2/1000,4)</f>
        <v>0</v>
      </c>
      <c r="G111" s="440"/>
      <c r="H111" s="440">
        <f>H110</f>
        <v>1.857</v>
      </c>
      <c r="I111" s="59">
        <f>ROUND(F111*G111*H111,3)</f>
        <v>0</v>
      </c>
      <c r="K111" s="42"/>
      <c r="L111" s="42"/>
      <c r="M111" s="42"/>
    </row>
    <row r="112" spans="2:13" ht="18" customHeight="1">
      <c r="B112" s="48" t="s">
        <v>42</v>
      </c>
      <c r="C112" s="49">
        <f>SUMPRODUCT(F108:F111*G108:G111)</f>
        <v>9.25</v>
      </c>
      <c r="D112" s="50" t="s">
        <v>43</v>
      </c>
      <c r="E112" s="49">
        <f>SUM(I108:I111)*1.1</f>
        <v>18.8947</v>
      </c>
      <c r="F112" s="50" t="s">
        <v>44</v>
      </c>
      <c r="G112" s="51">
        <f>(C$218+C$219)/1000</f>
        <v>46.081499999999998</v>
      </c>
      <c r="H112" s="52" t="s">
        <v>45</v>
      </c>
      <c r="I112" s="53">
        <f>ROUND(E112*G112,2)</f>
        <v>870.7</v>
      </c>
      <c r="J112" s="243">
        <f>SUM(G108:G111)</f>
        <v>1</v>
      </c>
      <c r="K112" s="42"/>
      <c r="L112" s="42"/>
      <c r="M112" s="42"/>
    </row>
    <row r="113" spans="2:14" ht="18" customHeight="1">
      <c r="B113" s="48" t="s">
        <v>46</v>
      </c>
      <c r="C113" s="50">
        <v>241.03</v>
      </c>
      <c r="D113" s="50" t="s">
        <v>47</v>
      </c>
      <c r="E113" s="49">
        <f>ROUND(C112*(C113/1000),2)</f>
        <v>2.23</v>
      </c>
      <c r="F113" s="50" t="s">
        <v>48</v>
      </c>
      <c r="G113" s="50">
        <f>G$23</f>
        <v>10</v>
      </c>
      <c r="H113" s="52" t="s">
        <v>49</v>
      </c>
      <c r="I113" s="53">
        <f>E113*G113</f>
        <v>22.3</v>
      </c>
      <c r="K113" s="42"/>
      <c r="L113" s="42"/>
      <c r="M113" s="42"/>
    </row>
    <row r="114" spans="2:14" ht="18" customHeight="1" thickBot="1">
      <c r="B114" s="48" t="s">
        <v>50</v>
      </c>
      <c r="C114" s="50">
        <v>204.38</v>
      </c>
      <c r="D114" s="50" t="s">
        <v>51</v>
      </c>
      <c r="E114" s="49">
        <f>ROUND(C112*(C114/1000),2)</f>
        <v>1.89</v>
      </c>
      <c r="F114" s="50" t="s">
        <v>48</v>
      </c>
      <c r="G114" s="50">
        <f>G$24</f>
        <v>10</v>
      </c>
      <c r="H114" s="52" t="s">
        <v>49</v>
      </c>
      <c r="I114" s="53">
        <f>E114*G114</f>
        <v>18.899999999999999</v>
      </c>
    </row>
    <row r="115" spans="2:14" ht="18" customHeight="1" thickBot="1">
      <c r="B115" s="23" t="s">
        <v>36</v>
      </c>
      <c r="C115" s="442" t="s">
        <v>14</v>
      </c>
      <c r="D115" s="442" t="s">
        <v>37</v>
      </c>
      <c r="E115" s="442" t="s">
        <v>38</v>
      </c>
      <c r="F115" s="442" t="s">
        <v>39</v>
      </c>
      <c r="G115" s="442" t="s">
        <v>8</v>
      </c>
      <c r="H115" s="442" t="s">
        <v>22</v>
      </c>
      <c r="I115" s="25" t="s">
        <v>40</v>
      </c>
      <c r="J115" s="54" t="s">
        <v>2</v>
      </c>
      <c r="K115" s="55" t="s">
        <v>3</v>
      </c>
      <c r="L115" s="55" t="s">
        <v>61</v>
      </c>
      <c r="M115" s="55" t="s">
        <v>62</v>
      </c>
      <c r="N115" s="70" t="s">
        <v>14</v>
      </c>
    </row>
    <row r="116" spans="2:14" ht="18" customHeight="1">
      <c r="B116" s="648" t="s">
        <v>87</v>
      </c>
      <c r="C116" s="649" t="s">
        <v>88</v>
      </c>
      <c r="D116" s="443">
        <f t="shared" ref="D116:E118" si="18">J116-IF(L116=1,78,IF(L116=2,55.5,IF(L116=3,41,0)))</f>
        <v>1109</v>
      </c>
      <c r="E116" s="443">
        <f t="shared" si="18"/>
        <v>2247</v>
      </c>
      <c r="F116" s="440">
        <f>ROUND((D116+E116)*2/1000,4)</f>
        <v>6.7119999999999997</v>
      </c>
      <c r="G116" s="440">
        <v>2</v>
      </c>
      <c r="H116" s="58">
        <v>2.456</v>
      </c>
      <c r="I116" s="59">
        <f>ROUND(F116*G116*H116,3)</f>
        <v>32.969000000000001</v>
      </c>
      <c r="J116" s="60">
        <f>D108/2</f>
        <v>1150</v>
      </c>
      <c r="K116" s="61">
        <f>E108</f>
        <v>2325</v>
      </c>
      <c r="L116" s="61">
        <v>3</v>
      </c>
      <c r="M116" s="61">
        <v>1</v>
      </c>
      <c r="N116" s="76" t="s">
        <v>56</v>
      </c>
    </row>
    <row r="117" spans="2:14" ht="18" customHeight="1">
      <c r="B117" s="648"/>
      <c r="C117" s="650"/>
      <c r="D117" s="443">
        <f t="shared" si="18"/>
        <v>0</v>
      </c>
      <c r="E117" s="443">
        <f t="shared" si="18"/>
        <v>0</v>
      </c>
      <c r="F117" s="440">
        <f>ROUND((D117+E117)*2/1000,4)</f>
        <v>0</v>
      </c>
      <c r="G117" s="440">
        <v>0</v>
      </c>
      <c r="H117" s="58">
        <f>H116</f>
        <v>2.456</v>
      </c>
      <c r="I117" s="59">
        <f>ROUND(F117*G117*H117,3)</f>
        <v>0</v>
      </c>
      <c r="J117" s="60"/>
      <c r="K117" s="61"/>
      <c r="L117" s="61"/>
      <c r="M117" s="61"/>
      <c r="N117" s="76" t="s">
        <v>58</v>
      </c>
    </row>
    <row r="118" spans="2:14" ht="18" customHeight="1" thickBot="1">
      <c r="B118" s="648"/>
      <c r="C118" s="651"/>
      <c r="D118" s="443">
        <f t="shared" si="18"/>
        <v>0</v>
      </c>
      <c r="E118" s="443">
        <f t="shared" si="18"/>
        <v>0</v>
      </c>
      <c r="F118" s="440">
        <f>ROUND((D118+E118)*2/1000,4)</f>
        <v>0</v>
      </c>
      <c r="G118" s="440">
        <v>0</v>
      </c>
      <c r="H118" s="58">
        <f>H117</f>
        <v>2.456</v>
      </c>
      <c r="I118" s="59">
        <f>ROUND(F118*G118*H118,3)</f>
        <v>0</v>
      </c>
      <c r="J118" s="64"/>
      <c r="K118" s="65"/>
      <c r="L118" s="65"/>
      <c r="M118" s="65"/>
      <c r="N118" s="80" t="s">
        <v>89</v>
      </c>
    </row>
    <row r="119" spans="2:14" ht="18" customHeight="1">
      <c r="B119" s="48" t="s">
        <v>42</v>
      </c>
      <c r="C119" s="49">
        <f>SUMPRODUCT(F116:F118*G116:G118)</f>
        <v>13.423999999999999</v>
      </c>
      <c r="D119" s="100" t="s">
        <v>43</v>
      </c>
      <c r="E119" s="100">
        <f>SUM(I116:I118)*1.1</f>
        <v>36.265900000000002</v>
      </c>
      <c r="F119" s="50" t="s">
        <v>44</v>
      </c>
      <c r="G119" s="51">
        <f>(C$218+C$219)/1000</f>
        <v>46.081499999999998</v>
      </c>
      <c r="H119" s="52" t="s">
        <v>45</v>
      </c>
      <c r="I119" s="53">
        <f>ROUND(E119*G119,2)</f>
        <v>1671.19</v>
      </c>
      <c r="J119" s="243">
        <f>SUM(G116:G118)</f>
        <v>2</v>
      </c>
      <c r="K119" s="255"/>
      <c r="L119" s="255"/>
      <c r="M119" s="255"/>
    </row>
    <row r="120" spans="2:14" ht="18" customHeight="1">
      <c r="B120" s="48" t="s">
        <v>46</v>
      </c>
      <c r="C120" s="50">
        <v>350.56</v>
      </c>
      <c r="D120" s="100" t="s">
        <v>47</v>
      </c>
      <c r="E120" s="100">
        <f>ROUND(C119*(C120/1000),2)</f>
        <v>4.71</v>
      </c>
      <c r="F120" s="50" t="s">
        <v>48</v>
      </c>
      <c r="G120" s="50">
        <f>G$23</f>
        <v>10</v>
      </c>
      <c r="H120" s="52" t="s">
        <v>49</v>
      </c>
      <c r="I120" s="53">
        <f>E120*G120</f>
        <v>47.1</v>
      </c>
      <c r="J120" s="255"/>
      <c r="K120" s="255"/>
      <c r="L120" s="255"/>
      <c r="M120" s="255"/>
    </row>
    <row r="121" spans="2:14" ht="18" customHeight="1" thickBot="1">
      <c r="B121" s="48" t="s">
        <v>50</v>
      </c>
      <c r="C121" s="50">
        <v>189.03</v>
      </c>
      <c r="D121" s="100" t="s">
        <v>51</v>
      </c>
      <c r="E121" s="100">
        <f>ROUND(C119*(C121/1000),2)</f>
        <v>2.54</v>
      </c>
      <c r="F121" s="50" t="s">
        <v>48</v>
      </c>
      <c r="G121" s="50">
        <f>G$24</f>
        <v>10</v>
      </c>
      <c r="H121" s="52" t="s">
        <v>49</v>
      </c>
      <c r="I121" s="53">
        <f>E121*G121</f>
        <v>25.4</v>
      </c>
      <c r="J121" s="255"/>
    </row>
    <row r="122" spans="2:14" ht="18" customHeight="1" thickBot="1">
      <c r="B122" s="23" t="s">
        <v>36</v>
      </c>
      <c r="C122" s="442" t="s">
        <v>14</v>
      </c>
      <c r="D122" s="101" t="s">
        <v>37</v>
      </c>
      <c r="E122" s="101" t="s">
        <v>38</v>
      </c>
      <c r="F122" s="442" t="s">
        <v>39</v>
      </c>
      <c r="G122" s="442" t="s">
        <v>8</v>
      </c>
      <c r="H122" s="442" t="s">
        <v>22</v>
      </c>
      <c r="I122" s="25" t="s">
        <v>40</v>
      </c>
      <c r="J122" s="54" t="s">
        <v>2</v>
      </c>
      <c r="K122" s="55" t="s">
        <v>3</v>
      </c>
      <c r="L122" s="55" t="s">
        <v>61</v>
      </c>
      <c r="M122" s="55" t="s">
        <v>62</v>
      </c>
      <c r="N122" s="70" t="s">
        <v>14</v>
      </c>
    </row>
    <row r="123" spans="2:14" ht="18" customHeight="1">
      <c r="B123" s="648" t="s">
        <v>90</v>
      </c>
      <c r="C123" s="649" t="s">
        <v>91</v>
      </c>
      <c r="D123" s="443">
        <f t="shared" ref="D123:E125" si="19">J123-IF(L123=1,78,IF(L123=2,55.5,IF(L123=3,41,0)))</f>
        <v>0</v>
      </c>
      <c r="E123" s="443">
        <f t="shared" si="19"/>
        <v>0</v>
      </c>
      <c r="F123" s="440">
        <f>ROUND((D123+E123)*2/1000,4)</f>
        <v>0</v>
      </c>
      <c r="G123" s="440"/>
      <c r="H123" s="58">
        <v>2.4710000000000001</v>
      </c>
      <c r="I123" s="59">
        <f>ROUND(F123*G123*H123,3)</f>
        <v>0</v>
      </c>
      <c r="J123" s="60"/>
      <c r="K123" s="61"/>
      <c r="L123" s="61"/>
      <c r="M123" s="61"/>
      <c r="N123" s="76" t="s">
        <v>56</v>
      </c>
    </row>
    <row r="124" spans="2:14" ht="18" customHeight="1">
      <c r="B124" s="648"/>
      <c r="C124" s="650"/>
      <c r="D124" s="443">
        <f t="shared" si="19"/>
        <v>0</v>
      </c>
      <c r="E124" s="443">
        <f t="shared" si="19"/>
        <v>0</v>
      </c>
      <c r="F124" s="440">
        <f>ROUND((D124+E124)*2/1000,4)</f>
        <v>0</v>
      </c>
      <c r="G124" s="440"/>
      <c r="H124" s="58">
        <f>H123</f>
        <v>2.4710000000000001</v>
      </c>
      <c r="I124" s="59">
        <f>ROUND(F124*G124*H124,3)</f>
        <v>0</v>
      </c>
      <c r="J124" s="60"/>
      <c r="K124" s="61"/>
      <c r="L124" s="61"/>
      <c r="M124" s="61"/>
      <c r="N124" s="76" t="s">
        <v>58</v>
      </c>
    </row>
    <row r="125" spans="2:14" ht="18" customHeight="1" thickBot="1">
      <c r="B125" s="648"/>
      <c r="C125" s="651"/>
      <c r="D125" s="443">
        <f t="shared" si="19"/>
        <v>0</v>
      </c>
      <c r="E125" s="443">
        <f t="shared" si="19"/>
        <v>0</v>
      </c>
      <c r="F125" s="440">
        <f>ROUND((D125+E125)*2/1000,4)</f>
        <v>0</v>
      </c>
      <c r="G125" s="440"/>
      <c r="H125" s="58">
        <f>H124</f>
        <v>2.4710000000000001</v>
      </c>
      <c r="I125" s="59">
        <f>ROUND(F125*G125*H125,3)</f>
        <v>0</v>
      </c>
      <c r="J125" s="64"/>
      <c r="K125" s="65"/>
      <c r="L125" s="65"/>
      <c r="M125" s="65"/>
      <c r="N125" s="80" t="s">
        <v>89</v>
      </c>
    </row>
    <row r="126" spans="2:14" ht="18" customHeight="1">
      <c r="B126" s="48" t="s">
        <v>42</v>
      </c>
      <c r="C126" s="49">
        <f>SUMPRODUCT(F123:F125*G123:G125)</f>
        <v>0</v>
      </c>
      <c r="D126" s="50" t="s">
        <v>43</v>
      </c>
      <c r="E126" s="49">
        <f>SUM(I123:I125)*1.1</f>
        <v>0</v>
      </c>
      <c r="F126" s="50" t="s">
        <v>44</v>
      </c>
      <c r="G126" s="51">
        <f>(C$218+C$221)/1000</f>
        <v>46.081499999999998</v>
      </c>
      <c r="H126" s="52" t="s">
        <v>45</v>
      </c>
      <c r="I126" s="53">
        <f>ROUND(E126*G126,2)</f>
        <v>0</v>
      </c>
      <c r="J126" s="243">
        <f>SUM(G123:G125)</f>
        <v>0</v>
      </c>
      <c r="K126" s="255"/>
      <c r="L126" s="255"/>
      <c r="M126" s="255"/>
    </row>
    <row r="127" spans="2:14" ht="18" customHeight="1">
      <c r="B127" s="48" t="s">
        <v>46</v>
      </c>
      <c r="C127" s="50">
        <v>236.53</v>
      </c>
      <c r="D127" s="50" t="s">
        <v>47</v>
      </c>
      <c r="E127" s="49">
        <f>ROUND(C126*(C127/1000),2)</f>
        <v>0</v>
      </c>
      <c r="F127" s="50" t="s">
        <v>48</v>
      </c>
      <c r="G127" s="50">
        <f>G$23</f>
        <v>10</v>
      </c>
      <c r="H127" s="52" t="s">
        <v>49</v>
      </c>
      <c r="I127" s="53">
        <f>E127*G127</f>
        <v>0</v>
      </c>
      <c r="J127" s="255"/>
      <c r="K127" s="255"/>
      <c r="L127" s="255"/>
      <c r="M127" s="255"/>
    </row>
    <row r="128" spans="2:14" ht="18" customHeight="1" thickBot="1">
      <c r="B128" s="48" t="s">
        <v>50</v>
      </c>
      <c r="C128" s="50">
        <v>311.02999999999997</v>
      </c>
      <c r="D128" s="50" t="s">
        <v>51</v>
      </c>
      <c r="E128" s="49">
        <f>ROUND(C126*(C128/1000),2)</f>
        <v>0</v>
      </c>
      <c r="F128" s="50" t="s">
        <v>48</v>
      </c>
      <c r="G128" s="50">
        <f>G$24</f>
        <v>10</v>
      </c>
      <c r="H128" s="52" t="s">
        <v>49</v>
      </c>
      <c r="I128" s="53">
        <f>E128*G128</f>
        <v>0</v>
      </c>
      <c r="J128" s="255"/>
    </row>
    <row r="129" spans="2:14" ht="18" customHeight="1" thickBot="1">
      <c r="B129" s="23" t="s">
        <v>36</v>
      </c>
      <c r="C129" s="442" t="s">
        <v>14</v>
      </c>
      <c r="D129" s="442" t="s">
        <v>37</v>
      </c>
      <c r="E129" s="442" t="s">
        <v>71</v>
      </c>
      <c r="F129" s="442" t="s">
        <v>38</v>
      </c>
      <c r="G129" s="442" t="s">
        <v>72</v>
      </c>
      <c r="H129" s="442" t="s">
        <v>22</v>
      </c>
      <c r="I129" s="25" t="s">
        <v>40</v>
      </c>
      <c r="J129" s="54" t="s">
        <v>2</v>
      </c>
      <c r="K129" s="55" t="s">
        <v>3</v>
      </c>
      <c r="L129" s="55" t="s">
        <v>61</v>
      </c>
      <c r="M129" s="55" t="s">
        <v>62</v>
      </c>
      <c r="N129" s="70" t="s">
        <v>14</v>
      </c>
    </row>
    <row r="130" spans="2:14" ht="18" customHeight="1">
      <c r="B130" s="648" t="s">
        <v>92</v>
      </c>
      <c r="C130" s="649" t="s">
        <v>93</v>
      </c>
      <c r="D130" s="443">
        <f>J130-IF(L130=1,81,IF(L130=2,58.5,IF(L130=3,36,0)))</f>
        <v>0</v>
      </c>
      <c r="E130" s="443">
        <v>0</v>
      </c>
      <c r="F130" s="443">
        <f>K130-IF(M130=1,81,IF(M130=2,58.5,IF(M130=3,36,0)))</f>
        <v>0</v>
      </c>
      <c r="G130" s="440">
        <v>0</v>
      </c>
      <c r="H130" s="440">
        <v>2.0489999999999999</v>
      </c>
      <c r="I130" s="59">
        <f>ROUND((D130*E130+F130*G130)/1000*H130,3)</f>
        <v>0</v>
      </c>
      <c r="J130" s="60"/>
      <c r="K130" s="61"/>
      <c r="L130" s="61"/>
      <c r="M130" s="61"/>
      <c r="N130" s="76" t="s">
        <v>56</v>
      </c>
    </row>
    <row r="131" spans="2:14" ht="18" customHeight="1">
      <c r="B131" s="648"/>
      <c r="C131" s="650"/>
      <c r="D131" s="443">
        <f>J131-IF(L131=1,81,IF(L131=2,58.5,IF(L131=3,36,0)))</f>
        <v>0</v>
      </c>
      <c r="E131" s="443">
        <v>0</v>
      </c>
      <c r="F131" s="443">
        <f>K131-IF(M131=1,81,IF(M131=2,58.5,IF(M131=3,36,0)))</f>
        <v>0</v>
      </c>
      <c r="G131" s="440"/>
      <c r="H131" s="440">
        <f>H130</f>
        <v>2.0489999999999999</v>
      </c>
      <c r="I131" s="59">
        <f>ROUND((D131*E131+F131*G131)/1000*H131,3)</f>
        <v>0</v>
      </c>
      <c r="J131" s="60"/>
      <c r="K131" s="61"/>
      <c r="L131" s="61"/>
      <c r="M131" s="61"/>
      <c r="N131" s="76" t="s">
        <v>58</v>
      </c>
    </row>
    <row r="132" spans="2:14" ht="18" customHeight="1" thickBot="1">
      <c r="B132" s="648"/>
      <c r="C132" s="651"/>
      <c r="D132" s="443">
        <f>J132-IF(L132=1,81,IF(L132=2,58.5,IF(L132=3,36,0)))</f>
        <v>0</v>
      </c>
      <c r="E132" s="443"/>
      <c r="F132" s="443">
        <f>K132-IF(M132=1,81,IF(M132=2,58.5,IF(M132=3,36,0)))</f>
        <v>0</v>
      </c>
      <c r="G132" s="440"/>
      <c r="H132" s="440">
        <f>H131</f>
        <v>2.0489999999999999</v>
      </c>
      <c r="I132" s="59">
        <f>ROUND((D132*E132+F132*G132)/1000*H132,3)</f>
        <v>0</v>
      </c>
      <c r="J132" s="64"/>
      <c r="K132" s="65"/>
      <c r="L132" s="65"/>
      <c r="M132" s="65"/>
      <c r="N132" s="80" t="s">
        <v>89</v>
      </c>
    </row>
    <row r="133" spans="2:14" ht="18" customHeight="1">
      <c r="B133" s="48" t="s">
        <v>42</v>
      </c>
      <c r="C133" s="49">
        <f>SUMPRODUCT(D130:D132*E130:E132+F130:F132*G130:G132)/1000</f>
        <v>0</v>
      </c>
      <c r="D133" s="50" t="s">
        <v>43</v>
      </c>
      <c r="E133" s="49">
        <f>SUM(I130:I132)*1.1</f>
        <v>0</v>
      </c>
      <c r="F133" s="50" t="s">
        <v>44</v>
      </c>
      <c r="G133" s="51">
        <f>(C$218+C$219)/1000</f>
        <v>46.081499999999998</v>
      </c>
      <c r="H133" s="52" t="s">
        <v>45</v>
      </c>
      <c r="I133" s="53">
        <f>ROUND(E133*G133,2)</f>
        <v>0</v>
      </c>
      <c r="J133" s="243">
        <f>SUM(G130:G132)+SUM(E130:E132)</f>
        <v>0</v>
      </c>
    </row>
    <row r="134" spans="2:14" ht="18" customHeight="1">
      <c r="B134" s="48" t="s">
        <v>46</v>
      </c>
      <c r="C134" s="50">
        <v>298.42</v>
      </c>
      <c r="D134" s="50" t="s">
        <v>47</v>
      </c>
      <c r="E134" s="49">
        <f>ROUND(C133*(C134/1000),2)</f>
        <v>0</v>
      </c>
      <c r="F134" s="50" t="s">
        <v>48</v>
      </c>
      <c r="G134" s="50">
        <f>G$23</f>
        <v>10</v>
      </c>
      <c r="H134" s="52" t="s">
        <v>49</v>
      </c>
      <c r="I134" s="53">
        <f>ROUND(E134*G134,2)</f>
        <v>0</v>
      </c>
    </row>
    <row r="135" spans="2:14" ht="18" customHeight="1">
      <c r="B135" s="48" t="s">
        <v>50</v>
      </c>
      <c r="C135" s="50">
        <v>208.08</v>
      </c>
      <c r="D135" s="50" t="s">
        <v>51</v>
      </c>
      <c r="E135" s="49">
        <f>ROUND(C133*(C135/1000),2)</f>
        <v>0</v>
      </c>
      <c r="F135" s="50" t="s">
        <v>48</v>
      </c>
      <c r="G135" s="50">
        <f>G$24</f>
        <v>10</v>
      </c>
      <c r="H135" s="52" t="s">
        <v>49</v>
      </c>
      <c r="I135" s="53">
        <f>ROUND(E135*G135,2)</f>
        <v>0</v>
      </c>
    </row>
    <row r="136" spans="2:14" ht="18" customHeight="1">
      <c r="B136" s="23" t="s">
        <v>36</v>
      </c>
      <c r="C136" s="442" t="s">
        <v>14</v>
      </c>
      <c r="D136" s="652" t="s">
        <v>38</v>
      </c>
      <c r="E136" s="652"/>
      <c r="F136" s="652"/>
      <c r="G136" s="442" t="s">
        <v>72</v>
      </c>
      <c r="H136" s="442" t="s">
        <v>22</v>
      </c>
      <c r="I136" s="25" t="s">
        <v>40</v>
      </c>
    </row>
    <row r="137" spans="2:14" ht="18" customHeight="1">
      <c r="B137" s="648" t="s">
        <v>94</v>
      </c>
      <c r="C137" s="649" t="s">
        <v>95</v>
      </c>
      <c r="D137" s="654">
        <f>E116</f>
        <v>2247</v>
      </c>
      <c r="E137" s="646"/>
      <c r="F137" s="646"/>
      <c r="G137" s="440">
        <v>1</v>
      </c>
      <c r="H137" s="440">
        <v>1.3360000000000001</v>
      </c>
      <c r="I137" s="59">
        <f>ROUND(D137*H137*G137/1000,3)</f>
        <v>3.0019999999999998</v>
      </c>
    </row>
    <row r="138" spans="2:14" ht="18" customHeight="1">
      <c r="B138" s="648"/>
      <c r="C138" s="651"/>
      <c r="D138" s="654"/>
      <c r="E138" s="646"/>
      <c r="F138" s="646"/>
      <c r="G138" s="440"/>
      <c r="H138" s="440">
        <f>H137</f>
        <v>1.3360000000000001</v>
      </c>
      <c r="I138" s="59">
        <f>ROUND(D138*H138*G138/1000,3)</f>
        <v>0</v>
      </c>
    </row>
    <row r="139" spans="2:14" ht="18" customHeight="1">
      <c r="B139" s="48" t="s">
        <v>42</v>
      </c>
      <c r="C139" s="49">
        <f>SUMPRODUCT(D137:F138*G137:G138)/1000</f>
        <v>2.2469999999999999</v>
      </c>
      <c r="D139" s="50" t="s">
        <v>43</v>
      </c>
      <c r="E139" s="49">
        <f>SUM(I137:I138)*1.1</f>
        <v>3.3022</v>
      </c>
      <c r="F139" s="50" t="s">
        <v>44</v>
      </c>
      <c r="G139" s="51">
        <f>(C$218+C$219)/1000</f>
        <v>46.081499999999998</v>
      </c>
      <c r="H139" s="52" t="s">
        <v>45</v>
      </c>
      <c r="I139" s="53">
        <f>ROUND(E139*G139,2)</f>
        <v>152.16999999999999</v>
      </c>
    </row>
    <row r="140" spans="2:14" ht="18" customHeight="1">
      <c r="B140" s="48" t="s">
        <v>46</v>
      </c>
      <c r="C140" s="50">
        <v>143.24</v>
      </c>
      <c r="D140" s="50" t="s">
        <v>47</v>
      </c>
      <c r="E140" s="49">
        <f>ROUND(C139*(C140/1000),2)</f>
        <v>0.32</v>
      </c>
      <c r="F140" s="50" t="s">
        <v>48</v>
      </c>
      <c r="G140" s="50">
        <f>G$23</f>
        <v>10</v>
      </c>
      <c r="H140" s="52" t="s">
        <v>49</v>
      </c>
      <c r="I140" s="53">
        <f>E140*G140</f>
        <v>3.2</v>
      </c>
    </row>
    <row r="141" spans="2:14" ht="18" customHeight="1">
      <c r="B141" s="48" t="s">
        <v>50</v>
      </c>
      <c r="C141" s="50">
        <v>85.04</v>
      </c>
      <c r="D141" s="50" t="s">
        <v>51</v>
      </c>
      <c r="E141" s="49">
        <f>ROUND(C139*(C141/1000),2)</f>
        <v>0.19</v>
      </c>
      <c r="F141" s="50" t="s">
        <v>48</v>
      </c>
      <c r="G141" s="50">
        <f>G$24</f>
        <v>10</v>
      </c>
      <c r="H141" s="52" t="s">
        <v>49</v>
      </c>
      <c r="I141" s="53">
        <f>E141*G141</f>
        <v>1.9</v>
      </c>
    </row>
    <row r="142" spans="2:14" ht="18" customHeight="1">
      <c r="B142" s="23" t="s">
        <v>36</v>
      </c>
      <c r="C142" s="442" t="s">
        <v>14</v>
      </c>
      <c r="D142" s="442" t="s">
        <v>37</v>
      </c>
      <c r="E142" s="442" t="s">
        <v>38</v>
      </c>
      <c r="F142" s="442" t="s">
        <v>39</v>
      </c>
      <c r="G142" s="442" t="s">
        <v>8</v>
      </c>
      <c r="H142" s="442" t="s">
        <v>22</v>
      </c>
      <c r="I142" s="25" t="s">
        <v>40</v>
      </c>
    </row>
    <row r="143" spans="2:14" ht="18" customHeight="1">
      <c r="B143" s="648" t="s">
        <v>96</v>
      </c>
      <c r="C143" s="653" t="s">
        <v>83</v>
      </c>
      <c r="D143" s="443">
        <f t="shared" ref="D143:E145" si="20">D116-154</f>
        <v>955</v>
      </c>
      <c r="E143" s="443">
        <f t="shared" si="20"/>
        <v>2093</v>
      </c>
      <c r="F143" s="443">
        <f>(D143+E143)*2/1000</f>
        <v>6.0960000000000001</v>
      </c>
      <c r="G143" s="440">
        <f>G116</f>
        <v>2</v>
      </c>
      <c r="H143" s="440">
        <v>0.27100000000000002</v>
      </c>
      <c r="I143" s="59">
        <f>ROUND((F143*G143)*H143,3)</f>
        <v>3.3039999999999998</v>
      </c>
    </row>
    <row r="144" spans="2:14" ht="18" customHeight="1">
      <c r="B144" s="648"/>
      <c r="C144" s="650"/>
      <c r="D144" s="443">
        <f t="shared" si="20"/>
        <v>-154</v>
      </c>
      <c r="E144" s="443">
        <f t="shared" si="20"/>
        <v>-154</v>
      </c>
      <c r="F144" s="443">
        <f>(D144+E144)*2/1000</f>
        <v>-0.61599999999999999</v>
      </c>
      <c r="G144" s="440">
        <f>G117</f>
        <v>0</v>
      </c>
      <c r="H144" s="440">
        <f>H143</f>
        <v>0.27100000000000002</v>
      </c>
      <c r="I144" s="59">
        <f>ROUND((F144*G144)*H144,3)</f>
        <v>0</v>
      </c>
    </row>
    <row r="145" spans="2:14" ht="18" customHeight="1">
      <c r="B145" s="648"/>
      <c r="C145" s="651"/>
      <c r="D145" s="443">
        <f t="shared" si="20"/>
        <v>-154</v>
      </c>
      <c r="E145" s="443">
        <f t="shared" si="20"/>
        <v>-154</v>
      </c>
      <c r="F145" s="443">
        <f>(D145+E145)*2/1000</f>
        <v>-0.61599999999999999</v>
      </c>
      <c r="G145" s="440">
        <f>G118</f>
        <v>0</v>
      </c>
      <c r="H145" s="440">
        <f>H144</f>
        <v>0.27100000000000002</v>
      </c>
      <c r="I145" s="59">
        <f>ROUND((F145*G145)*H145,3)</f>
        <v>0</v>
      </c>
    </row>
    <row r="146" spans="2:14" ht="18" customHeight="1">
      <c r="B146" s="48" t="s">
        <v>42</v>
      </c>
      <c r="C146" s="49">
        <f>SUMPRODUCT(F143:F145*G143:G145)</f>
        <v>12.192</v>
      </c>
      <c r="D146" s="50" t="s">
        <v>43</v>
      </c>
      <c r="E146" s="49">
        <f>SUM(I143:I145)*1.1</f>
        <v>3.6344000000000003</v>
      </c>
      <c r="F146" s="50" t="s">
        <v>44</v>
      </c>
      <c r="G146" s="51">
        <f>(C$218+C$222)/1000</f>
        <v>39.781500000000001</v>
      </c>
      <c r="H146" s="52" t="s">
        <v>45</v>
      </c>
      <c r="I146" s="53">
        <f>ROUND(E146*G146,2)</f>
        <v>144.58000000000001</v>
      </c>
    </row>
    <row r="147" spans="2:14" ht="18" customHeight="1">
      <c r="B147" s="48" t="s">
        <v>46</v>
      </c>
      <c r="C147" s="50">
        <v>186.72</v>
      </c>
      <c r="D147" s="50" t="s">
        <v>47</v>
      </c>
      <c r="E147" s="49">
        <f>ROUND(C146*(C147/1000),2)</f>
        <v>2.2799999999999998</v>
      </c>
      <c r="F147" s="50" t="s">
        <v>48</v>
      </c>
      <c r="G147" s="50">
        <f>G$23</f>
        <v>10</v>
      </c>
      <c r="H147" s="52" t="s">
        <v>49</v>
      </c>
      <c r="I147" s="53">
        <f>E147*G147</f>
        <v>22.799999999999997</v>
      </c>
      <c r="K147" s="42"/>
      <c r="L147" s="42"/>
      <c r="M147" s="42"/>
    </row>
    <row r="148" spans="2:14" ht="18" customHeight="1">
      <c r="B148" s="48" t="s">
        <v>50</v>
      </c>
      <c r="C148" s="50">
        <v>0</v>
      </c>
      <c r="D148" s="50" t="s">
        <v>51</v>
      </c>
      <c r="E148" s="49">
        <f>ROUND(C146*(C148/1000),2)</f>
        <v>0</v>
      </c>
      <c r="F148" s="50" t="s">
        <v>48</v>
      </c>
      <c r="G148" s="50">
        <f>G$24</f>
        <v>10</v>
      </c>
      <c r="H148" s="52" t="s">
        <v>49</v>
      </c>
      <c r="I148" s="53">
        <f>E148*G148</f>
        <v>0</v>
      </c>
      <c r="K148" s="42"/>
      <c r="L148" s="42"/>
      <c r="M148" s="42"/>
    </row>
    <row r="149" spans="2:14" ht="18" customHeight="1">
      <c r="B149" s="23" t="s">
        <v>36</v>
      </c>
      <c r="C149" s="442" t="s">
        <v>14</v>
      </c>
      <c r="D149" s="442" t="s">
        <v>37</v>
      </c>
      <c r="E149" s="442" t="s">
        <v>38</v>
      </c>
      <c r="F149" s="442" t="s">
        <v>39</v>
      </c>
      <c r="G149" s="442" t="s">
        <v>8</v>
      </c>
      <c r="H149" s="442" t="s">
        <v>22</v>
      </c>
      <c r="I149" s="25" t="s">
        <v>40</v>
      </c>
      <c r="K149" s="42"/>
      <c r="L149" s="42"/>
      <c r="M149" s="42"/>
    </row>
    <row r="150" spans="2:14" ht="18" customHeight="1">
      <c r="B150" s="648" t="s">
        <v>97</v>
      </c>
      <c r="C150" s="653" t="s">
        <v>83</v>
      </c>
      <c r="D150" s="443">
        <f t="shared" ref="D150:E152" si="21">D123-160</f>
        <v>-160</v>
      </c>
      <c r="E150" s="443">
        <f t="shared" si="21"/>
        <v>-160</v>
      </c>
      <c r="F150" s="443">
        <f>(D150+E150)*2/1000</f>
        <v>-0.64</v>
      </c>
      <c r="G150" s="440">
        <f>G123</f>
        <v>0</v>
      </c>
      <c r="H150" s="440">
        <f>H145</f>
        <v>0.27100000000000002</v>
      </c>
      <c r="I150" s="59">
        <f>ROUND((F150*G150)*H150,3)</f>
        <v>0</v>
      </c>
      <c r="K150" s="42"/>
      <c r="L150" s="42"/>
      <c r="M150" s="42"/>
    </row>
    <row r="151" spans="2:14" ht="18" customHeight="1">
      <c r="B151" s="648"/>
      <c r="C151" s="650"/>
      <c r="D151" s="443">
        <f t="shared" si="21"/>
        <v>-160</v>
      </c>
      <c r="E151" s="443">
        <f t="shared" si="21"/>
        <v>-160</v>
      </c>
      <c r="F151" s="443">
        <f>(D151+E151)*2/1000</f>
        <v>-0.64</v>
      </c>
      <c r="G151" s="440">
        <f>G124</f>
        <v>0</v>
      </c>
      <c r="H151" s="440">
        <f>H150</f>
        <v>0.27100000000000002</v>
      </c>
      <c r="I151" s="59">
        <f>ROUND((F151*G151)*H151,3)</f>
        <v>0</v>
      </c>
      <c r="K151" s="42"/>
      <c r="L151" s="42"/>
      <c r="M151" s="42"/>
    </row>
    <row r="152" spans="2:14" ht="18" customHeight="1">
      <c r="B152" s="648"/>
      <c r="C152" s="651"/>
      <c r="D152" s="443">
        <f t="shared" si="21"/>
        <v>-160</v>
      </c>
      <c r="E152" s="443">
        <f t="shared" si="21"/>
        <v>-160</v>
      </c>
      <c r="F152" s="443">
        <f>(D152+E152)*2/1000</f>
        <v>-0.64</v>
      </c>
      <c r="G152" s="440">
        <f>G125</f>
        <v>0</v>
      </c>
      <c r="H152" s="440">
        <f>H151</f>
        <v>0.27100000000000002</v>
      </c>
      <c r="I152" s="59">
        <f>ROUND((F152*G152)*H152,3)</f>
        <v>0</v>
      </c>
      <c r="K152" s="42"/>
      <c r="L152" s="42"/>
      <c r="M152" s="42"/>
    </row>
    <row r="153" spans="2:14" ht="18" customHeight="1">
      <c r="B153" s="48" t="s">
        <v>42</v>
      </c>
      <c r="C153" s="49">
        <f>SUMPRODUCT(F150:F152*G150:G152)</f>
        <v>0</v>
      </c>
      <c r="D153" s="50" t="s">
        <v>43</v>
      </c>
      <c r="E153" s="49">
        <f>SUM(I150:I152)*1.1</f>
        <v>0</v>
      </c>
      <c r="F153" s="50" t="s">
        <v>44</v>
      </c>
      <c r="G153" s="51">
        <f>(C$218+C$222)/1000</f>
        <v>39.781500000000001</v>
      </c>
      <c r="H153" s="52" t="s">
        <v>45</v>
      </c>
      <c r="I153" s="53">
        <f>ROUND(E153*G153,2)</f>
        <v>0</v>
      </c>
      <c r="K153" s="42"/>
      <c r="L153" s="42"/>
      <c r="M153" s="42"/>
    </row>
    <row r="154" spans="2:14" ht="18" customHeight="1">
      <c r="B154" s="48" t="s">
        <v>46</v>
      </c>
      <c r="C154" s="50">
        <v>186.72</v>
      </c>
      <c r="D154" s="50" t="s">
        <v>47</v>
      </c>
      <c r="E154" s="49">
        <f>ROUND(C153*(C154/1000),2)</f>
        <v>0</v>
      </c>
      <c r="F154" s="50" t="s">
        <v>48</v>
      </c>
      <c r="G154" s="50">
        <f>G$23</f>
        <v>10</v>
      </c>
      <c r="H154" s="52" t="s">
        <v>49</v>
      </c>
      <c r="I154" s="53">
        <f>E154*G154</f>
        <v>0</v>
      </c>
    </row>
    <row r="155" spans="2:14" ht="18" customHeight="1" thickBot="1">
      <c r="B155" s="48" t="s">
        <v>50</v>
      </c>
      <c r="C155" s="50">
        <v>0</v>
      </c>
      <c r="D155" s="50" t="s">
        <v>51</v>
      </c>
      <c r="E155" s="49">
        <f>ROUND(C153*(C155/1000),2)</f>
        <v>0</v>
      </c>
      <c r="F155" s="50" t="s">
        <v>48</v>
      </c>
      <c r="G155" s="50">
        <f>G$24</f>
        <v>10</v>
      </c>
      <c r="H155" s="52" t="s">
        <v>49</v>
      </c>
      <c r="I155" s="53">
        <f>E155*G155</f>
        <v>0</v>
      </c>
    </row>
    <row r="156" spans="2:14" ht="18" customHeight="1" thickBot="1">
      <c r="B156" s="23" t="s">
        <v>36</v>
      </c>
      <c r="C156" s="442" t="s">
        <v>14</v>
      </c>
      <c r="D156" s="442" t="s">
        <v>37</v>
      </c>
      <c r="E156" s="442" t="s">
        <v>38</v>
      </c>
      <c r="F156" s="442" t="s">
        <v>39</v>
      </c>
      <c r="G156" s="442" t="s">
        <v>8</v>
      </c>
      <c r="H156" s="442" t="s">
        <v>22</v>
      </c>
      <c r="I156" s="25" t="s">
        <v>40</v>
      </c>
      <c r="J156" s="54" t="s">
        <v>2</v>
      </c>
      <c r="K156" s="55" t="s">
        <v>3</v>
      </c>
      <c r="L156" s="55" t="s">
        <v>61</v>
      </c>
      <c r="M156" s="55" t="s">
        <v>62</v>
      </c>
      <c r="N156" s="70" t="s">
        <v>14</v>
      </c>
    </row>
    <row r="157" spans="2:14" ht="18" customHeight="1">
      <c r="B157" s="648" t="s">
        <v>98</v>
      </c>
      <c r="C157" s="649" t="s">
        <v>99</v>
      </c>
      <c r="D157" s="443">
        <f t="shared" ref="D157:E162" si="22">J157-IF(L157=1,90,IF(L157=2,67.5,IF(L157=3,45,0)))</f>
        <v>0</v>
      </c>
      <c r="E157" s="443">
        <f t="shared" si="22"/>
        <v>0</v>
      </c>
      <c r="F157" s="443">
        <f t="shared" ref="F157:F162" si="23">2*(D157+E157)/1000</f>
        <v>0</v>
      </c>
      <c r="G157" s="440">
        <v>0</v>
      </c>
      <c r="H157" s="440">
        <f>H68</f>
        <v>0.224</v>
      </c>
      <c r="I157" s="59">
        <f t="shared" ref="I157:I162" si="24">ROUND((F157*G157)*H157,3)</f>
        <v>0</v>
      </c>
      <c r="J157" s="60"/>
      <c r="K157" s="61"/>
      <c r="L157" s="61"/>
      <c r="M157" s="61"/>
      <c r="N157" s="76" t="s">
        <v>56</v>
      </c>
    </row>
    <row r="158" spans="2:14" ht="18" customHeight="1">
      <c r="B158" s="648"/>
      <c r="C158" s="650"/>
      <c r="D158" s="443">
        <f t="shared" si="22"/>
        <v>0</v>
      </c>
      <c r="E158" s="443">
        <f t="shared" si="22"/>
        <v>0</v>
      </c>
      <c r="F158" s="443">
        <f t="shared" si="23"/>
        <v>0</v>
      </c>
      <c r="G158" s="440"/>
      <c r="H158" s="440">
        <f>H157</f>
        <v>0.224</v>
      </c>
      <c r="I158" s="59">
        <f t="shared" si="24"/>
        <v>0</v>
      </c>
      <c r="J158" s="60"/>
      <c r="K158" s="61"/>
      <c r="L158" s="61"/>
      <c r="M158" s="61"/>
      <c r="N158" s="76" t="s">
        <v>58</v>
      </c>
    </row>
    <row r="159" spans="2:14" ht="18" customHeight="1">
      <c r="B159" s="648"/>
      <c r="C159" s="650"/>
      <c r="D159" s="443">
        <f t="shared" si="22"/>
        <v>0</v>
      </c>
      <c r="E159" s="443">
        <f t="shared" si="22"/>
        <v>0</v>
      </c>
      <c r="F159" s="443">
        <f t="shared" si="23"/>
        <v>0</v>
      </c>
      <c r="G159" s="440"/>
      <c r="H159" s="440">
        <f>H158</f>
        <v>0.224</v>
      </c>
      <c r="I159" s="59">
        <f t="shared" si="24"/>
        <v>0</v>
      </c>
      <c r="J159" s="60"/>
      <c r="K159" s="61"/>
      <c r="L159" s="61"/>
      <c r="M159" s="61"/>
      <c r="N159" s="76" t="s">
        <v>60</v>
      </c>
    </row>
    <row r="160" spans="2:14" ht="18" customHeight="1">
      <c r="B160" s="648"/>
      <c r="C160" s="650"/>
      <c r="D160" s="443">
        <f t="shared" si="22"/>
        <v>0</v>
      </c>
      <c r="E160" s="443">
        <f t="shared" si="22"/>
        <v>0</v>
      </c>
      <c r="F160" s="443">
        <f t="shared" si="23"/>
        <v>0</v>
      </c>
      <c r="G160" s="440">
        <v>0</v>
      </c>
      <c r="H160" s="77">
        <f>H159</f>
        <v>0.224</v>
      </c>
      <c r="I160" s="59">
        <f t="shared" si="24"/>
        <v>0</v>
      </c>
      <c r="J160" s="60"/>
      <c r="K160" s="61"/>
      <c r="L160" s="61"/>
      <c r="M160" s="61"/>
      <c r="N160" s="76"/>
    </row>
    <row r="161" spans="2:16" ht="18" customHeight="1">
      <c r="B161" s="648"/>
      <c r="C161" s="650"/>
      <c r="D161" s="443">
        <f t="shared" si="22"/>
        <v>0</v>
      </c>
      <c r="E161" s="443">
        <f t="shared" si="22"/>
        <v>0</v>
      </c>
      <c r="F161" s="443">
        <f t="shared" si="23"/>
        <v>0</v>
      </c>
      <c r="G161" s="440"/>
      <c r="H161" s="440">
        <f>H160</f>
        <v>0.224</v>
      </c>
      <c r="I161" s="59">
        <f t="shared" si="24"/>
        <v>0</v>
      </c>
      <c r="J161" s="60"/>
      <c r="K161" s="61"/>
      <c r="L161" s="61"/>
      <c r="M161" s="61"/>
      <c r="N161" s="76"/>
    </row>
    <row r="162" spans="2:16" ht="18" customHeight="1" thickBot="1">
      <c r="B162" s="648"/>
      <c r="C162" s="651"/>
      <c r="D162" s="443">
        <f t="shared" si="22"/>
        <v>0</v>
      </c>
      <c r="E162" s="443">
        <f t="shared" si="22"/>
        <v>0</v>
      </c>
      <c r="F162" s="443">
        <f t="shared" si="23"/>
        <v>0</v>
      </c>
      <c r="G162" s="440"/>
      <c r="H162" s="440">
        <f>H160</f>
        <v>0.224</v>
      </c>
      <c r="I162" s="59">
        <f t="shared" si="24"/>
        <v>0</v>
      </c>
      <c r="J162" s="64"/>
      <c r="K162" s="65"/>
      <c r="L162" s="65"/>
      <c r="M162" s="65"/>
      <c r="N162" s="80"/>
    </row>
    <row r="163" spans="2:16" ht="18" customHeight="1">
      <c r="B163" s="48" t="s">
        <v>42</v>
      </c>
      <c r="C163" s="49">
        <f>SUMPRODUCT(F157:F162*G157:G162)</f>
        <v>0</v>
      </c>
      <c r="D163" s="50" t="s">
        <v>43</v>
      </c>
      <c r="E163" s="49">
        <f>SUM(I157:I162)*1.1</f>
        <v>0</v>
      </c>
      <c r="F163" s="50" t="s">
        <v>44</v>
      </c>
      <c r="G163" s="51">
        <f>(C$218+C$222)/1000</f>
        <v>39.781500000000001</v>
      </c>
      <c r="H163" s="52" t="s">
        <v>45</v>
      </c>
      <c r="I163" s="53">
        <f>ROUND(E163*G163,2)</f>
        <v>0</v>
      </c>
      <c r="J163" s="102"/>
      <c r="K163" s="102"/>
      <c r="L163" s="102"/>
      <c r="M163" s="102"/>
      <c r="O163" s="102"/>
      <c r="P163" s="102"/>
    </row>
    <row r="164" spans="2:16" ht="18" customHeight="1">
      <c r="B164" s="48" t="s">
        <v>46</v>
      </c>
      <c r="C164" s="50">
        <v>181.72</v>
      </c>
      <c r="D164" s="50" t="s">
        <v>47</v>
      </c>
      <c r="E164" s="49">
        <f>ROUND(C163*(C164/1000),2)</f>
        <v>0</v>
      </c>
      <c r="F164" s="50" t="s">
        <v>48</v>
      </c>
      <c r="G164" s="50">
        <f>G$23</f>
        <v>10</v>
      </c>
      <c r="H164" s="52" t="s">
        <v>49</v>
      </c>
      <c r="I164" s="53">
        <f>E164*G164</f>
        <v>0</v>
      </c>
      <c r="J164" s="102"/>
      <c r="K164" s="102"/>
      <c r="L164" s="102"/>
      <c r="M164" s="102"/>
      <c r="O164" s="102"/>
      <c r="P164" s="102"/>
    </row>
    <row r="165" spans="2:16" ht="18" customHeight="1">
      <c r="B165" s="48" t="s">
        <v>50</v>
      </c>
      <c r="C165" s="50"/>
      <c r="D165" s="50" t="s">
        <v>51</v>
      </c>
      <c r="E165" s="49">
        <f>ROUND(C163*(C165/1000),2)</f>
        <v>0</v>
      </c>
      <c r="F165" s="50" t="s">
        <v>48</v>
      </c>
      <c r="G165" s="50">
        <f>G$24</f>
        <v>10</v>
      </c>
      <c r="H165" s="52" t="s">
        <v>49</v>
      </c>
      <c r="I165" s="53">
        <f>E165*G165</f>
        <v>0</v>
      </c>
      <c r="K165" s="43">
        <f>J165*E165</f>
        <v>0</v>
      </c>
    </row>
    <row r="166" spans="2:16" ht="18" customHeight="1">
      <c r="B166" s="23" t="s">
        <v>36</v>
      </c>
      <c r="C166" s="442" t="s">
        <v>14</v>
      </c>
      <c r="D166" s="442" t="s">
        <v>37</v>
      </c>
      <c r="E166" s="442" t="s">
        <v>71</v>
      </c>
      <c r="F166" s="442" t="s">
        <v>38</v>
      </c>
      <c r="G166" s="442" t="s">
        <v>72</v>
      </c>
      <c r="H166" s="442" t="s">
        <v>22</v>
      </c>
      <c r="I166" s="25" t="s">
        <v>40</v>
      </c>
    </row>
    <row r="167" spans="2:16" ht="18" customHeight="1">
      <c r="B167" s="648" t="s">
        <v>100</v>
      </c>
      <c r="C167" s="649" t="s">
        <v>101</v>
      </c>
      <c r="D167" s="440"/>
      <c r="E167" s="440"/>
      <c r="F167" s="440"/>
      <c r="G167" s="440"/>
      <c r="H167" s="28">
        <v>6.3E-2</v>
      </c>
      <c r="I167" s="59">
        <f>ROUND((D167*E167+F167*G167)/1000*H167,3)</f>
        <v>0</v>
      </c>
    </row>
    <row r="168" spans="2:16" ht="18" customHeight="1">
      <c r="B168" s="648"/>
      <c r="C168" s="650"/>
      <c r="D168" s="440"/>
      <c r="E168" s="440"/>
      <c r="F168" s="440"/>
      <c r="G168" s="440"/>
      <c r="H168" s="28">
        <f>H167</f>
        <v>6.3E-2</v>
      </c>
      <c r="I168" s="59">
        <f>ROUND((D168*E168+F168*G168)/1000*H168,3)</f>
        <v>0</v>
      </c>
    </row>
    <row r="169" spans="2:16" ht="18" customHeight="1">
      <c r="B169" s="648"/>
      <c r="C169" s="651"/>
      <c r="D169" s="440"/>
      <c r="E169" s="440"/>
      <c r="F169" s="440"/>
      <c r="G169" s="440"/>
      <c r="H169" s="28">
        <f>H168</f>
        <v>6.3E-2</v>
      </c>
      <c r="I169" s="59">
        <f>ROUND((D169*E169+F169*G169)/1000*H169,3)</f>
        <v>0</v>
      </c>
    </row>
    <row r="170" spans="2:16" ht="18" customHeight="1">
      <c r="B170" s="48" t="s">
        <v>42</v>
      </c>
      <c r="C170" s="49">
        <f>SUMPRODUCT(D167:D169*E167:E169+F167:F169*G167:G169)/1000</f>
        <v>0</v>
      </c>
      <c r="D170" s="50" t="s">
        <v>43</v>
      </c>
      <c r="E170" s="49">
        <f>SUM(I167:I169)*1.1</f>
        <v>0</v>
      </c>
      <c r="F170" s="50" t="s">
        <v>44</v>
      </c>
      <c r="G170" s="51">
        <f>(C$218+$C$222)/1000</f>
        <v>39.781500000000001</v>
      </c>
      <c r="H170" s="52" t="s">
        <v>45</v>
      </c>
      <c r="I170" s="53">
        <f>ROUND(E170*G170,2)</f>
        <v>0</v>
      </c>
    </row>
    <row r="171" spans="2:16" ht="18" customHeight="1">
      <c r="B171" s="48" t="s">
        <v>46</v>
      </c>
      <c r="C171" s="50">
        <v>105.66</v>
      </c>
      <c r="D171" s="50" t="s">
        <v>47</v>
      </c>
      <c r="E171" s="49">
        <f>ROUND(C170*(C171/1000),2)</f>
        <v>0</v>
      </c>
      <c r="F171" s="50" t="s">
        <v>48</v>
      </c>
      <c r="G171" s="50">
        <f>G$23</f>
        <v>10</v>
      </c>
      <c r="H171" s="52" t="s">
        <v>49</v>
      </c>
      <c r="I171" s="53">
        <f>E171*G171</f>
        <v>0</v>
      </c>
    </row>
    <row r="172" spans="2:16" ht="18" customHeight="1">
      <c r="B172" s="48" t="s">
        <v>50</v>
      </c>
      <c r="C172" s="50">
        <v>125.66</v>
      </c>
      <c r="D172" s="50" t="s">
        <v>51</v>
      </c>
      <c r="E172" s="49">
        <f>ROUND(C170*(C172/1000),2)</f>
        <v>0</v>
      </c>
      <c r="F172" s="50" t="s">
        <v>48</v>
      </c>
      <c r="G172" s="50">
        <f>G$24</f>
        <v>10</v>
      </c>
      <c r="H172" s="52" t="s">
        <v>49</v>
      </c>
      <c r="I172" s="53">
        <f>E172*G172</f>
        <v>0</v>
      </c>
    </row>
    <row r="173" spans="2:16" ht="18" customHeight="1">
      <c r="B173" s="23" t="s">
        <v>36</v>
      </c>
      <c r="C173" s="442" t="s">
        <v>14</v>
      </c>
      <c r="D173" s="442" t="s">
        <v>37</v>
      </c>
      <c r="E173" s="442" t="s">
        <v>71</v>
      </c>
      <c r="F173" s="442" t="s">
        <v>38</v>
      </c>
      <c r="G173" s="442" t="s">
        <v>72</v>
      </c>
      <c r="H173" s="442" t="s">
        <v>22</v>
      </c>
      <c r="I173" s="25" t="s">
        <v>40</v>
      </c>
    </row>
    <row r="174" spans="2:16" ht="18" customHeight="1">
      <c r="B174" s="648" t="s">
        <v>102</v>
      </c>
      <c r="C174" s="649" t="s">
        <v>103</v>
      </c>
      <c r="D174" s="440"/>
      <c r="E174" s="440"/>
      <c r="F174" s="440"/>
      <c r="G174" s="440"/>
      <c r="H174" s="28">
        <v>1.0980000000000001</v>
      </c>
      <c r="I174" s="59">
        <f>ROUND((D174*E174+F174*G174)/1000*H174,3)</f>
        <v>0</v>
      </c>
    </row>
    <row r="175" spans="2:16" ht="18" customHeight="1">
      <c r="B175" s="648"/>
      <c r="C175" s="650"/>
      <c r="D175" s="440"/>
      <c r="E175" s="440"/>
      <c r="F175" s="440"/>
      <c r="G175" s="440"/>
      <c r="H175" s="28">
        <f>H174</f>
        <v>1.0980000000000001</v>
      </c>
      <c r="I175" s="59">
        <f>ROUND((D175*E175+F175*G175)/1000*H175,3)</f>
        <v>0</v>
      </c>
    </row>
    <row r="176" spans="2:16" ht="18" customHeight="1">
      <c r="B176" s="648"/>
      <c r="C176" s="651"/>
      <c r="D176" s="440"/>
      <c r="E176" s="440"/>
      <c r="F176" s="440"/>
      <c r="G176" s="440"/>
      <c r="H176" s="28">
        <f>H175</f>
        <v>1.0980000000000001</v>
      </c>
      <c r="I176" s="59">
        <f>ROUND((D176*E176+F176*G176)/1000*H176,3)</f>
        <v>0</v>
      </c>
    </row>
    <row r="177" spans="2:9" ht="18" customHeight="1">
      <c r="B177" s="48" t="s">
        <v>42</v>
      </c>
      <c r="C177" s="49">
        <f>SUMPRODUCT(D174:D176*E174:E176+F174:F176*G174:G176)/1000</f>
        <v>0</v>
      </c>
      <c r="D177" s="50" t="s">
        <v>43</v>
      </c>
      <c r="E177" s="49">
        <f>SUM(I174:I176)*1.1</f>
        <v>0</v>
      </c>
      <c r="F177" s="50" t="s">
        <v>44</v>
      </c>
      <c r="G177" s="51">
        <f>(C$218+C$219)/1000</f>
        <v>46.081499999999998</v>
      </c>
      <c r="H177" s="52" t="s">
        <v>45</v>
      </c>
      <c r="I177" s="53">
        <f>ROUND(E177*G177,2)</f>
        <v>0</v>
      </c>
    </row>
    <row r="178" spans="2:9" ht="18" customHeight="1">
      <c r="B178" s="48" t="s">
        <v>46</v>
      </c>
      <c r="C178" s="50">
        <v>105.66</v>
      </c>
      <c r="D178" s="50" t="s">
        <v>47</v>
      </c>
      <c r="E178" s="49">
        <f>ROUND(C177*(C178/1000),2)</f>
        <v>0</v>
      </c>
      <c r="F178" s="50" t="s">
        <v>48</v>
      </c>
      <c r="G178" s="50">
        <f>G$23</f>
        <v>10</v>
      </c>
      <c r="H178" s="52" t="s">
        <v>49</v>
      </c>
      <c r="I178" s="53">
        <f>E178*G178</f>
        <v>0</v>
      </c>
    </row>
    <row r="179" spans="2:9" ht="18" customHeight="1">
      <c r="B179" s="48" t="s">
        <v>50</v>
      </c>
      <c r="C179" s="50">
        <v>125.66</v>
      </c>
      <c r="D179" s="50" t="s">
        <v>51</v>
      </c>
      <c r="E179" s="49">
        <f>ROUND(C177*(C179/1000),2)</f>
        <v>0</v>
      </c>
      <c r="F179" s="50" t="s">
        <v>48</v>
      </c>
      <c r="G179" s="50">
        <f>G$24</f>
        <v>10</v>
      </c>
      <c r="H179" s="52" t="s">
        <v>49</v>
      </c>
      <c r="I179" s="53">
        <f>E179*G179</f>
        <v>0</v>
      </c>
    </row>
    <row r="180" spans="2:9" ht="18" customHeight="1">
      <c r="B180" s="23" t="s">
        <v>36</v>
      </c>
      <c r="C180" s="442" t="s">
        <v>14</v>
      </c>
      <c r="D180" s="442" t="s">
        <v>37</v>
      </c>
      <c r="E180" s="442" t="s">
        <v>71</v>
      </c>
      <c r="F180" s="442" t="s">
        <v>38</v>
      </c>
      <c r="G180" s="442" t="s">
        <v>72</v>
      </c>
      <c r="H180" s="442" t="s">
        <v>22</v>
      </c>
      <c r="I180" s="25" t="s">
        <v>40</v>
      </c>
    </row>
    <row r="181" spans="2:9" ht="18" customHeight="1">
      <c r="B181" s="648" t="s">
        <v>104</v>
      </c>
      <c r="C181" s="649" t="s">
        <v>105</v>
      </c>
      <c r="D181" s="440">
        <f>D6</f>
        <v>2300</v>
      </c>
      <c r="E181" s="440"/>
      <c r="F181" s="440"/>
      <c r="G181" s="440"/>
      <c r="H181" s="28">
        <v>1.5629999999999999</v>
      </c>
      <c r="I181" s="59">
        <f>ROUND((D181*E181+F181*G181)/1000*H181,3)</f>
        <v>0</v>
      </c>
    </row>
    <row r="182" spans="2:9" ht="18" customHeight="1">
      <c r="B182" s="648"/>
      <c r="C182" s="650"/>
      <c r="D182" s="440"/>
      <c r="E182" s="440"/>
      <c r="F182" s="440"/>
      <c r="G182" s="440"/>
      <c r="H182" s="28">
        <f>H181</f>
        <v>1.5629999999999999</v>
      </c>
      <c r="I182" s="59">
        <f>ROUND((D182*E182+F182*G182)/1000*H182,3)</f>
        <v>0</v>
      </c>
    </row>
    <row r="183" spans="2:9" ht="18" customHeight="1">
      <c r="B183" s="648"/>
      <c r="C183" s="651"/>
      <c r="D183" s="440"/>
      <c r="E183" s="440"/>
      <c r="F183" s="440"/>
      <c r="G183" s="440"/>
      <c r="H183" s="28">
        <f>H182</f>
        <v>1.5629999999999999</v>
      </c>
      <c r="I183" s="59">
        <f>ROUND((D183*E183+F183*G183)/1000*H183,3)</f>
        <v>0</v>
      </c>
    </row>
    <row r="184" spans="2:9" ht="18" customHeight="1">
      <c r="B184" s="48" t="s">
        <v>42</v>
      </c>
      <c r="C184" s="49">
        <f>SUMPRODUCT(D181:D183*E181:E183+F181:F183*G181:G183)/1000</f>
        <v>0</v>
      </c>
      <c r="D184" s="50" t="s">
        <v>43</v>
      </c>
      <c r="E184" s="49">
        <f>SUM(I181:I183)*1.1</f>
        <v>0</v>
      </c>
      <c r="F184" s="50" t="s">
        <v>44</v>
      </c>
      <c r="G184" s="51">
        <f>(C$218+C$219)/1000</f>
        <v>46.081499999999998</v>
      </c>
      <c r="H184" s="52" t="s">
        <v>45</v>
      </c>
      <c r="I184" s="53">
        <f>ROUND(E184*G184,2)</f>
        <v>0</v>
      </c>
    </row>
    <row r="185" spans="2:9" ht="18" customHeight="1">
      <c r="B185" s="48" t="s">
        <v>46</v>
      </c>
      <c r="C185" s="50">
        <v>105.66</v>
      </c>
      <c r="D185" s="50" t="s">
        <v>47</v>
      </c>
      <c r="E185" s="49">
        <f>ROUND(C184*(C185/1000),2)</f>
        <v>0</v>
      </c>
      <c r="F185" s="50" t="s">
        <v>48</v>
      </c>
      <c r="G185" s="50">
        <f>G$23</f>
        <v>10</v>
      </c>
      <c r="H185" s="52" t="s">
        <v>49</v>
      </c>
      <c r="I185" s="53">
        <f>E185*G185</f>
        <v>0</v>
      </c>
    </row>
    <row r="186" spans="2:9" ht="18" customHeight="1">
      <c r="B186" s="48" t="s">
        <v>50</v>
      </c>
      <c r="C186" s="50">
        <v>125.66</v>
      </c>
      <c r="D186" s="50" t="s">
        <v>51</v>
      </c>
      <c r="E186" s="49">
        <f>ROUND(C184*(C186/1000),2)</f>
        <v>0</v>
      </c>
      <c r="F186" s="50" t="s">
        <v>48</v>
      </c>
      <c r="G186" s="50">
        <f>G$24</f>
        <v>10</v>
      </c>
      <c r="H186" s="52" t="s">
        <v>49</v>
      </c>
      <c r="I186" s="53">
        <f>E186*G186</f>
        <v>0</v>
      </c>
    </row>
    <row r="187" spans="2:9" ht="18" customHeight="1">
      <c r="B187" s="23" t="s">
        <v>36</v>
      </c>
      <c r="C187" s="442" t="s">
        <v>14</v>
      </c>
      <c r="D187" s="442" t="s">
        <v>37</v>
      </c>
      <c r="E187" s="442" t="s">
        <v>71</v>
      </c>
      <c r="F187" s="442" t="s">
        <v>38</v>
      </c>
      <c r="G187" s="442" t="s">
        <v>72</v>
      </c>
      <c r="H187" s="442" t="s">
        <v>22</v>
      </c>
      <c r="I187" s="25" t="s">
        <v>40</v>
      </c>
    </row>
    <row r="188" spans="2:9" ht="18" customHeight="1">
      <c r="B188" s="648" t="s">
        <v>106</v>
      </c>
      <c r="C188" s="649" t="s">
        <v>107</v>
      </c>
      <c r="D188" s="440"/>
      <c r="E188" s="440"/>
      <c r="F188" s="440"/>
      <c r="G188" s="440"/>
      <c r="H188" s="28">
        <v>1.732</v>
      </c>
      <c r="I188" s="59">
        <f>ROUND((D188*E188+F188*G188)/1000*H188,3)</f>
        <v>0</v>
      </c>
    </row>
    <row r="189" spans="2:9" ht="18" customHeight="1">
      <c r="B189" s="648"/>
      <c r="C189" s="650"/>
      <c r="D189" s="440"/>
      <c r="E189" s="440"/>
      <c r="F189" s="440"/>
      <c r="G189" s="440"/>
      <c r="H189" s="28">
        <f>H188</f>
        <v>1.732</v>
      </c>
      <c r="I189" s="59">
        <f>ROUND((D189*E189+F189*G189)/1000*H189,3)</f>
        <v>0</v>
      </c>
    </row>
    <row r="190" spans="2:9" ht="18" customHeight="1">
      <c r="B190" s="648"/>
      <c r="C190" s="651"/>
      <c r="D190" s="440"/>
      <c r="E190" s="440"/>
      <c r="F190" s="440">
        <f>E6</f>
        <v>2325</v>
      </c>
      <c r="G190" s="440"/>
      <c r="H190" s="28">
        <f>H189</f>
        <v>1.732</v>
      </c>
      <c r="I190" s="59">
        <f>ROUND((D190*E190+F190*G190)/1000*H190,3)</f>
        <v>0</v>
      </c>
    </row>
    <row r="191" spans="2:9" ht="18" customHeight="1">
      <c r="B191" s="48" t="s">
        <v>42</v>
      </c>
      <c r="C191" s="49">
        <f>SUMPRODUCT(D188:D190*E188:E190+F188:F190*G188:G190)/1000</f>
        <v>0</v>
      </c>
      <c r="D191" s="50" t="s">
        <v>43</v>
      </c>
      <c r="E191" s="49">
        <f>SUM(I188:I190)*1.1</f>
        <v>0</v>
      </c>
      <c r="F191" s="50" t="s">
        <v>44</v>
      </c>
      <c r="G191" s="51">
        <f>(C$218+C$219)/1000</f>
        <v>46.081499999999998</v>
      </c>
      <c r="H191" s="52" t="s">
        <v>45</v>
      </c>
      <c r="I191" s="53">
        <f>ROUND(E191*G191,2)</f>
        <v>0</v>
      </c>
    </row>
    <row r="192" spans="2:9" ht="18" customHeight="1">
      <c r="B192" s="48" t="s">
        <v>46</v>
      </c>
      <c r="C192" s="50">
        <v>105.66</v>
      </c>
      <c r="D192" s="50" t="s">
        <v>47</v>
      </c>
      <c r="E192" s="49">
        <f>ROUND(C191*(C192/1000),2)</f>
        <v>0</v>
      </c>
      <c r="F192" s="50" t="s">
        <v>48</v>
      </c>
      <c r="G192" s="50">
        <f>G$23</f>
        <v>10</v>
      </c>
      <c r="H192" s="52" t="s">
        <v>49</v>
      </c>
      <c r="I192" s="53">
        <f>E192*G192</f>
        <v>0</v>
      </c>
    </row>
    <row r="193" spans="2:15" ht="18" customHeight="1">
      <c r="B193" s="48" t="s">
        <v>50</v>
      </c>
      <c r="C193" s="50">
        <v>125.66</v>
      </c>
      <c r="D193" s="50" t="s">
        <v>51</v>
      </c>
      <c r="E193" s="49">
        <f>ROUND(C191*(C193/1000),2)</f>
        <v>0</v>
      </c>
      <c r="F193" s="50" t="s">
        <v>48</v>
      </c>
      <c r="G193" s="50">
        <f>G$24</f>
        <v>10</v>
      </c>
      <c r="H193" s="52" t="s">
        <v>49</v>
      </c>
      <c r="I193" s="53">
        <f>E193*G193</f>
        <v>0</v>
      </c>
    </row>
    <row r="194" spans="2:15" ht="18" customHeight="1">
      <c r="B194" s="23" t="s">
        <v>36</v>
      </c>
      <c r="C194" s="442" t="s">
        <v>14</v>
      </c>
      <c r="D194" s="652" t="s">
        <v>38</v>
      </c>
      <c r="E194" s="652"/>
      <c r="F194" s="652"/>
      <c r="G194" s="442" t="s">
        <v>72</v>
      </c>
      <c r="H194" s="442" t="s">
        <v>22</v>
      </c>
      <c r="I194" s="25" t="s">
        <v>40</v>
      </c>
    </row>
    <row r="195" spans="2:15" ht="18" customHeight="1">
      <c r="B195" s="643" t="s">
        <v>108</v>
      </c>
      <c r="C195" s="645" t="s">
        <v>109</v>
      </c>
      <c r="D195" s="646"/>
      <c r="E195" s="646"/>
      <c r="F195" s="646"/>
      <c r="G195" s="440"/>
      <c r="H195" s="440">
        <v>1.796</v>
      </c>
      <c r="I195" s="59">
        <f>ROUND((D195*G195*H195)/1000,3)</f>
        <v>0</v>
      </c>
    </row>
    <row r="196" spans="2:15" ht="18" customHeight="1">
      <c r="B196" s="644"/>
      <c r="C196" s="640"/>
      <c r="D196" s="646"/>
      <c r="E196" s="646"/>
      <c r="F196" s="646"/>
      <c r="G196" s="440"/>
      <c r="H196" s="440">
        <f>H195</f>
        <v>1.796</v>
      </c>
      <c r="I196" s="59">
        <f>ROUND((D196*G196*H196)/1000,3)</f>
        <v>0</v>
      </c>
    </row>
    <row r="197" spans="2:15" ht="18" customHeight="1">
      <c r="B197" s="643" t="s">
        <v>110</v>
      </c>
      <c r="C197" s="645" t="s">
        <v>111</v>
      </c>
      <c r="D197" s="646"/>
      <c r="E197" s="646"/>
      <c r="F197" s="646"/>
      <c r="G197" s="440"/>
      <c r="H197" s="440">
        <v>1.355</v>
      </c>
      <c r="I197" s="59"/>
    </row>
    <row r="198" spans="2:15" ht="18" customHeight="1">
      <c r="B198" s="644"/>
      <c r="C198" s="640"/>
      <c r="D198" s="646"/>
      <c r="E198" s="646"/>
      <c r="F198" s="646"/>
      <c r="G198" s="440"/>
      <c r="H198" s="440">
        <f>H197</f>
        <v>1.355</v>
      </c>
      <c r="I198" s="59"/>
    </row>
    <row r="199" spans="2:15" ht="18" customHeight="1">
      <c r="B199" s="48" t="s">
        <v>42</v>
      </c>
      <c r="C199" s="49">
        <f>SUMPRODUCT(D195:F198*G195:G198)/1000</f>
        <v>0</v>
      </c>
      <c r="D199" s="50" t="s">
        <v>43</v>
      </c>
      <c r="E199" s="49">
        <f>SUM(I195:I198)*1.1</f>
        <v>0</v>
      </c>
      <c r="F199" s="50" t="s">
        <v>44</v>
      </c>
      <c r="G199" s="51">
        <f>(C$218+C$219)/1000</f>
        <v>46.081499999999998</v>
      </c>
      <c r="H199" s="52" t="s">
        <v>45</v>
      </c>
      <c r="I199" s="53">
        <f>ROUND(E199*G199,2)</f>
        <v>0</v>
      </c>
    </row>
    <row r="200" spans="2:15" ht="18" customHeight="1">
      <c r="B200" s="48" t="s">
        <v>46</v>
      </c>
      <c r="C200" s="50">
        <v>267.77999999999997</v>
      </c>
      <c r="D200" s="50" t="s">
        <v>47</v>
      </c>
      <c r="E200" s="49">
        <f>ROUND(C199*(C200/1000),2)</f>
        <v>0</v>
      </c>
      <c r="F200" s="50" t="s">
        <v>48</v>
      </c>
      <c r="G200" s="50">
        <f>G$23</f>
        <v>10</v>
      </c>
      <c r="H200" s="52" t="s">
        <v>49</v>
      </c>
      <c r="I200" s="53">
        <f>E200*G200</f>
        <v>0</v>
      </c>
    </row>
    <row r="201" spans="2:15" ht="18" customHeight="1">
      <c r="B201" s="48" t="s">
        <v>50</v>
      </c>
      <c r="C201" s="50">
        <v>104.29</v>
      </c>
      <c r="D201" s="50" t="s">
        <v>51</v>
      </c>
      <c r="E201" s="49">
        <f>ROUND(C199*(C201/1000),2)</f>
        <v>0</v>
      </c>
      <c r="F201" s="50" t="s">
        <v>48</v>
      </c>
      <c r="G201" s="50">
        <f>G$24</f>
        <v>10</v>
      </c>
      <c r="H201" s="52" t="s">
        <v>49</v>
      </c>
      <c r="I201" s="53">
        <f>E201*G201</f>
        <v>0</v>
      </c>
    </row>
    <row r="202" spans="2:15" ht="18" customHeight="1">
      <c r="B202" s="103" t="s">
        <v>112</v>
      </c>
      <c r="C202" s="104" t="s">
        <v>113</v>
      </c>
      <c r="D202" s="104" t="s">
        <v>28</v>
      </c>
      <c r="E202" s="104" t="s">
        <v>8</v>
      </c>
      <c r="F202" s="104" t="s">
        <v>112</v>
      </c>
      <c r="G202" s="104" t="s">
        <v>113</v>
      </c>
      <c r="H202" s="104" t="s">
        <v>28</v>
      </c>
      <c r="I202" s="105" t="s">
        <v>8</v>
      </c>
      <c r="N202" s="106"/>
      <c r="O202" s="102"/>
    </row>
    <row r="203" spans="2:15" ht="18" customHeight="1">
      <c r="B203" s="441" t="s">
        <v>327</v>
      </c>
      <c r="C203" s="107" t="s">
        <v>114</v>
      </c>
      <c r="D203" s="108">
        <v>2.15</v>
      </c>
      <c r="E203" s="443">
        <f>SUM(G14:G21)*4</f>
        <v>0</v>
      </c>
      <c r="F203" s="647" t="s">
        <v>115</v>
      </c>
      <c r="G203" s="107" t="s">
        <v>116</v>
      </c>
      <c r="H203" s="108">
        <v>2.46</v>
      </c>
      <c r="I203" s="437">
        <f>SUM(G108:G111)*4</f>
        <v>4</v>
      </c>
      <c r="J203" s="42"/>
      <c r="N203" s="106"/>
      <c r="O203" s="102"/>
    </row>
    <row r="204" spans="2:15" ht="18" customHeight="1">
      <c r="B204" s="441" t="s">
        <v>328</v>
      </c>
      <c r="C204" s="107" t="s">
        <v>117</v>
      </c>
      <c r="D204" s="108">
        <v>1.72</v>
      </c>
      <c r="E204" s="443">
        <f>E203</f>
        <v>0</v>
      </c>
      <c r="F204" s="646"/>
      <c r="G204" s="107" t="s">
        <v>118</v>
      </c>
      <c r="H204" s="108">
        <v>3.11</v>
      </c>
      <c r="I204" s="437">
        <f>I203</f>
        <v>4</v>
      </c>
      <c r="J204" s="42"/>
      <c r="N204" s="106"/>
      <c r="O204" s="102"/>
    </row>
    <row r="205" spans="2:15" ht="18" customHeight="1">
      <c r="B205" s="109" t="s">
        <v>330</v>
      </c>
      <c r="C205" s="107" t="s">
        <v>119</v>
      </c>
      <c r="D205" s="108">
        <v>2.68</v>
      </c>
      <c r="E205" s="443">
        <f>SUM(G26:G30)*4</f>
        <v>0</v>
      </c>
      <c r="F205" s="110" t="s">
        <v>120</v>
      </c>
      <c r="G205" s="107" t="s">
        <v>121</v>
      </c>
      <c r="H205" s="111">
        <v>4.76</v>
      </c>
      <c r="I205" s="437">
        <f>SUM(G123:G125)*4</f>
        <v>0</v>
      </c>
      <c r="J205" s="42"/>
      <c r="N205" s="106"/>
      <c r="O205" s="102"/>
    </row>
    <row r="206" spans="2:15" ht="18" customHeight="1">
      <c r="B206" s="109" t="s">
        <v>329</v>
      </c>
      <c r="C206" s="107" t="s">
        <v>122</v>
      </c>
      <c r="D206" s="108">
        <v>1.27</v>
      </c>
      <c r="E206" s="443">
        <f>E205</f>
        <v>0</v>
      </c>
      <c r="F206" s="110" t="s">
        <v>123</v>
      </c>
      <c r="G206" s="107" t="s">
        <v>124</v>
      </c>
      <c r="H206" s="111">
        <v>3.85</v>
      </c>
      <c r="I206" s="437">
        <f>I205</f>
        <v>0</v>
      </c>
      <c r="J206" s="42"/>
      <c r="N206" s="106"/>
      <c r="O206" s="102"/>
    </row>
    <row r="207" spans="2:15" ht="18" customHeight="1">
      <c r="B207" s="109" t="s">
        <v>331</v>
      </c>
      <c r="C207" s="107" t="s">
        <v>125</v>
      </c>
      <c r="D207" s="111" t="s">
        <v>126</v>
      </c>
      <c r="E207" s="443">
        <f>SUM(G35:G37)*4</f>
        <v>0</v>
      </c>
      <c r="F207" s="110" t="s">
        <v>127</v>
      </c>
      <c r="G207" s="107" t="s">
        <v>128</v>
      </c>
      <c r="H207" s="111">
        <v>4.29</v>
      </c>
      <c r="I207" s="437">
        <f>SUM(G116:G118)*4</f>
        <v>8</v>
      </c>
      <c r="J207" s="42"/>
      <c r="N207" s="106"/>
      <c r="O207" s="102"/>
    </row>
    <row r="208" spans="2:15" ht="18" customHeight="1">
      <c r="B208" s="109" t="s">
        <v>332</v>
      </c>
      <c r="C208" s="107" t="s">
        <v>129</v>
      </c>
      <c r="D208" s="111" t="s">
        <v>130</v>
      </c>
      <c r="E208" s="443">
        <f>E207</f>
        <v>0</v>
      </c>
      <c r="F208" s="110" t="s">
        <v>131</v>
      </c>
      <c r="G208" s="107" t="s">
        <v>132</v>
      </c>
      <c r="H208" s="111">
        <v>4.5</v>
      </c>
      <c r="I208" s="437">
        <f>I207</f>
        <v>8</v>
      </c>
      <c r="J208" s="42"/>
      <c r="N208" s="106"/>
      <c r="O208" s="102"/>
    </row>
    <row r="209" spans="2:15" ht="18" customHeight="1">
      <c r="B209" s="439" t="s">
        <v>333</v>
      </c>
      <c r="C209" s="440">
        <v>12.6</v>
      </c>
      <c r="D209" s="111">
        <v>1.32</v>
      </c>
      <c r="E209" s="443">
        <f>SUM(G42:G47)*4</f>
        <v>0</v>
      </c>
      <c r="F209" s="639"/>
      <c r="G209" s="107"/>
      <c r="H209" s="28"/>
      <c r="I209" s="437"/>
      <c r="N209" s="106"/>
      <c r="O209" s="102"/>
    </row>
    <row r="210" spans="2:15" ht="18" customHeight="1">
      <c r="B210" s="439" t="s">
        <v>334</v>
      </c>
      <c r="C210" s="440">
        <v>15.8</v>
      </c>
      <c r="D210" s="111">
        <v>1.18</v>
      </c>
      <c r="E210" s="443">
        <f>E209</f>
        <v>0</v>
      </c>
      <c r="F210" s="640"/>
      <c r="G210" s="107"/>
      <c r="H210" s="28"/>
      <c r="I210" s="231"/>
      <c r="N210" s="106"/>
      <c r="O210" s="102"/>
    </row>
    <row r="211" spans="2:15" ht="18" customHeight="1">
      <c r="B211" s="441" t="s">
        <v>335</v>
      </c>
      <c r="C211" s="107" t="s">
        <v>337</v>
      </c>
      <c r="D211" s="111">
        <v>2.81</v>
      </c>
      <c r="E211" s="440">
        <f>SUM(E52+E53+E54+E55+G52+G53+G54+G55+G60+G61+G62+G63)*2</f>
        <v>0</v>
      </c>
      <c r="F211" s="641" t="s">
        <v>133</v>
      </c>
      <c r="G211" s="111">
        <f>SUMPRODUCT(D35:D37,G35:G37)/1000</f>
        <v>0</v>
      </c>
      <c r="H211" s="28">
        <v>0.16</v>
      </c>
      <c r="I211" s="232">
        <f>G211*H211</f>
        <v>0</v>
      </c>
      <c r="N211" s="106"/>
      <c r="O211" s="102"/>
    </row>
    <row r="212" spans="2:15" ht="18" customHeight="1">
      <c r="B212" s="441" t="s">
        <v>336</v>
      </c>
      <c r="C212" s="107" t="s">
        <v>338</v>
      </c>
      <c r="D212" s="111">
        <v>3.51</v>
      </c>
      <c r="E212" s="440">
        <f>E211</f>
        <v>0</v>
      </c>
      <c r="F212" s="641"/>
      <c r="G212" s="111">
        <f>SUMPRODUCT(D26:D30,G26:G30)/1000</f>
        <v>0</v>
      </c>
      <c r="H212" s="28">
        <v>0.16</v>
      </c>
      <c r="I212" s="232">
        <f>G212*H212</f>
        <v>0</v>
      </c>
      <c r="N212" s="106"/>
      <c r="O212" s="102"/>
    </row>
    <row r="213" spans="2:15" ht="18" customHeight="1">
      <c r="B213" s="441" t="s">
        <v>134</v>
      </c>
      <c r="C213" s="440">
        <v>30.6</v>
      </c>
      <c r="D213" s="111">
        <v>2.81</v>
      </c>
      <c r="E213" s="443">
        <f>SUM(+E130+E131+E132+G130+G131+G132)*2</f>
        <v>0</v>
      </c>
      <c r="F213" s="641" t="s">
        <v>135</v>
      </c>
      <c r="G213" s="111">
        <f>SUMPRODUCT(E26:E30,G26:G30)/1000</f>
        <v>0</v>
      </c>
      <c r="H213" s="28">
        <v>0.16</v>
      </c>
      <c r="I213" s="232">
        <f>G213*H213</f>
        <v>0</v>
      </c>
      <c r="N213" s="106"/>
      <c r="O213" s="102"/>
    </row>
    <row r="214" spans="2:15" ht="18" customHeight="1">
      <c r="B214" s="441" t="s">
        <v>136</v>
      </c>
      <c r="C214" s="440">
        <v>30.6</v>
      </c>
      <c r="D214" s="111">
        <v>3.51</v>
      </c>
      <c r="E214" s="443">
        <f>E213</f>
        <v>0</v>
      </c>
      <c r="F214" s="641"/>
      <c r="G214" s="111">
        <f>SUMPRODUCT(E35:E37,G35:G37)/1000</f>
        <v>0</v>
      </c>
      <c r="H214" s="28">
        <v>0.16</v>
      </c>
      <c r="I214" s="232">
        <f>G214*H214</f>
        <v>0</v>
      </c>
      <c r="N214" s="106"/>
      <c r="O214" s="102"/>
    </row>
    <row r="215" spans="2:15" ht="18" customHeight="1">
      <c r="B215" s="52" t="s">
        <v>137</v>
      </c>
      <c r="C215" s="112" cm="1">
        <f t="array" ref="C215">SUMPRODUCT(D203:D214*E203:E214)+SUMPRODUCT(H203:H210*I203:I210)</f>
        <v>92.6</v>
      </c>
      <c r="D215" s="52"/>
      <c r="E215" s="52"/>
      <c r="F215" s="52"/>
      <c r="G215" s="52" t="s">
        <v>138</v>
      </c>
      <c r="H215" s="52" cm="1">
        <f t="array" ref="H215">SUMPRODUCT(G211:G214*H211:H214)</f>
        <v>0</v>
      </c>
      <c r="I215" s="233">
        <f>H215*1.08</f>
        <v>0</v>
      </c>
      <c r="N215" s="106"/>
      <c r="O215" s="102"/>
    </row>
    <row r="216" spans="2:15" ht="18" customHeight="1">
      <c r="B216" s="23" t="s">
        <v>139</v>
      </c>
      <c r="C216" s="442" t="s">
        <v>14</v>
      </c>
      <c r="D216" s="442" t="s">
        <v>22</v>
      </c>
      <c r="E216" s="442" t="s">
        <v>8</v>
      </c>
      <c r="F216" s="442" t="s">
        <v>113</v>
      </c>
      <c r="G216" s="442" t="s">
        <v>40</v>
      </c>
      <c r="H216" s="442" t="s">
        <v>28</v>
      </c>
      <c r="I216" s="25" t="s">
        <v>29</v>
      </c>
      <c r="N216" s="106"/>
      <c r="O216" s="102"/>
    </row>
    <row r="217" spans="2:15" ht="18" customHeight="1">
      <c r="B217" s="48" t="s">
        <v>140</v>
      </c>
      <c r="C217" s="52" t="s">
        <v>141</v>
      </c>
      <c r="D217" s="50">
        <v>0.14199999999999999</v>
      </c>
      <c r="E217" s="50">
        <v>1</v>
      </c>
      <c r="F217" s="50">
        <f>D6</f>
        <v>2300</v>
      </c>
      <c r="G217" s="128">
        <f>D217*F217*E217/1000*1.1</f>
        <v>0.35925999999999997</v>
      </c>
      <c r="H217" s="52">
        <f>(C218+C222)/1000</f>
        <v>39.781500000000001</v>
      </c>
      <c r="I217" s="193">
        <f>G217*H217</f>
        <v>14.29190169</v>
      </c>
      <c r="N217" s="106"/>
      <c r="O217" s="102"/>
    </row>
    <row r="218" spans="2:15" ht="18" customHeight="1">
      <c r="B218" s="37" t="s">
        <v>142</v>
      </c>
      <c r="C218" s="113">
        <f>材料价格!B4</f>
        <v>22081.5</v>
      </c>
      <c r="D218" s="39" t="s">
        <v>143</v>
      </c>
      <c r="E218" s="114">
        <f>E139+E133+E126+E119+E112+E199+E177+E64+E56+E48+E38+E31+E22+E184+E191</f>
        <v>58.462800000000001</v>
      </c>
      <c r="F218" s="39" t="s">
        <v>144</v>
      </c>
      <c r="G218" s="115">
        <f>I218/E218-C218/1000</f>
        <v>24.000110870502276</v>
      </c>
      <c r="H218" s="39" t="s">
        <v>145</v>
      </c>
      <c r="I218" s="116">
        <f>I22+I31+I38+I48+I56+I64+I199+I112+I119+I126+I133+I139+I177+I184+I191</f>
        <v>2694.0600000000004</v>
      </c>
      <c r="N218" s="106"/>
      <c r="O218" s="102"/>
    </row>
    <row r="219" spans="2:15" ht="18" customHeight="1">
      <c r="B219" s="117" t="s">
        <v>146</v>
      </c>
      <c r="C219" s="118">
        <f>材料价格!B5</f>
        <v>24000</v>
      </c>
      <c r="D219" s="39" t="s">
        <v>147</v>
      </c>
      <c r="E219" s="114">
        <f>E163+E153+E146+E104+E97+E88+G217+E170</f>
        <v>3.9936600000000002</v>
      </c>
      <c r="F219" s="39" t="s">
        <v>148</v>
      </c>
      <c r="G219" s="119">
        <f>I219/E219-C218/1000</f>
        <v>17.69952835243862</v>
      </c>
      <c r="H219" s="39" t="s">
        <v>149</v>
      </c>
      <c r="I219" s="116">
        <f>I88+I97+I104+I146+I153+I163+I217+I170</f>
        <v>158.87190169000002</v>
      </c>
      <c r="N219" s="106"/>
      <c r="O219" s="102"/>
    </row>
    <row r="220" spans="2:15" ht="18" customHeight="1">
      <c r="B220" s="117" t="s">
        <v>150</v>
      </c>
      <c r="C220" s="118">
        <f>C219</f>
        <v>24000</v>
      </c>
      <c r="D220" s="39" t="s">
        <v>151</v>
      </c>
      <c r="E220" s="120">
        <f>I215</f>
        <v>0</v>
      </c>
      <c r="F220" s="39" t="s">
        <v>152</v>
      </c>
      <c r="G220" s="119" t="e">
        <f>I220/E220-C218/1000</f>
        <v>#DIV/0!</v>
      </c>
      <c r="H220" s="39" t="s">
        <v>153</v>
      </c>
      <c r="I220" s="116">
        <f>ROUND(E220*(C218+C223)/1000,2)</f>
        <v>0</v>
      </c>
      <c r="N220" s="106"/>
      <c r="O220" s="102"/>
    </row>
    <row r="221" spans="2:15" ht="18" customHeight="1">
      <c r="B221" s="117" t="s">
        <v>154</v>
      </c>
      <c r="C221" s="121">
        <f>C220</f>
        <v>24000</v>
      </c>
      <c r="D221" s="39" t="s">
        <v>155</v>
      </c>
      <c r="E221" s="39"/>
      <c r="F221" s="39" t="s">
        <v>156</v>
      </c>
      <c r="G221" s="39"/>
      <c r="H221" s="39" t="s">
        <v>49</v>
      </c>
      <c r="I221" s="116">
        <f>E221*G221</f>
        <v>0</v>
      </c>
      <c r="J221" s="42"/>
      <c r="K221" s="255"/>
    </row>
    <row r="222" spans="2:15" ht="18" customHeight="1">
      <c r="B222" s="117" t="s">
        <v>148</v>
      </c>
      <c r="C222" s="122">
        <f>材料价格!B6</f>
        <v>17700</v>
      </c>
      <c r="D222" s="39" t="s">
        <v>157</v>
      </c>
      <c r="E222" s="39"/>
      <c r="F222" s="39" t="s">
        <v>156</v>
      </c>
      <c r="G222" s="39"/>
      <c r="H222" s="39" t="s">
        <v>49</v>
      </c>
      <c r="I222" s="116">
        <f>E222*G222</f>
        <v>0</v>
      </c>
      <c r="J222" s="123"/>
      <c r="K222" s="123"/>
      <c r="L222" s="123"/>
    </row>
    <row r="223" spans="2:15" ht="18" customHeight="1">
      <c r="B223" s="117" t="s">
        <v>152</v>
      </c>
      <c r="C223" s="122">
        <f>材料价格!B9</f>
        <v>2900</v>
      </c>
      <c r="D223" s="39" t="s">
        <v>158</v>
      </c>
      <c r="E223" s="114">
        <f>SUM(E218:E220)</f>
        <v>62.45646</v>
      </c>
      <c r="F223" s="39"/>
      <c r="G223" s="39" t="s">
        <v>339</v>
      </c>
      <c r="H223" s="39"/>
      <c r="I223" s="234">
        <f>SUM(I218:I222)+C215</f>
        <v>2945.5319016900003</v>
      </c>
      <c r="J223" s="123"/>
      <c r="K223" s="123"/>
      <c r="L223" s="123"/>
    </row>
    <row r="224" spans="2:15" ht="18" customHeight="1">
      <c r="B224" s="23" t="s">
        <v>159</v>
      </c>
      <c r="C224" s="442" t="s">
        <v>113</v>
      </c>
      <c r="D224" s="442" t="s">
        <v>16</v>
      </c>
      <c r="E224" s="442" t="s">
        <v>7</v>
      </c>
      <c r="F224" s="442" t="s">
        <v>8</v>
      </c>
      <c r="G224" s="442" t="s">
        <v>28</v>
      </c>
      <c r="H224" s="442" t="s">
        <v>160</v>
      </c>
      <c r="I224" s="25" t="s">
        <v>1</v>
      </c>
      <c r="J224" s="255"/>
      <c r="K224" s="255"/>
      <c r="L224" s="255"/>
      <c r="M224" s="255"/>
    </row>
    <row r="225" spans="2:13" ht="18" customHeight="1">
      <c r="B225" s="124" t="str">
        <f>材料价格!A10</f>
        <v>6单银Low-E+12A+6</v>
      </c>
      <c r="C225" s="443">
        <f t="shared" ref="C225:D229" si="25">D92</f>
        <v>-90</v>
      </c>
      <c r="D225" s="443">
        <f t="shared" si="25"/>
        <v>-90</v>
      </c>
      <c r="E225" s="32">
        <f>C225*D225/10^6</f>
        <v>8.0999999999999996E-3</v>
      </c>
      <c r="F225" s="440">
        <f>G26</f>
        <v>0</v>
      </c>
      <c r="G225" s="125">
        <f>材料价格!B10</f>
        <v>148</v>
      </c>
      <c r="H225" s="440">
        <f>ROUND(E225*G225*F225,2)</f>
        <v>0</v>
      </c>
      <c r="I225" s="437" t="s">
        <v>161</v>
      </c>
      <c r="J225" s="255"/>
      <c r="K225" s="255"/>
      <c r="L225" s="255"/>
      <c r="M225" s="255"/>
    </row>
    <row r="226" spans="2:13" ht="18" customHeight="1">
      <c r="B226" s="124" t="str">
        <f t="shared" ref="B226:B232" si="26">B225</f>
        <v>6单银Low-E+12A+6</v>
      </c>
      <c r="C226" s="443">
        <f t="shared" si="25"/>
        <v>-90</v>
      </c>
      <c r="D226" s="443">
        <f t="shared" si="25"/>
        <v>-90</v>
      </c>
      <c r="E226" s="32">
        <f t="shared" ref="E226:E284" si="27">C226*D226/10^6</f>
        <v>8.0999999999999996E-3</v>
      </c>
      <c r="F226" s="440">
        <f>G27</f>
        <v>0</v>
      </c>
      <c r="G226" s="126">
        <f t="shared" ref="G226:G232" si="28">G225</f>
        <v>148</v>
      </c>
      <c r="H226" s="440">
        <f t="shared" ref="H226:H241" si="29">ROUND(E226*G226*F226,2)</f>
        <v>0</v>
      </c>
      <c r="I226" s="437" t="s">
        <v>162</v>
      </c>
      <c r="J226" s="255"/>
      <c r="K226" s="255"/>
      <c r="L226" s="255"/>
      <c r="M226" s="255"/>
    </row>
    <row r="227" spans="2:13" ht="18" customHeight="1">
      <c r="B227" s="124" t="str">
        <f t="shared" si="26"/>
        <v>6单银Low-E+12A+6</v>
      </c>
      <c r="C227" s="443">
        <f t="shared" si="25"/>
        <v>-90</v>
      </c>
      <c r="D227" s="443">
        <f t="shared" si="25"/>
        <v>-90</v>
      </c>
      <c r="E227" s="32">
        <f t="shared" si="27"/>
        <v>8.0999999999999996E-3</v>
      </c>
      <c r="F227" s="440">
        <f>G28</f>
        <v>0</v>
      </c>
      <c r="G227" s="126">
        <f t="shared" si="28"/>
        <v>148</v>
      </c>
      <c r="H227" s="440">
        <f t="shared" si="29"/>
        <v>0</v>
      </c>
      <c r="I227" s="437" t="s">
        <v>162</v>
      </c>
      <c r="J227" s="255"/>
      <c r="K227" s="255"/>
      <c r="L227" s="255"/>
      <c r="M227" s="255"/>
    </row>
    <row r="228" spans="2:13" ht="18" customHeight="1">
      <c r="B228" s="124" t="str">
        <f t="shared" si="26"/>
        <v>6单银Low-E+12A+6</v>
      </c>
      <c r="C228" s="443">
        <f t="shared" si="25"/>
        <v>-90</v>
      </c>
      <c r="D228" s="443">
        <f t="shared" si="25"/>
        <v>-90</v>
      </c>
      <c r="E228" s="32">
        <f t="shared" si="27"/>
        <v>8.0999999999999996E-3</v>
      </c>
      <c r="F228" s="440">
        <f>G29</f>
        <v>0</v>
      </c>
      <c r="G228" s="126">
        <f t="shared" si="28"/>
        <v>148</v>
      </c>
      <c r="H228" s="440">
        <f t="shared" si="29"/>
        <v>0</v>
      </c>
      <c r="I228" s="437" t="s">
        <v>162</v>
      </c>
      <c r="J228" s="255"/>
      <c r="K228" s="255"/>
      <c r="L228" s="255"/>
      <c r="M228" s="255"/>
    </row>
    <row r="229" spans="2:13" ht="18" customHeight="1">
      <c r="B229" s="124" t="str">
        <f t="shared" si="26"/>
        <v>6单银Low-E+12A+6</v>
      </c>
      <c r="C229" s="443">
        <f t="shared" si="25"/>
        <v>-90</v>
      </c>
      <c r="D229" s="443">
        <f t="shared" si="25"/>
        <v>-90</v>
      </c>
      <c r="E229" s="32">
        <f t="shared" si="27"/>
        <v>8.0999999999999996E-3</v>
      </c>
      <c r="F229" s="440">
        <f>G30</f>
        <v>0</v>
      </c>
      <c r="G229" s="126">
        <f t="shared" si="28"/>
        <v>148</v>
      </c>
      <c r="H229" s="440">
        <f t="shared" si="29"/>
        <v>0</v>
      </c>
      <c r="I229" s="437" t="s">
        <v>162</v>
      </c>
      <c r="J229" s="123"/>
      <c r="K229" s="123"/>
      <c r="L229" s="123"/>
    </row>
    <row r="230" spans="2:13" ht="18" customHeight="1">
      <c r="B230" s="124" t="str">
        <f t="shared" si="26"/>
        <v>6单银Low-E+12A+6</v>
      </c>
      <c r="C230" s="443">
        <f t="shared" ref="C230:D232" si="30">D101</f>
        <v>-122</v>
      </c>
      <c r="D230" s="443">
        <f t="shared" si="30"/>
        <v>-122</v>
      </c>
      <c r="E230" s="32">
        <f t="shared" si="27"/>
        <v>1.4884E-2</v>
      </c>
      <c r="F230" s="440">
        <f>G101</f>
        <v>0</v>
      </c>
      <c r="G230" s="126">
        <f t="shared" si="28"/>
        <v>148</v>
      </c>
      <c r="H230" s="440">
        <f t="shared" si="29"/>
        <v>0</v>
      </c>
      <c r="I230" s="127" t="s">
        <v>163</v>
      </c>
      <c r="J230" s="123"/>
      <c r="K230" s="123"/>
      <c r="L230" s="123"/>
    </row>
    <row r="231" spans="2:13" ht="18" customHeight="1">
      <c r="B231" s="124" t="str">
        <f t="shared" si="26"/>
        <v>6单银Low-E+12A+6</v>
      </c>
      <c r="C231" s="443">
        <f t="shared" si="30"/>
        <v>-122</v>
      </c>
      <c r="D231" s="443">
        <f t="shared" si="30"/>
        <v>-122</v>
      </c>
      <c r="E231" s="32">
        <f t="shared" si="27"/>
        <v>1.4884E-2</v>
      </c>
      <c r="F231" s="440">
        <f>G102</f>
        <v>0</v>
      </c>
      <c r="G231" s="126">
        <f t="shared" si="28"/>
        <v>148</v>
      </c>
      <c r="H231" s="440">
        <f t="shared" si="29"/>
        <v>0</v>
      </c>
      <c r="I231" s="127" t="s">
        <v>163</v>
      </c>
    </row>
    <row r="232" spans="2:13" ht="18" customHeight="1">
      <c r="B232" s="124" t="str">
        <f t="shared" si="26"/>
        <v>6单银Low-E+12A+6</v>
      </c>
      <c r="C232" s="443">
        <f t="shared" si="30"/>
        <v>-122</v>
      </c>
      <c r="D232" s="443">
        <f t="shared" si="30"/>
        <v>-122</v>
      </c>
      <c r="E232" s="32">
        <f t="shared" si="27"/>
        <v>1.4884E-2</v>
      </c>
      <c r="F232" s="440">
        <f>G103</f>
        <v>0</v>
      </c>
      <c r="G232" s="126">
        <f t="shared" si="28"/>
        <v>148</v>
      </c>
      <c r="H232" s="440">
        <f t="shared" si="29"/>
        <v>0</v>
      </c>
      <c r="I232" s="127" t="s">
        <v>163</v>
      </c>
    </row>
    <row r="233" spans="2:13" ht="18" customHeight="1">
      <c r="B233" s="48" t="s">
        <v>164</v>
      </c>
      <c r="C233" s="52"/>
      <c r="D233" s="50"/>
      <c r="E233" s="128"/>
      <c r="F233" s="50">
        <f>SUM(F225:F232)</f>
        <v>0</v>
      </c>
      <c r="G233" s="50"/>
      <c r="H233" s="52">
        <f>SUM(H225:H232)</f>
        <v>0</v>
      </c>
      <c r="I233" s="53">
        <f>ROUND((E225*F225+E226*F226+E227*F227+E228*F228+E229*F229+E230*F230+E231*F231+E232*F232),2)</f>
        <v>0</v>
      </c>
    </row>
    <row r="234" spans="2:13" ht="18" customHeight="1">
      <c r="B234" s="124" t="str">
        <f>B232</f>
        <v>6单银Low-E+12A+6</v>
      </c>
      <c r="C234" s="443">
        <f>C225</f>
        <v>-90</v>
      </c>
      <c r="D234" s="443">
        <f>D225</f>
        <v>-90</v>
      </c>
      <c r="E234" s="32">
        <f t="shared" si="27"/>
        <v>8.0999999999999996E-3</v>
      </c>
      <c r="F234" s="440">
        <f>IF(F225=0,G26,0)</f>
        <v>0</v>
      </c>
      <c r="G234" s="126">
        <f>G232</f>
        <v>148</v>
      </c>
      <c r="H234" s="440">
        <f t="shared" si="29"/>
        <v>0</v>
      </c>
      <c r="I234" s="437" t="s">
        <v>165</v>
      </c>
      <c r="J234" s="129"/>
    </row>
    <row r="235" spans="2:13" ht="18" customHeight="1">
      <c r="B235" s="124" t="str">
        <f t="shared" ref="B235:B241" si="31">B234</f>
        <v>6单银Low-E+12A+6</v>
      </c>
      <c r="C235" s="443">
        <f t="shared" ref="C235:D241" si="32">C226</f>
        <v>-90</v>
      </c>
      <c r="D235" s="443">
        <f t="shared" si="32"/>
        <v>-90</v>
      </c>
      <c r="E235" s="32">
        <f t="shared" si="27"/>
        <v>8.0999999999999996E-3</v>
      </c>
      <c r="F235" s="440">
        <f>IF(F226=0,G27,0)</f>
        <v>0</v>
      </c>
      <c r="G235" s="126">
        <f>G234</f>
        <v>148</v>
      </c>
      <c r="H235" s="440">
        <f t="shared" si="29"/>
        <v>0</v>
      </c>
      <c r="I235" s="437" t="s">
        <v>165</v>
      </c>
      <c r="J235" s="129"/>
    </row>
    <row r="236" spans="2:13" ht="18" customHeight="1">
      <c r="B236" s="124" t="str">
        <f t="shared" si="31"/>
        <v>6单银Low-E+12A+6</v>
      </c>
      <c r="C236" s="443">
        <f t="shared" si="32"/>
        <v>-90</v>
      </c>
      <c r="D236" s="443">
        <f t="shared" si="32"/>
        <v>-90</v>
      </c>
      <c r="E236" s="32">
        <f t="shared" si="27"/>
        <v>8.0999999999999996E-3</v>
      </c>
      <c r="F236" s="440">
        <f>IF(F227=0,G28,0)</f>
        <v>0</v>
      </c>
      <c r="G236" s="126">
        <f t="shared" ref="G236:G241" si="33">G234</f>
        <v>148</v>
      </c>
      <c r="H236" s="440">
        <f t="shared" si="29"/>
        <v>0</v>
      </c>
      <c r="I236" s="437" t="s">
        <v>165</v>
      </c>
      <c r="J236" s="129"/>
    </row>
    <row r="237" spans="2:13" ht="18" customHeight="1">
      <c r="B237" s="124" t="str">
        <f t="shared" si="31"/>
        <v>6单银Low-E+12A+6</v>
      </c>
      <c r="C237" s="443">
        <f t="shared" si="32"/>
        <v>-90</v>
      </c>
      <c r="D237" s="443">
        <f t="shared" si="32"/>
        <v>-90</v>
      </c>
      <c r="E237" s="32">
        <f t="shared" si="27"/>
        <v>8.0999999999999996E-3</v>
      </c>
      <c r="F237" s="440">
        <f>IF(F228=0,G29,0)</f>
        <v>0</v>
      </c>
      <c r="G237" s="126">
        <f t="shared" si="33"/>
        <v>148</v>
      </c>
      <c r="H237" s="440">
        <f t="shared" si="29"/>
        <v>0</v>
      </c>
      <c r="I237" s="437" t="s">
        <v>165</v>
      </c>
      <c r="J237" s="129"/>
    </row>
    <row r="238" spans="2:13" ht="18" customHeight="1">
      <c r="B238" s="124" t="str">
        <f t="shared" si="31"/>
        <v>6单银Low-E+12A+6</v>
      </c>
      <c r="C238" s="443">
        <f t="shared" si="32"/>
        <v>-90</v>
      </c>
      <c r="D238" s="443">
        <f t="shared" si="32"/>
        <v>-90</v>
      </c>
      <c r="E238" s="32">
        <f t="shared" si="27"/>
        <v>8.0999999999999996E-3</v>
      </c>
      <c r="F238" s="440">
        <f>IF(F229=0,G30,0)</f>
        <v>0</v>
      </c>
      <c r="G238" s="126">
        <f t="shared" si="33"/>
        <v>148</v>
      </c>
      <c r="H238" s="440">
        <f t="shared" si="29"/>
        <v>0</v>
      </c>
      <c r="I238" s="437" t="s">
        <v>165</v>
      </c>
      <c r="J238" s="129"/>
    </row>
    <row r="239" spans="2:13" ht="18" customHeight="1">
      <c r="B239" s="124" t="str">
        <f t="shared" si="31"/>
        <v>6单银Low-E+12A+6</v>
      </c>
      <c r="C239" s="443">
        <f t="shared" si="32"/>
        <v>-122</v>
      </c>
      <c r="D239" s="443">
        <f t="shared" si="32"/>
        <v>-122</v>
      </c>
      <c r="E239" s="32">
        <f t="shared" si="27"/>
        <v>1.4884E-2</v>
      </c>
      <c r="F239" s="440">
        <f>IF(F230=0,G35,0)</f>
        <v>0</v>
      </c>
      <c r="G239" s="126">
        <f t="shared" si="33"/>
        <v>148</v>
      </c>
      <c r="H239" s="440">
        <f t="shared" si="29"/>
        <v>0</v>
      </c>
      <c r="I239" s="127" t="s">
        <v>166</v>
      </c>
      <c r="J239" s="129"/>
    </row>
    <row r="240" spans="2:13" ht="18" customHeight="1">
      <c r="B240" s="124" t="str">
        <f t="shared" si="31"/>
        <v>6单银Low-E+12A+6</v>
      </c>
      <c r="C240" s="443">
        <f t="shared" si="32"/>
        <v>-122</v>
      </c>
      <c r="D240" s="443">
        <f t="shared" si="32"/>
        <v>-122</v>
      </c>
      <c r="E240" s="32">
        <f t="shared" si="27"/>
        <v>1.4884E-2</v>
      </c>
      <c r="F240" s="440">
        <f>IF(F231=0,G36,0)</f>
        <v>0</v>
      </c>
      <c r="G240" s="126">
        <f t="shared" si="33"/>
        <v>148</v>
      </c>
      <c r="H240" s="440">
        <f t="shared" si="29"/>
        <v>0</v>
      </c>
      <c r="I240" s="127" t="s">
        <v>166</v>
      </c>
      <c r="J240" s="129"/>
    </row>
    <row r="241" spans="1:16" ht="18" customHeight="1">
      <c r="B241" s="124" t="str">
        <f t="shared" si="31"/>
        <v>6单银Low-E+12A+6</v>
      </c>
      <c r="C241" s="443">
        <f t="shared" si="32"/>
        <v>-122</v>
      </c>
      <c r="D241" s="443">
        <f t="shared" si="32"/>
        <v>-122</v>
      </c>
      <c r="E241" s="32">
        <f t="shared" si="27"/>
        <v>1.4884E-2</v>
      </c>
      <c r="F241" s="440">
        <f>IF(F232=0,G37,0)</f>
        <v>0</v>
      </c>
      <c r="G241" s="126">
        <f t="shared" si="33"/>
        <v>148</v>
      </c>
      <c r="H241" s="440">
        <f t="shared" si="29"/>
        <v>0</v>
      </c>
      <c r="I241" s="127" t="s">
        <v>166</v>
      </c>
      <c r="J241" s="129"/>
    </row>
    <row r="242" spans="1:16" s="43" customFormat="1" ht="18" customHeight="1">
      <c r="A242" s="1"/>
      <c r="B242" s="48" t="s">
        <v>167</v>
      </c>
      <c r="C242" s="52"/>
      <c r="D242" s="50"/>
      <c r="E242" s="128"/>
      <c r="F242" s="50">
        <f>SUM(F234:F241)</f>
        <v>0</v>
      </c>
      <c r="G242" s="50"/>
      <c r="H242" s="52">
        <f>SUM(H234:H241)</f>
        <v>0</v>
      </c>
      <c r="I242" s="53">
        <f>ROUND(SUMPRODUCT(E234:E241*F234:F241),2)</f>
        <v>0</v>
      </c>
      <c r="J242" s="129"/>
      <c r="N242" s="255"/>
      <c r="O242" s="255"/>
      <c r="P242" s="255"/>
    </row>
    <row r="243" spans="1:16" s="43" customFormat="1" ht="18" customHeight="1">
      <c r="A243" s="1"/>
      <c r="B243" s="124" t="str">
        <f>B240</f>
        <v>6单银Low-E+12A+6</v>
      </c>
      <c r="C243" s="443">
        <f t="shared" ref="C243:D249" si="34">D68-12</f>
        <v>-12</v>
      </c>
      <c r="D243" s="443">
        <f t="shared" si="34"/>
        <v>-12</v>
      </c>
      <c r="E243" s="32">
        <f t="shared" si="27"/>
        <v>1.44E-4</v>
      </c>
      <c r="F243" s="82">
        <f t="shared" ref="F243:F249" si="35">G68</f>
        <v>0</v>
      </c>
      <c r="G243" s="130">
        <f>G241</f>
        <v>148</v>
      </c>
      <c r="H243" s="440">
        <f t="shared" ref="H243:H249" si="36">ROUND(E243*G243*F243,2)</f>
        <v>0</v>
      </c>
      <c r="I243" s="437" t="s">
        <v>168</v>
      </c>
      <c r="J243" s="129"/>
      <c r="N243" s="255"/>
      <c r="O243" s="255"/>
      <c r="P243" s="255"/>
    </row>
    <row r="244" spans="1:16" s="43" customFormat="1" ht="18" customHeight="1">
      <c r="A244" s="1"/>
      <c r="B244" s="124" t="str">
        <f t="shared" ref="B244:B249" si="37">B243</f>
        <v>6单银Low-E+12A+6</v>
      </c>
      <c r="C244" s="443">
        <f t="shared" si="34"/>
        <v>-12</v>
      </c>
      <c r="D244" s="443">
        <f t="shared" si="34"/>
        <v>-12</v>
      </c>
      <c r="E244" s="32">
        <f t="shared" si="27"/>
        <v>1.44E-4</v>
      </c>
      <c r="F244" s="82">
        <f t="shared" si="35"/>
        <v>0</v>
      </c>
      <c r="G244" s="130">
        <f t="shared" ref="G244:G249" si="38">G243</f>
        <v>148</v>
      </c>
      <c r="H244" s="440">
        <f t="shared" si="36"/>
        <v>0</v>
      </c>
      <c r="I244" s="437" t="s">
        <v>168</v>
      </c>
      <c r="J244" s="129"/>
      <c r="N244" s="255"/>
      <c r="O244" s="255"/>
      <c r="P244" s="255"/>
    </row>
    <row r="245" spans="1:16" s="43" customFormat="1" ht="18" customHeight="1">
      <c r="A245" s="1"/>
      <c r="B245" s="124" t="str">
        <f t="shared" si="37"/>
        <v>6单银Low-E+12A+6</v>
      </c>
      <c r="C245" s="443">
        <f t="shared" si="34"/>
        <v>-12</v>
      </c>
      <c r="D245" s="443">
        <f t="shared" si="34"/>
        <v>-12</v>
      </c>
      <c r="E245" s="32">
        <f t="shared" si="27"/>
        <v>1.44E-4</v>
      </c>
      <c r="F245" s="82">
        <f t="shared" si="35"/>
        <v>0</v>
      </c>
      <c r="G245" s="130">
        <f t="shared" si="38"/>
        <v>148</v>
      </c>
      <c r="H245" s="440">
        <f t="shared" si="36"/>
        <v>0</v>
      </c>
      <c r="I245" s="437" t="s">
        <v>168</v>
      </c>
      <c r="J245" s="129"/>
      <c r="N245" s="255"/>
      <c r="O245" s="255"/>
      <c r="P245" s="255"/>
    </row>
    <row r="246" spans="1:16" s="43" customFormat="1" ht="18" customHeight="1">
      <c r="A246" s="1"/>
      <c r="B246" s="124" t="str">
        <f t="shared" si="37"/>
        <v>6单银Low-E+12A+6</v>
      </c>
      <c r="C246" s="443">
        <f t="shared" si="34"/>
        <v>-12</v>
      </c>
      <c r="D246" s="443">
        <f t="shared" si="34"/>
        <v>-12</v>
      </c>
      <c r="E246" s="32">
        <f t="shared" si="27"/>
        <v>1.44E-4</v>
      </c>
      <c r="F246" s="82">
        <f t="shared" si="35"/>
        <v>0</v>
      </c>
      <c r="G246" s="130">
        <f t="shared" si="38"/>
        <v>148</v>
      </c>
      <c r="H246" s="440">
        <f t="shared" si="36"/>
        <v>0</v>
      </c>
      <c r="I246" s="437" t="s">
        <v>168</v>
      </c>
      <c r="J246" s="129"/>
      <c r="N246" s="255"/>
      <c r="O246" s="255"/>
      <c r="P246" s="255"/>
    </row>
    <row r="247" spans="1:16" s="43" customFormat="1" ht="18" customHeight="1">
      <c r="A247" s="1"/>
      <c r="B247" s="124" t="str">
        <f t="shared" si="37"/>
        <v>6单银Low-E+12A+6</v>
      </c>
      <c r="C247" s="443">
        <f t="shared" si="34"/>
        <v>-12</v>
      </c>
      <c r="D247" s="443">
        <f t="shared" si="34"/>
        <v>-12</v>
      </c>
      <c r="E247" s="32">
        <f t="shared" si="27"/>
        <v>1.44E-4</v>
      </c>
      <c r="F247" s="82">
        <f t="shared" si="35"/>
        <v>0</v>
      </c>
      <c r="G247" s="130">
        <f t="shared" si="38"/>
        <v>148</v>
      </c>
      <c r="H247" s="440">
        <f t="shared" si="36"/>
        <v>0</v>
      </c>
      <c r="I247" s="437" t="s">
        <v>168</v>
      </c>
      <c r="J247" s="129"/>
      <c r="N247" s="255"/>
      <c r="O247" s="255"/>
      <c r="P247" s="255"/>
    </row>
    <row r="248" spans="1:16" s="43" customFormat="1" ht="18" customHeight="1">
      <c r="A248" s="1"/>
      <c r="B248" s="124" t="str">
        <f t="shared" si="37"/>
        <v>6单银Low-E+12A+6</v>
      </c>
      <c r="C248" s="443">
        <f t="shared" si="34"/>
        <v>-12</v>
      </c>
      <c r="D248" s="443">
        <f t="shared" si="34"/>
        <v>-12</v>
      </c>
      <c r="E248" s="32">
        <f t="shared" si="27"/>
        <v>1.44E-4</v>
      </c>
      <c r="F248" s="82">
        <f t="shared" si="35"/>
        <v>0</v>
      </c>
      <c r="G248" s="130">
        <f t="shared" si="38"/>
        <v>148</v>
      </c>
      <c r="H248" s="440">
        <f t="shared" si="36"/>
        <v>0</v>
      </c>
      <c r="I248" s="437" t="s">
        <v>168</v>
      </c>
      <c r="J248" s="129"/>
      <c r="N248" s="255"/>
      <c r="O248" s="255"/>
      <c r="P248" s="255"/>
    </row>
    <row r="249" spans="1:16" s="43" customFormat="1" ht="18" customHeight="1">
      <c r="A249" s="1"/>
      <c r="B249" s="124" t="str">
        <f t="shared" si="37"/>
        <v>6单银Low-E+12A+6</v>
      </c>
      <c r="C249" s="443">
        <f t="shared" si="34"/>
        <v>-12</v>
      </c>
      <c r="D249" s="443">
        <f t="shared" si="34"/>
        <v>-12</v>
      </c>
      <c r="E249" s="32">
        <f t="shared" si="27"/>
        <v>1.44E-4</v>
      </c>
      <c r="F249" s="82">
        <f t="shared" si="35"/>
        <v>0</v>
      </c>
      <c r="G249" s="130">
        <f t="shared" si="38"/>
        <v>148</v>
      </c>
      <c r="H249" s="440">
        <f t="shared" si="36"/>
        <v>0</v>
      </c>
      <c r="I249" s="437" t="s">
        <v>168</v>
      </c>
      <c r="J249" s="129"/>
      <c r="N249" s="255"/>
      <c r="O249" s="255"/>
      <c r="P249" s="255"/>
    </row>
    <row r="250" spans="1:16" s="43" customFormat="1" ht="18" customHeight="1">
      <c r="A250" s="1"/>
      <c r="B250" s="131" t="str">
        <f>B246</f>
        <v>6单银Low-E+12A+6</v>
      </c>
      <c r="C250" s="52"/>
      <c r="D250" s="50"/>
      <c r="E250" s="128"/>
      <c r="F250" s="50">
        <f>SUM(F243:F249)</f>
        <v>0</v>
      </c>
      <c r="G250" s="50"/>
      <c r="H250" s="52">
        <f>SUM(H243:H249)</f>
        <v>0</v>
      </c>
      <c r="I250" s="53">
        <f>ROUND((E243*F243+E244*F244+E245*F245+E246*F246+E247*F247+E248*F248+E249*F249),2)</f>
        <v>0</v>
      </c>
      <c r="J250" s="43">
        <f>(I242+I258+I273+I280)</f>
        <v>0</v>
      </c>
      <c r="N250" s="255"/>
      <c r="O250" s="255"/>
      <c r="P250" s="255"/>
    </row>
    <row r="251" spans="1:16" s="43" customFormat="1" ht="18" customHeight="1">
      <c r="A251" s="1"/>
      <c r="B251" s="124" t="str">
        <f>B249</f>
        <v>6单银Low-E+12A+6</v>
      </c>
      <c r="C251" s="443">
        <f t="shared" ref="C251:D257" si="39">D75-12</f>
        <v>-12</v>
      </c>
      <c r="D251" s="443">
        <f t="shared" si="39"/>
        <v>-12</v>
      </c>
      <c r="E251" s="32">
        <f t="shared" si="27"/>
        <v>1.44E-4</v>
      </c>
      <c r="F251" s="82">
        <f t="shared" ref="F251:F257" si="40">G75</f>
        <v>0</v>
      </c>
      <c r="G251" s="130">
        <f>G249</f>
        <v>148</v>
      </c>
      <c r="H251" s="440">
        <f>ROUND(E251*G251*F251,2)</f>
        <v>0</v>
      </c>
      <c r="I251" s="132" t="s">
        <v>169</v>
      </c>
      <c r="N251" s="255"/>
      <c r="O251" s="255"/>
      <c r="P251" s="255"/>
    </row>
    <row r="252" spans="1:16" s="43" customFormat="1" ht="18" customHeight="1">
      <c r="A252" s="1"/>
      <c r="B252" s="124" t="str">
        <f t="shared" ref="B252:B257" si="41">B251</f>
        <v>6单银Low-E+12A+6</v>
      </c>
      <c r="C252" s="443">
        <f t="shared" si="39"/>
        <v>-12</v>
      </c>
      <c r="D252" s="443">
        <f t="shared" si="39"/>
        <v>-12</v>
      </c>
      <c r="E252" s="32">
        <f t="shared" si="27"/>
        <v>1.44E-4</v>
      </c>
      <c r="F252" s="82">
        <f t="shared" si="40"/>
        <v>0</v>
      </c>
      <c r="G252" s="130">
        <f t="shared" ref="G252:G257" si="42">G251</f>
        <v>148</v>
      </c>
      <c r="H252" s="440">
        <f t="shared" ref="H252:H264" si="43">ROUND(E252*G252*F252,2)</f>
        <v>0</v>
      </c>
      <c r="I252" s="132" t="str">
        <f t="shared" ref="I252:I257" si="44">I251</f>
        <v>固定钢化中空</v>
      </c>
      <c r="N252" s="255"/>
      <c r="O252" s="255"/>
      <c r="P252" s="255"/>
    </row>
    <row r="253" spans="1:16" s="43" customFormat="1" ht="18" customHeight="1">
      <c r="A253" s="1"/>
      <c r="B253" s="124" t="str">
        <f t="shared" si="41"/>
        <v>6单银Low-E+12A+6</v>
      </c>
      <c r="C253" s="443">
        <f t="shared" si="39"/>
        <v>-12</v>
      </c>
      <c r="D253" s="443">
        <f t="shared" si="39"/>
        <v>-12</v>
      </c>
      <c r="E253" s="32">
        <f t="shared" si="27"/>
        <v>1.44E-4</v>
      </c>
      <c r="F253" s="82">
        <f t="shared" si="40"/>
        <v>0</v>
      </c>
      <c r="G253" s="130">
        <f t="shared" si="42"/>
        <v>148</v>
      </c>
      <c r="H253" s="440">
        <f t="shared" si="43"/>
        <v>0</v>
      </c>
      <c r="I253" s="132" t="str">
        <f t="shared" si="44"/>
        <v>固定钢化中空</v>
      </c>
      <c r="N253" s="255"/>
      <c r="O253" s="255"/>
      <c r="P253" s="255"/>
    </row>
    <row r="254" spans="1:16" s="43" customFormat="1" ht="18" customHeight="1">
      <c r="A254" s="1"/>
      <c r="B254" s="124" t="str">
        <f t="shared" si="41"/>
        <v>6单银Low-E+12A+6</v>
      </c>
      <c r="C254" s="443">
        <f t="shared" si="39"/>
        <v>-12</v>
      </c>
      <c r="D254" s="443">
        <f t="shared" si="39"/>
        <v>-12</v>
      </c>
      <c r="E254" s="32">
        <f t="shared" si="27"/>
        <v>1.44E-4</v>
      </c>
      <c r="F254" s="82">
        <f t="shared" si="40"/>
        <v>0</v>
      </c>
      <c r="G254" s="130">
        <f t="shared" si="42"/>
        <v>148</v>
      </c>
      <c r="H254" s="440">
        <f t="shared" si="43"/>
        <v>0</v>
      </c>
      <c r="I254" s="132" t="str">
        <f t="shared" si="44"/>
        <v>固定钢化中空</v>
      </c>
      <c r="J254" s="42"/>
      <c r="N254" s="255"/>
      <c r="O254" s="255"/>
      <c r="P254" s="255"/>
    </row>
    <row r="255" spans="1:16" s="43" customFormat="1" ht="18" customHeight="1">
      <c r="A255" s="1"/>
      <c r="B255" s="124" t="str">
        <f t="shared" si="41"/>
        <v>6单银Low-E+12A+6</v>
      </c>
      <c r="C255" s="443">
        <f t="shared" si="39"/>
        <v>-12</v>
      </c>
      <c r="D255" s="443">
        <f t="shared" si="39"/>
        <v>-12</v>
      </c>
      <c r="E255" s="32">
        <f t="shared" si="27"/>
        <v>1.44E-4</v>
      </c>
      <c r="F255" s="82">
        <f t="shared" si="40"/>
        <v>0</v>
      </c>
      <c r="G255" s="130">
        <f t="shared" si="42"/>
        <v>148</v>
      </c>
      <c r="H255" s="440">
        <f t="shared" si="43"/>
        <v>0</v>
      </c>
      <c r="I255" s="132" t="str">
        <f t="shared" si="44"/>
        <v>固定钢化中空</v>
      </c>
      <c r="N255" s="255"/>
      <c r="O255" s="255"/>
      <c r="P255" s="255"/>
    </row>
    <row r="256" spans="1:16" s="43" customFormat="1" ht="18" customHeight="1">
      <c r="A256" s="1"/>
      <c r="B256" s="124" t="str">
        <f t="shared" si="41"/>
        <v>6单银Low-E+12A+6</v>
      </c>
      <c r="C256" s="443">
        <f t="shared" si="39"/>
        <v>-12</v>
      </c>
      <c r="D256" s="443">
        <f t="shared" si="39"/>
        <v>-12</v>
      </c>
      <c r="E256" s="32">
        <f t="shared" si="27"/>
        <v>1.44E-4</v>
      </c>
      <c r="F256" s="82">
        <f t="shared" si="40"/>
        <v>0</v>
      </c>
      <c r="G256" s="130">
        <f t="shared" si="42"/>
        <v>148</v>
      </c>
      <c r="H256" s="440">
        <f t="shared" si="43"/>
        <v>0</v>
      </c>
      <c r="I256" s="132" t="str">
        <f t="shared" si="44"/>
        <v>固定钢化中空</v>
      </c>
      <c r="N256" s="255"/>
      <c r="O256" s="255"/>
      <c r="P256" s="255"/>
    </row>
    <row r="257" spans="1:16" s="43" customFormat="1" ht="18" customHeight="1">
      <c r="A257" s="1"/>
      <c r="B257" s="124" t="str">
        <f t="shared" si="41"/>
        <v>6单银Low-E+12A+6</v>
      </c>
      <c r="C257" s="443">
        <f t="shared" si="39"/>
        <v>-12</v>
      </c>
      <c r="D257" s="443">
        <f t="shared" si="39"/>
        <v>-12</v>
      </c>
      <c r="E257" s="32">
        <f t="shared" si="27"/>
        <v>1.44E-4</v>
      </c>
      <c r="F257" s="82">
        <f t="shared" si="40"/>
        <v>0</v>
      </c>
      <c r="G257" s="130">
        <f t="shared" si="42"/>
        <v>148</v>
      </c>
      <c r="H257" s="440">
        <f t="shared" si="43"/>
        <v>0</v>
      </c>
      <c r="I257" s="132" t="str">
        <f t="shared" si="44"/>
        <v>固定钢化中空</v>
      </c>
      <c r="N257" s="255"/>
      <c r="O257" s="255"/>
      <c r="P257" s="255"/>
    </row>
    <row r="258" spans="1:16" s="43" customFormat="1" ht="18" customHeight="1">
      <c r="A258" s="1"/>
      <c r="B258" s="48" t="s">
        <v>170</v>
      </c>
      <c r="C258" s="52"/>
      <c r="D258" s="50"/>
      <c r="E258" s="128"/>
      <c r="F258" s="50">
        <f>SUM(F251:F257)</f>
        <v>0</v>
      </c>
      <c r="G258" s="50"/>
      <c r="H258" s="52">
        <f>SUM(H251:H257)</f>
        <v>0</v>
      </c>
      <c r="I258" s="53">
        <f>ROUND((E251*F251+E252*F252+E253*F253+E254*F254+E255*F255+E256*F256+E257*F257),2)</f>
        <v>0</v>
      </c>
      <c r="N258" s="255"/>
      <c r="O258" s="255"/>
      <c r="P258" s="255"/>
    </row>
    <row r="259" spans="1:16" s="43" customFormat="1" ht="18" customHeight="1">
      <c r="A259" s="1"/>
      <c r="B259" s="124" t="str">
        <f>B257</f>
        <v>6单银Low-E+12A+6</v>
      </c>
      <c r="C259" s="443">
        <f t="shared" ref="C259:D264" si="45">D82-12</f>
        <v>-12</v>
      </c>
      <c r="D259" s="443">
        <f t="shared" si="45"/>
        <v>-12</v>
      </c>
      <c r="E259" s="32">
        <f t="shared" si="27"/>
        <v>1.44E-4</v>
      </c>
      <c r="F259" s="82">
        <f t="shared" ref="F259:F264" si="46">G82</f>
        <v>0</v>
      </c>
      <c r="G259" s="130">
        <f>G257</f>
        <v>148</v>
      </c>
      <c r="H259" s="440">
        <f t="shared" si="43"/>
        <v>0</v>
      </c>
      <c r="I259" s="437" t="s">
        <v>171</v>
      </c>
      <c r="N259" s="255"/>
      <c r="O259" s="255"/>
      <c r="P259" s="255"/>
    </row>
    <row r="260" spans="1:16" s="43" customFormat="1" ht="18" customHeight="1">
      <c r="A260" s="1"/>
      <c r="B260" s="124" t="str">
        <f>B259</f>
        <v>6单银Low-E+12A+6</v>
      </c>
      <c r="C260" s="443">
        <f t="shared" si="45"/>
        <v>-12</v>
      </c>
      <c r="D260" s="443">
        <f t="shared" si="45"/>
        <v>-12</v>
      </c>
      <c r="E260" s="32">
        <f t="shared" si="27"/>
        <v>1.44E-4</v>
      </c>
      <c r="F260" s="82">
        <f t="shared" si="46"/>
        <v>0</v>
      </c>
      <c r="G260" s="130">
        <f>G259</f>
        <v>148</v>
      </c>
      <c r="H260" s="440">
        <f t="shared" si="43"/>
        <v>0</v>
      </c>
      <c r="I260" s="437" t="s">
        <v>171</v>
      </c>
      <c r="N260" s="255"/>
      <c r="O260" s="255"/>
      <c r="P260" s="255"/>
    </row>
    <row r="261" spans="1:16" s="43" customFormat="1" ht="18" customHeight="1">
      <c r="A261" s="1"/>
      <c r="B261" s="124" t="str">
        <f>B260</f>
        <v>6单银Low-E+12A+6</v>
      </c>
      <c r="C261" s="443">
        <f t="shared" si="45"/>
        <v>-12</v>
      </c>
      <c r="D261" s="443">
        <f t="shared" si="45"/>
        <v>-12</v>
      </c>
      <c r="E261" s="32">
        <f t="shared" si="27"/>
        <v>1.44E-4</v>
      </c>
      <c r="F261" s="82">
        <f t="shared" si="46"/>
        <v>0</v>
      </c>
      <c r="G261" s="130">
        <f>G260</f>
        <v>148</v>
      </c>
      <c r="H261" s="440">
        <f t="shared" si="43"/>
        <v>0</v>
      </c>
      <c r="I261" s="437" t="s">
        <v>171</v>
      </c>
      <c r="N261" s="255"/>
      <c r="O261" s="255"/>
      <c r="P261" s="255"/>
    </row>
    <row r="262" spans="1:16" s="43" customFormat="1" ht="18" customHeight="1">
      <c r="A262" s="1"/>
      <c r="B262" s="124" t="str">
        <f>B261</f>
        <v>6单银Low-E+12A+6</v>
      </c>
      <c r="C262" s="443">
        <f t="shared" si="45"/>
        <v>-12</v>
      </c>
      <c r="D262" s="443">
        <f t="shared" si="45"/>
        <v>-12</v>
      </c>
      <c r="E262" s="32">
        <f t="shared" si="27"/>
        <v>1.44E-4</v>
      </c>
      <c r="F262" s="82">
        <f t="shared" si="46"/>
        <v>0</v>
      </c>
      <c r="G262" s="130">
        <f>G261</f>
        <v>148</v>
      </c>
      <c r="H262" s="440">
        <f t="shared" si="43"/>
        <v>0</v>
      </c>
      <c r="I262" s="437" t="s">
        <v>171</v>
      </c>
      <c r="N262" s="255"/>
      <c r="O262" s="255"/>
      <c r="P262" s="255"/>
    </row>
    <row r="263" spans="1:16" s="43" customFormat="1" ht="18" customHeight="1">
      <c r="A263" s="1"/>
      <c r="B263" s="124" t="str">
        <f>B262</f>
        <v>6单银Low-E+12A+6</v>
      </c>
      <c r="C263" s="443">
        <f t="shared" si="45"/>
        <v>-12</v>
      </c>
      <c r="D263" s="443">
        <f t="shared" si="45"/>
        <v>-12</v>
      </c>
      <c r="E263" s="32">
        <f t="shared" si="27"/>
        <v>1.44E-4</v>
      </c>
      <c r="F263" s="82">
        <f t="shared" si="46"/>
        <v>0</v>
      </c>
      <c r="G263" s="130">
        <f>G262</f>
        <v>148</v>
      </c>
      <c r="H263" s="440">
        <f t="shared" si="43"/>
        <v>0</v>
      </c>
      <c r="I263" s="437" t="s">
        <v>171</v>
      </c>
      <c r="N263" s="255"/>
      <c r="O263" s="255"/>
      <c r="P263" s="255"/>
    </row>
    <row r="264" spans="1:16" s="43" customFormat="1" ht="18" customHeight="1">
      <c r="A264" s="1"/>
      <c r="B264" s="124" t="str">
        <f>B263</f>
        <v>6单银Low-E+12A+6</v>
      </c>
      <c r="C264" s="443">
        <f t="shared" si="45"/>
        <v>-12</v>
      </c>
      <c r="D264" s="443">
        <f t="shared" si="45"/>
        <v>-12</v>
      </c>
      <c r="E264" s="32">
        <f t="shared" si="27"/>
        <v>1.44E-4</v>
      </c>
      <c r="F264" s="82">
        <f t="shared" si="46"/>
        <v>0</v>
      </c>
      <c r="G264" s="130">
        <f>G263</f>
        <v>148</v>
      </c>
      <c r="H264" s="440">
        <f t="shared" si="43"/>
        <v>0</v>
      </c>
      <c r="I264" s="437" t="s">
        <v>171</v>
      </c>
      <c r="N264" s="255"/>
      <c r="O264" s="255"/>
      <c r="P264" s="255"/>
    </row>
    <row r="265" spans="1:16" s="43" customFormat="1" ht="18" customHeight="1">
      <c r="A265" s="1"/>
      <c r="B265" s="48" t="s">
        <v>172</v>
      </c>
      <c r="C265" s="52"/>
      <c r="D265" s="50"/>
      <c r="E265" s="128"/>
      <c r="F265" s="50">
        <f>SUM(F259:F264)</f>
        <v>0</v>
      </c>
      <c r="G265" s="50"/>
      <c r="H265" s="52">
        <f>SUM(H259:H264)</f>
        <v>0</v>
      </c>
      <c r="I265" s="53">
        <f>ROUND(SUMPRODUCT(E259:E264*F259:F264),2)</f>
        <v>0</v>
      </c>
      <c r="N265" s="255"/>
      <c r="O265" s="255"/>
      <c r="P265" s="255"/>
    </row>
    <row r="266" spans="1:16" s="43" customFormat="1" ht="18" customHeight="1">
      <c r="A266" s="1"/>
      <c r="B266" s="124" t="str">
        <f>B264</f>
        <v>6单银Low-E+12A+6</v>
      </c>
      <c r="C266" s="133">
        <f t="shared" ref="C266:D268" si="47">D143</f>
        <v>955</v>
      </c>
      <c r="D266" s="133">
        <f t="shared" si="47"/>
        <v>2093</v>
      </c>
      <c r="E266" s="32">
        <f t="shared" si="27"/>
        <v>1.998815</v>
      </c>
      <c r="F266" s="134">
        <f>G143</f>
        <v>2</v>
      </c>
      <c r="G266" s="135">
        <f>G264</f>
        <v>148</v>
      </c>
      <c r="H266" s="134">
        <f>ROUND(E266*G266*F266,2)</f>
        <v>591.65</v>
      </c>
      <c r="I266" s="136" t="s">
        <v>173</v>
      </c>
      <c r="N266" s="255"/>
      <c r="O266" s="255"/>
      <c r="P266" s="255"/>
    </row>
    <row r="267" spans="1:16" s="43" customFormat="1" ht="18" customHeight="1">
      <c r="A267" s="1"/>
      <c r="B267" s="124" t="str">
        <f>B264</f>
        <v>6单银Low-E+12A+6</v>
      </c>
      <c r="C267" s="133">
        <f t="shared" si="47"/>
        <v>-154</v>
      </c>
      <c r="D267" s="133">
        <f t="shared" si="47"/>
        <v>-154</v>
      </c>
      <c r="E267" s="32">
        <f t="shared" si="27"/>
        <v>2.3716000000000001E-2</v>
      </c>
      <c r="F267" s="134">
        <f>G144</f>
        <v>0</v>
      </c>
      <c r="G267" s="135">
        <f>G266</f>
        <v>148</v>
      </c>
      <c r="H267" s="134">
        <f>ROUND(E267*G267*F267,2)</f>
        <v>0</v>
      </c>
      <c r="I267" s="136" t="s">
        <v>173</v>
      </c>
      <c r="N267" s="255"/>
      <c r="O267" s="255"/>
      <c r="P267" s="255"/>
    </row>
    <row r="268" spans="1:16" s="43" customFormat="1" ht="18" customHeight="1">
      <c r="A268" s="1"/>
      <c r="B268" s="124" t="str">
        <f>B267</f>
        <v>6单银Low-E+12A+6</v>
      </c>
      <c r="C268" s="133">
        <f t="shared" si="47"/>
        <v>-154</v>
      </c>
      <c r="D268" s="133">
        <f t="shared" si="47"/>
        <v>-154</v>
      </c>
      <c r="E268" s="32">
        <f t="shared" si="27"/>
        <v>2.3716000000000001E-2</v>
      </c>
      <c r="F268" s="134">
        <f>G145</f>
        <v>0</v>
      </c>
      <c r="G268" s="135">
        <f>G267</f>
        <v>148</v>
      </c>
      <c r="H268" s="134">
        <f>ROUND(E268*G268*F268,2)</f>
        <v>0</v>
      </c>
      <c r="I268" s="136" t="s">
        <v>173</v>
      </c>
      <c r="N268" s="255"/>
      <c r="O268" s="255"/>
      <c r="P268" s="255"/>
    </row>
    <row r="269" spans="1:16" s="43" customFormat="1" ht="18" customHeight="1">
      <c r="A269" s="1"/>
      <c r="B269" s="48" t="s">
        <v>174</v>
      </c>
      <c r="C269" s="52"/>
      <c r="D269" s="50"/>
      <c r="E269" s="128"/>
      <c r="F269" s="50">
        <f>SUM(F266:F268)</f>
        <v>2</v>
      </c>
      <c r="G269" s="50"/>
      <c r="H269" s="52">
        <f>SUM(H266:H268)</f>
        <v>591.65</v>
      </c>
      <c r="I269" s="53">
        <f>ROUND((E266*F266+E267*F267+E268*F268),2)</f>
        <v>4</v>
      </c>
      <c r="N269" s="255"/>
      <c r="O269" s="255"/>
      <c r="P269" s="255"/>
    </row>
    <row r="270" spans="1:16" s="43" customFormat="1" ht="18" customHeight="1">
      <c r="A270" s="1"/>
      <c r="B270" s="124" t="str">
        <f>B268</f>
        <v>6单银Low-E+12A+6</v>
      </c>
      <c r="C270" s="133">
        <f t="shared" ref="C270:D272" si="48">D150</f>
        <v>-160</v>
      </c>
      <c r="D270" s="133">
        <f t="shared" si="48"/>
        <v>-160</v>
      </c>
      <c r="E270" s="32">
        <f t="shared" si="27"/>
        <v>2.5600000000000001E-2</v>
      </c>
      <c r="F270" s="134">
        <f>G150</f>
        <v>0</v>
      </c>
      <c r="G270" s="135">
        <f>G268</f>
        <v>148</v>
      </c>
      <c r="H270" s="134">
        <f>ROUND(E270*G270*F270,2)</f>
        <v>0</v>
      </c>
      <c r="I270" s="136" t="s">
        <v>173</v>
      </c>
      <c r="N270" s="255"/>
      <c r="O270" s="255"/>
      <c r="P270" s="255"/>
    </row>
    <row r="271" spans="1:16" s="43" customFormat="1" ht="18" customHeight="1">
      <c r="A271" s="1"/>
      <c r="B271" s="124" t="str">
        <f>B270</f>
        <v>6单银Low-E+12A+6</v>
      </c>
      <c r="C271" s="133">
        <f t="shared" si="48"/>
        <v>-160</v>
      </c>
      <c r="D271" s="133">
        <f t="shared" si="48"/>
        <v>-160</v>
      </c>
      <c r="E271" s="32">
        <f t="shared" si="27"/>
        <v>2.5600000000000001E-2</v>
      </c>
      <c r="F271" s="134">
        <f>G151</f>
        <v>0</v>
      </c>
      <c r="G271" s="135">
        <f>G270</f>
        <v>148</v>
      </c>
      <c r="H271" s="134">
        <f>ROUND(E271*G271*F271,2)</f>
        <v>0</v>
      </c>
      <c r="I271" s="136" t="s">
        <v>173</v>
      </c>
      <c r="N271" s="255"/>
      <c r="O271" s="255"/>
      <c r="P271" s="255"/>
    </row>
    <row r="272" spans="1:16" s="43" customFormat="1" ht="18" customHeight="1">
      <c r="A272" s="1"/>
      <c r="B272" s="124" t="str">
        <f>B271</f>
        <v>6单银Low-E+12A+6</v>
      </c>
      <c r="C272" s="133">
        <f t="shared" si="48"/>
        <v>-160</v>
      </c>
      <c r="D272" s="133">
        <f t="shared" si="48"/>
        <v>-160</v>
      </c>
      <c r="E272" s="32">
        <f t="shared" si="27"/>
        <v>2.5600000000000001E-2</v>
      </c>
      <c r="F272" s="134">
        <f>G152</f>
        <v>0</v>
      </c>
      <c r="G272" s="135">
        <f>G271</f>
        <v>148</v>
      </c>
      <c r="H272" s="134">
        <f>ROUND(E272*G272*F272,2)</f>
        <v>0</v>
      </c>
      <c r="I272" s="136" t="s">
        <v>173</v>
      </c>
      <c r="N272" s="255"/>
      <c r="O272" s="255"/>
      <c r="P272" s="255"/>
    </row>
    <row r="273" spans="1:16" s="43" customFormat="1" ht="18" customHeight="1">
      <c r="A273" s="1"/>
      <c r="B273" s="48" t="s">
        <v>175</v>
      </c>
      <c r="C273" s="52"/>
      <c r="D273" s="50"/>
      <c r="E273" s="128"/>
      <c r="F273" s="50">
        <f>SUM(F270:F272)</f>
        <v>0</v>
      </c>
      <c r="G273" s="50"/>
      <c r="H273" s="52">
        <f>SUM(H270:H272)</f>
        <v>0</v>
      </c>
      <c r="I273" s="53">
        <f>ROUND((E270*F270+E271*F271+E272*F272),2)</f>
        <v>0</v>
      </c>
      <c r="N273" s="255"/>
      <c r="O273" s="255"/>
      <c r="P273" s="255"/>
    </row>
    <row r="274" spans="1:16" ht="18" customHeight="1">
      <c r="B274" s="124" t="str">
        <f>B272</f>
        <v>6单银Low-E+12A+6</v>
      </c>
      <c r="C274" s="133">
        <f t="shared" ref="C274:D279" si="49">D157-12</f>
        <v>-12</v>
      </c>
      <c r="D274" s="133">
        <f t="shared" si="49"/>
        <v>-12</v>
      </c>
      <c r="E274" s="32">
        <f t="shared" si="27"/>
        <v>1.44E-4</v>
      </c>
      <c r="F274" s="134">
        <f t="shared" ref="F274:F279" si="50">G157</f>
        <v>0</v>
      </c>
      <c r="G274" s="135">
        <f>G272</f>
        <v>148</v>
      </c>
      <c r="H274" s="134">
        <f t="shared" ref="H274:H279" si="51">ROUND(E274*G274*F274,2)</f>
        <v>0</v>
      </c>
      <c r="I274" s="136" t="s">
        <v>176</v>
      </c>
    </row>
    <row r="275" spans="1:16" ht="18" customHeight="1">
      <c r="B275" s="124" t="str">
        <f>B274</f>
        <v>6单银Low-E+12A+6</v>
      </c>
      <c r="C275" s="133">
        <f t="shared" si="49"/>
        <v>-12</v>
      </c>
      <c r="D275" s="133">
        <f t="shared" si="49"/>
        <v>-12</v>
      </c>
      <c r="E275" s="32">
        <f t="shared" si="27"/>
        <v>1.44E-4</v>
      </c>
      <c r="F275" s="134">
        <f t="shared" si="50"/>
        <v>0</v>
      </c>
      <c r="G275" s="135">
        <f>G274</f>
        <v>148</v>
      </c>
      <c r="H275" s="134">
        <f t="shared" si="51"/>
        <v>0</v>
      </c>
      <c r="I275" s="136" t="str">
        <f>I274</f>
        <v>门钢化中空玻璃</v>
      </c>
      <c r="K275" s="43" t="s">
        <v>177</v>
      </c>
    </row>
    <row r="276" spans="1:16" ht="18" customHeight="1">
      <c r="B276" s="124" t="str">
        <f>B275</f>
        <v>6单银Low-E+12A+6</v>
      </c>
      <c r="C276" s="133">
        <f t="shared" si="49"/>
        <v>-12</v>
      </c>
      <c r="D276" s="133">
        <f t="shared" si="49"/>
        <v>-12</v>
      </c>
      <c r="E276" s="32">
        <f t="shared" si="27"/>
        <v>1.44E-4</v>
      </c>
      <c r="F276" s="134">
        <f t="shared" si="50"/>
        <v>0</v>
      </c>
      <c r="G276" s="135">
        <f>G275</f>
        <v>148</v>
      </c>
      <c r="H276" s="134">
        <f t="shared" si="51"/>
        <v>0</v>
      </c>
      <c r="I276" s="136" t="str">
        <f>I275</f>
        <v>门钢化中空玻璃</v>
      </c>
    </row>
    <row r="277" spans="1:16" ht="18" customHeight="1">
      <c r="B277" s="124" t="str">
        <f>B276</f>
        <v>6单银Low-E+12A+6</v>
      </c>
      <c r="C277" s="133">
        <f t="shared" si="49"/>
        <v>-12</v>
      </c>
      <c r="D277" s="133">
        <f t="shared" si="49"/>
        <v>-12</v>
      </c>
      <c r="E277" s="32">
        <f t="shared" si="27"/>
        <v>1.44E-4</v>
      </c>
      <c r="F277" s="134">
        <f t="shared" si="50"/>
        <v>0</v>
      </c>
      <c r="G277" s="135">
        <f>G276</f>
        <v>148</v>
      </c>
      <c r="H277" s="134">
        <f t="shared" si="51"/>
        <v>0</v>
      </c>
      <c r="I277" s="136" t="str">
        <f>I276</f>
        <v>门钢化中空玻璃</v>
      </c>
    </row>
    <row r="278" spans="1:16" ht="18" customHeight="1">
      <c r="B278" s="124" t="str">
        <f>B277</f>
        <v>6单银Low-E+12A+6</v>
      </c>
      <c r="C278" s="133">
        <f t="shared" si="49"/>
        <v>-12</v>
      </c>
      <c r="D278" s="133">
        <f t="shared" si="49"/>
        <v>-12</v>
      </c>
      <c r="E278" s="32">
        <f t="shared" si="27"/>
        <v>1.44E-4</v>
      </c>
      <c r="F278" s="134">
        <f t="shared" si="50"/>
        <v>0</v>
      </c>
      <c r="G278" s="135">
        <f>G277</f>
        <v>148</v>
      </c>
      <c r="H278" s="134">
        <f t="shared" si="51"/>
        <v>0</v>
      </c>
      <c r="I278" s="136" t="str">
        <f>I277</f>
        <v>门钢化中空玻璃</v>
      </c>
    </row>
    <row r="279" spans="1:16" ht="18" customHeight="1">
      <c r="B279" s="124" t="str">
        <f>B278</f>
        <v>6单银Low-E+12A+6</v>
      </c>
      <c r="C279" s="133">
        <f t="shared" si="49"/>
        <v>-12</v>
      </c>
      <c r="D279" s="133">
        <f t="shared" si="49"/>
        <v>-12</v>
      </c>
      <c r="E279" s="32">
        <f t="shared" si="27"/>
        <v>1.44E-4</v>
      </c>
      <c r="F279" s="134">
        <f t="shared" si="50"/>
        <v>0</v>
      </c>
      <c r="G279" s="135">
        <f>G278</f>
        <v>148</v>
      </c>
      <c r="H279" s="134">
        <f t="shared" si="51"/>
        <v>0</v>
      </c>
      <c r="I279" s="136" t="str">
        <f>I278</f>
        <v>门钢化中空玻璃</v>
      </c>
    </row>
    <row r="280" spans="1:16" ht="18" customHeight="1">
      <c r="B280" s="48" t="s">
        <v>178</v>
      </c>
      <c r="C280" s="52"/>
      <c r="D280" s="50"/>
      <c r="E280" s="128"/>
      <c r="F280" s="50">
        <f>SUM(F274:F279)</f>
        <v>0</v>
      </c>
      <c r="G280" s="50"/>
      <c r="H280" s="52">
        <f>SUM(H274:H279)</f>
        <v>0</v>
      </c>
      <c r="I280" s="53">
        <f>ROUND(SUMPRODUCT(E274:E279*F274:F279),2)</f>
        <v>0</v>
      </c>
    </row>
    <row r="281" spans="1:16" ht="18" customHeight="1">
      <c r="B281" s="124" t="str">
        <f>材料价格!A10</f>
        <v>6单银Low-E+12A+6</v>
      </c>
      <c r="C281" s="133">
        <f>C252</f>
        <v>-12</v>
      </c>
      <c r="D281" s="133">
        <f>D252</f>
        <v>-12</v>
      </c>
      <c r="E281" s="32">
        <f t="shared" si="27"/>
        <v>1.44E-4</v>
      </c>
      <c r="F281" s="134"/>
      <c r="G281" s="137">
        <f>材料价格!B10</f>
        <v>148</v>
      </c>
      <c r="H281" s="134">
        <f>ROUND(E281*G281*F281,2)</f>
        <v>0</v>
      </c>
      <c r="I281" s="437" t="s">
        <v>179</v>
      </c>
    </row>
    <row r="282" spans="1:16" ht="18" customHeight="1">
      <c r="B282" s="124" t="str">
        <f>B281</f>
        <v>6单银Low-E+12A+6</v>
      </c>
      <c r="C282" s="133">
        <f>C253</f>
        <v>-12</v>
      </c>
      <c r="D282" s="133">
        <f>D253</f>
        <v>-12</v>
      </c>
      <c r="E282" s="32">
        <f t="shared" si="27"/>
        <v>1.44E-4</v>
      </c>
      <c r="F282" s="134"/>
      <c r="G282" s="135">
        <f>G281</f>
        <v>148</v>
      </c>
      <c r="H282" s="134">
        <f>ROUND(E282*G282*F282,2)</f>
        <v>0</v>
      </c>
      <c r="I282" s="437" t="s">
        <v>179</v>
      </c>
      <c r="J282" s="255"/>
      <c r="K282" s="255"/>
      <c r="L282" s="255"/>
      <c r="M282" s="255"/>
    </row>
    <row r="283" spans="1:16" ht="18" customHeight="1">
      <c r="B283" s="124" t="str">
        <f>B282</f>
        <v>6单银Low-E+12A+6</v>
      </c>
      <c r="C283" s="133">
        <f>D84-12</f>
        <v>-12</v>
      </c>
      <c r="D283" s="133">
        <f>E84-12</f>
        <v>-12</v>
      </c>
      <c r="E283" s="32">
        <f t="shared" si="27"/>
        <v>1.44E-4</v>
      </c>
      <c r="F283" s="134">
        <f>G84</f>
        <v>0</v>
      </c>
      <c r="G283" s="135">
        <f>G282</f>
        <v>148</v>
      </c>
      <c r="H283" s="134">
        <f>ROUND(E283*G283*F283,2)</f>
        <v>0</v>
      </c>
      <c r="I283" s="437" t="s">
        <v>179</v>
      </c>
      <c r="J283" s="255"/>
      <c r="K283" s="255"/>
      <c r="L283" s="255"/>
      <c r="M283" s="255"/>
    </row>
    <row r="284" spans="1:16" ht="18" customHeight="1">
      <c r="B284" s="124" t="str">
        <f>B283</f>
        <v>6单银Low-E+12A+6</v>
      </c>
      <c r="C284" s="133">
        <f>D85-12</f>
        <v>-12</v>
      </c>
      <c r="D284" s="133">
        <f>E85-12</f>
        <v>-12</v>
      </c>
      <c r="E284" s="32">
        <f t="shared" si="27"/>
        <v>1.44E-4</v>
      </c>
      <c r="F284" s="134">
        <f>G85</f>
        <v>0</v>
      </c>
      <c r="G284" s="135">
        <f>G283</f>
        <v>148</v>
      </c>
      <c r="H284" s="134">
        <f>ROUND(E284*G284*F284,2)</f>
        <v>0</v>
      </c>
      <c r="I284" s="437" t="s">
        <v>179</v>
      </c>
      <c r="J284" s="255"/>
      <c r="K284" s="255"/>
      <c r="L284" s="255"/>
      <c r="M284" s="255"/>
    </row>
    <row r="285" spans="1:16" ht="18" customHeight="1">
      <c r="B285" s="48" t="s">
        <v>180</v>
      </c>
      <c r="C285" s="52"/>
      <c r="D285" s="50"/>
      <c r="E285" s="50"/>
      <c r="F285" s="50">
        <f>SUM(F281:F284)</f>
        <v>0</v>
      </c>
      <c r="G285" s="50"/>
      <c r="H285" s="52">
        <f>SUM(H281:H284)</f>
        <v>0</v>
      </c>
      <c r="I285" s="53">
        <f>ROUND((E281*F281+E282*F282+E283*F283+E284*F284),2)</f>
        <v>0</v>
      </c>
      <c r="J285" s="255"/>
      <c r="K285" s="255"/>
      <c r="L285" s="255"/>
      <c r="M285" s="255"/>
    </row>
    <row r="286" spans="1:16" ht="18" customHeight="1">
      <c r="B286" s="124" t="str">
        <f>材料价格!A11</f>
        <v>8单银Low-E+12Ar+8+12A+8mm</v>
      </c>
      <c r="C286" s="133"/>
      <c r="D286" s="133"/>
      <c r="E286" s="32">
        <f>C286*D286/10^6</f>
        <v>0</v>
      </c>
      <c r="F286" s="134"/>
      <c r="G286" s="137">
        <f>材料价格!B11</f>
        <v>312</v>
      </c>
      <c r="H286" s="134">
        <f>ROUND(E286*G286*F286,2)</f>
        <v>0</v>
      </c>
      <c r="I286" s="437" t="s">
        <v>181</v>
      </c>
      <c r="J286" s="255"/>
      <c r="K286" s="255"/>
      <c r="L286" s="255"/>
      <c r="M286" s="255"/>
    </row>
    <row r="287" spans="1:16" ht="18" customHeight="1">
      <c r="B287" s="124" t="str">
        <f>B286</f>
        <v>8单银Low-E+12Ar+8+12A+8mm</v>
      </c>
      <c r="C287" s="133"/>
      <c r="D287" s="133"/>
      <c r="E287" s="32">
        <f>C287*D287/10^6</f>
        <v>0</v>
      </c>
      <c r="F287" s="134"/>
      <c r="G287" s="135">
        <f>G286</f>
        <v>312</v>
      </c>
      <c r="H287" s="134">
        <f>ROUND(E287*G287*F287,2)</f>
        <v>0</v>
      </c>
      <c r="I287" s="437" t="s">
        <v>181</v>
      </c>
      <c r="J287" s="255"/>
      <c r="K287" s="255"/>
      <c r="L287" s="255"/>
      <c r="M287" s="255"/>
    </row>
    <row r="288" spans="1:16" ht="18" customHeight="1">
      <c r="B288" s="138" t="str">
        <f>材料价格!A12</f>
        <v>10单银Low-E+12Ar+10+12A+10mm</v>
      </c>
      <c r="C288" s="139"/>
      <c r="D288" s="139"/>
      <c r="E288" s="140">
        <f>C288*D288/10^6</f>
        <v>0</v>
      </c>
      <c r="F288" s="141"/>
      <c r="G288" s="142">
        <f>材料价格!B12</f>
        <v>395</v>
      </c>
      <c r="H288" s="141">
        <f>ROUND(E288*G288*F288,2)</f>
        <v>0</v>
      </c>
      <c r="I288" s="143" t="s">
        <v>181</v>
      </c>
      <c r="J288" s="255"/>
      <c r="K288" s="255"/>
      <c r="L288" s="255"/>
      <c r="M288" s="255"/>
    </row>
    <row r="289" spans="2:13" ht="18" customHeight="1">
      <c r="B289" s="138" t="str">
        <f>B288</f>
        <v>10单银Low-E+12Ar+10+12A+10mm</v>
      </c>
      <c r="C289" s="139"/>
      <c r="D289" s="139"/>
      <c r="E289" s="140">
        <f>C289*D289/10^6</f>
        <v>0</v>
      </c>
      <c r="F289" s="141"/>
      <c r="G289" s="142">
        <f>G288</f>
        <v>395</v>
      </c>
      <c r="H289" s="141">
        <f>ROUND(E289*G289*F289,2)</f>
        <v>0</v>
      </c>
      <c r="I289" s="143" t="s">
        <v>181</v>
      </c>
      <c r="J289" s="255"/>
      <c r="K289" s="255"/>
      <c r="L289" s="255"/>
      <c r="M289" s="255"/>
    </row>
    <row r="290" spans="2:13" ht="18" customHeight="1">
      <c r="B290" s="48" t="s">
        <v>180</v>
      </c>
      <c r="C290" s="52"/>
      <c r="D290" s="50"/>
      <c r="E290" s="50"/>
      <c r="F290" s="50">
        <f>SUM(F286:F289)</f>
        <v>0</v>
      </c>
      <c r="G290" s="50"/>
      <c r="H290" s="52">
        <f>SUM(H286:H289)</f>
        <v>0</v>
      </c>
      <c r="I290" s="53">
        <f>ROUND((E286*F286+E287*F287+E288*F288+E289*F289),2)</f>
        <v>0</v>
      </c>
      <c r="J290" s="255"/>
      <c r="K290" s="255"/>
      <c r="L290" s="255"/>
      <c r="M290" s="255"/>
    </row>
    <row r="291" spans="2:13" ht="18" customHeight="1">
      <c r="B291" s="642" t="s">
        <v>182</v>
      </c>
      <c r="C291" s="144" t="s">
        <v>183</v>
      </c>
      <c r="D291" s="144" cm="1">
        <f t="array" ref="D291">SUMPRODUCT(E225:E232*F225:F232)+SUMPRODUCT(E243:E249*F243:F249)</f>
        <v>0</v>
      </c>
      <c r="E291" s="144" t="s">
        <v>184</v>
      </c>
      <c r="F291" s="145">
        <f>F233+F250</f>
        <v>0</v>
      </c>
      <c r="G291" s="145" t="s">
        <v>185</v>
      </c>
      <c r="H291" s="144">
        <f>H233+H250</f>
        <v>0</v>
      </c>
      <c r="I291" s="146">
        <f>H291/F366</f>
        <v>0</v>
      </c>
      <c r="J291" s="255"/>
      <c r="K291" s="255"/>
      <c r="L291" s="255"/>
      <c r="M291" s="255"/>
    </row>
    <row r="292" spans="2:13" ht="18" customHeight="1">
      <c r="B292" s="642"/>
      <c r="C292" s="144" t="s">
        <v>186</v>
      </c>
      <c r="D292" s="144">
        <f>SUMPRODUCT(E234:E241*F234:F241)+SUMPRODUCT(E251:E257*F251:F257)+SUMPRODUCT(E259:E264*F259:F264)+SUMPRODUCT(E266:E268*F266:F268)+SUMPRODUCT(E270:E272*F270:F272)+SUMPRODUCT(E281:E284*F281:F284)+SUMPRODUCT(E286:E289*F286:F289)+SUMPRODUCT(E274:E279*F274:F279)</f>
        <v>3.99763</v>
      </c>
      <c r="E292" s="144" t="s">
        <v>186</v>
      </c>
      <c r="F292" s="145">
        <f>F242+F258+F265+F269+F273+F285+F290+F280</f>
        <v>2</v>
      </c>
      <c r="G292" s="145" t="s">
        <v>185</v>
      </c>
      <c r="H292" s="144">
        <f>H242+H258+H265+H269+H273+H280+H285+H290</f>
        <v>591.65</v>
      </c>
      <c r="I292" s="146">
        <f>H292/F366</f>
        <v>117.65583208216917</v>
      </c>
      <c r="J292" s="255"/>
      <c r="K292" s="255"/>
      <c r="L292" s="255"/>
      <c r="M292" s="255"/>
    </row>
    <row r="293" spans="2:13" ht="18" customHeight="1">
      <c r="B293" s="23" t="s">
        <v>187</v>
      </c>
      <c r="C293" s="442" t="s">
        <v>188</v>
      </c>
      <c r="D293" s="68" t="s">
        <v>189</v>
      </c>
      <c r="E293" s="442" t="s">
        <v>8</v>
      </c>
      <c r="F293" s="442" t="s">
        <v>190</v>
      </c>
      <c r="G293" s="442" t="s">
        <v>191</v>
      </c>
      <c r="H293" s="442" t="s">
        <v>160</v>
      </c>
      <c r="I293" s="25" t="s">
        <v>1</v>
      </c>
      <c r="J293" s="255"/>
      <c r="K293" s="255"/>
      <c r="L293" s="255"/>
      <c r="M293" s="255"/>
    </row>
    <row r="294" spans="2:13" ht="18" customHeight="1">
      <c r="B294" s="629" t="s">
        <v>192</v>
      </c>
      <c r="C294" s="443">
        <f>D26</f>
        <v>0</v>
      </c>
      <c r="D294" s="440"/>
      <c r="E294" s="440"/>
      <c r="F294" s="440" t="s">
        <v>193</v>
      </c>
      <c r="G294" s="108">
        <f>材料价格!B14</f>
        <v>153</v>
      </c>
      <c r="H294" s="147">
        <f>E294*G294</f>
        <v>0</v>
      </c>
      <c r="I294" s="632" t="s">
        <v>194</v>
      </c>
      <c r="J294" s="255"/>
      <c r="K294" s="255"/>
      <c r="L294" s="255"/>
      <c r="M294" s="255"/>
    </row>
    <row r="295" spans="2:13" ht="18" customHeight="1">
      <c r="B295" s="629"/>
      <c r="C295" s="443"/>
      <c r="D295" s="440"/>
      <c r="E295" s="440"/>
      <c r="F295" s="440"/>
      <c r="G295" s="108"/>
      <c r="H295" s="147">
        <f t="shared" ref="H295:H303" si="52">E295*G295</f>
        <v>0</v>
      </c>
      <c r="I295" s="633"/>
      <c r="J295" s="255"/>
      <c r="K295" s="255"/>
      <c r="L295" s="255"/>
      <c r="M295" s="255"/>
    </row>
    <row r="296" spans="2:13" ht="18" customHeight="1">
      <c r="B296" s="629" t="s">
        <v>195</v>
      </c>
      <c r="C296" s="443"/>
      <c r="D296" s="148"/>
      <c r="E296" s="440"/>
      <c r="F296" s="440" t="str">
        <f>F294</f>
        <v>坚朗</v>
      </c>
      <c r="G296" s="108">
        <f>材料价格!B15</f>
        <v>80</v>
      </c>
      <c r="H296" s="147">
        <f t="shared" si="52"/>
        <v>0</v>
      </c>
      <c r="I296" s="632" t="s">
        <v>196</v>
      </c>
      <c r="J296" s="255"/>
      <c r="K296" s="255"/>
      <c r="L296" s="255"/>
      <c r="M296" s="255"/>
    </row>
    <row r="297" spans="2:13" ht="18" customHeight="1">
      <c r="B297" s="629"/>
      <c r="C297" s="443"/>
      <c r="D297" s="148"/>
      <c r="E297" s="440"/>
      <c r="F297" s="440"/>
      <c r="G297" s="108"/>
      <c r="H297" s="147">
        <f t="shared" si="52"/>
        <v>0</v>
      </c>
      <c r="I297" s="633"/>
      <c r="J297" s="255"/>
      <c r="K297" s="255"/>
      <c r="L297" s="255"/>
      <c r="M297" s="255"/>
    </row>
    <row r="298" spans="2:13" ht="18" customHeight="1">
      <c r="B298" s="629" t="s">
        <v>197</v>
      </c>
      <c r="C298" s="443"/>
      <c r="D298" s="148"/>
      <c r="E298" s="440"/>
      <c r="F298" s="440" t="str">
        <f>F296</f>
        <v>坚朗</v>
      </c>
      <c r="G298" s="108">
        <f>材料价格!B16</f>
        <v>88</v>
      </c>
      <c r="H298" s="147">
        <f t="shared" si="52"/>
        <v>0</v>
      </c>
      <c r="I298" s="633"/>
      <c r="J298" s="255"/>
      <c r="K298" s="255"/>
      <c r="L298" s="255"/>
      <c r="M298" s="255"/>
    </row>
    <row r="299" spans="2:13" ht="18" customHeight="1">
      <c r="B299" s="629"/>
      <c r="C299" s="443"/>
      <c r="D299" s="148"/>
      <c r="E299" s="440"/>
      <c r="F299" s="440"/>
      <c r="G299" s="108"/>
      <c r="H299" s="147">
        <f t="shared" si="52"/>
        <v>0</v>
      </c>
      <c r="I299" s="633"/>
      <c r="J299" s="255"/>
      <c r="K299" s="255"/>
      <c r="L299" s="255"/>
      <c r="M299" s="255"/>
    </row>
    <row r="300" spans="2:13" ht="18" customHeight="1">
      <c r="B300" s="629" t="s">
        <v>198</v>
      </c>
      <c r="C300" s="443">
        <f>D35</f>
        <v>0</v>
      </c>
      <c r="D300" s="148"/>
      <c r="E300" s="440"/>
      <c r="F300" s="440" t="str">
        <f>F298</f>
        <v>坚朗</v>
      </c>
      <c r="G300" s="108">
        <f>材料价格!B17</f>
        <v>115</v>
      </c>
      <c r="H300" s="147">
        <f t="shared" si="52"/>
        <v>0</v>
      </c>
      <c r="I300" s="149"/>
      <c r="J300" s="255"/>
      <c r="K300" s="255"/>
      <c r="L300" s="255"/>
      <c r="M300" s="255"/>
    </row>
    <row r="301" spans="2:13" ht="18" customHeight="1">
      <c r="B301" s="629"/>
      <c r="C301" s="443"/>
      <c r="D301" s="148"/>
      <c r="E301" s="440"/>
      <c r="F301" s="440"/>
      <c r="G301" s="108"/>
      <c r="H301" s="147">
        <f t="shared" si="52"/>
        <v>0</v>
      </c>
      <c r="I301" s="149"/>
      <c r="J301" s="255"/>
      <c r="K301" s="255"/>
      <c r="L301" s="255"/>
      <c r="M301" s="255"/>
    </row>
    <row r="302" spans="2:13" ht="18" customHeight="1">
      <c r="B302" s="629" t="s">
        <v>199</v>
      </c>
      <c r="C302" s="440" t="s">
        <v>200</v>
      </c>
      <c r="D302" s="148"/>
      <c r="E302" s="440"/>
      <c r="F302" s="440" t="str">
        <f>F300</f>
        <v>坚朗</v>
      </c>
      <c r="G302" s="108">
        <f>材料价格!B19</f>
        <v>230</v>
      </c>
      <c r="H302" s="147">
        <f t="shared" si="52"/>
        <v>0</v>
      </c>
      <c r="I302" s="437"/>
      <c r="J302" s="255"/>
      <c r="K302" s="255"/>
      <c r="L302" s="255"/>
      <c r="M302" s="255"/>
    </row>
    <row r="303" spans="2:13" ht="18" customHeight="1">
      <c r="B303" s="629"/>
      <c r="C303" s="440" t="s">
        <v>201</v>
      </c>
      <c r="D303" s="148"/>
      <c r="E303" s="440">
        <v>1</v>
      </c>
      <c r="F303" s="440" t="str">
        <f>F302</f>
        <v>坚朗</v>
      </c>
      <c r="G303" s="108">
        <f>材料价格!B20</f>
        <v>335</v>
      </c>
      <c r="H303" s="147">
        <f t="shared" si="52"/>
        <v>335</v>
      </c>
      <c r="I303" s="437"/>
      <c r="J303" s="255"/>
      <c r="K303" s="255"/>
      <c r="L303" s="255"/>
      <c r="M303" s="255"/>
    </row>
    <row r="304" spans="2:13" ht="18" customHeight="1">
      <c r="B304" s="150" t="s">
        <v>202</v>
      </c>
      <c r="C304" s="50"/>
      <c r="D304" s="50"/>
      <c r="E304" s="50">
        <f>SUM(E294:E303)</f>
        <v>1</v>
      </c>
      <c r="F304" s="50"/>
      <c r="G304" s="166"/>
      <c r="H304" s="151">
        <f>SUM(H294:H303)</f>
        <v>335</v>
      </c>
      <c r="I304" s="152"/>
      <c r="J304" s="42"/>
    </row>
    <row r="305" spans="1:16" ht="18" customHeight="1">
      <c r="B305" s="436" t="s">
        <v>300</v>
      </c>
      <c r="C305" s="440"/>
      <c r="D305" s="148"/>
      <c r="E305" s="443">
        <f>E294+E296</f>
        <v>0</v>
      </c>
      <c r="F305" s="148"/>
      <c r="G305" s="148">
        <f>材料价格!B27</f>
        <v>0</v>
      </c>
      <c r="H305" s="154">
        <f>E305*G305</f>
        <v>0</v>
      </c>
      <c r="I305" s="437" t="s">
        <v>203</v>
      </c>
    </row>
    <row r="306" spans="1:16" s="16" customFormat="1" ht="18" customHeight="1">
      <c r="A306" s="1"/>
      <c r="B306" s="436" t="s">
        <v>204</v>
      </c>
      <c r="C306" s="440"/>
      <c r="D306" s="148"/>
      <c r="E306" s="443">
        <f>E298+E299+E300+E301</f>
        <v>0</v>
      </c>
      <c r="F306" s="148"/>
      <c r="G306" s="148">
        <f>材料价格!B28</f>
        <v>118</v>
      </c>
      <c r="H306" s="154">
        <f>E306*G306</f>
        <v>0</v>
      </c>
      <c r="I306" s="437" t="s">
        <v>205</v>
      </c>
      <c r="J306" s="43"/>
      <c r="K306" s="43"/>
      <c r="L306" s="43"/>
      <c r="M306" s="43"/>
      <c r="N306" s="255"/>
      <c r="O306" s="255"/>
      <c r="P306" s="255"/>
    </row>
    <row r="307" spans="1:16" s="16" customFormat="1" ht="18" customHeight="1">
      <c r="A307" s="1"/>
      <c r="B307" s="436" t="s">
        <v>206</v>
      </c>
      <c r="C307" s="440"/>
      <c r="D307" s="148"/>
      <c r="E307" s="443"/>
      <c r="F307" s="148"/>
      <c r="G307" s="148"/>
      <c r="H307" s="154">
        <f>E307*G307</f>
        <v>0</v>
      </c>
      <c r="I307" s="437" t="s">
        <v>207</v>
      </c>
      <c r="J307" s="43"/>
      <c r="K307" s="43"/>
      <c r="L307" s="43"/>
      <c r="M307" s="43"/>
      <c r="N307" s="255"/>
      <c r="O307" s="255"/>
      <c r="P307" s="255"/>
    </row>
    <row r="308" spans="1:16" s="16" customFormat="1" ht="18" customHeight="1">
      <c r="A308" s="1"/>
      <c r="B308" s="150" t="s">
        <v>208</v>
      </c>
      <c r="C308" s="50"/>
      <c r="D308" s="50"/>
      <c r="E308" s="100">
        <f>SUM(E305:E307)</f>
        <v>0</v>
      </c>
      <c r="F308" s="50"/>
      <c r="G308" s="166"/>
      <c r="H308" s="155">
        <f>SUM(H305:H307)</f>
        <v>0</v>
      </c>
      <c r="I308" s="152"/>
      <c r="J308" s="43"/>
      <c r="K308" s="43"/>
      <c r="L308" s="43"/>
      <c r="M308" s="43"/>
      <c r="N308" s="255"/>
      <c r="O308" s="255"/>
      <c r="P308" s="255"/>
    </row>
    <row r="309" spans="1:16" s="16" customFormat="1" ht="18" customHeight="1">
      <c r="A309" s="1"/>
      <c r="B309" s="156" t="s">
        <v>209</v>
      </c>
      <c r="C309" s="157">
        <f>ROUND(IF(D4&lt;=200,4,0)+IF(D4&gt;200,(D4/200+1))+IF(E4&lt;=200,4,0)+IF(E4&gt;200,(E4/200+1)),0)</f>
        <v>25</v>
      </c>
      <c r="D309" s="148"/>
      <c r="E309" s="148"/>
      <c r="F309" s="148"/>
      <c r="G309" s="158">
        <v>0.5</v>
      </c>
      <c r="H309" s="159">
        <f>ROUND(C309*G309,2)</f>
        <v>12.5</v>
      </c>
      <c r="I309" s="437" t="s">
        <v>210</v>
      </c>
      <c r="J309" s="43"/>
      <c r="K309" s="43"/>
      <c r="L309" s="43"/>
      <c r="M309" s="43"/>
      <c r="N309" s="255"/>
      <c r="O309" s="255"/>
      <c r="P309" s="255"/>
    </row>
    <row r="310" spans="1:16" s="16" customFormat="1" ht="18" customHeight="1">
      <c r="A310" s="1"/>
      <c r="B310" s="156" t="s">
        <v>211</v>
      </c>
      <c r="C310" s="157">
        <f>C309*2</f>
        <v>50</v>
      </c>
      <c r="D310" s="148">
        <f>D309*2</f>
        <v>0</v>
      </c>
      <c r="E310" s="148"/>
      <c r="F310" s="148"/>
      <c r="G310" s="158">
        <v>0.3</v>
      </c>
      <c r="H310" s="159">
        <f>ROUND(C310*G310,2)</f>
        <v>15</v>
      </c>
      <c r="I310" s="437" t="s">
        <v>212</v>
      </c>
      <c r="J310" s="43"/>
      <c r="K310" s="43"/>
      <c r="L310" s="255"/>
      <c r="M310" s="255"/>
      <c r="N310" s="255"/>
      <c r="O310" s="255"/>
      <c r="P310" s="255"/>
    </row>
    <row r="311" spans="1:16" s="16" customFormat="1" ht="18" customHeight="1">
      <c r="A311" s="1"/>
      <c r="B311" s="160" t="s">
        <v>213</v>
      </c>
      <c r="C311" s="161">
        <f>F6</f>
        <v>5.3475000000000001</v>
      </c>
      <c r="D311" s="162"/>
      <c r="E311" s="162"/>
      <c r="F311" s="162"/>
      <c r="G311" s="163">
        <v>5</v>
      </c>
      <c r="H311" s="159">
        <f>ROUND(C311*G311,2)</f>
        <v>26.74</v>
      </c>
      <c r="I311" s="437"/>
      <c r="J311" s="43"/>
      <c r="K311" s="43"/>
      <c r="L311" s="255"/>
      <c r="M311" s="255"/>
      <c r="N311" s="255"/>
      <c r="O311" s="255"/>
      <c r="P311" s="255"/>
    </row>
    <row r="312" spans="1:16" s="16" customFormat="1" ht="18" customHeight="1">
      <c r="A312" s="1"/>
      <c r="B312" s="160" t="s">
        <v>214</v>
      </c>
      <c r="C312" s="161"/>
      <c r="D312" s="162"/>
      <c r="E312" s="162"/>
      <c r="F312" s="162"/>
      <c r="G312" s="163"/>
      <c r="H312" s="159">
        <f>ROUND(C312*G312,2)</f>
        <v>0</v>
      </c>
      <c r="I312" s="437"/>
      <c r="J312" s="43"/>
      <c r="K312" s="43"/>
      <c r="L312" s="255"/>
      <c r="M312" s="255"/>
      <c r="N312" s="255"/>
      <c r="O312" s="255"/>
      <c r="P312" s="255"/>
    </row>
    <row r="313" spans="1:16" s="16" customFormat="1" ht="18" customHeight="1">
      <c r="A313" s="1"/>
      <c r="B313" s="164" t="s">
        <v>397</v>
      </c>
      <c r="C313" s="161">
        <f>D291+D292</f>
        <v>3.99763</v>
      </c>
      <c r="D313" s="162"/>
      <c r="E313" s="162"/>
      <c r="F313" s="162"/>
      <c r="G313" s="163">
        <f>10+5</f>
        <v>15</v>
      </c>
      <c r="H313" s="159">
        <f>ROUND(C313*G313,2)</f>
        <v>59.96</v>
      </c>
      <c r="I313" s="437"/>
      <c r="J313" s="43"/>
      <c r="K313" s="43"/>
      <c r="L313" s="255"/>
      <c r="M313" s="255"/>
      <c r="N313" s="255"/>
      <c r="O313" s="255"/>
      <c r="P313" s="255"/>
    </row>
    <row r="314" spans="1:16" s="16" customFormat="1" ht="18" customHeight="1">
      <c r="A314" s="1"/>
      <c r="B314" s="150" t="s">
        <v>215</v>
      </c>
      <c r="C314" s="165"/>
      <c r="D314" s="50"/>
      <c r="E314" s="50"/>
      <c r="F314" s="50"/>
      <c r="G314" s="166"/>
      <c r="H314" s="155">
        <f>SUM(H309:H313)</f>
        <v>114.19999999999999</v>
      </c>
      <c r="I314" s="152"/>
      <c r="J314" s="43"/>
      <c r="K314" s="43"/>
      <c r="L314" s="255"/>
      <c r="M314" s="255"/>
      <c r="N314" s="255"/>
      <c r="O314" s="255"/>
      <c r="P314" s="255"/>
    </row>
    <row r="315" spans="1:16" s="16" customFormat="1" ht="18" customHeight="1">
      <c r="A315" s="1"/>
      <c r="B315" s="156" t="s">
        <v>216</v>
      </c>
      <c r="C315" s="167">
        <f>E203+E205+E207+I203+I205+E209+I207</f>
        <v>12</v>
      </c>
      <c r="D315" s="148"/>
      <c r="E315" s="148"/>
      <c r="F315" s="148"/>
      <c r="G315" s="168">
        <v>1.9</v>
      </c>
      <c r="H315" s="154">
        <f t="shared" ref="H315:H318" si="53">ROUND(C315*G315,2)</f>
        <v>22.8</v>
      </c>
      <c r="I315" s="224" t="s">
        <v>340</v>
      </c>
      <c r="J315" s="255"/>
      <c r="K315" s="43"/>
      <c r="L315" s="255"/>
      <c r="M315" s="255"/>
      <c r="N315" s="255"/>
      <c r="O315" s="255"/>
      <c r="P315" s="255"/>
    </row>
    <row r="316" spans="1:16" s="16" customFormat="1" ht="18" customHeight="1">
      <c r="A316" s="1"/>
      <c r="B316" s="156" t="s">
        <v>217</v>
      </c>
      <c r="C316" s="167">
        <f>ROUND((D4+E4)*2/1000,2)</f>
        <v>9.25</v>
      </c>
      <c r="D316" s="148"/>
      <c r="E316" s="238">
        <v>4</v>
      </c>
      <c r="F316" s="235">
        <f>材料价格!B25</f>
        <v>8.52</v>
      </c>
      <c r="G316" s="168">
        <f t="shared" ref="G316:G321" si="54">F316/E316</f>
        <v>2.13</v>
      </c>
      <c r="H316" s="154">
        <f t="shared" si="53"/>
        <v>19.7</v>
      </c>
      <c r="I316" s="169" t="s">
        <v>218</v>
      </c>
      <c r="J316" s="255"/>
      <c r="K316" s="43"/>
      <c r="L316" s="255"/>
      <c r="M316" s="255"/>
      <c r="N316" s="255"/>
      <c r="O316" s="255"/>
      <c r="P316" s="255"/>
    </row>
    <row r="317" spans="1:16" s="16" customFormat="1" ht="18" customHeight="1">
      <c r="A317" s="1"/>
      <c r="B317" s="156" t="s">
        <v>219</v>
      </c>
      <c r="C317" s="167">
        <f>C316</f>
        <v>9.25</v>
      </c>
      <c r="D317" s="148"/>
      <c r="E317" s="238">
        <v>3</v>
      </c>
      <c r="F317" s="235">
        <f>F316</f>
        <v>8.52</v>
      </c>
      <c r="G317" s="168">
        <f t="shared" si="54"/>
        <v>2.84</v>
      </c>
      <c r="H317" s="154">
        <f t="shared" si="53"/>
        <v>26.27</v>
      </c>
      <c r="I317" s="169" t="s">
        <v>220</v>
      </c>
      <c r="J317" s="255"/>
      <c r="K317" s="43"/>
      <c r="L317" s="255"/>
      <c r="M317" s="255"/>
      <c r="N317" s="255"/>
      <c r="O317" s="255"/>
      <c r="P317" s="255"/>
    </row>
    <row r="318" spans="1:16" s="16" customFormat="1" ht="18" customHeight="1">
      <c r="A318" s="1"/>
      <c r="B318" s="156" t="s">
        <v>221</v>
      </c>
      <c r="C318" s="167">
        <f>C316</f>
        <v>9.25</v>
      </c>
      <c r="D318" s="148"/>
      <c r="E318" s="238">
        <v>6.5</v>
      </c>
      <c r="F318" s="235">
        <f>材料价格!B26</f>
        <v>23</v>
      </c>
      <c r="G318" s="168">
        <f t="shared" si="54"/>
        <v>3.5384615384615383</v>
      </c>
      <c r="H318" s="154">
        <f t="shared" si="53"/>
        <v>32.729999999999997</v>
      </c>
      <c r="I318" s="224" t="s">
        <v>222</v>
      </c>
      <c r="J318" s="255"/>
      <c r="K318" s="43"/>
      <c r="L318" s="255"/>
      <c r="M318" s="255"/>
      <c r="N318" s="255"/>
      <c r="O318" s="255"/>
      <c r="P318" s="255"/>
    </row>
    <row r="319" spans="1:16" s="16" customFormat="1" ht="18" customHeight="1">
      <c r="A319" s="1"/>
      <c r="B319" s="156" t="s">
        <v>341</v>
      </c>
      <c r="C319" s="167">
        <f>ROUND((C97+C104+C88+C146+C153+C163)*1,2)</f>
        <v>12.19</v>
      </c>
      <c r="D319" s="77">
        <v>1</v>
      </c>
      <c r="E319" s="238">
        <f>10</f>
        <v>10</v>
      </c>
      <c r="F319" s="235">
        <f>F317</f>
        <v>8.52</v>
      </c>
      <c r="G319" s="168">
        <f>F319/E319</f>
        <v>0.85199999999999998</v>
      </c>
      <c r="H319" s="154">
        <f>ROUND(C319*G319,2)</f>
        <v>10.39</v>
      </c>
      <c r="I319" s="437" t="s">
        <v>223</v>
      </c>
      <c r="J319" s="255"/>
      <c r="K319" s="43"/>
      <c r="L319" s="255"/>
      <c r="M319" s="255"/>
      <c r="N319" s="255"/>
      <c r="O319" s="255"/>
      <c r="P319" s="255"/>
    </row>
    <row r="320" spans="1:16" s="16" customFormat="1" ht="18" customHeight="1">
      <c r="A320" s="1"/>
      <c r="B320" s="156" t="s">
        <v>342</v>
      </c>
      <c r="C320" s="167">
        <f>C319</f>
        <v>12.19</v>
      </c>
      <c r="D320" s="77">
        <v>1</v>
      </c>
      <c r="E320" s="238">
        <v>6</v>
      </c>
      <c r="F320" s="235">
        <f>F319</f>
        <v>8.52</v>
      </c>
      <c r="G320" s="168">
        <f t="shared" si="54"/>
        <v>1.42</v>
      </c>
      <c r="H320" s="154">
        <f>ROUND(C320*G320,2)</f>
        <v>17.309999999999999</v>
      </c>
      <c r="I320" s="437" t="s">
        <v>224</v>
      </c>
      <c r="J320" s="255"/>
      <c r="K320" s="170"/>
      <c r="L320" s="170"/>
      <c r="M320" s="170"/>
      <c r="N320" s="170"/>
      <c r="O320" s="170"/>
      <c r="P320" s="170"/>
    </row>
    <row r="321" spans="1:16" s="16" customFormat="1" ht="18" customHeight="1">
      <c r="A321" s="1"/>
      <c r="B321" s="156" t="s">
        <v>225</v>
      </c>
      <c r="C321" s="167">
        <f>C334*D334+C324*D324+C327*D327</f>
        <v>0</v>
      </c>
      <c r="D321" s="77">
        <v>1</v>
      </c>
      <c r="E321" s="238">
        <f>10</f>
        <v>10</v>
      </c>
      <c r="F321" s="235">
        <f>F317</f>
        <v>8.52</v>
      </c>
      <c r="G321" s="168">
        <f t="shared" si="54"/>
        <v>0.85199999999999998</v>
      </c>
      <c r="H321" s="154">
        <f>ROUND(C321*G321,2)</f>
        <v>0</v>
      </c>
      <c r="I321" s="437" t="s">
        <v>226</v>
      </c>
      <c r="J321" s="255"/>
      <c r="K321" s="170"/>
      <c r="L321" s="170"/>
      <c r="M321" s="170"/>
      <c r="N321" s="170"/>
      <c r="O321" s="170"/>
      <c r="P321" s="170"/>
    </row>
    <row r="322" spans="1:16" s="16" customFormat="1" ht="18" customHeight="1">
      <c r="A322" s="1"/>
      <c r="B322" s="150" t="s">
        <v>227</v>
      </c>
      <c r="C322" s="165"/>
      <c r="D322" s="50"/>
      <c r="E322" s="50"/>
      <c r="F322" s="50"/>
      <c r="G322" s="166" t="s">
        <v>396</v>
      </c>
      <c r="H322" s="155">
        <f>SUM(H315:H321)</f>
        <v>129.19999999999999</v>
      </c>
      <c r="I322" s="152"/>
      <c r="J322" s="244" t="s">
        <v>399</v>
      </c>
      <c r="K322" s="245" t="s">
        <v>379</v>
      </c>
      <c r="L322" s="170"/>
      <c r="M322" s="170"/>
      <c r="N322" s="170"/>
      <c r="O322" s="170"/>
      <c r="P322" s="170"/>
    </row>
    <row r="323" spans="1:16" s="16" customFormat="1" ht="18" customHeight="1">
      <c r="A323" s="1"/>
      <c r="B323" s="156" t="s">
        <v>356</v>
      </c>
      <c r="C323" s="167">
        <f>C31</f>
        <v>0</v>
      </c>
      <c r="D323" s="239">
        <v>1</v>
      </c>
      <c r="E323" s="148"/>
      <c r="F323" s="148"/>
      <c r="G323" s="236">
        <f>0.45+0.85</f>
        <v>1.3</v>
      </c>
      <c r="H323" s="154">
        <f>ROUND(C323*D323*G323,2)</f>
        <v>0</v>
      </c>
      <c r="I323" s="437" t="s">
        <v>345</v>
      </c>
      <c r="J323" s="244">
        <v>1.76</v>
      </c>
      <c r="K323" s="245" t="s">
        <v>400</v>
      </c>
      <c r="L323" s="170"/>
      <c r="M323" s="171"/>
      <c r="N323" s="170"/>
      <c r="O323" s="170"/>
      <c r="P323" s="170"/>
    </row>
    <row r="324" spans="1:16" s="16" customFormat="1" ht="18" customHeight="1">
      <c r="A324" s="1"/>
      <c r="B324" s="156" t="s">
        <v>347</v>
      </c>
      <c r="C324" s="167">
        <f>C323</f>
        <v>0</v>
      </c>
      <c r="D324" s="239">
        <v>1</v>
      </c>
      <c r="E324" s="148"/>
      <c r="F324" s="148"/>
      <c r="G324" s="236">
        <v>6.89</v>
      </c>
      <c r="H324" s="154">
        <f t="shared" ref="H324:H329" si="55">ROUND(C324*D324*G324,2)</f>
        <v>0</v>
      </c>
      <c r="I324" s="437" t="s">
        <v>346</v>
      </c>
      <c r="J324" s="244">
        <v>12.25</v>
      </c>
      <c r="K324" s="245" t="s">
        <v>376</v>
      </c>
      <c r="L324" s="170"/>
      <c r="M324" s="171"/>
      <c r="N324" s="170"/>
      <c r="O324" s="170"/>
      <c r="P324" s="170"/>
    </row>
    <row r="325" spans="1:16" s="16" customFormat="1" ht="18" customHeight="1">
      <c r="A325" s="1"/>
      <c r="B325" s="156" t="s">
        <v>357</v>
      </c>
      <c r="C325" s="167">
        <f>C38</f>
        <v>0</v>
      </c>
      <c r="D325" s="239">
        <v>1</v>
      </c>
      <c r="E325" s="148"/>
      <c r="F325" s="148"/>
      <c r="G325" s="236">
        <f>0.85+0.61</f>
        <v>1.46</v>
      </c>
      <c r="H325" s="154">
        <f t="shared" si="55"/>
        <v>0</v>
      </c>
      <c r="I325" s="437" t="s">
        <v>354</v>
      </c>
      <c r="J325" s="244">
        <v>1.76</v>
      </c>
      <c r="K325" s="245" t="s">
        <v>378</v>
      </c>
      <c r="L325" s="170"/>
      <c r="M325" s="171"/>
      <c r="N325" s="170"/>
      <c r="O325" s="170"/>
      <c r="P325" s="170"/>
    </row>
    <row r="326" spans="1:16" s="16" customFormat="1" ht="18" customHeight="1">
      <c r="A326" s="1"/>
      <c r="B326" s="156" t="s">
        <v>355</v>
      </c>
      <c r="C326" s="167">
        <f>C325</f>
        <v>0</v>
      </c>
      <c r="D326" s="239">
        <v>1</v>
      </c>
      <c r="E326" s="148"/>
      <c r="F326" s="148"/>
      <c r="G326" s="236">
        <v>3.27</v>
      </c>
      <c r="H326" s="154">
        <f>ROUND(C326*D326*G326,2)</f>
        <v>0</v>
      </c>
      <c r="I326" s="437" t="s">
        <v>358</v>
      </c>
      <c r="J326" s="244">
        <v>3.27</v>
      </c>
      <c r="K326" s="245" t="s">
        <v>358</v>
      </c>
      <c r="L326" s="170"/>
      <c r="M326" s="171"/>
      <c r="N326" s="170"/>
      <c r="O326" s="170"/>
      <c r="P326" s="170"/>
    </row>
    <row r="327" spans="1:16" s="16" customFormat="1" ht="18" customHeight="1">
      <c r="A327" s="1"/>
      <c r="B327" s="156" t="s">
        <v>228</v>
      </c>
      <c r="C327" s="167">
        <f>C126</f>
        <v>0</v>
      </c>
      <c r="D327" s="239">
        <v>1</v>
      </c>
      <c r="E327" s="110"/>
      <c r="F327" s="148"/>
      <c r="G327" s="236">
        <v>6.89</v>
      </c>
      <c r="H327" s="154">
        <f t="shared" si="55"/>
        <v>0</v>
      </c>
      <c r="I327" s="437" t="s">
        <v>346</v>
      </c>
      <c r="J327" s="244">
        <v>12.25</v>
      </c>
      <c r="K327" s="245" t="s">
        <v>346</v>
      </c>
      <c r="L327" s="170"/>
      <c r="M327" s="171"/>
      <c r="N327" s="170"/>
      <c r="O327" s="170"/>
      <c r="P327" s="170"/>
    </row>
    <row r="328" spans="1:16" s="16" customFormat="1" ht="18" customHeight="1">
      <c r="A328" s="1"/>
      <c r="B328" s="156" t="s">
        <v>229</v>
      </c>
      <c r="C328" s="167">
        <f>C327</f>
        <v>0</v>
      </c>
      <c r="D328" s="239">
        <v>1</v>
      </c>
      <c r="E328" s="110"/>
      <c r="F328" s="148"/>
      <c r="G328" s="236">
        <f>G3233</f>
        <v>0</v>
      </c>
      <c r="H328" s="154">
        <f t="shared" si="55"/>
        <v>0</v>
      </c>
      <c r="I328" s="437" t="s">
        <v>345</v>
      </c>
      <c r="J328" s="244">
        <v>0</v>
      </c>
      <c r="K328" s="245" t="s">
        <v>400</v>
      </c>
      <c r="L328" s="170"/>
      <c r="M328" s="171"/>
      <c r="N328" s="170"/>
      <c r="O328" s="170"/>
      <c r="P328" s="170"/>
    </row>
    <row r="329" spans="1:16" s="16" customFormat="1" ht="18" customHeight="1">
      <c r="A329" s="1"/>
      <c r="B329" s="156" t="s">
        <v>230</v>
      </c>
      <c r="C329" s="167">
        <f>C119</f>
        <v>13.423999999999999</v>
      </c>
      <c r="D329" s="239">
        <v>1</v>
      </c>
      <c r="E329" s="148"/>
      <c r="F329" s="148"/>
      <c r="G329" s="236">
        <f>G3253</f>
        <v>0</v>
      </c>
      <c r="H329" s="154">
        <f t="shared" si="55"/>
        <v>0</v>
      </c>
      <c r="I329" s="437" t="s">
        <v>354</v>
      </c>
      <c r="J329" s="244">
        <v>0</v>
      </c>
      <c r="K329" s="245" t="s">
        <v>378</v>
      </c>
      <c r="L329" s="170"/>
      <c r="M329" s="171"/>
      <c r="N329" s="170"/>
      <c r="O329" s="170"/>
      <c r="P329" s="170"/>
    </row>
    <row r="330" spans="1:16" s="16" customFormat="1" ht="18" customHeight="1">
      <c r="A330" s="1"/>
      <c r="B330" s="156" t="s">
        <v>362</v>
      </c>
      <c r="C330" s="167">
        <f>C329</f>
        <v>13.423999999999999</v>
      </c>
      <c r="D330" s="239">
        <v>1</v>
      </c>
      <c r="E330" s="148"/>
      <c r="F330" s="148"/>
      <c r="G330" s="236">
        <v>3.27</v>
      </c>
      <c r="H330" s="154">
        <f>ROUND(C330*D330*G330,2)</f>
        <v>43.9</v>
      </c>
      <c r="I330" s="437" t="s">
        <v>358</v>
      </c>
      <c r="J330" s="244">
        <v>3.27</v>
      </c>
      <c r="K330" s="245" t="s">
        <v>358</v>
      </c>
      <c r="L330" s="170"/>
      <c r="M330" s="171"/>
      <c r="N330" s="170"/>
      <c r="O330" s="170"/>
      <c r="P330" s="170"/>
    </row>
    <row r="331" spans="1:16" s="16" customFormat="1" ht="18" customHeight="1">
      <c r="A331" s="1"/>
      <c r="B331" s="156" t="s">
        <v>343</v>
      </c>
      <c r="C331" s="167">
        <f>C319</f>
        <v>12.19</v>
      </c>
      <c r="D331" s="239">
        <v>1</v>
      </c>
      <c r="E331" s="148"/>
      <c r="F331" s="148"/>
      <c r="G331" s="236">
        <v>1.25</v>
      </c>
      <c r="H331" s="154">
        <f>C331*D331*G331</f>
        <v>15.237499999999999</v>
      </c>
      <c r="I331" s="437" t="s">
        <v>344</v>
      </c>
      <c r="J331" s="244">
        <v>1.25</v>
      </c>
      <c r="K331" s="245" t="s">
        <v>344</v>
      </c>
      <c r="L331" s="170"/>
      <c r="M331" s="171"/>
      <c r="N331" s="170"/>
      <c r="O331" s="170"/>
      <c r="P331" s="170"/>
    </row>
    <row r="332" spans="1:16" s="16" customFormat="1" ht="18" customHeight="1">
      <c r="A332" s="1"/>
      <c r="B332" s="156" t="s">
        <v>350</v>
      </c>
      <c r="C332" s="167" cm="1">
        <f t="array" ref="C332">SUMPRODUCT(D26:D30*G26:G30)/1000</f>
        <v>0</v>
      </c>
      <c r="D332" s="239">
        <v>1</v>
      </c>
      <c r="E332" s="148"/>
      <c r="F332" s="148"/>
      <c r="G332" s="236">
        <v>0.41</v>
      </c>
      <c r="H332" s="154">
        <f>C332*D332*G332</f>
        <v>0</v>
      </c>
      <c r="I332" s="437" t="s">
        <v>348</v>
      </c>
      <c r="J332" s="244">
        <v>0.41</v>
      </c>
      <c r="K332" s="245" t="s">
        <v>348</v>
      </c>
      <c r="L332" s="170"/>
      <c r="M332" s="171"/>
      <c r="N332" s="170"/>
      <c r="O332" s="170"/>
      <c r="P332" s="170"/>
    </row>
    <row r="333" spans="1:16" s="16" customFormat="1" ht="18" customHeight="1">
      <c r="A333" s="1"/>
      <c r="B333" s="156" t="s">
        <v>349</v>
      </c>
      <c r="C333" s="167">
        <f>C88+C97+C104+C153+C163+C146</f>
        <v>12.192</v>
      </c>
      <c r="D333" s="239">
        <v>1</v>
      </c>
      <c r="E333" s="148"/>
      <c r="F333" s="148"/>
      <c r="G333" s="236">
        <v>0.49</v>
      </c>
      <c r="H333" s="154">
        <f>C333*D333*G333</f>
        <v>5.9740799999999998</v>
      </c>
      <c r="I333" s="437" t="s">
        <v>351</v>
      </c>
      <c r="J333" s="244">
        <v>0.49</v>
      </c>
      <c r="K333" s="245" t="s">
        <v>351</v>
      </c>
      <c r="L333" s="170"/>
      <c r="M333" s="171"/>
      <c r="N333" s="170"/>
      <c r="O333" s="170"/>
      <c r="P333" s="170"/>
    </row>
    <row r="334" spans="1:16" s="16" customFormat="1" ht="18" customHeight="1">
      <c r="A334" s="1"/>
      <c r="B334" s="156" t="s">
        <v>353</v>
      </c>
      <c r="C334" s="167">
        <f t="array" ref="C334">SUMPRODUCT(D157:D162*G157:G162)/1000+SUM(G157:G162)*0.3+SUMPRODUCT(D68:D87*G68:G87)/1000+SUM(G68:G87)*0.3</f>
        <v>0</v>
      </c>
      <c r="D334" s="239">
        <v>1</v>
      </c>
      <c r="E334" s="148"/>
      <c r="F334" s="148"/>
      <c r="G334" s="237">
        <v>5.36</v>
      </c>
      <c r="H334" s="154">
        <f>C334*G334</f>
        <v>0</v>
      </c>
      <c r="I334" s="437" t="s">
        <v>352</v>
      </c>
      <c r="J334" s="244">
        <v>9.5500000000000007</v>
      </c>
      <c r="K334" s="245" t="s">
        <v>377</v>
      </c>
      <c r="L334" s="170"/>
      <c r="M334" s="171"/>
      <c r="N334" s="170"/>
      <c r="O334" s="170"/>
      <c r="P334" s="170"/>
    </row>
    <row r="335" spans="1:16" s="16" customFormat="1" ht="18" customHeight="1">
      <c r="A335" s="1"/>
      <c r="B335" s="156" t="s">
        <v>364</v>
      </c>
      <c r="C335" s="167">
        <f>C319</f>
        <v>12.19</v>
      </c>
      <c r="D335" s="239">
        <v>1</v>
      </c>
      <c r="E335" s="148"/>
      <c r="F335" s="148"/>
      <c r="G335" s="237">
        <v>1.25</v>
      </c>
      <c r="H335" s="154"/>
      <c r="I335" s="149" t="s">
        <v>363</v>
      </c>
      <c r="J335" s="244">
        <v>1.25</v>
      </c>
      <c r="K335" s="245" t="s">
        <v>363</v>
      </c>
      <c r="L335" s="170"/>
      <c r="M335" s="171"/>
      <c r="N335" s="170"/>
      <c r="O335" s="170"/>
      <c r="P335" s="170"/>
    </row>
    <row r="336" spans="1:16" s="16" customFormat="1" ht="18" customHeight="1">
      <c r="A336" s="1"/>
      <c r="B336" s="156" t="s">
        <v>365</v>
      </c>
      <c r="C336" s="167">
        <f>C320</f>
        <v>12.19</v>
      </c>
      <c r="D336" s="239">
        <v>1</v>
      </c>
      <c r="E336" s="148"/>
      <c r="F336" s="148"/>
      <c r="G336" s="237">
        <v>1.63</v>
      </c>
      <c r="H336" s="154"/>
      <c r="I336" s="149" t="s">
        <v>363</v>
      </c>
      <c r="J336" s="244">
        <v>1.63</v>
      </c>
      <c r="K336" s="245" t="s">
        <v>363</v>
      </c>
      <c r="L336" s="170"/>
      <c r="M336" s="171"/>
      <c r="N336" s="170"/>
      <c r="O336" s="170"/>
      <c r="P336" s="170"/>
    </row>
    <row r="337" spans="1:16" s="16" customFormat="1" ht="18" customHeight="1">
      <c r="A337" s="1"/>
      <c r="B337" s="150" t="s">
        <v>231</v>
      </c>
      <c r="C337" s="165"/>
      <c r="D337" s="50"/>
      <c r="E337" s="50"/>
      <c r="F337" s="50"/>
      <c r="G337" s="166"/>
      <c r="H337" s="155">
        <f>SUM(H323:H336)*1.05</f>
        <v>68.367158999999987</v>
      </c>
      <c r="I337" s="152"/>
      <c r="J337" s="172"/>
      <c r="K337" s="170"/>
      <c r="L337" s="170"/>
      <c r="M337" s="170"/>
      <c r="N337" s="170"/>
      <c r="O337" s="170"/>
      <c r="P337" s="170"/>
    </row>
    <row r="338" spans="1:16" s="16" customFormat="1" ht="18" customHeight="1">
      <c r="A338" s="1"/>
      <c r="B338" s="173" t="s">
        <v>366</v>
      </c>
      <c r="C338" s="174">
        <f>F250+F258+F265+F280+F285+F290</f>
        <v>0</v>
      </c>
      <c r="D338" s="175">
        <v>2</v>
      </c>
      <c r="E338" s="176"/>
      <c r="F338" s="176"/>
      <c r="G338" s="240">
        <v>0.5</v>
      </c>
      <c r="H338" s="177">
        <f t="shared" ref="H338:H343" si="56">D338*G338*C338</f>
        <v>0</v>
      </c>
      <c r="I338" s="178" t="s">
        <v>233</v>
      </c>
      <c r="J338" s="172"/>
      <c r="K338" s="170"/>
      <c r="L338" s="170"/>
      <c r="M338" s="170"/>
      <c r="N338" s="170"/>
      <c r="O338" s="170"/>
      <c r="P338" s="170"/>
    </row>
    <row r="339" spans="1:16" s="16" customFormat="1" ht="18" customHeight="1">
      <c r="A339" s="1"/>
      <c r="B339" s="173" t="s">
        <v>367</v>
      </c>
      <c r="C339" s="174">
        <f>F233+F242+F269+F273</f>
        <v>2</v>
      </c>
      <c r="D339" s="175">
        <v>4</v>
      </c>
      <c r="E339" s="176"/>
      <c r="F339" s="176"/>
      <c r="G339" s="240">
        <v>0.63</v>
      </c>
      <c r="H339" s="177">
        <f t="shared" si="56"/>
        <v>5.04</v>
      </c>
      <c r="I339" s="178" t="s">
        <v>234</v>
      </c>
      <c r="J339" s="172"/>
      <c r="K339" s="170"/>
      <c r="L339" s="170"/>
      <c r="M339" s="170"/>
      <c r="N339" s="170"/>
      <c r="O339" s="170"/>
      <c r="P339" s="170"/>
    </row>
    <row r="340" spans="1:16" s="16" customFormat="1" ht="18" customHeight="1">
      <c r="A340" s="1"/>
      <c r="B340" s="173" t="s">
        <v>366</v>
      </c>
      <c r="C340" s="174">
        <f>SUM(G157:G162)</f>
        <v>0</v>
      </c>
      <c r="D340" s="175">
        <f>IF(E113&gt;2200,2,0)</f>
        <v>0</v>
      </c>
      <c r="E340" s="176"/>
      <c r="F340" s="176"/>
      <c r="G340" s="240">
        <v>0.5</v>
      </c>
      <c r="H340" s="177">
        <f t="shared" si="56"/>
        <v>0</v>
      </c>
      <c r="I340" s="178" t="s">
        <v>235</v>
      </c>
      <c r="J340" s="172"/>
      <c r="K340" s="170"/>
      <c r="L340" s="170"/>
      <c r="M340" s="170"/>
      <c r="N340" s="170"/>
      <c r="O340" s="170"/>
      <c r="P340" s="170"/>
    </row>
    <row r="341" spans="1:16" s="16" customFormat="1" ht="18" customHeight="1">
      <c r="A341" s="1"/>
      <c r="B341" s="173" t="s">
        <v>367</v>
      </c>
      <c r="C341" s="174">
        <f>SUM(G116:G118)</f>
        <v>2</v>
      </c>
      <c r="D341" s="175">
        <v>4</v>
      </c>
      <c r="E341" s="176"/>
      <c r="F341" s="176"/>
      <c r="G341" s="240">
        <v>0.63</v>
      </c>
      <c r="H341" s="177">
        <f t="shared" si="56"/>
        <v>5.04</v>
      </c>
      <c r="I341" s="178" t="s">
        <v>236</v>
      </c>
      <c r="J341" s="172"/>
      <c r="K341" s="170"/>
      <c r="L341" s="170"/>
      <c r="M341" s="170"/>
      <c r="N341" s="170"/>
      <c r="O341" s="170"/>
      <c r="P341" s="170"/>
    </row>
    <row r="342" spans="1:16" ht="18" customHeight="1">
      <c r="B342" s="173" t="s">
        <v>237</v>
      </c>
      <c r="C342" s="174">
        <v>1</v>
      </c>
      <c r="D342" s="175">
        <f>(F291+F292)*10</f>
        <v>20</v>
      </c>
      <c r="E342" s="176"/>
      <c r="F342" s="176"/>
      <c r="G342" s="240">
        <v>0.37</v>
      </c>
      <c r="H342" s="177">
        <f t="shared" si="56"/>
        <v>7.4</v>
      </c>
      <c r="I342" s="178"/>
      <c r="J342" s="172"/>
      <c r="K342" s="172"/>
      <c r="L342" s="172"/>
      <c r="N342" s="43"/>
    </row>
    <row r="343" spans="1:16" ht="18" customHeight="1">
      <c r="B343" s="173" t="s">
        <v>232</v>
      </c>
      <c r="C343" s="174">
        <f>C338</f>
        <v>0</v>
      </c>
      <c r="D343" s="175">
        <v>0</v>
      </c>
      <c r="E343" s="176"/>
      <c r="F343" s="176"/>
      <c r="G343" s="240">
        <v>0.49</v>
      </c>
      <c r="H343" s="177">
        <f t="shared" si="56"/>
        <v>0</v>
      </c>
      <c r="I343" s="178" t="s">
        <v>238</v>
      </c>
      <c r="J343" s="172"/>
      <c r="K343" s="172"/>
      <c r="L343" s="172"/>
      <c r="N343" s="43"/>
    </row>
    <row r="344" spans="1:16" ht="18" customHeight="1">
      <c r="B344" s="156" t="s">
        <v>239</v>
      </c>
      <c r="C344" s="157"/>
      <c r="D344" s="440">
        <f>E203+E205*2+E207*2+I203+I205*2+I207*2</f>
        <v>20</v>
      </c>
      <c r="E344" s="148"/>
      <c r="F344" s="148"/>
      <c r="G344" s="148">
        <v>0.2</v>
      </c>
      <c r="H344" s="179">
        <f>D344*G344</f>
        <v>4</v>
      </c>
      <c r="I344" s="437" t="s">
        <v>368</v>
      </c>
      <c r="J344" s="172"/>
      <c r="K344" s="172"/>
      <c r="L344" s="172"/>
    </row>
    <row r="345" spans="1:16" ht="18" customHeight="1">
      <c r="B345" s="156" t="s">
        <v>240</v>
      </c>
      <c r="C345" s="157"/>
      <c r="D345" s="440">
        <f>4*(E52+E53+E54+E55+G52+G53+G54+G55+G60+G61+G62+G63+E130+E131+E132+G130+G131+G132+G137+G138)</f>
        <v>4</v>
      </c>
      <c r="E345" s="148"/>
      <c r="F345" s="148"/>
      <c r="G345" s="148">
        <v>0.22</v>
      </c>
      <c r="H345" s="179">
        <f>D345*G345</f>
        <v>0.88</v>
      </c>
      <c r="I345" s="437" t="s">
        <v>241</v>
      </c>
      <c r="J345" s="172"/>
      <c r="K345" s="172"/>
      <c r="L345" s="172"/>
    </row>
    <row r="346" spans="1:16" ht="18" customHeight="1">
      <c r="B346" s="156" t="s">
        <v>242</v>
      </c>
      <c r="C346" s="157"/>
      <c r="D346" s="440">
        <f>D345/2</f>
        <v>2</v>
      </c>
      <c r="E346" s="148"/>
      <c r="F346" s="148"/>
      <c r="G346" s="148">
        <v>0.22</v>
      </c>
      <c r="H346" s="179">
        <f>ROUND(D346*G346,2)</f>
        <v>0.44</v>
      </c>
      <c r="I346" s="437" t="s">
        <v>243</v>
      </c>
      <c r="J346" s="172"/>
      <c r="K346" s="172"/>
      <c r="L346" s="172"/>
    </row>
    <row r="347" spans="1:16" ht="18" customHeight="1">
      <c r="B347" s="156" t="s">
        <v>369</v>
      </c>
      <c r="C347" s="157"/>
      <c r="D347" s="440">
        <f>D346</f>
        <v>2</v>
      </c>
      <c r="E347" s="148"/>
      <c r="F347" s="148"/>
      <c r="G347" s="148">
        <v>1.37</v>
      </c>
      <c r="H347" s="179">
        <f>ROUND(D347*G347,2)</f>
        <v>2.74</v>
      </c>
      <c r="I347" s="437" t="s">
        <v>370</v>
      </c>
      <c r="J347" s="172"/>
      <c r="K347" s="172"/>
      <c r="L347" s="172"/>
    </row>
    <row r="348" spans="1:16" ht="18" customHeight="1">
      <c r="B348" s="156" t="s">
        <v>244</v>
      </c>
      <c r="C348" s="157"/>
      <c r="D348" s="440">
        <f>(F291+F292)*2</f>
        <v>4</v>
      </c>
      <c r="E348" s="148"/>
      <c r="F348" s="148"/>
      <c r="G348" s="148">
        <v>0.48</v>
      </c>
      <c r="H348" s="179">
        <f>ROUND(D348*G348,2)</f>
        <v>1.92</v>
      </c>
      <c r="I348" s="437" t="s">
        <v>245</v>
      </c>
      <c r="J348" s="255"/>
    </row>
    <row r="349" spans="1:16" ht="18" customHeight="1">
      <c r="B349" s="156" t="s">
        <v>246</v>
      </c>
      <c r="C349" s="157"/>
      <c r="D349" s="440">
        <f>ROUND((D4+E4-240)*2/200+E217*F217/200,0)</f>
        <v>55</v>
      </c>
      <c r="E349" s="148"/>
      <c r="F349" s="148"/>
      <c r="G349" s="148">
        <v>0.05</v>
      </c>
      <c r="H349" s="179">
        <f>ROUND(D349*G349,2)</f>
        <v>2.75</v>
      </c>
      <c r="I349" s="437" t="s">
        <v>247</v>
      </c>
      <c r="J349" s="255"/>
    </row>
    <row r="350" spans="1:16" ht="18" customHeight="1">
      <c r="B350" s="150" t="s">
        <v>248</v>
      </c>
      <c r="C350" s="165"/>
      <c r="D350" s="50"/>
      <c r="E350" s="50"/>
      <c r="F350" s="50"/>
      <c r="G350" s="166"/>
      <c r="H350" s="155">
        <f>SUM(H338:H349)</f>
        <v>30.21</v>
      </c>
      <c r="I350" s="152"/>
    </row>
    <row r="351" spans="1:16" ht="18" customHeight="1">
      <c r="B351" s="156" t="s">
        <v>359</v>
      </c>
      <c r="C351" s="157"/>
      <c r="D351" s="440">
        <f>SUMPRODUCT(G26:G30)*8+SUMPRODUCT(G35:G37)*8+SUMPRODUCT(G116:G118)*8+SUMPRODUCT(G123:G125)*8</f>
        <v>16</v>
      </c>
      <c r="E351" s="148"/>
      <c r="F351" s="148"/>
      <c r="G351" s="148">
        <v>1.26</v>
      </c>
      <c r="H351" s="154">
        <f>ROUND(D351*G351,2)</f>
        <v>20.16</v>
      </c>
      <c r="I351" s="437" t="s">
        <v>386</v>
      </c>
    </row>
    <row r="352" spans="1:16" ht="18" customHeight="1">
      <c r="B352" s="156" t="s">
        <v>360</v>
      </c>
      <c r="C352" s="157"/>
      <c r="D352" s="440">
        <f>G26*4+G27*4+G28*4+G29*4+G30*4</f>
        <v>0</v>
      </c>
      <c r="E352" s="148"/>
      <c r="F352" s="148"/>
      <c r="G352" s="148">
        <v>2</v>
      </c>
      <c r="H352" s="154">
        <f>ROUND(D352*G352,2)</f>
        <v>0</v>
      </c>
      <c r="I352" s="437" t="s">
        <v>361</v>
      </c>
    </row>
    <row r="353" spans="1:22" ht="18" customHeight="1">
      <c r="B353" s="156" t="s">
        <v>249</v>
      </c>
      <c r="C353" s="157"/>
      <c r="D353" s="440"/>
      <c r="E353" s="148"/>
      <c r="F353" s="148"/>
      <c r="G353" s="148">
        <v>1.6</v>
      </c>
      <c r="H353" s="154"/>
      <c r="I353" s="437"/>
    </row>
    <row r="354" spans="1:22" ht="18" customHeight="1">
      <c r="B354" s="156" t="s">
        <v>250</v>
      </c>
      <c r="C354" s="157"/>
      <c r="D354" s="44">
        <f>C22+C31+C38+C48+C56+C64+C112+C119+C126+C133+C139+C199</f>
        <v>24.920999999999999</v>
      </c>
      <c r="E354" s="148"/>
      <c r="F354" s="148"/>
      <c r="G354" s="179">
        <v>4</v>
      </c>
      <c r="H354" s="154">
        <f t="shared" ref="H354:H356" si="57">ROUND(D354*G354,2)</f>
        <v>99.68</v>
      </c>
      <c r="I354" s="437"/>
    </row>
    <row r="355" spans="1:22" ht="18" customHeight="1">
      <c r="B355" s="156" t="s">
        <v>251</v>
      </c>
      <c r="C355" s="157" t="s">
        <v>252</v>
      </c>
      <c r="D355" s="44">
        <f>C88+C163</f>
        <v>0</v>
      </c>
      <c r="E355" s="148"/>
      <c r="F355" s="148"/>
      <c r="G355" s="179">
        <v>3.15</v>
      </c>
      <c r="H355" s="154">
        <f t="shared" si="57"/>
        <v>0</v>
      </c>
      <c r="I355" s="437"/>
    </row>
    <row r="356" spans="1:22" ht="18" customHeight="1">
      <c r="B356" s="156" t="s">
        <v>253</v>
      </c>
      <c r="C356" s="157" t="s">
        <v>254</v>
      </c>
      <c r="D356" s="44">
        <f>C97+C104+C146+C153</f>
        <v>12.192</v>
      </c>
      <c r="E356" s="148"/>
      <c r="F356" s="148"/>
      <c r="G356" s="179">
        <v>3.65</v>
      </c>
      <c r="H356" s="154">
        <f t="shared" si="57"/>
        <v>44.5</v>
      </c>
      <c r="I356" s="437"/>
    </row>
    <row r="357" spans="1:22" ht="18" customHeight="1">
      <c r="B357" s="156" t="s">
        <v>387</v>
      </c>
      <c r="C357" s="157"/>
      <c r="D357" s="44">
        <f>F291+F292</f>
        <v>2</v>
      </c>
      <c r="E357" s="148"/>
      <c r="F357" s="148"/>
      <c r="G357" s="179">
        <v>6</v>
      </c>
      <c r="H357" s="154"/>
      <c r="I357" s="437"/>
    </row>
    <row r="358" spans="1:22" ht="18" customHeight="1">
      <c r="B358" s="156" t="s">
        <v>255</v>
      </c>
      <c r="C358" s="157"/>
      <c r="D358" s="180">
        <f>D14*1.5/1000</f>
        <v>0</v>
      </c>
      <c r="E358" s="148"/>
      <c r="F358" s="148"/>
      <c r="G358" s="148">
        <v>70</v>
      </c>
      <c r="H358" s="154">
        <f>D358*G358</f>
        <v>0</v>
      </c>
      <c r="I358" s="437"/>
    </row>
    <row r="359" spans="1:22" ht="18" customHeight="1">
      <c r="B359" s="156" t="s">
        <v>858</v>
      </c>
      <c r="C359" s="157"/>
      <c r="D359" s="180">
        <f>D4/1000</f>
        <v>2.2999999999999998</v>
      </c>
      <c r="E359" s="148"/>
      <c r="F359" s="148"/>
      <c r="G359" s="148">
        <v>180</v>
      </c>
      <c r="H359" s="154">
        <f>D359*G359</f>
        <v>413.99999999999994</v>
      </c>
      <c r="I359" s="437"/>
    </row>
    <row r="360" spans="1:22" ht="18" customHeight="1">
      <c r="B360" s="156" t="s">
        <v>388</v>
      </c>
      <c r="C360" s="157"/>
      <c r="D360" s="440">
        <v>1</v>
      </c>
      <c r="E360" s="148"/>
      <c r="F360" s="148"/>
      <c r="G360" s="148">
        <v>9.6</v>
      </c>
      <c r="H360" s="154">
        <f>ROUND(D360*G360,2)</f>
        <v>9.6</v>
      </c>
      <c r="I360" s="437"/>
    </row>
    <row r="361" spans="1:22" ht="18" customHeight="1">
      <c r="B361" s="156"/>
      <c r="C361" s="157"/>
      <c r="D361" s="463"/>
      <c r="E361" s="148"/>
      <c r="F361" s="148"/>
      <c r="G361" s="148"/>
      <c r="H361" s="154"/>
      <c r="I361" s="468"/>
    </row>
    <row r="362" spans="1:22" ht="18" customHeight="1">
      <c r="B362" s="181" t="s">
        <v>398</v>
      </c>
      <c r="C362" s="157"/>
      <c r="D362" s="182">
        <f>F366</f>
        <v>5.0286499999999998</v>
      </c>
      <c r="E362" s="148"/>
      <c r="F362" s="148"/>
      <c r="G362" s="148">
        <v>3</v>
      </c>
      <c r="H362" s="154">
        <f>D362*G362</f>
        <v>15.08595</v>
      </c>
      <c r="I362" s="437"/>
    </row>
    <row r="363" spans="1:22" ht="18" customHeight="1">
      <c r="B363" s="150" t="s">
        <v>256</v>
      </c>
      <c r="C363" s="50"/>
      <c r="D363" s="50"/>
      <c r="E363" s="50"/>
      <c r="F363" s="50"/>
      <c r="G363" s="166"/>
      <c r="H363" s="155">
        <f>SUM(H351:H362)</f>
        <v>603.02594999999997</v>
      </c>
      <c r="I363" s="183"/>
    </row>
    <row r="364" spans="1:22" ht="18" customHeight="1">
      <c r="B364" s="438" t="s">
        <v>257</v>
      </c>
      <c r="C364" s="185"/>
      <c r="D364" s="186"/>
      <c r="E364" s="185"/>
      <c r="F364" s="186"/>
      <c r="G364" s="186"/>
      <c r="H364" s="187">
        <f>SUM(H363,H350,H337,H322,H314,H308,H304)</f>
        <v>1280.003109</v>
      </c>
      <c r="I364" s="188"/>
    </row>
    <row r="365" spans="1:22" ht="18" customHeight="1">
      <c r="A365" s="189"/>
      <c r="B365" s="190" t="s">
        <v>258</v>
      </c>
      <c r="C365" s="10" t="s">
        <v>14</v>
      </c>
      <c r="D365" s="10" t="s">
        <v>16</v>
      </c>
      <c r="E365" s="10" t="s">
        <v>17</v>
      </c>
      <c r="F365" s="10" t="s">
        <v>7</v>
      </c>
      <c r="G365" s="10" t="s">
        <v>5</v>
      </c>
      <c r="H365" s="10" t="s">
        <v>18</v>
      </c>
      <c r="I365" s="191" t="s">
        <v>259</v>
      </c>
      <c r="L365" s="192"/>
      <c r="M365" s="192"/>
    </row>
    <row r="366" spans="1:22" ht="18" customHeight="1">
      <c r="B366" s="48">
        <f>ROUND(I366/F366,2)</f>
        <v>957.95</v>
      </c>
      <c r="C366" s="50" t="s">
        <v>299</v>
      </c>
      <c r="D366" s="50">
        <f>D5</f>
        <v>2230</v>
      </c>
      <c r="E366" s="50">
        <f>E5</f>
        <v>2255</v>
      </c>
      <c r="F366" s="49">
        <f>E366*D366/1000000</f>
        <v>5.0286499999999998</v>
      </c>
      <c r="G366" s="50">
        <f>G4</f>
        <v>1</v>
      </c>
      <c r="H366" s="49">
        <f>F366</f>
        <v>5.0286499999999998</v>
      </c>
      <c r="I366" s="193">
        <f>H364+H291+H292+I223+I12</f>
        <v>4817.1850106900001</v>
      </c>
      <c r="K366" s="192"/>
    </row>
    <row r="367" spans="1:22" ht="18" customHeight="1">
      <c r="B367" s="194" t="s">
        <v>258</v>
      </c>
      <c r="C367" s="195" t="s">
        <v>260</v>
      </c>
      <c r="D367" s="195" t="s">
        <v>261</v>
      </c>
      <c r="E367" s="195" t="s">
        <v>262</v>
      </c>
      <c r="F367" s="195" t="s">
        <v>263</v>
      </c>
      <c r="G367" s="195" t="s">
        <v>264</v>
      </c>
      <c r="H367" s="195" t="s">
        <v>265</v>
      </c>
      <c r="I367" s="196" t="s">
        <v>266</v>
      </c>
    </row>
    <row r="368" spans="1:22" ht="30" customHeight="1" thickBot="1">
      <c r="B368" s="197">
        <f>ROUND(I366/H366,2)</f>
        <v>957.95</v>
      </c>
      <c r="C368" s="198">
        <f>E294+E296+E298+E300+E302+E303+E297+E299</f>
        <v>1</v>
      </c>
      <c r="D368" s="199"/>
      <c r="E368" s="199"/>
      <c r="F368" s="200"/>
      <c r="G368" s="200"/>
      <c r="H368" s="200"/>
      <c r="I368" s="201"/>
      <c r="O368" s="631" t="s">
        <v>603</v>
      </c>
      <c r="P368" s="631"/>
      <c r="Q368" s="631"/>
      <c r="R368" s="631"/>
      <c r="S368" s="631"/>
      <c r="T368" s="631"/>
      <c r="U368" s="631"/>
      <c r="V368" s="631"/>
    </row>
    <row r="369" spans="2:22" ht="20.100000000000001" customHeight="1">
      <c r="B369" s="42"/>
      <c r="L369" s="202"/>
      <c r="M369" s="202"/>
      <c r="N369" s="202"/>
      <c r="O369" s="634" t="s">
        <v>604</v>
      </c>
      <c r="P369" s="634"/>
      <c r="Q369" s="634"/>
      <c r="R369" s="634"/>
      <c r="S369" s="634"/>
      <c r="T369" s="634"/>
      <c r="U369" s="634"/>
      <c r="V369" s="634"/>
    </row>
    <row r="370" spans="2:22" ht="20.100000000000001" customHeight="1">
      <c r="B370" s="102" t="s">
        <v>602</v>
      </c>
      <c r="C370" s="203"/>
      <c r="D370" s="203" t="s">
        <v>267</v>
      </c>
      <c r="E370" s="203"/>
      <c r="J370" s="102"/>
      <c r="O370" s="285" t="s">
        <v>279</v>
      </c>
      <c r="P370" s="624" t="s">
        <v>629</v>
      </c>
      <c r="Q370" s="625"/>
      <c r="R370" s="312" t="str">
        <f ca="1">B4</f>
        <v>套门 (2)</v>
      </c>
      <c r="S370" s="312"/>
      <c r="T370" s="313"/>
      <c r="U370" s="287" t="s">
        <v>605</v>
      </c>
      <c r="V370" s="288"/>
    </row>
    <row r="371" spans="2:22" ht="24.95" customHeight="1">
      <c r="B371" s="102">
        <f>ROUND(I366/F4,2)</f>
        <v>900.83</v>
      </c>
      <c r="C371" s="203"/>
      <c r="D371" s="203">
        <f>E304</f>
        <v>1</v>
      </c>
      <c r="E371" s="203"/>
      <c r="J371" s="102"/>
      <c r="O371" s="635" t="s">
        <v>606</v>
      </c>
      <c r="P371" s="623" t="s">
        <v>626</v>
      </c>
      <c r="Q371" s="623"/>
      <c r="R371" s="623"/>
      <c r="S371" s="623"/>
      <c r="T371" s="637"/>
      <c r="U371" s="291" t="s">
        <v>607</v>
      </c>
      <c r="V371" s="292" t="s">
        <v>313</v>
      </c>
    </row>
    <row r="372" spans="2:22" ht="24.95" customHeight="1">
      <c r="L372" s="102"/>
      <c r="M372" s="102"/>
      <c r="N372" s="102"/>
      <c r="O372" s="636"/>
      <c r="P372" s="638"/>
      <c r="Q372" s="638"/>
      <c r="R372" s="638"/>
      <c r="S372" s="638"/>
      <c r="T372" s="638"/>
      <c r="U372" s="291" t="s">
        <v>268</v>
      </c>
      <c r="V372" s="293">
        <f>F4</f>
        <v>5.3475000000000001</v>
      </c>
    </row>
    <row r="373" spans="2:22" ht="24.95" customHeight="1">
      <c r="J373" s="102"/>
      <c r="K373" s="102"/>
      <c r="L373" s="102"/>
      <c r="M373" s="102"/>
      <c r="N373" s="102"/>
      <c r="O373" s="311" t="s">
        <v>0</v>
      </c>
      <c r="P373" s="289" t="s">
        <v>608</v>
      </c>
      <c r="Q373" s="289" t="s">
        <v>627</v>
      </c>
      <c r="R373" s="289" t="s">
        <v>269</v>
      </c>
      <c r="S373" s="294" t="s">
        <v>8</v>
      </c>
      <c r="T373" s="295" t="s">
        <v>609</v>
      </c>
      <c r="U373" s="296" t="s">
        <v>270</v>
      </c>
      <c r="V373" s="295" t="s">
        <v>610</v>
      </c>
    </row>
    <row r="374" spans="2:22" ht="20.100000000000001" customHeight="1">
      <c r="J374" s="102"/>
      <c r="K374" s="102"/>
      <c r="L374" s="102"/>
      <c r="M374" s="102"/>
      <c r="N374" s="102"/>
      <c r="O374" s="297" t="s">
        <v>305</v>
      </c>
      <c r="P374" s="298" t="s">
        <v>611</v>
      </c>
      <c r="Q374" s="298"/>
      <c r="R374" s="286"/>
      <c r="S374" s="299"/>
      <c r="T374" s="300"/>
      <c r="U374" s="301">
        <f>SUM(U375:U383)</f>
        <v>4817.1842506900002</v>
      </c>
      <c r="V374" s="286"/>
    </row>
    <row r="375" spans="2:22" ht="20.100000000000001" customHeight="1">
      <c r="J375" s="102"/>
      <c r="K375" s="102"/>
      <c r="L375" s="102"/>
      <c r="M375" s="102"/>
      <c r="N375" s="102"/>
      <c r="O375" s="286">
        <v>1</v>
      </c>
      <c r="P375" s="302" t="s">
        <v>612</v>
      </c>
      <c r="Q375" s="307"/>
      <c r="R375" s="286" t="s">
        <v>271</v>
      </c>
      <c r="S375" s="303">
        <f>E223</f>
        <v>62.45646</v>
      </c>
      <c r="T375" s="304">
        <f>I223/E223</f>
        <v>47.161364920298084</v>
      </c>
      <c r="U375" s="305">
        <f t="shared" ref="U375:U383" si="58">T375*S375</f>
        <v>2945.5319016900003</v>
      </c>
      <c r="V375" s="306"/>
    </row>
    <row r="376" spans="2:22" ht="20.100000000000001" customHeight="1">
      <c r="J376" s="102"/>
      <c r="K376" s="102"/>
      <c r="L376" s="102"/>
      <c r="M376" s="102"/>
      <c r="N376" s="102"/>
      <c r="O376" s="286">
        <v>2</v>
      </c>
      <c r="P376" s="290" t="s">
        <v>613</v>
      </c>
      <c r="Q376" s="307"/>
      <c r="R376" s="286" t="s">
        <v>276</v>
      </c>
      <c r="S376" s="303">
        <f>D358</f>
        <v>0</v>
      </c>
      <c r="T376" s="304">
        <f>G358</f>
        <v>70</v>
      </c>
      <c r="U376" s="305">
        <f t="shared" si="58"/>
        <v>0</v>
      </c>
      <c r="V376" s="306"/>
    </row>
    <row r="377" spans="2:22" ht="20.100000000000001" customHeight="1">
      <c r="J377" s="102"/>
      <c r="K377" s="102"/>
      <c r="L377" s="102"/>
      <c r="M377" s="102"/>
      <c r="N377" s="102"/>
      <c r="O377" s="286">
        <v>3</v>
      </c>
      <c r="P377" s="302" t="s">
        <v>614</v>
      </c>
      <c r="Q377" s="302"/>
      <c r="R377" s="286" t="s">
        <v>312</v>
      </c>
      <c r="S377" s="303">
        <f>D291+D292</f>
        <v>3.99763</v>
      </c>
      <c r="T377" s="304">
        <f>材料价格!B10</f>
        <v>148</v>
      </c>
      <c r="U377" s="305">
        <f t="shared" si="58"/>
        <v>591.64923999999996</v>
      </c>
      <c r="V377" s="306"/>
    </row>
    <row r="378" spans="2:22" ht="20.100000000000001" customHeight="1">
      <c r="B378" s="630" t="s">
        <v>277</v>
      </c>
      <c r="C378" s="630"/>
      <c r="D378" s="630"/>
      <c r="E378" s="630"/>
      <c r="F378" s="630"/>
      <c r="G378" s="630"/>
      <c r="H378" s="630"/>
      <c r="I378" s="630"/>
      <c r="J378" s="102"/>
      <c r="K378" s="102"/>
      <c r="L378" s="102"/>
      <c r="M378" s="102"/>
      <c r="N378" s="102"/>
      <c r="O378" s="286">
        <v>4</v>
      </c>
      <c r="P378" s="302" t="s">
        <v>615</v>
      </c>
      <c r="Q378" s="306"/>
      <c r="R378" s="286" t="s">
        <v>278</v>
      </c>
      <c r="S378" s="303">
        <f>(H316+H317+H319+H320+H321)/F316</f>
        <v>8.646713615023474</v>
      </c>
      <c r="T378" s="304">
        <f>材料价格!B25</f>
        <v>8.52</v>
      </c>
      <c r="U378" s="305">
        <f t="shared" si="58"/>
        <v>73.67</v>
      </c>
      <c r="V378" s="306"/>
    </row>
    <row r="379" spans="2:22" ht="20.100000000000001" customHeight="1">
      <c r="B379" s="204" t="s">
        <v>279</v>
      </c>
      <c r="C379" s="205" t="s">
        <v>280</v>
      </c>
      <c r="D379" s="205" t="s">
        <v>281</v>
      </c>
      <c r="E379" s="205" t="s">
        <v>282</v>
      </c>
      <c r="F379" s="205" t="s">
        <v>379</v>
      </c>
      <c r="G379" s="205"/>
      <c r="H379" s="205" t="s">
        <v>28</v>
      </c>
      <c r="I379" s="205" t="s">
        <v>259</v>
      </c>
      <c r="J379" s="102"/>
      <c r="K379" s="102"/>
      <c r="L379" s="102"/>
      <c r="M379" s="102"/>
      <c r="N379" s="102"/>
      <c r="O379" s="286">
        <v>5</v>
      </c>
      <c r="P379" s="306" t="s">
        <v>616</v>
      </c>
      <c r="Q379" s="302"/>
      <c r="R379" s="286" t="s">
        <v>628</v>
      </c>
      <c r="S379" s="303">
        <f>H337/21</f>
        <v>3.2555789999999996</v>
      </c>
      <c r="T379" s="304">
        <v>21</v>
      </c>
      <c r="U379" s="305">
        <f t="shared" si="58"/>
        <v>68.367158999999987</v>
      </c>
      <c r="V379" s="306"/>
    </row>
    <row r="380" spans="2:22" ht="20.100000000000001" customHeight="1">
      <c r="B380" s="206" t="s">
        <v>284</v>
      </c>
      <c r="C380" s="208" t="s">
        <v>384</v>
      </c>
      <c r="D380" s="207">
        <f>C22+C31+C38+C48+C56+C112+C119+C126+C133+C139+C177+C184+C191+C199</f>
        <v>24.920999999999999</v>
      </c>
      <c r="E380" s="207" t="s">
        <v>383</v>
      </c>
      <c r="F380" s="206"/>
      <c r="G380" s="206"/>
      <c r="H380" s="241">
        <v>2.4</v>
      </c>
      <c r="I380" s="207"/>
      <c r="J380" s="102"/>
      <c r="K380" s="102"/>
      <c r="L380" s="102"/>
      <c r="M380" s="102"/>
      <c r="N380" s="102"/>
      <c r="O380" s="286">
        <v>6</v>
      </c>
      <c r="P380" s="302" t="s">
        <v>319</v>
      </c>
      <c r="Q380" s="302"/>
      <c r="R380" s="286" t="s">
        <v>273</v>
      </c>
      <c r="S380" s="303"/>
      <c r="T380" s="304"/>
      <c r="U380" s="305">
        <f t="shared" si="58"/>
        <v>0</v>
      </c>
      <c r="V380" s="306"/>
    </row>
    <row r="381" spans="2:22" ht="20.100000000000001" customHeight="1">
      <c r="B381" s="206" t="s">
        <v>286</v>
      </c>
      <c r="C381" s="206" t="s">
        <v>287</v>
      </c>
      <c r="D381" s="209">
        <f>(J22+J31+J38+J48+J112+J119+J126)*4+(J56+J133)*2</f>
        <v>12</v>
      </c>
      <c r="E381" s="207" t="s">
        <v>285</v>
      </c>
      <c r="F381" s="206"/>
      <c r="G381" s="206"/>
      <c r="H381" s="241">
        <v>0.5</v>
      </c>
      <c r="I381" s="207">
        <f>H381*D381</f>
        <v>6</v>
      </c>
      <c r="J381" s="102"/>
      <c r="K381" s="102"/>
      <c r="L381" s="102"/>
      <c r="M381" s="102"/>
      <c r="N381" s="102"/>
      <c r="O381" s="286">
        <v>7</v>
      </c>
      <c r="P381" s="302" t="s">
        <v>295</v>
      </c>
      <c r="Q381" s="302"/>
      <c r="R381" s="286" t="s">
        <v>273</v>
      </c>
      <c r="S381" s="303"/>
      <c r="T381" s="304">
        <f>材料价格!B19</f>
        <v>230</v>
      </c>
      <c r="U381" s="305">
        <f t="shared" si="58"/>
        <v>0</v>
      </c>
      <c r="V381" s="306"/>
    </row>
    <row r="382" spans="2:22" ht="20.100000000000001" customHeight="1">
      <c r="B382" s="206" t="s">
        <v>289</v>
      </c>
      <c r="C382" s="206"/>
      <c r="D382" s="210">
        <f>ROUND((C22+C56*2+C64*2+C112+C133*2+C139*2)/0.3,0)+2</f>
        <v>48</v>
      </c>
      <c r="E382" s="207" t="s">
        <v>285</v>
      </c>
      <c r="F382" s="206"/>
      <c r="G382" s="206"/>
      <c r="H382" s="241">
        <v>0.3</v>
      </c>
      <c r="I382" s="207">
        <f t="shared" ref="I382:I387" si="59">H382*D382</f>
        <v>14.399999999999999</v>
      </c>
      <c r="J382" s="102"/>
      <c r="K382" s="102"/>
      <c r="L382" s="102"/>
      <c r="M382" s="102"/>
      <c r="N382" s="102"/>
      <c r="O382" s="286">
        <v>8</v>
      </c>
      <c r="P382" s="302" t="s">
        <v>296</v>
      </c>
      <c r="Q382" s="302"/>
      <c r="R382" s="286" t="s">
        <v>273</v>
      </c>
      <c r="S382" s="303">
        <f>E303</f>
        <v>1</v>
      </c>
      <c r="T382" s="304">
        <f>材料价格!B20</f>
        <v>335</v>
      </c>
      <c r="U382" s="305">
        <f t="shared" si="58"/>
        <v>335</v>
      </c>
      <c r="V382" s="306"/>
    </row>
    <row r="383" spans="2:22" ht="20.100000000000001" customHeight="1">
      <c r="B383" s="206" t="s">
        <v>381</v>
      </c>
      <c r="C383" s="206" t="s">
        <v>389</v>
      </c>
      <c r="D383" s="211">
        <f>C22+C31+C38+C56*2+C64*2+C112+C119+C126+C133*2</f>
        <v>22.673999999999999</v>
      </c>
      <c r="E383" s="207" t="s">
        <v>285</v>
      </c>
      <c r="F383" s="206" t="s">
        <v>380</v>
      </c>
      <c r="G383" s="206"/>
      <c r="H383" s="241">
        <v>2.81</v>
      </c>
      <c r="I383" s="207">
        <f>H383*D383</f>
        <v>63.713940000000001</v>
      </c>
      <c r="J383" s="102"/>
      <c r="K383" s="102"/>
      <c r="L383" s="102"/>
      <c r="M383" s="102"/>
      <c r="N383" s="102"/>
      <c r="O383" s="286">
        <v>9</v>
      </c>
      <c r="P383" s="302" t="s">
        <v>617</v>
      </c>
      <c r="Q383" s="302"/>
      <c r="R383" s="286" t="s">
        <v>618</v>
      </c>
      <c r="S383" s="296">
        <v>1</v>
      </c>
      <c r="T383" s="304">
        <f>H363-H358+H350+H318+H315+H314</f>
        <v>802.96595000000002</v>
      </c>
      <c r="U383" s="305">
        <f t="shared" si="58"/>
        <v>802.96595000000002</v>
      </c>
      <c r="V383" s="306"/>
    </row>
    <row r="384" spans="2:22" ht="20.100000000000001" customHeight="1">
      <c r="B384" s="206" t="s">
        <v>390</v>
      </c>
      <c r="C384" s="206" t="s">
        <v>392</v>
      </c>
      <c r="D384" s="211">
        <f>C22+C88+C112+C163</f>
        <v>9.25</v>
      </c>
      <c r="E384" s="207" t="s">
        <v>285</v>
      </c>
      <c r="F384" s="206" t="s">
        <v>394</v>
      </c>
      <c r="G384" s="206"/>
      <c r="H384" s="241">
        <v>3.27</v>
      </c>
      <c r="I384" s="207">
        <f t="shared" ref="I384" si="60">H384*D384</f>
        <v>30.247499999999999</v>
      </c>
      <c r="J384" s="102"/>
      <c r="K384" s="102"/>
      <c r="L384" s="102"/>
      <c r="M384" s="102"/>
      <c r="N384" s="102"/>
      <c r="O384" s="297" t="s">
        <v>306</v>
      </c>
      <c r="P384" s="308" t="s">
        <v>314</v>
      </c>
      <c r="Q384" s="298"/>
      <c r="R384" s="286"/>
      <c r="S384" s="296"/>
      <c r="T384" s="309"/>
      <c r="U384" s="301">
        <f>SUM(U385:U386)</f>
        <v>855.6</v>
      </c>
      <c r="V384" s="286"/>
    </row>
    <row r="385" spans="2:22" ht="20.100000000000001" customHeight="1">
      <c r="B385" s="206" t="s">
        <v>391</v>
      </c>
      <c r="C385" s="206" t="s">
        <v>393</v>
      </c>
      <c r="D385" s="211">
        <f>(C97+C104+C119+C126)*2</f>
        <v>26.847999999999999</v>
      </c>
      <c r="E385" s="207" t="s">
        <v>285</v>
      </c>
      <c r="F385" s="206" t="s">
        <v>395</v>
      </c>
      <c r="G385" s="206"/>
      <c r="H385" s="241">
        <v>1.74</v>
      </c>
      <c r="I385" s="207">
        <f t="shared" si="59"/>
        <v>46.715519999999998</v>
      </c>
      <c r="J385" s="102"/>
      <c r="K385" s="102"/>
      <c r="L385" s="102"/>
      <c r="M385" s="102"/>
      <c r="N385" s="102"/>
      <c r="O385" s="286">
        <v>1</v>
      </c>
      <c r="P385" s="307" t="s">
        <v>619</v>
      </c>
      <c r="Q385" s="307"/>
      <c r="R385" s="300" t="s">
        <v>312</v>
      </c>
      <c r="S385" s="296">
        <f>V372</f>
        <v>5.3475000000000001</v>
      </c>
      <c r="T385" s="310">
        <v>60</v>
      </c>
      <c r="U385" s="305">
        <f>T385*S385</f>
        <v>320.85000000000002</v>
      </c>
      <c r="V385" s="286"/>
    </row>
    <row r="386" spans="2:22" ht="20.100000000000001" customHeight="1">
      <c r="B386" s="208" t="s">
        <v>382</v>
      </c>
      <c r="C386" s="206" t="s">
        <v>291</v>
      </c>
      <c r="D386" s="211">
        <f>D338+D339+D341</f>
        <v>10</v>
      </c>
      <c r="E386" s="207" t="s">
        <v>285</v>
      </c>
      <c r="F386" s="206"/>
      <c r="G386" s="206"/>
      <c r="H386" s="241">
        <v>0.56999999999999995</v>
      </c>
      <c r="I386" s="207">
        <f>H386*D386</f>
        <v>5.6999999999999993</v>
      </c>
      <c r="J386" s="102"/>
      <c r="K386" s="102"/>
      <c r="L386" s="102"/>
      <c r="M386" s="102"/>
      <c r="N386" s="102"/>
      <c r="O386" s="286">
        <v>2</v>
      </c>
      <c r="P386" s="307" t="s">
        <v>288</v>
      </c>
      <c r="Q386" s="307"/>
      <c r="R386" s="300" t="s">
        <v>312</v>
      </c>
      <c r="S386" s="296">
        <f>V372</f>
        <v>5.3475000000000001</v>
      </c>
      <c r="T386" s="310">
        <v>100</v>
      </c>
      <c r="U386" s="305">
        <f>T386*S386</f>
        <v>534.75</v>
      </c>
      <c r="V386" s="286"/>
    </row>
    <row r="387" spans="2:22" ht="20.100000000000001" customHeight="1">
      <c r="B387" s="206" t="s">
        <v>292</v>
      </c>
      <c r="C387" s="206"/>
      <c r="D387" s="211">
        <f>H366</f>
        <v>5.0286499999999998</v>
      </c>
      <c r="E387" s="207" t="s">
        <v>285</v>
      </c>
      <c r="F387" s="206"/>
      <c r="G387" s="206"/>
      <c r="H387" s="241">
        <v>20</v>
      </c>
      <c r="I387" s="207">
        <f t="shared" si="59"/>
        <v>100.57299999999999</v>
      </c>
      <c r="J387" s="102"/>
      <c r="K387" s="102"/>
      <c r="L387" s="102"/>
      <c r="M387" s="102"/>
      <c r="N387" s="102"/>
      <c r="O387" s="297" t="s">
        <v>307</v>
      </c>
      <c r="P387" s="308" t="s">
        <v>290</v>
      </c>
      <c r="Q387" s="298"/>
      <c r="R387" s="286"/>
      <c r="S387" s="296"/>
      <c r="T387" s="309"/>
      <c r="U387" s="301">
        <f>SUM(U388)</f>
        <v>106.95</v>
      </c>
      <c r="V387" s="286"/>
    </row>
    <row r="388" spans="2:22" ht="20.100000000000001" customHeight="1">
      <c r="B388" s="212" t="s">
        <v>4</v>
      </c>
      <c r="C388" s="213"/>
      <c r="D388" s="212"/>
      <c r="E388" s="212"/>
      <c r="F388" s="212"/>
      <c r="G388" s="212"/>
      <c r="H388" s="212"/>
      <c r="I388" s="213">
        <f>SUM(I380:I387)</f>
        <v>267.34995999999995</v>
      </c>
      <c r="J388" s="242"/>
      <c r="K388" s="102"/>
      <c r="L388" s="102"/>
      <c r="M388" s="102"/>
      <c r="N388" s="102"/>
      <c r="O388" s="286">
        <v>1</v>
      </c>
      <c r="P388" s="307" t="s">
        <v>290</v>
      </c>
      <c r="Q388" s="307"/>
      <c r="R388" s="300" t="s">
        <v>312</v>
      </c>
      <c r="S388" s="296">
        <f>V372</f>
        <v>5.3475000000000001</v>
      </c>
      <c r="T388" s="310">
        <v>20</v>
      </c>
      <c r="U388" s="305">
        <f>T388*S388</f>
        <v>106.95</v>
      </c>
      <c r="V388" s="286"/>
    </row>
    <row r="389" spans="2:22" ht="20.100000000000001" customHeight="1">
      <c r="J389" s="102"/>
      <c r="K389" s="102"/>
      <c r="L389" s="102"/>
      <c r="M389" s="102"/>
      <c r="N389" s="102"/>
      <c r="O389" s="286" t="s">
        <v>308</v>
      </c>
      <c r="P389" s="618" t="s">
        <v>620</v>
      </c>
      <c r="Q389" s="619"/>
      <c r="R389" s="620"/>
      <c r="S389" s="621"/>
      <c r="T389" s="622"/>
      <c r="U389" s="301">
        <f>U374+U384+U387</f>
        <v>5779.7342506900004</v>
      </c>
      <c r="V389" s="286"/>
    </row>
    <row r="390" spans="2:22" ht="20.100000000000001" customHeight="1">
      <c r="J390" s="102"/>
      <c r="K390" s="102"/>
      <c r="L390" s="102"/>
      <c r="M390" s="102"/>
      <c r="N390" s="102"/>
      <c r="O390" s="286" t="s">
        <v>309</v>
      </c>
      <c r="P390" s="618" t="s">
        <v>621</v>
      </c>
      <c r="Q390" s="619"/>
      <c r="R390" s="626">
        <v>0.2</v>
      </c>
      <c r="S390" s="627"/>
      <c r="T390" s="628"/>
      <c r="U390" s="301">
        <f>U389*R390</f>
        <v>1155.9468501380002</v>
      </c>
      <c r="V390" s="286"/>
    </row>
    <row r="391" spans="2:22" ht="20.100000000000001" customHeight="1">
      <c r="J391" s="102"/>
      <c r="K391" s="102"/>
      <c r="L391" s="102"/>
      <c r="M391" s="102"/>
      <c r="N391" s="102"/>
      <c r="O391" s="286" t="s">
        <v>310</v>
      </c>
      <c r="P391" s="618" t="s">
        <v>622</v>
      </c>
      <c r="Q391" s="619"/>
      <c r="R391" s="620"/>
      <c r="S391" s="621"/>
      <c r="T391" s="622"/>
      <c r="U391" s="301">
        <f>U389+U390</f>
        <v>6935.6811008280001</v>
      </c>
      <c r="V391" s="286"/>
    </row>
    <row r="392" spans="2:22" ht="30" customHeight="1">
      <c r="L392" s="102"/>
      <c r="M392" s="102"/>
      <c r="N392" s="102"/>
      <c r="O392" s="297" t="s">
        <v>311</v>
      </c>
      <c r="P392" s="618" t="s">
        <v>623</v>
      </c>
      <c r="Q392" s="619"/>
      <c r="R392" s="620"/>
      <c r="S392" s="621"/>
      <c r="T392" s="622"/>
      <c r="U392" s="301">
        <f>U391/V372</f>
        <v>1296.9950632684431</v>
      </c>
      <c r="V392" s="286" t="s">
        <v>624</v>
      </c>
    </row>
    <row r="393" spans="2:22" ht="45" customHeight="1">
      <c r="L393" s="102"/>
      <c r="M393" s="102"/>
      <c r="N393" s="102"/>
      <c r="O393" s="623" t="s">
        <v>625</v>
      </c>
      <c r="P393" s="623"/>
      <c r="Q393" s="623"/>
      <c r="R393" s="623"/>
      <c r="S393" s="623"/>
      <c r="T393" s="623"/>
      <c r="U393" s="623"/>
      <c r="V393" s="623"/>
    </row>
    <row r="394" spans="2:22" ht="18" customHeight="1">
      <c r="L394" s="102"/>
      <c r="M394" s="102"/>
      <c r="N394" s="102"/>
      <c r="O394" s="102"/>
      <c r="P394" s="102"/>
    </row>
    <row r="395" spans="2:22">
      <c r="L395" s="102"/>
      <c r="M395" s="102"/>
      <c r="N395" s="102"/>
      <c r="O395" s="102"/>
      <c r="P395" s="102"/>
    </row>
    <row r="396" spans="2:22">
      <c r="L396" s="102"/>
      <c r="M396" s="102"/>
      <c r="N396" s="102"/>
      <c r="O396" s="102"/>
      <c r="P396" s="102"/>
    </row>
    <row r="397" spans="2:22">
      <c r="L397" s="102"/>
      <c r="M397" s="102"/>
      <c r="N397" s="102"/>
      <c r="O397" s="102"/>
      <c r="P397" s="102"/>
    </row>
    <row r="398" spans="2:22">
      <c r="L398" s="102"/>
      <c r="M398" s="102"/>
      <c r="N398" s="102"/>
      <c r="O398" s="102"/>
      <c r="P398" s="102"/>
    </row>
    <row r="399" spans="2:22">
      <c r="L399" s="102"/>
      <c r="M399" s="102"/>
      <c r="N399" s="102"/>
      <c r="O399" s="102"/>
      <c r="P399" s="102"/>
    </row>
    <row r="400" spans="2:22">
      <c r="L400" s="102"/>
      <c r="M400" s="102"/>
      <c r="N400" s="102"/>
      <c r="O400" s="102"/>
      <c r="P400" s="102"/>
    </row>
    <row r="401" spans="12:16">
      <c r="L401" s="102"/>
      <c r="M401" s="102"/>
      <c r="N401" s="102"/>
      <c r="O401" s="102"/>
      <c r="P401" s="102"/>
    </row>
    <row r="402" spans="12:16">
      <c r="L402" s="102"/>
      <c r="M402" s="102"/>
      <c r="N402" s="102"/>
      <c r="O402" s="102"/>
      <c r="P402" s="102"/>
    </row>
    <row r="403" spans="12:16">
      <c r="L403" s="102"/>
      <c r="M403" s="102"/>
      <c r="N403" s="102"/>
      <c r="O403" s="102"/>
      <c r="P403" s="102"/>
    </row>
    <row r="404" spans="12:16">
      <c r="L404" s="102"/>
      <c r="M404" s="102"/>
      <c r="N404" s="102"/>
      <c r="O404" s="102"/>
      <c r="P404" s="102"/>
    </row>
    <row r="405" spans="12:16">
      <c r="L405" s="102"/>
      <c r="M405" s="102"/>
      <c r="N405" s="102"/>
      <c r="O405" s="102"/>
      <c r="P405" s="102"/>
    </row>
    <row r="406" spans="12:16">
      <c r="L406" s="102"/>
      <c r="M406" s="102"/>
      <c r="N406" s="102"/>
      <c r="O406" s="102"/>
      <c r="P406" s="102"/>
    </row>
    <row r="407" spans="12:16">
      <c r="L407" s="102"/>
      <c r="M407" s="102"/>
      <c r="N407" s="102"/>
      <c r="O407" s="102"/>
      <c r="P407" s="102"/>
    </row>
    <row r="408" spans="12:16">
      <c r="L408" s="102"/>
      <c r="M408" s="102"/>
      <c r="N408" s="102"/>
      <c r="O408" s="102"/>
      <c r="P408" s="102"/>
    </row>
    <row r="409" spans="12:16">
      <c r="L409" s="102"/>
      <c r="M409" s="102"/>
      <c r="N409" s="102"/>
      <c r="O409" s="102"/>
      <c r="P409" s="102"/>
    </row>
    <row r="410" spans="12:16">
      <c r="L410" s="102"/>
      <c r="M410" s="102"/>
      <c r="N410" s="102"/>
      <c r="O410" s="102"/>
      <c r="P410" s="102"/>
    </row>
    <row r="411" spans="12:16">
      <c r="L411" s="102"/>
      <c r="M411" s="102"/>
      <c r="N411" s="102"/>
      <c r="O411" s="102"/>
      <c r="P411" s="102"/>
    </row>
    <row r="412" spans="12:16">
      <c r="L412" s="102"/>
      <c r="M412" s="102"/>
      <c r="N412" s="102"/>
      <c r="O412" s="102"/>
      <c r="P412" s="102"/>
    </row>
    <row r="413" spans="12:16">
      <c r="L413" s="102"/>
      <c r="M413" s="102"/>
      <c r="N413" s="102"/>
      <c r="O413" s="102"/>
      <c r="P413" s="102"/>
    </row>
    <row r="414" spans="12:16">
      <c r="L414" s="102"/>
      <c r="M414" s="102"/>
      <c r="N414" s="102"/>
      <c r="O414" s="102"/>
      <c r="P414" s="102"/>
    </row>
    <row r="415" spans="12:16">
      <c r="L415" s="102"/>
      <c r="M415" s="102"/>
      <c r="N415" s="102"/>
      <c r="O415" s="102"/>
      <c r="P415" s="102"/>
    </row>
    <row r="416" spans="12:16">
      <c r="L416" s="102"/>
      <c r="M416" s="102"/>
      <c r="N416" s="102"/>
      <c r="O416" s="102"/>
      <c r="P416" s="102"/>
    </row>
    <row r="417" spans="10:16">
      <c r="L417" s="102"/>
      <c r="M417" s="102"/>
      <c r="N417" s="102"/>
      <c r="O417" s="102"/>
      <c r="P417" s="102"/>
    </row>
    <row r="418" spans="10:16">
      <c r="L418" s="102"/>
      <c r="M418" s="102"/>
      <c r="N418" s="102"/>
      <c r="O418" s="102"/>
      <c r="P418" s="102"/>
    </row>
    <row r="419" spans="10:16">
      <c r="L419" s="102"/>
      <c r="M419" s="102"/>
      <c r="N419" s="102"/>
      <c r="O419" s="102"/>
      <c r="P419" s="102"/>
    </row>
    <row r="420" spans="10:16">
      <c r="L420" s="102"/>
      <c r="M420" s="102"/>
      <c r="N420" s="102"/>
      <c r="O420" s="102"/>
      <c r="P420" s="102"/>
    </row>
    <row r="421" spans="10:16">
      <c r="L421" s="102"/>
      <c r="M421" s="102"/>
      <c r="N421" s="102"/>
      <c r="O421" s="102"/>
      <c r="P421" s="102"/>
    </row>
    <row r="422" spans="10:16">
      <c r="L422" s="102"/>
      <c r="M422" s="102"/>
      <c r="N422" s="102"/>
      <c r="O422" s="102"/>
      <c r="P422" s="102"/>
    </row>
    <row r="423" spans="10:16">
      <c r="L423" s="102"/>
      <c r="M423" s="102"/>
      <c r="N423" s="102"/>
      <c r="O423" s="102"/>
      <c r="P423" s="102"/>
    </row>
    <row r="424" spans="10:16">
      <c r="L424" s="102"/>
      <c r="M424" s="102"/>
      <c r="N424" s="102"/>
      <c r="O424" s="102"/>
      <c r="P424" s="102"/>
    </row>
    <row r="425" spans="10:16">
      <c r="L425" s="102"/>
      <c r="M425" s="102"/>
      <c r="N425" s="102"/>
      <c r="O425" s="102"/>
      <c r="P425" s="102"/>
    </row>
    <row r="426" spans="10:16">
      <c r="L426" s="102"/>
      <c r="M426" s="102"/>
      <c r="N426" s="102"/>
      <c r="O426" s="102"/>
      <c r="P426" s="102"/>
    </row>
    <row r="427" spans="10:16">
      <c r="J427" s="102"/>
      <c r="K427" s="102"/>
      <c r="L427" s="102"/>
      <c r="M427" s="102"/>
      <c r="N427" s="102"/>
      <c r="O427" s="102"/>
      <c r="P427" s="102"/>
    </row>
    <row r="428" spans="10:16">
      <c r="J428" s="102"/>
      <c r="K428" s="102"/>
      <c r="L428" s="102"/>
      <c r="M428" s="102"/>
      <c r="N428" s="102"/>
      <c r="O428" s="102"/>
      <c r="P428" s="102"/>
    </row>
    <row r="429" spans="10:16">
      <c r="J429" s="102"/>
      <c r="K429" s="102"/>
      <c r="L429" s="102"/>
      <c r="M429" s="102"/>
      <c r="N429" s="102"/>
      <c r="O429" s="102"/>
      <c r="P429" s="102"/>
    </row>
    <row r="430" spans="10:16">
      <c r="J430" s="102"/>
      <c r="K430" s="102"/>
      <c r="L430" s="102"/>
      <c r="M430" s="102"/>
      <c r="N430" s="102"/>
      <c r="O430" s="102"/>
      <c r="P430" s="102"/>
    </row>
    <row r="431" spans="10:16">
      <c r="J431" s="102"/>
      <c r="K431" s="102"/>
      <c r="L431" s="102"/>
      <c r="M431" s="102"/>
      <c r="N431" s="102"/>
      <c r="O431" s="102"/>
      <c r="P431" s="102"/>
    </row>
    <row r="432" spans="10:16">
      <c r="J432" s="102"/>
      <c r="K432" s="102"/>
      <c r="L432" s="102"/>
      <c r="M432" s="102"/>
      <c r="N432" s="102"/>
      <c r="O432" s="102"/>
      <c r="P432" s="102"/>
    </row>
    <row r="433" spans="10:16">
      <c r="J433" s="102"/>
      <c r="K433" s="102"/>
      <c r="L433" s="102"/>
      <c r="M433" s="102"/>
      <c r="N433" s="102"/>
      <c r="O433" s="102"/>
      <c r="P433" s="102"/>
    </row>
    <row r="434" spans="10:16">
      <c r="J434" s="102"/>
      <c r="K434" s="102"/>
      <c r="L434" s="102"/>
      <c r="M434" s="102"/>
      <c r="N434" s="102"/>
      <c r="O434" s="102"/>
      <c r="P434" s="102"/>
    </row>
    <row r="435" spans="10:16">
      <c r="J435" s="102"/>
      <c r="K435" s="102"/>
      <c r="L435" s="102"/>
      <c r="M435" s="102"/>
      <c r="N435" s="102"/>
      <c r="O435" s="102"/>
      <c r="P435" s="102"/>
    </row>
    <row r="436" spans="10:16">
      <c r="J436" s="102"/>
      <c r="K436" s="102"/>
      <c r="L436" s="102"/>
      <c r="M436" s="102"/>
      <c r="N436" s="102"/>
      <c r="O436" s="102"/>
      <c r="P436" s="102"/>
    </row>
    <row r="437" spans="10:16">
      <c r="J437" s="102"/>
      <c r="K437" s="102"/>
      <c r="L437" s="102"/>
      <c r="M437" s="102"/>
      <c r="N437" s="102"/>
      <c r="O437" s="102"/>
      <c r="P437" s="102"/>
    </row>
    <row r="438" spans="10:16">
      <c r="J438" s="102"/>
      <c r="K438" s="102"/>
      <c r="L438" s="102"/>
      <c r="M438" s="102"/>
      <c r="N438" s="102"/>
      <c r="O438" s="102"/>
      <c r="P438" s="102"/>
    </row>
    <row r="439" spans="10:16">
      <c r="J439" s="102"/>
      <c r="K439" s="102"/>
      <c r="L439" s="102"/>
      <c r="M439" s="102"/>
      <c r="N439" s="102"/>
      <c r="O439" s="102"/>
      <c r="P439" s="102"/>
    </row>
    <row r="440" spans="10:16">
      <c r="J440" s="102"/>
      <c r="K440" s="102"/>
      <c r="L440" s="102"/>
      <c r="M440" s="102"/>
      <c r="N440" s="102"/>
      <c r="O440" s="102"/>
      <c r="P440" s="102"/>
    </row>
    <row r="441" spans="10:16">
      <c r="J441" s="102"/>
      <c r="K441" s="102"/>
      <c r="L441" s="102"/>
      <c r="M441" s="102"/>
      <c r="N441" s="102"/>
      <c r="O441" s="102"/>
      <c r="P441" s="102"/>
    </row>
    <row r="442" spans="10:16">
      <c r="J442" s="102"/>
      <c r="K442" s="102"/>
      <c r="L442" s="102"/>
      <c r="M442" s="102"/>
      <c r="N442" s="102"/>
      <c r="O442" s="102"/>
      <c r="P442" s="102"/>
    </row>
    <row r="443" spans="10:16">
      <c r="J443" s="102"/>
      <c r="K443" s="102"/>
      <c r="L443" s="102"/>
      <c r="M443" s="102"/>
      <c r="N443" s="102"/>
      <c r="O443" s="102"/>
      <c r="P443" s="102"/>
    </row>
    <row r="444" spans="10:16">
      <c r="J444" s="102"/>
      <c r="K444" s="102"/>
      <c r="L444" s="102"/>
      <c r="M444" s="102"/>
      <c r="N444" s="102"/>
      <c r="O444" s="102"/>
      <c r="P444" s="102"/>
    </row>
    <row r="445" spans="10:16">
      <c r="J445" s="102"/>
      <c r="K445" s="102"/>
      <c r="L445" s="102"/>
      <c r="M445" s="102"/>
      <c r="N445" s="102"/>
      <c r="O445" s="102"/>
      <c r="P445" s="102"/>
    </row>
    <row r="446" spans="10:16">
      <c r="J446" s="102"/>
      <c r="K446" s="102"/>
      <c r="L446" s="102"/>
      <c r="M446" s="102"/>
      <c r="N446" s="102"/>
      <c r="O446" s="102"/>
      <c r="P446" s="102"/>
    </row>
    <row r="447" spans="10:16">
      <c r="J447" s="102"/>
      <c r="K447" s="102"/>
      <c r="L447" s="102"/>
      <c r="M447" s="102"/>
      <c r="N447" s="102"/>
      <c r="O447" s="102"/>
      <c r="P447" s="102"/>
    </row>
    <row r="448" spans="10:16">
      <c r="J448" s="102"/>
      <c r="K448" s="102"/>
      <c r="L448" s="102"/>
      <c r="M448" s="102"/>
      <c r="N448" s="102"/>
      <c r="O448" s="102"/>
      <c r="P448" s="102"/>
    </row>
    <row r="449" spans="10:16">
      <c r="J449" s="102"/>
      <c r="K449" s="102"/>
      <c r="L449" s="102"/>
      <c r="M449" s="102"/>
      <c r="N449" s="102"/>
      <c r="O449" s="102"/>
      <c r="P449" s="102"/>
    </row>
    <row r="450" spans="10:16">
      <c r="J450" s="102"/>
      <c r="K450" s="102"/>
      <c r="L450" s="102"/>
      <c r="M450" s="102"/>
      <c r="N450" s="102"/>
      <c r="O450" s="102"/>
      <c r="P450" s="102"/>
    </row>
    <row r="451" spans="10:16">
      <c r="J451" s="102"/>
      <c r="K451" s="102"/>
      <c r="L451" s="102"/>
      <c r="M451" s="102"/>
      <c r="N451" s="102"/>
      <c r="O451" s="102"/>
      <c r="P451" s="102"/>
    </row>
    <row r="452" spans="10:16">
      <c r="J452" s="102"/>
      <c r="K452" s="102"/>
      <c r="L452" s="102"/>
      <c r="M452" s="102"/>
      <c r="N452" s="102"/>
      <c r="O452" s="102"/>
      <c r="P452" s="102"/>
    </row>
    <row r="453" spans="10:16">
      <c r="J453" s="102"/>
      <c r="K453" s="102"/>
      <c r="L453" s="102"/>
      <c r="M453" s="102"/>
      <c r="N453" s="102"/>
      <c r="O453" s="102"/>
      <c r="P453" s="102"/>
    </row>
    <row r="454" spans="10:16">
      <c r="J454" s="102"/>
      <c r="K454" s="102"/>
      <c r="L454" s="102"/>
      <c r="M454" s="102"/>
      <c r="N454" s="102"/>
      <c r="O454" s="102"/>
      <c r="P454" s="102"/>
    </row>
    <row r="455" spans="10:16">
      <c r="J455" s="102"/>
      <c r="K455" s="102"/>
      <c r="L455" s="102"/>
      <c r="M455" s="102"/>
      <c r="N455" s="102"/>
      <c r="O455" s="102"/>
      <c r="P455" s="102"/>
    </row>
    <row r="456" spans="10:16">
      <c r="J456" s="102"/>
      <c r="K456" s="102"/>
      <c r="L456" s="102"/>
      <c r="M456" s="102"/>
      <c r="N456" s="102"/>
      <c r="O456" s="102"/>
      <c r="P456" s="102"/>
    </row>
    <row r="457" spans="10:16">
      <c r="J457" s="102"/>
      <c r="K457" s="102"/>
      <c r="L457" s="102"/>
      <c r="M457" s="102"/>
      <c r="N457" s="102"/>
      <c r="O457" s="102"/>
      <c r="P457" s="102"/>
    </row>
    <row r="458" spans="10:16">
      <c r="J458" s="102"/>
      <c r="K458" s="102"/>
      <c r="L458" s="102"/>
      <c r="M458" s="102"/>
      <c r="N458" s="102"/>
      <c r="O458" s="102"/>
      <c r="P458" s="102"/>
    </row>
    <row r="459" spans="10:16">
      <c r="J459" s="102"/>
      <c r="K459" s="102"/>
      <c r="L459" s="102"/>
      <c r="M459" s="102"/>
      <c r="N459" s="102"/>
      <c r="O459" s="102"/>
      <c r="P459" s="102"/>
    </row>
    <row r="460" spans="10:16">
      <c r="J460" s="102"/>
      <c r="K460" s="102"/>
      <c r="L460" s="102"/>
      <c r="M460" s="102"/>
      <c r="N460" s="102"/>
      <c r="O460" s="102"/>
      <c r="P460" s="102"/>
    </row>
    <row r="461" spans="10:16">
      <c r="J461" s="102"/>
      <c r="K461" s="102"/>
      <c r="L461" s="102"/>
      <c r="M461" s="102"/>
      <c r="N461" s="102"/>
      <c r="O461" s="102"/>
      <c r="P461" s="102"/>
    </row>
    <row r="462" spans="10:16">
      <c r="J462" s="102"/>
      <c r="K462" s="102"/>
      <c r="L462" s="102"/>
      <c r="M462" s="102"/>
      <c r="N462" s="102"/>
      <c r="O462" s="102"/>
      <c r="P462" s="102"/>
    </row>
    <row r="463" spans="10:16">
      <c r="J463" s="102"/>
      <c r="K463" s="102"/>
      <c r="L463" s="102"/>
      <c r="M463" s="102"/>
      <c r="N463" s="102"/>
      <c r="O463" s="102"/>
      <c r="P463" s="102"/>
    </row>
    <row r="464" spans="10:16">
      <c r="J464" s="102"/>
      <c r="K464" s="102"/>
      <c r="L464" s="102"/>
      <c r="M464" s="102"/>
      <c r="N464" s="102"/>
      <c r="O464" s="102"/>
      <c r="P464" s="102"/>
    </row>
  </sheetData>
  <mergeCells count="95">
    <mergeCell ref="F2:H2"/>
    <mergeCell ref="I2:I6"/>
    <mergeCell ref="J2:M2"/>
    <mergeCell ref="B4:B6"/>
    <mergeCell ref="B14:B21"/>
    <mergeCell ref="C14:C21"/>
    <mergeCell ref="B26:B30"/>
    <mergeCell ref="C26:C30"/>
    <mergeCell ref="B35:B37"/>
    <mergeCell ref="C35:C37"/>
    <mergeCell ref="B42:B47"/>
    <mergeCell ref="C42:C44"/>
    <mergeCell ref="C45:C47"/>
    <mergeCell ref="B52:B55"/>
    <mergeCell ref="C52:C55"/>
    <mergeCell ref="D59:F59"/>
    <mergeCell ref="B60:B63"/>
    <mergeCell ref="C60:C61"/>
    <mergeCell ref="D60:F60"/>
    <mergeCell ref="D61:F61"/>
    <mergeCell ref="C62:C63"/>
    <mergeCell ref="D62:F62"/>
    <mergeCell ref="D63:F63"/>
    <mergeCell ref="B68:B87"/>
    <mergeCell ref="C68:C74"/>
    <mergeCell ref="C75:C81"/>
    <mergeCell ref="C82:C87"/>
    <mergeCell ref="B92:B96"/>
    <mergeCell ref="C92:C96"/>
    <mergeCell ref="B137:B138"/>
    <mergeCell ref="C137:C138"/>
    <mergeCell ref="D137:F137"/>
    <mergeCell ref="D138:F138"/>
    <mergeCell ref="B101:B103"/>
    <mergeCell ref="C101:C103"/>
    <mergeCell ref="B108:B111"/>
    <mergeCell ref="C108:C111"/>
    <mergeCell ref="B116:B118"/>
    <mergeCell ref="C116:C118"/>
    <mergeCell ref="B123:B125"/>
    <mergeCell ref="C123:C125"/>
    <mergeCell ref="B130:B132"/>
    <mergeCell ref="C130:C132"/>
    <mergeCell ref="D136:F136"/>
    <mergeCell ref="B143:B145"/>
    <mergeCell ref="C143:C145"/>
    <mergeCell ref="B150:B152"/>
    <mergeCell ref="C150:C152"/>
    <mergeCell ref="B157:B162"/>
    <mergeCell ref="C157:C162"/>
    <mergeCell ref="B167:B169"/>
    <mergeCell ref="C167:C169"/>
    <mergeCell ref="B174:B176"/>
    <mergeCell ref="C174:C176"/>
    <mergeCell ref="B181:B183"/>
    <mergeCell ref="C181:C183"/>
    <mergeCell ref="F209:F210"/>
    <mergeCell ref="B188:B190"/>
    <mergeCell ref="C188:C190"/>
    <mergeCell ref="D194:F194"/>
    <mergeCell ref="B195:B196"/>
    <mergeCell ref="C195:C196"/>
    <mergeCell ref="D195:F195"/>
    <mergeCell ref="D196:F196"/>
    <mergeCell ref="B197:B198"/>
    <mergeCell ref="C197:C198"/>
    <mergeCell ref="D197:F197"/>
    <mergeCell ref="D198:F198"/>
    <mergeCell ref="F203:F204"/>
    <mergeCell ref="O369:V369"/>
    <mergeCell ref="F211:F212"/>
    <mergeCell ref="F213:F214"/>
    <mergeCell ref="B291:B292"/>
    <mergeCell ref="B294:B295"/>
    <mergeCell ref="I294:I295"/>
    <mergeCell ref="B296:B297"/>
    <mergeCell ref="I296:I297"/>
    <mergeCell ref="B298:B299"/>
    <mergeCell ref="I298:I299"/>
    <mergeCell ref="B300:B301"/>
    <mergeCell ref="B302:B303"/>
    <mergeCell ref="O368:V368"/>
    <mergeCell ref="P370:Q370"/>
    <mergeCell ref="O371:O372"/>
    <mergeCell ref="P371:T372"/>
    <mergeCell ref="B378:I378"/>
    <mergeCell ref="P389:Q389"/>
    <mergeCell ref="R389:T389"/>
    <mergeCell ref="O393:V393"/>
    <mergeCell ref="P390:Q390"/>
    <mergeCell ref="R390:T390"/>
    <mergeCell ref="P391:Q391"/>
    <mergeCell ref="R391:T391"/>
    <mergeCell ref="P392:Q392"/>
    <mergeCell ref="R392:T392"/>
  </mergeCells>
  <phoneticPr fontId="5" type="noConversion"/>
  <pageMargins left="0.19685039370078741" right="0.19685039370078741" top="0.74803149606299213" bottom="0.74803149606299213" header="0.31496062992125984" footer="0.31496062992125984"/>
  <pageSetup paperSize="9" scale="78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C3F1B-5AE5-4438-BFE7-19E977A55E16}">
  <sheetPr>
    <tabColor rgb="FF7030A0"/>
    <pageSetUpPr fitToPage="1"/>
  </sheetPr>
  <dimension ref="A1:V464"/>
  <sheetViews>
    <sheetView showZeros="0" topLeftCell="A330" zoomScaleNormal="100" workbookViewId="0">
      <selection activeCell="G306" sqref="G306"/>
    </sheetView>
  </sheetViews>
  <sheetFormatPr defaultColWidth="25.25" defaultRowHeight="13.5"/>
  <cols>
    <col min="1" max="1" width="0.5" style="1" customWidth="1"/>
    <col min="2" max="2" width="25.25" style="102" customWidth="1"/>
    <col min="3" max="3" width="14.75" style="102" customWidth="1"/>
    <col min="4" max="4" width="11.5" style="102" customWidth="1"/>
    <col min="5" max="5" width="11.25" style="102" customWidth="1"/>
    <col min="6" max="6" width="12.25" style="102" customWidth="1"/>
    <col min="7" max="7" width="10" style="102" customWidth="1"/>
    <col min="8" max="8" width="9.875" style="102" customWidth="1"/>
    <col min="9" max="9" width="26.875" style="102" customWidth="1"/>
    <col min="10" max="10" width="11.125" style="43" customWidth="1"/>
    <col min="11" max="11" width="7.875" style="43" customWidth="1"/>
    <col min="12" max="12" width="7.25" style="43" customWidth="1"/>
    <col min="13" max="13" width="9.125" style="43" customWidth="1"/>
    <col min="14" max="14" width="15.125" style="255" customWidth="1"/>
    <col min="15" max="15" width="13.125" style="255" customWidth="1"/>
    <col min="16" max="16" width="24.375" style="255" customWidth="1"/>
    <col min="17" max="17" width="13.75" style="255" customWidth="1"/>
    <col min="18" max="18" width="11.25" style="255" customWidth="1"/>
    <col min="19" max="19" width="10.75" style="255" customWidth="1"/>
    <col min="20" max="20" width="10" style="255" customWidth="1"/>
    <col min="21" max="21" width="9.875" style="255" customWidth="1"/>
    <col min="22" max="22" width="26.125" style="255" customWidth="1"/>
    <col min="23" max="23" width="11.125" style="255" customWidth="1"/>
    <col min="24" max="24" width="7.875" style="255" customWidth="1"/>
    <col min="25" max="25" width="7.25" style="255" customWidth="1"/>
    <col min="26" max="26" width="9.125" style="255" customWidth="1"/>
    <col min="27" max="27" width="15.125" style="255" customWidth="1"/>
    <col min="28" max="28" width="7.75" style="255" customWidth="1"/>
    <col min="29" max="29" width="7.125" style="255" customWidth="1"/>
    <col min="30" max="30" width="12.125" style="255" customWidth="1"/>
    <col min="31" max="31" width="8.25" style="255" customWidth="1"/>
    <col min="32" max="33" width="10.375" style="255" customWidth="1"/>
    <col min="34" max="34" width="15.625" style="255" customWidth="1"/>
    <col min="35" max="35" width="15.875" style="255" customWidth="1"/>
    <col min="36" max="36" width="8.125" style="255" customWidth="1"/>
    <col min="37" max="40" width="10.375" style="255" customWidth="1"/>
    <col min="41" max="41" width="7.25" style="255" customWidth="1"/>
    <col min="42" max="42" width="7.125" style="255" customWidth="1"/>
    <col min="43" max="43" width="9.5" style="255" customWidth="1"/>
    <col min="44" max="45" width="9" style="255" customWidth="1"/>
    <col min="46" max="46" width="16.125" style="255" customWidth="1"/>
    <col min="47" max="77" width="9" style="255" customWidth="1"/>
    <col min="78" max="237" width="25.25" style="255"/>
    <col min="238" max="267" width="9" style="255" customWidth="1"/>
    <col min="268" max="268" width="0.5" style="255" customWidth="1"/>
    <col min="269" max="269" width="25.25" style="255"/>
    <col min="270" max="270" width="0.5" style="255" customWidth="1"/>
    <col min="271" max="271" width="25.25" style="255"/>
    <col min="272" max="272" width="14.75" style="255" customWidth="1"/>
    <col min="273" max="273" width="11.5" style="255" customWidth="1"/>
    <col min="274" max="274" width="11.25" style="255" customWidth="1"/>
    <col min="275" max="275" width="10.75" style="255" customWidth="1"/>
    <col min="276" max="276" width="10" style="255" customWidth="1"/>
    <col min="277" max="277" width="9.875" style="255" customWidth="1"/>
    <col min="278" max="278" width="26.125" style="255" customWidth="1"/>
    <col min="279" max="279" width="11.125" style="255" customWidth="1"/>
    <col min="280" max="280" width="7.875" style="255" customWidth="1"/>
    <col min="281" max="281" width="7.25" style="255" customWidth="1"/>
    <col min="282" max="282" width="9.125" style="255" customWidth="1"/>
    <col min="283" max="283" width="15.125" style="255" customWidth="1"/>
    <col min="284" max="284" width="7.75" style="255" customWidth="1"/>
    <col min="285" max="285" width="7.125" style="255" customWidth="1"/>
    <col min="286" max="286" width="12.125" style="255" customWidth="1"/>
    <col min="287" max="287" width="8.25" style="255" customWidth="1"/>
    <col min="288" max="289" width="10.375" style="255" customWidth="1"/>
    <col min="290" max="290" width="15.625" style="255" customWidth="1"/>
    <col min="291" max="291" width="15.875" style="255" customWidth="1"/>
    <col min="292" max="292" width="8.125" style="255" customWidth="1"/>
    <col min="293" max="296" width="10.375" style="255" customWidth="1"/>
    <col min="297" max="297" width="7.25" style="255" customWidth="1"/>
    <col min="298" max="298" width="7.125" style="255" customWidth="1"/>
    <col min="299" max="299" width="9.5" style="255" customWidth="1"/>
    <col min="300" max="301" width="9" style="255" customWidth="1"/>
    <col min="302" max="302" width="16.125" style="255" customWidth="1"/>
    <col min="303" max="333" width="9" style="255" customWidth="1"/>
    <col min="334" max="493" width="25.25" style="255"/>
    <col min="494" max="523" width="9" style="255" customWidth="1"/>
    <col min="524" max="524" width="0.5" style="255" customWidth="1"/>
    <col min="525" max="525" width="25.25" style="255"/>
    <col min="526" max="526" width="0.5" style="255" customWidth="1"/>
    <col min="527" max="527" width="25.25" style="255"/>
    <col min="528" max="528" width="14.75" style="255" customWidth="1"/>
    <col min="529" max="529" width="11.5" style="255" customWidth="1"/>
    <col min="530" max="530" width="11.25" style="255" customWidth="1"/>
    <col min="531" max="531" width="10.75" style="255" customWidth="1"/>
    <col min="532" max="532" width="10" style="255" customWidth="1"/>
    <col min="533" max="533" width="9.875" style="255" customWidth="1"/>
    <col min="534" max="534" width="26.125" style="255" customWidth="1"/>
    <col min="535" max="535" width="11.125" style="255" customWidth="1"/>
    <col min="536" max="536" width="7.875" style="255" customWidth="1"/>
    <col min="537" max="537" width="7.25" style="255" customWidth="1"/>
    <col min="538" max="538" width="9.125" style="255" customWidth="1"/>
    <col min="539" max="539" width="15.125" style="255" customWidth="1"/>
    <col min="540" max="540" width="7.75" style="255" customWidth="1"/>
    <col min="541" max="541" width="7.125" style="255" customWidth="1"/>
    <col min="542" max="542" width="12.125" style="255" customWidth="1"/>
    <col min="543" max="543" width="8.25" style="255" customWidth="1"/>
    <col min="544" max="545" width="10.375" style="255" customWidth="1"/>
    <col min="546" max="546" width="15.625" style="255" customWidth="1"/>
    <col min="547" max="547" width="15.875" style="255" customWidth="1"/>
    <col min="548" max="548" width="8.125" style="255" customWidth="1"/>
    <col min="549" max="552" width="10.375" style="255" customWidth="1"/>
    <col min="553" max="553" width="7.25" style="255" customWidth="1"/>
    <col min="554" max="554" width="7.125" style="255" customWidth="1"/>
    <col min="555" max="555" width="9.5" style="255" customWidth="1"/>
    <col min="556" max="557" width="9" style="255" customWidth="1"/>
    <col min="558" max="558" width="16.125" style="255" customWidth="1"/>
    <col min="559" max="589" width="9" style="255" customWidth="1"/>
    <col min="590" max="749" width="25.25" style="255"/>
    <col min="750" max="779" width="9" style="255" customWidth="1"/>
    <col min="780" max="780" width="0.5" style="255" customWidth="1"/>
    <col min="781" max="781" width="25.25" style="255"/>
    <col min="782" max="782" width="0.5" style="255" customWidth="1"/>
    <col min="783" max="783" width="25.25" style="255"/>
    <col min="784" max="784" width="14.75" style="255" customWidth="1"/>
    <col min="785" max="785" width="11.5" style="255" customWidth="1"/>
    <col min="786" max="786" width="11.25" style="255" customWidth="1"/>
    <col min="787" max="787" width="10.75" style="255" customWidth="1"/>
    <col min="788" max="788" width="10" style="255" customWidth="1"/>
    <col min="789" max="789" width="9.875" style="255" customWidth="1"/>
    <col min="790" max="790" width="26.125" style="255" customWidth="1"/>
    <col min="791" max="791" width="11.125" style="255" customWidth="1"/>
    <col min="792" max="792" width="7.875" style="255" customWidth="1"/>
    <col min="793" max="793" width="7.25" style="255" customWidth="1"/>
    <col min="794" max="794" width="9.125" style="255" customWidth="1"/>
    <col min="795" max="795" width="15.125" style="255" customWidth="1"/>
    <col min="796" max="796" width="7.75" style="255" customWidth="1"/>
    <col min="797" max="797" width="7.125" style="255" customWidth="1"/>
    <col min="798" max="798" width="12.125" style="255" customWidth="1"/>
    <col min="799" max="799" width="8.25" style="255" customWidth="1"/>
    <col min="800" max="801" width="10.375" style="255" customWidth="1"/>
    <col min="802" max="802" width="15.625" style="255" customWidth="1"/>
    <col min="803" max="803" width="15.875" style="255" customWidth="1"/>
    <col min="804" max="804" width="8.125" style="255" customWidth="1"/>
    <col min="805" max="808" width="10.375" style="255" customWidth="1"/>
    <col min="809" max="809" width="7.25" style="255" customWidth="1"/>
    <col min="810" max="810" width="7.125" style="255" customWidth="1"/>
    <col min="811" max="811" width="9.5" style="255" customWidth="1"/>
    <col min="812" max="813" width="9" style="255" customWidth="1"/>
    <col min="814" max="814" width="16.125" style="255" customWidth="1"/>
    <col min="815" max="845" width="9" style="255" customWidth="1"/>
    <col min="846" max="1005" width="25.25" style="255"/>
    <col min="1006" max="1035" width="9" style="255" customWidth="1"/>
    <col min="1036" max="1036" width="0.5" style="255" customWidth="1"/>
    <col min="1037" max="1037" width="25.25" style="255"/>
    <col min="1038" max="1038" width="0.5" style="255" customWidth="1"/>
    <col min="1039" max="1039" width="25.25" style="255"/>
    <col min="1040" max="1040" width="14.75" style="255" customWidth="1"/>
    <col min="1041" max="1041" width="11.5" style="255" customWidth="1"/>
    <col min="1042" max="1042" width="11.25" style="255" customWidth="1"/>
    <col min="1043" max="1043" width="10.75" style="255" customWidth="1"/>
    <col min="1044" max="1044" width="10" style="255" customWidth="1"/>
    <col min="1045" max="1045" width="9.875" style="255" customWidth="1"/>
    <col min="1046" max="1046" width="26.125" style="255" customWidth="1"/>
    <col min="1047" max="1047" width="11.125" style="255" customWidth="1"/>
    <col min="1048" max="1048" width="7.875" style="255" customWidth="1"/>
    <col min="1049" max="1049" width="7.25" style="255" customWidth="1"/>
    <col min="1050" max="1050" width="9.125" style="255" customWidth="1"/>
    <col min="1051" max="1051" width="15.125" style="255" customWidth="1"/>
    <col min="1052" max="1052" width="7.75" style="255" customWidth="1"/>
    <col min="1053" max="1053" width="7.125" style="255" customWidth="1"/>
    <col min="1054" max="1054" width="12.125" style="255" customWidth="1"/>
    <col min="1055" max="1055" width="8.25" style="255" customWidth="1"/>
    <col min="1056" max="1057" width="10.375" style="255" customWidth="1"/>
    <col min="1058" max="1058" width="15.625" style="255" customWidth="1"/>
    <col min="1059" max="1059" width="15.875" style="255" customWidth="1"/>
    <col min="1060" max="1060" width="8.125" style="255" customWidth="1"/>
    <col min="1061" max="1064" width="10.375" style="255" customWidth="1"/>
    <col min="1065" max="1065" width="7.25" style="255" customWidth="1"/>
    <col min="1066" max="1066" width="7.125" style="255" customWidth="1"/>
    <col min="1067" max="1067" width="9.5" style="255" customWidth="1"/>
    <col min="1068" max="1069" width="9" style="255" customWidth="1"/>
    <col min="1070" max="1070" width="16.125" style="255" customWidth="1"/>
    <col min="1071" max="1101" width="9" style="255" customWidth="1"/>
    <col min="1102" max="1261" width="25.25" style="255"/>
    <col min="1262" max="1291" width="9" style="255" customWidth="1"/>
    <col min="1292" max="1292" width="0.5" style="255" customWidth="1"/>
    <col min="1293" max="1293" width="25.25" style="255"/>
    <col min="1294" max="1294" width="0.5" style="255" customWidth="1"/>
    <col min="1295" max="1295" width="25.25" style="255"/>
    <col min="1296" max="1296" width="14.75" style="255" customWidth="1"/>
    <col min="1297" max="1297" width="11.5" style="255" customWidth="1"/>
    <col min="1298" max="1298" width="11.25" style="255" customWidth="1"/>
    <col min="1299" max="1299" width="10.75" style="255" customWidth="1"/>
    <col min="1300" max="1300" width="10" style="255" customWidth="1"/>
    <col min="1301" max="1301" width="9.875" style="255" customWidth="1"/>
    <col min="1302" max="1302" width="26.125" style="255" customWidth="1"/>
    <col min="1303" max="1303" width="11.125" style="255" customWidth="1"/>
    <col min="1304" max="1304" width="7.875" style="255" customWidth="1"/>
    <col min="1305" max="1305" width="7.25" style="255" customWidth="1"/>
    <col min="1306" max="1306" width="9.125" style="255" customWidth="1"/>
    <col min="1307" max="1307" width="15.125" style="255" customWidth="1"/>
    <col min="1308" max="1308" width="7.75" style="255" customWidth="1"/>
    <col min="1309" max="1309" width="7.125" style="255" customWidth="1"/>
    <col min="1310" max="1310" width="12.125" style="255" customWidth="1"/>
    <col min="1311" max="1311" width="8.25" style="255" customWidth="1"/>
    <col min="1312" max="1313" width="10.375" style="255" customWidth="1"/>
    <col min="1314" max="1314" width="15.625" style="255" customWidth="1"/>
    <col min="1315" max="1315" width="15.875" style="255" customWidth="1"/>
    <col min="1316" max="1316" width="8.125" style="255" customWidth="1"/>
    <col min="1317" max="1320" width="10.375" style="255" customWidth="1"/>
    <col min="1321" max="1321" width="7.25" style="255" customWidth="1"/>
    <col min="1322" max="1322" width="7.125" style="255" customWidth="1"/>
    <col min="1323" max="1323" width="9.5" style="255" customWidth="1"/>
    <col min="1324" max="1325" width="9" style="255" customWidth="1"/>
    <col min="1326" max="1326" width="16.125" style="255" customWidth="1"/>
    <col min="1327" max="1357" width="9" style="255" customWidth="1"/>
    <col min="1358" max="1517" width="25.25" style="255"/>
    <col min="1518" max="1547" width="9" style="255" customWidth="1"/>
    <col min="1548" max="1548" width="0.5" style="255" customWidth="1"/>
    <col min="1549" max="1549" width="25.25" style="255"/>
    <col min="1550" max="1550" width="0.5" style="255" customWidth="1"/>
    <col min="1551" max="1551" width="25.25" style="255"/>
    <col min="1552" max="1552" width="14.75" style="255" customWidth="1"/>
    <col min="1553" max="1553" width="11.5" style="255" customWidth="1"/>
    <col min="1554" max="1554" width="11.25" style="255" customWidth="1"/>
    <col min="1555" max="1555" width="10.75" style="255" customWidth="1"/>
    <col min="1556" max="1556" width="10" style="255" customWidth="1"/>
    <col min="1557" max="1557" width="9.875" style="255" customWidth="1"/>
    <col min="1558" max="1558" width="26.125" style="255" customWidth="1"/>
    <col min="1559" max="1559" width="11.125" style="255" customWidth="1"/>
    <col min="1560" max="1560" width="7.875" style="255" customWidth="1"/>
    <col min="1561" max="1561" width="7.25" style="255" customWidth="1"/>
    <col min="1562" max="1562" width="9.125" style="255" customWidth="1"/>
    <col min="1563" max="1563" width="15.125" style="255" customWidth="1"/>
    <col min="1564" max="1564" width="7.75" style="255" customWidth="1"/>
    <col min="1565" max="1565" width="7.125" style="255" customWidth="1"/>
    <col min="1566" max="1566" width="12.125" style="255" customWidth="1"/>
    <col min="1567" max="1567" width="8.25" style="255" customWidth="1"/>
    <col min="1568" max="1569" width="10.375" style="255" customWidth="1"/>
    <col min="1570" max="1570" width="15.625" style="255" customWidth="1"/>
    <col min="1571" max="1571" width="15.875" style="255" customWidth="1"/>
    <col min="1572" max="1572" width="8.125" style="255" customWidth="1"/>
    <col min="1573" max="1576" width="10.375" style="255" customWidth="1"/>
    <col min="1577" max="1577" width="7.25" style="255" customWidth="1"/>
    <col min="1578" max="1578" width="7.125" style="255" customWidth="1"/>
    <col min="1579" max="1579" width="9.5" style="255" customWidth="1"/>
    <col min="1580" max="1581" width="9" style="255" customWidth="1"/>
    <col min="1582" max="1582" width="16.125" style="255" customWidth="1"/>
    <col min="1583" max="1613" width="9" style="255" customWidth="1"/>
    <col min="1614" max="1773" width="25.25" style="255"/>
    <col min="1774" max="1803" width="9" style="255" customWidth="1"/>
    <col min="1804" max="1804" width="0.5" style="255" customWidth="1"/>
    <col min="1805" max="1805" width="25.25" style="255"/>
    <col min="1806" max="1806" width="0.5" style="255" customWidth="1"/>
    <col min="1807" max="1807" width="25.25" style="255"/>
    <col min="1808" max="1808" width="14.75" style="255" customWidth="1"/>
    <col min="1809" max="1809" width="11.5" style="255" customWidth="1"/>
    <col min="1810" max="1810" width="11.25" style="255" customWidth="1"/>
    <col min="1811" max="1811" width="10.75" style="255" customWidth="1"/>
    <col min="1812" max="1812" width="10" style="255" customWidth="1"/>
    <col min="1813" max="1813" width="9.875" style="255" customWidth="1"/>
    <col min="1814" max="1814" width="26.125" style="255" customWidth="1"/>
    <col min="1815" max="1815" width="11.125" style="255" customWidth="1"/>
    <col min="1816" max="1816" width="7.875" style="255" customWidth="1"/>
    <col min="1817" max="1817" width="7.25" style="255" customWidth="1"/>
    <col min="1818" max="1818" width="9.125" style="255" customWidth="1"/>
    <col min="1819" max="1819" width="15.125" style="255" customWidth="1"/>
    <col min="1820" max="1820" width="7.75" style="255" customWidth="1"/>
    <col min="1821" max="1821" width="7.125" style="255" customWidth="1"/>
    <col min="1822" max="1822" width="12.125" style="255" customWidth="1"/>
    <col min="1823" max="1823" width="8.25" style="255" customWidth="1"/>
    <col min="1824" max="1825" width="10.375" style="255" customWidth="1"/>
    <col min="1826" max="1826" width="15.625" style="255" customWidth="1"/>
    <col min="1827" max="1827" width="15.875" style="255" customWidth="1"/>
    <col min="1828" max="1828" width="8.125" style="255" customWidth="1"/>
    <col min="1829" max="1832" width="10.375" style="255" customWidth="1"/>
    <col min="1833" max="1833" width="7.25" style="255" customWidth="1"/>
    <col min="1834" max="1834" width="7.125" style="255" customWidth="1"/>
    <col min="1835" max="1835" width="9.5" style="255" customWidth="1"/>
    <col min="1836" max="1837" width="9" style="255" customWidth="1"/>
    <col min="1838" max="1838" width="16.125" style="255" customWidth="1"/>
    <col min="1839" max="1869" width="9" style="255" customWidth="1"/>
    <col min="1870" max="2029" width="25.25" style="255"/>
    <col min="2030" max="2059" width="9" style="255" customWidth="1"/>
    <col min="2060" max="2060" width="0.5" style="255" customWidth="1"/>
    <col min="2061" max="2061" width="25.25" style="255"/>
    <col min="2062" max="2062" width="0.5" style="255" customWidth="1"/>
    <col min="2063" max="2063" width="25.25" style="255"/>
    <col min="2064" max="2064" width="14.75" style="255" customWidth="1"/>
    <col min="2065" max="2065" width="11.5" style="255" customWidth="1"/>
    <col min="2066" max="2066" width="11.25" style="255" customWidth="1"/>
    <col min="2067" max="2067" width="10.75" style="255" customWidth="1"/>
    <col min="2068" max="2068" width="10" style="255" customWidth="1"/>
    <col min="2069" max="2069" width="9.875" style="255" customWidth="1"/>
    <col min="2070" max="2070" width="26.125" style="255" customWidth="1"/>
    <col min="2071" max="2071" width="11.125" style="255" customWidth="1"/>
    <col min="2072" max="2072" width="7.875" style="255" customWidth="1"/>
    <col min="2073" max="2073" width="7.25" style="255" customWidth="1"/>
    <col min="2074" max="2074" width="9.125" style="255" customWidth="1"/>
    <col min="2075" max="2075" width="15.125" style="255" customWidth="1"/>
    <col min="2076" max="2076" width="7.75" style="255" customWidth="1"/>
    <col min="2077" max="2077" width="7.125" style="255" customWidth="1"/>
    <col min="2078" max="2078" width="12.125" style="255" customWidth="1"/>
    <col min="2079" max="2079" width="8.25" style="255" customWidth="1"/>
    <col min="2080" max="2081" width="10.375" style="255" customWidth="1"/>
    <col min="2082" max="2082" width="15.625" style="255" customWidth="1"/>
    <col min="2083" max="2083" width="15.875" style="255" customWidth="1"/>
    <col min="2084" max="2084" width="8.125" style="255" customWidth="1"/>
    <col min="2085" max="2088" width="10.375" style="255" customWidth="1"/>
    <col min="2089" max="2089" width="7.25" style="255" customWidth="1"/>
    <col min="2090" max="2090" width="7.125" style="255" customWidth="1"/>
    <col min="2091" max="2091" width="9.5" style="255" customWidth="1"/>
    <col min="2092" max="2093" width="9" style="255" customWidth="1"/>
    <col min="2094" max="2094" width="16.125" style="255" customWidth="1"/>
    <col min="2095" max="2125" width="9" style="255" customWidth="1"/>
    <col min="2126" max="2285" width="25.25" style="255"/>
    <col min="2286" max="2315" width="9" style="255" customWidth="1"/>
    <col min="2316" max="2316" width="0.5" style="255" customWidth="1"/>
    <col min="2317" max="2317" width="25.25" style="255"/>
    <col min="2318" max="2318" width="0.5" style="255" customWidth="1"/>
    <col min="2319" max="2319" width="25.25" style="255"/>
    <col min="2320" max="2320" width="14.75" style="255" customWidth="1"/>
    <col min="2321" max="2321" width="11.5" style="255" customWidth="1"/>
    <col min="2322" max="2322" width="11.25" style="255" customWidth="1"/>
    <col min="2323" max="2323" width="10.75" style="255" customWidth="1"/>
    <col min="2324" max="2324" width="10" style="255" customWidth="1"/>
    <col min="2325" max="2325" width="9.875" style="255" customWidth="1"/>
    <col min="2326" max="2326" width="26.125" style="255" customWidth="1"/>
    <col min="2327" max="2327" width="11.125" style="255" customWidth="1"/>
    <col min="2328" max="2328" width="7.875" style="255" customWidth="1"/>
    <col min="2329" max="2329" width="7.25" style="255" customWidth="1"/>
    <col min="2330" max="2330" width="9.125" style="255" customWidth="1"/>
    <col min="2331" max="2331" width="15.125" style="255" customWidth="1"/>
    <col min="2332" max="2332" width="7.75" style="255" customWidth="1"/>
    <col min="2333" max="2333" width="7.125" style="255" customWidth="1"/>
    <col min="2334" max="2334" width="12.125" style="255" customWidth="1"/>
    <col min="2335" max="2335" width="8.25" style="255" customWidth="1"/>
    <col min="2336" max="2337" width="10.375" style="255" customWidth="1"/>
    <col min="2338" max="2338" width="15.625" style="255" customWidth="1"/>
    <col min="2339" max="2339" width="15.875" style="255" customWidth="1"/>
    <col min="2340" max="2340" width="8.125" style="255" customWidth="1"/>
    <col min="2341" max="2344" width="10.375" style="255" customWidth="1"/>
    <col min="2345" max="2345" width="7.25" style="255" customWidth="1"/>
    <col min="2346" max="2346" width="7.125" style="255" customWidth="1"/>
    <col min="2347" max="2347" width="9.5" style="255" customWidth="1"/>
    <col min="2348" max="2349" width="9" style="255" customWidth="1"/>
    <col min="2350" max="2350" width="16.125" style="255" customWidth="1"/>
    <col min="2351" max="2381" width="9" style="255" customWidth="1"/>
    <col min="2382" max="2541" width="25.25" style="255"/>
    <col min="2542" max="2571" width="9" style="255" customWidth="1"/>
    <col min="2572" max="2572" width="0.5" style="255" customWidth="1"/>
    <col min="2573" max="2573" width="25.25" style="255"/>
    <col min="2574" max="2574" width="0.5" style="255" customWidth="1"/>
    <col min="2575" max="2575" width="25.25" style="255"/>
    <col min="2576" max="2576" width="14.75" style="255" customWidth="1"/>
    <col min="2577" max="2577" width="11.5" style="255" customWidth="1"/>
    <col min="2578" max="2578" width="11.25" style="255" customWidth="1"/>
    <col min="2579" max="2579" width="10.75" style="255" customWidth="1"/>
    <col min="2580" max="2580" width="10" style="255" customWidth="1"/>
    <col min="2581" max="2581" width="9.875" style="255" customWidth="1"/>
    <col min="2582" max="2582" width="26.125" style="255" customWidth="1"/>
    <col min="2583" max="2583" width="11.125" style="255" customWidth="1"/>
    <col min="2584" max="2584" width="7.875" style="255" customWidth="1"/>
    <col min="2585" max="2585" width="7.25" style="255" customWidth="1"/>
    <col min="2586" max="2586" width="9.125" style="255" customWidth="1"/>
    <col min="2587" max="2587" width="15.125" style="255" customWidth="1"/>
    <col min="2588" max="2588" width="7.75" style="255" customWidth="1"/>
    <col min="2589" max="2589" width="7.125" style="255" customWidth="1"/>
    <col min="2590" max="2590" width="12.125" style="255" customWidth="1"/>
    <col min="2591" max="2591" width="8.25" style="255" customWidth="1"/>
    <col min="2592" max="2593" width="10.375" style="255" customWidth="1"/>
    <col min="2594" max="2594" width="15.625" style="255" customWidth="1"/>
    <col min="2595" max="2595" width="15.875" style="255" customWidth="1"/>
    <col min="2596" max="2596" width="8.125" style="255" customWidth="1"/>
    <col min="2597" max="2600" width="10.375" style="255" customWidth="1"/>
    <col min="2601" max="2601" width="7.25" style="255" customWidth="1"/>
    <col min="2602" max="2602" width="7.125" style="255" customWidth="1"/>
    <col min="2603" max="2603" width="9.5" style="255" customWidth="1"/>
    <col min="2604" max="2605" width="9" style="255" customWidth="1"/>
    <col min="2606" max="2606" width="16.125" style="255" customWidth="1"/>
    <col min="2607" max="2637" width="9" style="255" customWidth="1"/>
    <col min="2638" max="2797" width="25.25" style="255"/>
    <col min="2798" max="2827" width="9" style="255" customWidth="1"/>
    <col min="2828" max="2828" width="0.5" style="255" customWidth="1"/>
    <col min="2829" max="2829" width="25.25" style="255"/>
    <col min="2830" max="2830" width="0.5" style="255" customWidth="1"/>
    <col min="2831" max="2831" width="25.25" style="255"/>
    <col min="2832" max="2832" width="14.75" style="255" customWidth="1"/>
    <col min="2833" max="2833" width="11.5" style="255" customWidth="1"/>
    <col min="2834" max="2834" width="11.25" style="255" customWidth="1"/>
    <col min="2835" max="2835" width="10.75" style="255" customWidth="1"/>
    <col min="2836" max="2836" width="10" style="255" customWidth="1"/>
    <col min="2837" max="2837" width="9.875" style="255" customWidth="1"/>
    <col min="2838" max="2838" width="26.125" style="255" customWidth="1"/>
    <col min="2839" max="2839" width="11.125" style="255" customWidth="1"/>
    <col min="2840" max="2840" width="7.875" style="255" customWidth="1"/>
    <col min="2841" max="2841" width="7.25" style="255" customWidth="1"/>
    <col min="2842" max="2842" width="9.125" style="255" customWidth="1"/>
    <col min="2843" max="2843" width="15.125" style="255" customWidth="1"/>
    <col min="2844" max="2844" width="7.75" style="255" customWidth="1"/>
    <col min="2845" max="2845" width="7.125" style="255" customWidth="1"/>
    <col min="2846" max="2846" width="12.125" style="255" customWidth="1"/>
    <col min="2847" max="2847" width="8.25" style="255" customWidth="1"/>
    <col min="2848" max="2849" width="10.375" style="255" customWidth="1"/>
    <col min="2850" max="2850" width="15.625" style="255" customWidth="1"/>
    <col min="2851" max="2851" width="15.875" style="255" customWidth="1"/>
    <col min="2852" max="2852" width="8.125" style="255" customWidth="1"/>
    <col min="2853" max="2856" width="10.375" style="255" customWidth="1"/>
    <col min="2857" max="2857" width="7.25" style="255" customWidth="1"/>
    <col min="2858" max="2858" width="7.125" style="255" customWidth="1"/>
    <col min="2859" max="2859" width="9.5" style="255" customWidth="1"/>
    <col min="2860" max="2861" width="9" style="255" customWidth="1"/>
    <col min="2862" max="2862" width="16.125" style="255" customWidth="1"/>
    <col min="2863" max="2893" width="9" style="255" customWidth="1"/>
    <col min="2894" max="3053" width="25.25" style="255"/>
    <col min="3054" max="3083" width="9" style="255" customWidth="1"/>
    <col min="3084" max="3084" width="0.5" style="255" customWidth="1"/>
    <col min="3085" max="3085" width="25.25" style="255"/>
    <col min="3086" max="3086" width="0.5" style="255" customWidth="1"/>
    <col min="3087" max="3087" width="25.25" style="255"/>
    <col min="3088" max="3088" width="14.75" style="255" customWidth="1"/>
    <col min="3089" max="3089" width="11.5" style="255" customWidth="1"/>
    <col min="3090" max="3090" width="11.25" style="255" customWidth="1"/>
    <col min="3091" max="3091" width="10.75" style="255" customWidth="1"/>
    <col min="3092" max="3092" width="10" style="255" customWidth="1"/>
    <col min="3093" max="3093" width="9.875" style="255" customWidth="1"/>
    <col min="3094" max="3094" width="26.125" style="255" customWidth="1"/>
    <col min="3095" max="3095" width="11.125" style="255" customWidth="1"/>
    <col min="3096" max="3096" width="7.875" style="255" customWidth="1"/>
    <col min="3097" max="3097" width="7.25" style="255" customWidth="1"/>
    <col min="3098" max="3098" width="9.125" style="255" customWidth="1"/>
    <col min="3099" max="3099" width="15.125" style="255" customWidth="1"/>
    <col min="3100" max="3100" width="7.75" style="255" customWidth="1"/>
    <col min="3101" max="3101" width="7.125" style="255" customWidth="1"/>
    <col min="3102" max="3102" width="12.125" style="255" customWidth="1"/>
    <col min="3103" max="3103" width="8.25" style="255" customWidth="1"/>
    <col min="3104" max="3105" width="10.375" style="255" customWidth="1"/>
    <col min="3106" max="3106" width="15.625" style="255" customWidth="1"/>
    <col min="3107" max="3107" width="15.875" style="255" customWidth="1"/>
    <col min="3108" max="3108" width="8.125" style="255" customWidth="1"/>
    <col min="3109" max="3112" width="10.375" style="255" customWidth="1"/>
    <col min="3113" max="3113" width="7.25" style="255" customWidth="1"/>
    <col min="3114" max="3114" width="7.125" style="255" customWidth="1"/>
    <col min="3115" max="3115" width="9.5" style="255" customWidth="1"/>
    <col min="3116" max="3117" width="9" style="255" customWidth="1"/>
    <col min="3118" max="3118" width="16.125" style="255" customWidth="1"/>
    <col min="3119" max="3149" width="9" style="255" customWidth="1"/>
    <col min="3150" max="3309" width="25.25" style="255"/>
    <col min="3310" max="3339" width="9" style="255" customWidth="1"/>
    <col min="3340" max="3340" width="0.5" style="255" customWidth="1"/>
    <col min="3341" max="3341" width="25.25" style="255"/>
    <col min="3342" max="3342" width="0.5" style="255" customWidth="1"/>
    <col min="3343" max="3343" width="25.25" style="255"/>
    <col min="3344" max="3344" width="14.75" style="255" customWidth="1"/>
    <col min="3345" max="3345" width="11.5" style="255" customWidth="1"/>
    <col min="3346" max="3346" width="11.25" style="255" customWidth="1"/>
    <col min="3347" max="3347" width="10.75" style="255" customWidth="1"/>
    <col min="3348" max="3348" width="10" style="255" customWidth="1"/>
    <col min="3349" max="3349" width="9.875" style="255" customWidth="1"/>
    <col min="3350" max="3350" width="26.125" style="255" customWidth="1"/>
    <col min="3351" max="3351" width="11.125" style="255" customWidth="1"/>
    <col min="3352" max="3352" width="7.875" style="255" customWidth="1"/>
    <col min="3353" max="3353" width="7.25" style="255" customWidth="1"/>
    <col min="3354" max="3354" width="9.125" style="255" customWidth="1"/>
    <col min="3355" max="3355" width="15.125" style="255" customWidth="1"/>
    <col min="3356" max="3356" width="7.75" style="255" customWidth="1"/>
    <col min="3357" max="3357" width="7.125" style="255" customWidth="1"/>
    <col min="3358" max="3358" width="12.125" style="255" customWidth="1"/>
    <col min="3359" max="3359" width="8.25" style="255" customWidth="1"/>
    <col min="3360" max="3361" width="10.375" style="255" customWidth="1"/>
    <col min="3362" max="3362" width="15.625" style="255" customWidth="1"/>
    <col min="3363" max="3363" width="15.875" style="255" customWidth="1"/>
    <col min="3364" max="3364" width="8.125" style="255" customWidth="1"/>
    <col min="3365" max="3368" width="10.375" style="255" customWidth="1"/>
    <col min="3369" max="3369" width="7.25" style="255" customWidth="1"/>
    <col min="3370" max="3370" width="7.125" style="255" customWidth="1"/>
    <col min="3371" max="3371" width="9.5" style="255" customWidth="1"/>
    <col min="3372" max="3373" width="9" style="255" customWidth="1"/>
    <col min="3374" max="3374" width="16.125" style="255" customWidth="1"/>
    <col min="3375" max="3405" width="9" style="255" customWidth="1"/>
    <col min="3406" max="3565" width="25.25" style="255"/>
    <col min="3566" max="3595" width="9" style="255" customWidth="1"/>
    <col min="3596" max="3596" width="0.5" style="255" customWidth="1"/>
    <col min="3597" max="3597" width="25.25" style="255"/>
    <col min="3598" max="3598" width="0.5" style="255" customWidth="1"/>
    <col min="3599" max="3599" width="25.25" style="255"/>
    <col min="3600" max="3600" width="14.75" style="255" customWidth="1"/>
    <col min="3601" max="3601" width="11.5" style="255" customWidth="1"/>
    <col min="3602" max="3602" width="11.25" style="255" customWidth="1"/>
    <col min="3603" max="3603" width="10.75" style="255" customWidth="1"/>
    <col min="3604" max="3604" width="10" style="255" customWidth="1"/>
    <col min="3605" max="3605" width="9.875" style="255" customWidth="1"/>
    <col min="3606" max="3606" width="26.125" style="255" customWidth="1"/>
    <col min="3607" max="3607" width="11.125" style="255" customWidth="1"/>
    <col min="3608" max="3608" width="7.875" style="255" customWidth="1"/>
    <col min="3609" max="3609" width="7.25" style="255" customWidth="1"/>
    <col min="3610" max="3610" width="9.125" style="255" customWidth="1"/>
    <col min="3611" max="3611" width="15.125" style="255" customWidth="1"/>
    <col min="3612" max="3612" width="7.75" style="255" customWidth="1"/>
    <col min="3613" max="3613" width="7.125" style="255" customWidth="1"/>
    <col min="3614" max="3614" width="12.125" style="255" customWidth="1"/>
    <col min="3615" max="3615" width="8.25" style="255" customWidth="1"/>
    <col min="3616" max="3617" width="10.375" style="255" customWidth="1"/>
    <col min="3618" max="3618" width="15.625" style="255" customWidth="1"/>
    <col min="3619" max="3619" width="15.875" style="255" customWidth="1"/>
    <col min="3620" max="3620" width="8.125" style="255" customWidth="1"/>
    <col min="3621" max="3624" width="10.375" style="255" customWidth="1"/>
    <col min="3625" max="3625" width="7.25" style="255" customWidth="1"/>
    <col min="3626" max="3626" width="7.125" style="255" customWidth="1"/>
    <col min="3627" max="3627" width="9.5" style="255" customWidth="1"/>
    <col min="3628" max="3629" width="9" style="255" customWidth="1"/>
    <col min="3630" max="3630" width="16.125" style="255" customWidth="1"/>
    <col min="3631" max="3661" width="9" style="255" customWidth="1"/>
    <col min="3662" max="3821" width="25.25" style="255"/>
    <col min="3822" max="3851" width="9" style="255" customWidth="1"/>
    <col min="3852" max="3852" width="0.5" style="255" customWidth="1"/>
    <col min="3853" max="3853" width="25.25" style="255"/>
    <col min="3854" max="3854" width="0.5" style="255" customWidth="1"/>
    <col min="3855" max="3855" width="25.25" style="255"/>
    <col min="3856" max="3856" width="14.75" style="255" customWidth="1"/>
    <col min="3857" max="3857" width="11.5" style="255" customWidth="1"/>
    <col min="3858" max="3858" width="11.25" style="255" customWidth="1"/>
    <col min="3859" max="3859" width="10.75" style="255" customWidth="1"/>
    <col min="3860" max="3860" width="10" style="255" customWidth="1"/>
    <col min="3861" max="3861" width="9.875" style="255" customWidth="1"/>
    <col min="3862" max="3862" width="26.125" style="255" customWidth="1"/>
    <col min="3863" max="3863" width="11.125" style="255" customWidth="1"/>
    <col min="3864" max="3864" width="7.875" style="255" customWidth="1"/>
    <col min="3865" max="3865" width="7.25" style="255" customWidth="1"/>
    <col min="3866" max="3866" width="9.125" style="255" customWidth="1"/>
    <col min="3867" max="3867" width="15.125" style="255" customWidth="1"/>
    <col min="3868" max="3868" width="7.75" style="255" customWidth="1"/>
    <col min="3869" max="3869" width="7.125" style="255" customWidth="1"/>
    <col min="3870" max="3870" width="12.125" style="255" customWidth="1"/>
    <col min="3871" max="3871" width="8.25" style="255" customWidth="1"/>
    <col min="3872" max="3873" width="10.375" style="255" customWidth="1"/>
    <col min="3874" max="3874" width="15.625" style="255" customWidth="1"/>
    <col min="3875" max="3875" width="15.875" style="255" customWidth="1"/>
    <col min="3876" max="3876" width="8.125" style="255" customWidth="1"/>
    <col min="3877" max="3880" width="10.375" style="255" customWidth="1"/>
    <col min="3881" max="3881" width="7.25" style="255" customWidth="1"/>
    <col min="3882" max="3882" width="7.125" style="255" customWidth="1"/>
    <col min="3883" max="3883" width="9.5" style="255" customWidth="1"/>
    <col min="3884" max="3885" width="9" style="255" customWidth="1"/>
    <col min="3886" max="3886" width="16.125" style="255" customWidth="1"/>
    <col min="3887" max="3917" width="9" style="255" customWidth="1"/>
    <col min="3918" max="4077" width="25.25" style="255"/>
    <col min="4078" max="4107" width="9" style="255" customWidth="1"/>
    <col min="4108" max="4108" width="0.5" style="255" customWidth="1"/>
    <col min="4109" max="4109" width="25.25" style="255"/>
    <col min="4110" max="4110" width="0.5" style="255" customWidth="1"/>
    <col min="4111" max="4111" width="25.25" style="255"/>
    <col min="4112" max="4112" width="14.75" style="255" customWidth="1"/>
    <col min="4113" max="4113" width="11.5" style="255" customWidth="1"/>
    <col min="4114" max="4114" width="11.25" style="255" customWidth="1"/>
    <col min="4115" max="4115" width="10.75" style="255" customWidth="1"/>
    <col min="4116" max="4116" width="10" style="255" customWidth="1"/>
    <col min="4117" max="4117" width="9.875" style="255" customWidth="1"/>
    <col min="4118" max="4118" width="26.125" style="255" customWidth="1"/>
    <col min="4119" max="4119" width="11.125" style="255" customWidth="1"/>
    <col min="4120" max="4120" width="7.875" style="255" customWidth="1"/>
    <col min="4121" max="4121" width="7.25" style="255" customWidth="1"/>
    <col min="4122" max="4122" width="9.125" style="255" customWidth="1"/>
    <col min="4123" max="4123" width="15.125" style="255" customWidth="1"/>
    <col min="4124" max="4124" width="7.75" style="255" customWidth="1"/>
    <col min="4125" max="4125" width="7.125" style="255" customWidth="1"/>
    <col min="4126" max="4126" width="12.125" style="255" customWidth="1"/>
    <col min="4127" max="4127" width="8.25" style="255" customWidth="1"/>
    <col min="4128" max="4129" width="10.375" style="255" customWidth="1"/>
    <col min="4130" max="4130" width="15.625" style="255" customWidth="1"/>
    <col min="4131" max="4131" width="15.875" style="255" customWidth="1"/>
    <col min="4132" max="4132" width="8.125" style="255" customWidth="1"/>
    <col min="4133" max="4136" width="10.375" style="255" customWidth="1"/>
    <col min="4137" max="4137" width="7.25" style="255" customWidth="1"/>
    <col min="4138" max="4138" width="7.125" style="255" customWidth="1"/>
    <col min="4139" max="4139" width="9.5" style="255" customWidth="1"/>
    <col min="4140" max="4141" width="9" style="255" customWidth="1"/>
    <col min="4142" max="4142" width="16.125" style="255" customWidth="1"/>
    <col min="4143" max="4173" width="9" style="255" customWidth="1"/>
    <col min="4174" max="4333" width="25.25" style="255"/>
    <col min="4334" max="4363" width="9" style="255" customWidth="1"/>
    <col min="4364" max="4364" width="0.5" style="255" customWidth="1"/>
    <col min="4365" max="4365" width="25.25" style="255"/>
    <col min="4366" max="4366" width="0.5" style="255" customWidth="1"/>
    <col min="4367" max="4367" width="25.25" style="255"/>
    <col min="4368" max="4368" width="14.75" style="255" customWidth="1"/>
    <col min="4369" max="4369" width="11.5" style="255" customWidth="1"/>
    <col min="4370" max="4370" width="11.25" style="255" customWidth="1"/>
    <col min="4371" max="4371" width="10.75" style="255" customWidth="1"/>
    <col min="4372" max="4372" width="10" style="255" customWidth="1"/>
    <col min="4373" max="4373" width="9.875" style="255" customWidth="1"/>
    <col min="4374" max="4374" width="26.125" style="255" customWidth="1"/>
    <col min="4375" max="4375" width="11.125" style="255" customWidth="1"/>
    <col min="4376" max="4376" width="7.875" style="255" customWidth="1"/>
    <col min="4377" max="4377" width="7.25" style="255" customWidth="1"/>
    <col min="4378" max="4378" width="9.125" style="255" customWidth="1"/>
    <col min="4379" max="4379" width="15.125" style="255" customWidth="1"/>
    <col min="4380" max="4380" width="7.75" style="255" customWidth="1"/>
    <col min="4381" max="4381" width="7.125" style="255" customWidth="1"/>
    <col min="4382" max="4382" width="12.125" style="255" customWidth="1"/>
    <col min="4383" max="4383" width="8.25" style="255" customWidth="1"/>
    <col min="4384" max="4385" width="10.375" style="255" customWidth="1"/>
    <col min="4386" max="4386" width="15.625" style="255" customWidth="1"/>
    <col min="4387" max="4387" width="15.875" style="255" customWidth="1"/>
    <col min="4388" max="4388" width="8.125" style="255" customWidth="1"/>
    <col min="4389" max="4392" width="10.375" style="255" customWidth="1"/>
    <col min="4393" max="4393" width="7.25" style="255" customWidth="1"/>
    <col min="4394" max="4394" width="7.125" style="255" customWidth="1"/>
    <col min="4395" max="4395" width="9.5" style="255" customWidth="1"/>
    <col min="4396" max="4397" width="9" style="255" customWidth="1"/>
    <col min="4398" max="4398" width="16.125" style="255" customWidth="1"/>
    <col min="4399" max="4429" width="9" style="255" customWidth="1"/>
    <col min="4430" max="4589" width="25.25" style="255"/>
    <col min="4590" max="4619" width="9" style="255" customWidth="1"/>
    <col min="4620" max="4620" width="0.5" style="255" customWidth="1"/>
    <col min="4621" max="4621" width="25.25" style="255"/>
    <col min="4622" max="4622" width="0.5" style="255" customWidth="1"/>
    <col min="4623" max="4623" width="25.25" style="255"/>
    <col min="4624" max="4624" width="14.75" style="255" customWidth="1"/>
    <col min="4625" max="4625" width="11.5" style="255" customWidth="1"/>
    <col min="4626" max="4626" width="11.25" style="255" customWidth="1"/>
    <col min="4627" max="4627" width="10.75" style="255" customWidth="1"/>
    <col min="4628" max="4628" width="10" style="255" customWidth="1"/>
    <col min="4629" max="4629" width="9.875" style="255" customWidth="1"/>
    <col min="4630" max="4630" width="26.125" style="255" customWidth="1"/>
    <col min="4631" max="4631" width="11.125" style="255" customWidth="1"/>
    <col min="4632" max="4632" width="7.875" style="255" customWidth="1"/>
    <col min="4633" max="4633" width="7.25" style="255" customWidth="1"/>
    <col min="4634" max="4634" width="9.125" style="255" customWidth="1"/>
    <col min="4635" max="4635" width="15.125" style="255" customWidth="1"/>
    <col min="4636" max="4636" width="7.75" style="255" customWidth="1"/>
    <col min="4637" max="4637" width="7.125" style="255" customWidth="1"/>
    <col min="4638" max="4638" width="12.125" style="255" customWidth="1"/>
    <col min="4639" max="4639" width="8.25" style="255" customWidth="1"/>
    <col min="4640" max="4641" width="10.375" style="255" customWidth="1"/>
    <col min="4642" max="4642" width="15.625" style="255" customWidth="1"/>
    <col min="4643" max="4643" width="15.875" style="255" customWidth="1"/>
    <col min="4644" max="4644" width="8.125" style="255" customWidth="1"/>
    <col min="4645" max="4648" width="10.375" style="255" customWidth="1"/>
    <col min="4649" max="4649" width="7.25" style="255" customWidth="1"/>
    <col min="4650" max="4650" width="7.125" style="255" customWidth="1"/>
    <col min="4651" max="4651" width="9.5" style="255" customWidth="1"/>
    <col min="4652" max="4653" width="9" style="255" customWidth="1"/>
    <col min="4654" max="4654" width="16.125" style="255" customWidth="1"/>
    <col min="4655" max="4685" width="9" style="255" customWidth="1"/>
    <col min="4686" max="4845" width="25.25" style="255"/>
    <col min="4846" max="4875" width="9" style="255" customWidth="1"/>
    <col min="4876" max="4876" width="0.5" style="255" customWidth="1"/>
    <col min="4877" max="4877" width="25.25" style="255"/>
    <col min="4878" max="4878" width="0.5" style="255" customWidth="1"/>
    <col min="4879" max="4879" width="25.25" style="255"/>
    <col min="4880" max="4880" width="14.75" style="255" customWidth="1"/>
    <col min="4881" max="4881" width="11.5" style="255" customWidth="1"/>
    <col min="4882" max="4882" width="11.25" style="255" customWidth="1"/>
    <col min="4883" max="4883" width="10.75" style="255" customWidth="1"/>
    <col min="4884" max="4884" width="10" style="255" customWidth="1"/>
    <col min="4885" max="4885" width="9.875" style="255" customWidth="1"/>
    <col min="4886" max="4886" width="26.125" style="255" customWidth="1"/>
    <col min="4887" max="4887" width="11.125" style="255" customWidth="1"/>
    <col min="4888" max="4888" width="7.875" style="255" customWidth="1"/>
    <col min="4889" max="4889" width="7.25" style="255" customWidth="1"/>
    <col min="4890" max="4890" width="9.125" style="255" customWidth="1"/>
    <col min="4891" max="4891" width="15.125" style="255" customWidth="1"/>
    <col min="4892" max="4892" width="7.75" style="255" customWidth="1"/>
    <col min="4893" max="4893" width="7.125" style="255" customWidth="1"/>
    <col min="4894" max="4894" width="12.125" style="255" customWidth="1"/>
    <col min="4895" max="4895" width="8.25" style="255" customWidth="1"/>
    <col min="4896" max="4897" width="10.375" style="255" customWidth="1"/>
    <col min="4898" max="4898" width="15.625" style="255" customWidth="1"/>
    <col min="4899" max="4899" width="15.875" style="255" customWidth="1"/>
    <col min="4900" max="4900" width="8.125" style="255" customWidth="1"/>
    <col min="4901" max="4904" width="10.375" style="255" customWidth="1"/>
    <col min="4905" max="4905" width="7.25" style="255" customWidth="1"/>
    <col min="4906" max="4906" width="7.125" style="255" customWidth="1"/>
    <col min="4907" max="4907" width="9.5" style="255" customWidth="1"/>
    <col min="4908" max="4909" width="9" style="255" customWidth="1"/>
    <col min="4910" max="4910" width="16.125" style="255" customWidth="1"/>
    <col min="4911" max="4941" width="9" style="255" customWidth="1"/>
    <col min="4942" max="5101" width="25.25" style="255"/>
    <col min="5102" max="5131" width="9" style="255" customWidth="1"/>
    <col min="5132" max="5132" width="0.5" style="255" customWidth="1"/>
    <col min="5133" max="5133" width="25.25" style="255"/>
    <col min="5134" max="5134" width="0.5" style="255" customWidth="1"/>
    <col min="5135" max="5135" width="25.25" style="255"/>
    <col min="5136" max="5136" width="14.75" style="255" customWidth="1"/>
    <col min="5137" max="5137" width="11.5" style="255" customWidth="1"/>
    <col min="5138" max="5138" width="11.25" style="255" customWidth="1"/>
    <col min="5139" max="5139" width="10.75" style="255" customWidth="1"/>
    <col min="5140" max="5140" width="10" style="255" customWidth="1"/>
    <col min="5141" max="5141" width="9.875" style="255" customWidth="1"/>
    <col min="5142" max="5142" width="26.125" style="255" customWidth="1"/>
    <col min="5143" max="5143" width="11.125" style="255" customWidth="1"/>
    <col min="5144" max="5144" width="7.875" style="255" customWidth="1"/>
    <col min="5145" max="5145" width="7.25" style="255" customWidth="1"/>
    <col min="5146" max="5146" width="9.125" style="255" customWidth="1"/>
    <col min="5147" max="5147" width="15.125" style="255" customWidth="1"/>
    <col min="5148" max="5148" width="7.75" style="255" customWidth="1"/>
    <col min="5149" max="5149" width="7.125" style="255" customWidth="1"/>
    <col min="5150" max="5150" width="12.125" style="255" customWidth="1"/>
    <col min="5151" max="5151" width="8.25" style="255" customWidth="1"/>
    <col min="5152" max="5153" width="10.375" style="255" customWidth="1"/>
    <col min="5154" max="5154" width="15.625" style="255" customWidth="1"/>
    <col min="5155" max="5155" width="15.875" style="255" customWidth="1"/>
    <col min="5156" max="5156" width="8.125" style="255" customWidth="1"/>
    <col min="5157" max="5160" width="10.375" style="255" customWidth="1"/>
    <col min="5161" max="5161" width="7.25" style="255" customWidth="1"/>
    <col min="5162" max="5162" width="7.125" style="255" customWidth="1"/>
    <col min="5163" max="5163" width="9.5" style="255" customWidth="1"/>
    <col min="5164" max="5165" width="9" style="255" customWidth="1"/>
    <col min="5166" max="5166" width="16.125" style="255" customWidth="1"/>
    <col min="5167" max="5197" width="9" style="255" customWidth="1"/>
    <col min="5198" max="5357" width="25.25" style="255"/>
    <col min="5358" max="5387" width="9" style="255" customWidth="1"/>
    <col min="5388" max="5388" width="0.5" style="255" customWidth="1"/>
    <col min="5389" max="5389" width="25.25" style="255"/>
    <col min="5390" max="5390" width="0.5" style="255" customWidth="1"/>
    <col min="5391" max="5391" width="25.25" style="255"/>
    <col min="5392" max="5392" width="14.75" style="255" customWidth="1"/>
    <col min="5393" max="5393" width="11.5" style="255" customWidth="1"/>
    <col min="5394" max="5394" width="11.25" style="255" customWidth="1"/>
    <col min="5395" max="5395" width="10.75" style="255" customWidth="1"/>
    <col min="5396" max="5396" width="10" style="255" customWidth="1"/>
    <col min="5397" max="5397" width="9.875" style="255" customWidth="1"/>
    <col min="5398" max="5398" width="26.125" style="255" customWidth="1"/>
    <col min="5399" max="5399" width="11.125" style="255" customWidth="1"/>
    <col min="5400" max="5400" width="7.875" style="255" customWidth="1"/>
    <col min="5401" max="5401" width="7.25" style="255" customWidth="1"/>
    <col min="5402" max="5402" width="9.125" style="255" customWidth="1"/>
    <col min="5403" max="5403" width="15.125" style="255" customWidth="1"/>
    <col min="5404" max="5404" width="7.75" style="255" customWidth="1"/>
    <col min="5405" max="5405" width="7.125" style="255" customWidth="1"/>
    <col min="5406" max="5406" width="12.125" style="255" customWidth="1"/>
    <col min="5407" max="5407" width="8.25" style="255" customWidth="1"/>
    <col min="5408" max="5409" width="10.375" style="255" customWidth="1"/>
    <col min="5410" max="5410" width="15.625" style="255" customWidth="1"/>
    <col min="5411" max="5411" width="15.875" style="255" customWidth="1"/>
    <col min="5412" max="5412" width="8.125" style="255" customWidth="1"/>
    <col min="5413" max="5416" width="10.375" style="255" customWidth="1"/>
    <col min="5417" max="5417" width="7.25" style="255" customWidth="1"/>
    <col min="5418" max="5418" width="7.125" style="255" customWidth="1"/>
    <col min="5419" max="5419" width="9.5" style="255" customWidth="1"/>
    <col min="5420" max="5421" width="9" style="255" customWidth="1"/>
    <col min="5422" max="5422" width="16.125" style="255" customWidth="1"/>
    <col min="5423" max="5453" width="9" style="255" customWidth="1"/>
    <col min="5454" max="5613" width="25.25" style="255"/>
    <col min="5614" max="5643" width="9" style="255" customWidth="1"/>
    <col min="5644" max="5644" width="0.5" style="255" customWidth="1"/>
    <col min="5645" max="5645" width="25.25" style="255"/>
    <col min="5646" max="5646" width="0.5" style="255" customWidth="1"/>
    <col min="5647" max="5647" width="25.25" style="255"/>
    <col min="5648" max="5648" width="14.75" style="255" customWidth="1"/>
    <col min="5649" max="5649" width="11.5" style="255" customWidth="1"/>
    <col min="5650" max="5650" width="11.25" style="255" customWidth="1"/>
    <col min="5651" max="5651" width="10.75" style="255" customWidth="1"/>
    <col min="5652" max="5652" width="10" style="255" customWidth="1"/>
    <col min="5653" max="5653" width="9.875" style="255" customWidth="1"/>
    <col min="5654" max="5654" width="26.125" style="255" customWidth="1"/>
    <col min="5655" max="5655" width="11.125" style="255" customWidth="1"/>
    <col min="5656" max="5656" width="7.875" style="255" customWidth="1"/>
    <col min="5657" max="5657" width="7.25" style="255" customWidth="1"/>
    <col min="5658" max="5658" width="9.125" style="255" customWidth="1"/>
    <col min="5659" max="5659" width="15.125" style="255" customWidth="1"/>
    <col min="5660" max="5660" width="7.75" style="255" customWidth="1"/>
    <col min="5661" max="5661" width="7.125" style="255" customWidth="1"/>
    <col min="5662" max="5662" width="12.125" style="255" customWidth="1"/>
    <col min="5663" max="5663" width="8.25" style="255" customWidth="1"/>
    <col min="5664" max="5665" width="10.375" style="255" customWidth="1"/>
    <col min="5666" max="5666" width="15.625" style="255" customWidth="1"/>
    <col min="5667" max="5667" width="15.875" style="255" customWidth="1"/>
    <col min="5668" max="5668" width="8.125" style="255" customWidth="1"/>
    <col min="5669" max="5672" width="10.375" style="255" customWidth="1"/>
    <col min="5673" max="5673" width="7.25" style="255" customWidth="1"/>
    <col min="5674" max="5674" width="7.125" style="255" customWidth="1"/>
    <col min="5675" max="5675" width="9.5" style="255" customWidth="1"/>
    <col min="5676" max="5677" width="9" style="255" customWidth="1"/>
    <col min="5678" max="5678" width="16.125" style="255" customWidth="1"/>
    <col min="5679" max="5709" width="9" style="255" customWidth="1"/>
    <col min="5710" max="5869" width="25.25" style="255"/>
    <col min="5870" max="5899" width="9" style="255" customWidth="1"/>
    <col min="5900" max="5900" width="0.5" style="255" customWidth="1"/>
    <col min="5901" max="5901" width="25.25" style="255"/>
    <col min="5902" max="5902" width="0.5" style="255" customWidth="1"/>
    <col min="5903" max="5903" width="25.25" style="255"/>
    <col min="5904" max="5904" width="14.75" style="255" customWidth="1"/>
    <col min="5905" max="5905" width="11.5" style="255" customWidth="1"/>
    <col min="5906" max="5906" width="11.25" style="255" customWidth="1"/>
    <col min="5907" max="5907" width="10.75" style="255" customWidth="1"/>
    <col min="5908" max="5908" width="10" style="255" customWidth="1"/>
    <col min="5909" max="5909" width="9.875" style="255" customWidth="1"/>
    <col min="5910" max="5910" width="26.125" style="255" customWidth="1"/>
    <col min="5911" max="5911" width="11.125" style="255" customWidth="1"/>
    <col min="5912" max="5912" width="7.875" style="255" customWidth="1"/>
    <col min="5913" max="5913" width="7.25" style="255" customWidth="1"/>
    <col min="5914" max="5914" width="9.125" style="255" customWidth="1"/>
    <col min="5915" max="5915" width="15.125" style="255" customWidth="1"/>
    <col min="5916" max="5916" width="7.75" style="255" customWidth="1"/>
    <col min="5917" max="5917" width="7.125" style="255" customWidth="1"/>
    <col min="5918" max="5918" width="12.125" style="255" customWidth="1"/>
    <col min="5919" max="5919" width="8.25" style="255" customWidth="1"/>
    <col min="5920" max="5921" width="10.375" style="255" customWidth="1"/>
    <col min="5922" max="5922" width="15.625" style="255" customWidth="1"/>
    <col min="5923" max="5923" width="15.875" style="255" customWidth="1"/>
    <col min="5924" max="5924" width="8.125" style="255" customWidth="1"/>
    <col min="5925" max="5928" width="10.375" style="255" customWidth="1"/>
    <col min="5929" max="5929" width="7.25" style="255" customWidth="1"/>
    <col min="5930" max="5930" width="7.125" style="255" customWidth="1"/>
    <col min="5931" max="5931" width="9.5" style="255" customWidth="1"/>
    <col min="5932" max="5933" width="9" style="255" customWidth="1"/>
    <col min="5934" max="5934" width="16.125" style="255" customWidth="1"/>
    <col min="5935" max="5965" width="9" style="255" customWidth="1"/>
    <col min="5966" max="6125" width="25.25" style="255"/>
    <col min="6126" max="6155" width="9" style="255" customWidth="1"/>
    <col min="6156" max="6156" width="0.5" style="255" customWidth="1"/>
    <col min="6157" max="6157" width="25.25" style="255"/>
    <col min="6158" max="6158" width="0.5" style="255" customWidth="1"/>
    <col min="6159" max="6159" width="25.25" style="255"/>
    <col min="6160" max="6160" width="14.75" style="255" customWidth="1"/>
    <col min="6161" max="6161" width="11.5" style="255" customWidth="1"/>
    <col min="6162" max="6162" width="11.25" style="255" customWidth="1"/>
    <col min="6163" max="6163" width="10.75" style="255" customWidth="1"/>
    <col min="6164" max="6164" width="10" style="255" customWidth="1"/>
    <col min="6165" max="6165" width="9.875" style="255" customWidth="1"/>
    <col min="6166" max="6166" width="26.125" style="255" customWidth="1"/>
    <col min="6167" max="6167" width="11.125" style="255" customWidth="1"/>
    <col min="6168" max="6168" width="7.875" style="255" customWidth="1"/>
    <col min="6169" max="6169" width="7.25" style="255" customWidth="1"/>
    <col min="6170" max="6170" width="9.125" style="255" customWidth="1"/>
    <col min="6171" max="6171" width="15.125" style="255" customWidth="1"/>
    <col min="6172" max="6172" width="7.75" style="255" customWidth="1"/>
    <col min="6173" max="6173" width="7.125" style="255" customWidth="1"/>
    <col min="6174" max="6174" width="12.125" style="255" customWidth="1"/>
    <col min="6175" max="6175" width="8.25" style="255" customWidth="1"/>
    <col min="6176" max="6177" width="10.375" style="255" customWidth="1"/>
    <col min="6178" max="6178" width="15.625" style="255" customWidth="1"/>
    <col min="6179" max="6179" width="15.875" style="255" customWidth="1"/>
    <col min="6180" max="6180" width="8.125" style="255" customWidth="1"/>
    <col min="6181" max="6184" width="10.375" style="255" customWidth="1"/>
    <col min="6185" max="6185" width="7.25" style="255" customWidth="1"/>
    <col min="6186" max="6186" width="7.125" style="255" customWidth="1"/>
    <col min="6187" max="6187" width="9.5" style="255" customWidth="1"/>
    <col min="6188" max="6189" width="9" style="255" customWidth="1"/>
    <col min="6190" max="6190" width="16.125" style="255" customWidth="1"/>
    <col min="6191" max="6221" width="9" style="255" customWidth="1"/>
    <col min="6222" max="6381" width="25.25" style="255"/>
    <col min="6382" max="6411" width="9" style="255" customWidth="1"/>
    <col min="6412" max="6412" width="0.5" style="255" customWidth="1"/>
    <col min="6413" max="6413" width="25.25" style="255"/>
    <col min="6414" max="6414" width="0.5" style="255" customWidth="1"/>
    <col min="6415" max="6415" width="25.25" style="255"/>
    <col min="6416" max="6416" width="14.75" style="255" customWidth="1"/>
    <col min="6417" max="6417" width="11.5" style="255" customWidth="1"/>
    <col min="6418" max="6418" width="11.25" style="255" customWidth="1"/>
    <col min="6419" max="6419" width="10.75" style="255" customWidth="1"/>
    <col min="6420" max="6420" width="10" style="255" customWidth="1"/>
    <col min="6421" max="6421" width="9.875" style="255" customWidth="1"/>
    <col min="6422" max="6422" width="26.125" style="255" customWidth="1"/>
    <col min="6423" max="6423" width="11.125" style="255" customWidth="1"/>
    <col min="6424" max="6424" width="7.875" style="255" customWidth="1"/>
    <col min="6425" max="6425" width="7.25" style="255" customWidth="1"/>
    <col min="6426" max="6426" width="9.125" style="255" customWidth="1"/>
    <col min="6427" max="6427" width="15.125" style="255" customWidth="1"/>
    <col min="6428" max="6428" width="7.75" style="255" customWidth="1"/>
    <col min="6429" max="6429" width="7.125" style="255" customWidth="1"/>
    <col min="6430" max="6430" width="12.125" style="255" customWidth="1"/>
    <col min="6431" max="6431" width="8.25" style="255" customWidth="1"/>
    <col min="6432" max="6433" width="10.375" style="255" customWidth="1"/>
    <col min="6434" max="6434" width="15.625" style="255" customWidth="1"/>
    <col min="6435" max="6435" width="15.875" style="255" customWidth="1"/>
    <col min="6436" max="6436" width="8.125" style="255" customWidth="1"/>
    <col min="6437" max="6440" width="10.375" style="255" customWidth="1"/>
    <col min="6441" max="6441" width="7.25" style="255" customWidth="1"/>
    <col min="6442" max="6442" width="7.125" style="255" customWidth="1"/>
    <col min="6443" max="6443" width="9.5" style="255" customWidth="1"/>
    <col min="6444" max="6445" width="9" style="255" customWidth="1"/>
    <col min="6446" max="6446" width="16.125" style="255" customWidth="1"/>
    <col min="6447" max="6477" width="9" style="255" customWidth="1"/>
    <col min="6478" max="6637" width="25.25" style="255"/>
    <col min="6638" max="6667" width="9" style="255" customWidth="1"/>
    <col min="6668" max="6668" width="0.5" style="255" customWidth="1"/>
    <col min="6669" max="6669" width="25.25" style="255"/>
    <col min="6670" max="6670" width="0.5" style="255" customWidth="1"/>
    <col min="6671" max="6671" width="25.25" style="255"/>
    <col min="6672" max="6672" width="14.75" style="255" customWidth="1"/>
    <col min="6673" max="6673" width="11.5" style="255" customWidth="1"/>
    <col min="6674" max="6674" width="11.25" style="255" customWidth="1"/>
    <col min="6675" max="6675" width="10.75" style="255" customWidth="1"/>
    <col min="6676" max="6676" width="10" style="255" customWidth="1"/>
    <col min="6677" max="6677" width="9.875" style="255" customWidth="1"/>
    <col min="6678" max="6678" width="26.125" style="255" customWidth="1"/>
    <col min="6679" max="6679" width="11.125" style="255" customWidth="1"/>
    <col min="6680" max="6680" width="7.875" style="255" customWidth="1"/>
    <col min="6681" max="6681" width="7.25" style="255" customWidth="1"/>
    <col min="6682" max="6682" width="9.125" style="255" customWidth="1"/>
    <col min="6683" max="6683" width="15.125" style="255" customWidth="1"/>
    <col min="6684" max="6684" width="7.75" style="255" customWidth="1"/>
    <col min="6685" max="6685" width="7.125" style="255" customWidth="1"/>
    <col min="6686" max="6686" width="12.125" style="255" customWidth="1"/>
    <col min="6687" max="6687" width="8.25" style="255" customWidth="1"/>
    <col min="6688" max="6689" width="10.375" style="255" customWidth="1"/>
    <col min="6690" max="6690" width="15.625" style="255" customWidth="1"/>
    <col min="6691" max="6691" width="15.875" style="255" customWidth="1"/>
    <col min="6692" max="6692" width="8.125" style="255" customWidth="1"/>
    <col min="6693" max="6696" width="10.375" style="255" customWidth="1"/>
    <col min="6697" max="6697" width="7.25" style="255" customWidth="1"/>
    <col min="6698" max="6698" width="7.125" style="255" customWidth="1"/>
    <col min="6699" max="6699" width="9.5" style="255" customWidth="1"/>
    <col min="6700" max="6701" width="9" style="255" customWidth="1"/>
    <col min="6702" max="6702" width="16.125" style="255" customWidth="1"/>
    <col min="6703" max="6733" width="9" style="255" customWidth="1"/>
    <col min="6734" max="6893" width="25.25" style="255"/>
    <col min="6894" max="6923" width="9" style="255" customWidth="1"/>
    <col min="6924" max="6924" width="0.5" style="255" customWidth="1"/>
    <col min="6925" max="6925" width="25.25" style="255"/>
    <col min="6926" max="6926" width="0.5" style="255" customWidth="1"/>
    <col min="6927" max="6927" width="25.25" style="255"/>
    <col min="6928" max="6928" width="14.75" style="255" customWidth="1"/>
    <col min="6929" max="6929" width="11.5" style="255" customWidth="1"/>
    <col min="6930" max="6930" width="11.25" style="255" customWidth="1"/>
    <col min="6931" max="6931" width="10.75" style="255" customWidth="1"/>
    <col min="6932" max="6932" width="10" style="255" customWidth="1"/>
    <col min="6933" max="6933" width="9.875" style="255" customWidth="1"/>
    <col min="6934" max="6934" width="26.125" style="255" customWidth="1"/>
    <col min="6935" max="6935" width="11.125" style="255" customWidth="1"/>
    <col min="6936" max="6936" width="7.875" style="255" customWidth="1"/>
    <col min="6937" max="6937" width="7.25" style="255" customWidth="1"/>
    <col min="6938" max="6938" width="9.125" style="255" customWidth="1"/>
    <col min="6939" max="6939" width="15.125" style="255" customWidth="1"/>
    <col min="6940" max="6940" width="7.75" style="255" customWidth="1"/>
    <col min="6941" max="6941" width="7.125" style="255" customWidth="1"/>
    <col min="6942" max="6942" width="12.125" style="255" customWidth="1"/>
    <col min="6943" max="6943" width="8.25" style="255" customWidth="1"/>
    <col min="6944" max="6945" width="10.375" style="255" customWidth="1"/>
    <col min="6946" max="6946" width="15.625" style="255" customWidth="1"/>
    <col min="6947" max="6947" width="15.875" style="255" customWidth="1"/>
    <col min="6948" max="6948" width="8.125" style="255" customWidth="1"/>
    <col min="6949" max="6952" width="10.375" style="255" customWidth="1"/>
    <col min="6953" max="6953" width="7.25" style="255" customWidth="1"/>
    <col min="6954" max="6954" width="7.125" style="255" customWidth="1"/>
    <col min="6955" max="6955" width="9.5" style="255" customWidth="1"/>
    <col min="6956" max="6957" width="9" style="255" customWidth="1"/>
    <col min="6958" max="6958" width="16.125" style="255" customWidth="1"/>
    <col min="6959" max="6989" width="9" style="255" customWidth="1"/>
    <col min="6990" max="7149" width="25.25" style="255"/>
    <col min="7150" max="7179" width="9" style="255" customWidth="1"/>
    <col min="7180" max="7180" width="0.5" style="255" customWidth="1"/>
    <col min="7181" max="7181" width="25.25" style="255"/>
    <col min="7182" max="7182" width="0.5" style="255" customWidth="1"/>
    <col min="7183" max="7183" width="25.25" style="255"/>
    <col min="7184" max="7184" width="14.75" style="255" customWidth="1"/>
    <col min="7185" max="7185" width="11.5" style="255" customWidth="1"/>
    <col min="7186" max="7186" width="11.25" style="255" customWidth="1"/>
    <col min="7187" max="7187" width="10.75" style="255" customWidth="1"/>
    <col min="7188" max="7188" width="10" style="255" customWidth="1"/>
    <col min="7189" max="7189" width="9.875" style="255" customWidth="1"/>
    <col min="7190" max="7190" width="26.125" style="255" customWidth="1"/>
    <col min="7191" max="7191" width="11.125" style="255" customWidth="1"/>
    <col min="7192" max="7192" width="7.875" style="255" customWidth="1"/>
    <col min="7193" max="7193" width="7.25" style="255" customWidth="1"/>
    <col min="7194" max="7194" width="9.125" style="255" customWidth="1"/>
    <col min="7195" max="7195" width="15.125" style="255" customWidth="1"/>
    <col min="7196" max="7196" width="7.75" style="255" customWidth="1"/>
    <col min="7197" max="7197" width="7.125" style="255" customWidth="1"/>
    <col min="7198" max="7198" width="12.125" style="255" customWidth="1"/>
    <col min="7199" max="7199" width="8.25" style="255" customWidth="1"/>
    <col min="7200" max="7201" width="10.375" style="255" customWidth="1"/>
    <col min="7202" max="7202" width="15.625" style="255" customWidth="1"/>
    <col min="7203" max="7203" width="15.875" style="255" customWidth="1"/>
    <col min="7204" max="7204" width="8.125" style="255" customWidth="1"/>
    <col min="7205" max="7208" width="10.375" style="255" customWidth="1"/>
    <col min="7209" max="7209" width="7.25" style="255" customWidth="1"/>
    <col min="7210" max="7210" width="7.125" style="255" customWidth="1"/>
    <col min="7211" max="7211" width="9.5" style="255" customWidth="1"/>
    <col min="7212" max="7213" width="9" style="255" customWidth="1"/>
    <col min="7214" max="7214" width="16.125" style="255" customWidth="1"/>
    <col min="7215" max="7245" width="9" style="255" customWidth="1"/>
    <col min="7246" max="7405" width="25.25" style="255"/>
    <col min="7406" max="7435" width="9" style="255" customWidth="1"/>
    <col min="7436" max="7436" width="0.5" style="255" customWidth="1"/>
    <col min="7437" max="7437" width="25.25" style="255"/>
    <col min="7438" max="7438" width="0.5" style="255" customWidth="1"/>
    <col min="7439" max="7439" width="25.25" style="255"/>
    <col min="7440" max="7440" width="14.75" style="255" customWidth="1"/>
    <col min="7441" max="7441" width="11.5" style="255" customWidth="1"/>
    <col min="7442" max="7442" width="11.25" style="255" customWidth="1"/>
    <col min="7443" max="7443" width="10.75" style="255" customWidth="1"/>
    <col min="7444" max="7444" width="10" style="255" customWidth="1"/>
    <col min="7445" max="7445" width="9.875" style="255" customWidth="1"/>
    <col min="7446" max="7446" width="26.125" style="255" customWidth="1"/>
    <col min="7447" max="7447" width="11.125" style="255" customWidth="1"/>
    <col min="7448" max="7448" width="7.875" style="255" customWidth="1"/>
    <col min="7449" max="7449" width="7.25" style="255" customWidth="1"/>
    <col min="7450" max="7450" width="9.125" style="255" customWidth="1"/>
    <col min="7451" max="7451" width="15.125" style="255" customWidth="1"/>
    <col min="7452" max="7452" width="7.75" style="255" customWidth="1"/>
    <col min="7453" max="7453" width="7.125" style="255" customWidth="1"/>
    <col min="7454" max="7454" width="12.125" style="255" customWidth="1"/>
    <col min="7455" max="7455" width="8.25" style="255" customWidth="1"/>
    <col min="7456" max="7457" width="10.375" style="255" customWidth="1"/>
    <col min="7458" max="7458" width="15.625" style="255" customWidth="1"/>
    <col min="7459" max="7459" width="15.875" style="255" customWidth="1"/>
    <col min="7460" max="7460" width="8.125" style="255" customWidth="1"/>
    <col min="7461" max="7464" width="10.375" style="255" customWidth="1"/>
    <col min="7465" max="7465" width="7.25" style="255" customWidth="1"/>
    <col min="7466" max="7466" width="7.125" style="255" customWidth="1"/>
    <col min="7467" max="7467" width="9.5" style="255" customWidth="1"/>
    <col min="7468" max="7469" width="9" style="255" customWidth="1"/>
    <col min="7470" max="7470" width="16.125" style="255" customWidth="1"/>
    <col min="7471" max="7501" width="9" style="255" customWidth="1"/>
    <col min="7502" max="7661" width="25.25" style="255"/>
    <col min="7662" max="7691" width="9" style="255" customWidth="1"/>
    <col min="7692" max="7692" width="0.5" style="255" customWidth="1"/>
    <col min="7693" max="7693" width="25.25" style="255"/>
    <col min="7694" max="7694" width="0.5" style="255" customWidth="1"/>
    <col min="7695" max="7695" width="25.25" style="255"/>
    <col min="7696" max="7696" width="14.75" style="255" customWidth="1"/>
    <col min="7697" max="7697" width="11.5" style="255" customWidth="1"/>
    <col min="7698" max="7698" width="11.25" style="255" customWidth="1"/>
    <col min="7699" max="7699" width="10.75" style="255" customWidth="1"/>
    <col min="7700" max="7700" width="10" style="255" customWidth="1"/>
    <col min="7701" max="7701" width="9.875" style="255" customWidth="1"/>
    <col min="7702" max="7702" width="26.125" style="255" customWidth="1"/>
    <col min="7703" max="7703" width="11.125" style="255" customWidth="1"/>
    <col min="7704" max="7704" width="7.875" style="255" customWidth="1"/>
    <col min="7705" max="7705" width="7.25" style="255" customWidth="1"/>
    <col min="7706" max="7706" width="9.125" style="255" customWidth="1"/>
    <col min="7707" max="7707" width="15.125" style="255" customWidth="1"/>
    <col min="7708" max="7708" width="7.75" style="255" customWidth="1"/>
    <col min="7709" max="7709" width="7.125" style="255" customWidth="1"/>
    <col min="7710" max="7710" width="12.125" style="255" customWidth="1"/>
    <col min="7711" max="7711" width="8.25" style="255" customWidth="1"/>
    <col min="7712" max="7713" width="10.375" style="255" customWidth="1"/>
    <col min="7714" max="7714" width="15.625" style="255" customWidth="1"/>
    <col min="7715" max="7715" width="15.875" style="255" customWidth="1"/>
    <col min="7716" max="7716" width="8.125" style="255" customWidth="1"/>
    <col min="7717" max="7720" width="10.375" style="255" customWidth="1"/>
    <col min="7721" max="7721" width="7.25" style="255" customWidth="1"/>
    <col min="7722" max="7722" width="7.125" style="255" customWidth="1"/>
    <col min="7723" max="7723" width="9.5" style="255" customWidth="1"/>
    <col min="7724" max="7725" width="9" style="255" customWidth="1"/>
    <col min="7726" max="7726" width="16.125" style="255" customWidth="1"/>
    <col min="7727" max="7757" width="9" style="255" customWidth="1"/>
    <col min="7758" max="7917" width="25.25" style="255"/>
    <col min="7918" max="7947" width="9" style="255" customWidth="1"/>
    <col min="7948" max="7948" width="0.5" style="255" customWidth="1"/>
    <col min="7949" max="7949" width="25.25" style="255"/>
    <col min="7950" max="7950" width="0.5" style="255" customWidth="1"/>
    <col min="7951" max="7951" width="25.25" style="255"/>
    <col min="7952" max="7952" width="14.75" style="255" customWidth="1"/>
    <col min="7953" max="7953" width="11.5" style="255" customWidth="1"/>
    <col min="7954" max="7954" width="11.25" style="255" customWidth="1"/>
    <col min="7955" max="7955" width="10.75" style="255" customWidth="1"/>
    <col min="7956" max="7956" width="10" style="255" customWidth="1"/>
    <col min="7957" max="7957" width="9.875" style="255" customWidth="1"/>
    <col min="7958" max="7958" width="26.125" style="255" customWidth="1"/>
    <col min="7959" max="7959" width="11.125" style="255" customWidth="1"/>
    <col min="7960" max="7960" width="7.875" style="255" customWidth="1"/>
    <col min="7961" max="7961" width="7.25" style="255" customWidth="1"/>
    <col min="7962" max="7962" width="9.125" style="255" customWidth="1"/>
    <col min="7963" max="7963" width="15.125" style="255" customWidth="1"/>
    <col min="7964" max="7964" width="7.75" style="255" customWidth="1"/>
    <col min="7965" max="7965" width="7.125" style="255" customWidth="1"/>
    <col min="7966" max="7966" width="12.125" style="255" customWidth="1"/>
    <col min="7967" max="7967" width="8.25" style="255" customWidth="1"/>
    <col min="7968" max="7969" width="10.375" style="255" customWidth="1"/>
    <col min="7970" max="7970" width="15.625" style="255" customWidth="1"/>
    <col min="7971" max="7971" width="15.875" style="255" customWidth="1"/>
    <col min="7972" max="7972" width="8.125" style="255" customWidth="1"/>
    <col min="7973" max="7976" width="10.375" style="255" customWidth="1"/>
    <col min="7977" max="7977" width="7.25" style="255" customWidth="1"/>
    <col min="7978" max="7978" width="7.125" style="255" customWidth="1"/>
    <col min="7979" max="7979" width="9.5" style="255" customWidth="1"/>
    <col min="7980" max="7981" width="9" style="255" customWidth="1"/>
    <col min="7982" max="7982" width="16.125" style="255" customWidth="1"/>
    <col min="7983" max="8013" width="9" style="255" customWidth="1"/>
    <col min="8014" max="8173" width="25.25" style="255"/>
    <col min="8174" max="8203" width="9" style="255" customWidth="1"/>
    <col min="8204" max="8204" width="0.5" style="255" customWidth="1"/>
    <col min="8205" max="8205" width="25.25" style="255"/>
    <col min="8206" max="8206" width="0.5" style="255" customWidth="1"/>
    <col min="8207" max="8207" width="25.25" style="255"/>
    <col min="8208" max="8208" width="14.75" style="255" customWidth="1"/>
    <col min="8209" max="8209" width="11.5" style="255" customWidth="1"/>
    <col min="8210" max="8210" width="11.25" style="255" customWidth="1"/>
    <col min="8211" max="8211" width="10.75" style="255" customWidth="1"/>
    <col min="8212" max="8212" width="10" style="255" customWidth="1"/>
    <col min="8213" max="8213" width="9.875" style="255" customWidth="1"/>
    <col min="8214" max="8214" width="26.125" style="255" customWidth="1"/>
    <col min="8215" max="8215" width="11.125" style="255" customWidth="1"/>
    <col min="8216" max="8216" width="7.875" style="255" customWidth="1"/>
    <col min="8217" max="8217" width="7.25" style="255" customWidth="1"/>
    <col min="8218" max="8218" width="9.125" style="255" customWidth="1"/>
    <col min="8219" max="8219" width="15.125" style="255" customWidth="1"/>
    <col min="8220" max="8220" width="7.75" style="255" customWidth="1"/>
    <col min="8221" max="8221" width="7.125" style="255" customWidth="1"/>
    <col min="8222" max="8222" width="12.125" style="255" customWidth="1"/>
    <col min="8223" max="8223" width="8.25" style="255" customWidth="1"/>
    <col min="8224" max="8225" width="10.375" style="255" customWidth="1"/>
    <col min="8226" max="8226" width="15.625" style="255" customWidth="1"/>
    <col min="8227" max="8227" width="15.875" style="255" customWidth="1"/>
    <col min="8228" max="8228" width="8.125" style="255" customWidth="1"/>
    <col min="8229" max="8232" width="10.375" style="255" customWidth="1"/>
    <col min="8233" max="8233" width="7.25" style="255" customWidth="1"/>
    <col min="8234" max="8234" width="7.125" style="255" customWidth="1"/>
    <col min="8235" max="8235" width="9.5" style="255" customWidth="1"/>
    <col min="8236" max="8237" width="9" style="255" customWidth="1"/>
    <col min="8238" max="8238" width="16.125" style="255" customWidth="1"/>
    <col min="8239" max="8269" width="9" style="255" customWidth="1"/>
    <col min="8270" max="8429" width="25.25" style="255"/>
    <col min="8430" max="8459" width="9" style="255" customWidth="1"/>
    <col min="8460" max="8460" width="0.5" style="255" customWidth="1"/>
    <col min="8461" max="8461" width="25.25" style="255"/>
    <col min="8462" max="8462" width="0.5" style="255" customWidth="1"/>
    <col min="8463" max="8463" width="25.25" style="255"/>
    <col min="8464" max="8464" width="14.75" style="255" customWidth="1"/>
    <col min="8465" max="8465" width="11.5" style="255" customWidth="1"/>
    <col min="8466" max="8466" width="11.25" style="255" customWidth="1"/>
    <col min="8467" max="8467" width="10.75" style="255" customWidth="1"/>
    <col min="8468" max="8468" width="10" style="255" customWidth="1"/>
    <col min="8469" max="8469" width="9.875" style="255" customWidth="1"/>
    <col min="8470" max="8470" width="26.125" style="255" customWidth="1"/>
    <col min="8471" max="8471" width="11.125" style="255" customWidth="1"/>
    <col min="8472" max="8472" width="7.875" style="255" customWidth="1"/>
    <col min="8473" max="8473" width="7.25" style="255" customWidth="1"/>
    <col min="8474" max="8474" width="9.125" style="255" customWidth="1"/>
    <col min="8475" max="8475" width="15.125" style="255" customWidth="1"/>
    <col min="8476" max="8476" width="7.75" style="255" customWidth="1"/>
    <col min="8477" max="8477" width="7.125" style="255" customWidth="1"/>
    <col min="8478" max="8478" width="12.125" style="255" customWidth="1"/>
    <col min="8479" max="8479" width="8.25" style="255" customWidth="1"/>
    <col min="8480" max="8481" width="10.375" style="255" customWidth="1"/>
    <col min="8482" max="8482" width="15.625" style="255" customWidth="1"/>
    <col min="8483" max="8483" width="15.875" style="255" customWidth="1"/>
    <col min="8484" max="8484" width="8.125" style="255" customWidth="1"/>
    <col min="8485" max="8488" width="10.375" style="255" customWidth="1"/>
    <col min="8489" max="8489" width="7.25" style="255" customWidth="1"/>
    <col min="8490" max="8490" width="7.125" style="255" customWidth="1"/>
    <col min="8491" max="8491" width="9.5" style="255" customWidth="1"/>
    <col min="8492" max="8493" width="9" style="255" customWidth="1"/>
    <col min="8494" max="8494" width="16.125" style="255" customWidth="1"/>
    <col min="8495" max="8525" width="9" style="255" customWidth="1"/>
    <col min="8526" max="8685" width="25.25" style="255"/>
    <col min="8686" max="8715" width="9" style="255" customWidth="1"/>
    <col min="8716" max="8716" width="0.5" style="255" customWidth="1"/>
    <col min="8717" max="8717" width="25.25" style="255"/>
    <col min="8718" max="8718" width="0.5" style="255" customWidth="1"/>
    <col min="8719" max="8719" width="25.25" style="255"/>
    <col min="8720" max="8720" width="14.75" style="255" customWidth="1"/>
    <col min="8721" max="8721" width="11.5" style="255" customWidth="1"/>
    <col min="8722" max="8722" width="11.25" style="255" customWidth="1"/>
    <col min="8723" max="8723" width="10.75" style="255" customWidth="1"/>
    <col min="8724" max="8724" width="10" style="255" customWidth="1"/>
    <col min="8725" max="8725" width="9.875" style="255" customWidth="1"/>
    <col min="8726" max="8726" width="26.125" style="255" customWidth="1"/>
    <col min="8727" max="8727" width="11.125" style="255" customWidth="1"/>
    <col min="8728" max="8728" width="7.875" style="255" customWidth="1"/>
    <col min="8729" max="8729" width="7.25" style="255" customWidth="1"/>
    <col min="8730" max="8730" width="9.125" style="255" customWidth="1"/>
    <col min="8731" max="8731" width="15.125" style="255" customWidth="1"/>
    <col min="8732" max="8732" width="7.75" style="255" customWidth="1"/>
    <col min="8733" max="8733" width="7.125" style="255" customWidth="1"/>
    <col min="8734" max="8734" width="12.125" style="255" customWidth="1"/>
    <col min="8735" max="8735" width="8.25" style="255" customWidth="1"/>
    <col min="8736" max="8737" width="10.375" style="255" customWidth="1"/>
    <col min="8738" max="8738" width="15.625" style="255" customWidth="1"/>
    <col min="8739" max="8739" width="15.875" style="255" customWidth="1"/>
    <col min="8740" max="8740" width="8.125" style="255" customWidth="1"/>
    <col min="8741" max="8744" width="10.375" style="255" customWidth="1"/>
    <col min="8745" max="8745" width="7.25" style="255" customWidth="1"/>
    <col min="8746" max="8746" width="7.125" style="255" customWidth="1"/>
    <col min="8747" max="8747" width="9.5" style="255" customWidth="1"/>
    <col min="8748" max="8749" width="9" style="255" customWidth="1"/>
    <col min="8750" max="8750" width="16.125" style="255" customWidth="1"/>
    <col min="8751" max="8781" width="9" style="255" customWidth="1"/>
    <col min="8782" max="8941" width="25.25" style="255"/>
    <col min="8942" max="8971" width="9" style="255" customWidth="1"/>
    <col min="8972" max="8972" width="0.5" style="255" customWidth="1"/>
    <col min="8973" max="8973" width="25.25" style="255"/>
    <col min="8974" max="8974" width="0.5" style="255" customWidth="1"/>
    <col min="8975" max="8975" width="25.25" style="255"/>
    <col min="8976" max="8976" width="14.75" style="255" customWidth="1"/>
    <col min="8977" max="8977" width="11.5" style="255" customWidth="1"/>
    <col min="8978" max="8978" width="11.25" style="255" customWidth="1"/>
    <col min="8979" max="8979" width="10.75" style="255" customWidth="1"/>
    <col min="8980" max="8980" width="10" style="255" customWidth="1"/>
    <col min="8981" max="8981" width="9.875" style="255" customWidth="1"/>
    <col min="8982" max="8982" width="26.125" style="255" customWidth="1"/>
    <col min="8983" max="8983" width="11.125" style="255" customWidth="1"/>
    <col min="8984" max="8984" width="7.875" style="255" customWidth="1"/>
    <col min="8985" max="8985" width="7.25" style="255" customWidth="1"/>
    <col min="8986" max="8986" width="9.125" style="255" customWidth="1"/>
    <col min="8987" max="8987" width="15.125" style="255" customWidth="1"/>
    <col min="8988" max="8988" width="7.75" style="255" customWidth="1"/>
    <col min="8989" max="8989" width="7.125" style="255" customWidth="1"/>
    <col min="8990" max="8990" width="12.125" style="255" customWidth="1"/>
    <col min="8991" max="8991" width="8.25" style="255" customWidth="1"/>
    <col min="8992" max="8993" width="10.375" style="255" customWidth="1"/>
    <col min="8994" max="8994" width="15.625" style="255" customWidth="1"/>
    <col min="8995" max="8995" width="15.875" style="255" customWidth="1"/>
    <col min="8996" max="8996" width="8.125" style="255" customWidth="1"/>
    <col min="8997" max="9000" width="10.375" style="255" customWidth="1"/>
    <col min="9001" max="9001" width="7.25" style="255" customWidth="1"/>
    <col min="9002" max="9002" width="7.125" style="255" customWidth="1"/>
    <col min="9003" max="9003" width="9.5" style="255" customWidth="1"/>
    <col min="9004" max="9005" width="9" style="255" customWidth="1"/>
    <col min="9006" max="9006" width="16.125" style="255" customWidth="1"/>
    <col min="9007" max="9037" width="9" style="255" customWidth="1"/>
    <col min="9038" max="9197" width="25.25" style="255"/>
    <col min="9198" max="9227" width="9" style="255" customWidth="1"/>
    <col min="9228" max="9228" width="0.5" style="255" customWidth="1"/>
    <col min="9229" max="9229" width="25.25" style="255"/>
    <col min="9230" max="9230" width="0.5" style="255" customWidth="1"/>
    <col min="9231" max="9231" width="25.25" style="255"/>
    <col min="9232" max="9232" width="14.75" style="255" customWidth="1"/>
    <col min="9233" max="9233" width="11.5" style="255" customWidth="1"/>
    <col min="9234" max="9234" width="11.25" style="255" customWidth="1"/>
    <col min="9235" max="9235" width="10.75" style="255" customWidth="1"/>
    <col min="9236" max="9236" width="10" style="255" customWidth="1"/>
    <col min="9237" max="9237" width="9.875" style="255" customWidth="1"/>
    <col min="9238" max="9238" width="26.125" style="255" customWidth="1"/>
    <col min="9239" max="9239" width="11.125" style="255" customWidth="1"/>
    <col min="9240" max="9240" width="7.875" style="255" customWidth="1"/>
    <col min="9241" max="9241" width="7.25" style="255" customWidth="1"/>
    <col min="9242" max="9242" width="9.125" style="255" customWidth="1"/>
    <col min="9243" max="9243" width="15.125" style="255" customWidth="1"/>
    <col min="9244" max="9244" width="7.75" style="255" customWidth="1"/>
    <col min="9245" max="9245" width="7.125" style="255" customWidth="1"/>
    <col min="9246" max="9246" width="12.125" style="255" customWidth="1"/>
    <col min="9247" max="9247" width="8.25" style="255" customWidth="1"/>
    <col min="9248" max="9249" width="10.375" style="255" customWidth="1"/>
    <col min="9250" max="9250" width="15.625" style="255" customWidth="1"/>
    <col min="9251" max="9251" width="15.875" style="255" customWidth="1"/>
    <col min="9252" max="9252" width="8.125" style="255" customWidth="1"/>
    <col min="9253" max="9256" width="10.375" style="255" customWidth="1"/>
    <col min="9257" max="9257" width="7.25" style="255" customWidth="1"/>
    <col min="9258" max="9258" width="7.125" style="255" customWidth="1"/>
    <col min="9259" max="9259" width="9.5" style="255" customWidth="1"/>
    <col min="9260" max="9261" width="9" style="255" customWidth="1"/>
    <col min="9262" max="9262" width="16.125" style="255" customWidth="1"/>
    <col min="9263" max="9293" width="9" style="255" customWidth="1"/>
    <col min="9294" max="9453" width="25.25" style="255"/>
    <col min="9454" max="9483" width="9" style="255" customWidth="1"/>
    <col min="9484" max="9484" width="0.5" style="255" customWidth="1"/>
    <col min="9485" max="9485" width="25.25" style="255"/>
    <col min="9486" max="9486" width="0.5" style="255" customWidth="1"/>
    <col min="9487" max="9487" width="25.25" style="255"/>
    <col min="9488" max="9488" width="14.75" style="255" customWidth="1"/>
    <col min="9489" max="9489" width="11.5" style="255" customWidth="1"/>
    <col min="9490" max="9490" width="11.25" style="255" customWidth="1"/>
    <col min="9491" max="9491" width="10.75" style="255" customWidth="1"/>
    <col min="9492" max="9492" width="10" style="255" customWidth="1"/>
    <col min="9493" max="9493" width="9.875" style="255" customWidth="1"/>
    <col min="9494" max="9494" width="26.125" style="255" customWidth="1"/>
    <col min="9495" max="9495" width="11.125" style="255" customWidth="1"/>
    <col min="9496" max="9496" width="7.875" style="255" customWidth="1"/>
    <col min="9497" max="9497" width="7.25" style="255" customWidth="1"/>
    <col min="9498" max="9498" width="9.125" style="255" customWidth="1"/>
    <col min="9499" max="9499" width="15.125" style="255" customWidth="1"/>
    <col min="9500" max="9500" width="7.75" style="255" customWidth="1"/>
    <col min="9501" max="9501" width="7.125" style="255" customWidth="1"/>
    <col min="9502" max="9502" width="12.125" style="255" customWidth="1"/>
    <col min="9503" max="9503" width="8.25" style="255" customWidth="1"/>
    <col min="9504" max="9505" width="10.375" style="255" customWidth="1"/>
    <col min="9506" max="9506" width="15.625" style="255" customWidth="1"/>
    <col min="9507" max="9507" width="15.875" style="255" customWidth="1"/>
    <col min="9508" max="9508" width="8.125" style="255" customWidth="1"/>
    <col min="9509" max="9512" width="10.375" style="255" customWidth="1"/>
    <col min="9513" max="9513" width="7.25" style="255" customWidth="1"/>
    <col min="9514" max="9514" width="7.125" style="255" customWidth="1"/>
    <col min="9515" max="9515" width="9.5" style="255" customWidth="1"/>
    <col min="9516" max="9517" width="9" style="255" customWidth="1"/>
    <col min="9518" max="9518" width="16.125" style="255" customWidth="1"/>
    <col min="9519" max="9549" width="9" style="255" customWidth="1"/>
    <col min="9550" max="9709" width="25.25" style="255"/>
    <col min="9710" max="9739" width="9" style="255" customWidth="1"/>
    <col min="9740" max="9740" width="0.5" style="255" customWidth="1"/>
    <col min="9741" max="9741" width="25.25" style="255"/>
    <col min="9742" max="9742" width="0.5" style="255" customWidth="1"/>
    <col min="9743" max="9743" width="25.25" style="255"/>
    <col min="9744" max="9744" width="14.75" style="255" customWidth="1"/>
    <col min="9745" max="9745" width="11.5" style="255" customWidth="1"/>
    <col min="9746" max="9746" width="11.25" style="255" customWidth="1"/>
    <col min="9747" max="9747" width="10.75" style="255" customWidth="1"/>
    <col min="9748" max="9748" width="10" style="255" customWidth="1"/>
    <col min="9749" max="9749" width="9.875" style="255" customWidth="1"/>
    <col min="9750" max="9750" width="26.125" style="255" customWidth="1"/>
    <col min="9751" max="9751" width="11.125" style="255" customWidth="1"/>
    <col min="9752" max="9752" width="7.875" style="255" customWidth="1"/>
    <col min="9753" max="9753" width="7.25" style="255" customWidth="1"/>
    <col min="9754" max="9754" width="9.125" style="255" customWidth="1"/>
    <col min="9755" max="9755" width="15.125" style="255" customWidth="1"/>
    <col min="9756" max="9756" width="7.75" style="255" customWidth="1"/>
    <col min="9757" max="9757" width="7.125" style="255" customWidth="1"/>
    <col min="9758" max="9758" width="12.125" style="255" customWidth="1"/>
    <col min="9759" max="9759" width="8.25" style="255" customWidth="1"/>
    <col min="9760" max="9761" width="10.375" style="255" customWidth="1"/>
    <col min="9762" max="9762" width="15.625" style="255" customWidth="1"/>
    <col min="9763" max="9763" width="15.875" style="255" customWidth="1"/>
    <col min="9764" max="9764" width="8.125" style="255" customWidth="1"/>
    <col min="9765" max="9768" width="10.375" style="255" customWidth="1"/>
    <col min="9769" max="9769" width="7.25" style="255" customWidth="1"/>
    <col min="9770" max="9770" width="7.125" style="255" customWidth="1"/>
    <col min="9771" max="9771" width="9.5" style="255" customWidth="1"/>
    <col min="9772" max="9773" width="9" style="255" customWidth="1"/>
    <col min="9774" max="9774" width="16.125" style="255" customWidth="1"/>
    <col min="9775" max="9805" width="9" style="255" customWidth="1"/>
    <col min="9806" max="9965" width="25.25" style="255"/>
    <col min="9966" max="9995" width="9" style="255" customWidth="1"/>
    <col min="9996" max="9996" width="0.5" style="255" customWidth="1"/>
    <col min="9997" max="9997" width="25.25" style="255"/>
    <col min="9998" max="9998" width="0.5" style="255" customWidth="1"/>
    <col min="9999" max="9999" width="25.25" style="255"/>
    <col min="10000" max="10000" width="14.75" style="255" customWidth="1"/>
    <col min="10001" max="10001" width="11.5" style="255" customWidth="1"/>
    <col min="10002" max="10002" width="11.25" style="255" customWidth="1"/>
    <col min="10003" max="10003" width="10.75" style="255" customWidth="1"/>
    <col min="10004" max="10004" width="10" style="255" customWidth="1"/>
    <col min="10005" max="10005" width="9.875" style="255" customWidth="1"/>
    <col min="10006" max="10006" width="26.125" style="255" customWidth="1"/>
    <col min="10007" max="10007" width="11.125" style="255" customWidth="1"/>
    <col min="10008" max="10008" width="7.875" style="255" customWidth="1"/>
    <col min="10009" max="10009" width="7.25" style="255" customWidth="1"/>
    <col min="10010" max="10010" width="9.125" style="255" customWidth="1"/>
    <col min="10011" max="10011" width="15.125" style="255" customWidth="1"/>
    <col min="10012" max="10012" width="7.75" style="255" customWidth="1"/>
    <col min="10013" max="10013" width="7.125" style="255" customWidth="1"/>
    <col min="10014" max="10014" width="12.125" style="255" customWidth="1"/>
    <col min="10015" max="10015" width="8.25" style="255" customWidth="1"/>
    <col min="10016" max="10017" width="10.375" style="255" customWidth="1"/>
    <col min="10018" max="10018" width="15.625" style="255" customWidth="1"/>
    <col min="10019" max="10019" width="15.875" style="255" customWidth="1"/>
    <col min="10020" max="10020" width="8.125" style="255" customWidth="1"/>
    <col min="10021" max="10024" width="10.375" style="255" customWidth="1"/>
    <col min="10025" max="10025" width="7.25" style="255" customWidth="1"/>
    <col min="10026" max="10026" width="7.125" style="255" customWidth="1"/>
    <col min="10027" max="10027" width="9.5" style="255" customWidth="1"/>
    <col min="10028" max="10029" width="9" style="255" customWidth="1"/>
    <col min="10030" max="10030" width="16.125" style="255" customWidth="1"/>
    <col min="10031" max="10061" width="9" style="255" customWidth="1"/>
    <col min="10062" max="10221" width="25.25" style="255"/>
    <col min="10222" max="10251" width="9" style="255" customWidth="1"/>
    <col min="10252" max="10252" width="0.5" style="255" customWidth="1"/>
    <col min="10253" max="10253" width="25.25" style="255"/>
    <col min="10254" max="10254" width="0.5" style="255" customWidth="1"/>
    <col min="10255" max="10255" width="25.25" style="255"/>
    <col min="10256" max="10256" width="14.75" style="255" customWidth="1"/>
    <col min="10257" max="10257" width="11.5" style="255" customWidth="1"/>
    <col min="10258" max="10258" width="11.25" style="255" customWidth="1"/>
    <col min="10259" max="10259" width="10.75" style="255" customWidth="1"/>
    <col min="10260" max="10260" width="10" style="255" customWidth="1"/>
    <col min="10261" max="10261" width="9.875" style="255" customWidth="1"/>
    <col min="10262" max="10262" width="26.125" style="255" customWidth="1"/>
    <col min="10263" max="10263" width="11.125" style="255" customWidth="1"/>
    <col min="10264" max="10264" width="7.875" style="255" customWidth="1"/>
    <col min="10265" max="10265" width="7.25" style="255" customWidth="1"/>
    <col min="10266" max="10266" width="9.125" style="255" customWidth="1"/>
    <col min="10267" max="10267" width="15.125" style="255" customWidth="1"/>
    <col min="10268" max="10268" width="7.75" style="255" customWidth="1"/>
    <col min="10269" max="10269" width="7.125" style="255" customWidth="1"/>
    <col min="10270" max="10270" width="12.125" style="255" customWidth="1"/>
    <col min="10271" max="10271" width="8.25" style="255" customWidth="1"/>
    <col min="10272" max="10273" width="10.375" style="255" customWidth="1"/>
    <col min="10274" max="10274" width="15.625" style="255" customWidth="1"/>
    <col min="10275" max="10275" width="15.875" style="255" customWidth="1"/>
    <col min="10276" max="10276" width="8.125" style="255" customWidth="1"/>
    <col min="10277" max="10280" width="10.375" style="255" customWidth="1"/>
    <col min="10281" max="10281" width="7.25" style="255" customWidth="1"/>
    <col min="10282" max="10282" width="7.125" style="255" customWidth="1"/>
    <col min="10283" max="10283" width="9.5" style="255" customWidth="1"/>
    <col min="10284" max="10285" width="9" style="255" customWidth="1"/>
    <col min="10286" max="10286" width="16.125" style="255" customWidth="1"/>
    <col min="10287" max="10317" width="9" style="255" customWidth="1"/>
    <col min="10318" max="10477" width="25.25" style="255"/>
    <col min="10478" max="10507" width="9" style="255" customWidth="1"/>
    <col min="10508" max="10508" width="0.5" style="255" customWidth="1"/>
    <col min="10509" max="10509" width="25.25" style="255"/>
    <col min="10510" max="10510" width="0.5" style="255" customWidth="1"/>
    <col min="10511" max="10511" width="25.25" style="255"/>
    <col min="10512" max="10512" width="14.75" style="255" customWidth="1"/>
    <col min="10513" max="10513" width="11.5" style="255" customWidth="1"/>
    <col min="10514" max="10514" width="11.25" style="255" customWidth="1"/>
    <col min="10515" max="10515" width="10.75" style="255" customWidth="1"/>
    <col min="10516" max="10516" width="10" style="255" customWidth="1"/>
    <col min="10517" max="10517" width="9.875" style="255" customWidth="1"/>
    <col min="10518" max="10518" width="26.125" style="255" customWidth="1"/>
    <col min="10519" max="10519" width="11.125" style="255" customWidth="1"/>
    <col min="10520" max="10520" width="7.875" style="255" customWidth="1"/>
    <col min="10521" max="10521" width="7.25" style="255" customWidth="1"/>
    <col min="10522" max="10522" width="9.125" style="255" customWidth="1"/>
    <col min="10523" max="10523" width="15.125" style="255" customWidth="1"/>
    <col min="10524" max="10524" width="7.75" style="255" customWidth="1"/>
    <col min="10525" max="10525" width="7.125" style="255" customWidth="1"/>
    <col min="10526" max="10526" width="12.125" style="255" customWidth="1"/>
    <col min="10527" max="10527" width="8.25" style="255" customWidth="1"/>
    <col min="10528" max="10529" width="10.375" style="255" customWidth="1"/>
    <col min="10530" max="10530" width="15.625" style="255" customWidth="1"/>
    <col min="10531" max="10531" width="15.875" style="255" customWidth="1"/>
    <col min="10532" max="10532" width="8.125" style="255" customWidth="1"/>
    <col min="10533" max="10536" width="10.375" style="255" customWidth="1"/>
    <col min="10537" max="10537" width="7.25" style="255" customWidth="1"/>
    <col min="10538" max="10538" width="7.125" style="255" customWidth="1"/>
    <col min="10539" max="10539" width="9.5" style="255" customWidth="1"/>
    <col min="10540" max="10541" width="9" style="255" customWidth="1"/>
    <col min="10542" max="10542" width="16.125" style="255" customWidth="1"/>
    <col min="10543" max="10573" width="9" style="255" customWidth="1"/>
    <col min="10574" max="10733" width="25.25" style="255"/>
    <col min="10734" max="10763" width="9" style="255" customWidth="1"/>
    <col min="10764" max="10764" width="0.5" style="255" customWidth="1"/>
    <col min="10765" max="10765" width="25.25" style="255"/>
    <col min="10766" max="10766" width="0.5" style="255" customWidth="1"/>
    <col min="10767" max="10767" width="25.25" style="255"/>
    <col min="10768" max="10768" width="14.75" style="255" customWidth="1"/>
    <col min="10769" max="10769" width="11.5" style="255" customWidth="1"/>
    <col min="10770" max="10770" width="11.25" style="255" customWidth="1"/>
    <col min="10771" max="10771" width="10.75" style="255" customWidth="1"/>
    <col min="10772" max="10772" width="10" style="255" customWidth="1"/>
    <col min="10773" max="10773" width="9.875" style="255" customWidth="1"/>
    <col min="10774" max="10774" width="26.125" style="255" customWidth="1"/>
    <col min="10775" max="10775" width="11.125" style="255" customWidth="1"/>
    <col min="10776" max="10776" width="7.875" style="255" customWidth="1"/>
    <col min="10777" max="10777" width="7.25" style="255" customWidth="1"/>
    <col min="10778" max="10778" width="9.125" style="255" customWidth="1"/>
    <col min="10779" max="10779" width="15.125" style="255" customWidth="1"/>
    <col min="10780" max="10780" width="7.75" style="255" customWidth="1"/>
    <col min="10781" max="10781" width="7.125" style="255" customWidth="1"/>
    <col min="10782" max="10782" width="12.125" style="255" customWidth="1"/>
    <col min="10783" max="10783" width="8.25" style="255" customWidth="1"/>
    <col min="10784" max="10785" width="10.375" style="255" customWidth="1"/>
    <col min="10786" max="10786" width="15.625" style="255" customWidth="1"/>
    <col min="10787" max="10787" width="15.875" style="255" customWidth="1"/>
    <col min="10788" max="10788" width="8.125" style="255" customWidth="1"/>
    <col min="10789" max="10792" width="10.375" style="255" customWidth="1"/>
    <col min="10793" max="10793" width="7.25" style="255" customWidth="1"/>
    <col min="10794" max="10794" width="7.125" style="255" customWidth="1"/>
    <col min="10795" max="10795" width="9.5" style="255" customWidth="1"/>
    <col min="10796" max="10797" width="9" style="255" customWidth="1"/>
    <col min="10798" max="10798" width="16.125" style="255" customWidth="1"/>
    <col min="10799" max="10829" width="9" style="255" customWidth="1"/>
    <col min="10830" max="10989" width="25.25" style="255"/>
    <col min="10990" max="11019" width="9" style="255" customWidth="1"/>
    <col min="11020" max="11020" width="0.5" style="255" customWidth="1"/>
    <col min="11021" max="11021" width="25.25" style="255"/>
    <col min="11022" max="11022" width="0.5" style="255" customWidth="1"/>
    <col min="11023" max="11023" width="25.25" style="255"/>
    <col min="11024" max="11024" width="14.75" style="255" customWidth="1"/>
    <col min="11025" max="11025" width="11.5" style="255" customWidth="1"/>
    <col min="11026" max="11026" width="11.25" style="255" customWidth="1"/>
    <col min="11027" max="11027" width="10.75" style="255" customWidth="1"/>
    <col min="11028" max="11028" width="10" style="255" customWidth="1"/>
    <col min="11029" max="11029" width="9.875" style="255" customWidth="1"/>
    <col min="11030" max="11030" width="26.125" style="255" customWidth="1"/>
    <col min="11031" max="11031" width="11.125" style="255" customWidth="1"/>
    <col min="11032" max="11032" width="7.875" style="255" customWidth="1"/>
    <col min="11033" max="11033" width="7.25" style="255" customWidth="1"/>
    <col min="11034" max="11034" width="9.125" style="255" customWidth="1"/>
    <col min="11035" max="11035" width="15.125" style="255" customWidth="1"/>
    <col min="11036" max="11036" width="7.75" style="255" customWidth="1"/>
    <col min="11037" max="11037" width="7.125" style="255" customWidth="1"/>
    <col min="11038" max="11038" width="12.125" style="255" customWidth="1"/>
    <col min="11039" max="11039" width="8.25" style="255" customWidth="1"/>
    <col min="11040" max="11041" width="10.375" style="255" customWidth="1"/>
    <col min="11042" max="11042" width="15.625" style="255" customWidth="1"/>
    <col min="11043" max="11043" width="15.875" style="255" customWidth="1"/>
    <col min="11044" max="11044" width="8.125" style="255" customWidth="1"/>
    <col min="11045" max="11048" width="10.375" style="255" customWidth="1"/>
    <col min="11049" max="11049" width="7.25" style="255" customWidth="1"/>
    <col min="11050" max="11050" width="7.125" style="255" customWidth="1"/>
    <col min="11051" max="11051" width="9.5" style="255" customWidth="1"/>
    <col min="11052" max="11053" width="9" style="255" customWidth="1"/>
    <col min="11054" max="11054" width="16.125" style="255" customWidth="1"/>
    <col min="11055" max="11085" width="9" style="255" customWidth="1"/>
    <col min="11086" max="11245" width="25.25" style="255"/>
    <col min="11246" max="11275" width="9" style="255" customWidth="1"/>
    <col min="11276" max="11276" width="0.5" style="255" customWidth="1"/>
    <col min="11277" max="11277" width="25.25" style="255"/>
    <col min="11278" max="11278" width="0.5" style="255" customWidth="1"/>
    <col min="11279" max="11279" width="25.25" style="255"/>
    <col min="11280" max="11280" width="14.75" style="255" customWidth="1"/>
    <col min="11281" max="11281" width="11.5" style="255" customWidth="1"/>
    <col min="11282" max="11282" width="11.25" style="255" customWidth="1"/>
    <col min="11283" max="11283" width="10.75" style="255" customWidth="1"/>
    <col min="11284" max="11284" width="10" style="255" customWidth="1"/>
    <col min="11285" max="11285" width="9.875" style="255" customWidth="1"/>
    <col min="11286" max="11286" width="26.125" style="255" customWidth="1"/>
    <col min="11287" max="11287" width="11.125" style="255" customWidth="1"/>
    <col min="11288" max="11288" width="7.875" style="255" customWidth="1"/>
    <col min="11289" max="11289" width="7.25" style="255" customWidth="1"/>
    <col min="11290" max="11290" width="9.125" style="255" customWidth="1"/>
    <col min="11291" max="11291" width="15.125" style="255" customWidth="1"/>
    <col min="11292" max="11292" width="7.75" style="255" customWidth="1"/>
    <col min="11293" max="11293" width="7.125" style="255" customWidth="1"/>
    <col min="11294" max="11294" width="12.125" style="255" customWidth="1"/>
    <col min="11295" max="11295" width="8.25" style="255" customWidth="1"/>
    <col min="11296" max="11297" width="10.375" style="255" customWidth="1"/>
    <col min="11298" max="11298" width="15.625" style="255" customWidth="1"/>
    <col min="11299" max="11299" width="15.875" style="255" customWidth="1"/>
    <col min="11300" max="11300" width="8.125" style="255" customWidth="1"/>
    <col min="11301" max="11304" width="10.375" style="255" customWidth="1"/>
    <col min="11305" max="11305" width="7.25" style="255" customWidth="1"/>
    <col min="11306" max="11306" width="7.125" style="255" customWidth="1"/>
    <col min="11307" max="11307" width="9.5" style="255" customWidth="1"/>
    <col min="11308" max="11309" width="9" style="255" customWidth="1"/>
    <col min="11310" max="11310" width="16.125" style="255" customWidth="1"/>
    <col min="11311" max="11341" width="9" style="255" customWidth="1"/>
    <col min="11342" max="11501" width="25.25" style="255"/>
    <col min="11502" max="11531" width="9" style="255" customWidth="1"/>
    <col min="11532" max="11532" width="0.5" style="255" customWidth="1"/>
    <col min="11533" max="11533" width="25.25" style="255"/>
    <col min="11534" max="11534" width="0.5" style="255" customWidth="1"/>
    <col min="11535" max="11535" width="25.25" style="255"/>
    <col min="11536" max="11536" width="14.75" style="255" customWidth="1"/>
    <col min="11537" max="11537" width="11.5" style="255" customWidth="1"/>
    <col min="11538" max="11538" width="11.25" style="255" customWidth="1"/>
    <col min="11539" max="11539" width="10.75" style="255" customWidth="1"/>
    <col min="11540" max="11540" width="10" style="255" customWidth="1"/>
    <col min="11541" max="11541" width="9.875" style="255" customWidth="1"/>
    <col min="11542" max="11542" width="26.125" style="255" customWidth="1"/>
    <col min="11543" max="11543" width="11.125" style="255" customWidth="1"/>
    <col min="11544" max="11544" width="7.875" style="255" customWidth="1"/>
    <col min="11545" max="11545" width="7.25" style="255" customWidth="1"/>
    <col min="11546" max="11546" width="9.125" style="255" customWidth="1"/>
    <col min="11547" max="11547" width="15.125" style="255" customWidth="1"/>
    <col min="11548" max="11548" width="7.75" style="255" customWidth="1"/>
    <col min="11549" max="11549" width="7.125" style="255" customWidth="1"/>
    <col min="11550" max="11550" width="12.125" style="255" customWidth="1"/>
    <col min="11551" max="11551" width="8.25" style="255" customWidth="1"/>
    <col min="11552" max="11553" width="10.375" style="255" customWidth="1"/>
    <col min="11554" max="11554" width="15.625" style="255" customWidth="1"/>
    <col min="11555" max="11555" width="15.875" style="255" customWidth="1"/>
    <col min="11556" max="11556" width="8.125" style="255" customWidth="1"/>
    <col min="11557" max="11560" width="10.375" style="255" customWidth="1"/>
    <col min="11561" max="11561" width="7.25" style="255" customWidth="1"/>
    <col min="11562" max="11562" width="7.125" style="255" customWidth="1"/>
    <col min="11563" max="11563" width="9.5" style="255" customWidth="1"/>
    <col min="11564" max="11565" width="9" style="255" customWidth="1"/>
    <col min="11566" max="11566" width="16.125" style="255" customWidth="1"/>
    <col min="11567" max="11597" width="9" style="255" customWidth="1"/>
    <col min="11598" max="11757" width="25.25" style="255"/>
    <col min="11758" max="11787" width="9" style="255" customWidth="1"/>
    <col min="11788" max="11788" width="0.5" style="255" customWidth="1"/>
    <col min="11789" max="11789" width="25.25" style="255"/>
    <col min="11790" max="11790" width="0.5" style="255" customWidth="1"/>
    <col min="11791" max="11791" width="25.25" style="255"/>
    <col min="11792" max="11792" width="14.75" style="255" customWidth="1"/>
    <col min="11793" max="11793" width="11.5" style="255" customWidth="1"/>
    <col min="11794" max="11794" width="11.25" style="255" customWidth="1"/>
    <col min="11795" max="11795" width="10.75" style="255" customWidth="1"/>
    <col min="11796" max="11796" width="10" style="255" customWidth="1"/>
    <col min="11797" max="11797" width="9.875" style="255" customWidth="1"/>
    <col min="11798" max="11798" width="26.125" style="255" customWidth="1"/>
    <col min="11799" max="11799" width="11.125" style="255" customWidth="1"/>
    <col min="11800" max="11800" width="7.875" style="255" customWidth="1"/>
    <col min="11801" max="11801" width="7.25" style="255" customWidth="1"/>
    <col min="11802" max="11802" width="9.125" style="255" customWidth="1"/>
    <col min="11803" max="11803" width="15.125" style="255" customWidth="1"/>
    <col min="11804" max="11804" width="7.75" style="255" customWidth="1"/>
    <col min="11805" max="11805" width="7.125" style="255" customWidth="1"/>
    <col min="11806" max="11806" width="12.125" style="255" customWidth="1"/>
    <col min="11807" max="11807" width="8.25" style="255" customWidth="1"/>
    <col min="11808" max="11809" width="10.375" style="255" customWidth="1"/>
    <col min="11810" max="11810" width="15.625" style="255" customWidth="1"/>
    <col min="11811" max="11811" width="15.875" style="255" customWidth="1"/>
    <col min="11812" max="11812" width="8.125" style="255" customWidth="1"/>
    <col min="11813" max="11816" width="10.375" style="255" customWidth="1"/>
    <col min="11817" max="11817" width="7.25" style="255" customWidth="1"/>
    <col min="11818" max="11818" width="7.125" style="255" customWidth="1"/>
    <col min="11819" max="11819" width="9.5" style="255" customWidth="1"/>
    <col min="11820" max="11821" width="9" style="255" customWidth="1"/>
    <col min="11822" max="11822" width="16.125" style="255" customWidth="1"/>
    <col min="11823" max="11853" width="9" style="255" customWidth="1"/>
    <col min="11854" max="12013" width="25.25" style="255"/>
    <col min="12014" max="12043" width="9" style="255" customWidth="1"/>
    <col min="12044" max="12044" width="0.5" style="255" customWidth="1"/>
    <col min="12045" max="12045" width="25.25" style="255"/>
    <col min="12046" max="12046" width="0.5" style="255" customWidth="1"/>
    <col min="12047" max="12047" width="25.25" style="255"/>
    <col min="12048" max="12048" width="14.75" style="255" customWidth="1"/>
    <col min="12049" max="12049" width="11.5" style="255" customWidth="1"/>
    <col min="12050" max="12050" width="11.25" style="255" customWidth="1"/>
    <col min="12051" max="12051" width="10.75" style="255" customWidth="1"/>
    <col min="12052" max="12052" width="10" style="255" customWidth="1"/>
    <col min="12053" max="12053" width="9.875" style="255" customWidth="1"/>
    <col min="12054" max="12054" width="26.125" style="255" customWidth="1"/>
    <col min="12055" max="12055" width="11.125" style="255" customWidth="1"/>
    <col min="12056" max="12056" width="7.875" style="255" customWidth="1"/>
    <col min="12057" max="12057" width="7.25" style="255" customWidth="1"/>
    <col min="12058" max="12058" width="9.125" style="255" customWidth="1"/>
    <col min="12059" max="12059" width="15.125" style="255" customWidth="1"/>
    <col min="12060" max="12060" width="7.75" style="255" customWidth="1"/>
    <col min="12061" max="12061" width="7.125" style="255" customWidth="1"/>
    <col min="12062" max="12062" width="12.125" style="255" customWidth="1"/>
    <col min="12063" max="12063" width="8.25" style="255" customWidth="1"/>
    <col min="12064" max="12065" width="10.375" style="255" customWidth="1"/>
    <col min="12066" max="12066" width="15.625" style="255" customWidth="1"/>
    <col min="12067" max="12067" width="15.875" style="255" customWidth="1"/>
    <col min="12068" max="12068" width="8.125" style="255" customWidth="1"/>
    <col min="12069" max="12072" width="10.375" style="255" customWidth="1"/>
    <col min="12073" max="12073" width="7.25" style="255" customWidth="1"/>
    <col min="12074" max="12074" width="7.125" style="255" customWidth="1"/>
    <col min="12075" max="12075" width="9.5" style="255" customWidth="1"/>
    <col min="12076" max="12077" width="9" style="255" customWidth="1"/>
    <col min="12078" max="12078" width="16.125" style="255" customWidth="1"/>
    <col min="12079" max="12109" width="9" style="255" customWidth="1"/>
    <col min="12110" max="12269" width="25.25" style="255"/>
    <col min="12270" max="12299" width="9" style="255" customWidth="1"/>
    <col min="12300" max="12300" width="0.5" style="255" customWidth="1"/>
    <col min="12301" max="12301" width="25.25" style="255"/>
    <col min="12302" max="12302" width="0.5" style="255" customWidth="1"/>
    <col min="12303" max="12303" width="25.25" style="255"/>
    <col min="12304" max="12304" width="14.75" style="255" customWidth="1"/>
    <col min="12305" max="12305" width="11.5" style="255" customWidth="1"/>
    <col min="12306" max="12306" width="11.25" style="255" customWidth="1"/>
    <col min="12307" max="12307" width="10.75" style="255" customWidth="1"/>
    <col min="12308" max="12308" width="10" style="255" customWidth="1"/>
    <col min="12309" max="12309" width="9.875" style="255" customWidth="1"/>
    <col min="12310" max="12310" width="26.125" style="255" customWidth="1"/>
    <col min="12311" max="12311" width="11.125" style="255" customWidth="1"/>
    <col min="12312" max="12312" width="7.875" style="255" customWidth="1"/>
    <col min="12313" max="12313" width="7.25" style="255" customWidth="1"/>
    <col min="12314" max="12314" width="9.125" style="255" customWidth="1"/>
    <col min="12315" max="12315" width="15.125" style="255" customWidth="1"/>
    <col min="12316" max="12316" width="7.75" style="255" customWidth="1"/>
    <col min="12317" max="12317" width="7.125" style="255" customWidth="1"/>
    <col min="12318" max="12318" width="12.125" style="255" customWidth="1"/>
    <col min="12319" max="12319" width="8.25" style="255" customWidth="1"/>
    <col min="12320" max="12321" width="10.375" style="255" customWidth="1"/>
    <col min="12322" max="12322" width="15.625" style="255" customWidth="1"/>
    <col min="12323" max="12323" width="15.875" style="255" customWidth="1"/>
    <col min="12324" max="12324" width="8.125" style="255" customWidth="1"/>
    <col min="12325" max="12328" width="10.375" style="255" customWidth="1"/>
    <col min="12329" max="12329" width="7.25" style="255" customWidth="1"/>
    <col min="12330" max="12330" width="7.125" style="255" customWidth="1"/>
    <col min="12331" max="12331" width="9.5" style="255" customWidth="1"/>
    <col min="12332" max="12333" width="9" style="255" customWidth="1"/>
    <col min="12334" max="12334" width="16.125" style="255" customWidth="1"/>
    <col min="12335" max="12365" width="9" style="255" customWidth="1"/>
    <col min="12366" max="12525" width="25.25" style="255"/>
    <col min="12526" max="12555" width="9" style="255" customWidth="1"/>
    <col min="12556" max="12556" width="0.5" style="255" customWidth="1"/>
    <col min="12557" max="12557" width="25.25" style="255"/>
    <col min="12558" max="12558" width="0.5" style="255" customWidth="1"/>
    <col min="12559" max="12559" width="25.25" style="255"/>
    <col min="12560" max="12560" width="14.75" style="255" customWidth="1"/>
    <col min="12561" max="12561" width="11.5" style="255" customWidth="1"/>
    <col min="12562" max="12562" width="11.25" style="255" customWidth="1"/>
    <col min="12563" max="12563" width="10.75" style="255" customWidth="1"/>
    <col min="12564" max="12564" width="10" style="255" customWidth="1"/>
    <col min="12565" max="12565" width="9.875" style="255" customWidth="1"/>
    <col min="12566" max="12566" width="26.125" style="255" customWidth="1"/>
    <col min="12567" max="12567" width="11.125" style="255" customWidth="1"/>
    <col min="12568" max="12568" width="7.875" style="255" customWidth="1"/>
    <col min="12569" max="12569" width="7.25" style="255" customWidth="1"/>
    <col min="12570" max="12570" width="9.125" style="255" customWidth="1"/>
    <col min="12571" max="12571" width="15.125" style="255" customWidth="1"/>
    <col min="12572" max="12572" width="7.75" style="255" customWidth="1"/>
    <col min="12573" max="12573" width="7.125" style="255" customWidth="1"/>
    <col min="12574" max="12574" width="12.125" style="255" customWidth="1"/>
    <col min="12575" max="12575" width="8.25" style="255" customWidth="1"/>
    <col min="12576" max="12577" width="10.375" style="255" customWidth="1"/>
    <col min="12578" max="12578" width="15.625" style="255" customWidth="1"/>
    <col min="12579" max="12579" width="15.875" style="255" customWidth="1"/>
    <col min="12580" max="12580" width="8.125" style="255" customWidth="1"/>
    <col min="12581" max="12584" width="10.375" style="255" customWidth="1"/>
    <col min="12585" max="12585" width="7.25" style="255" customWidth="1"/>
    <col min="12586" max="12586" width="7.125" style="255" customWidth="1"/>
    <col min="12587" max="12587" width="9.5" style="255" customWidth="1"/>
    <col min="12588" max="12589" width="9" style="255" customWidth="1"/>
    <col min="12590" max="12590" width="16.125" style="255" customWidth="1"/>
    <col min="12591" max="12621" width="9" style="255" customWidth="1"/>
    <col min="12622" max="12781" width="25.25" style="255"/>
    <col min="12782" max="12811" width="9" style="255" customWidth="1"/>
    <col min="12812" max="12812" width="0.5" style="255" customWidth="1"/>
    <col min="12813" max="12813" width="25.25" style="255"/>
    <col min="12814" max="12814" width="0.5" style="255" customWidth="1"/>
    <col min="12815" max="12815" width="25.25" style="255"/>
    <col min="12816" max="12816" width="14.75" style="255" customWidth="1"/>
    <col min="12817" max="12817" width="11.5" style="255" customWidth="1"/>
    <col min="12818" max="12818" width="11.25" style="255" customWidth="1"/>
    <col min="12819" max="12819" width="10.75" style="255" customWidth="1"/>
    <col min="12820" max="12820" width="10" style="255" customWidth="1"/>
    <col min="12821" max="12821" width="9.875" style="255" customWidth="1"/>
    <col min="12822" max="12822" width="26.125" style="255" customWidth="1"/>
    <col min="12823" max="12823" width="11.125" style="255" customWidth="1"/>
    <col min="12824" max="12824" width="7.875" style="255" customWidth="1"/>
    <col min="12825" max="12825" width="7.25" style="255" customWidth="1"/>
    <col min="12826" max="12826" width="9.125" style="255" customWidth="1"/>
    <col min="12827" max="12827" width="15.125" style="255" customWidth="1"/>
    <col min="12828" max="12828" width="7.75" style="255" customWidth="1"/>
    <col min="12829" max="12829" width="7.125" style="255" customWidth="1"/>
    <col min="12830" max="12830" width="12.125" style="255" customWidth="1"/>
    <col min="12831" max="12831" width="8.25" style="255" customWidth="1"/>
    <col min="12832" max="12833" width="10.375" style="255" customWidth="1"/>
    <col min="12834" max="12834" width="15.625" style="255" customWidth="1"/>
    <col min="12835" max="12835" width="15.875" style="255" customWidth="1"/>
    <col min="12836" max="12836" width="8.125" style="255" customWidth="1"/>
    <col min="12837" max="12840" width="10.375" style="255" customWidth="1"/>
    <col min="12841" max="12841" width="7.25" style="255" customWidth="1"/>
    <col min="12842" max="12842" width="7.125" style="255" customWidth="1"/>
    <col min="12843" max="12843" width="9.5" style="255" customWidth="1"/>
    <col min="12844" max="12845" width="9" style="255" customWidth="1"/>
    <col min="12846" max="12846" width="16.125" style="255" customWidth="1"/>
    <col min="12847" max="12877" width="9" style="255" customWidth="1"/>
    <col min="12878" max="13037" width="25.25" style="255"/>
    <col min="13038" max="13067" width="9" style="255" customWidth="1"/>
    <col min="13068" max="13068" width="0.5" style="255" customWidth="1"/>
    <col min="13069" max="13069" width="25.25" style="255"/>
    <col min="13070" max="13070" width="0.5" style="255" customWidth="1"/>
    <col min="13071" max="13071" width="25.25" style="255"/>
    <col min="13072" max="13072" width="14.75" style="255" customWidth="1"/>
    <col min="13073" max="13073" width="11.5" style="255" customWidth="1"/>
    <col min="13074" max="13074" width="11.25" style="255" customWidth="1"/>
    <col min="13075" max="13075" width="10.75" style="255" customWidth="1"/>
    <col min="13076" max="13076" width="10" style="255" customWidth="1"/>
    <col min="13077" max="13077" width="9.875" style="255" customWidth="1"/>
    <col min="13078" max="13078" width="26.125" style="255" customWidth="1"/>
    <col min="13079" max="13079" width="11.125" style="255" customWidth="1"/>
    <col min="13080" max="13080" width="7.875" style="255" customWidth="1"/>
    <col min="13081" max="13081" width="7.25" style="255" customWidth="1"/>
    <col min="13082" max="13082" width="9.125" style="255" customWidth="1"/>
    <col min="13083" max="13083" width="15.125" style="255" customWidth="1"/>
    <col min="13084" max="13084" width="7.75" style="255" customWidth="1"/>
    <col min="13085" max="13085" width="7.125" style="255" customWidth="1"/>
    <col min="13086" max="13086" width="12.125" style="255" customWidth="1"/>
    <col min="13087" max="13087" width="8.25" style="255" customWidth="1"/>
    <col min="13088" max="13089" width="10.375" style="255" customWidth="1"/>
    <col min="13090" max="13090" width="15.625" style="255" customWidth="1"/>
    <col min="13091" max="13091" width="15.875" style="255" customWidth="1"/>
    <col min="13092" max="13092" width="8.125" style="255" customWidth="1"/>
    <col min="13093" max="13096" width="10.375" style="255" customWidth="1"/>
    <col min="13097" max="13097" width="7.25" style="255" customWidth="1"/>
    <col min="13098" max="13098" width="7.125" style="255" customWidth="1"/>
    <col min="13099" max="13099" width="9.5" style="255" customWidth="1"/>
    <col min="13100" max="13101" width="9" style="255" customWidth="1"/>
    <col min="13102" max="13102" width="16.125" style="255" customWidth="1"/>
    <col min="13103" max="13133" width="9" style="255" customWidth="1"/>
    <col min="13134" max="13293" width="25.25" style="255"/>
    <col min="13294" max="13323" width="9" style="255" customWidth="1"/>
    <col min="13324" max="13324" width="0.5" style="255" customWidth="1"/>
    <col min="13325" max="13325" width="25.25" style="255"/>
    <col min="13326" max="13326" width="0.5" style="255" customWidth="1"/>
    <col min="13327" max="13327" width="25.25" style="255"/>
    <col min="13328" max="13328" width="14.75" style="255" customWidth="1"/>
    <col min="13329" max="13329" width="11.5" style="255" customWidth="1"/>
    <col min="13330" max="13330" width="11.25" style="255" customWidth="1"/>
    <col min="13331" max="13331" width="10.75" style="255" customWidth="1"/>
    <col min="13332" max="13332" width="10" style="255" customWidth="1"/>
    <col min="13333" max="13333" width="9.875" style="255" customWidth="1"/>
    <col min="13334" max="13334" width="26.125" style="255" customWidth="1"/>
    <col min="13335" max="13335" width="11.125" style="255" customWidth="1"/>
    <col min="13336" max="13336" width="7.875" style="255" customWidth="1"/>
    <col min="13337" max="13337" width="7.25" style="255" customWidth="1"/>
    <col min="13338" max="13338" width="9.125" style="255" customWidth="1"/>
    <col min="13339" max="13339" width="15.125" style="255" customWidth="1"/>
    <col min="13340" max="13340" width="7.75" style="255" customWidth="1"/>
    <col min="13341" max="13341" width="7.125" style="255" customWidth="1"/>
    <col min="13342" max="13342" width="12.125" style="255" customWidth="1"/>
    <col min="13343" max="13343" width="8.25" style="255" customWidth="1"/>
    <col min="13344" max="13345" width="10.375" style="255" customWidth="1"/>
    <col min="13346" max="13346" width="15.625" style="255" customWidth="1"/>
    <col min="13347" max="13347" width="15.875" style="255" customWidth="1"/>
    <col min="13348" max="13348" width="8.125" style="255" customWidth="1"/>
    <col min="13349" max="13352" width="10.375" style="255" customWidth="1"/>
    <col min="13353" max="13353" width="7.25" style="255" customWidth="1"/>
    <col min="13354" max="13354" width="7.125" style="255" customWidth="1"/>
    <col min="13355" max="13355" width="9.5" style="255" customWidth="1"/>
    <col min="13356" max="13357" width="9" style="255" customWidth="1"/>
    <col min="13358" max="13358" width="16.125" style="255" customWidth="1"/>
    <col min="13359" max="13389" width="9" style="255" customWidth="1"/>
    <col min="13390" max="13549" width="25.25" style="255"/>
    <col min="13550" max="13579" width="9" style="255" customWidth="1"/>
    <col min="13580" max="13580" width="0.5" style="255" customWidth="1"/>
    <col min="13581" max="13581" width="25.25" style="255"/>
    <col min="13582" max="13582" width="0.5" style="255" customWidth="1"/>
    <col min="13583" max="13583" width="25.25" style="255"/>
    <col min="13584" max="13584" width="14.75" style="255" customWidth="1"/>
    <col min="13585" max="13585" width="11.5" style="255" customWidth="1"/>
    <col min="13586" max="13586" width="11.25" style="255" customWidth="1"/>
    <col min="13587" max="13587" width="10.75" style="255" customWidth="1"/>
    <col min="13588" max="13588" width="10" style="255" customWidth="1"/>
    <col min="13589" max="13589" width="9.875" style="255" customWidth="1"/>
    <col min="13590" max="13590" width="26.125" style="255" customWidth="1"/>
    <col min="13591" max="13591" width="11.125" style="255" customWidth="1"/>
    <col min="13592" max="13592" width="7.875" style="255" customWidth="1"/>
    <col min="13593" max="13593" width="7.25" style="255" customWidth="1"/>
    <col min="13594" max="13594" width="9.125" style="255" customWidth="1"/>
    <col min="13595" max="13595" width="15.125" style="255" customWidth="1"/>
    <col min="13596" max="13596" width="7.75" style="255" customWidth="1"/>
    <col min="13597" max="13597" width="7.125" style="255" customWidth="1"/>
    <col min="13598" max="13598" width="12.125" style="255" customWidth="1"/>
    <col min="13599" max="13599" width="8.25" style="255" customWidth="1"/>
    <col min="13600" max="13601" width="10.375" style="255" customWidth="1"/>
    <col min="13602" max="13602" width="15.625" style="255" customWidth="1"/>
    <col min="13603" max="13603" width="15.875" style="255" customWidth="1"/>
    <col min="13604" max="13604" width="8.125" style="255" customWidth="1"/>
    <col min="13605" max="13608" width="10.375" style="255" customWidth="1"/>
    <col min="13609" max="13609" width="7.25" style="255" customWidth="1"/>
    <col min="13610" max="13610" width="7.125" style="255" customWidth="1"/>
    <col min="13611" max="13611" width="9.5" style="255" customWidth="1"/>
    <col min="13612" max="13613" width="9" style="255" customWidth="1"/>
    <col min="13614" max="13614" width="16.125" style="255" customWidth="1"/>
    <col min="13615" max="13645" width="9" style="255" customWidth="1"/>
    <col min="13646" max="13805" width="25.25" style="255"/>
    <col min="13806" max="13835" width="9" style="255" customWidth="1"/>
    <col min="13836" max="13836" width="0.5" style="255" customWidth="1"/>
    <col min="13837" max="13837" width="25.25" style="255"/>
    <col min="13838" max="13838" width="0.5" style="255" customWidth="1"/>
    <col min="13839" max="13839" width="25.25" style="255"/>
    <col min="13840" max="13840" width="14.75" style="255" customWidth="1"/>
    <col min="13841" max="13841" width="11.5" style="255" customWidth="1"/>
    <col min="13842" max="13842" width="11.25" style="255" customWidth="1"/>
    <col min="13843" max="13843" width="10.75" style="255" customWidth="1"/>
    <col min="13844" max="13844" width="10" style="255" customWidth="1"/>
    <col min="13845" max="13845" width="9.875" style="255" customWidth="1"/>
    <col min="13846" max="13846" width="26.125" style="255" customWidth="1"/>
    <col min="13847" max="13847" width="11.125" style="255" customWidth="1"/>
    <col min="13848" max="13848" width="7.875" style="255" customWidth="1"/>
    <col min="13849" max="13849" width="7.25" style="255" customWidth="1"/>
    <col min="13850" max="13850" width="9.125" style="255" customWidth="1"/>
    <col min="13851" max="13851" width="15.125" style="255" customWidth="1"/>
    <col min="13852" max="13852" width="7.75" style="255" customWidth="1"/>
    <col min="13853" max="13853" width="7.125" style="255" customWidth="1"/>
    <col min="13854" max="13854" width="12.125" style="255" customWidth="1"/>
    <col min="13855" max="13855" width="8.25" style="255" customWidth="1"/>
    <col min="13856" max="13857" width="10.375" style="255" customWidth="1"/>
    <col min="13858" max="13858" width="15.625" style="255" customWidth="1"/>
    <col min="13859" max="13859" width="15.875" style="255" customWidth="1"/>
    <col min="13860" max="13860" width="8.125" style="255" customWidth="1"/>
    <col min="13861" max="13864" width="10.375" style="255" customWidth="1"/>
    <col min="13865" max="13865" width="7.25" style="255" customWidth="1"/>
    <col min="13866" max="13866" width="7.125" style="255" customWidth="1"/>
    <col min="13867" max="13867" width="9.5" style="255" customWidth="1"/>
    <col min="13868" max="13869" width="9" style="255" customWidth="1"/>
    <col min="13870" max="13870" width="16.125" style="255" customWidth="1"/>
    <col min="13871" max="13901" width="9" style="255" customWidth="1"/>
    <col min="13902" max="14061" width="25.25" style="255"/>
    <col min="14062" max="14091" width="9" style="255" customWidth="1"/>
    <col min="14092" max="14092" width="0.5" style="255" customWidth="1"/>
    <col min="14093" max="14093" width="25.25" style="255"/>
    <col min="14094" max="14094" width="0.5" style="255" customWidth="1"/>
    <col min="14095" max="14095" width="25.25" style="255"/>
    <col min="14096" max="14096" width="14.75" style="255" customWidth="1"/>
    <col min="14097" max="14097" width="11.5" style="255" customWidth="1"/>
    <col min="14098" max="14098" width="11.25" style="255" customWidth="1"/>
    <col min="14099" max="14099" width="10.75" style="255" customWidth="1"/>
    <col min="14100" max="14100" width="10" style="255" customWidth="1"/>
    <col min="14101" max="14101" width="9.875" style="255" customWidth="1"/>
    <col min="14102" max="14102" width="26.125" style="255" customWidth="1"/>
    <col min="14103" max="14103" width="11.125" style="255" customWidth="1"/>
    <col min="14104" max="14104" width="7.875" style="255" customWidth="1"/>
    <col min="14105" max="14105" width="7.25" style="255" customWidth="1"/>
    <col min="14106" max="14106" width="9.125" style="255" customWidth="1"/>
    <col min="14107" max="14107" width="15.125" style="255" customWidth="1"/>
    <col min="14108" max="14108" width="7.75" style="255" customWidth="1"/>
    <col min="14109" max="14109" width="7.125" style="255" customWidth="1"/>
    <col min="14110" max="14110" width="12.125" style="255" customWidth="1"/>
    <col min="14111" max="14111" width="8.25" style="255" customWidth="1"/>
    <col min="14112" max="14113" width="10.375" style="255" customWidth="1"/>
    <col min="14114" max="14114" width="15.625" style="255" customWidth="1"/>
    <col min="14115" max="14115" width="15.875" style="255" customWidth="1"/>
    <col min="14116" max="14116" width="8.125" style="255" customWidth="1"/>
    <col min="14117" max="14120" width="10.375" style="255" customWidth="1"/>
    <col min="14121" max="14121" width="7.25" style="255" customWidth="1"/>
    <col min="14122" max="14122" width="7.125" style="255" customWidth="1"/>
    <col min="14123" max="14123" width="9.5" style="255" customWidth="1"/>
    <col min="14124" max="14125" width="9" style="255" customWidth="1"/>
    <col min="14126" max="14126" width="16.125" style="255" customWidth="1"/>
    <col min="14127" max="14157" width="9" style="255" customWidth="1"/>
    <col min="14158" max="14317" width="25.25" style="255"/>
    <col min="14318" max="14347" width="9" style="255" customWidth="1"/>
    <col min="14348" max="14348" width="0.5" style="255" customWidth="1"/>
    <col min="14349" max="14349" width="25.25" style="255"/>
    <col min="14350" max="14350" width="0.5" style="255" customWidth="1"/>
    <col min="14351" max="14351" width="25.25" style="255"/>
    <col min="14352" max="14352" width="14.75" style="255" customWidth="1"/>
    <col min="14353" max="14353" width="11.5" style="255" customWidth="1"/>
    <col min="14354" max="14354" width="11.25" style="255" customWidth="1"/>
    <col min="14355" max="14355" width="10.75" style="255" customWidth="1"/>
    <col min="14356" max="14356" width="10" style="255" customWidth="1"/>
    <col min="14357" max="14357" width="9.875" style="255" customWidth="1"/>
    <col min="14358" max="14358" width="26.125" style="255" customWidth="1"/>
    <col min="14359" max="14359" width="11.125" style="255" customWidth="1"/>
    <col min="14360" max="14360" width="7.875" style="255" customWidth="1"/>
    <col min="14361" max="14361" width="7.25" style="255" customWidth="1"/>
    <col min="14362" max="14362" width="9.125" style="255" customWidth="1"/>
    <col min="14363" max="14363" width="15.125" style="255" customWidth="1"/>
    <col min="14364" max="14364" width="7.75" style="255" customWidth="1"/>
    <col min="14365" max="14365" width="7.125" style="255" customWidth="1"/>
    <col min="14366" max="14366" width="12.125" style="255" customWidth="1"/>
    <col min="14367" max="14367" width="8.25" style="255" customWidth="1"/>
    <col min="14368" max="14369" width="10.375" style="255" customWidth="1"/>
    <col min="14370" max="14370" width="15.625" style="255" customWidth="1"/>
    <col min="14371" max="14371" width="15.875" style="255" customWidth="1"/>
    <col min="14372" max="14372" width="8.125" style="255" customWidth="1"/>
    <col min="14373" max="14376" width="10.375" style="255" customWidth="1"/>
    <col min="14377" max="14377" width="7.25" style="255" customWidth="1"/>
    <col min="14378" max="14378" width="7.125" style="255" customWidth="1"/>
    <col min="14379" max="14379" width="9.5" style="255" customWidth="1"/>
    <col min="14380" max="14381" width="9" style="255" customWidth="1"/>
    <col min="14382" max="14382" width="16.125" style="255" customWidth="1"/>
    <col min="14383" max="14413" width="9" style="255" customWidth="1"/>
    <col min="14414" max="14573" width="25.25" style="255"/>
    <col min="14574" max="14603" width="9" style="255" customWidth="1"/>
    <col min="14604" max="14604" width="0.5" style="255" customWidth="1"/>
    <col min="14605" max="14605" width="25.25" style="255"/>
    <col min="14606" max="14606" width="0.5" style="255" customWidth="1"/>
    <col min="14607" max="14607" width="25.25" style="255"/>
    <col min="14608" max="14608" width="14.75" style="255" customWidth="1"/>
    <col min="14609" max="14609" width="11.5" style="255" customWidth="1"/>
    <col min="14610" max="14610" width="11.25" style="255" customWidth="1"/>
    <col min="14611" max="14611" width="10.75" style="255" customWidth="1"/>
    <col min="14612" max="14612" width="10" style="255" customWidth="1"/>
    <col min="14613" max="14613" width="9.875" style="255" customWidth="1"/>
    <col min="14614" max="14614" width="26.125" style="255" customWidth="1"/>
    <col min="14615" max="14615" width="11.125" style="255" customWidth="1"/>
    <col min="14616" max="14616" width="7.875" style="255" customWidth="1"/>
    <col min="14617" max="14617" width="7.25" style="255" customWidth="1"/>
    <col min="14618" max="14618" width="9.125" style="255" customWidth="1"/>
    <col min="14619" max="14619" width="15.125" style="255" customWidth="1"/>
    <col min="14620" max="14620" width="7.75" style="255" customWidth="1"/>
    <col min="14621" max="14621" width="7.125" style="255" customWidth="1"/>
    <col min="14622" max="14622" width="12.125" style="255" customWidth="1"/>
    <col min="14623" max="14623" width="8.25" style="255" customWidth="1"/>
    <col min="14624" max="14625" width="10.375" style="255" customWidth="1"/>
    <col min="14626" max="14626" width="15.625" style="255" customWidth="1"/>
    <col min="14627" max="14627" width="15.875" style="255" customWidth="1"/>
    <col min="14628" max="14628" width="8.125" style="255" customWidth="1"/>
    <col min="14629" max="14632" width="10.375" style="255" customWidth="1"/>
    <col min="14633" max="14633" width="7.25" style="255" customWidth="1"/>
    <col min="14634" max="14634" width="7.125" style="255" customWidth="1"/>
    <col min="14635" max="14635" width="9.5" style="255" customWidth="1"/>
    <col min="14636" max="14637" width="9" style="255" customWidth="1"/>
    <col min="14638" max="14638" width="16.125" style="255" customWidth="1"/>
    <col min="14639" max="14669" width="9" style="255" customWidth="1"/>
    <col min="14670" max="14829" width="25.25" style="255"/>
    <col min="14830" max="14859" width="9" style="255" customWidth="1"/>
    <col min="14860" max="14860" width="0.5" style="255" customWidth="1"/>
    <col min="14861" max="14861" width="25.25" style="255"/>
    <col min="14862" max="14862" width="0.5" style="255" customWidth="1"/>
    <col min="14863" max="14863" width="25.25" style="255"/>
    <col min="14864" max="14864" width="14.75" style="255" customWidth="1"/>
    <col min="14865" max="14865" width="11.5" style="255" customWidth="1"/>
    <col min="14866" max="14866" width="11.25" style="255" customWidth="1"/>
    <col min="14867" max="14867" width="10.75" style="255" customWidth="1"/>
    <col min="14868" max="14868" width="10" style="255" customWidth="1"/>
    <col min="14869" max="14869" width="9.875" style="255" customWidth="1"/>
    <col min="14870" max="14870" width="26.125" style="255" customWidth="1"/>
    <col min="14871" max="14871" width="11.125" style="255" customWidth="1"/>
    <col min="14872" max="14872" width="7.875" style="255" customWidth="1"/>
    <col min="14873" max="14873" width="7.25" style="255" customWidth="1"/>
    <col min="14874" max="14874" width="9.125" style="255" customWidth="1"/>
    <col min="14875" max="14875" width="15.125" style="255" customWidth="1"/>
    <col min="14876" max="14876" width="7.75" style="255" customWidth="1"/>
    <col min="14877" max="14877" width="7.125" style="255" customWidth="1"/>
    <col min="14878" max="14878" width="12.125" style="255" customWidth="1"/>
    <col min="14879" max="14879" width="8.25" style="255" customWidth="1"/>
    <col min="14880" max="14881" width="10.375" style="255" customWidth="1"/>
    <col min="14882" max="14882" width="15.625" style="255" customWidth="1"/>
    <col min="14883" max="14883" width="15.875" style="255" customWidth="1"/>
    <col min="14884" max="14884" width="8.125" style="255" customWidth="1"/>
    <col min="14885" max="14888" width="10.375" style="255" customWidth="1"/>
    <col min="14889" max="14889" width="7.25" style="255" customWidth="1"/>
    <col min="14890" max="14890" width="7.125" style="255" customWidth="1"/>
    <col min="14891" max="14891" width="9.5" style="255" customWidth="1"/>
    <col min="14892" max="14893" width="9" style="255" customWidth="1"/>
    <col min="14894" max="14894" width="16.125" style="255" customWidth="1"/>
    <col min="14895" max="14925" width="9" style="255" customWidth="1"/>
    <col min="14926" max="15085" width="25.25" style="255"/>
    <col min="15086" max="15115" width="9" style="255" customWidth="1"/>
    <col min="15116" max="15116" width="0.5" style="255" customWidth="1"/>
    <col min="15117" max="15117" width="25.25" style="255"/>
    <col min="15118" max="15118" width="0.5" style="255" customWidth="1"/>
    <col min="15119" max="15119" width="25.25" style="255"/>
    <col min="15120" max="15120" width="14.75" style="255" customWidth="1"/>
    <col min="15121" max="15121" width="11.5" style="255" customWidth="1"/>
    <col min="15122" max="15122" width="11.25" style="255" customWidth="1"/>
    <col min="15123" max="15123" width="10.75" style="255" customWidth="1"/>
    <col min="15124" max="15124" width="10" style="255" customWidth="1"/>
    <col min="15125" max="15125" width="9.875" style="255" customWidth="1"/>
    <col min="15126" max="15126" width="26.125" style="255" customWidth="1"/>
    <col min="15127" max="15127" width="11.125" style="255" customWidth="1"/>
    <col min="15128" max="15128" width="7.875" style="255" customWidth="1"/>
    <col min="15129" max="15129" width="7.25" style="255" customWidth="1"/>
    <col min="15130" max="15130" width="9.125" style="255" customWidth="1"/>
    <col min="15131" max="15131" width="15.125" style="255" customWidth="1"/>
    <col min="15132" max="15132" width="7.75" style="255" customWidth="1"/>
    <col min="15133" max="15133" width="7.125" style="255" customWidth="1"/>
    <col min="15134" max="15134" width="12.125" style="255" customWidth="1"/>
    <col min="15135" max="15135" width="8.25" style="255" customWidth="1"/>
    <col min="15136" max="15137" width="10.375" style="255" customWidth="1"/>
    <col min="15138" max="15138" width="15.625" style="255" customWidth="1"/>
    <col min="15139" max="15139" width="15.875" style="255" customWidth="1"/>
    <col min="15140" max="15140" width="8.125" style="255" customWidth="1"/>
    <col min="15141" max="15144" width="10.375" style="255" customWidth="1"/>
    <col min="15145" max="15145" width="7.25" style="255" customWidth="1"/>
    <col min="15146" max="15146" width="7.125" style="255" customWidth="1"/>
    <col min="15147" max="15147" width="9.5" style="255" customWidth="1"/>
    <col min="15148" max="15149" width="9" style="255" customWidth="1"/>
    <col min="15150" max="15150" width="16.125" style="255" customWidth="1"/>
    <col min="15151" max="15181" width="9" style="255" customWidth="1"/>
    <col min="15182" max="15341" width="25.25" style="255"/>
    <col min="15342" max="15371" width="9" style="255" customWidth="1"/>
    <col min="15372" max="15372" width="0.5" style="255" customWidth="1"/>
    <col min="15373" max="15373" width="25.25" style="255"/>
    <col min="15374" max="15374" width="0.5" style="255" customWidth="1"/>
    <col min="15375" max="15375" width="25.25" style="255"/>
    <col min="15376" max="15376" width="14.75" style="255" customWidth="1"/>
    <col min="15377" max="15377" width="11.5" style="255" customWidth="1"/>
    <col min="15378" max="15378" width="11.25" style="255" customWidth="1"/>
    <col min="15379" max="15379" width="10.75" style="255" customWidth="1"/>
    <col min="15380" max="15380" width="10" style="255" customWidth="1"/>
    <col min="15381" max="15381" width="9.875" style="255" customWidth="1"/>
    <col min="15382" max="15382" width="26.125" style="255" customWidth="1"/>
    <col min="15383" max="15383" width="11.125" style="255" customWidth="1"/>
    <col min="15384" max="15384" width="7.875" style="255" customWidth="1"/>
    <col min="15385" max="15385" width="7.25" style="255" customWidth="1"/>
    <col min="15386" max="15386" width="9.125" style="255" customWidth="1"/>
    <col min="15387" max="15387" width="15.125" style="255" customWidth="1"/>
    <col min="15388" max="15388" width="7.75" style="255" customWidth="1"/>
    <col min="15389" max="15389" width="7.125" style="255" customWidth="1"/>
    <col min="15390" max="15390" width="12.125" style="255" customWidth="1"/>
    <col min="15391" max="15391" width="8.25" style="255" customWidth="1"/>
    <col min="15392" max="15393" width="10.375" style="255" customWidth="1"/>
    <col min="15394" max="15394" width="15.625" style="255" customWidth="1"/>
    <col min="15395" max="15395" width="15.875" style="255" customWidth="1"/>
    <col min="15396" max="15396" width="8.125" style="255" customWidth="1"/>
    <col min="15397" max="15400" width="10.375" style="255" customWidth="1"/>
    <col min="15401" max="15401" width="7.25" style="255" customWidth="1"/>
    <col min="15402" max="15402" width="7.125" style="255" customWidth="1"/>
    <col min="15403" max="15403" width="9.5" style="255" customWidth="1"/>
    <col min="15404" max="15405" width="9" style="255" customWidth="1"/>
    <col min="15406" max="15406" width="16.125" style="255" customWidth="1"/>
    <col min="15407" max="15437" width="9" style="255" customWidth="1"/>
    <col min="15438" max="15597" width="25.25" style="255"/>
    <col min="15598" max="15627" width="9" style="255" customWidth="1"/>
    <col min="15628" max="15628" width="0.5" style="255" customWidth="1"/>
    <col min="15629" max="15629" width="25.25" style="255"/>
    <col min="15630" max="15630" width="0.5" style="255" customWidth="1"/>
    <col min="15631" max="15631" width="25.25" style="255"/>
    <col min="15632" max="15632" width="14.75" style="255" customWidth="1"/>
    <col min="15633" max="15633" width="11.5" style="255" customWidth="1"/>
    <col min="15634" max="15634" width="11.25" style="255" customWidth="1"/>
    <col min="15635" max="15635" width="10.75" style="255" customWidth="1"/>
    <col min="15636" max="15636" width="10" style="255" customWidth="1"/>
    <col min="15637" max="15637" width="9.875" style="255" customWidth="1"/>
    <col min="15638" max="15638" width="26.125" style="255" customWidth="1"/>
    <col min="15639" max="15639" width="11.125" style="255" customWidth="1"/>
    <col min="15640" max="15640" width="7.875" style="255" customWidth="1"/>
    <col min="15641" max="15641" width="7.25" style="255" customWidth="1"/>
    <col min="15642" max="15642" width="9.125" style="255" customWidth="1"/>
    <col min="15643" max="15643" width="15.125" style="255" customWidth="1"/>
    <col min="15644" max="15644" width="7.75" style="255" customWidth="1"/>
    <col min="15645" max="15645" width="7.125" style="255" customWidth="1"/>
    <col min="15646" max="15646" width="12.125" style="255" customWidth="1"/>
    <col min="15647" max="15647" width="8.25" style="255" customWidth="1"/>
    <col min="15648" max="15649" width="10.375" style="255" customWidth="1"/>
    <col min="15650" max="15650" width="15.625" style="255" customWidth="1"/>
    <col min="15651" max="15651" width="15.875" style="255" customWidth="1"/>
    <col min="15652" max="15652" width="8.125" style="255" customWidth="1"/>
    <col min="15653" max="15656" width="10.375" style="255" customWidth="1"/>
    <col min="15657" max="15657" width="7.25" style="255" customWidth="1"/>
    <col min="15658" max="15658" width="7.125" style="255" customWidth="1"/>
    <col min="15659" max="15659" width="9.5" style="255" customWidth="1"/>
    <col min="15660" max="15661" width="9" style="255" customWidth="1"/>
    <col min="15662" max="15662" width="16.125" style="255" customWidth="1"/>
    <col min="15663" max="15693" width="9" style="255" customWidth="1"/>
    <col min="15694" max="15853" width="25.25" style="255"/>
    <col min="15854" max="15883" width="9" style="255" customWidth="1"/>
    <col min="15884" max="15884" width="0.5" style="255" customWidth="1"/>
    <col min="15885" max="15885" width="25.25" style="255"/>
    <col min="15886" max="15886" width="0.5" style="255" customWidth="1"/>
    <col min="15887" max="15887" width="25.25" style="255"/>
    <col min="15888" max="15888" width="14.75" style="255" customWidth="1"/>
    <col min="15889" max="15889" width="11.5" style="255" customWidth="1"/>
    <col min="15890" max="15890" width="11.25" style="255" customWidth="1"/>
    <col min="15891" max="15891" width="10.75" style="255" customWidth="1"/>
    <col min="15892" max="15892" width="10" style="255" customWidth="1"/>
    <col min="15893" max="15893" width="9.875" style="255" customWidth="1"/>
    <col min="15894" max="15894" width="26.125" style="255" customWidth="1"/>
    <col min="15895" max="15895" width="11.125" style="255" customWidth="1"/>
    <col min="15896" max="15896" width="7.875" style="255" customWidth="1"/>
    <col min="15897" max="15897" width="7.25" style="255" customWidth="1"/>
    <col min="15898" max="15898" width="9.125" style="255" customWidth="1"/>
    <col min="15899" max="15899" width="15.125" style="255" customWidth="1"/>
    <col min="15900" max="15900" width="7.75" style="255" customWidth="1"/>
    <col min="15901" max="15901" width="7.125" style="255" customWidth="1"/>
    <col min="15902" max="15902" width="12.125" style="255" customWidth="1"/>
    <col min="15903" max="15903" width="8.25" style="255" customWidth="1"/>
    <col min="15904" max="15905" width="10.375" style="255" customWidth="1"/>
    <col min="15906" max="15906" width="15.625" style="255" customWidth="1"/>
    <col min="15907" max="15907" width="15.875" style="255" customWidth="1"/>
    <col min="15908" max="15908" width="8.125" style="255" customWidth="1"/>
    <col min="15909" max="15912" width="10.375" style="255" customWidth="1"/>
    <col min="15913" max="15913" width="7.25" style="255" customWidth="1"/>
    <col min="15914" max="15914" width="7.125" style="255" customWidth="1"/>
    <col min="15915" max="15915" width="9.5" style="255" customWidth="1"/>
    <col min="15916" max="15917" width="9" style="255" customWidth="1"/>
    <col min="15918" max="15918" width="16.125" style="255" customWidth="1"/>
    <col min="15919" max="15949" width="9" style="255" customWidth="1"/>
    <col min="15950" max="16109" width="25.25" style="255"/>
    <col min="16110" max="16139" width="9" style="255" customWidth="1"/>
    <col min="16140" max="16140" width="0.5" style="255" customWidth="1"/>
    <col min="16141" max="16384" width="25.25" style="255"/>
  </cols>
  <sheetData>
    <row r="1" spans="1:16" ht="14.25" thickBot="1"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1"/>
      <c r="O1" s="1"/>
      <c r="P1" s="1"/>
    </row>
    <row r="2" spans="1:16" ht="18" customHeight="1">
      <c r="A2" s="5"/>
      <c r="B2" s="6" t="s">
        <v>402</v>
      </c>
      <c r="C2" s="254"/>
      <c r="D2" s="254" t="s">
        <v>9</v>
      </c>
      <c r="E2" s="254" t="s">
        <v>10</v>
      </c>
      <c r="F2" s="661" t="s">
        <v>11</v>
      </c>
      <c r="G2" s="661"/>
      <c r="H2" s="661"/>
      <c r="I2" s="662" t="s">
        <v>12</v>
      </c>
      <c r="J2" s="664" t="s">
        <v>13</v>
      </c>
      <c r="K2" s="665"/>
      <c r="L2" s="665"/>
      <c r="M2" s="666"/>
      <c r="N2" s="8"/>
      <c r="O2" s="8"/>
      <c r="P2" s="8"/>
    </row>
    <row r="3" spans="1:16" ht="18" customHeight="1">
      <c r="B3" s="9" t="s">
        <v>14</v>
      </c>
      <c r="C3" s="10" t="s">
        <v>15</v>
      </c>
      <c r="D3" s="10" t="s">
        <v>16</v>
      </c>
      <c r="E3" s="10" t="s">
        <v>17</v>
      </c>
      <c r="F3" s="10" t="s">
        <v>7</v>
      </c>
      <c r="G3" s="10" t="s">
        <v>5</v>
      </c>
      <c r="H3" s="10" t="s">
        <v>18</v>
      </c>
      <c r="I3" s="663"/>
      <c r="J3" s="11" t="s">
        <v>19</v>
      </c>
      <c r="K3" s="12" t="s">
        <v>20</v>
      </c>
      <c r="L3" s="12" t="s">
        <v>21</v>
      </c>
      <c r="M3" s="13" t="s">
        <v>22</v>
      </c>
      <c r="N3" s="14"/>
      <c r="P3" s="15"/>
    </row>
    <row r="4" spans="1:16" ht="18" customHeight="1">
      <c r="B4" s="667" t="str">
        <f ca="1">MID(CELL("filename",Q13),FIND("]",CELL("filename",Q13))+1,30)</f>
        <v>套窗</v>
      </c>
      <c r="C4" s="17" t="s">
        <v>23</v>
      </c>
      <c r="D4" s="17">
        <v>1200</v>
      </c>
      <c r="E4" s="17">
        <v>1342</v>
      </c>
      <c r="F4" s="222">
        <f>D4*E4/10^6</f>
        <v>1.6104000000000001</v>
      </c>
      <c r="G4" s="17">
        <v>1</v>
      </c>
      <c r="H4" s="17">
        <f>F4*G4</f>
        <v>1.6104000000000001</v>
      </c>
      <c r="I4" s="663"/>
      <c r="J4" s="19">
        <v>40</v>
      </c>
      <c r="K4" s="20">
        <v>20</v>
      </c>
      <c r="L4" s="21">
        <v>1.5</v>
      </c>
      <c r="M4" s="22">
        <f t="shared" ref="M4:M11" si="0">ROUND(((J4*K4)-(J4-2*L4)*(K4-2*L4))*7.8/1000,3)</f>
        <v>1.3340000000000001</v>
      </c>
    </row>
    <row r="5" spans="1:16" ht="18" customHeight="1">
      <c r="B5" s="668"/>
      <c r="C5" s="221" t="s">
        <v>299</v>
      </c>
      <c r="D5" s="221">
        <f>D4-70</f>
        <v>1130</v>
      </c>
      <c r="E5" s="221">
        <f>E4-70</f>
        <v>1272</v>
      </c>
      <c r="F5" s="222">
        <f>D5*E5/10^6</f>
        <v>1.43736</v>
      </c>
      <c r="G5" s="221">
        <v>1</v>
      </c>
      <c r="H5" s="222">
        <f>F5*G5</f>
        <v>1.43736</v>
      </c>
      <c r="I5" s="663"/>
      <c r="J5" s="19">
        <v>40</v>
      </c>
      <c r="K5" s="20">
        <v>20</v>
      </c>
      <c r="L5" s="21">
        <v>2</v>
      </c>
      <c r="M5" s="22">
        <f t="shared" si="0"/>
        <v>1.7470000000000001</v>
      </c>
    </row>
    <row r="6" spans="1:16" ht="18" customHeight="1">
      <c r="B6" s="669"/>
      <c r="C6" s="17" t="s">
        <v>24</v>
      </c>
      <c r="D6" s="17">
        <f>D4</f>
        <v>1200</v>
      </c>
      <c r="E6" s="17">
        <f>E4</f>
        <v>1342</v>
      </c>
      <c r="F6" s="18">
        <f>D6*E6/10^6</f>
        <v>1.6104000000000001</v>
      </c>
      <c r="G6" s="17">
        <v>1</v>
      </c>
      <c r="H6" s="18">
        <f>F6*G6</f>
        <v>1.6104000000000001</v>
      </c>
      <c r="I6" s="663"/>
      <c r="J6" s="19">
        <v>40</v>
      </c>
      <c r="K6" s="20">
        <v>20</v>
      </c>
      <c r="L6" s="21">
        <v>2</v>
      </c>
      <c r="M6" s="22">
        <f t="shared" si="0"/>
        <v>1.7470000000000001</v>
      </c>
    </row>
    <row r="7" spans="1:16" ht="18" customHeight="1">
      <c r="B7" s="23" t="s">
        <v>25</v>
      </c>
      <c r="C7" s="252" t="s">
        <v>16</v>
      </c>
      <c r="D7" s="252" t="s">
        <v>26</v>
      </c>
      <c r="E7" s="252" t="s">
        <v>17</v>
      </c>
      <c r="F7" s="252" t="s">
        <v>27</v>
      </c>
      <c r="G7" s="252" t="s">
        <v>22</v>
      </c>
      <c r="H7" s="252" t="s">
        <v>28</v>
      </c>
      <c r="I7" s="25" t="s">
        <v>29</v>
      </c>
      <c r="J7" s="19">
        <v>80</v>
      </c>
      <c r="K7" s="20">
        <v>40</v>
      </c>
      <c r="L7" s="21">
        <v>2</v>
      </c>
      <c r="M7" s="22">
        <f t="shared" si="0"/>
        <v>3.6190000000000002</v>
      </c>
    </row>
    <row r="8" spans="1:16" ht="18" customHeight="1">
      <c r="B8" s="251" t="s">
        <v>30</v>
      </c>
      <c r="C8" s="27">
        <f>D4-30</f>
        <v>1170</v>
      </c>
      <c r="D8" s="27">
        <v>2</v>
      </c>
      <c r="E8" s="27">
        <f>E4-30</f>
        <v>1312</v>
      </c>
      <c r="F8" s="27">
        <v>2</v>
      </c>
      <c r="G8" s="28">
        <f>M4</f>
        <v>1.3340000000000001</v>
      </c>
      <c r="H8" s="29"/>
      <c r="I8" s="30">
        <f>ROUND((C8*D8+E8*F8)*G8*H8/1000*1.1,2)</f>
        <v>0</v>
      </c>
      <c r="J8" s="19">
        <v>40</v>
      </c>
      <c r="K8" s="20">
        <v>20</v>
      </c>
      <c r="L8" s="21">
        <v>1.4</v>
      </c>
      <c r="M8" s="22">
        <f>ROUND(((J8*K8)-(J8-2*L8)*(K8-2*L8))*2.71/1000,3)</f>
        <v>0.434</v>
      </c>
    </row>
    <row r="9" spans="1:16" ht="18" customHeight="1">
      <c r="B9" s="251" t="s">
        <v>30</v>
      </c>
      <c r="C9" s="250"/>
      <c r="D9" s="250"/>
      <c r="E9" s="250"/>
      <c r="F9" s="250"/>
      <c r="G9" s="28">
        <v>1.7470000000000001</v>
      </c>
      <c r="H9" s="32">
        <f>H8</f>
        <v>0</v>
      </c>
      <c r="I9" s="30">
        <f>ROUND((C9*D9+E9*F9)*G9*H9/1000*1.1,2)</f>
        <v>0</v>
      </c>
      <c r="J9" s="19"/>
      <c r="K9" s="20"/>
      <c r="L9" s="21"/>
      <c r="M9" s="22">
        <f t="shared" si="0"/>
        <v>0</v>
      </c>
    </row>
    <row r="10" spans="1:16" ht="18" customHeight="1">
      <c r="B10" s="251" t="s">
        <v>31</v>
      </c>
      <c r="C10" s="250"/>
      <c r="D10" s="250"/>
      <c r="E10" s="250"/>
      <c r="F10" s="250"/>
      <c r="G10" s="28">
        <v>3.6190000000000002</v>
      </c>
      <c r="H10" s="32">
        <f>H9</f>
        <v>0</v>
      </c>
      <c r="I10" s="30">
        <f>ROUND((C10*D10+E10*F10)*G10*H10/1000*1.1,2)</f>
        <v>0</v>
      </c>
      <c r="J10" s="19"/>
      <c r="K10" s="20"/>
      <c r="L10" s="12"/>
      <c r="M10" s="22">
        <f t="shared" si="0"/>
        <v>0</v>
      </c>
    </row>
    <row r="11" spans="1:16" ht="18" customHeight="1" thickBot="1">
      <c r="B11" s="251" t="s">
        <v>32</v>
      </c>
      <c r="C11" s="250"/>
      <c r="D11" s="250"/>
      <c r="E11" s="250"/>
      <c r="F11" s="250"/>
      <c r="G11" s="28">
        <v>2.9950000000000001</v>
      </c>
      <c r="H11" s="32">
        <f>H10</f>
        <v>0</v>
      </c>
      <c r="I11" s="30">
        <f>ROUND((C11*D11+E11*F11)*G11*H11/1000*1.1,2)</f>
        <v>0</v>
      </c>
      <c r="J11" s="33"/>
      <c r="K11" s="34"/>
      <c r="L11" s="35"/>
      <c r="M11" s="36">
        <f t="shared" si="0"/>
        <v>0</v>
      </c>
    </row>
    <row r="12" spans="1:16" ht="18" customHeight="1">
      <c r="B12" s="37" t="s">
        <v>33</v>
      </c>
      <c r="C12" s="38" t="e">
        <f>((I9+I10+I8+I11)/H8)/F4</f>
        <v>#DIV/0!</v>
      </c>
      <c r="D12" s="39" t="s">
        <v>34</v>
      </c>
      <c r="E12" s="38">
        <f>(I9+I10+I8+I11)/F4</f>
        <v>0</v>
      </c>
      <c r="F12" s="40" t="s">
        <v>35</v>
      </c>
      <c r="G12" s="39"/>
      <c r="H12" s="39" t="e">
        <f>ROUND(SUM(I8:I11)/H8,2)</f>
        <v>#DIV/0!</v>
      </c>
      <c r="I12" s="41">
        <f>SUM(I8:I11)</f>
        <v>0</v>
      </c>
      <c r="J12" s="42"/>
    </row>
    <row r="13" spans="1:16" ht="18" customHeight="1">
      <c r="B13" s="23" t="s">
        <v>36</v>
      </c>
      <c r="C13" s="252" t="s">
        <v>14</v>
      </c>
      <c r="D13" s="252" t="s">
        <v>37</v>
      </c>
      <c r="E13" s="252" t="s">
        <v>38</v>
      </c>
      <c r="F13" s="252" t="s">
        <v>39</v>
      </c>
      <c r="G13" s="252" t="s">
        <v>8</v>
      </c>
      <c r="H13" s="252" t="s">
        <v>22</v>
      </c>
      <c r="I13" s="25" t="s">
        <v>40</v>
      </c>
    </row>
    <row r="14" spans="1:16" ht="18" customHeight="1">
      <c r="B14" s="648" t="s">
        <v>41</v>
      </c>
      <c r="C14" s="649" t="s">
        <v>404</v>
      </c>
      <c r="D14" s="250">
        <f>D6</f>
        <v>1200</v>
      </c>
      <c r="E14" s="250">
        <f>E6</f>
        <v>1342</v>
      </c>
      <c r="F14" s="44">
        <f>ROUND((D14+E14)*2/1000,4)</f>
        <v>5.0839999999999996</v>
      </c>
      <c r="G14" s="250">
        <v>1</v>
      </c>
      <c r="H14" s="250">
        <v>1.47</v>
      </c>
      <c r="I14" s="247">
        <f>ROUND(F14*G14*H14,3)</f>
        <v>7.4729999999999999</v>
      </c>
      <c r="J14" s="42"/>
      <c r="K14" s="46"/>
      <c r="L14" s="46"/>
      <c r="M14" s="42"/>
    </row>
    <row r="15" spans="1:16" ht="18" customHeight="1">
      <c r="B15" s="648"/>
      <c r="C15" s="650"/>
      <c r="D15" s="250"/>
      <c r="E15" s="250"/>
      <c r="F15" s="44">
        <f t="shared" ref="F15:F21" si="1">ROUND((D15+E15)*2/1000,4)</f>
        <v>0</v>
      </c>
      <c r="G15" s="250"/>
      <c r="H15" s="250">
        <f t="shared" ref="H15:H21" si="2">H14</f>
        <v>1.47</v>
      </c>
      <c r="I15" s="247">
        <f t="shared" ref="I15:I21" si="3">ROUND(F15*G15*H15,3)</f>
        <v>0</v>
      </c>
      <c r="K15" s="47"/>
      <c r="M15" s="255"/>
    </row>
    <row r="16" spans="1:16" ht="18" customHeight="1">
      <c r="B16" s="648"/>
      <c r="C16" s="650"/>
      <c r="D16" s="250"/>
      <c r="E16" s="250"/>
      <c r="F16" s="44">
        <f t="shared" si="1"/>
        <v>0</v>
      </c>
      <c r="G16" s="250"/>
      <c r="H16" s="250">
        <f t="shared" si="2"/>
        <v>1.47</v>
      </c>
      <c r="I16" s="247">
        <f t="shared" si="3"/>
        <v>0</v>
      </c>
      <c r="K16" s="47"/>
      <c r="L16" s="46"/>
      <c r="M16" s="42"/>
    </row>
    <row r="17" spans="2:15" ht="18" customHeight="1">
      <c r="B17" s="648"/>
      <c r="C17" s="650"/>
      <c r="D17" s="250"/>
      <c r="E17" s="250"/>
      <c r="F17" s="44">
        <f t="shared" si="1"/>
        <v>0</v>
      </c>
      <c r="G17" s="250"/>
      <c r="H17" s="250">
        <f t="shared" si="2"/>
        <v>1.47</v>
      </c>
      <c r="I17" s="247">
        <f t="shared" si="3"/>
        <v>0</v>
      </c>
      <c r="K17" s="47"/>
      <c r="M17" s="42"/>
    </row>
    <row r="18" spans="2:15" ht="18" customHeight="1">
      <c r="B18" s="648"/>
      <c r="C18" s="650"/>
      <c r="D18" s="250"/>
      <c r="E18" s="250"/>
      <c r="F18" s="44">
        <f t="shared" si="1"/>
        <v>0</v>
      </c>
      <c r="G18" s="250"/>
      <c r="H18" s="250">
        <f t="shared" si="2"/>
        <v>1.47</v>
      </c>
      <c r="I18" s="247">
        <f t="shared" si="3"/>
        <v>0</v>
      </c>
      <c r="M18" s="42"/>
    </row>
    <row r="19" spans="2:15" ht="18" customHeight="1">
      <c r="B19" s="648"/>
      <c r="C19" s="650"/>
      <c r="D19" s="250"/>
      <c r="E19" s="250"/>
      <c r="F19" s="44">
        <f t="shared" si="1"/>
        <v>0</v>
      </c>
      <c r="G19" s="250"/>
      <c r="H19" s="250">
        <f t="shared" si="2"/>
        <v>1.47</v>
      </c>
      <c r="I19" s="247">
        <f t="shared" si="3"/>
        <v>0</v>
      </c>
      <c r="M19" s="42"/>
    </row>
    <row r="20" spans="2:15" ht="18" customHeight="1">
      <c r="B20" s="648"/>
      <c r="C20" s="650"/>
      <c r="D20" s="250"/>
      <c r="E20" s="250"/>
      <c r="F20" s="44">
        <f t="shared" si="1"/>
        <v>0</v>
      </c>
      <c r="G20" s="250"/>
      <c r="H20" s="250">
        <f t="shared" si="2"/>
        <v>1.47</v>
      </c>
      <c r="I20" s="247">
        <f t="shared" si="3"/>
        <v>0</v>
      </c>
      <c r="K20" s="47"/>
      <c r="M20" s="42"/>
    </row>
    <row r="21" spans="2:15" ht="18" customHeight="1">
      <c r="B21" s="648"/>
      <c r="C21" s="651"/>
      <c r="D21" s="250"/>
      <c r="E21" s="250"/>
      <c r="F21" s="44">
        <f t="shared" si="1"/>
        <v>0</v>
      </c>
      <c r="G21" s="250"/>
      <c r="H21" s="250">
        <f t="shared" si="2"/>
        <v>1.47</v>
      </c>
      <c r="I21" s="247">
        <f t="shared" si="3"/>
        <v>0</v>
      </c>
    </row>
    <row r="22" spans="2:15" ht="18" customHeight="1">
      <c r="B22" s="48" t="s">
        <v>42</v>
      </c>
      <c r="C22" s="49">
        <f>SUMPRODUCT(F14:F21*G14:G21)</f>
        <v>5.0839999999999996</v>
      </c>
      <c r="D22" s="50" t="s">
        <v>43</v>
      </c>
      <c r="E22" s="49">
        <f>SUM(I14:I21)*1.1</f>
        <v>8.2202999999999999</v>
      </c>
      <c r="F22" s="50" t="s">
        <v>44</v>
      </c>
      <c r="G22" s="51">
        <f>(C$218+C$219)/1000</f>
        <v>46.081499999999998</v>
      </c>
      <c r="H22" s="52" t="s">
        <v>45</v>
      </c>
      <c r="I22" s="53">
        <f>ROUND(E22*G22,2)</f>
        <v>378.8</v>
      </c>
      <c r="J22" s="243">
        <f>SUM(G14:G21)</f>
        <v>1</v>
      </c>
    </row>
    <row r="23" spans="2:15" ht="18" customHeight="1">
      <c r="B23" s="48" t="s">
        <v>46</v>
      </c>
      <c r="C23" s="50">
        <v>207.36</v>
      </c>
      <c r="D23" s="50" t="s">
        <v>47</v>
      </c>
      <c r="E23" s="49">
        <f>ROUND(C22*(C23/1000),2)</f>
        <v>1.05</v>
      </c>
      <c r="F23" s="50" t="s">
        <v>48</v>
      </c>
      <c r="G23" s="50">
        <v>10</v>
      </c>
      <c r="H23" s="52" t="s">
        <v>49</v>
      </c>
      <c r="I23" s="53">
        <f>E23*G23</f>
        <v>10.5</v>
      </c>
    </row>
    <row r="24" spans="2:15" ht="18" customHeight="1" thickBot="1">
      <c r="B24" s="48" t="s">
        <v>50</v>
      </c>
      <c r="C24" s="50">
        <v>169.96</v>
      </c>
      <c r="D24" s="50" t="s">
        <v>51</v>
      </c>
      <c r="E24" s="49">
        <f>ROUND(C22*(C24/1000),2)</f>
        <v>0.86</v>
      </c>
      <c r="F24" s="50" t="s">
        <v>48</v>
      </c>
      <c r="G24" s="50">
        <v>10</v>
      </c>
      <c r="H24" s="52" t="s">
        <v>49</v>
      </c>
      <c r="I24" s="53">
        <f>E24*G24</f>
        <v>8.6</v>
      </c>
    </row>
    <row r="25" spans="2:15" ht="18" hidden="1" customHeight="1">
      <c r="B25" s="23" t="s">
        <v>36</v>
      </c>
      <c r="C25" s="252" t="s">
        <v>14</v>
      </c>
      <c r="D25" s="252" t="s">
        <v>37</v>
      </c>
      <c r="E25" s="252" t="s">
        <v>38</v>
      </c>
      <c r="F25" s="252" t="s">
        <v>39</v>
      </c>
      <c r="G25" s="252" t="s">
        <v>8</v>
      </c>
      <c r="H25" s="252" t="s">
        <v>22</v>
      </c>
      <c r="I25" s="25" t="s">
        <v>40</v>
      </c>
      <c r="J25" s="54" t="s">
        <v>2</v>
      </c>
      <c r="K25" s="55" t="s">
        <v>3</v>
      </c>
      <c r="L25" s="55" t="s">
        <v>52</v>
      </c>
      <c r="M25" s="55" t="s">
        <v>53</v>
      </c>
      <c r="N25" s="56" t="s">
        <v>14</v>
      </c>
    </row>
    <row r="26" spans="2:15" ht="18" hidden="1" customHeight="1">
      <c r="B26" s="648" t="s">
        <v>54</v>
      </c>
      <c r="C26" s="649" t="s">
        <v>55</v>
      </c>
      <c r="D26" s="253">
        <f>J26-IF(L26=1,44,IF(L26=2,30,IF(L26=3,16,0)))</f>
        <v>0</v>
      </c>
      <c r="E26" s="253">
        <f>K26-IF(M26=1,44,IF(M26=2,30,IF(M26=3,16,0)))</f>
        <v>0</v>
      </c>
      <c r="F26" s="44">
        <f>ROUND((D26+E26)*2/1000,4)</f>
        <v>0</v>
      </c>
      <c r="G26" s="250"/>
      <c r="H26" s="58">
        <v>1.62</v>
      </c>
      <c r="I26" s="59">
        <f>IF(AND(D26&gt;0,E26&gt;0,F26&gt;0),F26*G26*H26,0)</f>
        <v>0</v>
      </c>
      <c r="J26" s="60"/>
      <c r="K26" s="61"/>
      <c r="L26" s="61"/>
      <c r="M26" s="61"/>
      <c r="N26" s="62" t="s">
        <v>56</v>
      </c>
      <c r="O26" s="63" t="s">
        <v>57</v>
      </c>
    </row>
    <row r="27" spans="2:15" ht="18" hidden="1" customHeight="1">
      <c r="B27" s="648"/>
      <c r="C27" s="650"/>
      <c r="D27" s="253">
        <f t="shared" ref="D27:E30" si="4">J27-IF(L27=1,44,IF(L27=2,30,IF(L27=3,16,0)))</f>
        <v>0</v>
      </c>
      <c r="E27" s="253">
        <f t="shared" si="4"/>
        <v>0</v>
      </c>
      <c r="F27" s="44">
        <f>ROUND((D27+E27)*2/1000,4)</f>
        <v>0</v>
      </c>
      <c r="G27" s="250"/>
      <c r="H27" s="58">
        <f>H26</f>
        <v>1.62</v>
      </c>
      <c r="I27" s="59">
        <f>IF(AND(D27&gt;0,E27&gt;0,F27&gt;0),F27*G27*H27,0)</f>
        <v>0</v>
      </c>
      <c r="J27" s="60"/>
      <c r="K27" s="61"/>
      <c r="L27" s="61"/>
      <c r="M27" s="61"/>
      <c r="N27" s="62" t="s">
        <v>58</v>
      </c>
      <c r="O27" s="63" t="s">
        <v>59</v>
      </c>
    </row>
    <row r="28" spans="2:15" ht="18" hidden="1" customHeight="1">
      <c r="B28" s="648"/>
      <c r="C28" s="650"/>
      <c r="D28" s="253">
        <f t="shared" si="4"/>
        <v>0</v>
      </c>
      <c r="E28" s="253">
        <f t="shared" si="4"/>
        <v>0</v>
      </c>
      <c r="F28" s="44">
        <f>ROUND((D28+E28)*2/1000,4)</f>
        <v>0</v>
      </c>
      <c r="G28" s="250"/>
      <c r="H28" s="58">
        <f>H27</f>
        <v>1.62</v>
      </c>
      <c r="I28" s="59">
        <f>IF(AND(D28&gt;0,E28&gt;0,F28&gt;0),F28*G28*H28,0)</f>
        <v>0</v>
      </c>
      <c r="J28" s="60"/>
      <c r="K28" s="61"/>
      <c r="L28" s="61"/>
      <c r="M28" s="61"/>
      <c r="N28" s="62" t="s">
        <v>60</v>
      </c>
      <c r="O28" s="63" t="s">
        <v>59</v>
      </c>
    </row>
    <row r="29" spans="2:15" ht="18" hidden="1" customHeight="1">
      <c r="B29" s="648"/>
      <c r="C29" s="650"/>
      <c r="D29" s="253">
        <f t="shared" si="4"/>
        <v>0</v>
      </c>
      <c r="E29" s="253">
        <f t="shared" si="4"/>
        <v>0</v>
      </c>
      <c r="F29" s="44">
        <f>ROUND((D29+E29)*2/1000,4)</f>
        <v>0</v>
      </c>
      <c r="G29" s="250"/>
      <c r="H29" s="58">
        <f>H28</f>
        <v>1.62</v>
      </c>
      <c r="I29" s="59">
        <f>IF(AND(D29&gt;0,E29&gt;0,F29&gt;0),F29*G29*H29,0)</f>
        <v>0</v>
      </c>
      <c r="J29" s="60"/>
      <c r="K29" s="61"/>
      <c r="L29" s="61"/>
      <c r="M29" s="61"/>
      <c r="N29" s="62"/>
    </row>
    <row r="30" spans="2:15" ht="18" hidden="1" customHeight="1" thickBot="1">
      <c r="B30" s="648"/>
      <c r="C30" s="651"/>
      <c r="D30" s="253">
        <f t="shared" si="4"/>
        <v>0</v>
      </c>
      <c r="E30" s="253">
        <f t="shared" si="4"/>
        <v>0</v>
      </c>
      <c r="F30" s="44">
        <f>ROUND((D30+E30)*2/1000,4)</f>
        <v>0</v>
      </c>
      <c r="G30" s="250"/>
      <c r="H30" s="58">
        <f>H29</f>
        <v>1.62</v>
      </c>
      <c r="I30" s="59">
        <f>IF(AND(D30&gt;0,E30&gt;0,F30&gt;0),F30*G30*H30,0)</f>
        <v>0</v>
      </c>
      <c r="J30" s="64"/>
      <c r="K30" s="65"/>
      <c r="L30" s="65"/>
      <c r="M30" s="65"/>
      <c r="N30" s="66"/>
    </row>
    <row r="31" spans="2:15" ht="18" hidden="1" customHeight="1">
      <c r="B31" s="48" t="s">
        <v>42</v>
      </c>
      <c r="C31" s="49">
        <f>SUMPRODUCT(F26:F30*G26:G30)</f>
        <v>0</v>
      </c>
      <c r="D31" s="50" t="s">
        <v>43</v>
      </c>
      <c r="E31" s="49">
        <f>SUM(I26:I30)*1.1</f>
        <v>0</v>
      </c>
      <c r="F31" s="50" t="s">
        <v>44</v>
      </c>
      <c r="G31" s="51">
        <f>(C$218+C$221)/1000</f>
        <v>46.081499999999998</v>
      </c>
      <c r="H31" s="52" t="s">
        <v>45</v>
      </c>
      <c r="I31" s="53">
        <f>ROUND(E31*G31,2)</f>
        <v>0</v>
      </c>
      <c r="J31" s="243">
        <f>SUM(G26:G30)</f>
        <v>0</v>
      </c>
    </row>
    <row r="32" spans="2:15" ht="18" hidden="1" customHeight="1">
      <c r="B32" s="48" t="s">
        <v>46</v>
      </c>
      <c r="C32" s="50">
        <v>183.32</v>
      </c>
      <c r="D32" s="50" t="s">
        <v>47</v>
      </c>
      <c r="E32" s="49">
        <f>ROUND(C31*(C32/1000),2)</f>
        <v>0</v>
      </c>
      <c r="F32" s="50" t="s">
        <v>48</v>
      </c>
      <c r="G32" s="50">
        <f>G$23</f>
        <v>10</v>
      </c>
      <c r="H32" s="52" t="s">
        <v>49</v>
      </c>
      <c r="I32" s="53">
        <f>E32*G32</f>
        <v>0</v>
      </c>
    </row>
    <row r="33" spans="2:14" ht="18" hidden="1" customHeight="1" thickBot="1">
      <c r="B33" s="48" t="s">
        <v>50</v>
      </c>
      <c r="C33" s="50">
        <v>257.82</v>
      </c>
      <c r="D33" s="50" t="s">
        <v>51</v>
      </c>
      <c r="E33" s="49">
        <f>ROUND(C31*(C33/1000),2)</f>
        <v>0</v>
      </c>
      <c r="F33" s="50" t="s">
        <v>48</v>
      </c>
      <c r="G33" s="50">
        <f>G$24</f>
        <v>10</v>
      </c>
      <c r="H33" s="52" t="s">
        <v>49</v>
      </c>
      <c r="I33" s="53">
        <f>E33*G33</f>
        <v>0</v>
      </c>
    </row>
    <row r="34" spans="2:14" ht="18" customHeight="1" thickBot="1">
      <c r="B34" s="67" t="s">
        <v>36</v>
      </c>
      <c r="C34" s="68" t="s">
        <v>14</v>
      </c>
      <c r="D34" s="68" t="s">
        <v>37</v>
      </c>
      <c r="E34" s="68" t="s">
        <v>38</v>
      </c>
      <c r="F34" s="68" t="s">
        <v>39</v>
      </c>
      <c r="G34" s="68" t="s">
        <v>8</v>
      </c>
      <c r="H34" s="68" t="s">
        <v>22</v>
      </c>
      <c r="I34" s="69" t="s">
        <v>40</v>
      </c>
      <c r="J34" s="54" t="s">
        <v>2</v>
      </c>
      <c r="K34" s="55" t="s">
        <v>3</v>
      </c>
      <c r="L34" s="55" t="s">
        <v>61</v>
      </c>
      <c r="M34" s="55" t="s">
        <v>62</v>
      </c>
      <c r="N34" s="70" t="s">
        <v>14</v>
      </c>
    </row>
    <row r="35" spans="2:14" ht="18" customHeight="1">
      <c r="B35" s="648" t="s">
        <v>63</v>
      </c>
      <c r="C35" s="649" t="s">
        <v>64</v>
      </c>
      <c r="D35" s="253">
        <f t="shared" ref="D35:E37" si="5">J35-IF(L35=1,44,IF(L35=2,30,IF(L35=3,16,IF(L35=11,118,IF(L35=12,100,IF(L35=13,76.8,0))))))</f>
        <v>570</v>
      </c>
      <c r="E35" s="253">
        <f t="shared" si="5"/>
        <v>1298</v>
      </c>
      <c r="F35" s="250">
        <f>ROUND((D35+E35)*2/1000,4)</f>
        <v>3.7360000000000002</v>
      </c>
      <c r="G35" s="250">
        <v>2</v>
      </c>
      <c r="H35" s="58">
        <v>1.8140000000000001</v>
      </c>
      <c r="I35" s="59">
        <f>ROUND(F35*G35*H35,3)</f>
        <v>13.554</v>
      </c>
      <c r="J35" s="60">
        <f>D14/2</f>
        <v>600</v>
      </c>
      <c r="K35" s="61">
        <f>E14</f>
        <v>1342</v>
      </c>
      <c r="L35" s="61">
        <v>2</v>
      </c>
      <c r="M35" s="61">
        <v>1</v>
      </c>
      <c r="N35" s="71" t="s">
        <v>56</v>
      </c>
    </row>
    <row r="36" spans="2:14" ht="18" customHeight="1">
      <c r="B36" s="660"/>
      <c r="C36" s="650"/>
      <c r="D36" s="253">
        <f t="shared" si="5"/>
        <v>0</v>
      </c>
      <c r="E36" s="253">
        <f t="shared" si="5"/>
        <v>0</v>
      </c>
      <c r="F36" s="250">
        <f>ROUND((D36+E36)*2/1000,4)</f>
        <v>0</v>
      </c>
      <c r="G36" s="250"/>
      <c r="H36" s="58">
        <f>H35</f>
        <v>1.8140000000000001</v>
      </c>
      <c r="I36" s="59">
        <f>ROUND(F36*G36*H36,3)</f>
        <v>0</v>
      </c>
      <c r="J36" s="60"/>
      <c r="K36" s="61"/>
      <c r="L36" s="61"/>
      <c r="M36" s="61"/>
      <c r="N36" s="72" t="s">
        <v>58</v>
      </c>
    </row>
    <row r="37" spans="2:14" ht="18" customHeight="1">
      <c r="B37" s="660"/>
      <c r="C37" s="651"/>
      <c r="D37" s="253">
        <f t="shared" si="5"/>
        <v>0</v>
      </c>
      <c r="E37" s="253">
        <f t="shared" si="5"/>
        <v>0</v>
      </c>
      <c r="F37" s="250">
        <f>ROUND((D37+E37)*2/1000,4)</f>
        <v>0</v>
      </c>
      <c r="G37" s="250"/>
      <c r="H37" s="58">
        <f>H36</f>
        <v>1.8140000000000001</v>
      </c>
      <c r="I37" s="59">
        <f>ROUND(F37*G37*H37,3)</f>
        <v>0</v>
      </c>
      <c r="J37" s="60"/>
      <c r="K37" s="61"/>
      <c r="L37" s="61"/>
      <c r="M37" s="61"/>
      <c r="N37" s="72" t="s">
        <v>60</v>
      </c>
    </row>
    <row r="38" spans="2:14" ht="18" customHeight="1">
      <c r="B38" s="48" t="s">
        <v>42</v>
      </c>
      <c r="C38" s="49">
        <f>SUMPRODUCT(F35:F37*G35:G37)</f>
        <v>7.4720000000000004</v>
      </c>
      <c r="D38" s="50" t="s">
        <v>43</v>
      </c>
      <c r="E38" s="49">
        <f>SUM(I35:I37)*1.1</f>
        <v>14.909400000000002</v>
      </c>
      <c r="F38" s="50" t="s">
        <v>44</v>
      </c>
      <c r="G38" s="51">
        <f>(C$218+C$219)/1000</f>
        <v>46.081499999999998</v>
      </c>
      <c r="H38" s="52" t="s">
        <v>45</v>
      </c>
      <c r="I38" s="53">
        <f>ROUND(E38*G38,2)</f>
        <v>687.05</v>
      </c>
      <c r="J38" s="243">
        <f>SUM(G35:G37)</f>
        <v>2</v>
      </c>
      <c r="K38" s="255"/>
      <c r="L38" s="255"/>
      <c r="M38" s="255"/>
      <c r="N38" s="73" t="s">
        <v>65</v>
      </c>
    </row>
    <row r="39" spans="2:14" ht="18" customHeight="1">
      <c r="B39" s="48" t="s">
        <v>46</v>
      </c>
      <c r="C39" s="50">
        <v>320.14</v>
      </c>
      <c r="D39" s="50" t="s">
        <v>47</v>
      </c>
      <c r="E39" s="49">
        <f>ROUND(C38*(C39/1000),2)</f>
        <v>2.39</v>
      </c>
      <c r="F39" s="50" t="s">
        <v>48</v>
      </c>
      <c r="G39" s="50">
        <f>G$23</f>
        <v>10</v>
      </c>
      <c r="H39" s="52" t="s">
        <v>49</v>
      </c>
      <c r="I39" s="53">
        <f>E39*G39</f>
        <v>23.900000000000002</v>
      </c>
      <c r="J39" s="255"/>
      <c r="K39" s="255"/>
      <c r="L39" s="255"/>
      <c r="M39" s="255"/>
      <c r="N39" s="73" t="s">
        <v>66</v>
      </c>
    </row>
    <row r="40" spans="2:14" ht="18" customHeight="1" thickBot="1">
      <c r="B40" s="48" t="s">
        <v>50</v>
      </c>
      <c r="C40" s="50">
        <v>156.99</v>
      </c>
      <c r="D40" s="50" t="s">
        <v>51</v>
      </c>
      <c r="E40" s="49">
        <f>ROUND(C38*(C40/1000),2)</f>
        <v>1.17</v>
      </c>
      <c r="F40" s="50" t="s">
        <v>48</v>
      </c>
      <c r="G40" s="50">
        <f>G$24</f>
        <v>10</v>
      </c>
      <c r="H40" s="52" t="s">
        <v>49</v>
      </c>
      <c r="I40" s="53">
        <f>E40*G40</f>
        <v>11.7</v>
      </c>
      <c r="J40" s="255"/>
      <c r="K40" s="255"/>
      <c r="L40" s="255"/>
      <c r="M40" s="255"/>
      <c r="N40" s="74" t="s">
        <v>67</v>
      </c>
    </row>
    <row r="41" spans="2:14" ht="18" customHeight="1" thickBot="1">
      <c r="B41" s="23" t="s">
        <v>36</v>
      </c>
      <c r="C41" s="252" t="s">
        <v>14</v>
      </c>
      <c r="D41" s="252" t="s">
        <v>37</v>
      </c>
      <c r="E41" s="252" t="s">
        <v>38</v>
      </c>
      <c r="F41" s="252" t="s">
        <v>39</v>
      </c>
      <c r="G41" s="252" t="s">
        <v>8</v>
      </c>
      <c r="H41" s="252" t="s">
        <v>22</v>
      </c>
      <c r="I41" s="25" t="s">
        <v>40</v>
      </c>
      <c r="J41" s="54" t="s">
        <v>2</v>
      </c>
      <c r="K41" s="55" t="s">
        <v>3</v>
      </c>
      <c r="L41" s="55" t="s">
        <v>61</v>
      </c>
      <c r="M41" s="55" t="s">
        <v>62</v>
      </c>
      <c r="N41" s="70" t="s">
        <v>14</v>
      </c>
    </row>
    <row r="42" spans="2:14" ht="18" customHeight="1">
      <c r="B42" s="648" t="s">
        <v>68</v>
      </c>
      <c r="C42" s="649" t="s">
        <v>69</v>
      </c>
      <c r="D42" s="253">
        <f>J42-IF(L42=1,46,IF(L42=2,34.5,IF(L42=3,23)))</f>
        <v>0</v>
      </c>
      <c r="E42" s="253">
        <f>K42-IF(M42=1,46,IF(M42=2,34.5,IF(M42=3,23)))</f>
        <v>0</v>
      </c>
      <c r="F42" s="250">
        <f t="shared" ref="F42:F47" si="6">ROUND((D42+E42)*2/1000,4)</f>
        <v>0</v>
      </c>
      <c r="G42" s="250"/>
      <c r="H42" s="250">
        <v>1.26</v>
      </c>
      <c r="I42" s="59">
        <f t="shared" ref="I42:I47" si="7">ROUND(F42*G42*H42,3)</f>
        <v>0</v>
      </c>
      <c r="J42" s="60"/>
      <c r="K42" s="61"/>
      <c r="L42" s="61"/>
      <c r="M42" s="61"/>
      <c r="N42" s="71" t="s">
        <v>56</v>
      </c>
    </row>
    <row r="43" spans="2:14" ht="18" customHeight="1">
      <c r="B43" s="648"/>
      <c r="C43" s="650"/>
      <c r="D43" s="253">
        <f t="shared" ref="D43:E47" si="8">J43-IF(L43=1,46,IF(L43=2,34.5,IF(L43=3,23)))</f>
        <v>0</v>
      </c>
      <c r="E43" s="253">
        <f t="shared" si="8"/>
        <v>0</v>
      </c>
      <c r="F43" s="250">
        <f t="shared" si="6"/>
        <v>0</v>
      </c>
      <c r="G43" s="250"/>
      <c r="H43" s="250">
        <f>H42</f>
        <v>1.26</v>
      </c>
      <c r="I43" s="59">
        <f t="shared" si="7"/>
        <v>0</v>
      </c>
      <c r="J43" s="60"/>
      <c r="K43" s="61"/>
      <c r="L43" s="61"/>
      <c r="M43" s="61"/>
      <c r="N43" s="72" t="s">
        <v>58</v>
      </c>
    </row>
    <row r="44" spans="2:14" ht="18" customHeight="1">
      <c r="B44" s="648"/>
      <c r="C44" s="651"/>
      <c r="D44" s="253">
        <f t="shared" si="8"/>
        <v>0</v>
      </c>
      <c r="E44" s="253">
        <f t="shared" si="8"/>
        <v>0</v>
      </c>
      <c r="F44" s="250">
        <f t="shared" si="6"/>
        <v>0</v>
      </c>
      <c r="G44" s="250"/>
      <c r="H44" s="250">
        <f>H43</f>
        <v>1.26</v>
      </c>
      <c r="I44" s="59">
        <f t="shared" si="7"/>
        <v>0</v>
      </c>
      <c r="J44" s="60"/>
      <c r="K44" s="61"/>
      <c r="L44" s="61"/>
      <c r="M44" s="61"/>
      <c r="N44" s="72" t="s">
        <v>60</v>
      </c>
    </row>
    <row r="45" spans="2:14" ht="18" customHeight="1">
      <c r="B45" s="648"/>
      <c r="C45" s="649" t="s">
        <v>70</v>
      </c>
      <c r="D45" s="253">
        <f t="shared" si="8"/>
        <v>0</v>
      </c>
      <c r="E45" s="253">
        <f t="shared" si="8"/>
        <v>0</v>
      </c>
      <c r="F45" s="250">
        <f t="shared" si="6"/>
        <v>0</v>
      </c>
      <c r="G45" s="250"/>
      <c r="H45" s="250">
        <f>H44</f>
        <v>1.26</v>
      </c>
      <c r="I45" s="59">
        <f t="shared" si="7"/>
        <v>0</v>
      </c>
      <c r="J45" s="60"/>
      <c r="K45" s="61"/>
      <c r="L45" s="61"/>
      <c r="M45" s="61"/>
      <c r="N45" s="71" t="s">
        <v>56</v>
      </c>
    </row>
    <row r="46" spans="2:14" ht="18" customHeight="1">
      <c r="B46" s="648"/>
      <c r="C46" s="650"/>
      <c r="D46" s="253">
        <f t="shared" si="8"/>
        <v>0</v>
      </c>
      <c r="E46" s="253">
        <f t="shared" si="8"/>
        <v>0</v>
      </c>
      <c r="F46" s="250">
        <f t="shared" si="6"/>
        <v>0</v>
      </c>
      <c r="G46" s="250"/>
      <c r="H46" s="250">
        <f>H45</f>
        <v>1.26</v>
      </c>
      <c r="I46" s="59">
        <f t="shared" si="7"/>
        <v>0</v>
      </c>
      <c r="J46" s="60"/>
      <c r="K46" s="61"/>
      <c r="L46" s="61"/>
      <c r="M46" s="61"/>
      <c r="N46" s="72" t="s">
        <v>58</v>
      </c>
    </row>
    <row r="47" spans="2:14" ht="18" customHeight="1" thickBot="1">
      <c r="B47" s="648"/>
      <c r="C47" s="651"/>
      <c r="D47" s="253">
        <f t="shared" si="8"/>
        <v>0</v>
      </c>
      <c r="E47" s="253">
        <f t="shared" si="8"/>
        <v>0</v>
      </c>
      <c r="F47" s="250">
        <f t="shared" si="6"/>
        <v>0</v>
      </c>
      <c r="G47" s="250"/>
      <c r="H47" s="250">
        <f>H46</f>
        <v>1.26</v>
      </c>
      <c r="I47" s="59">
        <f t="shared" si="7"/>
        <v>0</v>
      </c>
      <c r="J47" s="64"/>
      <c r="K47" s="65"/>
      <c r="L47" s="65"/>
      <c r="M47" s="65"/>
      <c r="N47" s="75" t="s">
        <v>60</v>
      </c>
    </row>
    <row r="48" spans="2:14" ht="18" customHeight="1">
      <c r="B48" s="48" t="s">
        <v>42</v>
      </c>
      <c r="C48" s="49">
        <f>SUMPRODUCT(F42:F47*G42:G47)</f>
        <v>0</v>
      </c>
      <c r="D48" s="50" t="s">
        <v>43</v>
      </c>
      <c r="E48" s="49">
        <f>SUM(I42:I47)*1.1</f>
        <v>0</v>
      </c>
      <c r="F48" s="50" t="s">
        <v>44</v>
      </c>
      <c r="G48" s="51">
        <f>(C$218+C$219)/1000</f>
        <v>46.081499999999998</v>
      </c>
      <c r="H48" s="52" t="s">
        <v>45</v>
      </c>
      <c r="I48" s="53">
        <f>ROUND(E48*G48,2)</f>
        <v>0</v>
      </c>
      <c r="J48" s="243">
        <f>SUM(G42:G47)</f>
        <v>0</v>
      </c>
      <c r="K48" s="255"/>
      <c r="L48" s="255"/>
      <c r="M48" s="255"/>
    </row>
    <row r="49" spans="2:14" ht="18" customHeight="1">
      <c r="B49" s="48" t="s">
        <v>46</v>
      </c>
      <c r="C49" s="50">
        <v>132.47999999999999</v>
      </c>
      <c r="D49" s="50" t="s">
        <v>47</v>
      </c>
      <c r="E49" s="49">
        <f>ROUND(C48*(C49/1000),2)</f>
        <v>0</v>
      </c>
      <c r="F49" s="50" t="s">
        <v>48</v>
      </c>
      <c r="G49" s="50">
        <f>G$23</f>
        <v>10</v>
      </c>
      <c r="H49" s="52" t="s">
        <v>49</v>
      </c>
      <c r="I49" s="53">
        <f>E49*G49</f>
        <v>0</v>
      </c>
      <c r="J49" s="255"/>
      <c r="K49" s="255"/>
      <c r="L49" s="255"/>
      <c r="M49" s="255"/>
    </row>
    <row r="50" spans="2:14" ht="18" customHeight="1" thickBot="1">
      <c r="B50" s="48" t="s">
        <v>50</v>
      </c>
      <c r="C50" s="50">
        <v>202.06</v>
      </c>
      <c r="D50" s="50" t="s">
        <v>51</v>
      </c>
      <c r="E50" s="49">
        <f>ROUND(C48*(C50/1000),2)</f>
        <v>0</v>
      </c>
      <c r="F50" s="50" t="s">
        <v>48</v>
      </c>
      <c r="G50" s="50">
        <f>G$24</f>
        <v>10</v>
      </c>
      <c r="H50" s="52" t="s">
        <v>49</v>
      </c>
      <c r="I50" s="53">
        <f>E50*G50</f>
        <v>0</v>
      </c>
      <c r="J50" s="255"/>
    </row>
    <row r="51" spans="2:14" ht="18" customHeight="1" thickBot="1">
      <c r="B51" s="23" t="s">
        <v>36</v>
      </c>
      <c r="C51" s="252" t="s">
        <v>14</v>
      </c>
      <c r="D51" s="252" t="s">
        <v>37</v>
      </c>
      <c r="E51" s="252" t="s">
        <v>71</v>
      </c>
      <c r="F51" s="252" t="s">
        <v>38</v>
      </c>
      <c r="G51" s="252" t="s">
        <v>72</v>
      </c>
      <c r="H51" s="252" t="s">
        <v>22</v>
      </c>
      <c r="I51" s="25" t="s">
        <v>40</v>
      </c>
      <c r="J51" s="54" t="s">
        <v>2</v>
      </c>
      <c r="K51" s="55" t="s">
        <v>3</v>
      </c>
      <c r="L51" s="55" t="s">
        <v>61</v>
      </c>
      <c r="M51" s="55" t="s">
        <v>62</v>
      </c>
      <c r="N51" s="70" t="s">
        <v>14</v>
      </c>
    </row>
    <row r="52" spans="2:14" ht="18" customHeight="1">
      <c r="B52" s="648" t="s">
        <v>73</v>
      </c>
      <c r="C52" s="649" t="s">
        <v>405</v>
      </c>
      <c r="D52" s="253">
        <f>J52-IF(L52=1,46,IF(L52=2,32,IF(L52=3,18,0)))</f>
        <v>0</v>
      </c>
      <c r="E52" s="253"/>
      <c r="F52" s="253">
        <f>K52-IF(M52=1,46,IF(M52=2,32,IF(M52=3,118,0)))</f>
        <v>1296</v>
      </c>
      <c r="G52" s="250">
        <v>1</v>
      </c>
      <c r="H52" s="250">
        <v>1.6379999999999999</v>
      </c>
      <c r="I52" s="59">
        <f>ROUND((D52*E52+F52*G52)/1000*H52,3)</f>
        <v>2.1230000000000002</v>
      </c>
      <c r="J52" s="60"/>
      <c r="K52" s="61">
        <f>E14</f>
        <v>1342</v>
      </c>
      <c r="L52" s="61"/>
      <c r="M52" s="61">
        <v>1</v>
      </c>
      <c r="N52" s="76" t="s">
        <v>56</v>
      </c>
    </row>
    <row r="53" spans="2:14" ht="18" customHeight="1">
      <c r="B53" s="648"/>
      <c r="C53" s="650"/>
      <c r="D53" s="253">
        <f t="shared" ref="D53:D55" si="9">J53-IF(L53=1,46,IF(L53=2,32,IF(L53=3,18,0)))</f>
        <v>0</v>
      </c>
      <c r="E53" s="253"/>
      <c r="F53" s="253">
        <f t="shared" ref="F53:F55" si="10">K53-IF(M53=1,46,IF(M53=2,32,IF(M53=3,118,0)))</f>
        <v>0</v>
      </c>
      <c r="G53" s="250"/>
      <c r="H53" s="250">
        <f>H52</f>
        <v>1.6379999999999999</v>
      </c>
      <c r="I53" s="59">
        <f>ROUND((D53*E53+F53*G53)/1000*H53,3)</f>
        <v>0</v>
      </c>
      <c r="J53" s="60"/>
      <c r="K53" s="61"/>
      <c r="L53" s="61"/>
      <c r="M53" s="61"/>
      <c r="N53" s="76" t="s">
        <v>58</v>
      </c>
    </row>
    <row r="54" spans="2:14" ht="18" customHeight="1">
      <c r="B54" s="648"/>
      <c r="C54" s="650"/>
      <c r="D54" s="253">
        <f t="shared" si="9"/>
        <v>0</v>
      </c>
      <c r="E54" s="253"/>
      <c r="F54" s="253">
        <f t="shared" si="10"/>
        <v>0</v>
      </c>
      <c r="G54" s="250"/>
      <c r="H54" s="250">
        <f>H53</f>
        <v>1.6379999999999999</v>
      </c>
      <c r="I54" s="59">
        <f>ROUND((D54*E54+F54*G54)/1000*H54,3)</f>
        <v>0</v>
      </c>
      <c r="J54" s="60"/>
      <c r="K54" s="61"/>
      <c r="L54" s="61"/>
      <c r="M54" s="61"/>
      <c r="N54" s="76" t="s">
        <v>60</v>
      </c>
    </row>
    <row r="55" spans="2:14" ht="18" customHeight="1" thickBot="1">
      <c r="B55" s="648"/>
      <c r="C55" s="651"/>
      <c r="D55" s="253">
        <f t="shared" si="9"/>
        <v>0</v>
      </c>
      <c r="E55" s="253"/>
      <c r="F55" s="253">
        <f t="shared" si="10"/>
        <v>0</v>
      </c>
      <c r="G55" s="250"/>
      <c r="H55" s="77">
        <f>H54</f>
        <v>1.6379999999999999</v>
      </c>
      <c r="I55" s="59">
        <f>ROUND((D55*E55+F55*G55)/1000*H55,3)</f>
        <v>0</v>
      </c>
      <c r="J55" s="78"/>
      <c r="K55" s="79"/>
      <c r="L55" s="79"/>
      <c r="M55" s="79"/>
      <c r="N55" s="80"/>
    </row>
    <row r="56" spans="2:14" ht="18" customHeight="1">
      <c r="B56" s="48" t="s">
        <v>42</v>
      </c>
      <c r="C56" s="49">
        <f>SUMPRODUCT(D52:D55*E52:E55+F52:F55*G52:G55)/1000</f>
        <v>1.296</v>
      </c>
      <c r="D56" s="50" t="s">
        <v>43</v>
      </c>
      <c r="E56" s="49">
        <f>SUM(I52:I55)*1.1</f>
        <v>2.3353000000000006</v>
      </c>
      <c r="F56" s="50" t="s">
        <v>44</v>
      </c>
      <c r="G56" s="51">
        <f>(C$218+C$219)/1000</f>
        <v>46.081499999999998</v>
      </c>
      <c r="H56" s="52" t="s">
        <v>45</v>
      </c>
      <c r="I56" s="53">
        <f>ROUND(E56*G56,2)</f>
        <v>107.61</v>
      </c>
      <c r="J56" s="243">
        <f>SUM(E52:E55)+SUM(G52:G55)</f>
        <v>1</v>
      </c>
    </row>
    <row r="57" spans="2:14" ht="18" customHeight="1">
      <c r="B57" s="48" t="s">
        <v>46</v>
      </c>
      <c r="C57" s="50">
        <v>265.52999999999997</v>
      </c>
      <c r="D57" s="50" t="s">
        <v>47</v>
      </c>
      <c r="E57" s="49">
        <f>ROUND(C56*(C57/1000),2)</f>
        <v>0.34</v>
      </c>
      <c r="F57" s="50" t="s">
        <v>48</v>
      </c>
      <c r="G57" s="50">
        <f>G$23</f>
        <v>10</v>
      </c>
      <c r="H57" s="52" t="s">
        <v>49</v>
      </c>
      <c r="I57" s="53">
        <f>E57*G57</f>
        <v>3.4000000000000004</v>
      </c>
      <c r="L57" s="47"/>
    </row>
    <row r="58" spans="2:14" ht="18" customHeight="1">
      <c r="B58" s="48" t="s">
        <v>50</v>
      </c>
      <c r="C58" s="50">
        <v>173.62</v>
      </c>
      <c r="D58" s="50" t="s">
        <v>51</v>
      </c>
      <c r="E58" s="49">
        <f>ROUND(C56*(C58/1000),2)</f>
        <v>0.23</v>
      </c>
      <c r="F58" s="50" t="s">
        <v>48</v>
      </c>
      <c r="G58" s="50">
        <f>G$24</f>
        <v>10</v>
      </c>
      <c r="H58" s="52" t="s">
        <v>49</v>
      </c>
      <c r="I58" s="53">
        <f>E58*G58</f>
        <v>2.3000000000000003</v>
      </c>
      <c r="L58" s="47"/>
    </row>
    <row r="59" spans="2:14" ht="18" customHeight="1">
      <c r="B59" s="23" t="s">
        <v>36</v>
      </c>
      <c r="C59" s="252" t="s">
        <v>14</v>
      </c>
      <c r="D59" s="652" t="s">
        <v>74</v>
      </c>
      <c r="E59" s="652"/>
      <c r="F59" s="652"/>
      <c r="G59" s="252" t="s">
        <v>75</v>
      </c>
      <c r="H59" s="252" t="s">
        <v>22</v>
      </c>
      <c r="I59" s="25" t="s">
        <v>40</v>
      </c>
      <c r="L59" s="47"/>
    </row>
    <row r="60" spans="2:14" ht="18" customHeight="1">
      <c r="B60" s="648" t="s">
        <v>76</v>
      </c>
      <c r="C60" s="649" t="s">
        <v>77</v>
      </c>
      <c r="D60" s="646">
        <f>E14-550</f>
        <v>792</v>
      </c>
      <c r="E60" s="646"/>
      <c r="F60" s="646"/>
      <c r="G60" s="250"/>
      <c r="H60" s="250">
        <v>1.9339999999999999</v>
      </c>
      <c r="I60" s="59">
        <f>ROUND(D60*G60*H60/1000,3)</f>
        <v>0</v>
      </c>
      <c r="L60" s="47"/>
    </row>
    <row r="61" spans="2:14" ht="18" customHeight="1">
      <c r="B61" s="648"/>
      <c r="C61" s="651"/>
      <c r="D61" s="646"/>
      <c r="E61" s="646"/>
      <c r="F61" s="646"/>
      <c r="G61" s="250"/>
      <c r="H61" s="250">
        <v>1.9339999999999999</v>
      </c>
      <c r="I61" s="59">
        <f>ROUND(D61*G61*H61/1000,3)</f>
        <v>0</v>
      </c>
    </row>
    <row r="62" spans="2:14" ht="18" customHeight="1">
      <c r="B62" s="648"/>
      <c r="C62" s="649" t="s">
        <v>78</v>
      </c>
      <c r="D62" s="646"/>
      <c r="E62" s="646"/>
      <c r="F62" s="646"/>
      <c r="G62" s="250"/>
      <c r="H62" s="250">
        <v>2.3130000000000002</v>
      </c>
      <c r="I62" s="59">
        <f>ROUND(D62*G62*H62/1000,3)</f>
        <v>0</v>
      </c>
    </row>
    <row r="63" spans="2:14" ht="18" customHeight="1">
      <c r="B63" s="648"/>
      <c r="C63" s="651"/>
      <c r="D63" s="646"/>
      <c r="E63" s="646"/>
      <c r="F63" s="646"/>
      <c r="G63" s="250"/>
      <c r="H63" s="250">
        <v>2.3130000000000002</v>
      </c>
      <c r="I63" s="59">
        <f>ROUND(D63*G63*H63/1000,3)</f>
        <v>0</v>
      </c>
    </row>
    <row r="64" spans="2:14" ht="18" customHeight="1">
      <c r="B64" s="48" t="s">
        <v>42</v>
      </c>
      <c r="C64" s="49">
        <f>SUMPRODUCT(D60:F63*G60:G63)/1000</f>
        <v>0</v>
      </c>
      <c r="D64" s="50" t="s">
        <v>43</v>
      </c>
      <c r="E64" s="49">
        <f>SUM(I60:I63)*1.1</f>
        <v>0</v>
      </c>
      <c r="F64" s="50" t="s">
        <v>44</v>
      </c>
      <c r="G64" s="51">
        <f>(C$218+C$219)/1000</f>
        <v>46.081499999999998</v>
      </c>
      <c r="H64" s="52" t="s">
        <v>45</v>
      </c>
      <c r="I64" s="53">
        <f>ROUND(E64*G64,2)</f>
        <v>0</v>
      </c>
      <c r="J64" s="43">
        <f>SUM(G60:G63)</f>
        <v>0</v>
      </c>
    </row>
    <row r="65" spans="2:14" ht="18" customHeight="1">
      <c r="B65" s="48" t="s">
        <v>46</v>
      </c>
      <c r="C65" s="50">
        <v>337.92</v>
      </c>
      <c r="D65" s="50" t="s">
        <v>47</v>
      </c>
      <c r="E65" s="49">
        <f>ROUND(C64*(C65/1000),2)</f>
        <v>0</v>
      </c>
      <c r="F65" s="50" t="s">
        <v>48</v>
      </c>
      <c r="G65" s="50">
        <f>G$23</f>
        <v>10</v>
      </c>
      <c r="H65" s="52" t="s">
        <v>49</v>
      </c>
      <c r="I65" s="53">
        <f>E65*G65</f>
        <v>0</v>
      </c>
    </row>
    <row r="66" spans="2:14" ht="18" customHeight="1" thickBot="1">
      <c r="B66" s="48" t="s">
        <v>50</v>
      </c>
      <c r="C66" s="50">
        <v>175.93</v>
      </c>
      <c r="D66" s="50" t="s">
        <v>51</v>
      </c>
      <c r="E66" s="49">
        <f>ROUND(C64*(C66/1000),2)</f>
        <v>0</v>
      </c>
      <c r="F66" s="50" t="s">
        <v>48</v>
      </c>
      <c r="G66" s="50">
        <f>G$24</f>
        <v>10</v>
      </c>
      <c r="H66" s="52" t="s">
        <v>49</v>
      </c>
      <c r="I66" s="53">
        <f>E66*G66</f>
        <v>0</v>
      </c>
    </row>
    <row r="67" spans="2:14" ht="18" customHeight="1" thickBot="1">
      <c r="B67" s="23" t="s">
        <v>36</v>
      </c>
      <c r="C67" s="252" t="s">
        <v>14</v>
      </c>
      <c r="D67" s="252" t="s">
        <v>37</v>
      </c>
      <c r="E67" s="252" t="s">
        <v>38</v>
      </c>
      <c r="F67" s="252" t="s">
        <v>39</v>
      </c>
      <c r="G67" s="252" t="s">
        <v>8</v>
      </c>
      <c r="H67" s="252" t="s">
        <v>22</v>
      </c>
      <c r="I67" s="25" t="s">
        <v>40</v>
      </c>
      <c r="J67" s="54" t="s">
        <v>2</v>
      </c>
      <c r="K67" s="55" t="s">
        <v>3</v>
      </c>
      <c r="L67" s="55" t="s">
        <v>52</v>
      </c>
      <c r="M67" s="55" t="s">
        <v>53</v>
      </c>
      <c r="N67" s="70" t="s">
        <v>14</v>
      </c>
    </row>
    <row r="68" spans="2:14" ht="18" customHeight="1">
      <c r="B68" s="648" t="s">
        <v>79</v>
      </c>
      <c r="C68" s="649" t="s">
        <v>323</v>
      </c>
      <c r="D68" s="81">
        <f>J68-IF(L68=1,72,IF(L68=2,54,IF(L68=3,26,IF(L68=11,102.8,IF(L68=12,88.8,IF(L68=13,74.8,0))))))</f>
        <v>0</v>
      </c>
      <c r="E68" s="81">
        <f>K68-IF(M68=1,72,IF(M68=2,24,IF(M68=3,26,IF(M68=11,102.8,IF(M68=12,88.8,IF(M68=13,74.8,0))))))</f>
        <v>0</v>
      </c>
      <c r="F68" s="81">
        <f>2*(D68+E68)/1000</f>
        <v>0</v>
      </c>
      <c r="G68" s="82"/>
      <c r="H68" s="250">
        <v>0.224</v>
      </c>
      <c r="I68" s="59">
        <f t="shared" ref="I68:I87" si="11">ROUND(F68*G68*H68,3)</f>
        <v>0</v>
      </c>
      <c r="J68" s="83"/>
      <c r="K68" s="83"/>
      <c r="L68" s="84"/>
      <c r="M68" s="84"/>
      <c r="N68" s="71" t="s">
        <v>56</v>
      </c>
    </row>
    <row r="69" spans="2:14" ht="18" customHeight="1">
      <c r="B69" s="648"/>
      <c r="C69" s="650"/>
      <c r="D69" s="81">
        <f t="shared" ref="D69:D87" si="12">J69-IF(L69=1,72,IF(L69=2,54,IF(L69=3,26,IF(L69=11,102.8,IF(L69=12,88.8,IF(L69=13,74.8,0))))))</f>
        <v>0</v>
      </c>
      <c r="E69" s="81">
        <f t="shared" ref="E69:E87" si="13">K69-IF(M69=1,72,IF(M69=2,24,IF(M69=3,26,IF(M69=11,102.8,IF(M69=12,88.8,IF(M69=13,74.8,0))))))</f>
        <v>0</v>
      </c>
      <c r="F69" s="81">
        <f t="shared" ref="F69:F87" si="14">2*(D69+E69)/1000</f>
        <v>0</v>
      </c>
      <c r="G69" s="82"/>
      <c r="H69" s="250">
        <f>H68</f>
        <v>0.224</v>
      </c>
      <c r="I69" s="59">
        <f t="shared" si="11"/>
        <v>0</v>
      </c>
      <c r="J69" s="83"/>
      <c r="K69" s="84"/>
      <c r="L69" s="84"/>
      <c r="M69" s="84"/>
      <c r="N69" s="72" t="s">
        <v>58</v>
      </c>
    </row>
    <row r="70" spans="2:14" ht="18" customHeight="1">
      <c r="B70" s="648"/>
      <c r="C70" s="650"/>
      <c r="D70" s="81">
        <f t="shared" si="12"/>
        <v>0</v>
      </c>
      <c r="E70" s="81">
        <f t="shared" si="13"/>
        <v>0</v>
      </c>
      <c r="F70" s="81">
        <f t="shared" si="14"/>
        <v>0</v>
      </c>
      <c r="G70" s="82"/>
      <c r="H70" s="250">
        <f>H69</f>
        <v>0.224</v>
      </c>
      <c r="I70" s="59">
        <f t="shared" si="11"/>
        <v>0</v>
      </c>
      <c r="J70" s="83"/>
      <c r="K70" s="84"/>
      <c r="L70" s="84"/>
      <c r="M70" s="84"/>
      <c r="N70" s="72" t="s">
        <v>60</v>
      </c>
    </row>
    <row r="71" spans="2:14" ht="18" customHeight="1">
      <c r="B71" s="648"/>
      <c r="C71" s="650"/>
      <c r="D71" s="81">
        <f t="shared" si="12"/>
        <v>0</v>
      </c>
      <c r="E71" s="81">
        <f t="shared" si="13"/>
        <v>0</v>
      </c>
      <c r="F71" s="81">
        <f t="shared" si="14"/>
        <v>0</v>
      </c>
      <c r="G71" s="82"/>
      <c r="H71" s="77">
        <f>H70</f>
        <v>0.224</v>
      </c>
      <c r="I71" s="59">
        <f t="shared" si="11"/>
        <v>0</v>
      </c>
      <c r="J71" s="85"/>
      <c r="K71" s="86"/>
      <c r="L71" s="86"/>
      <c r="M71" s="86"/>
      <c r="N71" s="72" t="s">
        <v>65</v>
      </c>
    </row>
    <row r="72" spans="2:14" ht="18" customHeight="1">
      <c r="B72" s="648"/>
      <c r="C72" s="650"/>
      <c r="D72" s="81">
        <f t="shared" si="12"/>
        <v>0</v>
      </c>
      <c r="E72" s="81">
        <f t="shared" si="13"/>
        <v>0</v>
      </c>
      <c r="F72" s="81">
        <f t="shared" si="14"/>
        <v>0</v>
      </c>
      <c r="G72" s="82"/>
      <c r="H72" s="77">
        <f>H71</f>
        <v>0.224</v>
      </c>
      <c r="I72" s="87">
        <f t="shared" si="11"/>
        <v>0</v>
      </c>
      <c r="J72" s="85"/>
      <c r="K72" s="86"/>
      <c r="L72" s="86"/>
      <c r="M72" s="86"/>
      <c r="N72" s="72" t="s">
        <v>66</v>
      </c>
    </row>
    <row r="73" spans="2:14" ht="18" customHeight="1">
      <c r="B73" s="648"/>
      <c r="C73" s="650"/>
      <c r="D73" s="81">
        <f t="shared" si="12"/>
        <v>0</v>
      </c>
      <c r="E73" s="81">
        <f t="shared" si="13"/>
        <v>0</v>
      </c>
      <c r="F73" s="81">
        <f t="shared" si="14"/>
        <v>0</v>
      </c>
      <c r="G73" s="82"/>
      <c r="H73" s="250">
        <f>H70</f>
        <v>0.224</v>
      </c>
      <c r="I73" s="87">
        <f t="shared" si="11"/>
        <v>0</v>
      </c>
      <c r="J73" s="83"/>
      <c r="K73" s="84"/>
      <c r="L73" s="84"/>
      <c r="M73" s="84"/>
      <c r="N73" s="72" t="s">
        <v>67</v>
      </c>
    </row>
    <row r="74" spans="2:14" ht="18" customHeight="1">
      <c r="B74" s="648"/>
      <c r="C74" s="651"/>
      <c r="D74" s="81">
        <f t="shared" si="12"/>
        <v>0</v>
      </c>
      <c r="E74" s="81">
        <f t="shared" si="13"/>
        <v>0</v>
      </c>
      <c r="F74" s="81">
        <f t="shared" si="14"/>
        <v>0</v>
      </c>
      <c r="G74" s="82"/>
      <c r="H74" s="250">
        <f>H73</f>
        <v>0.224</v>
      </c>
      <c r="I74" s="87">
        <f t="shared" si="11"/>
        <v>0</v>
      </c>
      <c r="J74" s="83"/>
      <c r="K74" s="84"/>
      <c r="L74" s="84"/>
      <c r="M74" s="84"/>
      <c r="N74" s="88"/>
    </row>
    <row r="75" spans="2:14" ht="18" customHeight="1">
      <c r="B75" s="648"/>
      <c r="C75" s="649" t="s">
        <v>324</v>
      </c>
      <c r="D75" s="89">
        <f t="shared" si="12"/>
        <v>0</v>
      </c>
      <c r="E75" s="89">
        <f t="shared" si="13"/>
        <v>0</v>
      </c>
      <c r="F75" s="89">
        <f t="shared" si="14"/>
        <v>0</v>
      </c>
      <c r="G75" s="90"/>
      <c r="H75" s="91">
        <f>H74</f>
        <v>0.224</v>
      </c>
      <c r="I75" s="92">
        <f t="shared" si="11"/>
        <v>0</v>
      </c>
      <c r="J75" s="83"/>
      <c r="K75" s="84"/>
      <c r="L75" s="84"/>
      <c r="M75" s="84"/>
      <c r="N75" s="93" t="s">
        <v>80</v>
      </c>
    </row>
    <row r="76" spans="2:14" ht="18" customHeight="1">
      <c r="B76" s="648"/>
      <c r="C76" s="650"/>
      <c r="D76" s="89">
        <f t="shared" si="12"/>
        <v>0</v>
      </c>
      <c r="E76" s="89">
        <f t="shared" si="13"/>
        <v>0</v>
      </c>
      <c r="F76" s="89">
        <f t="shared" si="14"/>
        <v>0</v>
      </c>
      <c r="G76" s="90"/>
      <c r="H76" s="91">
        <f>H72</f>
        <v>0.224</v>
      </c>
      <c r="I76" s="92">
        <f t="shared" si="11"/>
        <v>0</v>
      </c>
      <c r="J76" s="83"/>
      <c r="K76" s="84"/>
      <c r="L76" s="84"/>
      <c r="M76" s="84"/>
      <c r="N76" s="93" t="s">
        <v>80</v>
      </c>
    </row>
    <row r="77" spans="2:14" ht="18" customHeight="1">
      <c r="B77" s="648"/>
      <c r="C77" s="650"/>
      <c r="D77" s="89">
        <f t="shared" si="12"/>
        <v>0</v>
      </c>
      <c r="E77" s="89">
        <f t="shared" si="13"/>
        <v>0</v>
      </c>
      <c r="F77" s="89">
        <f t="shared" si="14"/>
        <v>0</v>
      </c>
      <c r="G77" s="90"/>
      <c r="H77" s="91">
        <f t="shared" ref="H77:H87" si="15">H76</f>
        <v>0.224</v>
      </c>
      <c r="I77" s="92">
        <f t="shared" si="11"/>
        <v>0</v>
      </c>
      <c r="J77" s="83"/>
      <c r="K77" s="84"/>
      <c r="L77" s="84"/>
      <c r="M77" s="84"/>
      <c r="N77" s="93" t="s">
        <v>80</v>
      </c>
    </row>
    <row r="78" spans="2:14" ht="18" customHeight="1">
      <c r="B78" s="648"/>
      <c r="C78" s="650"/>
      <c r="D78" s="89">
        <f t="shared" si="12"/>
        <v>0</v>
      </c>
      <c r="E78" s="89">
        <f t="shared" si="13"/>
        <v>0</v>
      </c>
      <c r="F78" s="89">
        <f t="shared" si="14"/>
        <v>0</v>
      </c>
      <c r="G78" s="90"/>
      <c r="H78" s="91">
        <f t="shared" si="15"/>
        <v>0.224</v>
      </c>
      <c r="I78" s="92">
        <f t="shared" si="11"/>
        <v>0</v>
      </c>
      <c r="J78" s="83"/>
      <c r="K78" s="84"/>
      <c r="L78" s="84"/>
      <c r="M78" s="84"/>
      <c r="N78" s="93" t="s">
        <v>80</v>
      </c>
    </row>
    <row r="79" spans="2:14" ht="18" customHeight="1">
      <c r="B79" s="648"/>
      <c r="C79" s="650"/>
      <c r="D79" s="89">
        <f t="shared" si="12"/>
        <v>0</v>
      </c>
      <c r="E79" s="89">
        <f t="shared" si="13"/>
        <v>0</v>
      </c>
      <c r="F79" s="89">
        <f t="shared" si="14"/>
        <v>0</v>
      </c>
      <c r="G79" s="90"/>
      <c r="H79" s="91">
        <f t="shared" si="15"/>
        <v>0.224</v>
      </c>
      <c r="I79" s="94">
        <f t="shared" si="11"/>
        <v>0</v>
      </c>
      <c r="J79" s="83"/>
      <c r="K79" s="84"/>
      <c r="L79" s="84"/>
      <c r="M79" s="84"/>
      <c r="N79" s="93" t="s">
        <v>80</v>
      </c>
    </row>
    <row r="80" spans="2:14" ht="18" customHeight="1">
      <c r="B80" s="648"/>
      <c r="C80" s="650"/>
      <c r="D80" s="89">
        <f t="shared" si="12"/>
        <v>0</v>
      </c>
      <c r="E80" s="89">
        <f t="shared" si="13"/>
        <v>0</v>
      </c>
      <c r="F80" s="89">
        <f t="shared" si="14"/>
        <v>0</v>
      </c>
      <c r="G80" s="90"/>
      <c r="H80" s="91">
        <f t="shared" si="15"/>
        <v>0.224</v>
      </c>
      <c r="I80" s="94">
        <f t="shared" si="11"/>
        <v>0</v>
      </c>
      <c r="J80" s="83"/>
      <c r="K80" s="84"/>
      <c r="L80" s="84"/>
      <c r="M80" s="84"/>
      <c r="N80" s="93" t="s">
        <v>80</v>
      </c>
    </row>
    <row r="81" spans="2:14" ht="18" customHeight="1">
      <c r="B81" s="648"/>
      <c r="C81" s="651"/>
      <c r="D81" s="89">
        <f t="shared" si="12"/>
        <v>0</v>
      </c>
      <c r="E81" s="89">
        <f t="shared" si="13"/>
        <v>0</v>
      </c>
      <c r="F81" s="89">
        <f t="shared" si="14"/>
        <v>0</v>
      </c>
      <c r="G81" s="90"/>
      <c r="H81" s="91">
        <f t="shared" si="15"/>
        <v>0.224</v>
      </c>
      <c r="I81" s="94">
        <f t="shared" si="11"/>
        <v>0</v>
      </c>
      <c r="J81" s="95"/>
      <c r="K81" s="96"/>
      <c r="L81" s="96"/>
      <c r="M81" s="96"/>
      <c r="N81" s="93" t="s">
        <v>81</v>
      </c>
    </row>
    <row r="82" spans="2:14" ht="18" customHeight="1">
      <c r="B82" s="648"/>
      <c r="C82" s="639" t="s">
        <v>325</v>
      </c>
      <c r="D82" s="81">
        <f t="shared" si="12"/>
        <v>0</v>
      </c>
      <c r="E82" s="81">
        <f t="shared" si="13"/>
        <v>0</v>
      </c>
      <c r="F82" s="81">
        <f t="shared" si="14"/>
        <v>0</v>
      </c>
      <c r="G82" s="82"/>
      <c r="H82" s="250">
        <f t="shared" si="15"/>
        <v>0.224</v>
      </c>
      <c r="I82" s="59">
        <f t="shared" si="11"/>
        <v>0</v>
      </c>
      <c r="J82" s="83"/>
      <c r="K82" s="84"/>
      <c r="L82" s="84"/>
      <c r="M82" s="84"/>
      <c r="N82" s="88"/>
    </row>
    <row r="83" spans="2:14" ht="18" customHeight="1">
      <c r="B83" s="648"/>
      <c r="C83" s="645"/>
      <c r="D83" s="81">
        <f t="shared" si="12"/>
        <v>0</v>
      </c>
      <c r="E83" s="81">
        <f t="shared" si="13"/>
        <v>0</v>
      </c>
      <c r="F83" s="81">
        <f t="shared" si="14"/>
        <v>0</v>
      </c>
      <c r="G83" s="82"/>
      <c r="H83" s="250">
        <f t="shared" si="15"/>
        <v>0.224</v>
      </c>
      <c r="I83" s="59">
        <f t="shared" si="11"/>
        <v>0</v>
      </c>
      <c r="J83" s="83"/>
      <c r="K83" s="84"/>
      <c r="L83" s="84"/>
      <c r="M83" s="84"/>
      <c r="N83" s="88"/>
    </row>
    <row r="84" spans="2:14" ht="18" customHeight="1">
      <c r="B84" s="648"/>
      <c r="C84" s="645"/>
      <c r="D84" s="81">
        <f t="shared" si="12"/>
        <v>0</v>
      </c>
      <c r="E84" s="81">
        <f t="shared" si="13"/>
        <v>0</v>
      </c>
      <c r="F84" s="81">
        <f t="shared" si="14"/>
        <v>0</v>
      </c>
      <c r="G84" s="82"/>
      <c r="H84" s="250">
        <f t="shared" si="15"/>
        <v>0.224</v>
      </c>
      <c r="I84" s="59">
        <f t="shared" si="11"/>
        <v>0</v>
      </c>
      <c r="J84" s="83"/>
      <c r="K84" s="84"/>
      <c r="L84" s="84"/>
      <c r="M84" s="84"/>
      <c r="N84" s="76"/>
    </row>
    <row r="85" spans="2:14" ht="18" customHeight="1">
      <c r="B85" s="648"/>
      <c r="C85" s="645"/>
      <c r="D85" s="81">
        <f t="shared" si="12"/>
        <v>0</v>
      </c>
      <c r="E85" s="81">
        <f t="shared" si="13"/>
        <v>0</v>
      </c>
      <c r="F85" s="81">
        <f t="shared" si="14"/>
        <v>0</v>
      </c>
      <c r="G85" s="82"/>
      <c r="H85" s="250">
        <f t="shared" si="15"/>
        <v>0.224</v>
      </c>
      <c r="I85" s="59">
        <f t="shared" si="11"/>
        <v>0</v>
      </c>
      <c r="J85" s="83"/>
      <c r="K85" s="84"/>
      <c r="L85" s="84"/>
      <c r="M85" s="84"/>
      <c r="N85" s="76"/>
    </row>
    <row r="86" spans="2:14" ht="18" customHeight="1">
      <c r="B86" s="648"/>
      <c r="C86" s="645"/>
      <c r="D86" s="81">
        <f t="shared" si="12"/>
        <v>0</v>
      </c>
      <c r="E86" s="81">
        <f t="shared" si="13"/>
        <v>0</v>
      </c>
      <c r="F86" s="81">
        <f t="shared" si="14"/>
        <v>0</v>
      </c>
      <c r="G86" s="82"/>
      <c r="H86" s="250">
        <f t="shared" si="15"/>
        <v>0.224</v>
      </c>
      <c r="I86" s="59">
        <f t="shared" si="11"/>
        <v>0</v>
      </c>
      <c r="J86" s="85"/>
      <c r="K86" s="86"/>
      <c r="L86" s="86"/>
      <c r="M86" s="86"/>
      <c r="N86" s="76"/>
    </row>
    <row r="87" spans="2:14" ht="18" customHeight="1" thickBot="1">
      <c r="B87" s="648"/>
      <c r="C87" s="640"/>
      <c r="D87" s="81">
        <f t="shared" si="12"/>
        <v>0</v>
      </c>
      <c r="E87" s="81">
        <f t="shared" si="13"/>
        <v>0</v>
      </c>
      <c r="F87" s="81">
        <f t="shared" si="14"/>
        <v>0</v>
      </c>
      <c r="G87" s="82"/>
      <c r="H87" s="250">
        <f t="shared" si="15"/>
        <v>0.224</v>
      </c>
      <c r="I87" s="59">
        <f t="shared" si="11"/>
        <v>0</v>
      </c>
      <c r="J87" s="97"/>
      <c r="K87" s="98"/>
      <c r="L87" s="98"/>
      <c r="M87" s="98"/>
      <c r="N87" s="80"/>
    </row>
    <row r="88" spans="2:14" ht="18" customHeight="1">
      <c r="B88" s="48" t="s">
        <v>42</v>
      </c>
      <c r="C88" s="49">
        <f>SUMPRODUCT(F68:F87*G68:G87)</f>
        <v>0</v>
      </c>
      <c r="D88" s="50" t="s">
        <v>43</v>
      </c>
      <c r="E88" s="49">
        <f>SUM(I68:I87)*1.1</f>
        <v>0</v>
      </c>
      <c r="F88" s="50" t="s">
        <v>44</v>
      </c>
      <c r="G88" s="51">
        <f>(C$218+C$222)/1000</f>
        <v>39.781500000000001</v>
      </c>
      <c r="H88" s="52" t="s">
        <v>45</v>
      </c>
      <c r="I88" s="53">
        <f>ROUND(E88*G88,2)</f>
        <v>0</v>
      </c>
      <c r="J88" s="255"/>
      <c r="K88" s="255"/>
      <c r="L88" s="255"/>
      <c r="M88" s="255"/>
    </row>
    <row r="89" spans="2:14" ht="18" customHeight="1">
      <c r="B89" s="48" t="s">
        <v>46</v>
      </c>
      <c r="C89" s="50">
        <v>181.72</v>
      </c>
      <c r="D89" s="50" t="s">
        <v>47</v>
      </c>
      <c r="E89" s="49">
        <f>ROUND(C88*(C89/1000),2)</f>
        <v>0</v>
      </c>
      <c r="F89" s="50" t="s">
        <v>48</v>
      </c>
      <c r="G89" s="50">
        <f>G$23</f>
        <v>10</v>
      </c>
      <c r="H89" s="52" t="s">
        <v>49</v>
      </c>
      <c r="I89" s="53">
        <f>E89*G89</f>
        <v>0</v>
      </c>
      <c r="J89" s="255"/>
      <c r="K89" s="255"/>
      <c r="L89" s="255"/>
      <c r="M89" s="255"/>
    </row>
    <row r="90" spans="2:14" ht="18" customHeight="1">
      <c r="B90" s="48" t="s">
        <v>50</v>
      </c>
      <c r="C90" s="50"/>
      <c r="D90" s="50" t="s">
        <v>51</v>
      </c>
      <c r="E90" s="49">
        <f>ROUND(C88*(C90/1000),2)</f>
        <v>0</v>
      </c>
      <c r="F90" s="50" t="s">
        <v>48</v>
      </c>
      <c r="G90" s="50">
        <f>G$24</f>
        <v>10</v>
      </c>
      <c r="H90" s="52" t="s">
        <v>49</v>
      </c>
      <c r="I90" s="53">
        <f>E90*G90</f>
        <v>0</v>
      </c>
      <c r="J90" s="255"/>
      <c r="K90" s="255"/>
      <c r="L90" s="255"/>
      <c r="M90" s="255"/>
    </row>
    <row r="91" spans="2:14" ht="18" customHeight="1">
      <c r="B91" s="23" t="s">
        <v>36</v>
      </c>
      <c r="C91" s="252" t="s">
        <v>14</v>
      </c>
      <c r="D91" s="252" t="s">
        <v>37</v>
      </c>
      <c r="E91" s="252" t="s">
        <v>38</v>
      </c>
      <c r="F91" s="252" t="s">
        <v>39</v>
      </c>
      <c r="G91" s="252" t="s">
        <v>8</v>
      </c>
      <c r="H91" s="252" t="s">
        <v>22</v>
      </c>
      <c r="I91" s="25" t="s">
        <v>40</v>
      </c>
      <c r="J91" s="255"/>
      <c r="K91" s="255"/>
      <c r="L91" s="255"/>
      <c r="M91" s="255"/>
    </row>
    <row r="92" spans="2:14" ht="18" customHeight="1">
      <c r="B92" s="648" t="s">
        <v>82</v>
      </c>
      <c r="C92" s="653" t="s">
        <v>326</v>
      </c>
      <c r="D92" s="253">
        <f>D26-90</f>
        <v>-90</v>
      </c>
      <c r="E92" s="253">
        <f>E26-90</f>
        <v>-90</v>
      </c>
      <c r="F92" s="253">
        <f>2*(D92+E92)/1000</f>
        <v>-0.36</v>
      </c>
      <c r="G92" s="250">
        <f>G26</f>
        <v>0</v>
      </c>
      <c r="H92" s="250">
        <v>0.27100000000000002</v>
      </c>
      <c r="I92" s="59">
        <f>ROUND(F92*G92*H92,3)</f>
        <v>0</v>
      </c>
    </row>
    <row r="93" spans="2:14" ht="18" customHeight="1">
      <c r="B93" s="648"/>
      <c r="C93" s="658"/>
      <c r="D93" s="253">
        <f t="shared" ref="D93:E96" si="16">D27-90</f>
        <v>-90</v>
      </c>
      <c r="E93" s="253">
        <f t="shared" si="16"/>
        <v>-90</v>
      </c>
      <c r="F93" s="253">
        <f>2*(D93+E93)/1000</f>
        <v>-0.36</v>
      </c>
      <c r="G93" s="250">
        <f>G27</f>
        <v>0</v>
      </c>
      <c r="H93" s="250">
        <f>H92</f>
        <v>0.27100000000000002</v>
      </c>
      <c r="I93" s="59">
        <f>ROUND(F93*G93*H93,3)</f>
        <v>0</v>
      </c>
      <c r="M93" s="42"/>
    </row>
    <row r="94" spans="2:14" ht="18" customHeight="1">
      <c r="B94" s="648"/>
      <c r="C94" s="658"/>
      <c r="D94" s="253">
        <f t="shared" si="16"/>
        <v>-90</v>
      </c>
      <c r="E94" s="253">
        <f t="shared" si="16"/>
        <v>-90</v>
      </c>
      <c r="F94" s="253">
        <f>2*(D94+E94)/1000</f>
        <v>-0.36</v>
      </c>
      <c r="G94" s="250">
        <f>G28</f>
        <v>0</v>
      </c>
      <c r="H94" s="250">
        <f>H93</f>
        <v>0.27100000000000002</v>
      </c>
      <c r="I94" s="59">
        <f>ROUND(F94*G94*H94,3)</f>
        <v>0</v>
      </c>
    </row>
    <row r="95" spans="2:14" ht="18" customHeight="1">
      <c r="B95" s="648"/>
      <c r="C95" s="658"/>
      <c r="D95" s="253">
        <f t="shared" si="16"/>
        <v>-90</v>
      </c>
      <c r="E95" s="253">
        <f t="shared" si="16"/>
        <v>-90</v>
      </c>
      <c r="F95" s="253">
        <f>2*(D95+E95)/1000</f>
        <v>-0.36</v>
      </c>
      <c r="G95" s="250">
        <f>G29</f>
        <v>0</v>
      </c>
      <c r="H95" s="250">
        <f>H94</f>
        <v>0.27100000000000002</v>
      </c>
      <c r="I95" s="59">
        <f>ROUND(F95*G95*H95,3)</f>
        <v>0</v>
      </c>
    </row>
    <row r="96" spans="2:14" ht="18" customHeight="1">
      <c r="B96" s="648"/>
      <c r="C96" s="659"/>
      <c r="D96" s="253">
        <f t="shared" si="16"/>
        <v>-90</v>
      </c>
      <c r="E96" s="253">
        <f t="shared" si="16"/>
        <v>-90</v>
      </c>
      <c r="F96" s="253">
        <f>2*(D96+E96)/1000</f>
        <v>-0.36</v>
      </c>
      <c r="G96" s="250">
        <f>G30</f>
        <v>0</v>
      </c>
      <c r="H96" s="250">
        <f>H95</f>
        <v>0.27100000000000002</v>
      </c>
      <c r="I96" s="59">
        <f>ROUND(F96*G96*H96,3)</f>
        <v>0</v>
      </c>
    </row>
    <row r="97" spans="2:13" ht="18" customHeight="1">
      <c r="B97" s="48" t="s">
        <v>42</v>
      </c>
      <c r="C97" s="49">
        <f>SUMPRODUCT(F92:F96*G92:G96)</f>
        <v>0</v>
      </c>
      <c r="D97" s="50" t="s">
        <v>43</v>
      </c>
      <c r="E97" s="49">
        <f>SUM(I92:I96)*1.1</f>
        <v>0</v>
      </c>
      <c r="F97" s="50" t="s">
        <v>44</v>
      </c>
      <c r="G97" s="51">
        <f>(C$218+C$222)/1000</f>
        <v>39.781500000000001</v>
      </c>
      <c r="H97" s="52" t="s">
        <v>45</v>
      </c>
      <c r="I97" s="53">
        <f>ROUND(E97*G97,2)</f>
        <v>0</v>
      </c>
    </row>
    <row r="98" spans="2:13" ht="18" customHeight="1">
      <c r="B98" s="48" t="s">
        <v>46</v>
      </c>
      <c r="C98" s="50">
        <v>186.72</v>
      </c>
      <c r="D98" s="50" t="s">
        <v>47</v>
      </c>
      <c r="E98" s="49">
        <f>ROUND(C97*(C98/1000),2)</f>
        <v>0</v>
      </c>
      <c r="F98" s="50" t="s">
        <v>48</v>
      </c>
      <c r="G98" s="50">
        <f>G$23</f>
        <v>10</v>
      </c>
      <c r="H98" s="52" t="s">
        <v>49</v>
      </c>
      <c r="I98" s="53">
        <f>E98*G98</f>
        <v>0</v>
      </c>
    </row>
    <row r="99" spans="2:13" ht="18" customHeight="1">
      <c r="B99" s="48" t="s">
        <v>50</v>
      </c>
      <c r="C99" s="50">
        <v>0</v>
      </c>
      <c r="D99" s="50" t="s">
        <v>51</v>
      </c>
      <c r="E99" s="49">
        <f>ROUND(C97*(C99/1000),2)</f>
        <v>0</v>
      </c>
      <c r="F99" s="50" t="s">
        <v>48</v>
      </c>
      <c r="G99" s="50">
        <f>G$24</f>
        <v>10</v>
      </c>
      <c r="H99" s="52" t="s">
        <v>49</v>
      </c>
      <c r="I99" s="53">
        <f>E99*G99</f>
        <v>0</v>
      </c>
    </row>
    <row r="100" spans="2:13" ht="18" customHeight="1">
      <c r="B100" s="23" t="s">
        <v>36</v>
      </c>
      <c r="C100" s="252" t="s">
        <v>14</v>
      </c>
      <c r="D100" s="252" t="s">
        <v>37</v>
      </c>
      <c r="E100" s="252" t="s">
        <v>38</v>
      </c>
      <c r="F100" s="252" t="s">
        <v>39</v>
      </c>
      <c r="G100" s="252" t="s">
        <v>8</v>
      </c>
      <c r="H100" s="252" t="s">
        <v>22</v>
      </c>
      <c r="I100" s="25" t="s">
        <v>40</v>
      </c>
    </row>
    <row r="101" spans="2:13" ht="18" customHeight="1">
      <c r="B101" s="648" t="s">
        <v>84</v>
      </c>
      <c r="C101" s="653" t="str">
        <f>C92</f>
        <v>SDL2281</v>
      </c>
      <c r="D101" s="253">
        <f>D35-122</f>
        <v>448</v>
      </c>
      <c r="E101" s="253">
        <f t="shared" ref="D101:E103" si="17">E35-122</f>
        <v>1176</v>
      </c>
      <c r="F101" s="253">
        <f>2*(D101+E101)/1000</f>
        <v>3.2480000000000002</v>
      </c>
      <c r="G101" s="250">
        <f>G35</f>
        <v>2</v>
      </c>
      <c r="H101" s="250">
        <f>H96</f>
        <v>0.27100000000000002</v>
      </c>
      <c r="I101" s="59">
        <f>ROUND(F101*G101*H101,3)</f>
        <v>1.76</v>
      </c>
    </row>
    <row r="102" spans="2:13" ht="18" customHeight="1">
      <c r="B102" s="648"/>
      <c r="C102" s="650"/>
      <c r="D102" s="253">
        <f t="shared" si="17"/>
        <v>-122</v>
      </c>
      <c r="E102" s="253">
        <f t="shared" si="17"/>
        <v>-122</v>
      </c>
      <c r="F102" s="253">
        <f>2*(D102+E102)/1000</f>
        <v>-0.48799999999999999</v>
      </c>
      <c r="G102" s="250">
        <f>G36</f>
        <v>0</v>
      </c>
      <c r="H102" s="250">
        <f>H101</f>
        <v>0.27100000000000002</v>
      </c>
      <c r="I102" s="59">
        <f>ROUND(F102*G102*H102,3)</f>
        <v>0</v>
      </c>
      <c r="K102" s="99"/>
      <c r="M102" s="99"/>
    </row>
    <row r="103" spans="2:13" ht="18" customHeight="1">
      <c r="B103" s="648"/>
      <c r="C103" s="651"/>
      <c r="D103" s="253">
        <f t="shared" si="17"/>
        <v>-122</v>
      </c>
      <c r="E103" s="253">
        <f t="shared" si="17"/>
        <v>-122</v>
      </c>
      <c r="F103" s="253">
        <f>2*(D103+E103)/1000</f>
        <v>-0.48799999999999999</v>
      </c>
      <c r="G103" s="250">
        <f>G37</f>
        <v>0</v>
      </c>
      <c r="H103" s="250">
        <f>H102</f>
        <v>0.27100000000000002</v>
      </c>
      <c r="I103" s="59">
        <f>ROUND(F103*G103*H103,3)</f>
        <v>0</v>
      </c>
      <c r="M103" s="99"/>
    </row>
    <row r="104" spans="2:13" ht="18" customHeight="1">
      <c r="B104" s="48" t="s">
        <v>42</v>
      </c>
      <c r="C104" s="49">
        <f>SUMPRODUCT(F101:F103*G101:G103)</f>
        <v>6.4960000000000004</v>
      </c>
      <c r="D104" s="50" t="s">
        <v>43</v>
      </c>
      <c r="E104" s="49">
        <f>SUM(I101:I103)*1.1</f>
        <v>1.9360000000000002</v>
      </c>
      <c r="F104" s="50" t="s">
        <v>44</v>
      </c>
      <c r="G104" s="51">
        <f>(C$218+C$222)/1000</f>
        <v>39.781500000000001</v>
      </c>
      <c r="H104" s="52" t="s">
        <v>45</v>
      </c>
      <c r="I104" s="53">
        <f>ROUND(E104*G104,2)</f>
        <v>77.02</v>
      </c>
    </row>
    <row r="105" spans="2:13" ht="18" customHeight="1">
      <c r="B105" s="48" t="s">
        <v>46</v>
      </c>
      <c r="C105" s="50">
        <v>186.72</v>
      </c>
      <c r="D105" s="50" t="s">
        <v>47</v>
      </c>
      <c r="E105" s="49">
        <f>ROUND(C104*(C105/1000),2)</f>
        <v>1.21</v>
      </c>
      <c r="F105" s="50" t="s">
        <v>48</v>
      </c>
      <c r="G105" s="50">
        <f>G$23</f>
        <v>10</v>
      </c>
      <c r="H105" s="52" t="s">
        <v>49</v>
      </c>
      <c r="I105" s="53">
        <f>ROUND(E105*G105,2)</f>
        <v>12.1</v>
      </c>
    </row>
    <row r="106" spans="2:13" ht="18" customHeight="1">
      <c r="B106" s="48" t="s">
        <v>50</v>
      </c>
      <c r="C106" s="50">
        <v>0</v>
      </c>
      <c r="D106" s="50" t="s">
        <v>51</v>
      </c>
      <c r="E106" s="49">
        <f>ROUND(C104*(C106/1000),2)</f>
        <v>0</v>
      </c>
      <c r="F106" s="50" t="s">
        <v>48</v>
      </c>
      <c r="G106" s="50">
        <f>G$24</f>
        <v>10</v>
      </c>
      <c r="H106" s="52" t="s">
        <v>49</v>
      </c>
      <c r="I106" s="53">
        <f>ROUND(E106*G106,2)</f>
        <v>0</v>
      </c>
    </row>
    <row r="107" spans="2:13" ht="18" customHeight="1">
      <c r="B107" s="23" t="s">
        <v>36</v>
      </c>
      <c r="C107" s="252" t="s">
        <v>14</v>
      </c>
      <c r="D107" s="252" t="s">
        <v>37</v>
      </c>
      <c r="E107" s="252" t="s">
        <v>38</v>
      </c>
      <c r="F107" s="252" t="s">
        <v>39</v>
      </c>
      <c r="G107" s="252" t="s">
        <v>8</v>
      </c>
      <c r="H107" s="252" t="s">
        <v>22</v>
      </c>
      <c r="I107" s="25" t="s">
        <v>40</v>
      </c>
    </row>
    <row r="108" spans="2:13" ht="18" customHeight="1">
      <c r="B108" s="648" t="s">
        <v>85</v>
      </c>
      <c r="C108" s="655" t="s">
        <v>86</v>
      </c>
      <c r="D108" s="250"/>
      <c r="E108" s="250"/>
      <c r="F108" s="250">
        <f>ROUND((D108+E108)*2/1000,4)</f>
        <v>0</v>
      </c>
      <c r="G108" s="250"/>
      <c r="H108" s="250">
        <v>1.857</v>
      </c>
      <c r="I108" s="59">
        <f>ROUND(F108*G108*H108,3)</f>
        <v>0</v>
      </c>
    </row>
    <row r="109" spans="2:13" ht="18" customHeight="1">
      <c r="B109" s="648"/>
      <c r="C109" s="656"/>
      <c r="D109" s="250"/>
      <c r="E109" s="250"/>
      <c r="F109" s="250">
        <f>ROUND((D109+E109)*2/1000,4)</f>
        <v>0</v>
      </c>
      <c r="G109" s="250"/>
      <c r="H109" s="250">
        <f>H108</f>
        <v>1.857</v>
      </c>
      <c r="I109" s="59">
        <f>ROUND(F109*G109*H109,3)</f>
        <v>0</v>
      </c>
      <c r="K109" s="42"/>
      <c r="L109" s="42"/>
      <c r="M109" s="42"/>
    </row>
    <row r="110" spans="2:13" ht="18" customHeight="1">
      <c r="B110" s="648"/>
      <c r="C110" s="656"/>
      <c r="D110" s="250"/>
      <c r="E110" s="250"/>
      <c r="F110" s="250">
        <f>ROUND((D110+E110)*2/1000,4)</f>
        <v>0</v>
      </c>
      <c r="G110" s="250"/>
      <c r="H110" s="250">
        <f>H109</f>
        <v>1.857</v>
      </c>
      <c r="I110" s="59">
        <f>ROUND(F110*G110*H110,3)</f>
        <v>0</v>
      </c>
      <c r="K110" s="42"/>
      <c r="L110" s="42"/>
      <c r="M110" s="42"/>
    </row>
    <row r="111" spans="2:13" ht="18" customHeight="1">
      <c r="B111" s="648"/>
      <c r="C111" s="657"/>
      <c r="D111" s="250"/>
      <c r="E111" s="250"/>
      <c r="F111" s="250">
        <f>ROUND((D111+E111)*2/1000,4)</f>
        <v>0</v>
      </c>
      <c r="G111" s="250"/>
      <c r="H111" s="250">
        <f>H110</f>
        <v>1.857</v>
      </c>
      <c r="I111" s="59">
        <f>ROUND(F111*G111*H111,3)</f>
        <v>0</v>
      </c>
      <c r="K111" s="42"/>
      <c r="L111" s="42"/>
      <c r="M111" s="42"/>
    </row>
    <row r="112" spans="2:13" ht="18" customHeight="1">
      <c r="B112" s="48" t="s">
        <v>42</v>
      </c>
      <c r="C112" s="49">
        <f>SUMPRODUCT(F108:F111*G108:G111)</f>
        <v>0</v>
      </c>
      <c r="D112" s="50" t="s">
        <v>43</v>
      </c>
      <c r="E112" s="49">
        <f>SUM(I108:I111)*1.1</f>
        <v>0</v>
      </c>
      <c r="F112" s="50" t="s">
        <v>44</v>
      </c>
      <c r="G112" s="51">
        <f>(C$218+C$219)/1000</f>
        <v>46.081499999999998</v>
      </c>
      <c r="H112" s="52" t="s">
        <v>45</v>
      </c>
      <c r="I112" s="53">
        <f>ROUND(E112*G112,2)</f>
        <v>0</v>
      </c>
      <c r="J112" s="243">
        <f>SUM(G108:G111)</f>
        <v>0</v>
      </c>
      <c r="K112" s="42"/>
      <c r="L112" s="42"/>
      <c r="M112" s="42"/>
    </row>
    <row r="113" spans="2:14" ht="18" customHeight="1">
      <c r="B113" s="48" t="s">
        <v>46</v>
      </c>
      <c r="C113" s="50">
        <v>241.03</v>
      </c>
      <c r="D113" s="50" t="s">
        <v>47</v>
      </c>
      <c r="E113" s="49">
        <f>ROUND(C112*(C113/1000),2)</f>
        <v>0</v>
      </c>
      <c r="F113" s="50" t="s">
        <v>48</v>
      </c>
      <c r="G113" s="50">
        <f>G$23</f>
        <v>10</v>
      </c>
      <c r="H113" s="52" t="s">
        <v>49</v>
      </c>
      <c r="I113" s="53">
        <f>E113*G113</f>
        <v>0</v>
      </c>
      <c r="K113" s="42"/>
      <c r="L113" s="42"/>
      <c r="M113" s="42"/>
    </row>
    <row r="114" spans="2:14" ht="18" customHeight="1" thickBot="1">
      <c r="B114" s="48" t="s">
        <v>50</v>
      </c>
      <c r="C114" s="50">
        <v>204.38</v>
      </c>
      <c r="D114" s="50" t="s">
        <v>51</v>
      </c>
      <c r="E114" s="49">
        <f>ROUND(C112*(C114/1000),2)</f>
        <v>0</v>
      </c>
      <c r="F114" s="50" t="s">
        <v>48</v>
      </c>
      <c r="G114" s="50">
        <f>G$24</f>
        <v>10</v>
      </c>
      <c r="H114" s="52" t="s">
        <v>49</v>
      </c>
      <c r="I114" s="53">
        <f>E114*G114</f>
        <v>0</v>
      </c>
    </row>
    <row r="115" spans="2:14" ht="18" customHeight="1" thickBot="1">
      <c r="B115" s="23" t="s">
        <v>36</v>
      </c>
      <c r="C115" s="252" t="s">
        <v>14</v>
      </c>
      <c r="D115" s="252" t="s">
        <v>37</v>
      </c>
      <c r="E115" s="252" t="s">
        <v>38</v>
      </c>
      <c r="F115" s="252" t="s">
        <v>39</v>
      </c>
      <c r="G115" s="252" t="s">
        <v>8</v>
      </c>
      <c r="H115" s="252" t="s">
        <v>22</v>
      </c>
      <c r="I115" s="25" t="s">
        <v>40</v>
      </c>
      <c r="J115" s="54" t="s">
        <v>2</v>
      </c>
      <c r="K115" s="55" t="s">
        <v>3</v>
      </c>
      <c r="L115" s="55" t="s">
        <v>61</v>
      </c>
      <c r="M115" s="55" t="s">
        <v>62</v>
      </c>
      <c r="N115" s="70" t="s">
        <v>14</v>
      </c>
    </row>
    <row r="116" spans="2:14" ht="18" customHeight="1">
      <c r="B116" s="648" t="s">
        <v>87</v>
      </c>
      <c r="C116" s="649" t="s">
        <v>88</v>
      </c>
      <c r="D116" s="253">
        <f t="shared" ref="D116:E118" si="18">J116-IF(L116=1,78,IF(L116=2,55.5,IF(L116=3,41,0)))</f>
        <v>0</v>
      </c>
      <c r="E116" s="253">
        <f t="shared" si="18"/>
        <v>0</v>
      </c>
      <c r="F116" s="250">
        <f>ROUND((D116+E116)*2/1000,4)</f>
        <v>0</v>
      </c>
      <c r="G116" s="250"/>
      <c r="H116" s="58">
        <v>2.456</v>
      </c>
      <c r="I116" s="59">
        <f>ROUND(F116*G116*H116,3)</f>
        <v>0</v>
      </c>
      <c r="J116" s="60"/>
      <c r="K116" s="61"/>
      <c r="L116" s="61"/>
      <c r="M116" s="61"/>
      <c r="N116" s="76" t="s">
        <v>56</v>
      </c>
    </row>
    <row r="117" spans="2:14" ht="18" customHeight="1">
      <c r="B117" s="648"/>
      <c r="C117" s="650"/>
      <c r="D117" s="253">
        <f t="shared" si="18"/>
        <v>0</v>
      </c>
      <c r="E117" s="253">
        <f t="shared" si="18"/>
        <v>0</v>
      </c>
      <c r="F117" s="250">
        <f>ROUND((D117+E117)*2/1000,4)</f>
        <v>0</v>
      </c>
      <c r="G117" s="250">
        <v>0</v>
      </c>
      <c r="H117" s="58">
        <f>H116</f>
        <v>2.456</v>
      </c>
      <c r="I117" s="59">
        <f>ROUND(F117*G117*H117,3)</f>
        <v>0</v>
      </c>
      <c r="J117" s="60"/>
      <c r="K117" s="61"/>
      <c r="L117" s="61"/>
      <c r="M117" s="61"/>
      <c r="N117" s="76" t="s">
        <v>58</v>
      </c>
    </row>
    <row r="118" spans="2:14" ht="18" customHeight="1" thickBot="1">
      <c r="B118" s="648"/>
      <c r="C118" s="651"/>
      <c r="D118" s="253">
        <f t="shared" si="18"/>
        <v>0</v>
      </c>
      <c r="E118" s="253">
        <f t="shared" si="18"/>
        <v>0</v>
      </c>
      <c r="F118" s="250">
        <f>ROUND((D118+E118)*2/1000,4)</f>
        <v>0</v>
      </c>
      <c r="G118" s="250">
        <v>0</v>
      </c>
      <c r="H118" s="58">
        <f>H117</f>
        <v>2.456</v>
      </c>
      <c r="I118" s="59">
        <f>ROUND(F118*G118*H118,3)</f>
        <v>0</v>
      </c>
      <c r="J118" s="64"/>
      <c r="K118" s="65"/>
      <c r="L118" s="65"/>
      <c r="M118" s="65"/>
      <c r="N118" s="80" t="s">
        <v>89</v>
      </c>
    </row>
    <row r="119" spans="2:14" ht="18" customHeight="1">
      <c r="B119" s="48" t="s">
        <v>42</v>
      </c>
      <c r="C119" s="49">
        <f>SUMPRODUCT(F116:F118*G116:G118)</f>
        <v>0</v>
      </c>
      <c r="D119" s="100" t="s">
        <v>43</v>
      </c>
      <c r="E119" s="100">
        <f>SUM(I116:I118)*1.1</f>
        <v>0</v>
      </c>
      <c r="F119" s="50" t="s">
        <v>44</v>
      </c>
      <c r="G119" s="51">
        <f>(C$218+C$219)/1000</f>
        <v>46.081499999999998</v>
      </c>
      <c r="H119" s="52" t="s">
        <v>45</v>
      </c>
      <c r="I119" s="53">
        <f>ROUND(E119*G119,2)</f>
        <v>0</v>
      </c>
      <c r="J119" s="243">
        <f>SUM(G116:G118)</f>
        <v>0</v>
      </c>
      <c r="K119" s="255"/>
      <c r="L119" s="255"/>
      <c r="M119" s="255"/>
    </row>
    <row r="120" spans="2:14" ht="18" customHeight="1">
      <c r="B120" s="48" t="s">
        <v>46</v>
      </c>
      <c r="C120" s="50">
        <v>350.56</v>
      </c>
      <c r="D120" s="100" t="s">
        <v>47</v>
      </c>
      <c r="E120" s="100">
        <f>ROUND(C119*(C120/1000),2)</f>
        <v>0</v>
      </c>
      <c r="F120" s="50" t="s">
        <v>48</v>
      </c>
      <c r="G120" s="50">
        <f>G$23</f>
        <v>10</v>
      </c>
      <c r="H120" s="52" t="s">
        <v>49</v>
      </c>
      <c r="I120" s="53">
        <f>E120*G120</f>
        <v>0</v>
      </c>
      <c r="J120" s="255"/>
      <c r="K120" s="255"/>
      <c r="L120" s="255"/>
      <c r="M120" s="255"/>
    </row>
    <row r="121" spans="2:14" ht="18" customHeight="1" thickBot="1">
      <c r="B121" s="48" t="s">
        <v>50</v>
      </c>
      <c r="C121" s="50">
        <v>189.03</v>
      </c>
      <c r="D121" s="100" t="s">
        <v>51</v>
      </c>
      <c r="E121" s="100">
        <f>ROUND(C119*(C121/1000),2)</f>
        <v>0</v>
      </c>
      <c r="F121" s="50" t="s">
        <v>48</v>
      </c>
      <c r="G121" s="50">
        <f>G$24</f>
        <v>10</v>
      </c>
      <c r="H121" s="52" t="s">
        <v>49</v>
      </c>
      <c r="I121" s="53">
        <f>E121*G121</f>
        <v>0</v>
      </c>
      <c r="J121" s="255"/>
    </row>
    <row r="122" spans="2:14" ht="18" customHeight="1" thickBot="1">
      <c r="B122" s="23" t="s">
        <v>36</v>
      </c>
      <c r="C122" s="252" t="s">
        <v>14</v>
      </c>
      <c r="D122" s="101" t="s">
        <v>37</v>
      </c>
      <c r="E122" s="101" t="s">
        <v>38</v>
      </c>
      <c r="F122" s="252" t="s">
        <v>39</v>
      </c>
      <c r="G122" s="252" t="s">
        <v>8</v>
      </c>
      <c r="H122" s="252" t="s">
        <v>22</v>
      </c>
      <c r="I122" s="25" t="s">
        <v>40</v>
      </c>
      <c r="J122" s="54" t="s">
        <v>2</v>
      </c>
      <c r="K122" s="55" t="s">
        <v>3</v>
      </c>
      <c r="L122" s="55" t="s">
        <v>61</v>
      </c>
      <c r="M122" s="55" t="s">
        <v>62</v>
      </c>
      <c r="N122" s="70" t="s">
        <v>14</v>
      </c>
    </row>
    <row r="123" spans="2:14" ht="18" customHeight="1">
      <c r="B123" s="648" t="s">
        <v>90</v>
      </c>
      <c r="C123" s="649" t="s">
        <v>91</v>
      </c>
      <c r="D123" s="253">
        <f t="shared" ref="D123:E125" si="19">J123-IF(L123=1,78,IF(L123=2,55.5,IF(L123=3,41,0)))</f>
        <v>0</v>
      </c>
      <c r="E123" s="253">
        <f t="shared" si="19"/>
        <v>0</v>
      </c>
      <c r="F123" s="250">
        <f>ROUND((D123+E123)*2/1000,4)</f>
        <v>0</v>
      </c>
      <c r="G123" s="250"/>
      <c r="H123" s="58">
        <v>2.4710000000000001</v>
      </c>
      <c r="I123" s="59">
        <f>ROUND(F123*G123*H123,3)</f>
        <v>0</v>
      </c>
      <c r="J123" s="60"/>
      <c r="K123" s="61"/>
      <c r="L123" s="61"/>
      <c r="M123" s="61"/>
      <c r="N123" s="76" t="s">
        <v>56</v>
      </c>
    </row>
    <row r="124" spans="2:14" ht="18" customHeight="1">
      <c r="B124" s="648"/>
      <c r="C124" s="650"/>
      <c r="D124" s="253">
        <f t="shared" si="19"/>
        <v>0</v>
      </c>
      <c r="E124" s="253">
        <f t="shared" si="19"/>
        <v>0</v>
      </c>
      <c r="F124" s="250">
        <f>ROUND((D124+E124)*2/1000,4)</f>
        <v>0</v>
      </c>
      <c r="G124" s="250"/>
      <c r="H124" s="58">
        <f>H123</f>
        <v>2.4710000000000001</v>
      </c>
      <c r="I124" s="59">
        <f>ROUND(F124*G124*H124,3)</f>
        <v>0</v>
      </c>
      <c r="J124" s="60"/>
      <c r="K124" s="61"/>
      <c r="L124" s="61"/>
      <c r="M124" s="61"/>
      <c r="N124" s="76" t="s">
        <v>58</v>
      </c>
    </row>
    <row r="125" spans="2:14" ht="18" customHeight="1" thickBot="1">
      <c r="B125" s="648"/>
      <c r="C125" s="651"/>
      <c r="D125" s="253">
        <f t="shared" si="19"/>
        <v>0</v>
      </c>
      <c r="E125" s="253">
        <f t="shared" si="19"/>
        <v>0</v>
      </c>
      <c r="F125" s="250">
        <f>ROUND((D125+E125)*2/1000,4)</f>
        <v>0</v>
      </c>
      <c r="G125" s="250"/>
      <c r="H125" s="58">
        <f>H124</f>
        <v>2.4710000000000001</v>
      </c>
      <c r="I125" s="59">
        <f>ROUND(F125*G125*H125,3)</f>
        <v>0</v>
      </c>
      <c r="J125" s="64"/>
      <c r="K125" s="65"/>
      <c r="L125" s="65"/>
      <c r="M125" s="65"/>
      <c r="N125" s="80" t="s">
        <v>89</v>
      </c>
    </row>
    <row r="126" spans="2:14" ht="18" customHeight="1">
      <c r="B126" s="48" t="s">
        <v>42</v>
      </c>
      <c r="C126" s="49">
        <f>SUMPRODUCT(F123:F125*G123:G125)</f>
        <v>0</v>
      </c>
      <c r="D126" s="50" t="s">
        <v>43</v>
      </c>
      <c r="E126" s="49">
        <f>SUM(I123:I125)*1.1</f>
        <v>0</v>
      </c>
      <c r="F126" s="50" t="s">
        <v>44</v>
      </c>
      <c r="G126" s="51">
        <f>(C$218+C$221)/1000</f>
        <v>46.081499999999998</v>
      </c>
      <c r="H126" s="52" t="s">
        <v>45</v>
      </c>
      <c r="I126" s="53">
        <f>ROUND(E126*G126,2)</f>
        <v>0</v>
      </c>
      <c r="J126" s="243">
        <f>SUM(G123:G125)</f>
        <v>0</v>
      </c>
      <c r="K126" s="255"/>
      <c r="L126" s="255"/>
      <c r="M126" s="255"/>
    </row>
    <row r="127" spans="2:14" ht="18" customHeight="1">
      <c r="B127" s="48" t="s">
        <v>46</v>
      </c>
      <c r="C127" s="50">
        <v>236.53</v>
      </c>
      <c r="D127" s="50" t="s">
        <v>47</v>
      </c>
      <c r="E127" s="49">
        <f>ROUND(C126*(C127/1000),2)</f>
        <v>0</v>
      </c>
      <c r="F127" s="50" t="s">
        <v>48</v>
      </c>
      <c r="G127" s="50">
        <f>G$23</f>
        <v>10</v>
      </c>
      <c r="H127" s="52" t="s">
        <v>49</v>
      </c>
      <c r="I127" s="53">
        <f>E127*G127</f>
        <v>0</v>
      </c>
      <c r="J127" s="255"/>
      <c r="K127" s="255"/>
      <c r="L127" s="255"/>
      <c r="M127" s="255"/>
    </row>
    <row r="128" spans="2:14" ht="18" customHeight="1" thickBot="1">
      <c r="B128" s="48" t="s">
        <v>50</v>
      </c>
      <c r="C128" s="50">
        <v>311.02999999999997</v>
      </c>
      <c r="D128" s="50" t="s">
        <v>51</v>
      </c>
      <c r="E128" s="49">
        <f>ROUND(C126*(C128/1000),2)</f>
        <v>0</v>
      </c>
      <c r="F128" s="50" t="s">
        <v>48</v>
      </c>
      <c r="G128" s="50">
        <f>G$24</f>
        <v>10</v>
      </c>
      <c r="H128" s="52" t="s">
        <v>49</v>
      </c>
      <c r="I128" s="53">
        <f>E128*G128</f>
        <v>0</v>
      </c>
      <c r="J128" s="255"/>
    </row>
    <row r="129" spans="2:14" ht="18" customHeight="1" thickBot="1">
      <c r="B129" s="23" t="s">
        <v>36</v>
      </c>
      <c r="C129" s="252" t="s">
        <v>14</v>
      </c>
      <c r="D129" s="252" t="s">
        <v>37</v>
      </c>
      <c r="E129" s="252" t="s">
        <v>71</v>
      </c>
      <c r="F129" s="252" t="s">
        <v>38</v>
      </c>
      <c r="G129" s="252" t="s">
        <v>72</v>
      </c>
      <c r="H129" s="252" t="s">
        <v>22</v>
      </c>
      <c r="I129" s="25" t="s">
        <v>40</v>
      </c>
      <c r="J129" s="54" t="s">
        <v>2</v>
      </c>
      <c r="K129" s="55" t="s">
        <v>3</v>
      </c>
      <c r="L129" s="55" t="s">
        <v>61</v>
      </c>
      <c r="M129" s="55" t="s">
        <v>62</v>
      </c>
      <c r="N129" s="70" t="s">
        <v>14</v>
      </c>
    </row>
    <row r="130" spans="2:14" ht="18" customHeight="1">
      <c r="B130" s="648" t="s">
        <v>92</v>
      </c>
      <c r="C130" s="649" t="s">
        <v>93</v>
      </c>
      <c r="D130" s="253">
        <f>J130-IF(L130=1,81,IF(L130=2,58.5,IF(L130=3,36,0)))</f>
        <v>0</v>
      </c>
      <c r="E130" s="253">
        <v>0</v>
      </c>
      <c r="F130" s="253">
        <f>K130-IF(M130=1,81,IF(M130=2,58.5,IF(M130=3,36,0)))</f>
        <v>0</v>
      </c>
      <c r="G130" s="250">
        <v>0</v>
      </c>
      <c r="H130" s="250">
        <v>2.0489999999999999</v>
      </c>
      <c r="I130" s="59">
        <f>ROUND((D130*E130+F130*G130)/1000*H130,3)</f>
        <v>0</v>
      </c>
      <c r="J130" s="60"/>
      <c r="K130" s="61"/>
      <c r="L130" s="61"/>
      <c r="M130" s="61"/>
      <c r="N130" s="76" t="s">
        <v>56</v>
      </c>
    </row>
    <row r="131" spans="2:14" ht="18" customHeight="1">
      <c r="B131" s="648"/>
      <c r="C131" s="650"/>
      <c r="D131" s="253">
        <f>J131-IF(L131=1,81,IF(L131=2,58.5,IF(L131=3,36,0)))</f>
        <v>0</v>
      </c>
      <c r="E131" s="253">
        <v>0</v>
      </c>
      <c r="F131" s="253">
        <f>K131-IF(M131=1,81,IF(M131=2,58.5,IF(M131=3,36,0)))</f>
        <v>0</v>
      </c>
      <c r="G131" s="250"/>
      <c r="H131" s="250">
        <f>H130</f>
        <v>2.0489999999999999</v>
      </c>
      <c r="I131" s="59">
        <f>ROUND((D131*E131+F131*G131)/1000*H131,3)</f>
        <v>0</v>
      </c>
      <c r="J131" s="60"/>
      <c r="K131" s="61"/>
      <c r="L131" s="61"/>
      <c r="M131" s="61"/>
      <c r="N131" s="76" t="s">
        <v>58</v>
      </c>
    </row>
    <row r="132" spans="2:14" ht="18" customHeight="1" thickBot="1">
      <c r="B132" s="648"/>
      <c r="C132" s="651"/>
      <c r="D132" s="253">
        <f>J132-IF(L132=1,81,IF(L132=2,58.5,IF(L132=3,36,0)))</f>
        <v>0</v>
      </c>
      <c r="E132" s="253"/>
      <c r="F132" s="253">
        <f>K132-IF(M132=1,81,IF(M132=2,58.5,IF(M132=3,36,0)))</f>
        <v>0</v>
      </c>
      <c r="G132" s="250"/>
      <c r="H132" s="250">
        <f>H131</f>
        <v>2.0489999999999999</v>
      </c>
      <c r="I132" s="59">
        <f>ROUND((D132*E132+F132*G132)/1000*H132,3)</f>
        <v>0</v>
      </c>
      <c r="J132" s="64"/>
      <c r="K132" s="65"/>
      <c r="L132" s="65"/>
      <c r="M132" s="65"/>
      <c r="N132" s="80" t="s">
        <v>89</v>
      </c>
    </row>
    <row r="133" spans="2:14" ht="18" customHeight="1">
      <c r="B133" s="48" t="s">
        <v>42</v>
      </c>
      <c r="C133" s="49">
        <f>SUMPRODUCT(D130:D132*E130:E132+F130:F132*G130:G132)/1000</f>
        <v>0</v>
      </c>
      <c r="D133" s="50" t="s">
        <v>43</v>
      </c>
      <c r="E133" s="49">
        <f>SUM(I130:I132)*1.1</f>
        <v>0</v>
      </c>
      <c r="F133" s="50" t="s">
        <v>44</v>
      </c>
      <c r="G133" s="51">
        <f>(C$218+C$219)/1000</f>
        <v>46.081499999999998</v>
      </c>
      <c r="H133" s="52" t="s">
        <v>45</v>
      </c>
      <c r="I133" s="53">
        <f>ROUND(E133*G133,2)</f>
        <v>0</v>
      </c>
      <c r="J133" s="243">
        <f>SUM(G130:G132)+SUM(E130:E132)</f>
        <v>0</v>
      </c>
    </row>
    <row r="134" spans="2:14" ht="18" customHeight="1">
      <c r="B134" s="48" t="s">
        <v>46</v>
      </c>
      <c r="C134" s="50">
        <v>298.42</v>
      </c>
      <c r="D134" s="50" t="s">
        <v>47</v>
      </c>
      <c r="E134" s="49">
        <f>ROUND(C133*(C134/1000),2)</f>
        <v>0</v>
      </c>
      <c r="F134" s="50" t="s">
        <v>48</v>
      </c>
      <c r="G134" s="50">
        <f>G$23</f>
        <v>10</v>
      </c>
      <c r="H134" s="52" t="s">
        <v>49</v>
      </c>
      <c r="I134" s="53">
        <f>ROUND(E134*G134,2)</f>
        <v>0</v>
      </c>
    </row>
    <row r="135" spans="2:14" ht="18" customHeight="1">
      <c r="B135" s="48" t="s">
        <v>50</v>
      </c>
      <c r="C135" s="50">
        <v>208.08</v>
      </c>
      <c r="D135" s="50" t="s">
        <v>51</v>
      </c>
      <c r="E135" s="49">
        <f>ROUND(C133*(C135/1000),2)</f>
        <v>0</v>
      </c>
      <c r="F135" s="50" t="s">
        <v>48</v>
      </c>
      <c r="G135" s="50">
        <f>G$24</f>
        <v>10</v>
      </c>
      <c r="H135" s="52" t="s">
        <v>49</v>
      </c>
      <c r="I135" s="53">
        <f>ROUND(E135*G135,2)</f>
        <v>0</v>
      </c>
    </row>
    <row r="136" spans="2:14" ht="18" customHeight="1">
      <c r="B136" s="23" t="s">
        <v>36</v>
      </c>
      <c r="C136" s="252" t="s">
        <v>14</v>
      </c>
      <c r="D136" s="652" t="s">
        <v>38</v>
      </c>
      <c r="E136" s="652"/>
      <c r="F136" s="652"/>
      <c r="G136" s="252" t="s">
        <v>72</v>
      </c>
      <c r="H136" s="252" t="s">
        <v>22</v>
      </c>
      <c r="I136" s="25" t="s">
        <v>40</v>
      </c>
    </row>
    <row r="137" spans="2:14" ht="18" customHeight="1">
      <c r="B137" s="648" t="s">
        <v>94</v>
      </c>
      <c r="C137" s="649" t="s">
        <v>95</v>
      </c>
      <c r="D137" s="654">
        <f>E116</f>
        <v>0</v>
      </c>
      <c r="E137" s="646"/>
      <c r="F137" s="646"/>
      <c r="G137" s="250"/>
      <c r="H137" s="250">
        <v>1.3360000000000001</v>
      </c>
      <c r="I137" s="59">
        <f>ROUND(D137*H137*G137/1000,3)</f>
        <v>0</v>
      </c>
    </row>
    <row r="138" spans="2:14" ht="18" customHeight="1">
      <c r="B138" s="648"/>
      <c r="C138" s="651"/>
      <c r="D138" s="654"/>
      <c r="E138" s="646"/>
      <c r="F138" s="646"/>
      <c r="G138" s="250"/>
      <c r="H138" s="250">
        <f>H137</f>
        <v>1.3360000000000001</v>
      </c>
      <c r="I138" s="59">
        <f>ROUND(D138*H138*G138/1000,3)</f>
        <v>0</v>
      </c>
    </row>
    <row r="139" spans="2:14" ht="18" customHeight="1">
      <c r="B139" s="48" t="s">
        <v>42</v>
      </c>
      <c r="C139" s="49">
        <f>SUMPRODUCT(D137:F138*G137:G138)/1000</f>
        <v>0</v>
      </c>
      <c r="D139" s="50" t="s">
        <v>43</v>
      </c>
      <c r="E139" s="49">
        <f>SUM(I137:I138)*1.1</f>
        <v>0</v>
      </c>
      <c r="F139" s="50" t="s">
        <v>44</v>
      </c>
      <c r="G139" s="51">
        <f>(C$218+C$219)/1000</f>
        <v>46.081499999999998</v>
      </c>
      <c r="H139" s="52" t="s">
        <v>45</v>
      </c>
      <c r="I139" s="53">
        <f>ROUND(E139*G139,2)</f>
        <v>0</v>
      </c>
    </row>
    <row r="140" spans="2:14" ht="18" customHeight="1">
      <c r="B140" s="48" t="s">
        <v>46</v>
      </c>
      <c r="C140" s="50">
        <v>143.24</v>
      </c>
      <c r="D140" s="50" t="s">
        <v>47</v>
      </c>
      <c r="E140" s="49">
        <f>ROUND(C139*(C140/1000),2)</f>
        <v>0</v>
      </c>
      <c r="F140" s="50" t="s">
        <v>48</v>
      </c>
      <c r="G140" s="50">
        <f>G$23</f>
        <v>10</v>
      </c>
      <c r="H140" s="52" t="s">
        <v>49</v>
      </c>
      <c r="I140" s="53">
        <f>E140*G140</f>
        <v>0</v>
      </c>
    </row>
    <row r="141" spans="2:14" ht="18" customHeight="1">
      <c r="B141" s="48" t="s">
        <v>50</v>
      </c>
      <c r="C141" s="50">
        <v>85.04</v>
      </c>
      <c r="D141" s="50" t="s">
        <v>51</v>
      </c>
      <c r="E141" s="49">
        <f>ROUND(C139*(C141/1000),2)</f>
        <v>0</v>
      </c>
      <c r="F141" s="50" t="s">
        <v>48</v>
      </c>
      <c r="G141" s="50">
        <f>G$24</f>
        <v>10</v>
      </c>
      <c r="H141" s="52" t="s">
        <v>49</v>
      </c>
      <c r="I141" s="53">
        <f>E141*G141</f>
        <v>0</v>
      </c>
    </row>
    <row r="142" spans="2:14" ht="18" customHeight="1">
      <c r="B142" s="23" t="s">
        <v>36</v>
      </c>
      <c r="C142" s="252" t="s">
        <v>14</v>
      </c>
      <c r="D142" s="252" t="s">
        <v>37</v>
      </c>
      <c r="E142" s="252" t="s">
        <v>38</v>
      </c>
      <c r="F142" s="252" t="s">
        <v>39</v>
      </c>
      <c r="G142" s="252" t="s">
        <v>8</v>
      </c>
      <c r="H142" s="252" t="s">
        <v>22</v>
      </c>
      <c r="I142" s="25" t="s">
        <v>40</v>
      </c>
    </row>
    <row r="143" spans="2:14" ht="18" customHeight="1">
      <c r="B143" s="648" t="s">
        <v>96</v>
      </c>
      <c r="C143" s="653" t="s">
        <v>83</v>
      </c>
      <c r="D143" s="253">
        <f t="shared" ref="D143:E145" si="20">D116-154</f>
        <v>-154</v>
      </c>
      <c r="E143" s="253">
        <f t="shared" si="20"/>
        <v>-154</v>
      </c>
      <c r="F143" s="253">
        <f>(D143+E143)*2/1000</f>
        <v>-0.61599999999999999</v>
      </c>
      <c r="G143" s="250">
        <f>G116</f>
        <v>0</v>
      </c>
      <c r="H143" s="250">
        <v>0.27100000000000002</v>
      </c>
      <c r="I143" s="59">
        <f>ROUND((F143*G143)*H143,3)</f>
        <v>0</v>
      </c>
    </row>
    <row r="144" spans="2:14" ht="18" customHeight="1">
      <c r="B144" s="648"/>
      <c r="C144" s="650"/>
      <c r="D144" s="253">
        <f t="shared" si="20"/>
        <v>-154</v>
      </c>
      <c r="E144" s="253">
        <f t="shared" si="20"/>
        <v>-154</v>
      </c>
      <c r="F144" s="253">
        <f>(D144+E144)*2/1000</f>
        <v>-0.61599999999999999</v>
      </c>
      <c r="G144" s="250">
        <f>G117</f>
        <v>0</v>
      </c>
      <c r="H144" s="250">
        <f>H143</f>
        <v>0.27100000000000002</v>
      </c>
      <c r="I144" s="59">
        <f>ROUND((F144*G144)*H144,3)</f>
        <v>0</v>
      </c>
    </row>
    <row r="145" spans="2:14" ht="18" customHeight="1">
      <c r="B145" s="648"/>
      <c r="C145" s="651"/>
      <c r="D145" s="253">
        <f t="shared" si="20"/>
        <v>-154</v>
      </c>
      <c r="E145" s="253">
        <f t="shared" si="20"/>
        <v>-154</v>
      </c>
      <c r="F145" s="253">
        <f>(D145+E145)*2/1000</f>
        <v>-0.61599999999999999</v>
      </c>
      <c r="G145" s="250">
        <f>G118</f>
        <v>0</v>
      </c>
      <c r="H145" s="250">
        <f>H144</f>
        <v>0.27100000000000002</v>
      </c>
      <c r="I145" s="59">
        <f>ROUND((F145*G145)*H145,3)</f>
        <v>0</v>
      </c>
    </row>
    <row r="146" spans="2:14" ht="18" customHeight="1">
      <c r="B146" s="48" t="s">
        <v>42</v>
      </c>
      <c r="C146" s="49">
        <f>SUMPRODUCT(F143:F145*G143:G145)</f>
        <v>0</v>
      </c>
      <c r="D146" s="50" t="s">
        <v>43</v>
      </c>
      <c r="E146" s="49">
        <f>SUM(I143:I145)*1.1</f>
        <v>0</v>
      </c>
      <c r="F146" s="50" t="s">
        <v>44</v>
      </c>
      <c r="G146" s="51">
        <f>(C$218+C$222)/1000</f>
        <v>39.781500000000001</v>
      </c>
      <c r="H146" s="52" t="s">
        <v>45</v>
      </c>
      <c r="I146" s="53">
        <f>ROUND(E146*G146,2)</f>
        <v>0</v>
      </c>
    </row>
    <row r="147" spans="2:14" ht="18" customHeight="1">
      <c r="B147" s="48" t="s">
        <v>46</v>
      </c>
      <c r="C147" s="50">
        <v>186.72</v>
      </c>
      <c r="D147" s="50" t="s">
        <v>47</v>
      </c>
      <c r="E147" s="49">
        <f>ROUND(C146*(C147/1000),2)</f>
        <v>0</v>
      </c>
      <c r="F147" s="50" t="s">
        <v>48</v>
      </c>
      <c r="G147" s="50">
        <f>G$23</f>
        <v>10</v>
      </c>
      <c r="H147" s="52" t="s">
        <v>49</v>
      </c>
      <c r="I147" s="53">
        <f>E147*G147</f>
        <v>0</v>
      </c>
      <c r="K147" s="42"/>
      <c r="L147" s="42"/>
      <c r="M147" s="42"/>
    </row>
    <row r="148" spans="2:14" ht="18" customHeight="1">
      <c r="B148" s="48" t="s">
        <v>50</v>
      </c>
      <c r="C148" s="50">
        <v>0</v>
      </c>
      <c r="D148" s="50" t="s">
        <v>51</v>
      </c>
      <c r="E148" s="49">
        <f>ROUND(C146*(C148/1000),2)</f>
        <v>0</v>
      </c>
      <c r="F148" s="50" t="s">
        <v>48</v>
      </c>
      <c r="G148" s="50">
        <f>G$24</f>
        <v>10</v>
      </c>
      <c r="H148" s="52" t="s">
        <v>49</v>
      </c>
      <c r="I148" s="53">
        <f>E148*G148</f>
        <v>0</v>
      </c>
      <c r="K148" s="42"/>
      <c r="L148" s="42"/>
      <c r="M148" s="42"/>
    </row>
    <row r="149" spans="2:14" ht="18" customHeight="1">
      <c r="B149" s="23" t="s">
        <v>36</v>
      </c>
      <c r="C149" s="252" t="s">
        <v>14</v>
      </c>
      <c r="D149" s="252" t="s">
        <v>37</v>
      </c>
      <c r="E149" s="252" t="s">
        <v>38</v>
      </c>
      <c r="F149" s="252" t="s">
        <v>39</v>
      </c>
      <c r="G149" s="252" t="s">
        <v>8</v>
      </c>
      <c r="H149" s="252" t="s">
        <v>22</v>
      </c>
      <c r="I149" s="25" t="s">
        <v>40</v>
      </c>
      <c r="K149" s="42"/>
      <c r="L149" s="42"/>
      <c r="M149" s="42"/>
    </row>
    <row r="150" spans="2:14" ht="18" customHeight="1">
      <c r="B150" s="648" t="s">
        <v>97</v>
      </c>
      <c r="C150" s="653" t="s">
        <v>83</v>
      </c>
      <c r="D150" s="253">
        <f t="shared" ref="D150:E152" si="21">D123-160</f>
        <v>-160</v>
      </c>
      <c r="E150" s="253">
        <f t="shared" si="21"/>
        <v>-160</v>
      </c>
      <c r="F150" s="253">
        <f>(D150+E150)*2/1000</f>
        <v>-0.64</v>
      </c>
      <c r="G150" s="250">
        <f>G123</f>
        <v>0</v>
      </c>
      <c r="H150" s="250">
        <f>H145</f>
        <v>0.27100000000000002</v>
      </c>
      <c r="I150" s="59">
        <f>ROUND((F150*G150)*H150,3)</f>
        <v>0</v>
      </c>
      <c r="K150" s="42"/>
      <c r="L150" s="42"/>
      <c r="M150" s="42"/>
    </row>
    <row r="151" spans="2:14" ht="18" customHeight="1">
      <c r="B151" s="648"/>
      <c r="C151" s="650"/>
      <c r="D151" s="253">
        <f t="shared" si="21"/>
        <v>-160</v>
      </c>
      <c r="E151" s="253">
        <f t="shared" si="21"/>
        <v>-160</v>
      </c>
      <c r="F151" s="253">
        <f>(D151+E151)*2/1000</f>
        <v>-0.64</v>
      </c>
      <c r="G151" s="250">
        <f>G124</f>
        <v>0</v>
      </c>
      <c r="H151" s="250">
        <f>H150</f>
        <v>0.27100000000000002</v>
      </c>
      <c r="I151" s="59">
        <f>ROUND((F151*G151)*H151,3)</f>
        <v>0</v>
      </c>
      <c r="K151" s="42"/>
      <c r="L151" s="42"/>
      <c r="M151" s="42"/>
    </row>
    <row r="152" spans="2:14" ht="18" customHeight="1">
      <c r="B152" s="648"/>
      <c r="C152" s="651"/>
      <c r="D152" s="253">
        <f t="shared" si="21"/>
        <v>-160</v>
      </c>
      <c r="E152" s="253">
        <f t="shared" si="21"/>
        <v>-160</v>
      </c>
      <c r="F152" s="253">
        <f>(D152+E152)*2/1000</f>
        <v>-0.64</v>
      </c>
      <c r="G152" s="250">
        <f>G125</f>
        <v>0</v>
      </c>
      <c r="H152" s="250">
        <f>H151</f>
        <v>0.27100000000000002</v>
      </c>
      <c r="I152" s="59">
        <f>ROUND((F152*G152)*H152,3)</f>
        <v>0</v>
      </c>
      <c r="K152" s="42"/>
      <c r="L152" s="42"/>
      <c r="M152" s="42"/>
    </row>
    <row r="153" spans="2:14" ht="18" customHeight="1">
      <c r="B153" s="48" t="s">
        <v>42</v>
      </c>
      <c r="C153" s="49">
        <f>SUMPRODUCT(F150:F152*G150:G152)</f>
        <v>0</v>
      </c>
      <c r="D153" s="50" t="s">
        <v>43</v>
      </c>
      <c r="E153" s="49">
        <f>SUM(I150:I152)*1.1</f>
        <v>0</v>
      </c>
      <c r="F153" s="50" t="s">
        <v>44</v>
      </c>
      <c r="G153" s="51">
        <f>(C$218+C$222)/1000</f>
        <v>39.781500000000001</v>
      </c>
      <c r="H153" s="52" t="s">
        <v>45</v>
      </c>
      <c r="I153" s="53">
        <f>ROUND(E153*G153,2)</f>
        <v>0</v>
      </c>
      <c r="K153" s="42"/>
      <c r="L153" s="42"/>
      <c r="M153" s="42"/>
    </row>
    <row r="154" spans="2:14" ht="18" customHeight="1">
      <c r="B154" s="48" t="s">
        <v>46</v>
      </c>
      <c r="C154" s="50">
        <v>186.72</v>
      </c>
      <c r="D154" s="50" t="s">
        <v>47</v>
      </c>
      <c r="E154" s="49">
        <f>ROUND(C153*(C154/1000),2)</f>
        <v>0</v>
      </c>
      <c r="F154" s="50" t="s">
        <v>48</v>
      </c>
      <c r="G154" s="50">
        <f>G$23</f>
        <v>10</v>
      </c>
      <c r="H154" s="52" t="s">
        <v>49</v>
      </c>
      <c r="I154" s="53">
        <f>E154*G154</f>
        <v>0</v>
      </c>
    </row>
    <row r="155" spans="2:14" ht="18" customHeight="1" thickBot="1">
      <c r="B155" s="48" t="s">
        <v>50</v>
      </c>
      <c r="C155" s="50">
        <v>0</v>
      </c>
      <c r="D155" s="50" t="s">
        <v>51</v>
      </c>
      <c r="E155" s="49">
        <f>ROUND(C153*(C155/1000),2)</f>
        <v>0</v>
      </c>
      <c r="F155" s="50" t="s">
        <v>48</v>
      </c>
      <c r="G155" s="50">
        <f>G$24</f>
        <v>10</v>
      </c>
      <c r="H155" s="52" t="s">
        <v>49</v>
      </c>
      <c r="I155" s="53">
        <f>E155*G155</f>
        <v>0</v>
      </c>
    </row>
    <row r="156" spans="2:14" ht="18" customHeight="1" thickBot="1">
      <c r="B156" s="23" t="s">
        <v>36</v>
      </c>
      <c r="C156" s="252" t="s">
        <v>14</v>
      </c>
      <c r="D156" s="252" t="s">
        <v>37</v>
      </c>
      <c r="E156" s="252" t="s">
        <v>38</v>
      </c>
      <c r="F156" s="252" t="s">
        <v>39</v>
      </c>
      <c r="G156" s="252" t="s">
        <v>8</v>
      </c>
      <c r="H156" s="252" t="s">
        <v>22</v>
      </c>
      <c r="I156" s="25" t="s">
        <v>40</v>
      </c>
      <c r="J156" s="54" t="s">
        <v>2</v>
      </c>
      <c r="K156" s="55" t="s">
        <v>3</v>
      </c>
      <c r="L156" s="55" t="s">
        <v>61</v>
      </c>
      <c r="M156" s="55" t="s">
        <v>62</v>
      </c>
      <c r="N156" s="70" t="s">
        <v>14</v>
      </c>
    </row>
    <row r="157" spans="2:14" ht="18" customHeight="1">
      <c r="B157" s="648" t="s">
        <v>98</v>
      </c>
      <c r="C157" s="649" t="s">
        <v>99</v>
      </c>
      <c r="D157" s="253">
        <f t="shared" ref="D157:E162" si="22">J157-IF(L157=1,90,IF(L157=2,67.5,IF(L157=3,45,0)))</f>
        <v>0</v>
      </c>
      <c r="E157" s="253">
        <f t="shared" si="22"/>
        <v>0</v>
      </c>
      <c r="F157" s="253">
        <f t="shared" ref="F157:F162" si="23">2*(D157+E157)/1000</f>
        <v>0</v>
      </c>
      <c r="G157" s="250">
        <v>0</v>
      </c>
      <c r="H157" s="250">
        <f>H68</f>
        <v>0.224</v>
      </c>
      <c r="I157" s="59">
        <f t="shared" ref="I157:I162" si="24">ROUND((F157*G157)*H157,3)</f>
        <v>0</v>
      </c>
      <c r="J157" s="60"/>
      <c r="K157" s="61"/>
      <c r="L157" s="61"/>
      <c r="M157" s="61"/>
      <c r="N157" s="76" t="s">
        <v>56</v>
      </c>
    </row>
    <row r="158" spans="2:14" ht="18" customHeight="1">
      <c r="B158" s="648"/>
      <c r="C158" s="650"/>
      <c r="D158" s="253">
        <f t="shared" si="22"/>
        <v>0</v>
      </c>
      <c r="E158" s="253">
        <f t="shared" si="22"/>
        <v>0</v>
      </c>
      <c r="F158" s="253">
        <f t="shared" si="23"/>
        <v>0</v>
      </c>
      <c r="G158" s="250"/>
      <c r="H158" s="250">
        <f>H157</f>
        <v>0.224</v>
      </c>
      <c r="I158" s="59">
        <f t="shared" si="24"/>
        <v>0</v>
      </c>
      <c r="J158" s="60"/>
      <c r="K158" s="61"/>
      <c r="L158" s="61"/>
      <c r="M158" s="61"/>
      <c r="N158" s="76" t="s">
        <v>58</v>
      </c>
    </row>
    <row r="159" spans="2:14" ht="18" customHeight="1">
      <c r="B159" s="648"/>
      <c r="C159" s="650"/>
      <c r="D159" s="253">
        <f t="shared" si="22"/>
        <v>0</v>
      </c>
      <c r="E159" s="253">
        <f t="shared" si="22"/>
        <v>0</v>
      </c>
      <c r="F159" s="253">
        <f t="shared" si="23"/>
        <v>0</v>
      </c>
      <c r="G159" s="250"/>
      <c r="H159" s="250">
        <f>H158</f>
        <v>0.224</v>
      </c>
      <c r="I159" s="59">
        <f t="shared" si="24"/>
        <v>0</v>
      </c>
      <c r="J159" s="60"/>
      <c r="K159" s="61"/>
      <c r="L159" s="61"/>
      <c r="M159" s="61"/>
      <c r="N159" s="76" t="s">
        <v>60</v>
      </c>
    </row>
    <row r="160" spans="2:14" ht="18" customHeight="1">
      <c r="B160" s="648"/>
      <c r="C160" s="650"/>
      <c r="D160" s="253">
        <f t="shared" si="22"/>
        <v>0</v>
      </c>
      <c r="E160" s="253">
        <f t="shared" si="22"/>
        <v>0</v>
      </c>
      <c r="F160" s="253">
        <f t="shared" si="23"/>
        <v>0</v>
      </c>
      <c r="G160" s="250">
        <v>0</v>
      </c>
      <c r="H160" s="77">
        <f>H159</f>
        <v>0.224</v>
      </c>
      <c r="I160" s="59">
        <f t="shared" si="24"/>
        <v>0</v>
      </c>
      <c r="J160" s="60"/>
      <c r="K160" s="61"/>
      <c r="L160" s="61"/>
      <c r="M160" s="61"/>
      <c r="N160" s="76"/>
    </row>
    <row r="161" spans="2:16" ht="18" customHeight="1">
      <c r="B161" s="648"/>
      <c r="C161" s="650"/>
      <c r="D161" s="253">
        <f t="shared" si="22"/>
        <v>0</v>
      </c>
      <c r="E161" s="253">
        <f t="shared" si="22"/>
        <v>0</v>
      </c>
      <c r="F161" s="253">
        <f t="shared" si="23"/>
        <v>0</v>
      </c>
      <c r="G161" s="250"/>
      <c r="H161" s="250">
        <f>H160</f>
        <v>0.224</v>
      </c>
      <c r="I161" s="59">
        <f t="shared" si="24"/>
        <v>0</v>
      </c>
      <c r="J161" s="60"/>
      <c r="K161" s="61"/>
      <c r="L161" s="61"/>
      <c r="M161" s="61"/>
      <c r="N161" s="76"/>
    </row>
    <row r="162" spans="2:16" ht="18" customHeight="1" thickBot="1">
      <c r="B162" s="648"/>
      <c r="C162" s="651"/>
      <c r="D162" s="253">
        <f t="shared" si="22"/>
        <v>0</v>
      </c>
      <c r="E162" s="253">
        <f t="shared" si="22"/>
        <v>0</v>
      </c>
      <c r="F162" s="253">
        <f t="shared" si="23"/>
        <v>0</v>
      </c>
      <c r="G162" s="250"/>
      <c r="H162" s="250">
        <f>H160</f>
        <v>0.224</v>
      </c>
      <c r="I162" s="59">
        <f t="shared" si="24"/>
        <v>0</v>
      </c>
      <c r="J162" s="64"/>
      <c r="K162" s="65"/>
      <c r="L162" s="65"/>
      <c r="M162" s="65"/>
      <c r="N162" s="80"/>
    </row>
    <row r="163" spans="2:16" ht="18" customHeight="1">
      <c r="B163" s="48" t="s">
        <v>42</v>
      </c>
      <c r="C163" s="49">
        <f>SUMPRODUCT(F157:F162*G157:G162)</f>
        <v>0</v>
      </c>
      <c r="D163" s="50" t="s">
        <v>43</v>
      </c>
      <c r="E163" s="49">
        <f>SUM(I157:I162)*1.1</f>
        <v>0</v>
      </c>
      <c r="F163" s="50" t="s">
        <v>44</v>
      </c>
      <c r="G163" s="51">
        <f>(C$218+C$222)/1000</f>
        <v>39.781500000000001</v>
      </c>
      <c r="H163" s="52" t="s">
        <v>45</v>
      </c>
      <c r="I163" s="53">
        <f>ROUND(E163*G163,2)</f>
        <v>0</v>
      </c>
      <c r="J163" s="102"/>
      <c r="K163" s="102"/>
      <c r="L163" s="102"/>
      <c r="M163" s="102"/>
      <c r="O163" s="102"/>
      <c r="P163" s="102"/>
    </row>
    <row r="164" spans="2:16" ht="18" customHeight="1">
      <c r="B164" s="48" t="s">
        <v>46</v>
      </c>
      <c r="C164" s="50">
        <v>181.72</v>
      </c>
      <c r="D164" s="50" t="s">
        <v>47</v>
      </c>
      <c r="E164" s="49">
        <f>ROUND(C163*(C164/1000),2)</f>
        <v>0</v>
      </c>
      <c r="F164" s="50" t="s">
        <v>48</v>
      </c>
      <c r="G164" s="50">
        <f>G$23</f>
        <v>10</v>
      </c>
      <c r="H164" s="52" t="s">
        <v>49</v>
      </c>
      <c r="I164" s="53">
        <f>E164*G164</f>
        <v>0</v>
      </c>
      <c r="J164" s="102"/>
      <c r="K164" s="102"/>
      <c r="L164" s="102"/>
      <c r="M164" s="102"/>
      <c r="O164" s="102"/>
      <c r="P164" s="102"/>
    </row>
    <row r="165" spans="2:16" ht="18" customHeight="1">
      <c r="B165" s="48" t="s">
        <v>50</v>
      </c>
      <c r="C165" s="50"/>
      <c r="D165" s="50" t="s">
        <v>51</v>
      </c>
      <c r="E165" s="49">
        <f>ROUND(C163*(C165/1000),2)</f>
        <v>0</v>
      </c>
      <c r="F165" s="50" t="s">
        <v>48</v>
      </c>
      <c r="G165" s="50">
        <f>G$24</f>
        <v>10</v>
      </c>
      <c r="H165" s="52" t="s">
        <v>49</v>
      </c>
      <c r="I165" s="53">
        <f>E165*G165</f>
        <v>0</v>
      </c>
      <c r="K165" s="43">
        <f>J165*E165</f>
        <v>0</v>
      </c>
    </row>
    <row r="166" spans="2:16" ht="18" customHeight="1">
      <c r="B166" s="23" t="s">
        <v>36</v>
      </c>
      <c r="C166" s="252" t="s">
        <v>14</v>
      </c>
      <c r="D166" s="252" t="s">
        <v>37</v>
      </c>
      <c r="E166" s="252" t="s">
        <v>71</v>
      </c>
      <c r="F166" s="252" t="s">
        <v>38</v>
      </c>
      <c r="G166" s="252" t="s">
        <v>72</v>
      </c>
      <c r="H166" s="252" t="s">
        <v>22</v>
      </c>
      <c r="I166" s="25" t="s">
        <v>40</v>
      </c>
    </row>
    <row r="167" spans="2:16" ht="18" customHeight="1">
      <c r="B167" s="648" t="s">
        <v>100</v>
      </c>
      <c r="C167" s="649" t="s">
        <v>101</v>
      </c>
      <c r="D167" s="250"/>
      <c r="E167" s="250"/>
      <c r="F167" s="250"/>
      <c r="G167" s="250"/>
      <c r="H167" s="28">
        <v>6.3E-2</v>
      </c>
      <c r="I167" s="59">
        <f>ROUND((D167*E167+F167*G167)/1000*H167,3)</f>
        <v>0</v>
      </c>
    </row>
    <row r="168" spans="2:16" ht="18" customHeight="1">
      <c r="B168" s="648"/>
      <c r="C168" s="650"/>
      <c r="D168" s="250"/>
      <c r="E168" s="250"/>
      <c r="F168" s="250"/>
      <c r="G168" s="250"/>
      <c r="H168" s="28">
        <f>H167</f>
        <v>6.3E-2</v>
      </c>
      <c r="I168" s="59">
        <f>ROUND((D168*E168+F168*G168)/1000*H168,3)</f>
        <v>0</v>
      </c>
    </row>
    <row r="169" spans="2:16" ht="18" customHeight="1">
      <c r="B169" s="648"/>
      <c r="C169" s="651"/>
      <c r="D169" s="250"/>
      <c r="E169" s="250"/>
      <c r="F169" s="250"/>
      <c r="G169" s="250"/>
      <c r="H169" s="28">
        <f>H168</f>
        <v>6.3E-2</v>
      </c>
      <c r="I169" s="59">
        <f>ROUND((D169*E169+F169*G169)/1000*H169,3)</f>
        <v>0</v>
      </c>
    </row>
    <row r="170" spans="2:16" ht="18" customHeight="1">
      <c r="B170" s="48" t="s">
        <v>42</v>
      </c>
      <c r="C170" s="49">
        <f>SUMPRODUCT(D167:D169*E167:E169+F167:F169*G167:G169)/1000</f>
        <v>0</v>
      </c>
      <c r="D170" s="50" t="s">
        <v>43</v>
      </c>
      <c r="E170" s="49">
        <f>SUM(I167:I169)*1.1</f>
        <v>0</v>
      </c>
      <c r="F170" s="50" t="s">
        <v>44</v>
      </c>
      <c r="G170" s="51">
        <f>(C$218+$C$222)/1000</f>
        <v>39.781500000000001</v>
      </c>
      <c r="H170" s="52" t="s">
        <v>45</v>
      </c>
      <c r="I170" s="53">
        <f>ROUND(E170*G170,2)</f>
        <v>0</v>
      </c>
    </row>
    <row r="171" spans="2:16" ht="18" customHeight="1">
      <c r="B171" s="48" t="s">
        <v>46</v>
      </c>
      <c r="C171" s="50">
        <v>105.66</v>
      </c>
      <c r="D171" s="50" t="s">
        <v>47</v>
      </c>
      <c r="E171" s="49">
        <f>ROUND(C170*(C171/1000),2)</f>
        <v>0</v>
      </c>
      <c r="F171" s="50" t="s">
        <v>48</v>
      </c>
      <c r="G171" s="50">
        <f>G$23</f>
        <v>10</v>
      </c>
      <c r="H171" s="52" t="s">
        <v>49</v>
      </c>
      <c r="I171" s="53">
        <f>E171*G171</f>
        <v>0</v>
      </c>
    </row>
    <row r="172" spans="2:16" ht="18" customHeight="1">
      <c r="B172" s="48" t="s">
        <v>50</v>
      </c>
      <c r="C172" s="50">
        <v>125.66</v>
      </c>
      <c r="D172" s="50" t="s">
        <v>51</v>
      </c>
      <c r="E172" s="49">
        <f>ROUND(C170*(C172/1000),2)</f>
        <v>0</v>
      </c>
      <c r="F172" s="50" t="s">
        <v>48</v>
      </c>
      <c r="G172" s="50">
        <f>G$24</f>
        <v>10</v>
      </c>
      <c r="H172" s="52" t="s">
        <v>49</v>
      </c>
      <c r="I172" s="53">
        <f>E172*G172</f>
        <v>0</v>
      </c>
    </row>
    <row r="173" spans="2:16" ht="18" customHeight="1">
      <c r="B173" s="23" t="s">
        <v>36</v>
      </c>
      <c r="C173" s="252" t="s">
        <v>14</v>
      </c>
      <c r="D173" s="252" t="s">
        <v>37</v>
      </c>
      <c r="E173" s="252" t="s">
        <v>71</v>
      </c>
      <c r="F173" s="252" t="s">
        <v>38</v>
      </c>
      <c r="G173" s="252" t="s">
        <v>72</v>
      </c>
      <c r="H173" s="252" t="s">
        <v>22</v>
      </c>
      <c r="I173" s="25" t="s">
        <v>40</v>
      </c>
    </row>
    <row r="174" spans="2:16" ht="18" customHeight="1">
      <c r="B174" s="648" t="s">
        <v>102</v>
      </c>
      <c r="C174" s="649" t="s">
        <v>103</v>
      </c>
      <c r="D174" s="250"/>
      <c r="E174" s="250"/>
      <c r="F174" s="250"/>
      <c r="G174" s="250"/>
      <c r="H174" s="28">
        <v>1.0980000000000001</v>
      </c>
      <c r="I174" s="59">
        <f>ROUND((D174*E174+F174*G174)/1000*H174,3)</f>
        <v>0</v>
      </c>
    </row>
    <row r="175" spans="2:16" ht="18" customHeight="1">
      <c r="B175" s="648"/>
      <c r="C175" s="650"/>
      <c r="D175" s="250"/>
      <c r="E175" s="250"/>
      <c r="F175" s="250"/>
      <c r="G175" s="250"/>
      <c r="H175" s="28">
        <f>H174</f>
        <v>1.0980000000000001</v>
      </c>
      <c r="I175" s="59">
        <f>ROUND((D175*E175+F175*G175)/1000*H175,3)</f>
        <v>0</v>
      </c>
    </row>
    <row r="176" spans="2:16" ht="18" customHeight="1">
      <c r="B176" s="648"/>
      <c r="C176" s="651"/>
      <c r="D176" s="250"/>
      <c r="E176" s="250"/>
      <c r="F176" s="250"/>
      <c r="G176" s="250"/>
      <c r="H176" s="28">
        <f>H175</f>
        <v>1.0980000000000001</v>
      </c>
      <c r="I176" s="59">
        <f>ROUND((D176*E176+F176*G176)/1000*H176,3)</f>
        <v>0</v>
      </c>
    </row>
    <row r="177" spans="2:9" ht="18" customHeight="1">
      <c r="B177" s="48" t="s">
        <v>42</v>
      </c>
      <c r="C177" s="49">
        <f>SUMPRODUCT(D174:D176*E174:E176+F174:F176*G174:G176)/1000</f>
        <v>0</v>
      </c>
      <c r="D177" s="50" t="s">
        <v>43</v>
      </c>
      <c r="E177" s="49">
        <f>SUM(I174:I176)*1.1</f>
        <v>0</v>
      </c>
      <c r="F177" s="50" t="s">
        <v>44</v>
      </c>
      <c r="G177" s="51">
        <f>(C$218+C$219)/1000</f>
        <v>46.081499999999998</v>
      </c>
      <c r="H177" s="52" t="s">
        <v>45</v>
      </c>
      <c r="I177" s="53">
        <f>ROUND(E177*G177,2)</f>
        <v>0</v>
      </c>
    </row>
    <row r="178" spans="2:9" ht="18" customHeight="1">
      <c r="B178" s="48" t="s">
        <v>46</v>
      </c>
      <c r="C178" s="50">
        <v>105.66</v>
      </c>
      <c r="D178" s="50" t="s">
        <v>47</v>
      </c>
      <c r="E178" s="49">
        <f>ROUND(C177*(C178/1000),2)</f>
        <v>0</v>
      </c>
      <c r="F178" s="50" t="s">
        <v>48</v>
      </c>
      <c r="G178" s="50">
        <f>G$23</f>
        <v>10</v>
      </c>
      <c r="H178" s="52" t="s">
        <v>49</v>
      </c>
      <c r="I178" s="53">
        <f>E178*G178</f>
        <v>0</v>
      </c>
    </row>
    <row r="179" spans="2:9" ht="18" customHeight="1">
      <c r="B179" s="48" t="s">
        <v>50</v>
      </c>
      <c r="C179" s="50">
        <v>125.66</v>
      </c>
      <c r="D179" s="50" t="s">
        <v>51</v>
      </c>
      <c r="E179" s="49">
        <f>ROUND(C177*(C179/1000),2)</f>
        <v>0</v>
      </c>
      <c r="F179" s="50" t="s">
        <v>48</v>
      </c>
      <c r="G179" s="50">
        <f>G$24</f>
        <v>10</v>
      </c>
      <c r="H179" s="52" t="s">
        <v>49</v>
      </c>
      <c r="I179" s="53">
        <f>E179*G179</f>
        <v>0</v>
      </c>
    </row>
    <row r="180" spans="2:9" ht="18" customHeight="1">
      <c r="B180" s="23" t="s">
        <v>36</v>
      </c>
      <c r="C180" s="252" t="s">
        <v>14</v>
      </c>
      <c r="D180" s="252" t="s">
        <v>37</v>
      </c>
      <c r="E180" s="252" t="s">
        <v>71</v>
      </c>
      <c r="F180" s="252" t="s">
        <v>38</v>
      </c>
      <c r="G180" s="252" t="s">
        <v>72</v>
      </c>
      <c r="H180" s="252" t="s">
        <v>22</v>
      </c>
      <c r="I180" s="25" t="s">
        <v>40</v>
      </c>
    </row>
    <row r="181" spans="2:9" ht="18" customHeight="1">
      <c r="B181" s="648" t="s">
        <v>104</v>
      </c>
      <c r="C181" s="649" t="s">
        <v>105</v>
      </c>
      <c r="D181" s="250">
        <f>D6</f>
        <v>1200</v>
      </c>
      <c r="E181" s="250"/>
      <c r="F181" s="250"/>
      <c r="G181" s="250"/>
      <c r="H181" s="28">
        <v>1.5629999999999999</v>
      </c>
      <c r="I181" s="59">
        <f>ROUND((D181*E181+F181*G181)/1000*H181,3)</f>
        <v>0</v>
      </c>
    </row>
    <row r="182" spans="2:9" ht="18" customHeight="1">
      <c r="B182" s="648"/>
      <c r="C182" s="650"/>
      <c r="D182" s="250"/>
      <c r="E182" s="250"/>
      <c r="F182" s="250"/>
      <c r="G182" s="250"/>
      <c r="H182" s="28">
        <f>H181</f>
        <v>1.5629999999999999</v>
      </c>
      <c r="I182" s="59">
        <f>ROUND((D182*E182+F182*G182)/1000*H182,3)</f>
        <v>0</v>
      </c>
    </row>
    <row r="183" spans="2:9" ht="18" customHeight="1">
      <c r="B183" s="648"/>
      <c r="C183" s="651"/>
      <c r="D183" s="250"/>
      <c r="E183" s="250"/>
      <c r="F183" s="250"/>
      <c r="G183" s="250"/>
      <c r="H183" s="28">
        <f>H182</f>
        <v>1.5629999999999999</v>
      </c>
      <c r="I183" s="59">
        <f>ROUND((D183*E183+F183*G183)/1000*H183,3)</f>
        <v>0</v>
      </c>
    </row>
    <row r="184" spans="2:9" ht="18" customHeight="1">
      <c r="B184" s="48" t="s">
        <v>42</v>
      </c>
      <c r="C184" s="49">
        <f>SUMPRODUCT(D181:D183*E181:E183+F181:F183*G181:G183)/1000</f>
        <v>0</v>
      </c>
      <c r="D184" s="50" t="s">
        <v>43</v>
      </c>
      <c r="E184" s="49">
        <f>SUM(I181:I183)*1.1</f>
        <v>0</v>
      </c>
      <c r="F184" s="50" t="s">
        <v>44</v>
      </c>
      <c r="G184" s="51">
        <f>(C$218+C$219)/1000</f>
        <v>46.081499999999998</v>
      </c>
      <c r="H184" s="52" t="s">
        <v>45</v>
      </c>
      <c r="I184" s="53">
        <f>ROUND(E184*G184,2)</f>
        <v>0</v>
      </c>
    </row>
    <row r="185" spans="2:9" ht="18" customHeight="1">
      <c r="B185" s="48" t="s">
        <v>46</v>
      </c>
      <c r="C185" s="50">
        <v>105.66</v>
      </c>
      <c r="D185" s="50" t="s">
        <v>47</v>
      </c>
      <c r="E185" s="49">
        <f>ROUND(C184*(C185/1000),2)</f>
        <v>0</v>
      </c>
      <c r="F185" s="50" t="s">
        <v>48</v>
      </c>
      <c r="G185" s="50">
        <f>G$23</f>
        <v>10</v>
      </c>
      <c r="H185" s="52" t="s">
        <v>49</v>
      </c>
      <c r="I185" s="53">
        <f>E185*G185</f>
        <v>0</v>
      </c>
    </row>
    <row r="186" spans="2:9" ht="18" customHeight="1">
      <c r="B186" s="48" t="s">
        <v>50</v>
      </c>
      <c r="C186" s="50">
        <v>125.66</v>
      </c>
      <c r="D186" s="50" t="s">
        <v>51</v>
      </c>
      <c r="E186" s="49">
        <f>ROUND(C184*(C186/1000),2)</f>
        <v>0</v>
      </c>
      <c r="F186" s="50" t="s">
        <v>48</v>
      </c>
      <c r="G186" s="50">
        <f>G$24</f>
        <v>10</v>
      </c>
      <c r="H186" s="52" t="s">
        <v>49</v>
      </c>
      <c r="I186" s="53">
        <f>E186*G186</f>
        <v>0</v>
      </c>
    </row>
    <row r="187" spans="2:9" ht="18" customHeight="1">
      <c r="B187" s="23" t="s">
        <v>36</v>
      </c>
      <c r="C187" s="252" t="s">
        <v>14</v>
      </c>
      <c r="D187" s="252" t="s">
        <v>37</v>
      </c>
      <c r="E187" s="252" t="s">
        <v>71</v>
      </c>
      <c r="F187" s="252" t="s">
        <v>38</v>
      </c>
      <c r="G187" s="252" t="s">
        <v>72</v>
      </c>
      <c r="H187" s="252" t="s">
        <v>22</v>
      </c>
      <c r="I187" s="25" t="s">
        <v>40</v>
      </c>
    </row>
    <row r="188" spans="2:9" ht="18" customHeight="1">
      <c r="B188" s="648" t="s">
        <v>106</v>
      </c>
      <c r="C188" s="649" t="s">
        <v>107</v>
      </c>
      <c r="D188" s="250"/>
      <c r="E188" s="250"/>
      <c r="F188" s="250"/>
      <c r="G188" s="250"/>
      <c r="H188" s="28">
        <v>1.732</v>
      </c>
      <c r="I188" s="59">
        <f>ROUND((D188*E188+F188*G188)/1000*H188,3)</f>
        <v>0</v>
      </c>
    </row>
    <row r="189" spans="2:9" ht="18" customHeight="1">
      <c r="B189" s="648"/>
      <c r="C189" s="650"/>
      <c r="D189" s="250"/>
      <c r="E189" s="250"/>
      <c r="F189" s="250"/>
      <c r="G189" s="250"/>
      <c r="H189" s="28">
        <f>H188</f>
        <v>1.732</v>
      </c>
      <c r="I189" s="59">
        <f>ROUND((D189*E189+F189*G189)/1000*H189,3)</f>
        <v>0</v>
      </c>
    </row>
    <row r="190" spans="2:9" ht="18" customHeight="1">
      <c r="B190" s="648"/>
      <c r="C190" s="651"/>
      <c r="D190" s="250"/>
      <c r="E190" s="250"/>
      <c r="F190" s="250">
        <f>E6</f>
        <v>1342</v>
      </c>
      <c r="G190" s="250"/>
      <c r="H190" s="28">
        <f>H189</f>
        <v>1.732</v>
      </c>
      <c r="I190" s="59">
        <f>ROUND((D190*E190+F190*G190)/1000*H190,3)</f>
        <v>0</v>
      </c>
    </row>
    <row r="191" spans="2:9" ht="18" customHeight="1">
      <c r="B191" s="48" t="s">
        <v>42</v>
      </c>
      <c r="C191" s="49">
        <f>SUMPRODUCT(D188:D190*E188:E190+F188:F190*G188:G190)/1000</f>
        <v>0</v>
      </c>
      <c r="D191" s="50" t="s">
        <v>43</v>
      </c>
      <c r="E191" s="49">
        <f>SUM(I188:I190)*1.1</f>
        <v>0</v>
      </c>
      <c r="F191" s="50" t="s">
        <v>44</v>
      </c>
      <c r="G191" s="51">
        <f>(C$218+C$219)/1000</f>
        <v>46.081499999999998</v>
      </c>
      <c r="H191" s="52" t="s">
        <v>45</v>
      </c>
      <c r="I191" s="53">
        <f>ROUND(E191*G191,2)</f>
        <v>0</v>
      </c>
    </row>
    <row r="192" spans="2:9" ht="18" customHeight="1">
      <c r="B192" s="48" t="s">
        <v>46</v>
      </c>
      <c r="C192" s="50">
        <v>105.66</v>
      </c>
      <c r="D192" s="50" t="s">
        <v>47</v>
      </c>
      <c r="E192" s="49">
        <f>ROUND(C191*(C192/1000),2)</f>
        <v>0</v>
      </c>
      <c r="F192" s="50" t="s">
        <v>48</v>
      </c>
      <c r="G192" s="50">
        <f>G$23</f>
        <v>10</v>
      </c>
      <c r="H192" s="52" t="s">
        <v>49</v>
      </c>
      <c r="I192" s="53">
        <f>E192*G192</f>
        <v>0</v>
      </c>
    </row>
    <row r="193" spans="2:15" ht="18" customHeight="1">
      <c r="B193" s="48" t="s">
        <v>50</v>
      </c>
      <c r="C193" s="50">
        <v>125.66</v>
      </c>
      <c r="D193" s="50" t="s">
        <v>51</v>
      </c>
      <c r="E193" s="49">
        <f>ROUND(C191*(C193/1000),2)</f>
        <v>0</v>
      </c>
      <c r="F193" s="50" t="s">
        <v>48</v>
      </c>
      <c r="G193" s="50">
        <f>G$24</f>
        <v>10</v>
      </c>
      <c r="H193" s="52" t="s">
        <v>49</v>
      </c>
      <c r="I193" s="53">
        <f>E193*G193</f>
        <v>0</v>
      </c>
    </row>
    <row r="194" spans="2:15" ht="18" customHeight="1">
      <c r="B194" s="23" t="s">
        <v>36</v>
      </c>
      <c r="C194" s="252" t="s">
        <v>14</v>
      </c>
      <c r="D194" s="652" t="s">
        <v>38</v>
      </c>
      <c r="E194" s="652"/>
      <c r="F194" s="652"/>
      <c r="G194" s="252" t="s">
        <v>72</v>
      </c>
      <c r="H194" s="252" t="s">
        <v>22</v>
      </c>
      <c r="I194" s="25" t="s">
        <v>40</v>
      </c>
    </row>
    <row r="195" spans="2:15" ht="18" customHeight="1">
      <c r="B195" s="643" t="s">
        <v>108</v>
      </c>
      <c r="C195" s="645" t="s">
        <v>109</v>
      </c>
      <c r="D195" s="646"/>
      <c r="E195" s="646"/>
      <c r="F195" s="646"/>
      <c r="G195" s="250"/>
      <c r="H195" s="250">
        <v>1.796</v>
      </c>
      <c r="I195" s="59">
        <f>ROUND((D195*G195*H195)/1000,3)</f>
        <v>0</v>
      </c>
    </row>
    <row r="196" spans="2:15" ht="18" customHeight="1">
      <c r="B196" s="644"/>
      <c r="C196" s="640"/>
      <c r="D196" s="646"/>
      <c r="E196" s="646"/>
      <c r="F196" s="646"/>
      <c r="G196" s="250"/>
      <c r="H196" s="250">
        <f>H195</f>
        <v>1.796</v>
      </c>
      <c r="I196" s="59">
        <f>ROUND((D196*G196*H196)/1000,3)</f>
        <v>0</v>
      </c>
    </row>
    <row r="197" spans="2:15" ht="18" customHeight="1">
      <c r="B197" s="643" t="s">
        <v>110</v>
      </c>
      <c r="C197" s="645" t="s">
        <v>111</v>
      </c>
      <c r="D197" s="646"/>
      <c r="E197" s="646"/>
      <c r="F197" s="646"/>
      <c r="G197" s="250"/>
      <c r="H197" s="250">
        <v>1.355</v>
      </c>
      <c r="I197" s="59"/>
    </row>
    <row r="198" spans="2:15" ht="18" customHeight="1">
      <c r="B198" s="644"/>
      <c r="C198" s="640"/>
      <c r="D198" s="646"/>
      <c r="E198" s="646"/>
      <c r="F198" s="646"/>
      <c r="G198" s="250"/>
      <c r="H198" s="250">
        <f>H197</f>
        <v>1.355</v>
      </c>
      <c r="I198" s="59"/>
    </row>
    <row r="199" spans="2:15" ht="18" customHeight="1">
      <c r="B199" s="48" t="s">
        <v>42</v>
      </c>
      <c r="C199" s="49">
        <f>SUMPRODUCT(D195:F198*G195:G198)/1000</f>
        <v>0</v>
      </c>
      <c r="D199" s="50" t="s">
        <v>43</v>
      </c>
      <c r="E199" s="49">
        <f>SUM(I195:I198)*1.1</f>
        <v>0</v>
      </c>
      <c r="F199" s="50" t="s">
        <v>44</v>
      </c>
      <c r="G199" s="51">
        <f>(C$218+C$219)/1000</f>
        <v>46.081499999999998</v>
      </c>
      <c r="H199" s="52" t="s">
        <v>45</v>
      </c>
      <c r="I199" s="53">
        <f>ROUND(E199*G199,2)</f>
        <v>0</v>
      </c>
    </row>
    <row r="200" spans="2:15" ht="18" customHeight="1">
      <c r="B200" s="48" t="s">
        <v>46</v>
      </c>
      <c r="C200" s="50">
        <v>267.77999999999997</v>
      </c>
      <c r="D200" s="50" t="s">
        <v>47</v>
      </c>
      <c r="E200" s="49">
        <f>ROUND(C199*(C200/1000),2)</f>
        <v>0</v>
      </c>
      <c r="F200" s="50" t="s">
        <v>48</v>
      </c>
      <c r="G200" s="50">
        <f>G$23</f>
        <v>10</v>
      </c>
      <c r="H200" s="52" t="s">
        <v>49</v>
      </c>
      <c r="I200" s="53">
        <f>E200*G200</f>
        <v>0</v>
      </c>
    </row>
    <row r="201" spans="2:15" ht="18" customHeight="1">
      <c r="B201" s="48" t="s">
        <v>50</v>
      </c>
      <c r="C201" s="50">
        <v>104.29</v>
      </c>
      <c r="D201" s="50" t="s">
        <v>51</v>
      </c>
      <c r="E201" s="49">
        <f>ROUND(C199*(C201/1000),2)</f>
        <v>0</v>
      </c>
      <c r="F201" s="50" t="s">
        <v>48</v>
      </c>
      <c r="G201" s="50">
        <f>G$24</f>
        <v>10</v>
      </c>
      <c r="H201" s="52" t="s">
        <v>49</v>
      </c>
      <c r="I201" s="53">
        <f>E201*G201</f>
        <v>0</v>
      </c>
    </row>
    <row r="202" spans="2:15" ht="18" customHeight="1">
      <c r="B202" s="103" t="s">
        <v>112</v>
      </c>
      <c r="C202" s="104" t="s">
        <v>113</v>
      </c>
      <c r="D202" s="104" t="s">
        <v>28</v>
      </c>
      <c r="E202" s="104" t="s">
        <v>8</v>
      </c>
      <c r="F202" s="104" t="s">
        <v>112</v>
      </c>
      <c r="G202" s="104" t="s">
        <v>113</v>
      </c>
      <c r="H202" s="104" t="s">
        <v>28</v>
      </c>
      <c r="I202" s="105" t="s">
        <v>8</v>
      </c>
      <c r="N202" s="106"/>
      <c r="O202" s="102"/>
    </row>
    <row r="203" spans="2:15" ht="18" customHeight="1">
      <c r="B203" s="251" t="s">
        <v>327</v>
      </c>
      <c r="C203" s="107" t="s">
        <v>114</v>
      </c>
      <c r="D203" s="108">
        <v>2.15</v>
      </c>
      <c r="E203" s="253">
        <f>SUM(G14:G21)*4</f>
        <v>4</v>
      </c>
      <c r="F203" s="647" t="s">
        <v>115</v>
      </c>
      <c r="G203" s="107" t="s">
        <v>116</v>
      </c>
      <c r="H203" s="108">
        <v>2.46</v>
      </c>
      <c r="I203" s="247">
        <f>SUM(G108:G111)*4</f>
        <v>0</v>
      </c>
      <c r="J203" s="42"/>
      <c r="N203" s="106"/>
      <c r="O203" s="102"/>
    </row>
    <row r="204" spans="2:15" ht="18" customHeight="1">
      <c r="B204" s="251" t="s">
        <v>328</v>
      </c>
      <c r="C204" s="107" t="s">
        <v>117</v>
      </c>
      <c r="D204" s="108">
        <v>1.72</v>
      </c>
      <c r="E204" s="253">
        <f>E203</f>
        <v>4</v>
      </c>
      <c r="F204" s="646"/>
      <c r="G204" s="107" t="s">
        <v>118</v>
      </c>
      <c r="H204" s="108">
        <v>3.11</v>
      </c>
      <c r="I204" s="247">
        <f>I203</f>
        <v>0</v>
      </c>
      <c r="J204" s="42"/>
      <c r="N204" s="106"/>
      <c r="O204" s="102"/>
    </row>
    <row r="205" spans="2:15" ht="18" customHeight="1">
      <c r="B205" s="109" t="s">
        <v>330</v>
      </c>
      <c r="C205" s="107" t="s">
        <v>119</v>
      </c>
      <c r="D205" s="108">
        <v>2.68</v>
      </c>
      <c r="E205" s="253">
        <f>SUM(G26:G30)*4</f>
        <v>0</v>
      </c>
      <c r="F205" s="110" t="s">
        <v>120</v>
      </c>
      <c r="G205" s="107" t="s">
        <v>121</v>
      </c>
      <c r="H205" s="111">
        <v>4.76</v>
      </c>
      <c r="I205" s="247">
        <f>SUM(G123:G125)*4</f>
        <v>0</v>
      </c>
      <c r="J205" s="42"/>
      <c r="N205" s="106"/>
      <c r="O205" s="102"/>
    </row>
    <row r="206" spans="2:15" ht="18" customHeight="1">
      <c r="B206" s="109" t="s">
        <v>329</v>
      </c>
      <c r="C206" s="107" t="s">
        <v>122</v>
      </c>
      <c r="D206" s="108">
        <v>1.27</v>
      </c>
      <c r="E206" s="253">
        <f>E205</f>
        <v>0</v>
      </c>
      <c r="F206" s="110" t="s">
        <v>123</v>
      </c>
      <c r="G206" s="107" t="s">
        <v>124</v>
      </c>
      <c r="H206" s="111">
        <v>3.85</v>
      </c>
      <c r="I206" s="247">
        <f>I205</f>
        <v>0</v>
      </c>
      <c r="J206" s="42"/>
      <c r="N206" s="106"/>
      <c r="O206" s="102"/>
    </row>
    <row r="207" spans="2:15" ht="18" customHeight="1">
      <c r="B207" s="109" t="s">
        <v>331</v>
      </c>
      <c r="C207" s="107" t="s">
        <v>125</v>
      </c>
      <c r="D207" s="111" t="s">
        <v>126</v>
      </c>
      <c r="E207" s="253">
        <f>SUM(G35:G37)*4</f>
        <v>8</v>
      </c>
      <c r="F207" s="110" t="s">
        <v>127</v>
      </c>
      <c r="G207" s="107" t="s">
        <v>128</v>
      </c>
      <c r="H207" s="111">
        <v>4.29</v>
      </c>
      <c r="I207" s="247">
        <f>SUM(G116:G118)*4</f>
        <v>0</v>
      </c>
      <c r="J207" s="42"/>
      <c r="N207" s="106"/>
      <c r="O207" s="102"/>
    </row>
    <row r="208" spans="2:15" ht="18" customHeight="1">
      <c r="B208" s="109" t="s">
        <v>332</v>
      </c>
      <c r="C208" s="107" t="s">
        <v>129</v>
      </c>
      <c r="D208" s="111" t="s">
        <v>130</v>
      </c>
      <c r="E208" s="253">
        <f>E207</f>
        <v>8</v>
      </c>
      <c r="F208" s="110" t="s">
        <v>131</v>
      </c>
      <c r="G208" s="107" t="s">
        <v>132</v>
      </c>
      <c r="H208" s="111">
        <v>4.5</v>
      </c>
      <c r="I208" s="247">
        <f>I207</f>
        <v>0</v>
      </c>
      <c r="J208" s="42"/>
      <c r="N208" s="106"/>
      <c r="O208" s="102"/>
    </row>
    <row r="209" spans="2:15" ht="18" customHeight="1">
      <c r="B209" s="249" t="s">
        <v>333</v>
      </c>
      <c r="C209" s="250">
        <v>12.6</v>
      </c>
      <c r="D209" s="111">
        <v>1.32</v>
      </c>
      <c r="E209" s="253">
        <f>SUM(G42:G47)*4</f>
        <v>0</v>
      </c>
      <c r="F209" s="639"/>
      <c r="G209" s="107"/>
      <c r="H209" s="28"/>
      <c r="I209" s="247"/>
      <c r="N209" s="106"/>
      <c r="O209" s="102"/>
    </row>
    <row r="210" spans="2:15" ht="18" customHeight="1">
      <c r="B210" s="249" t="s">
        <v>334</v>
      </c>
      <c r="C210" s="250">
        <v>15.8</v>
      </c>
      <c r="D210" s="111">
        <v>1.18</v>
      </c>
      <c r="E210" s="253">
        <f>E209</f>
        <v>0</v>
      </c>
      <c r="F210" s="640"/>
      <c r="G210" s="107"/>
      <c r="H210" s="28"/>
      <c r="I210" s="231"/>
      <c r="N210" s="106"/>
      <c r="O210" s="102"/>
    </row>
    <row r="211" spans="2:15" ht="18" customHeight="1">
      <c r="B211" s="251" t="s">
        <v>335</v>
      </c>
      <c r="C211" s="107" t="s">
        <v>337</v>
      </c>
      <c r="D211" s="111">
        <v>2.81</v>
      </c>
      <c r="E211" s="250">
        <f>SUM(E52+E53+E54+E55+G52+G53+G54+G55+G60+G61+G62+G63)*2</f>
        <v>2</v>
      </c>
      <c r="F211" s="641" t="s">
        <v>133</v>
      </c>
      <c r="G211" s="111">
        <f>SUMPRODUCT(D35:D37,G35:G37)/1000</f>
        <v>1.1399999999999999</v>
      </c>
      <c r="H211" s="28">
        <v>0.16</v>
      </c>
      <c r="I211" s="232">
        <f>G211*H211</f>
        <v>0.18239999999999998</v>
      </c>
      <c r="N211" s="106"/>
      <c r="O211" s="102"/>
    </row>
    <row r="212" spans="2:15" ht="18" customHeight="1">
      <c r="B212" s="251" t="s">
        <v>336</v>
      </c>
      <c r="C212" s="107" t="s">
        <v>338</v>
      </c>
      <c r="D212" s="111">
        <v>3.51</v>
      </c>
      <c r="E212" s="250">
        <f>E211</f>
        <v>2</v>
      </c>
      <c r="F212" s="641"/>
      <c r="G212" s="111">
        <f>SUMPRODUCT(D26:D30,G26:G30)/1000</f>
        <v>0</v>
      </c>
      <c r="H212" s="28">
        <v>0.16</v>
      </c>
      <c r="I212" s="232">
        <f>G212*H212</f>
        <v>0</v>
      </c>
      <c r="N212" s="106"/>
      <c r="O212" s="102"/>
    </row>
    <row r="213" spans="2:15" ht="18" customHeight="1">
      <c r="B213" s="251" t="s">
        <v>134</v>
      </c>
      <c r="C213" s="250">
        <v>30.6</v>
      </c>
      <c r="D213" s="111">
        <v>2.81</v>
      </c>
      <c r="E213" s="253">
        <f>SUM(+E130+E131+E132+G130+G131+G132)*2</f>
        <v>0</v>
      </c>
      <c r="F213" s="641" t="s">
        <v>135</v>
      </c>
      <c r="G213" s="111">
        <f>SUMPRODUCT(E26:E30,G26:G30)/1000</f>
        <v>0</v>
      </c>
      <c r="H213" s="28">
        <v>0.16</v>
      </c>
      <c r="I213" s="232">
        <f>G213*H213</f>
        <v>0</v>
      </c>
      <c r="N213" s="106"/>
      <c r="O213" s="102"/>
    </row>
    <row r="214" spans="2:15" ht="18" customHeight="1">
      <c r="B214" s="251" t="s">
        <v>136</v>
      </c>
      <c r="C214" s="250">
        <v>30.6</v>
      </c>
      <c r="D214" s="111">
        <v>3.51</v>
      </c>
      <c r="E214" s="253">
        <f>E213</f>
        <v>0</v>
      </c>
      <c r="F214" s="641"/>
      <c r="G214" s="111">
        <f>SUMPRODUCT(E35:E37,G35:G37)/1000</f>
        <v>2.5960000000000001</v>
      </c>
      <c r="H214" s="28">
        <v>0.16</v>
      </c>
      <c r="I214" s="232">
        <f>G214*H214</f>
        <v>0.41536000000000001</v>
      </c>
      <c r="N214" s="106"/>
      <c r="O214" s="102"/>
    </row>
    <row r="215" spans="2:15" ht="18" customHeight="1">
      <c r="B215" s="52" t="s">
        <v>137</v>
      </c>
      <c r="C215" s="112" cm="1">
        <f t="array" ref="C215">SUMPRODUCT(D203:D214*E203:E214)+SUMPRODUCT(H203:H210*I203:I210)</f>
        <v>68.44</v>
      </c>
      <c r="D215" s="52"/>
      <c r="E215" s="52"/>
      <c r="F215" s="52"/>
      <c r="G215" s="52" t="s">
        <v>138</v>
      </c>
      <c r="H215" s="52" cm="1">
        <f t="array" ref="H215">SUMPRODUCT(G211:G214*H211:H214)</f>
        <v>0.59775999999999996</v>
      </c>
      <c r="I215" s="233">
        <f>H215*1.08</f>
        <v>0.64558079999999995</v>
      </c>
      <c r="N215" s="106"/>
      <c r="O215" s="102"/>
    </row>
    <row r="216" spans="2:15" ht="18" customHeight="1">
      <c r="B216" s="23" t="s">
        <v>139</v>
      </c>
      <c r="C216" s="252" t="s">
        <v>14</v>
      </c>
      <c r="D216" s="252" t="s">
        <v>22</v>
      </c>
      <c r="E216" s="252" t="s">
        <v>8</v>
      </c>
      <c r="F216" s="252" t="s">
        <v>113</v>
      </c>
      <c r="G216" s="252" t="s">
        <v>40</v>
      </c>
      <c r="H216" s="252" t="s">
        <v>28</v>
      </c>
      <c r="I216" s="25" t="s">
        <v>29</v>
      </c>
      <c r="N216" s="106"/>
      <c r="O216" s="102"/>
    </row>
    <row r="217" spans="2:15" ht="18" customHeight="1">
      <c r="B217" s="48" t="s">
        <v>140</v>
      </c>
      <c r="C217" s="52" t="s">
        <v>141</v>
      </c>
      <c r="D217" s="50">
        <v>0.14199999999999999</v>
      </c>
      <c r="E217" s="50">
        <v>1</v>
      </c>
      <c r="F217" s="50">
        <f>D6</f>
        <v>1200</v>
      </c>
      <c r="G217" s="128">
        <f>D217*F217*E217/1000*1.1</f>
        <v>0.18743999999999997</v>
      </c>
      <c r="H217" s="52">
        <f>(C218+C222)/1000</f>
        <v>39.781500000000001</v>
      </c>
      <c r="I217" s="193">
        <f>G217*H217</f>
        <v>7.4566443599999985</v>
      </c>
      <c r="N217" s="106"/>
      <c r="O217" s="102"/>
    </row>
    <row r="218" spans="2:15" ht="18" customHeight="1">
      <c r="B218" s="37" t="s">
        <v>142</v>
      </c>
      <c r="C218" s="113">
        <f>材料价格!B4</f>
        <v>22081.5</v>
      </c>
      <c r="D218" s="39" t="s">
        <v>143</v>
      </c>
      <c r="E218" s="114">
        <f>E139+E133+E126+E119+E112+E199+E177+E64+E56+E48+E38+E31+E22+E184+E191</f>
        <v>25.465000000000003</v>
      </c>
      <c r="F218" s="39" t="s">
        <v>144</v>
      </c>
      <c r="G218" s="115">
        <f>I218/E218-C218/1000</f>
        <v>23.99978804241114</v>
      </c>
      <c r="H218" s="39" t="s">
        <v>145</v>
      </c>
      <c r="I218" s="116">
        <f>I22+I31+I38+I48+I56+I64+I199+I112+I119+I126+I133+I139+I177+I184+I191</f>
        <v>1173.4599999999998</v>
      </c>
      <c r="N218" s="106"/>
      <c r="O218" s="102"/>
    </row>
    <row r="219" spans="2:15" ht="18" customHeight="1">
      <c r="B219" s="117" t="s">
        <v>146</v>
      </c>
      <c r="C219" s="118">
        <f>材料价格!B5</f>
        <v>24000</v>
      </c>
      <c r="D219" s="39" t="s">
        <v>147</v>
      </c>
      <c r="E219" s="114">
        <f>E163+E153+E146+E104+E97+E88+G217+E170</f>
        <v>2.12344</v>
      </c>
      <c r="F219" s="39" t="s">
        <v>148</v>
      </c>
      <c r="G219" s="119">
        <f>I219/E219-C218/1000</f>
        <v>17.701420336811964</v>
      </c>
      <c r="H219" s="39" t="s">
        <v>149</v>
      </c>
      <c r="I219" s="116">
        <f>I88+I97+I104+I146+I153+I163+I217+I170</f>
        <v>84.476644359999995</v>
      </c>
      <c r="N219" s="106"/>
      <c r="O219" s="102"/>
    </row>
    <row r="220" spans="2:15" ht="18" customHeight="1">
      <c r="B220" s="117" t="s">
        <v>150</v>
      </c>
      <c r="C220" s="118">
        <f>C219</f>
        <v>24000</v>
      </c>
      <c r="D220" s="39" t="s">
        <v>151</v>
      </c>
      <c r="E220" s="120">
        <f>I215</f>
        <v>0.64558079999999995</v>
      </c>
      <c r="F220" s="39" t="s">
        <v>152</v>
      </c>
      <c r="G220" s="119">
        <f>I220/E220-C218/1000</f>
        <v>2.9037535887064827</v>
      </c>
      <c r="H220" s="39" t="s">
        <v>153</v>
      </c>
      <c r="I220" s="116">
        <f>ROUND(E220*(C218+C223)/1000,2)</f>
        <v>16.13</v>
      </c>
      <c r="N220" s="106"/>
      <c r="O220" s="102"/>
    </row>
    <row r="221" spans="2:15" ht="18" customHeight="1">
      <c r="B221" s="117" t="s">
        <v>154</v>
      </c>
      <c r="C221" s="121">
        <f>C220</f>
        <v>24000</v>
      </c>
      <c r="D221" s="39" t="s">
        <v>155</v>
      </c>
      <c r="E221" s="39"/>
      <c r="F221" s="39" t="s">
        <v>156</v>
      </c>
      <c r="G221" s="39"/>
      <c r="H221" s="39" t="s">
        <v>49</v>
      </c>
      <c r="I221" s="116">
        <f>E221*G221</f>
        <v>0</v>
      </c>
      <c r="J221" s="42"/>
      <c r="K221" s="255"/>
    </row>
    <row r="222" spans="2:15" ht="18" customHeight="1">
      <c r="B222" s="117" t="s">
        <v>148</v>
      </c>
      <c r="C222" s="122">
        <f>材料价格!B6</f>
        <v>17700</v>
      </c>
      <c r="D222" s="39" t="s">
        <v>157</v>
      </c>
      <c r="E222" s="39"/>
      <c r="F222" s="39" t="s">
        <v>156</v>
      </c>
      <c r="G222" s="39"/>
      <c r="H222" s="39" t="s">
        <v>49</v>
      </c>
      <c r="I222" s="116">
        <f>E222*G222</f>
        <v>0</v>
      </c>
      <c r="J222" s="123"/>
      <c r="K222" s="123"/>
      <c r="L222" s="123"/>
    </row>
    <row r="223" spans="2:15" ht="18" customHeight="1">
      <c r="B223" s="117" t="s">
        <v>152</v>
      </c>
      <c r="C223" s="122">
        <f>材料价格!B9</f>
        <v>2900</v>
      </c>
      <c r="D223" s="39" t="s">
        <v>158</v>
      </c>
      <c r="E223" s="114">
        <f>SUM(E218:E220)</f>
        <v>28.234020800000003</v>
      </c>
      <c r="F223" s="39"/>
      <c r="G223" s="39" t="s">
        <v>339</v>
      </c>
      <c r="H223" s="39"/>
      <c r="I223" s="234">
        <f>SUM(I218:I222)+C215</f>
        <v>1342.5066443599999</v>
      </c>
      <c r="J223" s="123"/>
      <c r="K223" s="123"/>
      <c r="L223" s="123"/>
    </row>
    <row r="224" spans="2:15" ht="18" customHeight="1">
      <c r="B224" s="23" t="s">
        <v>159</v>
      </c>
      <c r="C224" s="252" t="s">
        <v>113</v>
      </c>
      <c r="D224" s="252" t="s">
        <v>16</v>
      </c>
      <c r="E224" s="252" t="s">
        <v>7</v>
      </c>
      <c r="F224" s="252" t="s">
        <v>8</v>
      </c>
      <c r="G224" s="252" t="s">
        <v>28</v>
      </c>
      <c r="H224" s="252" t="s">
        <v>160</v>
      </c>
      <c r="I224" s="25" t="s">
        <v>1</v>
      </c>
      <c r="J224" s="255"/>
      <c r="K224" s="255"/>
      <c r="L224" s="255"/>
      <c r="M224" s="255"/>
    </row>
    <row r="225" spans="2:13" ht="18" customHeight="1">
      <c r="B225" s="124" t="str">
        <f>材料价格!A10</f>
        <v>6单银Low-E+12A+6</v>
      </c>
      <c r="C225" s="253">
        <f t="shared" ref="C225:D229" si="25">D92</f>
        <v>-90</v>
      </c>
      <c r="D225" s="253">
        <f t="shared" si="25"/>
        <v>-90</v>
      </c>
      <c r="E225" s="32">
        <f>C225*D225/10^6</f>
        <v>8.0999999999999996E-3</v>
      </c>
      <c r="F225" s="250">
        <f>G26</f>
        <v>0</v>
      </c>
      <c r="G225" s="125">
        <f>材料价格!B10</f>
        <v>148</v>
      </c>
      <c r="H225" s="250">
        <f>ROUND(E225*G225*F225,2)</f>
        <v>0</v>
      </c>
      <c r="I225" s="247" t="s">
        <v>161</v>
      </c>
      <c r="J225" s="255"/>
      <c r="K225" s="255"/>
      <c r="L225" s="255"/>
      <c r="M225" s="255"/>
    </row>
    <row r="226" spans="2:13" ht="18" customHeight="1">
      <c r="B226" s="124" t="str">
        <f t="shared" ref="B226:B232" si="26">B225</f>
        <v>6单银Low-E+12A+6</v>
      </c>
      <c r="C226" s="253">
        <f t="shared" si="25"/>
        <v>-90</v>
      </c>
      <c r="D226" s="253">
        <f t="shared" si="25"/>
        <v>-90</v>
      </c>
      <c r="E226" s="32">
        <f t="shared" ref="E226:E284" si="27">C226*D226/10^6</f>
        <v>8.0999999999999996E-3</v>
      </c>
      <c r="F226" s="250">
        <f>G27</f>
        <v>0</v>
      </c>
      <c r="G226" s="126">
        <f t="shared" ref="G226:G232" si="28">G225</f>
        <v>148</v>
      </c>
      <c r="H226" s="250">
        <f t="shared" ref="H226:H241" si="29">ROUND(E226*G226*F226,2)</f>
        <v>0</v>
      </c>
      <c r="I226" s="247" t="s">
        <v>162</v>
      </c>
      <c r="J226" s="255"/>
      <c r="K226" s="255"/>
      <c r="L226" s="255"/>
      <c r="M226" s="255"/>
    </row>
    <row r="227" spans="2:13" ht="18" customHeight="1">
      <c r="B227" s="124" t="str">
        <f t="shared" si="26"/>
        <v>6单银Low-E+12A+6</v>
      </c>
      <c r="C227" s="253">
        <f t="shared" si="25"/>
        <v>-90</v>
      </c>
      <c r="D227" s="253">
        <f t="shared" si="25"/>
        <v>-90</v>
      </c>
      <c r="E227" s="32">
        <f t="shared" si="27"/>
        <v>8.0999999999999996E-3</v>
      </c>
      <c r="F227" s="250">
        <f>G28</f>
        <v>0</v>
      </c>
      <c r="G227" s="126">
        <f t="shared" si="28"/>
        <v>148</v>
      </c>
      <c r="H227" s="250">
        <f t="shared" si="29"/>
        <v>0</v>
      </c>
      <c r="I227" s="247" t="s">
        <v>162</v>
      </c>
      <c r="J227" s="255"/>
      <c r="K227" s="255"/>
      <c r="L227" s="255"/>
      <c r="M227" s="255"/>
    </row>
    <row r="228" spans="2:13" ht="18" customHeight="1">
      <c r="B228" s="124" t="str">
        <f t="shared" si="26"/>
        <v>6单银Low-E+12A+6</v>
      </c>
      <c r="C228" s="253">
        <f t="shared" si="25"/>
        <v>-90</v>
      </c>
      <c r="D228" s="253">
        <f t="shared" si="25"/>
        <v>-90</v>
      </c>
      <c r="E228" s="32">
        <f t="shared" si="27"/>
        <v>8.0999999999999996E-3</v>
      </c>
      <c r="F228" s="250">
        <f>G29</f>
        <v>0</v>
      </c>
      <c r="G228" s="126">
        <f t="shared" si="28"/>
        <v>148</v>
      </c>
      <c r="H228" s="250">
        <f t="shared" si="29"/>
        <v>0</v>
      </c>
      <c r="I228" s="247" t="s">
        <v>162</v>
      </c>
      <c r="J228" s="255"/>
      <c r="K228" s="255"/>
      <c r="L228" s="255"/>
      <c r="M228" s="255"/>
    </row>
    <row r="229" spans="2:13" ht="18" customHeight="1">
      <c r="B229" s="124" t="str">
        <f t="shared" si="26"/>
        <v>6单银Low-E+12A+6</v>
      </c>
      <c r="C229" s="253">
        <f t="shared" si="25"/>
        <v>-90</v>
      </c>
      <c r="D229" s="253">
        <f t="shared" si="25"/>
        <v>-90</v>
      </c>
      <c r="E229" s="32">
        <f t="shared" si="27"/>
        <v>8.0999999999999996E-3</v>
      </c>
      <c r="F229" s="250">
        <f>G30</f>
        <v>0</v>
      </c>
      <c r="G229" s="126">
        <f t="shared" si="28"/>
        <v>148</v>
      </c>
      <c r="H229" s="250">
        <f t="shared" si="29"/>
        <v>0</v>
      </c>
      <c r="I229" s="247" t="s">
        <v>162</v>
      </c>
      <c r="J229" s="123"/>
      <c r="K229" s="123"/>
      <c r="L229" s="123"/>
    </row>
    <row r="230" spans="2:13" ht="18" customHeight="1">
      <c r="B230" s="124" t="str">
        <f t="shared" si="26"/>
        <v>6单银Low-E+12A+6</v>
      </c>
      <c r="C230" s="253">
        <f t="shared" ref="C230:D232" si="30">D101</f>
        <v>448</v>
      </c>
      <c r="D230" s="253">
        <f t="shared" si="30"/>
        <v>1176</v>
      </c>
      <c r="E230" s="32">
        <f t="shared" si="27"/>
        <v>0.52684799999999998</v>
      </c>
      <c r="F230" s="250">
        <f>G101</f>
        <v>2</v>
      </c>
      <c r="G230" s="126">
        <f t="shared" si="28"/>
        <v>148</v>
      </c>
      <c r="H230" s="250">
        <f t="shared" si="29"/>
        <v>155.94999999999999</v>
      </c>
      <c r="I230" s="127" t="s">
        <v>163</v>
      </c>
      <c r="J230" s="123"/>
      <c r="K230" s="123"/>
      <c r="L230" s="123"/>
    </row>
    <row r="231" spans="2:13" ht="18" customHeight="1">
      <c r="B231" s="124" t="str">
        <f t="shared" si="26"/>
        <v>6单银Low-E+12A+6</v>
      </c>
      <c r="C231" s="253">
        <f t="shared" si="30"/>
        <v>-122</v>
      </c>
      <c r="D231" s="253">
        <f t="shared" si="30"/>
        <v>-122</v>
      </c>
      <c r="E231" s="32">
        <f t="shared" si="27"/>
        <v>1.4884E-2</v>
      </c>
      <c r="F231" s="250">
        <f>G102</f>
        <v>0</v>
      </c>
      <c r="G231" s="126">
        <f t="shared" si="28"/>
        <v>148</v>
      </c>
      <c r="H231" s="250">
        <f t="shared" si="29"/>
        <v>0</v>
      </c>
      <c r="I231" s="127" t="s">
        <v>163</v>
      </c>
    </row>
    <row r="232" spans="2:13" ht="18" customHeight="1">
      <c r="B232" s="124" t="str">
        <f t="shared" si="26"/>
        <v>6单银Low-E+12A+6</v>
      </c>
      <c r="C232" s="253">
        <f t="shared" si="30"/>
        <v>-122</v>
      </c>
      <c r="D232" s="253">
        <f t="shared" si="30"/>
        <v>-122</v>
      </c>
      <c r="E232" s="32">
        <f t="shared" si="27"/>
        <v>1.4884E-2</v>
      </c>
      <c r="F232" s="250">
        <f>G103</f>
        <v>0</v>
      </c>
      <c r="G232" s="126">
        <f t="shared" si="28"/>
        <v>148</v>
      </c>
      <c r="H232" s="250">
        <f t="shared" si="29"/>
        <v>0</v>
      </c>
      <c r="I232" s="127" t="s">
        <v>163</v>
      </c>
    </row>
    <row r="233" spans="2:13" ht="18" customHeight="1">
      <c r="B233" s="48" t="s">
        <v>164</v>
      </c>
      <c r="C233" s="52"/>
      <c r="D233" s="50"/>
      <c r="E233" s="128"/>
      <c r="F233" s="50">
        <f>SUM(F225:F232)</f>
        <v>2</v>
      </c>
      <c r="G233" s="50"/>
      <c r="H233" s="52">
        <f>SUM(H225:H232)</f>
        <v>155.94999999999999</v>
      </c>
      <c r="I233" s="53">
        <f>ROUND((E225*F225+E226*F226+E227*F227+E228*F228+E229*F229+E230*F230+E231*F231+E232*F232),2)</f>
        <v>1.05</v>
      </c>
    </row>
    <row r="234" spans="2:13" ht="18" customHeight="1">
      <c r="B234" s="124" t="str">
        <f>B232</f>
        <v>6单银Low-E+12A+6</v>
      </c>
      <c r="C234" s="253">
        <f>C225</f>
        <v>-90</v>
      </c>
      <c r="D234" s="253">
        <f>D225</f>
        <v>-90</v>
      </c>
      <c r="E234" s="32">
        <f t="shared" si="27"/>
        <v>8.0999999999999996E-3</v>
      </c>
      <c r="F234" s="250">
        <f>IF(F225=0,G26,0)</f>
        <v>0</v>
      </c>
      <c r="G234" s="126">
        <f>G232</f>
        <v>148</v>
      </c>
      <c r="H234" s="250">
        <f t="shared" si="29"/>
        <v>0</v>
      </c>
      <c r="I234" s="247" t="s">
        <v>165</v>
      </c>
      <c r="J234" s="129"/>
    </row>
    <row r="235" spans="2:13" ht="18" customHeight="1">
      <c r="B235" s="124" t="str">
        <f t="shared" ref="B235:B241" si="31">B234</f>
        <v>6单银Low-E+12A+6</v>
      </c>
      <c r="C235" s="253">
        <f t="shared" ref="C235:D241" si="32">C226</f>
        <v>-90</v>
      </c>
      <c r="D235" s="253">
        <f t="shared" si="32"/>
        <v>-90</v>
      </c>
      <c r="E235" s="32">
        <f t="shared" si="27"/>
        <v>8.0999999999999996E-3</v>
      </c>
      <c r="F235" s="250">
        <f>IF(F226=0,G27,0)</f>
        <v>0</v>
      </c>
      <c r="G235" s="126">
        <f>G234</f>
        <v>148</v>
      </c>
      <c r="H235" s="250">
        <f t="shared" si="29"/>
        <v>0</v>
      </c>
      <c r="I235" s="247" t="s">
        <v>165</v>
      </c>
      <c r="J235" s="129"/>
    </row>
    <row r="236" spans="2:13" ht="18" customHeight="1">
      <c r="B236" s="124" t="str">
        <f t="shared" si="31"/>
        <v>6单银Low-E+12A+6</v>
      </c>
      <c r="C236" s="253">
        <f t="shared" si="32"/>
        <v>-90</v>
      </c>
      <c r="D236" s="253">
        <f t="shared" si="32"/>
        <v>-90</v>
      </c>
      <c r="E236" s="32">
        <f t="shared" si="27"/>
        <v>8.0999999999999996E-3</v>
      </c>
      <c r="F236" s="250">
        <f>IF(F227=0,G28,0)</f>
        <v>0</v>
      </c>
      <c r="G236" s="126">
        <f t="shared" ref="G236:G241" si="33">G234</f>
        <v>148</v>
      </c>
      <c r="H236" s="250">
        <f t="shared" si="29"/>
        <v>0</v>
      </c>
      <c r="I236" s="247" t="s">
        <v>165</v>
      </c>
      <c r="J236" s="129"/>
    </row>
    <row r="237" spans="2:13" ht="18" customHeight="1">
      <c r="B237" s="124" t="str">
        <f t="shared" si="31"/>
        <v>6单银Low-E+12A+6</v>
      </c>
      <c r="C237" s="253">
        <f t="shared" si="32"/>
        <v>-90</v>
      </c>
      <c r="D237" s="253">
        <f t="shared" si="32"/>
        <v>-90</v>
      </c>
      <c r="E237" s="32">
        <f t="shared" si="27"/>
        <v>8.0999999999999996E-3</v>
      </c>
      <c r="F237" s="250">
        <f>IF(F228=0,G29,0)</f>
        <v>0</v>
      </c>
      <c r="G237" s="126">
        <f t="shared" si="33"/>
        <v>148</v>
      </c>
      <c r="H237" s="250">
        <f t="shared" si="29"/>
        <v>0</v>
      </c>
      <c r="I237" s="247" t="s">
        <v>165</v>
      </c>
      <c r="J237" s="129"/>
    </row>
    <row r="238" spans="2:13" ht="18" customHeight="1">
      <c r="B238" s="124" t="str">
        <f t="shared" si="31"/>
        <v>6单银Low-E+12A+6</v>
      </c>
      <c r="C238" s="253">
        <f t="shared" si="32"/>
        <v>-90</v>
      </c>
      <c r="D238" s="253">
        <f t="shared" si="32"/>
        <v>-90</v>
      </c>
      <c r="E238" s="32">
        <f t="shared" si="27"/>
        <v>8.0999999999999996E-3</v>
      </c>
      <c r="F238" s="250">
        <f>IF(F229=0,G30,0)</f>
        <v>0</v>
      </c>
      <c r="G238" s="126">
        <f t="shared" si="33"/>
        <v>148</v>
      </c>
      <c r="H238" s="250">
        <f t="shared" si="29"/>
        <v>0</v>
      </c>
      <c r="I238" s="247" t="s">
        <v>165</v>
      </c>
      <c r="J238" s="129"/>
    </row>
    <row r="239" spans="2:13" ht="18" customHeight="1">
      <c r="B239" s="124" t="str">
        <f t="shared" si="31"/>
        <v>6单银Low-E+12A+6</v>
      </c>
      <c r="C239" s="253">
        <f t="shared" si="32"/>
        <v>448</v>
      </c>
      <c r="D239" s="253">
        <f t="shared" si="32"/>
        <v>1176</v>
      </c>
      <c r="E239" s="32">
        <f t="shared" si="27"/>
        <v>0.52684799999999998</v>
      </c>
      <c r="F239" s="250">
        <f>IF(F230=0,G35,0)</f>
        <v>0</v>
      </c>
      <c r="G239" s="126">
        <f t="shared" si="33"/>
        <v>148</v>
      </c>
      <c r="H239" s="250">
        <f t="shared" si="29"/>
        <v>0</v>
      </c>
      <c r="I239" s="127" t="s">
        <v>166</v>
      </c>
      <c r="J239" s="129"/>
    </row>
    <row r="240" spans="2:13" ht="18" customHeight="1">
      <c r="B240" s="124" t="str">
        <f t="shared" si="31"/>
        <v>6单银Low-E+12A+6</v>
      </c>
      <c r="C240" s="253">
        <f t="shared" si="32"/>
        <v>-122</v>
      </c>
      <c r="D240" s="253">
        <f t="shared" si="32"/>
        <v>-122</v>
      </c>
      <c r="E240" s="32">
        <f t="shared" si="27"/>
        <v>1.4884E-2</v>
      </c>
      <c r="F240" s="250">
        <f>IF(F231=0,G36,0)</f>
        <v>0</v>
      </c>
      <c r="G240" s="126">
        <f t="shared" si="33"/>
        <v>148</v>
      </c>
      <c r="H240" s="250">
        <f t="shared" si="29"/>
        <v>0</v>
      </c>
      <c r="I240" s="127" t="s">
        <v>166</v>
      </c>
      <c r="J240" s="129"/>
    </row>
    <row r="241" spans="1:16" ht="18" customHeight="1">
      <c r="B241" s="124" t="str">
        <f t="shared" si="31"/>
        <v>6单银Low-E+12A+6</v>
      </c>
      <c r="C241" s="253">
        <f t="shared" si="32"/>
        <v>-122</v>
      </c>
      <c r="D241" s="253">
        <f t="shared" si="32"/>
        <v>-122</v>
      </c>
      <c r="E241" s="32">
        <f t="shared" si="27"/>
        <v>1.4884E-2</v>
      </c>
      <c r="F241" s="250">
        <f>IF(F232=0,G37,0)</f>
        <v>0</v>
      </c>
      <c r="G241" s="126">
        <f t="shared" si="33"/>
        <v>148</v>
      </c>
      <c r="H241" s="250">
        <f t="shared" si="29"/>
        <v>0</v>
      </c>
      <c r="I241" s="127" t="s">
        <v>166</v>
      </c>
      <c r="J241" s="129"/>
    </row>
    <row r="242" spans="1:16" s="43" customFormat="1" ht="18" customHeight="1">
      <c r="A242" s="1"/>
      <c r="B242" s="48" t="s">
        <v>167</v>
      </c>
      <c r="C242" s="52"/>
      <c r="D242" s="50"/>
      <c r="E242" s="128"/>
      <c r="F242" s="50">
        <f>SUM(F234:F241)</f>
        <v>0</v>
      </c>
      <c r="G242" s="50"/>
      <c r="H242" s="52">
        <f>SUM(H234:H241)</f>
        <v>0</v>
      </c>
      <c r="I242" s="53">
        <f>ROUND(SUMPRODUCT(E234:E241*F234:F241),2)</f>
        <v>0</v>
      </c>
      <c r="J242" s="129"/>
      <c r="N242" s="255"/>
      <c r="O242" s="255"/>
      <c r="P242" s="255"/>
    </row>
    <row r="243" spans="1:16" s="43" customFormat="1" ht="18" customHeight="1">
      <c r="A243" s="1"/>
      <c r="B243" s="124" t="str">
        <f>B240</f>
        <v>6单银Low-E+12A+6</v>
      </c>
      <c r="C243" s="253">
        <f t="shared" ref="C243:D249" si="34">D68-12</f>
        <v>-12</v>
      </c>
      <c r="D243" s="253">
        <f t="shared" si="34"/>
        <v>-12</v>
      </c>
      <c r="E243" s="32">
        <f t="shared" si="27"/>
        <v>1.44E-4</v>
      </c>
      <c r="F243" s="82">
        <f t="shared" ref="F243:F249" si="35">G68</f>
        <v>0</v>
      </c>
      <c r="G243" s="130">
        <f>G241</f>
        <v>148</v>
      </c>
      <c r="H243" s="250">
        <f t="shared" ref="H243:H249" si="36">ROUND(E243*G243*F243,2)</f>
        <v>0</v>
      </c>
      <c r="I243" s="247" t="s">
        <v>168</v>
      </c>
      <c r="J243" s="129"/>
      <c r="N243" s="255"/>
      <c r="O243" s="255"/>
      <c r="P243" s="255"/>
    </row>
    <row r="244" spans="1:16" s="43" customFormat="1" ht="18" customHeight="1">
      <c r="A244" s="1"/>
      <c r="B244" s="124" t="str">
        <f t="shared" ref="B244:B249" si="37">B243</f>
        <v>6单银Low-E+12A+6</v>
      </c>
      <c r="C244" s="253">
        <f t="shared" si="34"/>
        <v>-12</v>
      </c>
      <c r="D244" s="253">
        <f t="shared" si="34"/>
        <v>-12</v>
      </c>
      <c r="E244" s="32">
        <f t="shared" si="27"/>
        <v>1.44E-4</v>
      </c>
      <c r="F244" s="82">
        <f t="shared" si="35"/>
        <v>0</v>
      </c>
      <c r="G244" s="130">
        <f t="shared" ref="G244:G249" si="38">G243</f>
        <v>148</v>
      </c>
      <c r="H244" s="250">
        <f t="shared" si="36"/>
        <v>0</v>
      </c>
      <c r="I244" s="247" t="s">
        <v>168</v>
      </c>
      <c r="J244" s="129"/>
      <c r="N244" s="255"/>
      <c r="O244" s="255"/>
      <c r="P244" s="255"/>
    </row>
    <row r="245" spans="1:16" s="43" customFormat="1" ht="18" customHeight="1">
      <c r="A245" s="1"/>
      <c r="B245" s="124" t="str">
        <f t="shared" si="37"/>
        <v>6单银Low-E+12A+6</v>
      </c>
      <c r="C245" s="253">
        <f t="shared" si="34"/>
        <v>-12</v>
      </c>
      <c r="D245" s="253">
        <f t="shared" si="34"/>
        <v>-12</v>
      </c>
      <c r="E245" s="32">
        <f t="shared" si="27"/>
        <v>1.44E-4</v>
      </c>
      <c r="F245" s="82">
        <f t="shared" si="35"/>
        <v>0</v>
      </c>
      <c r="G245" s="130">
        <f t="shared" si="38"/>
        <v>148</v>
      </c>
      <c r="H245" s="250">
        <f t="shared" si="36"/>
        <v>0</v>
      </c>
      <c r="I245" s="247" t="s">
        <v>168</v>
      </c>
      <c r="J245" s="129"/>
      <c r="N245" s="255"/>
      <c r="O245" s="255"/>
      <c r="P245" s="255"/>
    </row>
    <row r="246" spans="1:16" s="43" customFormat="1" ht="18" customHeight="1">
      <c r="A246" s="1"/>
      <c r="B246" s="124" t="str">
        <f t="shared" si="37"/>
        <v>6单银Low-E+12A+6</v>
      </c>
      <c r="C246" s="253">
        <f t="shared" si="34"/>
        <v>-12</v>
      </c>
      <c r="D246" s="253">
        <f t="shared" si="34"/>
        <v>-12</v>
      </c>
      <c r="E246" s="32">
        <f t="shared" si="27"/>
        <v>1.44E-4</v>
      </c>
      <c r="F246" s="82">
        <f t="shared" si="35"/>
        <v>0</v>
      </c>
      <c r="G246" s="130">
        <f t="shared" si="38"/>
        <v>148</v>
      </c>
      <c r="H246" s="250">
        <f t="shared" si="36"/>
        <v>0</v>
      </c>
      <c r="I246" s="247" t="s">
        <v>168</v>
      </c>
      <c r="J246" s="129"/>
      <c r="N246" s="255"/>
      <c r="O246" s="255"/>
      <c r="P246" s="255"/>
    </row>
    <row r="247" spans="1:16" s="43" customFormat="1" ht="18" customHeight="1">
      <c r="A247" s="1"/>
      <c r="B247" s="124" t="str">
        <f t="shared" si="37"/>
        <v>6单银Low-E+12A+6</v>
      </c>
      <c r="C247" s="253">
        <f t="shared" si="34"/>
        <v>-12</v>
      </c>
      <c r="D247" s="253">
        <f t="shared" si="34"/>
        <v>-12</v>
      </c>
      <c r="E247" s="32">
        <f t="shared" si="27"/>
        <v>1.44E-4</v>
      </c>
      <c r="F247" s="82">
        <f t="shared" si="35"/>
        <v>0</v>
      </c>
      <c r="G247" s="130">
        <f t="shared" si="38"/>
        <v>148</v>
      </c>
      <c r="H247" s="250">
        <f t="shared" si="36"/>
        <v>0</v>
      </c>
      <c r="I247" s="247" t="s">
        <v>168</v>
      </c>
      <c r="J247" s="129"/>
      <c r="N247" s="255"/>
      <c r="O247" s="255"/>
      <c r="P247" s="255"/>
    </row>
    <row r="248" spans="1:16" s="43" customFormat="1" ht="18" customHeight="1">
      <c r="A248" s="1"/>
      <c r="B248" s="124" t="str">
        <f t="shared" si="37"/>
        <v>6单银Low-E+12A+6</v>
      </c>
      <c r="C248" s="253">
        <f t="shared" si="34"/>
        <v>-12</v>
      </c>
      <c r="D248" s="253">
        <f t="shared" si="34"/>
        <v>-12</v>
      </c>
      <c r="E248" s="32">
        <f t="shared" si="27"/>
        <v>1.44E-4</v>
      </c>
      <c r="F248" s="82">
        <f t="shared" si="35"/>
        <v>0</v>
      </c>
      <c r="G248" s="130">
        <f t="shared" si="38"/>
        <v>148</v>
      </c>
      <c r="H248" s="250">
        <f t="shared" si="36"/>
        <v>0</v>
      </c>
      <c r="I248" s="247" t="s">
        <v>168</v>
      </c>
      <c r="J248" s="129"/>
      <c r="N248" s="255"/>
      <c r="O248" s="255"/>
      <c r="P248" s="255"/>
    </row>
    <row r="249" spans="1:16" s="43" customFormat="1" ht="18" customHeight="1">
      <c r="A249" s="1"/>
      <c r="B249" s="124" t="str">
        <f t="shared" si="37"/>
        <v>6单银Low-E+12A+6</v>
      </c>
      <c r="C249" s="253">
        <f t="shared" si="34"/>
        <v>-12</v>
      </c>
      <c r="D249" s="253">
        <f t="shared" si="34"/>
        <v>-12</v>
      </c>
      <c r="E249" s="32">
        <f t="shared" si="27"/>
        <v>1.44E-4</v>
      </c>
      <c r="F249" s="82">
        <f t="shared" si="35"/>
        <v>0</v>
      </c>
      <c r="G249" s="130">
        <f t="shared" si="38"/>
        <v>148</v>
      </c>
      <c r="H249" s="250">
        <f t="shared" si="36"/>
        <v>0</v>
      </c>
      <c r="I249" s="247" t="s">
        <v>168</v>
      </c>
      <c r="J249" s="129"/>
      <c r="N249" s="255"/>
      <c r="O249" s="255"/>
      <c r="P249" s="255"/>
    </row>
    <row r="250" spans="1:16" s="43" customFormat="1" ht="18" customHeight="1">
      <c r="A250" s="1"/>
      <c r="B250" s="131" t="str">
        <f>B246</f>
        <v>6单银Low-E+12A+6</v>
      </c>
      <c r="C250" s="52"/>
      <c r="D250" s="50"/>
      <c r="E250" s="128"/>
      <c r="F250" s="50">
        <f>SUM(F243:F249)</f>
        <v>0</v>
      </c>
      <c r="G250" s="50"/>
      <c r="H250" s="52">
        <f>SUM(H243:H249)</f>
        <v>0</v>
      </c>
      <c r="I250" s="53">
        <f>ROUND((E243*F243+E244*F244+E245*F245+E246*F246+E247*F247+E248*F248+E249*F249),2)</f>
        <v>0</v>
      </c>
      <c r="J250" s="43">
        <f>(I242+I258+I273+I280)</f>
        <v>0</v>
      </c>
      <c r="N250" s="255"/>
      <c r="O250" s="255"/>
      <c r="P250" s="255"/>
    </row>
    <row r="251" spans="1:16" s="43" customFormat="1" ht="18" customHeight="1">
      <c r="A251" s="1"/>
      <c r="B251" s="124" t="str">
        <f>B249</f>
        <v>6单银Low-E+12A+6</v>
      </c>
      <c r="C251" s="253">
        <f t="shared" ref="C251:D257" si="39">D75-12</f>
        <v>-12</v>
      </c>
      <c r="D251" s="253">
        <f t="shared" si="39"/>
        <v>-12</v>
      </c>
      <c r="E251" s="32">
        <f t="shared" si="27"/>
        <v>1.44E-4</v>
      </c>
      <c r="F251" s="82">
        <f t="shared" ref="F251:F257" si="40">G75</f>
        <v>0</v>
      </c>
      <c r="G251" s="130">
        <f>G249</f>
        <v>148</v>
      </c>
      <c r="H251" s="250">
        <f>ROUND(E251*G251*F251,2)</f>
        <v>0</v>
      </c>
      <c r="I251" s="132" t="s">
        <v>169</v>
      </c>
      <c r="N251" s="255"/>
      <c r="O251" s="255"/>
      <c r="P251" s="255"/>
    </row>
    <row r="252" spans="1:16" s="43" customFormat="1" ht="18" customHeight="1">
      <c r="A252" s="1"/>
      <c r="B252" s="124" t="str">
        <f t="shared" ref="B252:B257" si="41">B251</f>
        <v>6单银Low-E+12A+6</v>
      </c>
      <c r="C252" s="253">
        <f t="shared" si="39"/>
        <v>-12</v>
      </c>
      <c r="D252" s="253">
        <f t="shared" si="39"/>
        <v>-12</v>
      </c>
      <c r="E252" s="32">
        <f t="shared" si="27"/>
        <v>1.44E-4</v>
      </c>
      <c r="F252" s="82">
        <f t="shared" si="40"/>
        <v>0</v>
      </c>
      <c r="G252" s="130">
        <f t="shared" ref="G252:G257" si="42">G251</f>
        <v>148</v>
      </c>
      <c r="H252" s="250">
        <f t="shared" ref="H252:H264" si="43">ROUND(E252*G252*F252,2)</f>
        <v>0</v>
      </c>
      <c r="I252" s="132" t="str">
        <f t="shared" ref="I252:I257" si="44">I251</f>
        <v>固定钢化中空</v>
      </c>
      <c r="N252" s="255"/>
      <c r="O252" s="255"/>
      <c r="P252" s="255"/>
    </row>
    <row r="253" spans="1:16" s="43" customFormat="1" ht="18" customHeight="1">
      <c r="A253" s="1"/>
      <c r="B253" s="124" t="str">
        <f t="shared" si="41"/>
        <v>6单银Low-E+12A+6</v>
      </c>
      <c r="C253" s="253">
        <f t="shared" si="39"/>
        <v>-12</v>
      </c>
      <c r="D253" s="253">
        <f t="shared" si="39"/>
        <v>-12</v>
      </c>
      <c r="E253" s="32">
        <f t="shared" si="27"/>
        <v>1.44E-4</v>
      </c>
      <c r="F253" s="82">
        <f t="shared" si="40"/>
        <v>0</v>
      </c>
      <c r="G253" s="130">
        <f t="shared" si="42"/>
        <v>148</v>
      </c>
      <c r="H253" s="250">
        <f t="shared" si="43"/>
        <v>0</v>
      </c>
      <c r="I253" s="132" t="str">
        <f t="shared" si="44"/>
        <v>固定钢化中空</v>
      </c>
      <c r="N253" s="255"/>
      <c r="O253" s="255"/>
      <c r="P253" s="255"/>
    </row>
    <row r="254" spans="1:16" s="43" customFormat="1" ht="18" customHeight="1">
      <c r="A254" s="1"/>
      <c r="B254" s="124" t="str">
        <f t="shared" si="41"/>
        <v>6单银Low-E+12A+6</v>
      </c>
      <c r="C254" s="253">
        <f t="shared" si="39"/>
        <v>-12</v>
      </c>
      <c r="D254" s="253">
        <f t="shared" si="39"/>
        <v>-12</v>
      </c>
      <c r="E254" s="32">
        <f t="shared" si="27"/>
        <v>1.44E-4</v>
      </c>
      <c r="F254" s="82">
        <f t="shared" si="40"/>
        <v>0</v>
      </c>
      <c r="G254" s="130">
        <f t="shared" si="42"/>
        <v>148</v>
      </c>
      <c r="H254" s="250">
        <f t="shared" si="43"/>
        <v>0</v>
      </c>
      <c r="I254" s="132" t="str">
        <f t="shared" si="44"/>
        <v>固定钢化中空</v>
      </c>
      <c r="J254" s="42"/>
      <c r="N254" s="255"/>
      <c r="O254" s="255"/>
      <c r="P254" s="255"/>
    </row>
    <row r="255" spans="1:16" s="43" customFormat="1" ht="18" customHeight="1">
      <c r="A255" s="1"/>
      <c r="B255" s="124" t="str">
        <f t="shared" si="41"/>
        <v>6单银Low-E+12A+6</v>
      </c>
      <c r="C255" s="253">
        <f t="shared" si="39"/>
        <v>-12</v>
      </c>
      <c r="D255" s="253">
        <f t="shared" si="39"/>
        <v>-12</v>
      </c>
      <c r="E255" s="32">
        <f t="shared" si="27"/>
        <v>1.44E-4</v>
      </c>
      <c r="F255" s="82">
        <f t="shared" si="40"/>
        <v>0</v>
      </c>
      <c r="G255" s="130">
        <f t="shared" si="42"/>
        <v>148</v>
      </c>
      <c r="H255" s="250">
        <f t="shared" si="43"/>
        <v>0</v>
      </c>
      <c r="I255" s="132" t="str">
        <f t="shared" si="44"/>
        <v>固定钢化中空</v>
      </c>
      <c r="N255" s="255"/>
      <c r="O255" s="255"/>
      <c r="P255" s="255"/>
    </row>
    <row r="256" spans="1:16" s="43" customFormat="1" ht="18" customHeight="1">
      <c r="A256" s="1"/>
      <c r="B256" s="124" t="str">
        <f t="shared" si="41"/>
        <v>6单银Low-E+12A+6</v>
      </c>
      <c r="C256" s="253">
        <f t="shared" si="39"/>
        <v>-12</v>
      </c>
      <c r="D256" s="253">
        <f t="shared" si="39"/>
        <v>-12</v>
      </c>
      <c r="E256" s="32">
        <f t="shared" si="27"/>
        <v>1.44E-4</v>
      </c>
      <c r="F256" s="82">
        <f t="shared" si="40"/>
        <v>0</v>
      </c>
      <c r="G256" s="130">
        <f t="shared" si="42"/>
        <v>148</v>
      </c>
      <c r="H256" s="250">
        <f t="shared" si="43"/>
        <v>0</v>
      </c>
      <c r="I256" s="132" t="str">
        <f t="shared" si="44"/>
        <v>固定钢化中空</v>
      </c>
      <c r="N256" s="255"/>
      <c r="O256" s="255"/>
      <c r="P256" s="255"/>
    </row>
    <row r="257" spans="1:16" s="43" customFormat="1" ht="18" customHeight="1">
      <c r="A257" s="1"/>
      <c r="B257" s="124" t="str">
        <f t="shared" si="41"/>
        <v>6单银Low-E+12A+6</v>
      </c>
      <c r="C257" s="253">
        <f t="shared" si="39"/>
        <v>-12</v>
      </c>
      <c r="D257" s="253">
        <f t="shared" si="39"/>
        <v>-12</v>
      </c>
      <c r="E257" s="32">
        <f t="shared" si="27"/>
        <v>1.44E-4</v>
      </c>
      <c r="F257" s="82">
        <f t="shared" si="40"/>
        <v>0</v>
      </c>
      <c r="G257" s="130">
        <f t="shared" si="42"/>
        <v>148</v>
      </c>
      <c r="H257" s="250">
        <f t="shared" si="43"/>
        <v>0</v>
      </c>
      <c r="I257" s="132" t="str">
        <f t="shared" si="44"/>
        <v>固定钢化中空</v>
      </c>
      <c r="N257" s="255"/>
      <c r="O257" s="255"/>
      <c r="P257" s="255"/>
    </row>
    <row r="258" spans="1:16" s="43" customFormat="1" ht="18" customHeight="1">
      <c r="A258" s="1"/>
      <c r="B258" s="48" t="s">
        <v>170</v>
      </c>
      <c r="C258" s="52"/>
      <c r="D258" s="50"/>
      <c r="E258" s="128"/>
      <c r="F258" s="50">
        <f>SUM(F251:F257)</f>
        <v>0</v>
      </c>
      <c r="G258" s="50"/>
      <c r="H258" s="52">
        <f>SUM(H251:H257)</f>
        <v>0</v>
      </c>
      <c r="I258" s="53">
        <f>ROUND((E251*F251+E252*F252+E253*F253+E254*F254+E255*F255+E256*F256+E257*F257),2)</f>
        <v>0</v>
      </c>
      <c r="N258" s="255"/>
      <c r="O258" s="255"/>
      <c r="P258" s="255"/>
    </row>
    <row r="259" spans="1:16" s="43" customFormat="1" ht="18" customHeight="1">
      <c r="A259" s="1"/>
      <c r="B259" s="124" t="str">
        <f>B257</f>
        <v>6单银Low-E+12A+6</v>
      </c>
      <c r="C259" s="253">
        <f t="shared" ref="C259:D264" si="45">D82-12</f>
        <v>-12</v>
      </c>
      <c r="D259" s="253">
        <f t="shared" si="45"/>
        <v>-12</v>
      </c>
      <c r="E259" s="32">
        <f t="shared" si="27"/>
        <v>1.44E-4</v>
      </c>
      <c r="F259" s="82">
        <f t="shared" ref="F259:F264" si="46">G82</f>
        <v>0</v>
      </c>
      <c r="G259" s="130">
        <f>G257</f>
        <v>148</v>
      </c>
      <c r="H259" s="250">
        <f t="shared" si="43"/>
        <v>0</v>
      </c>
      <c r="I259" s="247" t="s">
        <v>171</v>
      </c>
      <c r="N259" s="255"/>
      <c r="O259" s="255"/>
      <c r="P259" s="255"/>
    </row>
    <row r="260" spans="1:16" s="43" customFormat="1" ht="18" customHeight="1">
      <c r="A260" s="1"/>
      <c r="B260" s="124" t="str">
        <f>B259</f>
        <v>6单银Low-E+12A+6</v>
      </c>
      <c r="C260" s="253">
        <f t="shared" si="45"/>
        <v>-12</v>
      </c>
      <c r="D260" s="253">
        <f t="shared" si="45"/>
        <v>-12</v>
      </c>
      <c r="E260" s="32">
        <f t="shared" si="27"/>
        <v>1.44E-4</v>
      </c>
      <c r="F260" s="82">
        <f t="shared" si="46"/>
        <v>0</v>
      </c>
      <c r="G260" s="130">
        <f>G259</f>
        <v>148</v>
      </c>
      <c r="H260" s="250">
        <f t="shared" si="43"/>
        <v>0</v>
      </c>
      <c r="I260" s="247" t="s">
        <v>171</v>
      </c>
      <c r="N260" s="255"/>
      <c r="O260" s="255"/>
      <c r="P260" s="255"/>
    </row>
    <row r="261" spans="1:16" s="43" customFormat="1" ht="18" customHeight="1">
      <c r="A261" s="1"/>
      <c r="B261" s="124" t="str">
        <f>B260</f>
        <v>6单银Low-E+12A+6</v>
      </c>
      <c r="C261" s="253">
        <f t="shared" si="45"/>
        <v>-12</v>
      </c>
      <c r="D261" s="253">
        <f t="shared" si="45"/>
        <v>-12</v>
      </c>
      <c r="E261" s="32">
        <f t="shared" si="27"/>
        <v>1.44E-4</v>
      </c>
      <c r="F261" s="82">
        <f t="shared" si="46"/>
        <v>0</v>
      </c>
      <c r="G261" s="130">
        <f>G260</f>
        <v>148</v>
      </c>
      <c r="H261" s="250">
        <f t="shared" si="43"/>
        <v>0</v>
      </c>
      <c r="I261" s="247" t="s">
        <v>171</v>
      </c>
      <c r="N261" s="255"/>
      <c r="O261" s="255"/>
      <c r="P261" s="255"/>
    </row>
    <row r="262" spans="1:16" s="43" customFormat="1" ht="18" customHeight="1">
      <c r="A262" s="1"/>
      <c r="B262" s="124" t="str">
        <f>B261</f>
        <v>6单银Low-E+12A+6</v>
      </c>
      <c r="C262" s="253">
        <f t="shared" si="45"/>
        <v>-12</v>
      </c>
      <c r="D262" s="253">
        <f t="shared" si="45"/>
        <v>-12</v>
      </c>
      <c r="E262" s="32">
        <f t="shared" si="27"/>
        <v>1.44E-4</v>
      </c>
      <c r="F262" s="82">
        <f t="shared" si="46"/>
        <v>0</v>
      </c>
      <c r="G262" s="130">
        <f>G261</f>
        <v>148</v>
      </c>
      <c r="H262" s="250">
        <f t="shared" si="43"/>
        <v>0</v>
      </c>
      <c r="I262" s="247" t="s">
        <v>171</v>
      </c>
      <c r="N262" s="255"/>
      <c r="O262" s="255"/>
      <c r="P262" s="255"/>
    </row>
    <row r="263" spans="1:16" s="43" customFormat="1" ht="18" customHeight="1">
      <c r="A263" s="1"/>
      <c r="B263" s="124" t="str">
        <f>B262</f>
        <v>6单银Low-E+12A+6</v>
      </c>
      <c r="C263" s="253">
        <f t="shared" si="45"/>
        <v>-12</v>
      </c>
      <c r="D263" s="253">
        <f t="shared" si="45"/>
        <v>-12</v>
      </c>
      <c r="E263" s="32">
        <f t="shared" si="27"/>
        <v>1.44E-4</v>
      </c>
      <c r="F263" s="82">
        <f t="shared" si="46"/>
        <v>0</v>
      </c>
      <c r="G263" s="130">
        <f>G262</f>
        <v>148</v>
      </c>
      <c r="H263" s="250">
        <f t="shared" si="43"/>
        <v>0</v>
      </c>
      <c r="I263" s="247" t="s">
        <v>171</v>
      </c>
      <c r="N263" s="255"/>
      <c r="O263" s="255"/>
      <c r="P263" s="255"/>
    </row>
    <row r="264" spans="1:16" s="43" customFormat="1" ht="18" customHeight="1">
      <c r="A264" s="1"/>
      <c r="B264" s="124" t="str">
        <f>B263</f>
        <v>6单银Low-E+12A+6</v>
      </c>
      <c r="C264" s="253">
        <f t="shared" si="45"/>
        <v>-12</v>
      </c>
      <c r="D264" s="253">
        <f t="shared" si="45"/>
        <v>-12</v>
      </c>
      <c r="E264" s="32">
        <f t="shared" si="27"/>
        <v>1.44E-4</v>
      </c>
      <c r="F264" s="82">
        <f t="shared" si="46"/>
        <v>0</v>
      </c>
      <c r="G264" s="130">
        <f>G263</f>
        <v>148</v>
      </c>
      <c r="H264" s="250">
        <f t="shared" si="43"/>
        <v>0</v>
      </c>
      <c r="I264" s="247" t="s">
        <v>171</v>
      </c>
      <c r="N264" s="255"/>
      <c r="O264" s="255"/>
      <c r="P264" s="255"/>
    </row>
    <row r="265" spans="1:16" s="43" customFormat="1" ht="18" customHeight="1">
      <c r="A265" s="1"/>
      <c r="B265" s="48" t="s">
        <v>172</v>
      </c>
      <c r="C265" s="52"/>
      <c r="D265" s="50"/>
      <c r="E265" s="128"/>
      <c r="F265" s="50">
        <f>SUM(F259:F264)</f>
        <v>0</v>
      </c>
      <c r="G265" s="50"/>
      <c r="H265" s="52">
        <f>SUM(H259:H264)</f>
        <v>0</v>
      </c>
      <c r="I265" s="53">
        <f>ROUND(SUMPRODUCT(E259:E264*F259:F264),2)</f>
        <v>0</v>
      </c>
      <c r="N265" s="255"/>
      <c r="O265" s="255"/>
      <c r="P265" s="255"/>
    </row>
    <row r="266" spans="1:16" s="43" customFormat="1" ht="18" customHeight="1">
      <c r="A266" s="1"/>
      <c r="B266" s="124" t="str">
        <f>B264</f>
        <v>6单银Low-E+12A+6</v>
      </c>
      <c r="C266" s="133">
        <f t="shared" ref="C266:D268" si="47">D143</f>
        <v>-154</v>
      </c>
      <c r="D266" s="133">
        <f t="shared" si="47"/>
        <v>-154</v>
      </c>
      <c r="E266" s="32">
        <f t="shared" si="27"/>
        <v>2.3716000000000001E-2</v>
      </c>
      <c r="F266" s="134">
        <f>G143</f>
        <v>0</v>
      </c>
      <c r="G266" s="135">
        <f>G264</f>
        <v>148</v>
      </c>
      <c r="H266" s="134">
        <f>ROUND(E266*G266*F266,2)</f>
        <v>0</v>
      </c>
      <c r="I266" s="136" t="s">
        <v>173</v>
      </c>
      <c r="N266" s="255"/>
      <c r="O266" s="255"/>
      <c r="P266" s="255"/>
    </row>
    <row r="267" spans="1:16" s="43" customFormat="1" ht="18" customHeight="1">
      <c r="A267" s="1"/>
      <c r="B267" s="124" t="str">
        <f>B264</f>
        <v>6单银Low-E+12A+6</v>
      </c>
      <c r="C267" s="133">
        <f t="shared" si="47"/>
        <v>-154</v>
      </c>
      <c r="D267" s="133">
        <f t="shared" si="47"/>
        <v>-154</v>
      </c>
      <c r="E267" s="32">
        <f t="shared" si="27"/>
        <v>2.3716000000000001E-2</v>
      </c>
      <c r="F267" s="134">
        <f>G144</f>
        <v>0</v>
      </c>
      <c r="G267" s="135">
        <f>G266</f>
        <v>148</v>
      </c>
      <c r="H267" s="134">
        <f>ROUND(E267*G267*F267,2)</f>
        <v>0</v>
      </c>
      <c r="I267" s="136" t="s">
        <v>173</v>
      </c>
      <c r="N267" s="255"/>
      <c r="O267" s="255"/>
      <c r="P267" s="255"/>
    </row>
    <row r="268" spans="1:16" s="43" customFormat="1" ht="18" customHeight="1">
      <c r="A268" s="1"/>
      <c r="B268" s="124" t="str">
        <f>B267</f>
        <v>6单银Low-E+12A+6</v>
      </c>
      <c r="C268" s="133">
        <f t="shared" si="47"/>
        <v>-154</v>
      </c>
      <c r="D268" s="133">
        <f t="shared" si="47"/>
        <v>-154</v>
      </c>
      <c r="E268" s="32">
        <f t="shared" si="27"/>
        <v>2.3716000000000001E-2</v>
      </c>
      <c r="F268" s="134">
        <f>G145</f>
        <v>0</v>
      </c>
      <c r="G268" s="135">
        <f>G267</f>
        <v>148</v>
      </c>
      <c r="H268" s="134">
        <f>ROUND(E268*G268*F268,2)</f>
        <v>0</v>
      </c>
      <c r="I268" s="136" t="s">
        <v>173</v>
      </c>
      <c r="N268" s="255"/>
      <c r="O268" s="255"/>
      <c r="P268" s="255"/>
    </row>
    <row r="269" spans="1:16" s="43" customFormat="1" ht="18" customHeight="1">
      <c r="A269" s="1"/>
      <c r="B269" s="48" t="s">
        <v>174</v>
      </c>
      <c r="C269" s="52"/>
      <c r="D269" s="50"/>
      <c r="E269" s="128"/>
      <c r="F269" s="50">
        <f>SUM(F266:F268)</f>
        <v>0</v>
      </c>
      <c r="G269" s="50"/>
      <c r="H269" s="52">
        <f>SUM(H266:H268)</f>
        <v>0</v>
      </c>
      <c r="I269" s="53">
        <f>ROUND((E266*F266+E267*F267+E268*F268),2)</f>
        <v>0</v>
      </c>
      <c r="N269" s="255"/>
      <c r="O269" s="255"/>
      <c r="P269" s="255"/>
    </row>
    <row r="270" spans="1:16" s="43" customFormat="1" ht="18" customHeight="1">
      <c r="A270" s="1"/>
      <c r="B270" s="124" t="str">
        <f>B268</f>
        <v>6单银Low-E+12A+6</v>
      </c>
      <c r="C270" s="133">
        <f t="shared" ref="C270:D272" si="48">D150</f>
        <v>-160</v>
      </c>
      <c r="D270" s="133">
        <f t="shared" si="48"/>
        <v>-160</v>
      </c>
      <c r="E270" s="32">
        <f t="shared" si="27"/>
        <v>2.5600000000000001E-2</v>
      </c>
      <c r="F270" s="134">
        <f>G150</f>
        <v>0</v>
      </c>
      <c r="G270" s="135">
        <f>G268</f>
        <v>148</v>
      </c>
      <c r="H270" s="134">
        <f>ROUND(E270*G270*F270,2)</f>
        <v>0</v>
      </c>
      <c r="I270" s="136" t="s">
        <v>173</v>
      </c>
      <c r="N270" s="255"/>
      <c r="O270" s="255"/>
      <c r="P270" s="255"/>
    </row>
    <row r="271" spans="1:16" s="43" customFormat="1" ht="18" customHeight="1">
      <c r="A271" s="1"/>
      <c r="B271" s="124" t="str">
        <f>B270</f>
        <v>6单银Low-E+12A+6</v>
      </c>
      <c r="C271" s="133">
        <f t="shared" si="48"/>
        <v>-160</v>
      </c>
      <c r="D271" s="133">
        <f t="shared" si="48"/>
        <v>-160</v>
      </c>
      <c r="E271" s="32">
        <f t="shared" si="27"/>
        <v>2.5600000000000001E-2</v>
      </c>
      <c r="F271" s="134">
        <f>G151</f>
        <v>0</v>
      </c>
      <c r="G271" s="135">
        <f>G270</f>
        <v>148</v>
      </c>
      <c r="H271" s="134">
        <f>ROUND(E271*G271*F271,2)</f>
        <v>0</v>
      </c>
      <c r="I271" s="136" t="s">
        <v>173</v>
      </c>
      <c r="N271" s="255"/>
      <c r="O271" s="255"/>
      <c r="P271" s="255"/>
    </row>
    <row r="272" spans="1:16" s="43" customFormat="1" ht="18" customHeight="1">
      <c r="A272" s="1"/>
      <c r="B272" s="124" t="str">
        <f>B271</f>
        <v>6单银Low-E+12A+6</v>
      </c>
      <c r="C272" s="133">
        <f t="shared" si="48"/>
        <v>-160</v>
      </c>
      <c r="D272" s="133">
        <f t="shared" si="48"/>
        <v>-160</v>
      </c>
      <c r="E272" s="32">
        <f t="shared" si="27"/>
        <v>2.5600000000000001E-2</v>
      </c>
      <c r="F272" s="134">
        <f>G152</f>
        <v>0</v>
      </c>
      <c r="G272" s="135">
        <f>G271</f>
        <v>148</v>
      </c>
      <c r="H272" s="134">
        <f>ROUND(E272*G272*F272,2)</f>
        <v>0</v>
      </c>
      <c r="I272" s="136" t="s">
        <v>173</v>
      </c>
      <c r="N272" s="255"/>
      <c r="O272" s="255"/>
      <c r="P272" s="255"/>
    </row>
    <row r="273" spans="1:16" s="43" customFormat="1" ht="18" customHeight="1">
      <c r="A273" s="1"/>
      <c r="B273" s="48" t="s">
        <v>175</v>
      </c>
      <c r="C273" s="52"/>
      <c r="D273" s="50"/>
      <c r="E273" s="128"/>
      <c r="F273" s="50">
        <f>SUM(F270:F272)</f>
        <v>0</v>
      </c>
      <c r="G273" s="50"/>
      <c r="H273" s="52">
        <f>SUM(H270:H272)</f>
        <v>0</v>
      </c>
      <c r="I273" s="53">
        <f>ROUND((E270*F270+E271*F271+E272*F272),2)</f>
        <v>0</v>
      </c>
      <c r="N273" s="255"/>
      <c r="O273" s="255"/>
      <c r="P273" s="255"/>
    </row>
    <row r="274" spans="1:16" ht="18" customHeight="1">
      <c r="B274" s="124" t="str">
        <f>B272</f>
        <v>6单银Low-E+12A+6</v>
      </c>
      <c r="C274" s="133">
        <f t="shared" ref="C274:D279" si="49">D157-12</f>
        <v>-12</v>
      </c>
      <c r="D274" s="133">
        <f t="shared" si="49"/>
        <v>-12</v>
      </c>
      <c r="E274" s="32">
        <f t="shared" si="27"/>
        <v>1.44E-4</v>
      </c>
      <c r="F274" s="134">
        <f t="shared" ref="F274:F279" si="50">G157</f>
        <v>0</v>
      </c>
      <c r="G274" s="135">
        <f>G272</f>
        <v>148</v>
      </c>
      <c r="H274" s="134">
        <f t="shared" ref="H274:H279" si="51">ROUND(E274*G274*F274,2)</f>
        <v>0</v>
      </c>
      <c r="I274" s="136" t="s">
        <v>176</v>
      </c>
    </row>
    <row r="275" spans="1:16" ht="18" customHeight="1">
      <c r="B275" s="124" t="str">
        <f>B274</f>
        <v>6单银Low-E+12A+6</v>
      </c>
      <c r="C275" s="133">
        <f t="shared" si="49"/>
        <v>-12</v>
      </c>
      <c r="D275" s="133">
        <f t="shared" si="49"/>
        <v>-12</v>
      </c>
      <c r="E275" s="32">
        <f t="shared" si="27"/>
        <v>1.44E-4</v>
      </c>
      <c r="F275" s="134">
        <f t="shared" si="50"/>
        <v>0</v>
      </c>
      <c r="G275" s="135">
        <f>G274</f>
        <v>148</v>
      </c>
      <c r="H275" s="134">
        <f t="shared" si="51"/>
        <v>0</v>
      </c>
      <c r="I275" s="136" t="str">
        <f>I274</f>
        <v>门钢化中空玻璃</v>
      </c>
      <c r="K275" s="43" t="s">
        <v>177</v>
      </c>
    </row>
    <row r="276" spans="1:16" ht="18" customHeight="1">
      <c r="B276" s="124" t="str">
        <f>B275</f>
        <v>6单银Low-E+12A+6</v>
      </c>
      <c r="C276" s="133">
        <f t="shared" si="49"/>
        <v>-12</v>
      </c>
      <c r="D276" s="133">
        <f t="shared" si="49"/>
        <v>-12</v>
      </c>
      <c r="E276" s="32">
        <f t="shared" si="27"/>
        <v>1.44E-4</v>
      </c>
      <c r="F276" s="134">
        <f t="shared" si="50"/>
        <v>0</v>
      </c>
      <c r="G276" s="135">
        <f>G275</f>
        <v>148</v>
      </c>
      <c r="H276" s="134">
        <f t="shared" si="51"/>
        <v>0</v>
      </c>
      <c r="I276" s="136" t="str">
        <f>I275</f>
        <v>门钢化中空玻璃</v>
      </c>
    </row>
    <row r="277" spans="1:16" ht="18" customHeight="1">
      <c r="B277" s="124" t="str">
        <f>B276</f>
        <v>6单银Low-E+12A+6</v>
      </c>
      <c r="C277" s="133">
        <f t="shared" si="49"/>
        <v>-12</v>
      </c>
      <c r="D277" s="133">
        <f t="shared" si="49"/>
        <v>-12</v>
      </c>
      <c r="E277" s="32">
        <f t="shared" si="27"/>
        <v>1.44E-4</v>
      </c>
      <c r="F277" s="134">
        <f t="shared" si="50"/>
        <v>0</v>
      </c>
      <c r="G277" s="135">
        <f>G276</f>
        <v>148</v>
      </c>
      <c r="H277" s="134">
        <f t="shared" si="51"/>
        <v>0</v>
      </c>
      <c r="I277" s="136" t="str">
        <f>I276</f>
        <v>门钢化中空玻璃</v>
      </c>
    </row>
    <row r="278" spans="1:16" ht="18" customHeight="1">
      <c r="B278" s="124" t="str">
        <f>B277</f>
        <v>6单银Low-E+12A+6</v>
      </c>
      <c r="C278" s="133">
        <f t="shared" si="49"/>
        <v>-12</v>
      </c>
      <c r="D278" s="133">
        <f t="shared" si="49"/>
        <v>-12</v>
      </c>
      <c r="E278" s="32">
        <f t="shared" si="27"/>
        <v>1.44E-4</v>
      </c>
      <c r="F278" s="134">
        <f t="shared" si="50"/>
        <v>0</v>
      </c>
      <c r="G278" s="135">
        <f>G277</f>
        <v>148</v>
      </c>
      <c r="H278" s="134">
        <f t="shared" si="51"/>
        <v>0</v>
      </c>
      <c r="I278" s="136" t="str">
        <f>I277</f>
        <v>门钢化中空玻璃</v>
      </c>
    </row>
    <row r="279" spans="1:16" ht="18" customHeight="1">
      <c r="B279" s="124" t="str">
        <f>B278</f>
        <v>6单银Low-E+12A+6</v>
      </c>
      <c r="C279" s="133">
        <f t="shared" si="49"/>
        <v>-12</v>
      </c>
      <c r="D279" s="133">
        <f t="shared" si="49"/>
        <v>-12</v>
      </c>
      <c r="E279" s="32">
        <f t="shared" si="27"/>
        <v>1.44E-4</v>
      </c>
      <c r="F279" s="134">
        <f t="shared" si="50"/>
        <v>0</v>
      </c>
      <c r="G279" s="135">
        <f>G278</f>
        <v>148</v>
      </c>
      <c r="H279" s="134">
        <f t="shared" si="51"/>
        <v>0</v>
      </c>
      <c r="I279" s="136" t="str">
        <f>I278</f>
        <v>门钢化中空玻璃</v>
      </c>
    </row>
    <row r="280" spans="1:16" ht="18" customHeight="1">
      <c r="B280" s="48" t="s">
        <v>178</v>
      </c>
      <c r="C280" s="52"/>
      <c r="D280" s="50"/>
      <c r="E280" s="128"/>
      <c r="F280" s="50">
        <f>SUM(F274:F279)</f>
        <v>0</v>
      </c>
      <c r="G280" s="50"/>
      <c r="H280" s="52">
        <f>SUM(H274:H279)</f>
        <v>0</v>
      </c>
      <c r="I280" s="53">
        <f>ROUND(SUMPRODUCT(E274:E279*F274:F279),2)</f>
        <v>0</v>
      </c>
    </row>
    <row r="281" spans="1:16" ht="18" customHeight="1">
      <c r="B281" s="124" t="str">
        <f>材料价格!A10</f>
        <v>6单银Low-E+12A+6</v>
      </c>
      <c r="C281" s="133">
        <f>C252</f>
        <v>-12</v>
      </c>
      <c r="D281" s="133">
        <f>D252</f>
        <v>-12</v>
      </c>
      <c r="E281" s="32">
        <f t="shared" si="27"/>
        <v>1.44E-4</v>
      </c>
      <c r="F281" s="134"/>
      <c r="G281" s="137">
        <f>材料价格!B10</f>
        <v>148</v>
      </c>
      <c r="H281" s="134">
        <f>ROUND(E281*G281*F281,2)</f>
        <v>0</v>
      </c>
      <c r="I281" s="247" t="s">
        <v>179</v>
      </c>
    </row>
    <row r="282" spans="1:16" ht="18" customHeight="1">
      <c r="B282" s="124" t="str">
        <f>B281</f>
        <v>6单银Low-E+12A+6</v>
      </c>
      <c r="C282" s="133">
        <f>C253</f>
        <v>-12</v>
      </c>
      <c r="D282" s="133">
        <f>D253</f>
        <v>-12</v>
      </c>
      <c r="E282" s="32">
        <f t="shared" si="27"/>
        <v>1.44E-4</v>
      </c>
      <c r="F282" s="134"/>
      <c r="G282" s="135">
        <f>G281</f>
        <v>148</v>
      </c>
      <c r="H282" s="134">
        <f>ROUND(E282*G282*F282,2)</f>
        <v>0</v>
      </c>
      <c r="I282" s="247" t="s">
        <v>179</v>
      </c>
      <c r="J282" s="255"/>
      <c r="K282" s="255"/>
      <c r="L282" s="255"/>
      <c r="M282" s="255"/>
    </row>
    <row r="283" spans="1:16" ht="18" customHeight="1">
      <c r="B283" s="124" t="str">
        <f>B282</f>
        <v>6单银Low-E+12A+6</v>
      </c>
      <c r="C283" s="133">
        <f>D84-12</f>
        <v>-12</v>
      </c>
      <c r="D283" s="133">
        <f>E84-12</f>
        <v>-12</v>
      </c>
      <c r="E283" s="32">
        <f t="shared" si="27"/>
        <v>1.44E-4</v>
      </c>
      <c r="F283" s="134">
        <f>G84</f>
        <v>0</v>
      </c>
      <c r="G283" s="135">
        <f>G282</f>
        <v>148</v>
      </c>
      <c r="H283" s="134">
        <f>ROUND(E283*G283*F283,2)</f>
        <v>0</v>
      </c>
      <c r="I283" s="247" t="s">
        <v>179</v>
      </c>
      <c r="J283" s="255"/>
      <c r="K283" s="255"/>
      <c r="L283" s="255"/>
      <c r="M283" s="255"/>
    </row>
    <row r="284" spans="1:16" ht="18" customHeight="1">
      <c r="B284" s="124" t="str">
        <f>B283</f>
        <v>6单银Low-E+12A+6</v>
      </c>
      <c r="C284" s="133">
        <f>D85-12</f>
        <v>-12</v>
      </c>
      <c r="D284" s="133">
        <f>E85-12</f>
        <v>-12</v>
      </c>
      <c r="E284" s="32">
        <f t="shared" si="27"/>
        <v>1.44E-4</v>
      </c>
      <c r="F284" s="134">
        <f>G85</f>
        <v>0</v>
      </c>
      <c r="G284" s="135">
        <f>G283</f>
        <v>148</v>
      </c>
      <c r="H284" s="134">
        <f>ROUND(E284*G284*F284,2)</f>
        <v>0</v>
      </c>
      <c r="I284" s="247" t="s">
        <v>179</v>
      </c>
      <c r="J284" s="255"/>
      <c r="K284" s="255"/>
      <c r="L284" s="255"/>
      <c r="M284" s="255"/>
    </row>
    <row r="285" spans="1:16" ht="18" customHeight="1">
      <c r="B285" s="48" t="s">
        <v>180</v>
      </c>
      <c r="C285" s="52"/>
      <c r="D285" s="50"/>
      <c r="E285" s="50"/>
      <c r="F285" s="50">
        <f>SUM(F281:F284)</f>
        <v>0</v>
      </c>
      <c r="G285" s="50"/>
      <c r="H285" s="52">
        <f>SUM(H281:H284)</f>
        <v>0</v>
      </c>
      <c r="I285" s="53">
        <f>ROUND((E281*F281+E282*F282+E283*F283+E284*F284),2)</f>
        <v>0</v>
      </c>
      <c r="J285" s="255"/>
      <c r="K285" s="255"/>
      <c r="L285" s="255"/>
      <c r="M285" s="255"/>
    </row>
    <row r="286" spans="1:16" ht="18" customHeight="1">
      <c r="B286" s="124" t="str">
        <f>材料价格!A11</f>
        <v>8单银Low-E+12Ar+8+12A+8mm</v>
      </c>
      <c r="C286" s="133"/>
      <c r="D286" s="133"/>
      <c r="E286" s="32">
        <f>C286*D286/10^6</f>
        <v>0</v>
      </c>
      <c r="F286" s="134"/>
      <c r="G286" s="137">
        <f>材料价格!B11</f>
        <v>312</v>
      </c>
      <c r="H286" s="134">
        <f>ROUND(E286*G286*F286,2)</f>
        <v>0</v>
      </c>
      <c r="I286" s="247" t="s">
        <v>181</v>
      </c>
      <c r="J286" s="255"/>
      <c r="K286" s="255"/>
      <c r="L286" s="255"/>
      <c r="M286" s="255"/>
    </row>
    <row r="287" spans="1:16" ht="18" customHeight="1">
      <c r="B287" s="124" t="str">
        <f>B286</f>
        <v>8单银Low-E+12Ar+8+12A+8mm</v>
      </c>
      <c r="C287" s="133"/>
      <c r="D287" s="133"/>
      <c r="E287" s="32">
        <f>C287*D287/10^6</f>
        <v>0</v>
      </c>
      <c r="F287" s="134"/>
      <c r="G287" s="135">
        <f>G286</f>
        <v>312</v>
      </c>
      <c r="H287" s="134">
        <f>ROUND(E287*G287*F287,2)</f>
        <v>0</v>
      </c>
      <c r="I287" s="247" t="s">
        <v>181</v>
      </c>
      <c r="J287" s="255"/>
      <c r="K287" s="255"/>
      <c r="L287" s="255"/>
      <c r="M287" s="255"/>
    </row>
    <row r="288" spans="1:16" ht="18" customHeight="1">
      <c r="B288" s="138" t="str">
        <f>材料价格!A12</f>
        <v>10单银Low-E+12Ar+10+12A+10mm</v>
      </c>
      <c r="C288" s="139"/>
      <c r="D288" s="139"/>
      <c r="E288" s="140">
        <f>C288*D288/10^6</f>
        <v>0</v>
      </c>
      <c r="F288" s="141"/>
      <c r="G288" s="142">
        <f>材料价格!B12</f>
        <v>395</v>
      </c>
      <c r="H288" s="141">
        <f>ROUND(E288*G288*F288,2)</f>
        <v>0</v>
      </c>
      <c r="I288" s="143" t="s">
        <v>181</v>
      </c>
      <c r="J288" s="255"/>
      <c r="K288" s="255"/>
      <c r="L288" s="255"/>
      <c r="M288" s="255"/>
    </row>
    <row r="289" spans="2:13" ht="18" customHeight="1">
      <c r="B289" s="138" t="str">
        <f>B288</f>
        <v>10单银Low-E+12Ar+10+12A+10mm</v>
      </c>
      <c r="C289" s="139"/>
      <c r="D289" s="139"/>
      <c r="E289" s="140">
        <f>C289*D289/10^6</f>
        <v>0</v>
      </c>
      <c r="F289" s="141"/>
      <c r="G289" s="142">
        <f>G288</f>
        <v>395</v>
      </c>
      <c r="H289" s="141">
        <f>ROUND(E289*G289*F289,2)</f>
        <v>0</v>
      </c>
      <c r="I289" s="143" t="s">
        <v>181</v>
      </c>
      <c r="J289" s="255"/>
      <c r="K289" s="255"/>
      <c r="L289" s="255"/>
      <c r="M289" s="255"/>
    </row>
    <row r="290" spans="2:13" ht="18" customHeight="1">
      <c r="B290" s="48" t="s">
        <v>180</v>
      </c>
      <c r="C290" s="52"/>
      <c r="D290" s="50"/>
      <c r="E290" s="50"/>
      <c r="F290" s="50">
        <f>SUM(F286:F289)</f>
        <v>0</v>
      </c>
      <c r="G290" s="50"/>
      <c r="H290" s="52">
        <f>SUM(H286:H289)</f>
        <v>0</v>
      </c>
      <c r="I290" s="53">
        <f>ROUND((E286*F286+E287*F287+E288*F288+E289*F289),2)</f>
        <v>0</v>
      </c>
      <c r="J290" s="255"/>
      <c r="K290" s="255"/>
      <c r="L290" s="255"/>
      <c r="M290" s="255"/>
    </row>
    <row r="291" spans="2:13" ht="18" customHeight="1">
      <c r="B291" s="642" t="s">
        <v>182</v>
      </c>
      <c r="C291" s="144" t="s">
        <v>183</v>
      </c>
      <c r="D291" s="144" cm="1">
        <f t="array" ref="D291">SUMPRODUCT(E225:E232*F225:F232)+SUMPRODUCT(E243:E249*F243:F249)</f>
        <v>1.053696</v>
      </c>
      <c r="E291" s="144" t="s">
        <v>184</v>
      </c>
      <c r="F291" s="145">
        <f>F233+F250</f>
        <v>2</v>
      </c>
      <c r="G291" s="145" t="s">
        <v>185</v>
      </c>
      <c r="H291" s="144">
        <f>H233+H250</f>
        <v>155.94999999999999</v>
      </c>
      <c r="I291" s="146">
        <f>H291/F366</f>
        <v>108.49752323704568</v>
      </c>
      <c r="J291" s="255"/>
      <c r="K291" s="255"/>
      <c r="L291" s="255"/>
      <c r="M291" s="255"/>
    </row>
    <row r="292" spans="2:13" ht="18" customHeight="1">
      <c r="B292" s="642"/>
      <c r="C292" s="144" t="s">
        <v>186</v>
      </c>
      <c r="D292" s="144">
        <f>SUMPRODUCT(E234:E241*F234:F241)+SUMPRODUCT(E251:E257*F251:F257)+SUMPRODUCT(E259:E264*F259:F264)+SUMPRODUCT(E266:E268*F266:F268)+SUMPRODUCT(E270:E272*F270:F272)+SUMPRODUCT(E281:E284*F281:F284)+SUMPRODUCT(E286:E289*F286:F289)+SUMPRODUCT(E274:E279*F274:F279)</f>
        <v>0</v>
      </c>
      <c r="E292" s="144" t="s">
        <v>186</v>
      </c>
      <c r="F292" s="145">
        <f>F242+F258+F265+F269+F273+F285+F290+F280</f>
        <v>0</v>
      </c>
      <c r="G292" s="145" t="s">
        <v>185</v>
      </c>
      <c r="H292" s="144">
        <f>H242+H258+H265+H269+H273+H280+H285+H290</f>
        <v>0</v>
      </c>
      <c r="I292" s="146">
        <f>H292/F366</f>
        <v>0</v>
      </c>
      <c r="J292" s="255"/>
      <c r="K292" s="255"/>
      <c r="L292" s="255"/>
      <c r="M292" s="255"/>
    </row>
    <row r="293" spans="2:13" ht="18" customHeight="1">
      <c r="B293" s="23" t="s">
        <v>187</v>
      </c>
      <c r="C293" s="252" t="s">
        <v>188</v>
      </c>
      <c r="D293" s="68" t="s">
        <v>189</v>
      </c>
      <c r="E293" s="252" t="s">
        <v>8</v>
      </c>
      <c r="F293" s="252" t="s">
        <v>190</v>
      </c>
      <c r="G293" s="252" t="s">
        <v>191</v>
      </c>
      <c r="H293" s="252" t="s">
        <v>160</v>
      </c>
      <c r="I293" s="25" t="s">
        <v>1</v>
      </c>
      <c r="J293" s="255"/>
      <c r="K293" s="255"/>
      <c r="L293" s="255"/>
      <c r="M293" s="255"/>
    </row>
    <row r="294" spans="2:13" ht="18" customHeight="1">
      <c r="B294" s="629" t="s">
        <v>192</v>
      </c>
      <c r="C294" s="253">
        <f>D26</f>
        <v>0</v>
      </c>
      <c r="D294" s="250"/>
      <c r="E294" s="250"/>
      <c r="F294" s="250" t="s">
        <v>193</v>
      </c>
      <c r="G294" s="108">
        <f>材料价格!B14</f>
        <v>153</v>
      </c>
      <c r="H294" s="147">
        <f>E294*G294</f>
        <v>0</v>
      </c>
      <c r="I294" s="632" t="s">
        <v>194</v>
      </c>
      <c r="J294" s="255"/>
      <c r="K294" s="255"/>
      <c r="L294" s="255"/>
      <c r="M294" s="255"/>
    </row>
    <row r="295" spans="2:13" ht="18" customHeight="1">
      <c r="B295" s="629"/>
      <c r="C295" s="253"/>
      <c r="D295" s="250"/>
      <c r="E295" s="250"/>
      <c r="F295" s="250"/>
      <c r="G295" s="108"/>
      <c r="H295" s="147">
        <f t="shared" ref="H295:H303" si="52">E295*G295</f>
        <v>0</v>
      </c>
      <c r="I295" s="633"/>
      <c r="J295" s="255"/>
      <c r="K295" s="255"/>
      <c r="L295" s="255"/>
      <c r="M295" s="255"/>
    </row>
    <row r="296" spans="2:13" ht="18" customHeight="1">
      <c r="B296" s="629" t="s">
        <v>195</v>
      </c>
      <c r="C296" s="253"/>
      <c r="D296" s="148"/>
      <c r="E296" s="250"/>
      <c r="F296" s="250" t="str">
        <f>F294</f>
        <v>坚朗</v>
      </c>
      <c r="G296" s="108">
        <f>材料价格!B15</f>
        <v>80</v>
      </c>
      <c r="H296" s="147">
        <f t="shared" si="52"/>
        <v>0</v>
      </c>
      <c r="I296" s="632" t="s">
        <v>196</v>
      </c>
      <c r="J296" s="255"/>
      <c r="K296" s="255"/>
      <c r="L296" s="255"/>
      <c r="M296" s="255"/>
    </row>
    <row r="297" spans="2:13" ht="18" customHeight="1">
      <c r="B297" s="629"/>
      <c r="C297" s="253"/>
      <c r="D297" s="148"/>
      <c r="E297" s="250"/>
      <c r="F297" s="250"/>
      <c r="G297" s="108"/>
      <c r="H297" s="147">
        <f t="shared" si="52"/>
        <v>0</v>
      </c>
      <c r="I297" s="633"/>
      <c r="J297" s="255"/>
      <c r="K297" s="255"/>
      <c r="L297" s="255"/>
      <c r="M297" s="255"/>
    </row>
    <row r="298" spans="2:13" ht="18" customHeight="1">
      <c r="B298" s="629" t="s">
        <v>197</v>
      </c>
      <c r="C298" s="253"/>
      <c r="D298" s="148"/>
      <c r="E298" s="250">
        <v>2</v>
      </c>
      <c r="F298" s="250" t="str">
        <f>F296</f>
        <v>坚朗</v>
      </c>
      <c r="G298" s="108">
        <f>材料价格!B16</f>
        <v>88</v>
      </c>
      <c r="H298" s="147">
        <f t="shared" si="52"/>
        <v>176</v>
      </c>
      <c r="I298" s="633"/>
      <c r="J298" s="255"/>
      <c r="K298" s="255"/>
      <c r="L298" s="255"/>
      <c r="M298" s="255"/>
    </row>
    <row r="299" spans="2:13" ht="18" customHeight="1">
      <c r="B299" s="629"/>
      <c r="C299" s="253"/>
      <c r="D299" s="148"/>
      <c r="E299" s="250"/>
      <c r="F299" s="250"/>
      <c r="G299" s="108"/>
      <c r="H299" s="147">
        <f t="shared" si="52"/>
        <v>0</v>
      </c>
      <c r="I299" s="633"/>
      <c r="J299" s="255"/>
      <c r="K299" s="255"/>
      <c r="L299" s="255"/>
      <c r="M299" s="255"/>
    </row>
    <row r="300" spans="2:13" ht="18" customHeight="1">
      <c r="B300" s="629" t="s">
        <v>198</v>
      </c>
      <c r="C300" s="253">
        <f>D35</f>
        <v>570</v>
      </c>
      <c r="D300" s="148"/>
      <c r="E300" s="250"/>
      <c r="F300" s="250" t="str">
        <f>F298</f>
        <v>坚朗</v>
      </c>
      <c r="G300" s="108">
        <f>材料价格!B17</f>
        <v>115</v>
      </c>
      <c r="H300" s="147">
        <f t="shared" si="52"/>
        <v>0</v>
      </c>
      <c r="I300" s="149"/>
      <c r="J300" s="255"/>
      <c r="K300" s="255"/>
      <c r="L300" s="255"/>
      <c r="M300" s="255"/>
    </row>
    <row r="301" spans="2:13" ht="18" customHeight="1">
      <c r="B301" s="629"/>
      <c r="C301" s="253"/>
      <c r="D301" s="148"/>
      <c r="E301" s="250"/>
      <c r="F301" s="250"/>
      <c r="G301" s="108"/>
      <c r="H301" s="147">
        <f t="shared" si="52"/>
        <v>0</v>
      </c>
      <c r="I301" s="149"/>
      <c r="J301" s="255"/>
      <c r="K301" s="255"/>
      <c r="L301" s="255"/>
      <c r="M301" s="255"/>
    </row>
    <row r="302" spans="2:13" ht="18" customHeight="1">
      <c r="B302" s="629" t="s">
        <v>199</v>
      </c>
      <c r="C302" s="250" t="s">
        <v>200</v>
      </c>
      <c r="D302" s="148"/>
      <c r="E302" s="250"/>
      <c r="F302" s="250" t="str">
        <f>F300</f>
        <v>坚朗</v>
      </c>
      <c r="G302" s="108">
        <f>材料价格!B19</f>
        <v>230</v>
      </c>
      <c r="H302" s="147">
        <f t="shared" si="52"/>
        <v>0</v>
      </c>
      <c r="I302" s="247"/>
      <c r="J302" s="255"/>
      <c r="K302" s="255"/>
      <c r="L302" s="255"/>
      <c r="M302" s="255"/>
    </row>
    <row r="303" spans="2:13" ht="18" customHeight="1">
      <c r="B303" s="629"/>
      <c r="C303" s="250" t="s">
        <v>201</v>
      </c>
      <c r="D303" s="148"/>
      <c r="E303" s="250"/>
      <c r="F303" s="250" t="str">
        <f>F302</f>
        <v>坚朗</v>
      </c>
      <c r="G303" s="108">
        <f>材料价格!B20</f>
        <v>335</v>
      </c>
      <c r="H303" s="147">
        <f t="shared" si="52"/>
        <v>0</v>
      </c>
      <c r="I303" s="247"/>
      <c r="J303" s="255"/>
      <c r="K303" s="255"/>
      <c r="L303" s="255"/>
      <c r="M303" s="255"/>
    </row>
    <row r="304" spans="2:13" ht="18" customHeight="1">
      <c r="B304" s="150" t="s">
        <v>202</v>
      </c>
      <c r="C304" s="50"/>
      <c r="D304" s="50"/>
      <c r="E304" s="50">
        <f>SUM(E294:E303)</f>
        <v>2</v>
      </c>
      <c r="F304" s="50"/>
      <c r="G304" s="166"/>
      <c r="H304" s="151">
        <f>SUM(H294:H303)</f>
        <v>176</v>
      </c>
      <c r="I304" s="152"/>
      <c r="J304" s="42"/>
    </row>
    <row r="305" spans="1:16" ht="18" customHeight="1">
      <c r="B305" s="246" t="s">
        <v>300</v>
      </c>
      <c r="C305" s="250"/>
      <c r="D305" s="148"/>
      <c r="E305" s="253">
        <f>E294+E296</f>
        <v>0</v>
      </c>
      <c r="F305" s="148"/>
      <c r="G305" s="148">
        <f>材料价格!B27</f>
        <v>0</v>
      </c>
      <c r="H305" s="154">
        <f>E305*G305</f>
        <v>0</v>
      </c>
      <c r="I305" s="247" t="s">
        <v>203</v>
      </c>
    </row>
    <row r="306" spans="1:16" s="16" customFormat="1" ht="18" customHeight="1">
      <c r="A306" s="1"/>
      <c r="B306" s="246" t="s">
        <v>204</v>
      </c>
      <c r="C306" s="250"/>
      <c r="D306" s="148"/>
      <c r="E306" s="253">
        <f>E298+E299+E300+E301</f>
        <v>2</v>
      </c>
      <c r="F306" s="148"/>
      <c r="G306" s="148">
        <f>材料价格!B28</f>
        <v>118</v>
      </c>
      <c r="H306" s="154">
        <f>E306*G306</f>
        <v>236</v>
      </c>
      <c r="I306" s="247" t="s">
        <v>205</v>
      </c>
      <c r="J306" s="43"/>
      <c r="K306" s="43"/>
      <c r="L306" s="43"/>
      <c r="M306" s="43"/>
      <c r="N306" s="255"/>
      <c r="O306" s="255"/>
      <c r="P306" s="255"/>
    </row>
    <row r="307" spans="1:16" s="16" customFormat="1" ht="18" customHeight="1">
      <c r="A307" s="1"/>
      <c r="B307" s="246" t="s">
        <v>206</v>
      </c>
      <c r="C307" s="250"/>
      <c r="D307" s="148"/>
      <c r="E307" s="253"/>
      <c r="F307" s="148"/>
      <c r="G307" s="148"/>
      <c r="H307" s="154">
        <f>E307*G307</f>
        <v>0</v>
      </c>
      <c r="I307" s="247" t="s">
        <v>207</v>
      </c>
      <c r="J307" s="43"/>
      <c r="K307" s="43"/>
      <c r="L307" s="43"/>
      <c r="M307" s="43"/>
      <c r="N307" s="255"/>
      <c r="O307" s="255"/>
      <c r="P307" s="255"/>
    </row>
    <row r="308" spans="1:16" s="16" customFormat="1" ht="18" customHeight="1">
      <c r="A308" s="1"/>
      <c r="B308" s="150" t="s">
        <v>208</v>
      </c>
      <c r="C308" s="50"/>
      <c r="D308" s="50"/>
      <c r="E308" s="100">
        <f>SUM(E305:E307)</f>
        <v>2</v>
      </c>
      <c r="F308" s="50"/>
      <c r="G308" s="166"/>
      <c r="H308" s="155">
        <f>SUM(H305:H307)</f>
        <v>236</v>
      </c>
      <c r="I308" s="152"/>
      <c r="J308" s="43"/>
      <c r="K308" s="43"/>
      <c r="L308" s="43"/>
      <c r="M308" s="43"/>
      <c r="N308" s="255"/>
      <c r="O308" s="255"/>
      <c r="P308" s="255"/>
    </row>
    <row r="309" spans="1:16" s="16" customFormat="1" ht="18" customHeight="1">
      <c r="A309" s="1"/>
      <c r="B309" s="156" t="s">
        <v>209</v>
      </c>
      <c r="C309" s="157">
        <f>ROUND(IF(D4&lt;=200,4,0)+IF(D4&gt;200,(D4/200+1))+IF(E4&lt;=200,4,0)+IF(E4&gt;200,(E4/200+1)),0)</f>
        <v>15</v>
      </c>
      <c r="D309" s="148"/>
      <c r="E309" s="148"/>
      <c r="F309" s="148"/>
      <c r="G309" s="158">
        <v>0.5</v>
      </c>
      <c r="H309" s="159">
        <f>ROUND(C309*G309,2)</f>
        <v>7.5</v>
      </c>
      <c r="I309" s="247" t="s">
        <v>210</v>
      </c>
      <c r="J309" s="43"/>
      <c r="K309" s="43"/>
      <c r="L309" s="43"/>
      <c r="M309" s="43"/>
      <c r="N309" s="255"/>
      <c r="O309" s="255"/>
      <c r="P309" s="255"/>
    </row>
    <row r="310" spans="1:16" s="16" customFormat="1" ht="18" customHeight="1">
      <c r="A310" s="1"/>
      <c r="B310" s="156" t="s">
        <v>211</v>
      </c>
      <c r="C310" s="157">
        <f>C309*2</f>
        <v>30</v>
      </c>
      <c r="D310" s="148">
        <f>D309*2</f>
        <v>0</v>
      </c>
      <c r="E310" s="148"/>
      <c r="F310" s="148"/>
      <c r="G310" s="158">
        <v>0.3</v>
      </c>
      <c r="H310" s="159">
        <f>ROUND(C310*G310,2)</f>
        <v>9</v>
      </c>
      <c r="I310" s="247" t="s">
        <v>212</v>
      </c>
      <c r="J310" s="43"/>
      <c r="K310" s="43"/>
      <c r="L310" s="255"/>
      <c r="M310" s="255"/>
      <c r="N310" s="255"/>
      <c r="O310" s="255"/>
      <c r="P310" s="255"/>
    </row>
    <row r="311" spans="1:16" s="16" customFormat="1" ht="18" customHeight="1">
      <c r="A311" s="1"/>
      <c r="B311" s="160" t="s">
        <v>213</v>
      </c>
      <c r="C311" s="161">
        <f>F6</f>
        <v>1.6104000000000001</v>
      </c>
      <c r="D311" s="162"/>
      <c r="E311" s="162"/>
      <c r="F311" s="162"/>
      <c r="G311" s="163">
        <v>5</v>
      </c>
      <c r="H311" s="159">
        <f>ROUND(C311*G311,2)</f>
        <v>8.0500000000000007</v>
      </c>
      <c r="I311" s="247"/>
      <c r="J311" s="43"/>
      <c r="K311" s="43"/>
      <c r="L311" s="255"/>
      <c r="M311" s="255"/>
      <c r="N311" s="255"/>
      <c r="O311" s="255"/>
      <c r="P311" s="255"/>
    </row>
    <row r="312" spans="1:16" s="16" customFormat="1" ht="18" customHeight="1">
      <c r="A312" s="1"/>
      <c r="B312" s="160" t="s">
        <v>214</v>
      </c>
      <c r="C312" s="161"/>
      <c r="D312" s="162"/>
      <c r="E312" s="162"/>
      <c r="F312" s="162"/>
      <c r="G312" s="163"/>
      <c r="H312" s="159">
        <f>ROUND(C312*G312,2)</f>
        <v>0</v>
      </c>
      <c r="I312" s="247"/>
      <c r="J312" s="43"/>
      <c r="K312" s="43"/>
      <c r="L312" s="255"/>
      <c r="M312" s="255"/>
      <c r="N312" s="255"/>
      <c r="O312" s="255"/>
      <c r="P312" s="255"/>
    </row>
    <row r="313" spans="1:16" s="16" customFormat="1" ht="18" customHeight="1">
      <c r="A313" s="1"/>
      <c r="B313" s="164" t="s">
        <v>397</v>
      </c>
      <c r="C313" s="161">
        <f>D291+D292</f>
        <v>1.053696</v>
      </c>
      <c r="D313" s="162"/>
      <c r="E313" s="162"/>
      <c r="F313" s="162"/>
      <c r="G313" s="163">
        <f>10+5</f>
        <v>15</v>
      </c>
      <c r="H313" s="159">
        <f>ROUND(C313*G313,2)</f>
        <v>15.81</v>
      </c>
      <c r="I313" s="247"/>
      <c r="J313" s="43"/>
      <c r="K313" s="43"/>
      <c r="L313" s="255"/>
      <c r="M313" s="255"/>
      <c r="N313" s="255"/>
      <c r="O313" s="255"/>
      <c r="P313" s="255"/>
    </row>
    <row r="314" spans="1:16" s="16" customFormat="1" ht="18" customHeight="1">
      <c r="A314" s="1"/>
      <c r="B314" s="150" t="s">
        <v>215</v>
      </c>
      <c r="C314" s="165"/>
      <c r="D314" s="50"/>
      <c r="E314" s="50"/>
      <c r="F314" s="50"/>
      <c r="G314" s="166"/>
      <c r="H314" s="155">
        <f>SUM(H309:H313)</f>
        <v>40.36</v>
      </c>
      <c r="I314" s="152"/>
      <c r="J314" s="43"/>
      <c r="K314" s="43"/>
      <c r="L314" s="255"/>
      <c r="M314" s="255"/>
      <c r="N314" s="255"/>
      <c r="O314" s="255"/>
      <c r="P314" s="255"/>
    </row>
    <row r="315" spans="1:16" s="16" customFormat="1" ht="18" customHeight="1">
      <c r="A315" s="1"/>
      <c r="B315" s="156" t="s">
        <v>216</v>
      </c>
      <c r="C315" s="167">
        <f>E203+E205+E207+I203+I205+E209+I207</f>
        <v>12</v>
      </c>
      <c r="D315" s="148"/>
      <c r="E315" s="148"/>
      <c r="F315" s="148"/>
      <c r="G315" s="168">
        <v>1.9</v>
      </c>
      <c r="H315" s="154">
        <f t="shared" ref="H315:H318" si="53">ROUND(C315*G315,2)</f>
        <v>22.8</v>
      </c>
      <c r="I315" s="224" t="s">
        <v>340</v>
      </c>
      <c r="J315" s="255"/>
      <c r="K315" s="43"/>
      <c r="L315" s="255"/>
      <c r="M315" s="255"/>
      <c r="N315" s="255"/>
      <c r="O315" s="255"/>
      <c r="P315" s="255"/>
    </row>
    <row r="316" spans="1:16" s="16" customFormat="1" ht="18" customHeight="1">
      <c r="A316" s="1"/>
      <c r="B316" s="156" t="s">
        <v>217</v>
      </c>
      <c r="C316" s="167">
        <f>ROUND((D4+E4)*2/1000,2)</f>
        <v>5.08</v>
      </c>
      <c r="D316" s="148"/>
      <c r="E316" s="238">
        <v>4</v>
      </c>
      <c r="F316" s="235">
        <f>材料价格!B25</f>
        <v>8.52</v>
      </c>
      <c r="G316" s="168">
        <f t="shared" ref="G316:G321" si="54">F316/E316</f>
        <v>2.13</v>
      </c>
      <c r="H316" s="154">
        <f t="shared" si="53"/>
        <v>10.82</v>
      </c>
      <c r="I316" s="169" t="s">
        <v>218</v>
      </c>
      <c r="J316" s="255"/>
      <c r="K316" s="43"/>
      <c r="L316" s="255"/>
      <c r="M316" s="255"/>
      <c r="N316" s="255"/>
      <c r="O316" s="255"/>
      <c r="P316" s="255"/>
    </row>
    <row r="317" spans="1:16" s="16" customFormat="1" ht="18" customHeight="1">
      <c r="A317" s="1"/>
      <c r="B317" s="156" t="s">
        <v>219</v>
      </c>
      <c r="C317" s="167">
        <f>C316</f>
        <v>5.08</v>
      </c>
      <c r="D317" s="148"/>
      <c r="E317" s="238">
        <v>3</v>
      </c>
      <c r="F317" s="235">
        <f>F316</f>
        <v>8.52</v>
      </c>
      <c r="G317" s="168">
        <f t="shared" si="54"/>
        <v>2.84</v>
      </c>
      <c r="H317" s="154">
        <f t="shared" si="53"/>
        <v>14.43</v>
      </c>
      <c r="I317" s="169" t="s">
        <v>220</v>
      </c>
      <c r="J317" s="255"/>
      <c r="K317" s="43"/>
      <c r="L317" s="255"/>
      <c r="M317" s="255"/>
      <c r="N317" s="255"/>
      <c r="O317" s="255"/>
      <c r="P317" s="255"/>
    </row>
    <row r="318" spans="1:16" s="16" customFormat="1" ht="18" customHeight="1">
      <c r="A318" s="1"/>
      <c r="B318" s="156" t="s">
        <v>221</v>
      </c>
      <c r="C318" s="167">
        <f>C316</f>
        <v>5.08</v>
      </c>
      <c r="D318" s="148"/>
      <c r="E318" s="238">
        <v>6.5</v>
      </c>
      <c r="F318" s="235">
        <f>材料价格!B26</f>
        <v>23</v>
      </c>
      <c r="G318" s="168">
        <f t="shared" si="54"/>
        <v>3.5384615384615383</v>
      </c>
      <c r="H318" s="154">
        <f t="shared" si="53"/>
        <v>17.98</v>
      </c>
      <c r="I318" s="224" t="s">
        <v>222</v>
      </c>
      <c r="J318" s="255"/>
      <c r="K318" s="43"/>
      <c r="L318" s="255"/>
      <c r="M318" s="255"/>
      <c r="N318" s="255"/>
      <c r="O318" s="255"/>
      <c r="P318" s="255"/>
    </row>
    <row r="319" spans="1:16" s="16" customFormat="1" ht="18" customHeight="1">
      <c r="A319" s="1"/>
      <c r="B319" s="156" t="s">
        <v>341</v>
      </c>
      <c r="C319" s="167">
        <f>ROUND((C97+C104+C88+C146+C153+C163)*1,2)</f>
        <v>6.5</v>
      </c>
      <c r="D319" s="77">
        <v>1</v>
      </c>
      <c r="E319" s="238">
        <f>10</f>
        <v>10</v>
      </c>
      <c r="F319" s="235">
        <f>F317</f>
        <v>8.52</v>
      </c>
      <c r="G319" s="168">
        <f>F319/E319</f>
        <v>0.85199999999999998</v>
      </c>
      <c r="H319" s="154">
        <f>ROUND(C319*G319,2)</f>
        <v>5.54</v>
      </c>
      <c r="I319" s="247" t="s">
        <v>223</v>
      </c>
      <c r="J319" s="255"/>
      <c r="K319" s="43"/>
      <c r="L319" s="255"/>
      <c r="M319" s="255"/>
      <c r="N319" s="255"/>
      <c r="O319" s="255"/>
      <c r="P319" s="255"/>
    </row>
    <row r="320" spans="1:16" s="16" customFormat="1" ht="18" customHeight="1">
      <c r="A320" s="1"/>
      <c r="B320" s="156" t="s">
        <v>342</v>
      </c>
      <c r="C320" s="167">
        <f>C319</f>
        <v>6.5</v>
      </c>
      <c r="D320" s="77">
        <v>1</v>
      </c>
      <c r="E320" s="238">
        <v>6</v>
      </c>
      <c r="F320" s="235">
        <f>F319</f>
        <v>8.52</v>
      </c>
      <c r="G320" s="168">
        <f t="shared" si="54"/>
        <v>1.42</v>
      </c>
      <c r="H320" s="154">
        <f>ROUND(C320*G320,2)</f>
        <v>9.23</v>
      </c>
      <c r="I320" s="247" t="s">
        <v>224</v>
      </c>
      <c r="J320" s="255"/>
      <c r="K320" s="170"/>
      <c r="L320" s="170"/>
      <c r="M320" s="170"/>
      <c r="N320" s="170"/>
      <c r="O320" s="170"/>
      <c r="P320" s="170"/>
    </row>
    <row r="321" spans="1:16" s="16" customFormat="1" ht="18" customHeight="1">
      <c r="A321" s="1"/>
      <c r="B321" s="156" t="s">
        <v>225</v>
      </c>
      <c r="C321" s="167">
        <f>C334*D334+C324*D324+C327*D327</f>
        <v>0</v>
      </c>
      <c r="D321" s="77">
        <v>1</v>
      </c>
      <c r="E321" s="238">
        <f>10</f>
        <v>10</v>
      </c>
      <c r="F321" s="235">
        <f>F317</f>
        <v>8.52</v>
      </c>
      <c r="G321" s="168">
        <f t="shared" si="54"/>
        <v>0.85199999999999998</v>
      </c>
      <c r="H321" s="154">
        <f>ROUND(C321*G321,2)</f>
        <v>0</v>
      </c>
      <c r="I321" s="247" t="s">
        <v>226</v>
      </c>
      <c r="J321" s="255"/>
      <c r="K321" s="170"/>
      <c r="L321" s="170"/>
      <c r="M321" s="170"/>
      <c r="N321" s="170"/>
      <c r="O321" s="170"/>
      <c r="P321" s="170"/>
    </row>
    <row r="322" spans="1:16" s="16" customFormat="1" ht="18" customHeight="1">
      <c r="A322" s="1"/>
      <c r="B322" s="150" t="s">
        <v>227</v>
      </c>
      <c r="C322" s="165"/>
      <c r="D322" s="50"/>
      <c r="E322" s="50"/>
      <c r="F322" s="50"/>
      <c r="G322" s="166" t="s">
        <v>396</v>
      </c>
      <c r="H322" s="155">
        <f>SUM(H315:H321)</f>
        <v>80.800000000000011</v>
      </c>
      <c r="I322" s="152"/>
      <c r="J322" s="244" t="s">
        <v>399</v>
      </c>
      <c r="K322" s="245" t="s">
        <v>379</v>
      </c>
      <c r="L322" s="170"/>
      <c r="M322" s="170"/>
      <c r="N322" s="170"/>
      <c r="O322" s="170"/>
      <c r="P322" s="170"/>
    </row>
    <row r="323" spans="1:16" s="16" customFormat="1" ht="18" customHeight="1">
      <c r="A323" s="1"/>
      <c r="B323" s="156" t="s">
        <v>356</v>
      </c>
      <c r="C323" s="167">
        <f>C31</f>
        <v>0</v>
      </c>
      <c r="D323" s="239">
        <v>1</v>
      </c>
      <c r="E323" s="148"/>
      <c r="F323" s="148"/>
      <c r="G323" s="236">
        <f>0.45+0.85</f>
        <v>1.3</v>
      </c>
      <c r="H323" s="154">
        <f>ROUND(C323*D323*G323,2)</f>
        <v>0</v>
      </c>
      <c r="I323" s="247" t="s">
        <v>345</v>
      </c>
      <c r="J323" s="244">
        <v>1.76</v>
      </c>
      <c r="K323" s="245" t="s">
        <v>400</v>
      </c>
      <c r="L323" s="170"/>
      <c r="M323" s="171"/>
      <c r="N323" s="170"/>
      <c r="O323" s="170"/>
      <c r="P323" s="170"/>
    </row>
    <row r="324" spans="1:16" s="16" customFormat="1" ht="18" customHeight="1">
      <c r="A324" s="1"/>
      <c r="B324" s="156" t="s">
        <v>347</v>
      </c>
      <c r="C324" s="167">
        <f>C323</f>
        <v>0</v>
      </c>
      <c r="D324" s="239">
        <v>1</v>
      </c>
      <c r="E324" s="148"/>
      <c r="F324" s="148"/>
      <c r="G324" s="236">
        <v>6.89</v>
      </c>
      <c r="H324" s="154">
        <f t="shared" ref="H324:H329" si="55">ROUND(C324*D324*G324,2)</f>
        <v>0</v>
      </c>
      <c r="I324" s="247" t="s">
        <v>346</v>
      </c>
      <c r="J324" s="244">
        <v>12.25</v>
      </c>
      <c r="K324" s="245" t="s">
        <v>376</v>
      </c>
      <c r="L324" s="170"/>
      <c r="M324" s="171"/>
      <c r="N324" s="170"/>
      <c r="O324" s="170"/>
      <c r="P324" s="170"/>
    </row>
    <row r="325" spans="1:16" s="16" customFormat="1" ht="18" customHeight="1">
      <c r="A325" s="1"/>
      <c r="B325" s="156" t="s">
        <v>357</v>
      </c>
      <c r="C325" s="167">
        <f>C38</f>
        <v>7.4720000000000004</v>
      </c>
      <c r="D325" s="239">
        <v>1</v>
      </c>
      <c r="E325" s="148"/>
      <c r="F325" s="148"/>
      <c r="G325" s="236">
        <f>0.85+0.61</f>
        <v>1.46</v>
      </c>
      <c r="H325" s="154">
        <f t="shared" si="55"/>
        <v>10.91</v>
      </c>
      <c r="I325" s="247" t="s">
        <v>354</v>
      </c>
      <c r="J325" s="244">
        <v>1.76</v>
      </c>
      <c r="K325" s="245" t="s">
        <v>378</v>
      </c>
      <c r="L325" s="170"/>
      <c r="M325" s="171"/>
      <c r="N325" s="170"/>
      <c r="O325" s="170"/>
      <c r="P325" s="170"/>
    </row>
    <row r="326" spans="1:16" s="16" customFormat="1" ht="18" customHeight="1">
      <c r="A326" s="1"/>
      <c r="B326" s="156" t="s">
        <v>355</v>
      </c>
      <c r="C326" s="167">
        <f>C325</f>
        <v>7.4720000000000004</v>
      </c>
      <c r="D326" s="239">
        <v>1</v>
      </c>
      <c r="E326" s="148"/>
      <c r="F326" s="148"/>
      <c r="G326" s="236">
        <v>3.27</v>
      </c>
      <c r="H326" s="154">
        <f>ROUND(C326*D326*G326,2)</f>
        <v>24.43</v>
      </c>
      <c r="I326" s="247" t="s">
        <v>358</v>
      </c>
      <c r="J326" s="244">
        <v>3.27</v>
      </c>
      <c r="K326" s="245" t="s">
        <v>358</v>
      </c>
      <c r="L326" s="170"/>
      <c r="M326" s="171"/>
      <c r="N326" s="170"/>
      <c r="O326" s="170"/>
      <c r="P326" s="170"/>
    </row>
    <row r="327" spans="1:16" s="16" customFormat="1" ht="18" customHeight="1">
      <c r="A327" s="1"/>
      <c r="B327" s="156" t="s">
        <v>228</v>
      </c>
      <c r="C327" s="167">
        <f>C126</f>
        <v>0</v>
      </c>
      <c r="D327" s="239">
        <v>1</v>
      </c>
      <c r="E327" s="110"/>
      <c r="F327" s="148"/>
      <c r="G327" s="236">
        <v>6.89</v>
      </c>
      <c r="H327" s="154">
        <f t="shared" si="55"/>
        <v>0</v>
      </c>
      <c r="I327" s="247" t="s">
        <v>346</v>
      </c>
      <c r="J327" s="244">
        <v>12.25</v>
      </c>
      <c r="K327" s="245" t="s">
        <v>346</v>
      </c>
      <c r="L327" s="170"/>
      <c r="M327" s="171"/>
      <c r="N327" s="170"/>
      <c r="O327" s="170"/>
      <c r="P327" s="170"/>
    </row>
    <row r="328" spans="1:16" s="16" customFormat="1" ht="18" customHeight="1">
      <c r="A328" s="1"/>
      <c r="B328" s="156" t="s">
        <v>229</v>
      </c>
      <c r="C328" s="167">
        <f>C327</f>
        <v>0</v>
      </c>
      <c r="D328" s="239">
        <v>1</v>
      </c>
      <c r="E328" s="110"/>
      <c r="F328" s="148"/>
      <c r="G328" s="236">
        <f>G3233</f>
        <v>0</v>
      </c>
      <c r="H328" s="154">
        <f t="shared" si="55"/>
        <v>0</v>
      </c>
      <c r="I328" s="247" t="s">
        <v>345</v>
      </c>
      <c r="J328" s="244">
        <v>0</v>
      </c>
      <c r="K328" s="245" t="s">
        <v>400</v>
      </c>
      <c r="L328" s="170"/>
      <c r="M328" s="171"/>
      <c r="N328" s="170"/>
      <c r="O328" s="170"/>
      <c r="P328" s="170"/>
    </row>
    <row r="329" spans="1:16" s="16" customFormat="1" ht="18" customHeight="1">
      <c r="A329" s="1"/>
      <c r="B329" s="156" t="s">
        <v>230</v>
      </c>
      <c r="C329" s="167">
        <f>C119</f>
        <v>0</v>
      </c>
      <c r="D329" s="239">
        <v>1</v>
      </c>
      <c r="E329" s="148"/>
      <c r="F329" s="148"/>
      <c r="G329" s="236">
        <f>G3253</f>
        <v>0</v>
      </c>
      <c r="H329" s="154">
        <f t="shared" si="55"/>
        <v>0</v>
      </c>
      <c r="I329" s="247" t="s">
        <v>354</v>
      </c>
      <c r="J329" s="244">
        <v>0</v>
      </c>
      <c r="K329" s="245" t="s">
        <v>378</v>
      </c>
      <c r="L329" s="170"/>
      <c r="M329" s="171"/>
      <c r="N329" s="170"/>
      <c r="O329" s="170"/>
      <c r="P329" s="170"/>
    </row>
    <row r="330" spans="1:16" s="16" customFormat="1" ht="18" customHeight="1">
      <c r="A330" s="1"/>
      <c r="B330" s="156" t="s">
        <v>362</v>
      </c>
      <c r="C330" s="167">
        <f>C329</f>
        <v>0</v>
      </c>
      <c r="D330" s="239">
        <v>1</v>
      </c>
      <c r="E330" s="148"/>
      <c r="F330" s="148"/>
      <c r="G330" s="236">
        <v>3.27</v>
      </c>
      <c r="H330" s="154">
        <f>ROUND(C330*D330*G330,2)</f>
        <v>0</v>
      </c>
      <c r="I330" s="247" t="s">
        <v>358</v>
      </c>
      <c r="J330" s="244">
        <v>3.27</v>
      </c>
      <c r="K330" s="245" t="s">
        <v>358</v>
      </c>
      <c r="L330" s="170"/>
      <c r="M330" s="171"/>
      <c r="N330" s="170"/>
      <c r="O330" s="170"/>
      <c r="P330" s="170"/>
    </row>
    <row r="331" spans="1:16" s="16" customFormat="1" ht="18" customHeight="1">
      <c r="A331" s="1"/>
      <c r="B331" s="156" t="s">
        <v>343</v>
      </c>
      <c r="C331" s="167">
        <f>C319</f>
        <v>6.5</v>
      </c>
      <c r="D331" s="239">
        <v>1</v>
      </c>
      <c r="E331" s="148"/>
      <c r="F331" s="148"/>
      <c r="G331" s="236">
        <v>1.25</v>
      </c>
      <c r="H331" s="154">
        <f>C331*D331*G331</f>
        <v>8.125</v>
      </c>
      <c r="I331" s="247" t="s">
        <v>344</v>
      </c>
      <c r="J331" s="244">
        <v>1.25</v>
      </c>
      <c r="K331" s="245" t="s">
        <v>344</v>
      </c>
      <c r="L331" s="170"/>
      <c r="M331" s="171"/>
      <c r="N331" s="170"/>
      <c r="O331" s="170"/>
      <c r="P331" s="170"/>
    </row>
    <row r="332" spans="1:16" s="16" customFormat="1" ht="18" customHeight="1">
      <c r="A332" s="1"/>
      <c r="B332" s="156" t="s">
        <v>350</v>
      </c>
      <c r="C332" s="167" cm="1">
        <f t="array" ref="C332">SUMPRODUCT(D26:D30*G26:G30)/1000</f>
        <v>0</v>
      </c>
      <c r="D332" s="239">
        <v>1</v>
      </c>
      <c r="E332" s="148"/>
      <c r="F332" s="148"/>
      <c r="G332" s="236">
        <v>0.41</v>
      </c>
      <c r="H332" s="154">
        <f>C332*D332*G332</f>
        <v>0</v>
      </c>
      <c r="I332" s="247" t="s">
        <v>348</v>
      </c>
      <c r="J332" s="244">
        <v>0.41</v>
      </c>
      <c r="K332" s="245" t="s">
        <v>348</v>
      </c>
      <c r="L332" s="170"/>
      <c r="M332" s="171"/>
      <c r="N332" s="170"/>
      <c r="O332" s="170"/>
      <c r="P332" s="170"/>
    </row>
    <row r="333" spans="1:16" s="16" customFormat="1" ht="18" customHeight="1">
      <c r="A333" s="1"/>
      <c r="B333" s="156" t="s">
        <v>349</v>
      </c>
      <c r="C333" s="167">
        <f>C88+C97+C104+C153+C163+C146</f>
        <v>6.4960000000000004</v>
      </c>
      <c r="D333" s="239">
        <v>1</v>
      </c>
      <c r="E333" s="148"/>
      <c r="F333" s="148"/>
      <c r="G333" s="236">
        <v>0.49</v>
      </c>
      <c r="H333" s="154">
        <f>C333*D333*G333</f>
        <v>3.1830400000000001</v>
      </c>
      <c r="I333" s="247" t="s">
        <v>351</v>
      </c>
      <c r="J333" s="244">
        <v>0.49</v>
      </c>
      <c r="K333" s="245" t="s">
        <v>351</v>
      </c>
      <c r="L333" s="170"/>
      <c r="M333" s="171"/>
      <c r="N333" s="170"/>
      <c r="O333" s="170"/>
      <c r="P333" s="170"/>
    </row>
    <row r="334" spans="1:16" s="16" customFormat="1" ht="18" customHeight="1">
      <c r="A334" s="1"/>
      <c r="B334" s="156" t="s">
        <v>353</v>
      </c>
      <c r="C334" s="167">
        <f t="array" ref="C334">SUMPRODUCT(D157:D162*G157:G162)/1000+SUM(G157:G162)*0.3+SUMPRODUCT(D68:D87*G68:G87)/1000+SUM(G68:G87)*0.3</f>
        <v>0</v>
      </c>
      <c r="D334" s="239">
        <v>1</v>
      </c>
      <c r="E334" s="148"/>
      <c r="F334" s="148"/>
      <c r="G334" s="237">
        <v>5.36</v>
      </c>
      <c r="H334" s="154">
        <f>C334*G334</f>
        <v>0</v>
      </c>
      <c r="I334" s="247" t="s">
        <v>352</v>
      </c>
      <c r="J334" s="244">
        <v>9.5500000000000007</v>
      </c>
      <c r="K334" s="245" t="s">
        <v>377</v>
      </c>
      <c r="L334" s="170"/>
      <c r="M334" s="171"/>
      <c r="N334" s="170"/>
      <c r="O334" s="170"/>
      <c r="P334" s="170"/>
    </row>
    <row r="335" spans="1:16" s="16" customFormat="1" ht="18" customHeight="1">
      <c r="A335" s="1"/>
      <c r="B335" s="156" t="s">
        <v>364</v>
      </c>
      <c r="C335" s="167">
        <f>C319</f>
        <v>6.5</v>
      </c>
      <c r="D335" s="239">
        <v>1</v>
      </c>
      <c r="E335" s="148"/>
      <c r="F335" s="148"/>
      <c r="G335" s="237">
        <v>1.25</v>
      </c>
      <c r="H335" s="154"/>
      <c r="I335" s="149" t="s">
        <v>363</v>
      </c>
      <c r="J335" s="244">
        <v>1.25</v>
      </c>
      <c r="K335" s="245" t="s">
        <v>363</v>
      </c>
      <c r="L335" s="170"/>
      <c r="M335" s="171"/>
      <c r="N335" s="170"/>
      <c r="O335" s="170"/>
      <c r="P335" s="170"/>
    </row>
    <row r="336" spans="1:16" s="16" customFormat="1" ht="18" customHeight="1">
      <c r="A336" s="1"/>
      <c r="B336" s="156" t="s">
        <v>365</v>
      </c>
      <c r="C336" s="167">
        <f>C320</f>
        <v>6.5</v>
      </c>
      <c r="D336" s="239">
        <v>1</v>
      </c>
      <c r="E336" s="148"/>
      <c r="F336" s="148"/>
      <c r="G336" s="237">
        <v>1.63</v>
      </c>
      <c r="H336" s="154"/>
      <c r="I336" s="149" t="s">
        <v>363</v>
      </c>
      <c r="J336" s="244">
        <v>1.63</v>
      </c>
      <c r="K336" s="245" t="s">
        <v>363</v>
      </c>
      <c r="L336" s="170"/>
      <c r="M336" s="171"/>
      <c r="N336" s="170"/>
      <c r="O336" s="170"/>
      <c r="P336" s="170"/>
    </row>
    <row r="337" spans="1:16" s="16" customFormat="1" ht="18" customHeight="1">
      <c r="A337" s="1"/>
      <c r="B337" s="150" t="s">
        <v>231</v>
      </c>
      <c r="C337" s="165"/>
      <c r="D337" s="50"/>
      <c r="E337" s="50"/>
      <c r="F337" s="50"/>
      <c r="G337" s="166"/>
      <c r="H337" s="155">
        <f>SUM(H323:H336)*1.05</f>
        <v>48.980442000000004</v>
      </c>
      <c r="I337" s="152"/>
      <c r="J337" s="172"/>
      <c r="K337" s="170"/>
      <c r="L337" s="170"/>
      <c r="M337" s="170"/>
      <c r="N337" s="170"/>
      <c r="O337" s="170"/>
      <c r="P337" s="170"/>
    </row>
    <row r="338" spans="1:16" s="16" customFormat="1" ht="18" customHeight="1">
      <c r="A338" s="1"/>
      <c r="B338" s="173" t="s">
        <v>366</v>
      </c>
      <c r="C338" s="174">
        <f>F250+F258+F265+F280+F285+F290</f>
        <v>0</v>
      </c>
      <c r="D338" s="175">
        <v>2</v>
      </c>
      <c r="E338" s="176"/>
      <c r="F338" s="176"/>
      <c r="G338" s="240">
        <v>0.5</v>
      </c>
      <c r="H338" s="177">
        <f t="shared" ref="H338:H343" si="56">D338*G338*C338</f>
        <v>0</v>
      </c>
      <c r="I338" s="178" t="s">
        <v>233</v>
      </c>
      <c r="J338" s="172"/>
      <c r="K338" s="170"/>
      <c r="L338" s="170"/>
      <c r="M338" s="170"/>
      <c r="N338" s="170"/>
      <c r="O338" s="170"/>
      <c r="P338" s="170"/>
    </row>
    <row r="339" spans="1:16" s="16" customFormat="1" ht="18" customHeight="1">
      <c r="A339" s="1"/>
      <c r="B339" s="173" t="s">
        <v>367</v>
      </c>
      <c r="C339" s="174">
        <f>F233+F242+F269+F273</f>
        <v>2</v>
      </c>
      <c r="D339" s="175">
        <v>4</v>
      </c>
      <c r="E339" s="176"/>
      <c r="F339" s="176"/>
      <c r="G339" s="240">
        <v>0.63</v>
      </c>
      <c r="H339" s="177">
        <f t="shared" si="56"/>
        <v>5.04</v>
      </c>
      <c r="I339" s="178" t="s">
        <v>234</v>
      </c>
      <c r="J339" s="172"/>
      <c r="K339" s="170"/>
      <c r="L339" s="170"/>
      <c r="M339" s="170"/>
      <c r="N339" s="170"/>
      <c r="O339" s="170"/>
      <c r="P339" s="170"/>
    </row>
    <row r="340" spans="1:16" s="16" customFormat="1" ht="18" customHeight="1">
      <c r="A340" s="1"/>
      <c r="B340" s="173" t="s">
        <v>366</v>
      </c>
      <c r="C340" s="174">
        <f>SUM(G157:G162)</f>
        <v>0</v>
      </c>
      <c r="D340" s="175">
        <f>IF(E113&gt;2200,2,0)</f>
        <v>0</v>
      </c>
      <c r="E340" s="176"/>
      <c r="F340" s="176"/>
      <c r="G340" s="240">
        <v>0.5</v>
      </c>
      <c r="H340" s="177">
        <f t="shared" si="56"/>
        <v>0</v>
      </c>
      <c r="I340" s="178" t="s">
        <v>235</v>
      </c>
      <c r="J340" s="172"/>
      <c r="K340" s="170"/>
      <c r="L340" s="170"/>
      <c r="M340" s="170"/>
      <c r="N340" s="170"/>
      <c r="O340" s="170"/>
      <c r="P340" s="170"/>
    </row>
    <row r="341" spans="1:16" s="16" customFormat="1" ht="18" customHeight="1">
      <c r="A341" s="1"/>
      <c r="B341" s="173" t="s">
        <v>367</v>
      </c>
      <c r="C341" s="174">
        <f>SUM(G116:G118)</f>
        <v>0</v>
      </c>
      <c r="D341" s="175">
        <v>4</v>
      </c>
      <c r="E341" s="176"/>
      <c r="F341" s="176"/>
      <c r="G341" s="240">
        <v>0.63</v>
      </c>
      <c r="H341" s="177">
        <f t="shared" si="56"/>
        <v>0</v>
      </c>
      <c r="I341" s="178" t="s">
        <v>236</v>
      </c>
      <c r="J341" s="172"/>
      <c r="K341" s="170"/>
      <c r="L341" s="170"/>
      <c r="M341" s="170"/>
      <c r="N341" s="170"/>
      <c r="O341" s="170"/>
      <c r="P341" s="170"/>
    </row>
    <row r="342" spans="1:16" ht="18" customHeight="1">
      <c r="B342" s="173" t="s">
        <v>237</v>
      </c>
      <c r="C342" s="174">
        <v>1</v>
      </c>
      <c r="D342" s="175">
        <f>(F291+F292)*10</f>
        <v>20</v>
      </c>
      <c r="E342" s="176"/>
      <c r="F342" s="176"/>
      <c r="G342" s="240">
        <v>0.37</v>
      </c>
      <c r="H342" s="177">
        <f t="shared" si="56"/>
        <v>7.4</v>
      </c>
      <c r="I342" s="178"/>
      <c r="J342" s="172"/>
      <c r="K342" s="172"/>
      <c r="L342" s="172"/>
      <c r="N342" s="43"/>
    </row>
    <row r="343" spans="1:16" ht="18" customHeight="1">
      <c r="B343" s="173" t="s">
        <v>232</v>
      </c>
      <c r="C343" s="174">
        <f>C338</f>
        <v>0</v>
      </c>
      <c r="D343" s="175">
        <v>0</v>
      </c>
      <c r="E343" s="176"/>
      <c r="F343" s="176"/>
      <c r="G343" s="240">
        <v>0.49</v>
      </c>
      <c r="H343" s="177">
        <f t="shared" si="56"/>
        <v>0</v>
      </c>
      <c r="I343" s="178" t="s">
        <v>238</v>
      </c>
      <c r="J343" s="172"/>
      <c r="K343" s="172"/>
      <c r="L343" s="172"/>
      <c r="N343" s="43"/>
    </row>
    <row r="344" spans="1:16" ht="18" customHeight="1">
      <c r="B344" s="156" t="s">
        <v>239</v>
      </c>
      <c r="C344" s="157"/>
      <c r="D344" s="250">
        <f>E203+E205*2+E207*2+I203+I205*2+I207*2</f>
        <v>20</v>
      </c>
      <c r="E344" s="148"/>
      <c r="F344" s="148"/>
      <c r="G344" s="148">
        <v>0.2</v>
      </c>
      <c r="H344" s="179">
        <f>D344*G344</f>
        <v>4</v>
      </c>
      <c r="I344" s="247" t="s">
        <v>368</v>
      </c>
      <c r="J344" s="172"/>
      <c r="K344" s="172"/>
      <c r="L344" s="172"/>
    </row>
    <row r="345" spans="1:16" ht="18" customHeight="1">
      <c r="B345" s="156" t="s">
        <v>240</v>
      </c>
      <c r="C345" s="157"/>
      <c r="D345" s="250">
        <f>4*(E52+E53+E54+E55+G52+G53+G54+G55+G60+G61+G62+G63+E130+E131+E132+G130+G131+G132+G137+G138)</f>
        <v>4</v>
      </c>
      <c r="E345" s="148"/>
      <c r="F345" s="148"/>
      <c r="G345" s="148">
        <v>0.22</v>
      </c>
      <c r="H345" s="179">
        <f>D345*G345</f>
        <v>0.88</v>
      </c>
      <c r="I345" s="247" t="s">
        <v>241</v>
      </c>
      <c r="J345" s="172"/>
      <c r="K345" s="172"/>
      <c r="L345" s="172"/>
    </row>
    <row r="346" spans="1:16" ht="18" customHeight="1">
      <c r="B346" s="156" t="s">
        <v>242</v>
      </c>
      <c r="C346" s="157"/>
      <c r="D346" s="250">
        <f>D345/2</f>
        <v>2</v>
      </c>
      <c r="E346" s="148"/>
      <c r="F346" s="148"/>
      <c r="G346" s="148">
        <v>0.22</v>
      </c>
      <c r="H346" s="179">
        <f>ROUND(D346*G346,2)</f>
        <v>0.44</v>
      </c>
      <c r="I346" s="247" t="s">
        <v>243</v>
      </c>
      <c r="J346" s="172"/>
      <c r="K346" s="172"/>
      <c r="L346" s="172"/>
    </row>
    <row r="347" spans="1:16" ht="18" customHeight="1">
      <c r="B347" s="156" t="s">
        <v>369</v>
      </c>
      <c r="C347" s="157"/>
      <c r="D347" s="250">
        <f>D346</f>
        <v>2</v>
      </c>
      <c r="E347" s="148"/>
      <c r="F347" s="148"/>
      <c r="G347" s="148">
        <v>1.37</v>
      </c>
      <c r="H347" s="179">
        <f>ROUND(D347*G347,2)</f>
        <v>2.74</v>
      </c>
      <c r="I347" s="247" t="s">
        <v>370</v>
      </c>
      <c r="J347" s="172"/>
      <c r="K347" s="172"/>
      <c r="L347" s="172"/>
    </row>
    <row r="348" spans="1:16" ht="18" customHeight="1">
      <c r="B348" s="156" t="s">
        <v>244</v>
      </c>
      <c r="C348" s="157"/>
      <c r="D348" s="250">
        <f>(F291+F292)*2</f>
        <v>4</v>
      </c>
      <c r="E348" s="148"/>
      <c r="F348" s="148"/>
      <c r="G348" s="148">
        <v>0.48</v>
      </c>
      <c r="H348" s="179">
        <f>ROUND(D348*G348,2)</f>
        <v>1.92</v>
      </c>
      <c r="I348" s="247" t="s">
        <v>245</v>
      </c>
      <c r="J348" s="255"/>
    </row>
    <row r="349" spans="1:16" ht="18" customHeight="1">
      <c r="B349" s="156" t="s">
        <v>246</v>
      </c>
      <c r="C349" s="157"/>
      <c r="D349" s="250">
        <f>ROUND((D4+E4-240)*2/200+E217*F217/200,0)</f>
        <v>29</v>
      </c>
      <c r="E349" s="148"/>
      <c r="F349" s="148"/>
      <c r="G349" s="148">
        <v>0.05</v>
      </c>
      <c r="H349" s="179">
        <f>ROUND(D349*G349,2)</f>
        <v>1.45</v>
      </c>
      <c r="I349" s="247" t="s">
        <v>247</v>
      </c>
      <c r="J349" s="255"/>
    </row>
    <row r="350" spans="1:16" ht="18" customHeight="1">
      <c r="B350" s="150" t="s">
        <v>248</v>
      </c>
      <c r="C350" s="165"/>
      <c r="D350" s="50"/>
      <c r="E350" s="50"/>
      <c r="F350" s="50"/>
      <c r="G350" s="166"/>
      <c r="H350" s="155">
        <f>SUM(H338:H349)</f>
        <v>23.87</v>
      </c>
      <c r="I350" s="152"/>
    </row>
    <row r="351" spans="1:16" ht="18" customHeight="1">
      <c r="B351" s="156" t="s">
        <v>359</v>
      </c>
      <c r="C351" s="157"/>
      <c r="D351" s="250">
        <f>SUMPRODUCT(G26:G30)*8+SUMPRODUCT(G35:G37)*8+SUMPRODUCT(G116:G118)*8+SUMPRODUCT(G123:G125)*8</f>
        <v>16</v>
      </c>
      <c r="E351" s="148"/>
      <c r="F351" s="148"/>
      <c r="G351" s="148">
        <v>1.26</v>
      </c>
      <c r="H351" s="154">
        <f>ROUND(D351*G351,2)</f>
        <v>20.16</v>
      </c>
      <c r="I351" s="247" t="s">
        <v>386</v>
      </c>
    </row>
    <row r="352" spans="1:16" ht="18" customHeight="1">
      <c r="B352" s="156" t="s">
        <v>360</v>
      </c>
      <c r="C352" s="157"/>
      <c r="D352" s="250">
        <f>G26*4+G27*4+G28*4+G29*4+G30*4</f>
        <v>0</v>
      </c>
      <c r="E352" s="148"/>
      <c r="F352" s="148"/>
      <c r="G352" s="148">
        <v>2</v>
      </c>
      <c r="H352" s="154">
        <f>ROUND(D352*G352,2)</f>
        <v>0</v>
      </c>
      <c r="I352" s="247" t="s">
        <v>361</v>
      </c>
    </row>
    <row r="353" spans="1:22" ht="18" customHeight="1">
      <c r="B353" s="156" t="s">
        <v>249</v>
      </c>
      <c r="C353" s="157"/>
      <c r="D353" s="250"/>
      <c r="E353" s="148"/>
      <c r="F353" s="148"/>
      <c r="G353" s="148">
        <v>1.6</v>
      </c>
      <c r="H353" s="154"/>
      <c r="I353" s="247"/>
    </row>
    <row r="354" spans="1:22" ht="18" customHeight="1">
      <c r="B354" s="156" t="s">
        <v>250</v>
      </c>
      <c r="C354" s="157"/>
      <c r="D354" s="44">
        <f>C22+C31+C38+C48+C56+C64+C112+C119+C126+C133+C139+C199</f>
        <v>13.852</v>
      </c>
      <c r="E354" s="148"/>
      <c r="F354" s="148"/>
      <c r="G354" s="179">
        <v>4</v>
      </c>
      <c r="H354" s="154">
        <f t="shared" ref="H354:H356" si="57">ROUND(D354*G354,2)</f>
        <v>55.41</v>
      </c>
      <c r="I354" s="247"/>
    </row>
    <row r="355" spans="1:22" ht="18" customHeight="1">
      <c r="B355" s="156" t="s">
        <v>251</v>
      </c>
      <c r="C355" s="157" t="s">
        <v>252</v>
      </c>
      <c r="D355" s="44">
        <f>C88+C163</f>
        <v>0</v>
      </c>
      <c r="E355" s="148"/>
      <c r="F355" s="148"/>
      <c r="G355" s="179">
        <v>3.15</v>
      </c>
      <c r="H355" s="154">
        <f t="shared" si="57"/>
        <v>0</v>
      </c>
      <c r="I355" s="247"/>
    </row>
    <row r="356" spans="1:22" ht="18" customHeight="1">
      <c r="B356" s="156" t="s">
        <v>253</v>
      </c>
      <c r="C356" s="157" t="s">
        <v>254</v>
      </c>
      <c r="D356" s="44">
        <f>C97+C104+C146+C153</f>
        <v>6.4960000000000004</v>
      </c>
      <c r="E356" s="148"/>
      <c r="F356" s="148"/>
      <c r="G356" s="179">
        <v>3.65</v>
      </c>
      <c r="H356" s="154">
        <f t="shared" si="57"/>
        <v>23.71</v>
      </c>
      <c r="I356" s="247"/>
    </row>
    <row r="357" spans="1:22" ht="18" customHeight="1">
      <c r="B357" s="156" t="s">
        <v>387</v>
      </c>
      <c r="C357" s="157"/>
      <c r="D357" s="44">
        <f>F291+F292</f>
        <v>2</v>
      </c>
      <c r="E357" s="148"/>
      <c r="F357" s="148"/>
      <c r="G357" s="179">
        <v>6</v>
      </c>
      <c r="H357" s="154"/>
      <c r="I357" s="247"/>
    </row>
    <row r="358" spans="1:22" ht="18" customHeight="1">
      <c r="B358" s="156" t="s">
        <v>255</v>
      </c>
      <c r="C358" s="157"/>
      <c r="D358" s="180">
        <f>D4*1.5/1000</f>
        <v>1.8</v>
      </c>
      <c r="E358" s="148"/>
      <c r="F358" s="148"/>
      <c r="G358" s="148">
        <v>70</v>
      </c>
      <c r="H358" s="154">
        <f>D358*G358</f>
        <v>126</v>
      </c>
      <c r="I358" s="247"/>
    </row>
    <row r="359" spans="1:22" ht="18" customHeight="1">
      <c r="B359" s="156" t="s">
        <v>858</v>
      </c>
      <c r="C359" s="157"/>
      <c r="D359" s="180"/>
      <c r="E359" s="148"/>
      <c r="F359" s="148"/>
      <c r="G359" s="148">
        <v>180</v>
      </c>
      <c r="H359" s="154">
        <f>D359*G359</f>
        <v>0</v>
      </c>
      <c r="I359" s="247"/>
    </row>
    <row r="360" spans="1:22" ht="18" customHeight="1">
      <c r="B360" s="156" t="s">
        <v>388</v>
      </c>
      <c r="C360" s="157"/>
      <c r="D360" s="250">
        <v>1</v>
      </c>
      <c r="E360" s="148"/>
      <c r="F360" s="148"/>
      <c r="G360" s="148">
        <v>9.6</v>
      </c>
      <c r="H360" s="154">
        <f>ROUND(D360*G360,2)</f>
        <v>9.6</v>
      </c>
      <c r="I360" s="247"/>
    </row>
    <row r="361" spans="1:22" ht="18" customHeight="1">
      <c r="B361" s="156"/>
      <c r="C361" s="157"/>
      <c r="D361" s="463"/>
      <c r="E361" s="148"/>
      <c r="F361" s="148"/>
      <c r="G361" s="148"/>
      <c r="H361" s="154"/>
      <c r="I361" s="468"/>
    </row>
    <row r="362" spans="1:22" ht="18" customHeight="1">
      <c r="B362" s="181" t="s">
        <v>398</v>
      </c>
      <c r="C362" s="157"/>
      <c r="D362" s="182">
        <f>F366</f>
        <v>1.43736</v>
      </c>
      <c r="E362" s="148"/>
      <c r="F362" s="148"/>
      <c r="G362" s="148">
        <v>3</v>
      </c>
      <c r="H362" s="154">
        <f>D362*G362</f>
        <v>4.3120799999999999</v>
      </c>
      <c r="I362" s="247"/>
    </row>
    <row r="363" spans="1:22" ht="18" customHeight="1">
      <c r="B363" s="150" t="s">
        <v>256</v>
      </c>
      <c r="C363" s="50"/>
      <c r="D363" s="50"/>
      <c r="E363" s="50"/>
      <c r="F363" s="50"/>
      <c r="G363" s="166"/>
      <c r="H363" s="155">
        <f>SUM(H351:H362)</f>
        <v>239.19208</v>
      </c>
      <c r="I363" s="183"/>
    </row>
    <row r="364" spans="1:22" ht="18" customHeight="1">
      <c r="B364" s="248" t="s">
        <v>257</v>
      </c>
      <c r="C364" s="185"/>
      <c r="D364" s="186"/>
      <c r="E364" s="185"/>
      <c r="F364" s="186"/>
      <c r="G364" s="186"/>
      <c r="H364" s="187">
        <f>SUM(H363,H350,H337,H322,H314,H308,H304)</f>
        <v>845.20252200000004</v>
      </c>
      <c r="I364" s="188"/>
    </row>
    <row r="365" spans="1:22" ht="18" customHeight="1">
      <c r="A365" s="189"/>
      <c r="B365" s="190" t="s">
        <v>258</v>
      </c>
      <c r="C365" s="10" t="s">
        <v>14</v>
      </c>
      <c r="D365" s="10" t="s">
        <v>16</v>
      </c>
      <c r="E365" s="10" t="s">
        <v>17</v>
      </c>
      <c r="F365" s="10" t="s">
        <v>7</v>
      </c>
      <c r="G365" s="10" t="s">
        <v>5</v>
      </c>
      <c r="H365" s="10" t="s">
        <v>18</v>
      </c>
      <c r="I365" s="191" t="s">
        <v>259</v>
      </c>
      <c r="L365" s="192"/>
      <c r="M365" s="192"/>
    </row>
    <row r="366" spans="1:22" ht="18" customHeight="1">
      <c r="B366" s="48">
        <f>ROUND(I366/F366,2)</f>
        <v>1630.53</v>
      </c>
      <c r="C366" s="50" t="s">
        <v>299</v>
      </c>
      <c r="D366" s="50">
        <f>D5</f>
        <v>1130</v>
      </c>
      <c r="E366" s="50">
        <f>E5</f>
        <v>1272</v>
      </c>
      <c r="F366" s="49">
        <f>E366*D366/1000000</f>
        <v>1.43736</v>
      </c>
      <c r="G366" s="50">
        <f>G4</f>
        <v>1</v>
      </c>
      <c r="H366" s="49">
        <f>F366</f>
        <v>1.43736</v>
      </c>
      <c r="I366" s="193">
        <f>H364+H291+H292+I223+I12</f>
        <v>2343.6591663600002</v>
      </c>
      <c r="K366" s="192"/>
    </row>
    <row r="367" spans="1:22" ht="18" customHeight="1">
      <c r="B367" s="194" t="s">
        <v>258</v>
      </c>
      <c r="C367" s="195" t="s">
        <v>260</v>
      </c>
      <c r="D367" s="195" t="s">
        <v>261</v>
      </c>
      <c r="E367" s="195" t="s">
        <v>262</v>
      </c>
      <c r="F367" s="195" t="s">
        <v>263</v>
      </c>
      <c r="G367" s="195" t="s">
        <v>264</v>
      </c>
      <c r="H367" s="195" t="s">
        <v>265</v>
      </c>
      <c r="I367" s="196" t="s">
        <v>266</v>
      </c>
    </row>
    <row r="368" spans="1:22" ht="30" customHeight="1" thickBot="1">
      <c r="B368" s="197">
        <f>ROUND(I366/H366,2)</f>
        <v>1630.53</v>
      </c>
      <c r="C368" s="198">
        <f>E294+E296+E298+E300+E302+E303+E297+E299</f>
        <v>2</v>
      </c>
      <c r="D368" s="199"/>
      <c r="E368" s="199"/>
      <c r="F368" s="200"/>
      <c r="G368" s="200"/>
      <c r="H368" s="200"/>
      <c r="I368" s="201"/>
      <c r="O368" s="631" t="s">
        <v>603</v>
      </c>
      <c r="P368" s="631"/>
      <c r="Q368" s="631"/>
      <c r="R368" s="631"/>
      <c r="S368" s="631"/>
      <c r="T368" s="631"/>
      <c r="U368" s="631"/>
      <c r="V368" s="631"/>
    </row>
    <row r="369" spans="2:22" ht="20.100000000000001" customHeight="1">
      <c r="B369" s="42"/>
      <c r="L369" s="202"/>
      <c r="M369" s="202"/>
      <c r="N369" s="202"/>
      <c r="O369" s="634" t="s">
        <v>604</v>
      </c>
      <c r="P369" s="634"/>
      <c r="Q369" s="634"/>
      <c r="R369" s="634"/>
      <c r="S369" s="634"/>
      <c r="T369" s="634"/>
      <c r="U369" s="634"/>
      <c r="V369" s="634"/>
    </row>
    <row r="370" spans="2:22" ht="20.100000000000001" customHeight="1">
      <c r="B370" s="102" t="s">
        <v>602</v>
      </c>
      <c r="C370" s="203"/>
      <c r="D370" s="203" t="s">
        <v>267</v>
      </c>
      <c r="E370" s="203"/>
      <c r="J370" s="102"/>
      <c r="O370" s="285" t="s">
        <v>279</v>
      </c>
      <c r="P370" s="624" t="s">
        <v>633</v>
      </c>
      <c r="Q370" s="625"/>
      <c r="R370" s="312" t="str">
        <f ca="1">B4</f>
        <v>套窗</v>
      </c>
      <c r="S370" s="312"/>
      <c r="T370" s="313"/>
      <c r="U370" s="287" t="s">
        <v>605</v>
      </c>
      <c r="V370" s="288"/>
    </row>
    <row r="371" spans="2:22" ht="24.95" customHeight="1">
      <c r="B371" s="102">
        <f>ROUND(I366/F4,2)</f>
        <v>1455.33</v>
      </c>
      <c r="C371" s="203"/>
      <c r="D371" s="203">
        <f>E304</f>
        <v>2</v>
      </c>
      <c r="E371" s="203"/>
      <c r="J371" s="102"/>
      <c r="O371" s="635" t="s">
        <v>606</v>
      </c>
      <c r="P371" s="623" t="s">
        <v>626</v>
      </c>
      <c r="Q371" s="623"/>
      <c r="R371" s="623"/>
      <c r="S371" s="623"/>
      <c r="T371" s="637"/>
      <c r="U371" s="291" t="s">
        <v>607</v>
      </c>
      <c r="V371" s="292" t="s">
        <v>313</v>
      </c>
    </row>
    <row r="372" spans="2:22" ht="24.95" customHeight="1">
      <c r="L372" s="102"/>
      <c r="M372" s="102"/>
      <c r="N372" s="102"/>
      <c r="O372" s="636"/>
      <c r="P372" s="638"/>
      <c r="Q372" s="638"/>
      <c r="R372" s="638"/>
      <c r="S372" s="638"/>
      <c r="T372" s="638"/>
      <c r="U372" s="291" t="s">
        <v>268</v>
      </c>
      <c r="V372" s="293">
        <f>F4</f>
        <v>1.6104000000000001</v>
      </c>
    </row>
    <row r="373" spans="2:22" ht="24.95" customHeight="1">
      <c r="J373" s="102"/>
      <c r="K373" s="102"/>
      <c r="L373" s="102"/>
      <c r="M373" s="102"/>
      <c r="N373" s="102"/>
      <c r="O373" s="311" t="s">
        <v>0</v>
      </c>
      <c r="P373" s="289" t="s">
        <v>608</v>
      </c>
      <c r="Q373" s="289" t="s">
        <v>627</v>
      </c>
      <c r="R373" s="289" t="s">
        <v>269</v>
      </c>
      <c r="S373" s="294" t="s">
        <v>8</v>
      </c>
      <c r="T373" s="295" t="s">
        <v>609</v>
      </c>
      <c r="U373" s="296" t="s">
        <v>270</v>
      </c>
      <c r="V373" s="295" t="s">
        <v>610</v>
      </c>
    </row>
    <row r="374" spans="2:22" ht="20.100000000000001" customHeight="1">
      <c r="J374" s="102"/>
      <c r="K374" s="102"/>
      <c r="L374" s="102"/>
      <c r="M374" s="102"/>
      <c r="N374" s="102"/>
      <c r="O374" s="297" t="s">
        <v>305</v>
      </c>
      <c r="P374" s="298" t="s">
        <v>611</v>
      </c>
      <c r="Q374" s="298"/>
      <c r="R374" s="286"/>
      <c r="S374" s="299"/>
      <c r="T374" s="300"/>
      <c r="U374" s="301">
        <f>SUM(U375:U383)</f>
        <v>2107.65617436</v>
      </c>
      <c r="V374" s="286"/>
    </row>
    <row r="375" spans="2:22" ht="20.100000000000001" customHeight="1">
      <c r="J375" s="102"/>
      <c r="K375" s="102"/>
      <c r="L375" s="102"/>
      <c r="M375" s="102"/>
      <c r="N375" s="102"/>
      <c r="O375" s="286">
        <v>1</v>
      </c>
      <c r="P375" s="302" t="s">
        <v>612</v>
      </c>
      <c r="Q375" s="307"/>
      <c r="R375" s="286" t="s">
        <v>271</v>
      </c>
      <c r="S375" s="303">
        <f>E223</f>
        <v>28.234020800000003</v>
      </c>
      <c r="T375" s="304">
        <f>I223/E223</f>
        <v>47.549254633969802</v>
      </c>
      <c r="U375" s="305">
        <f t="shared" ref="U375:U383" si="58">T375*S375</f>
        <v>1342.5066443599999</v>
      </c>
      <c r="V375" s="306"/>
    </row>
    <row r="376" spans="2:22" ht="20.100000000000001" customHeight="1">
      <c r="J376" s="102"/>
      <c r="K376" s="102"/>
      <c r="L376" s="102"/>
      <c r="M376" s="102"/>
      <c r="N376" s="102"/>
      <c r="O376" s="286">
        <v>2</v>
      </c>
      <c r="P376" s="290" t="s">
        <v>613</v>
      </c>
      <c r="Q376" s="307"/>
      <c r="R376" s="286" t="s">
        <v>276</v>
      </c>
      <c r="S376" s="303">
        <f>D358</f>
        <v>1.8</v>
      </c>
      <c r="T376" s="304">
        <f>G358</f>
        <v>70</v>
      </c>
      <c r="U376" s="305">
        <f t="shared" si="58"/>
        <v>126</v>
      </c>
      <c r="V376" s="306"/>
    </row>
    <row r="377" spans="2:22" ht="20.100000000000001" customHeight="1">
      <c r="J377" s="102"/>
      <c r="K377" s="102"/>
      <c r="L377" s="102"/>
      <c r="M377" s="102"/>
      <c r="N377" s="102"/>
      <c r="O377" s="286">
        <v>3</v>
      </c>
      <c r="P377" s="302" t="s">
        <v>614</v>
      </c>
      <c r="Q377" s="302"/>
      <c r="R377" s="286" t="s">
        <v>312</v>
      </c>
      <c r="S377" s="303">
        <f>D291+D292</f>
        <v>1.053696</v>
      </c>
      <c r="T377" s="304">
        <f>材料价格!B10</f>
        <v>148</v>
      </c>
      <c r="U377" s="305">
        <f t="shared" si="58"/>
        <v>155.94700799999998</v>
      </c>
      <c r="V377" s="306"/>
    </row>
    <row r="378" spans="2:22" ht="20.100000000000001" customHeight="1">
      <c r="B378" s="630" t="s">
        <v>277</v>
      </c>
      <c r="C378" s="630"/>
      <c r="D378" s="630"/>
      <c r="E378" s="630"/>
      <c r="F378" s="630"/>
      <c r="G378" s="630"/>
      <c r="H378" s="630"/>
      <c r="I378" s="630"/>
      <c r="J378" s="102"/>
      <c r="K378" s="102"/>
      <c r="L378" s="102"/>
      <c r="M378" s="102"/>
      <c r="N378" s="102"/>
      <c r="O378" s="286">
        <v>4</v>
      </c>
      <c r="P378" s="302" t="s">
        <v>615</v>
      </c>
      <c r="Q378" s="306"/>
      <c r="R378" s="286" t="s">
        <v>278</v>
      </c>
      <c r="S378" s="303">
        <f>(H316+H317+H319+H320+H321)/F316</f>
        <v>4.697183098591549</v>
      </c>
      <c r="T378" s="304">
        <f>材料价格!B25</f>
        <v>8.52</v>
      </c>
      <c r="U378" s="305">
        <f t="shared" si="58"/>
        <v>40.019999999999996</v>
      </c>
      <c r="V378" s="306"/>
    </row>
    <row r="379" spans="2:22" ht="20.100000000000001" customHeight="1">
      <c r="B379" s="204" t="s">
        <v>279</v>
      </c>
      <c r="C379" s="205" t="s">
        <v>280</v>
      </c>
      <c r="D379" s="205" t="s">
        <v>281</v>
      </c>
      <c r="E379" s="205" t="s">
        <v>282</v>
      </c>
      <c r="F379" s="205" t="s">
        <v>379</v>
      </c>
      <c r="G379" s="205"/>
      <c r="H379" s="205" t="s">
        <v>28</v>
      </c>
      <c r="I379" s="205" t="s">
        <v>259</v>
      </c>
      <c r="J379" s="102"/>
      <c r="K379" s="102"/>
      <c r="L379" s="102"/>
      <c r="M379" s="102"/>
      <c r="N379" s="102"/>
      <c r="O379" s="286">
        <v>5</v>
      </c>
      <c r="P379" s="306" t="s">
        <v>616</v>
      </c>
      <c r="Q379" s="302"/>
      <c r="R379" s="286" t="s">
        <v>628</v>
      </c>
      <c r="S379" s="303">
        <f>H337/21</f>
        <v>2.3324020000000001</v>
      </c>
      <c r="T379" s="304">
        <v>21</v>
      </c>
      <c r="U379" s="305">
        <f t="shared" si="58"/>
        <v>48.980442000000004</v>
      </c>
      <c r="V379" s="306"/>
    </row>
    <row r="380" spans="2:22" ht="20.100000000000001" customHeight="1">
      <c r="B380" s="206" t="s">
        <v>284</v>
      </c>
      <c r="C380" s="208" t="s">
        <v>384</v>
      </c>
      <c r="D380" s="207">
        <f>C22+C31+C38+C48+C56+C112+C119+C126+C133+C139+C177+C184+C191+C199</f>
        <v>13.852</v>
      </c>
      <c r="E380" s="207" t="s">
        <v>383</v>
      </c>
      <c r="F380" s="206"/>
      <c r="G380" s="206"/>
      <c r="H380" s="241">
        <v>2.4</v>
      </c>
      <c r="I380" s="207"/>
      <c r="J380" s="102"/>
      <c r="K380" s="102"/>
      <c r="L380" s="102"/>
      <c r="M380" s="102"/>
      <c r="N380" s="102"/>
      <c r="O380" s="286">
        <v>6</v>
      </c>
      <c r="P380" s="302" t="s">
        <v>319</v>
      </c>
      <c r="Q380" s="302"/>
      <c r="R380" s="286" t="s">
        <v>273</v>
      </c>
      <c r="S380" s="303">
        <f>E298</f>
        <v>2</v>
      </c>
      <c r="T380" s="304">
        <f>材料价格!B16</f>
        <v>88</v>
      </c>
      <c r="U380" s="305">
        <f t="shared" si="58"/>
        <v>176</v>
      </c>
      <c r="V380" s="306"/>
    </row>
    <row r="381" spans="2:22" ht="20.100000000000001" customHeight="1">
      <c r="B381" s="206" t="s">
        <v>286</v>
      </c>
      <c r="C381" s="206" t="s">
        <v>287</v>
      </c>
      <c r="D381" s="209">
        <f>(J22+J31+J38+J48+J112+J119+J126)*4+(J56+J133)*2</f>
        <v>14</v>
      </c>
      <c r="E381" s="207" t="s">
        <v>285</v>
      </c>
      <c r="F381" s="206"/>
      <c r="G381" s="206"/>
      <c r="H381" s="241">
        <v>0.5</v>
      </c>
      <c r="I381" s="207">
        <f>H381*D381</f>
        <v>7</v>
      </c>
      <c r="J381" s="102"/>
      <c r="K381" s="102"/>
      <c r="L381" s="102"/>
      <c r="M381" s="102"/>
      <c r="N381" s="102"/>
      <c r="O381" s="286">
        <v>7</v>
      </c>
      <c r="P381" s="302" t="s">
        <v>295</v>
      </c>
      <c r="Q381" s="302"/>
      <c r="R381" s="286" t="s">
        <v>273</v>
      </c>
      <c r="S381" s="303"/>
      <c r="T381" s="304">
        <f>材料价格!B19</f>
        <v>230</v>
      </c>
      <c r="U381" s="305">
        <f t="shared" si="58"/>
        <v>0</v>
      </c>
      <c r="V381" s="306"/>
    </row>
    <row r="382" spans="2:22" ht="20.100000000000001" customHeight="1">
      <c r="B382" s="206" t="s">
        <v>289</v>
      </c>
      <c r="C382" s="206"/>
      <c r="D382" s="210">
        <f>ROUND((C22+C56*2+C64*2+C112+C133*2+C139*2)/0.3,0)+2</f>
        <v>28</v>
      </c>
      <c r="E382" s="207" t="s">
        <v>285</v>
      </c>
      <c r="F382" s="206"/>
      <c r="G382" s="206"/>
      <c r="H382" s="241">
        <v>0.3</v>
      </c>
      <c r="I382" s="207">
        <f t="shared" ref="I382:I387" si="59">H382*D382</f>
        <v>8.4</v>
      </c>
      <c r="J382" s="102"/>
      <c r="K382" s="102"/>
      <c r="L382" s="102"/>
      <c r="M382" s="102"/>
      <c r="N382" s="102"/>
      <c r="O382" s="286">
        <v>8</v>
      </c>
      <c r="P382" s="302" t="s">
        <v>296</v>
      </c>
      <c r="Q382" s="302"/>
      <c r="R382" s="286" t="s">
        <v>273</v>
      </c>
      <c r="S382" s="303">
        <f>E303</f>
        <v>0</v>
      </c>
      <c r="T382" s="304">
        <f>材料价格!B20</f>
        <v>335</v>
      </c>
      <c r="U382" s="305">
        <f t="shared" si="58"/>
        <v>0</v>
      </c>
      <c r="V382" s="306"/>
    </row>
    <row r="383" spans="2:22" ht="20.100000000000001" customHeight="1">
      <c r="B383" s="206" t="s">
        <v>381</v>
      </c>
      <c r="C383" s="206" t="s">
        <v>389</v>
      </c>
      <c r="D383" s="211">
        <f>C22+C31+C38+C56*2+C64*2+C112+C119+C126+C133*2</f>
        <v>15.148000000000001</v>
      </c>
      <c r="E383" s="207" t="s">
        <v>285</v>
      </c>
      <c r="F383" s="206" t="s">
        <v>380</v>
      </c>
      <c r="G383" s="206"/>
      <c r="H383" s="241">
        <v>2.81</v>
      </c>
      <c r="I383" s="207">
        <f>H383*D383</f>
        <v>42.565880000000007</v>
      </c>
      <c r="J383" s="102"/>
      <c r="K383" s="102"/>
      <c r="L383" s="102"/>
      <c r="M383" s="102"/>
      <c r="N383" s="102"/>
      <c r="O383" s="286">
        <v>9</v>
      </c>
      <c r="P383" s="302" t="s">
        <v>617</v>
      </c>
      <c r="Q383" s="302"/>
      <c r="R383" s="286" t="s">
        <v>618</v>
      </c>
      <c r="S383" s="296">
        <v>1</v>
      </c>
      <c r="T383" s="304">
        <f>H363-H358+H350+H318+H315+H314</f>
        <v>218.20208000000002</v>
      </c>
      <c r="U383" s="305">
        <f t="shared" si="58"/>
        <v>218.20208000000002</v>
      </c>
      <c r="V383" s="306"/>
    </row>
    <row r="384" spans="2:22" ht="20.100000000000001" customHeight="1">
      <c r="B384" s="206" t="s">
        <v>390</v>
      </c>
      <c r="C384" s="206" t="s">
        <v>392</v>
      </c>
      <c r="D384" s="211">
        <f>C22+C88+C112+C163</f>
        <v>5.0839999999999996</v>
      </c>
      <c r="E384" s="207" t="s">
        <v>285</v>
      </c>
      <c r="F384" s="206" t="s">
        <v>394</v>
      </c>
      <c r="G384" s="206"/>
      <c r="H384" s="241">
        <v>3.27</v>
      </c>
      <c r="I384" s="207">
        <f t="shared" ref="I384" si="60">H384*D384</f>
        <v>16.624679999999998</v>
      </c>
      <c r="J384" s="102"/>
      <c r="K384" s="102"/>
      <c r="L384" s="102"/>
      <c r="M384" s="102"/>
      <c r="N384" s="102"/>
      <c r="O384" s="297" t="s">
        <v>306</v>
      </c>
      <c r="P384" s="308" t="s">
        <v>314</v>
      </c>
      <c r="Q384" s="298"/>
      <c r="R384" s="286"/>
      <c r="S384" s="296"/>
      <c r="T384" s="309"/>
      <c r="U384" s="301">
        <f>SUM(U385:U386)</f>
        <v>257.66399999999999</v>
      </c>
      <c r="V384" s="286"/>
    </row>
    <row r="385" spans="2:22" ht="20.100000000000001" customHeight="1">
      <c r="B385" s="206" t="s">
        <v>391</v>
      </c>
      <c r="C385" s="206" t="s">
        <v>393</v>
      </c>
      <c r="D385" s="211">
        <f>(C97+C104+C119+C126)*2</f>
        <v>12.992000000000001</v>
      </c>
      <c r="E385" s="207" t="s">
        <v>285</v>
      </c>
      <c r="F385" s="206" t="s">
        <v>395</v>
      </c>
      <c r="G385" s="206"/>
      <c r="H385" s="241">
        <v>1.74</v>
      </c>
      <c r="I385" s="207">
        <f t="shared" si="59"/>
        <v>22.606080000000002</v>
      </c>
      <c r="J385" s="102"/>
      <c r="K385" s="102"/>
      <c r="L385" s="102"/>
      <c r="M385" s="102"/>
      <c r="N385" s="102"/>
      <c r="O385" s="286">
        <v>1</v>
      </c>
      <c r="P385" s="307" t="s">
        <v>619</v>
      </c>
      <c r="Q385" s="307"/>
      <c r="R385" s="300" t="s">
        <v>312</v>
      </c>
      <c r="S385" s="296">
        <f>V372</f>
        <v>1.6104000000000001</v>
      </c>
      <c r="T385" s="310">
        <v>60</v>
      </c>
      <c r="U385" s="305">
        <f>T385*S385</f>
        <v>96.624000000000009</v>
      </c>
      <c r="V385" s="286"/>
    </row>
    <row r="386" spans="2:22" ht="20.100000000000001" customHeight="1">
      <c r="B386" s="208" t="s">
        <v>382</v>
      </c>
      <c r="C386" s="206" t="s">
        <v>291</v>
      </c>
      <c r="D386" s="211">
        <f>D338+D339+D341</f>
        <v>10</v>
      </c>
      <c r="E386" s="207" t="s">
        <v>285</v>
      </c>
      <c r="F386" s="206"/>
      <c r="G386" s="206"/>
      <c r="H386" s="241">
        <v>0.56999999999999995</v>
      </c>
      <c r="I386" s="207">
        <f>H386*D386</f>
        <v>5.6999999999999993</v>
      </c>
      <c r="J386" s="102"/>
      <c r="K386" s="102"/>
      <c r="L386" s="102"/>
      <c r="M386" s="102"/>
      <c r="N386" s="102"/>
      <c r="O386" s="286">
        <v>2</v>
      </c>
      <c r="P386" s="307" t="s">
        <v>288</v>
      </c>
      <c r="Q386" s="307"/>
      <c r="R386" s="300" t="s">
        <v>312</v>
      </c>
      <c r="S386" s="296">
        <f>V372</f>
        <v>1.6104000000000001</v>
      </c>
      <c r="T386" s="310">
        <v>100</v>
      </c>
      <c r="U386" s="305">
        <f>T386*S386</f>
        <v>161.04</v>
      </c>
      <c r="V386" s="286"/>
    </row>
    <row r="387" spans="2:22" ht="20.100000000000001" customHeight="1">
      <c r="B387" s="206" t="s">
        <v>292</v>
      </c>
      <c r="C387" s="206"/>
      <c r="D387" s="211">
        <f>H366</f>
        <v>1.43736</v>
      </c>
      <c r="E387" s="207" t="s">
        <v>285</v>
      </c>
      <c r="F387" s="206"/>
      <c r="G387" s="206"/>
      <c r="H387" s="241">
        <v>20</v>
      </c>
      <c r="I387" s="207">
        <f t="shared" si="59"/>
        <v>28.747199999999999</v>
      </c>
      <c r="J387" s="102"/>
      <c r="K387" s="102"/>
      <c r="L387" s="102"/>
      <c r="M387" s="102"/>
      <c r="N387" s="102"/>
      <c r="O387" s="297" t="s">
        <v>307</v>
      </c>
      <c r="P387" s="308" t="s">
        <v>290</v>
      </c>
      <c r="Q387" s="298"/>
      <c r="R387" s="286"/>
      <c r="S387" s="296"/>
      <c r="T387" s="309"/>
      <c r="U387" s="301">
        <f>SUM(U388)</f>
        <v>32.207999999999998</v>
      </c>
      <c r="V387" s="286"/>
    </row>
    <row r="388" spans="2:22" ht="20.100000000000001" customHeight="1">
      <c r="B388" s="212" t="s">
        <v>4</v>
      </c>
      <c r="C388" s="213"/>
      <c r="D388" s="212"/>
      <c r="E388" s="212"/>
      <c r="F388" s="212"/>
      <c r="G388" s="212"/>
      <c r="H388" s="212"/>
      <c r="I388" s="213">
        <f>SUM(I380:I387)</f>
        <v>131.64384000000001</v>
      </c>
      <c r="J388" s="242"/>
      <c r="K388" s="102"/>
      <c r="L388" s="102"/>
      <c r="M388" s="102"/>
      <c r="N388" s="102"/>
      <c r="O388" s="286">
        <v>1</v>
      </c>
      <c r="P388" s="307" t="s">
        <v>290</v>
      </c>
      <c r="Q388" s="307"/>
      <c r="R388" s="300" t="s">
        <v>312</v>
      </c>
      <c r="S388" s="296">
        <f>V372</f>
        <v>1.6104000000000001</v>
      </c>
      <c r="T388" s="310">
        <v>20</v>
      </c>
      <c r="U388" s="305">
        <f>T388*S388</f>
        <v>32.207999999999998</v>
      </c>
      <c r="V388" s="286"/>
    </row>
    <row r="389" spans="2:22" ht="20.100000000000001" customHeight="1">
      <c r="J389" s="102"/>
      <c r="K389" s="102"/>
      <c r="L389" s="102"/>
      <c r="M389" s="102"/>
      <c r="N389" s="102"/>
      <c r="O389" s="286" t="s">
        <v>308</v>
      </c>
      <c r="P389" s="618" t="s">
        <v>620</v>
      </c>
      <c r="Q389" s="619"/>
      <c r="R389" s="620"/>
      <c r="S389" s="621"/>
      <c r="T389" s="622"/>
      <c r="U389" s="301">
        <f>U374+U384+U387</f>
        <v>2397.5281743600003</v>
      </c>
      <c r="V389" s="286"/>
    </row>
    <row r="390" spans="2:22" ht="20.100000000000001" customHeight="1">
      <c r="J390" s="102"/>
      <c r="K390" s="102"/>
      <c r="L390" s="102"/>
      <c r="M390" s="102"/>
      <c r="N390" s="102"/>
      <c r="O390" s="286" t="s">
        <v>309</v>
      </c>
      <c r="P390" s="618" t="s">
        <v>621</v>
      </c>
      <c r="Q390" s="619"/>
      <c r="R390" s="626">
        <v>0.2</v>
      </c>
      <c r="S390" s="627"/>
      <c r="T390" s="628"/>
      <c r="U390" s="301">
        <f>U389*R390</f>
        <v>479.50563487200009</v>
      </c>
      <c r="V390" s="286"/>
    </row>
    <row r="391" spans="2:22" ht="20.100000000000001" customHeight="1">
      <c r="J391" s="102"/>
      <c r="K391" s="102"/>
      <c r="L391" s="102"/>
      <c r="M391" s="102"/>
      <c r="N391" s="102"/>
      <c r="O391" s="286" t="s">
        <v>310</v>
      </c>
      <c r="P391" s="618" t="s">
        <v>622</v>
      </c>
      <c r="Q391" s="619"/>
      <c r="R391" s="620"/>
      <c r="S391" s="621"/>
      <c r="T391" s="622"/>
      <c r="U391" s="301">
        <f>U389+U390</f>
        <v>2877.0338092320003</v>
      </c>
      <c r="V391" s="286"/>
    </row>
    <row r="392" spans="2:22" ht="30" customHeight="1">
      <c r="L392" s="102"/>
      <c r="M392" s="102"/>
      <c r="N392" s="102"/>
      <c r="O392" s="297" t="s">
        <v>311</v>
      </c>
      <c r="P392" s="618" t="s">
        <v>623</v>
      </c>
      <c r="Q392" s="619"/>
      <c r="R392" s="620"/>
      <c r="S392" s="621"/>
      <c r="T392" s="622"/>
      <c r="U392" s="301">
        <f>U391/V372</f>
        <v>1786.5336619672132</v>
      </c>
      <c r="V392" s="286" t="s">
        <v>624</v>
      </c>
    </row>
    <row r="393" spans="2:22" ht="45" customHeight="1">
      <c r="L393" s="102"/>
      <c r="M393" s="102"/>
      <c r="N393" s="102"/>
      <c r="O393" s="623" t="s">
        <v>625</v>
      </c>
      <c r="P393" s="623"/>
      <c r="Q393" s="623"/>
      <c r="R393" s="623"/>
      <c r="S393" s="623"/>
      <c r="T393" s="623"/>
      <c r="U393" s="623"/>
      <c r="V393" s="623"/>
    </row>
    <row r="394" spans="2:22" ht="18" customHeight="1">
      <c r="L394" s="102"/>
      <c r="M394" s="102"/>
      <c r="N394" s="102"/>
      <c r="O394" s="102"/>
      <c r="P394" s="102"/>
    </row>
    <row r="395" spans="2:22">
      <c r="L395" s="102"/>
      <c r="M395" s="102"/>
      <c r="N395" s="102"/>
      <c r="O395" s="102"/>
      <c r="P395" s="102"/>
    </row>
    <row r="396" spans="2:22">
      <c r="L396" s="102"/>
      <c r="M396" s="102"/>
      <c r="N396" s="102"/>
      <c r="O396" s="102"/>
      <c r="P396" s="102"/>
    </row>
    <row r="397" spans="2:22">
      <c r="L397" s="102"/>
      <c r="M397" s="102"/>
      <c r="N397" s="102"/>
      <c r="O397" s="102"/>
      <c r="P397" s="102"/>
    </row>
    <row r="398" spans="2:22">
      <c r="L398" s="102"/>
      <c r="M398" s="102"/>
      <c r="N398" s="102"/>
      <c r="O398" s="102"/>
      <c r="P398" s="102"/>
    </row>
    <row r="399" spans="2:22">
      <c r="L399" s="102"/>
      <c r="M399" s="102"/>
      <c r="N399" s="102"/>
      <c r="O399" s="102"/>
      <c r="P399" s="102"/>
    </row>
    <row r="400" spans="2:22">
      <c r="L400" s="102"/>
      <c r="M400" s="102"/>
      <c r="N400" s="102"/>
      <c r="O400" s="102"/>
      <c r="P400" s="102"/>
    </row>
    <row r="401" spans="12:16">
      <c r="L401" s="102"/>
      <c r="M401" s="102"/>
      <c r="N401" s="102"/>
      <c r="O401" s="102"/>
      <c r="P401" s="102"/>
    </row>
    <row r="402" spans="12:16">
      <c r="L402" s="102"/>
      <c r="M402" s="102"/>
      <c r="N402" s="102"/>
      <c r="O402" s="102"/>
      <c r="P402" s="102"/>
    </row>
    <row r="403" spans="12:16">
      <c r="L403" s="102"/>
      <c r="M403" s="102"/>
      <c r="N403" s="102"/>
      <c r="O403" s="102"/>
      <c r="P403" s="102"/>
    </row>
    <row r="404" spans="12:16">
      <c r="L404" s="102"/>
      <c r="M404" s="102"/>
      <c r="N404" s="102"/>
      <c r="O404" s="102"/>
      <c r="P404" s="102"/>
    </row>
    <row r="405" spans="12:16">
      <c r="L405" s="102"/>
      <c r="M405" s="102"/>
      <c r="N405" s="102"/>
      <c r="O405" s="102"/>
      <c r="P405" s="102"/>
    </row>
    <row r="406" spans="12:16">
      <c r="L406" s="102"/>
      <c r="M406" s="102"/>
      <c r="N406" s="102"/>
      <c r="O406" s="102"/>
      <c r="P406" s="102"/>
    </row>
    <row r="407" spans="12:16">
      <c r="L407" s="102"/>
      <c r="M407" s="102"/>
      <c r="N407" s="102"/>
      <c r="O407" s="102"/>
      <c r="P407" s="102"/>
    </row>
    <row r="408" spans="12:16">
      <c r="L408" s="102"/>
      <c r="M408" s="102"/>
      <c r="N408" s="102"/>
      <c r="O408" s="102"/>
      <c r="P408" s="102"/>
    </row>
    <row r="409" spans="12:16">
      <c r="L409" s="102"/>
      <c r="M409" s="102"/>
      <c r="N409" s="102"/>
      <c r="O409" s="102"/>
      <c r="P409" s="102"/>
    </row>
    <row r="410" spans="12:16">
      <c r="L410" s="102"/>
      <c r="M410" s="102"/>
      <c r="N410" s="102"/>
      <c r="O410" s="102"/>
      <c r="P410" s="102"/>
    </row>
    <row r="411" spans="12:16">
      <c r="L411" s="102"/>
      <c r="M411" s="102"/>
      <c r="N411" s="102"/>
      <c r="O411" s="102"/>
      <c r="P411" s="102"/>
    </row>
    <row r="412" spans="12:16">
      <c r="L412" s="102"/>
      <c r="M412" s="102"/>
      <c r="N412" s="102"/>
      <c r="O412" s="102"/>
      <c r="P412" s="102"/>
    </row>
    <row r="413" spans="12:16">
      <c r="L413" s="102"/>
      <c r="M413" s="102"/>
      <c r="N413" s="102"/>
      <c r="O413" s="102"/>
      <c r="P413" s="102"/>
    </row>
    <row r="414" spans="12:16">
      <c r="L414" s="102"/>
      <c r="M414" s="102"/>
      <c r="N414" s="102"/>
      <c r="O414" s="102"/>
      <c r="P414" s="102"/>
    </row>
    <row r="415" spans="12:16">
      <c r="L415" s="102"/>
      <c r="M415" s="102"/>
      <c r="N415" s="102"/>
      <c r="O415" s="102"/>
      <c r="P415" s="102"/>
    </row>
    <row r="416" spans="12:16">
      <c r="L416" s="102"/>
      <c r="M416" s="102"/>
      <c r="N416" s="102"/>
      <c r="O416" s="102"/>
      <c r="P416" s="102"/>
    </row>
    <row r="417" spans="10:16">
      <c r="L417" s="102"/>
      <c r="M417" s="102"/>
      <c r="N417" s="102"/>
      <c r="O417" s="102"/>
      <c r="P417" s="102"/>
    </row>
    <row r="418" spans="10:16">
      <c r="L418" s="102"/>
      <c r="M418" s="102"/>
      <c r="N418" s="102"/>
      <c r="O418" s="102"/>
      <c r="P418" s="102"/>
    </row>
    <row r="419" spans="10:16">
      <c r="L419" s="102"/>
      <c r="M419" s="102"/>
      <c r="N419" s="102"/>
      <c r="O419" s="102"/>
      <c r="P419" s="102"/>
    </row>
    <row r="420" spans="10:16">
      <c r="L420" s="102"/>
      <c r="M420" s="102"/>
      <c r="N420" s="102"/>
      <c r="O420" s="102"/>
      <c r="P420" s="102"/>
    </row>
    <row r="421" spans="10:16">
      <c r="L421" s="102"/>
      <c r="M421" s="102"/>
      <c r="N421" s="102"/>
      <c r="O421" s="102"/>
      <c r="P421" s="102"/>
    </row>
    <row r="422" spans="10:16">
      <c r="L422" s="102"/>
      <c r="M422" s="102"/>
      <c r="N422" s="102"/>
      <c r="O422" s="102"/>
      <c r="P422" s="102"/>
    </row>
    <row r="423" spans="10:16">
      <c r="L423" s="102"/>
      <c r="M423" s="102"/>
      <c r="N423" s="102"/>
      <c r="O423" s="102"/>
      <c r="P423" s="102"/>
    </row>
    <row r="424" spans="10:16">
      <c r="L424" s="102"/>
      <c r="M424" s="102"/>
      <c r="N424" s="102"/>
      <c r="O424" s="102"/>
      <c r="P424" s="102"/>
    </row>
    <row r="425" spans="10:16">
      <c r="L425" s="102"/>
      <c r="M425" s="102"/>
      <c r="N425" s="102"/>
      <c r="O425" s="102"/>
      <c r="P425" s="102"/>
    </row>
    <row r="426" spans="10:16">
      <c r="L426" s="102"/>
      <c r="M426" s="102"/>
      <c r="N426" s="102"/>
      <c r="O426" s="102"/>
      <c r="P426" s="102"/>
    </row>
    <row r="427" spans="10:16">
      <c r="J427" s="102"/>
      <c r="K427" s="102"/>
      <c r="L427" s="102"/>
      <c r="M427" s="102"/>
      <c r="N427" s="102"/>
      <c r="O427" s="102"/>
      <c r="P427" s="102"/>
    </row>
    <row r="428" spans="10:16">
      <c r="J428" s="102"/>
      <c r="K428" s="102"/>
      <c r="L428" s="102"/>
      <c r="M428" s="102"/>
      <c r="N428" s="102"/>
      <c r="O428" s="102"/>
      <c r="P428" s="102"/>
    </row>
    <row r="429" spans="10:16">
      <c r="J429" s="102"/>
      <c r="K429" s="102"/>
      <c r="L429" s="102"/>
      <c r="M429" s="102"/>
      <c r="N429" s="102"/>
      <c r="O429" s="102"/>
      <c r="P429" s="102"/>
    </row>
    <row r="430" spans="10:16">
      <c r="J430" s="102"/>
      <c r="K430" s="102"/>
      <c r="L430" s="102"/>
      <c r="M430" s="102"/>
      <c r="N430" s="102"/>
      <c r="O430" s="102"/>
      <c r="P430" s="102"/>
    </row>
    <row r="431" spans="10:16">
      <c r="J431" s="102"/>
      <c r="K431" s="102"/>
      <c r="L431" s="102"/>
      <c r="M431" s="102"/>
      <c r="N431" s="102"/>
      <c r="O431" s="102"/>
      <c r="P431" s="102"/>
    </row>
    <row r="432" spans="10:16">
      <c r="J432" s="102"/>
      <c r="K432" s="102"/>
      <c r="L432" s="102"/>
      <c r="M432" s="102"/>
      <c r="N432" s="102"/>
      <c r="O432" s="102"/>
      <c r="P432" s="102"/>
    </row>
    <row r="433" spans="10:16">
      <c r="J433" s="102"/>
      <c r="K433" s="102"/>
      <c r="L433" s="102"/>
      <c r="M433" s="102"/>
      <c r="N433" s="102"/>
      <c r="O433" s="102"/>
      <c r="P433" s="102"/>
    </row>
    <row r="434" spans="10:16">
      <c r="J434" s="102"/>
      <c r="K434" s="102"/>
      <c r="L434" s="102"/>
      <c r="M434" s="102"/>
      <c r="N434" s="102"/>
      <c r="O434" s="102"/>
      <c r="P434" s="102"/>
    </row>
    <row r="435" spans="10:16">
      <c r="J435" s="102"/>
      <c r="K435" s="102"/>
      <c r="L435" s="102"/>
      <c r="M435" s="102"/>
      <c r="N435" s="102"/>
      <c r="O435" s="102"/>
      <c r="P435" s="102"/>
    </row>
    <row r="436" spans="10:16">
      <c r="J436" s="102"/>
      <c r="K436" s="102"/>
      <c r="L436" s="102"/>
      <c r="M436" s="102"/>
      <c r="N436" s="102"/>
      <c r="O436" s="102"/>
      <c r="P436" s="102"/>
    </row>
    <row r="437" spans="10:16">
      <c r="J437" s="102"/>
      <c r="K437" s="102"/>
      <c r="L437" s="102"/>
      <c r="M437" s="102"/>
      <c r="N437" s="102"/>
      <c r="O437" s="102"/>
      <c r="P437" s="102"/>
    </row>
    <row r="438" spans="10:16">
      <c r="J438" s="102"/>
      <c r="K438" s="102"/>
      <c r="L438" s="102"/>
      <c r="M438" s="102"/>
      <c r="N438" s="102"/>
      <c r="O438" s="102"/>
      <c r="P438" s="102"/>
    </row>
    <row r="439" spans="10:16">
      <c r="J439" s="102"/>
      <c r="K439" s="102"/>
      <c r="L439" s="102"/>
      <c r="M439" s="102"/>
      <c r="N439" s="102"/>
      <c r="O439" s="102"/>
      <c r="P439" s="102"/>
    </row>
    <row r="440" spans="10:16">
      <c r="J440" s="102"/>
      <c r="K440" s="102"/>
      <c r="L440" s="102"/>
      <c r="M440" s="102"/>
      <c r="N440" s="102"/>
      <c r="O440" s="102"/>
      <c r="P440" s="102"/>
    </row>
    <row r="441" spans="10:16">
      <c r="J441" s="102"/>
      <c r="K441" s="102"/>
      <c r="L441" s="102"/>
      <c r="M441" s="102"/>
      <c r="N441" s="102"/>
      <c r="O441" s="102"/>
      <c r="P441" s="102"/>
    </row>
    <row r="442" spans="10:16">
      <c r="J442" s="102"/>
      <c r="K442" s="102"/>
      <c r="L442" s="102"/>
      <c r="M442" s="102"/>
      <c r="N442" s="102"/>
      <c r="O442" s="102"/>
      <c r="P442" s="102"/>
    </row>
    <row r="443" spans="10:16">
      <c r="J443" s="102"/>
      <c r="K443" s="102"/>
      <c r="L443" s="102"/>
      <c r="M443" s="102"/>
      <c r="N443" s="102"/>
      <c r="O443" s="102"/>
      <c r="P443" s="102"/>
    </row>
    <row r="444" spans="10:16">
      <c r="J444" s="102"/>
      <c r="K444" s="102"/>
      <c r="L444" s="102"/>
      <c r="M444" s="102"/>
      <c r="N444" s="102"/>
      <c r="O444" s="102"/>
      <c r="P444" s="102"/>
    </row>
    <row r="445" spans="10:16">
      <c r="J445" s="102"/>
      <c r="K445" s="102"/>
      <c r="L445" s="102"/>
      <c r="M445" s="102"/>
      <c r="N445" s="102"/>
      <c r="O445" s="102"/>
      <c r="P445" s="102"/>
    </row>
    <row r="446" spans="10:16">
      <c r="J446" s="102"/>
      <c r="K446" s="102"/>
      <c r="L446" s="102"/>
      <c r="M446" s="102"/>
      <c r="N446" s="102"/>
      <c r="O446" s="102"/>
      <c r="P446" s="102"/>
    </row>
    <row r="447" spans="10:16">
      <c r="J447" s="102"/>
      <c r="K447" s="102"/>
      <c r="L447" s="102"/>
      <c r="M447" s="102"/>
      <c r="N447" s="102"/>
      <c r="O447" s="102"/>
      <c r="P447" s="102"/>
    </row>
    <row r="448" spans="10:16">
      <c r="J448" s="102"/>
      <c r="K448" s="102"/>
      <c r="L448" s="102"/>
      <c r="M448" s="102"/>
      <c r="N448" s="102"/>
      <c r="O448" s="102"/>
      <c r="P448" s="102"/>
    </row>
    <row r="449" spans="10:16">
      <c r="J449" s="102"/>
      <c r="K449" s="102"/>
      <c r="L449" s="102"/>
      <c r="M449" s="102"/>
      <c r="N449" s="102"/>
      <c r="O449" s="102"/>
      <c r="P449" s="102"/>
    </row>
    <row r="450" spans="10:16">
      <c r="J450" s="102"/>
      <c r="K450" s="102"/>
      <c r="L450" s="102"/>
      <c r="M450" s="102"/>
      <c r="N450" s="102"/>
      <c r="O450" s="102"/>
      <c r="P450" s="102"/>
    </row>
    <row r="451" spans="10:16">
      <c r="J451" s="102"/>
      <c r="K451" s="102"/>
      <c r="L451" s="102"/>
      <c r="M451" s="102"/>
      <c r="N451" s="102"/>
      <c r="O451" s="102"/>
      <c r="P451" s="102"/>
    </row>
    <row r="452" spans="10:16">
      <c r="J452" s="102"/>
      <c r="K452" s="102"/>
      <c r="L452" s="102"/>
      <c r="M452" s="102"/>
      <c r="N452" s="102"/>
      <c r="O452" s="102"/>
      <c r="P452" s="102"/>
    </row>
    <row r="453" spans="10:16">
      <c r="J453" s="102"/>
      <c r="K453" s="102"/>
      <c r="L453" s="102"/>
      <c r="M453" s="102"/>
      <c r="N453" s="102"/>
      <c r="O453" s="102"/>
      <c r="P453" s="102"/>
    </row>
    <row r="454" spans="10:16">
      <c r="J454" s="102"/>
      <c r="K454" s="102"/>
      <c r="L454" s="102"/>
      <c r="M454" s="102"/>
      <c r="N454" s="102"/>
      <c r="O454" s="102"/>
      <c r="P454" s="102"/>
    </row>
    <row r="455" spans="10:16">
      <c r="J455" s="102"/>
      <c r="K455" s="102"/>
      <c r="L455" s="102"/>
      <c r="M455" s="102"/>
      <c r="N455" s="102"/>
      <c r="O455" s="102"/>
      <c r="P455" s="102"/>
    </row>
    <row r="456" spans="10:16">
      <c r="J456" s="102"/>
      <c r="K456" s="102"/>
      <c r="L456" s="102"/>
      <c r="M456" s="102"/>
      <c r="N456" s="102"/>
      <c r="O456" s="102"/>
      <c r="P456" s="102"/>
    </row>
    <row r="457" spans="10:16">
      <c r="J457" s="102"/>
      <c r="K457" s="102"/>
      <c r="L457" s="102"/>
      <c r="M457" s="102"/>
      <c r="N457" s="102"/>
      <c r="O457" s="102"/>
      <c r="P457" s="102"/>
    </row>
    <row r="458" spans="10:16">
      <c r="J458" s="102"/>
      <c r="K458" s="102"/>
      <c r="L458" s="102"/>
      <c r="M458" s="102"/>
      <c r="N458" s="102"/>
      <c r="O458" s="102"/>
      <c r="P458" s="102"/>
    </row>
    <row r="459" spans="10:16">
      <c r="J459" s="102"/>
      <c r="K459" s="102"/>
      <c r="L459" s="102"/>
      <c r="M459" s="102"/>
      <c r="N459" s="102"/>
      <c r="O459" s="102"/>
      <c r="P459" s="102"/>
    </row>
    <row r="460" spans="10:16">
      <c r="J460" s="102"/>
      <c r="K460" s="102"/>
      <c r="L460" s="102"/>
      <c r="M460" s="102"/>
      <c r="N460" s="102"/>
      <c r="O460" s="102"/>
      <c r="P460" s="102"/>
    </row>
    <row r="461" spans="10:16">
      <c r="J461" s="102"/>
      <c r="K461" s="102"/>
      <c r="L461" s="102"/>
      <c r="M461" s="102"/>
      <c r="N461" s="102"/>
      <c r="O461" s="102"/>
      <c r="P461" s="102"/>
    </row>
    <row r="462" spans="10:16">
      <c r="J462" s="102"/>
      <c r="K462" s="102"/>
      <c r="L462" s="102"/>
      <c r="M462" s="102"/>
      <c r="N462" s="102"/>
      <c r="O462" s="102"/>
      <c r="P462" s="102"/>
    </row>
    <row r="463" spans="10:16">
      <c r="J463" s="102"/>
      <c r="K463" s="102"/>
      <c r="L463" s="102"/>
      <c r="M463" s="102"/>
      <c r="N463" s="102"/>
      <c r="O463" s="102"/>
      <c r="P463" s="102"/>
    </row>
    <row r="464" spans="10:16">
      <c r="J464" s="102"/>
      <c r="K464" s="102"/>
      <c r="L464" s="102"/>
      <c r="M464" s="102"/>
      <c r="N464" s="102"/>
      <c r="O464" s="102"/>
      <c r="P464" s="102"/>
    </row>
  </sheetData>
  <mergeCells count="95">
    <mergeCell ref="F2:H2"/>
    <mergeCell ref="I2:I6"/>
    <mergeCell ref="J2:M2"/>
    <mergeCell ref="B4:B6"/>
    <mergeCell ref="B14:B21"/>
    <mergeCell ref="C14:C21"/>
    <mergeCell ref="B26:B30"/>
    <mergeCell ref="C26:C30"/>
    <mergeCell ref="B35:B37"/>
    <mergeCell ref="C35:C37"/>
    <mergeCell ref="B42:B47"/>
    <mergeCell ref="C42:C44"/>
    <mergeCell ref="C45:C47"/>
    <mergeCell ref="B52:B55"/>
    <mergeCell ref="C52:C55"/>
    <mergeCell ref="D59:F59"/>
    <mergeCell ref="B60:B63"/>
    <mergeCell ref="C60:C61"/>
    <mergeCell ref="D60:F60"/>
    <mergeCell ref="D61:F61"/>
    <mergeCell ref="C62:C63"/>
    <mergeCell ref="D62:F62"/>
    <mergeCell ref="D63:F63"/>
    <mergeCell ref="B68:B87"/>
    <mergeCell ref="C68:C74"/>
    <mergeCell ref="C75:C81"/>
    <mergeCell ref="C82:C87"/>
    <mergeCell ref="B92:B96"/>
    <mergeCell ref="C92:C96"/>
    <mergeCell ref="B137:B138"/>
    <mergeCell ref="C137:C138"/>
    <mergeCell ref="D137:F137"/>
    <mergeCell ref="D138:F138"/>
    <mergeCell ref="B101:B103"/>
    <mergeCell ref="C101:C103"/>
    <mergeCell ref="B108:B111"/>
    <mergeCell ref="C108:C111"/>
    <mergeCell ref="B116:B118"/>
    <mergeCell ref="C116:C118"/>
    <mergeCell ref="B123:B125"/>
    <mergeCell ref="C123:C125"/>
    <mergeCell ref="B130:B132"/>
    <mergeCell ref="C130:C132"/>
    <mergeCell ref="D136:F136"/>
    <mergeCell ref="B143:B145"/>
    <mergeCell ref="C143:C145"/>
    <mergeCell ref="B150:B152"/>
    <mergeCell ref="C150:C152"/>
    <mergeCell ref="B157:B162"/>
    <mergeCell ref="C157:C162"/>
    <mergeCell ref="B167:B169"/>
    <mergeCell ref="C167:C169"/>
    <mergeCell ref="B174:B176"/>
    <mergeCell ref="C174:C176"/>
    <mergeCell ref="B181:B183"/>
    <mergeCell ref="C181:C183"/>
    <mergeCell ref="F209:F210"/>
    <mergeCell ref="B188:B190"/>
    <mergeCell ref="C188:C190"/>
    <mergeCell ref="D194:F194"/>
    <mergeCell ref="B195:B196"/>
    <mergeCell ref="C195:C196"/>
    <mergeCell ref="D195:F195"/>
    <mergeCell ref="D196:F196"/>
    <mergeCell ref="B197:B198"/>
    <mergeCell ref="C197:C198"/>
    <mergeCell ref="D197:F197"/>
    <mergeCell ref="D198:F198"/>
    <mergeCell ref="F203:F204"/>
    <mergeCell ref="O369:V369"/>
    <mergeCell ref="F211:F212"/>
    <mergeCell ref="F213:F214"/>
    <mergeCell ref="B291:B292"/>
    <mergeCell ref="B294:B295"/>
    <mergeCell ref="I294:I295"/>
    <mergeCell ref="B296:B297"/>
    <mergeCell ref="I296:I297"/>
    <mergeCell ref="B298:B299"/>
    <mergeCell ref="I298:I299"/>
    <mergeCell ref="B300:B301"/>
    <mergeCell ref="B302:B303"/>
    <mergeCell ref="O368:V368"/>
    <mergeCell ref="P370:Q370"/>
    <mergeCell ref="O371:O372"/>
    <mergeCell ref="P371:T372"/>
    <mergeCell ref="B378:I378"/>
    <mergeCell ref="P389:Q389"/>
    <mergeCell ref="R389:T389"/>
    <mergeCell ref="O393:V393"/>
    <mergeCell ref="P390:Q390"/>
    <mergeCell ref="R390:T390"/>
    <mergeCell ref="P391:Q391"/>
    <mergeCell ref="R391:T391"/>
    <mergeCell ref="P392:Q392"/>
    <mergeCell ref="R392:T392"/>
  </mergeCells>
  <phoneticPr fontId="5" type="noConversion"/>
  <pageMargins left="0.19685039370078741" right="0.19685039370078741" top="0.74803149606299213" bottom="0.74803149606299213" header="0.31496062992125984" footer="0.31496062992125984"/>
  <pageSetup paperSize="9" scale="78"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DB701-CF1D-4918-9E02-0E0240971920}">
  <sheetPr>
    <tabColor theme="0" tint="-0.34998626667073579"/>
    <pageSetUpPr fitToPage="1"/>
  </sheetPr>
  <dimension ref="A1:Q91"/>
  <sheetViews>
    <sheetView showZeros="0" topLeftCell="A63" workbookViewId="0">
      <selection activeCell="A63" sqref="A63:H63"/>
    </sheetView>
  </sheetViews>
  <sheetFormatPr defaultColWidth="6.875" defaultRowHeight="14.25"/>
  <cols>
    <col min="1" max="1" width="14.5" style="315" customWidth="1"/>
    <col min="2" max="2" width="10.75" style="315" customWidth="1"/>
    <col min="3" max="3" width="11.875" style="315" customWidth="1"/>
    <col min="4" max="4" width="11.625" style="315" customWidth="1"/>
    <col min="5" max="5" width="13.5" style="315" customWidth="1"/>
    <col min="6" max="6" width="9.375" style="315" customWidth="1"/>
    <col min="7" max="7" width="11.125" style="315" customWidth="1"/>
    <col min="8" max="8" width="10.125" style="316" customWidth="1"/>
    <col min="9" max="9" width="16" style="315" customWidth="1"/>
    <col min="10" max="10" width="13.125" style="315" customWidth="1"/>
    <col min="11" max="11" width="24.375" style="315" customWidth="1"/>
    <col min="12" max="12" width="13.75" style="315" customWidth="1"/>
    <col min="13" max="13" width="11.25" style="315" customWidth="1"/>
    <col min="14" max="14" width="10.75" style="315" customWidth="1"/>
    <col min="15" max="15" width="10" style="315" customWidth="1"/>
    <col min="16" max="16" width="9.875" style="315" customWidth="1"/>
    <col min="17" max="17" width="26.125" style="315" customWidth="1"/>
    <col min="18" max="18" width="11.375" style="315" customWidth="1"/>
    <col min="19" max="19" width="6" style="315" customWidth="1"/>
    <col min="20" max="20" width="9.25" style="315" customWidth="1"/>
    <col min="21" max="21" width="12.875" style="315" customWidth="1"/>
    <col min="22" max="16384" width="6.875" style="315"/>
  </cols>
  <sheetData>
    <row r="1" spans="1:16" ht="26.25" thickTop="1">
      <c r="A1" s="361" t="s">
        <v>690</v>
      </c>
      <c r="B1" s="683" t="s">
        <v>691</v>
      </c>
      <c r="C1" s="684"/>
      <c r="D1" s="684"/>
      <c r="E1" s="684"/>
      <c r="F1" s="684"/>
      <c r="G1" s="684"/>
      <c r="H1" s="685"/>
      <c r="I1" s="686" t="s">
        <v>13</v>
      </c>
      <c r="J1" s="687"/>
      <c r="K1" s="687"/>
      <c r="L1" s="688"/>
      <c r="N1" s="318"/>
      <c r="O1" s="318"/>
      <c r="P1" s="318"/>
    </row>
    <row r="2" spans="1:16" ht="18.95" customHeight="1">
      <c r="A2" s="329" t="s">
        <v>689</v>
      </c>
      <c r="B2" s="334" t="s">
        <v>14</v>
      </c>
      <c r="C2" s="334" t="s">
        <v>16</v>
      </c>
      <c r="D2" s="334" t="s">
        <v>17</v>
      </c>
      <c r="E2" s="334" t="s">
        <v>7</v>
      </c>
      <c r="F2" s="334" t="s">
        <v>5</v>
      </c>
      <c r="G2" s="334" t="s">
        <v>18</v>
      </c>
      <c r="H2" s="326"/>
      <c r="I2" s="360" t="s">
        <v>688</v>
      </c>
      <c r="J2" s="360" t="s">
        <v>687</v>
      </c>
      <c r="K2" s="360" t="s">
        <v>686</v>
      </c>
      <c r="L2" s="360" t="s">
        <v>22</v>
      </c>
      <c r="N2" s="318"/>
      <c r="O2" s="318"/>
      <c r="P2" s="318"/>
    </row>
    <row r="3" spans="1:16" ht="18.95" customHeight="1">
      <c r="A3" s="689" t="s">
        <v>558</v>
      </c>
      <c r="B3" s="328" t="str">
        <f ca="1">MID(CELL("filename",Q13),FIND("]",CELL("filename",Q13))+1,30)</f>
        <v>BYC1610</v>
      </c>
      <c r="C3" s="328">
        <v>1600</v>
      </c>
      <c r="D3" s="328">
        <v>1000</v>
      </c>
      <c r="E3" s="328">
        <f>ROUND(C3*D3/1000000,2)</f>
        <v>1.6</v>
      </c>
      <c r="F3" s="328">
        <v>1</v>
      </c>
      <c r="G3" s="328">
        <f>E3*F3</f>
        <v>1.6</v>
      </c>
      <c r="H3" s="326"/>
      <c r="I3" s="356">
        <v>40</v>
      </c>
      <c r="J3" s="356">
        <v>20</v>
      </c>
      <c r="K3" s="355">
        <v>1.5</v>
      </c>
      <c r="L3" s="354">
        <f>ROUND(((I3*J3)-(I3-2*K3)*(J3-2*K3))*2.71/1000,3)</f>
        <v>0.46300000000000002</v>
      </c>
      <c r="N3" s="318"/>
      <c r="O3" s="318"/>
      <c r="P3" s="318"/>
    </row>
    <row r="4" spans="1:16" ht="18.95" customHeight="1">
      <c r="A4" s="690"/>
      <c r="B4" s="334" t="s">
        <v>24</v>
      </c>
      <c r="C4" s="359">
        <f>C3-20</f>
        <v>1580</v>
      </c>
      <c r="D4" s="359">
        <f>D3-20</f>
        <v>980</v>
      </c>
      <c r="E4" s="328">
        <f>ROUND(C4*D4/1000000,2)</f>
        <v>1.55</v>
      </c>
      <c r="F4" s="328">
        <v>1</v>
      </c>
      <c r="G4" s="328">
        <f>E4*F4</f>
        <v>1.55</v>
      </c>
      <c r="H4" s="326"/>
      <c r="I4" s="356">
        <v>40</v>
      </c>
      <c r="J4" s="356">
        <v>20</v>
      </c>
      <c r="K4" s="355">
        <v>2</v>
      </c>
      <c r="L4" s="354">
        <f>ROUND(((I4*J4)-(I4-2*K4)*(J4-2*K4))*7.8/1000,3)</f>
        <v>1.7470000000000001</v>
      </c>
      <c r="N4" s="318"/>
      <c r="O4" s="318"/>
      <c r="P4" s="318"/>
    </row>
    <row r="5" spans="1:16" ht="18.95" customHeight="1">
      <c r="A5" s="329" t="s">
        <v>25</v>
      </c>
      <c r="B5" s="334" t="s">
        <v>16</v>
      </c>
      <c r="C5" s="334" t="s">
        <v>26</v>
      </c>
      <c r="D5" s="334" t="s">
        <v>17</v>
      </c>
      <c r="E5" s="334" t="s">
        <v>27</v>
      </c>
      <c r="F5" s="334" t="s">
        <v>22</v>
      </c>
      <c r="G5" s="334" t="s">
        <v>28</v>
      </c>
      <c r="H5" s="330" t="s">
        <v>29</v>
      </c>
      <c r="I5" s="356">
        <v>40</v>
      </c>
      <c r="J5" s="356">
        <v>80</v>
      </c>
      <c r="K5" s="355">
        <v>2</v>
      </c>
      <c r="L5" s="354">
        <f>ROUND(((I5*J5)-(I5-2*K5)*(J5-2*K5))*7.8/1000,3)</f>
        <v>3.6190000000000002</v>
      </c>
      <c r="N5" s="318"/>
      <c r="O5" s="318"/>
      <c r="P5" s="318"/>
    </row>
    <row r="6" spans="1:16" ht="18.95" customHeight="1">
      <c r="A6" s="358" t="s">
        <v>685</v>
      </c>
      <c r="B6" s="328">
        <f>C3-40</f>
        <v>1560</v>
      </c>
      <c r="C6" s="328">
        <v>2</v>
      </c>
      <c r="D6" s="328">
        <f>D3-40</f>
        <v>960</v>
      </c>
      <c r="E6" s="328">
        <v>2</v>
      </c>
      <c r="F6" s="350">
        <f>L4</f>
        <v>1.7470000000000001</v>
      </c>
      <c r="G6" s="327">
        <f>材料价格!B3</f>
        <v>7.5</v>
      </c>
      <c r="H6" s="357">
        <f>ROUND((B6*C6+D6*E6)*F6*G6/1000*1.1,2)</f>
        <v>72.64</v>
      </c>
      <c r="I6" s="356">
        <v>60</v>
      </c>
      <c r="J6" s="356">
        <v>20</v>
      </c>
      <c r="K6" s="355">
        <v>2</v>
      </c>
      <c r="L6" s="354">
        <f>ROUND(((I6*J6)-(I6-2*K6)*(J6-2*K6))*2.7/1000,3)</f>
        <v>0.82099999999999995</v>
      </c>
      <c r="N6" s="318"/>
      <c r="O6" s="318"/>
      <c r="P6" s="318"/>
    </row>
    <row r="7" spans="1:16" ht="18.95" customHeight="1">
      <c r="A7" s="353"/>
      <c r="B7" s="352">
        <f>H6/G6</f>
        <v>9.6853333333333342</v>
      </c>
      <c r="C7" s="349" t="s">
        <v>684</v>
      </c>
      <c r="D7" s="352">
        <f>H6/E3</f>
        <v>45.4</v>
      </c>
      <c r="E7" s="349" t="s">
        <v>683</v>
      </c>
      <c r="F7" s="344"/>
      <c r="G7" s="344"/>
      <c r="H7" s="335"/>
      <c r="I7" s="319"/>
      <c r="J7" s="318"/>
      <c r="K7" s="318"/>
      <c r="L7" s="318"/>
      <c r="M7" s="319"/>
      <c r="N7" s="318"/>
      <c r="O7" s="318"/>
      <c r="P7" s="318"/>
    </row>
    <row r="8" spans="1:16" ht="18.95" customHeight="1">
      <c r="A8" s="329" t="s">
        <v>36</v>
      </c>
      <c r="B8" s="334" t="s">
        <v>14</v>
      </c>
      <c r="C8" s="334" t="s">
        <v>37</v>
      </c>
      <c r="D8" s="334" t="s">
        <v>38</v>
      </c>
      <c r="E8" s="334" t="s">
        <v>39</v>
      </c>
      <c r="F8" s="334" t="s">
        <v>8</v>
      </c>
      <c r="G8" s="334" t="s">
        <v>22</v>
      </c>
      <c r="H8" s="330" t="s">
        <v>40</v>
      </c>
      <c r="I8" s="691" t="s">
        <v>682</v>
      </c>
      <c r="J8" s="692"/>
      <c r="K8" s="318"/>
      <c r="L8" s="318"/>
      <c r="M8" s="319"/>
      <c r="N8" s="318"/>
      <c r="O8" s="318"/>
      <c r="P8" s="318"/>
    </row>
    <row r="9" spans="1:16" ht="18.95" customHeight="1">
      <c r="A9" s="670" t="s">
        <v>681</v>
      </c>
      <c r="B9" s="678" t="s">
        <v>680</v>
      </c>
      <c r="C9" s="328">
        <f>C4</f>
        <v>1580</v>
      </c>
      <c r="D9" s="328">
        <f>D4</f>
        <v>980</v>
      </c>
      <c r="E9" s="327">
        <f>ROUND((C9+D9)*2/1000,4)</f>
        <v>5.12</v>
      </c>
      <c r="F9" s="328">
        <v>1</v>
      </c>
      <c r="G9" s="328">
        <v>0.54600000000000004</v>
      </c>
      <c r="H9" s="326">
        <f>ROUND(E9*F9*G9,4)</f>
        <v>2.7955000000000001</v>
      </c>
      <c r="I9" s="692"/>
      <c r="J9" s="692"/>
      <c r="K9" s="318"/>
      <c r="L9" s="318"/>
      <c r="M9" s="318"/>
      <c r="N9" s="318"/>
      <c r="O9" s="318"/>
      <c r="P9" s="318"/>
    </row>
    <row r="10" spans="1:16" ht="18.95" customHeight="1">
      <c r="A10" s="671"/>
      <c r="B10" s="678"/>
      <c r="C10" s="328"/>
      <c r="D10" s="328"/>
      <c r="E10" s="327">
        <f>ROUND((C10+D10)*2/1000,4)</f>
        <v>0</v>
      </c>
      <c r="F10" s="328"/>
      <c r="G10" s="328">
        <f>G9</f>
        <v>0.54600000000000004</v>
      </c>
      <c r="H10" s="326">
        <f>ROUND(E10*F10*G10,4)</f>
        <v>0</v>
      </c>
      <c r="I10" s="692"/>
      <c r="J10" s="692"/>
      <c r="K10" s="318"/>
      <c r="L10" s="318"/>
      <c r="M10" s="318"/>
      <c r="N10" s="318"/>
      <c r="O10" s="318"/>
      <c r="P10" s="318"/>
    </row>
    <row r="11" spans="1:16" ht="18.95" customHeight="1">
      <c r="A11" s="671"/>
      <c r="B11" s="678"/>
      <c r="C11" s="328"/>
      <c r="D11" s="328"/>
      <c r="E11" s="327">
        <f>ROUND((C11+D11)*2/1000,4)</f>
        <v>0</v>
      </c>
      <c r="F11" s="328"/>
      <c r="G11" s="328">
        <f>G9</f>
        <v>0.54600000000000004</v>
      </c>
      <c r="H11" s="326">
        <f>ROUND(E11*F11*G11,4)</f>
        <v>0</v>
      </c>
      <c r="I11" s="692"/>
      <c r="J11" s="692"/>
      <c r="K11" s="318"/>
      <c r="L11" s="318"/>
      <c r="M11" s="318"/>
      <c r="N11" s="318"/>
      <c r="O11" s="318"/>
      <c r="P11" s="318"/>
    </row>
    <row r="12" spans="1:16" ht="18.95" customHeight="1">
      <c r="A12" s="676" t="s">
        <v>182</v>
      </c>
      <c r="B12" s="677"/>
      <c r="C12" s="349" t="s">
        <v>679</v>
      </c>
      <c r="D12" s="348">
        <f>ROUND((E9*F9+E10*F10+E11*F11),4)</f>
        <v>5.12</v>
      </c>
      <c r="E12" s="348"/>
      <c r="F12" s="344">
        <f>SUM(F9:F11)</f>
        <v>1</v>
      </c>
      <c r="G12" s="344"/>
      <c r="H12" s="335">
        <f>SUM(H9:H11)</f>
        <v>2.7955000000000001</v>
      </c>
      <c r="I12" s="318"/>
      <c r="J12" s="319">
        <v>150</v>
      </c>
      <c r="K12" s="319">
        <f>J12*D12/1000</f>
        <v>0.76800000000000002</v>
      </c>
      <c r="L12" s="318"/>
      <c r="M12" s="318"/>
      <c r="N12" s="318"/>
      <c r="O12" s="318"/>
      <c r="P12" s="318"/>
    </row>
    <row r="13" spans="1:16" ht="18.95" customHeight="1">
      <c r="A13" s="329" t="s">
        <v>36</v>
      </c>
      <c r="B13" s="334" t="s">
        <v>14</v>
      </c>
      <c r="C13" s="334" t="s">
        <v>37</v>
      </c>
      <c r="D13" s="334" t="s">
        <v>38</v>
      </c>
      <c r="E13" s="351" t="s">
        <v>39</v>
      </c>
      <c r="F13" s="334" t="s">
        <v>678</v>
      </c>
      <c r="G13" s="334" t="s">
        <v>22</v>
      </c>
      <c r="H13" s="330" t="s">
        <v>40</v>
      </c>
      <c r="I13" s="318"/>
      <c r="J13" s="319"/>
      <c r="K13" s="319"/>
      <c r="L13" s="318"/>
      <c r="M13" s="318"/>
      <c r="N13" s="318"/>
      <c r="O13" s="318"/>
      <c r="P13" s="318"/>
    </row>
    <row r="14" spans="1:16" ht="18.95" customHeight="1">
      <c r="A14" s="670" t="s">
        <v>677</v>
      </c>
      <c r="B14" s="678" t="str">
        <f>B9</f>
        <v>40*20*1.5</v>
      </c>
      <c r="C14" s="328"/>
      <c r="D14" s="328"/>
      <c r="E14" s="327">
        <f>ROUND((C14+D14)*2/1000,4)</f>
        <v>0</v>
      </c>
      <c r="F14" s="328">
        <v>0</v>
      </c>
      <c r="G14" s="350">
        <f>G9</f>
        <v>0.54600000000000004</v>
      </c>
      <c r="H14" s="326">
        <f>ROUND((C14*D14+E14*F14)/1000*G14,4)</f>
        <v>0</v>
      </c>
      <c r="I14" s="318"/>
      <c r="J14" s="319"/>
      <c r="K14" s="319"/>
      <c r="L14" s="318"/>
      <c r="M14" s="318"/>
      <c r="N14" s="318"/>
      <c r="O14" s="318"/>
      <c r="P14" s="318"/>
    </row>
    <row r="15" spans="1:16" ht="18.95" customHeight="1">
      <c r="A15" s="671"/>
      <c r="B15" s="678"/>
      <c r="C15" s="328"/>
      <c r="D15" s="328"/>
      <c r="E15" s="327">
        <f>ROUND((C15+D15)*2/1000,4)</f>
        <v>0</v>
      </c>
      <c r="F15" s="328">
        <v>0</v>
      </c>
      <c r="G15" s="328">
        <f>G14</f>
        <v>0.54600000000000004</v>
      </c>
      <c r="H15" s="326">
        <f>ROUND((C15*D15+E15*F15)/1000*G15,4)</f>
        <v>0</v>
      </c>
      <c r="I15" s="318"/>
      <c r="J15" s="319"/>
      <c r="K15" s="319"/>
      <c r="L15" s="318"/>
      <c r="M15" s="318"/>
      <c r="N15" s="318"/>
      <c r="O15" s="318"/>
      <c r="P15" s="318"/>
    </row>
    <row r="16" spans="1:16" ht="18.95" customHeight="1">
      <c r="A16" s="671"/>
      <c r="B16" s="678"/>
      <c r="C16" s="328">
        <f>C11</f>
        <v>0</v>
      </c>
      <c r="D16" s="328">
        <v>0</v>
      </c>
      <c r="E16" s="327">
        <f>ROUND((C16+D16)*2/1000,4)</f>
        <v>0</v>
      </c>
      <c r="F16" s="328">
        <v>0</v>
      </c>
      <c r="G16" s="328">
        <f>G14</f>
        <v>0.54600000000000004</v>
      </c>
      <c r="H16" s="326">
        <f>ROUND((C16*D16+E16*F16)/1000*G16,4)</f>
        <v>0</v>
      </c>
      <c r="I16" s="318"/>
      <c r="J16" s="319"/>
      <c r="K16" s="319"/>
      <c r="L16" s="318"/>
      <c r="M16" s="318"/>
      <c r="N16" s="318"/>
      <c r="O16" s="318"/>
      <c r="P16" s="318"/>
    </row>
    <row r="17" spans="1:16" ht="18.95" customHeight="1">
      <c r="A17" s="676" t="s">
        <v>182</v>
      </c>
      <c r="B17" s="677"/>
      <c r="C17" s="349" t="s">
        <v>676</v>
      </c>
      <c r="D17" s="348">
        <f>ROUND((E14*F14+E15*F15+E16*F16),4)</f>
        <v>0</v>
      </c>
      <c r="E17" s="348"/>
      <c r="F17" s="348">
        <f>SUM(F14:F16)</f>
        <v>0</v>
      </c>
      <c r="G17" s="344"/>
      <c r="H17" s="335">
        <f>SUM(H14:H16)</f>
        <v>0</v>
      </c>
      <c r="I17" s="318"/>
      <c r="J17" s="319">
        <f>J12</f>
        <v>150</v>
      </c>
      <c r="K17" s="316">
        <f>J17*D17/1000</f>
        <v>0</v>
      </c>
      <c r="N17" s="318"/>
      <c r="O17" s="318"/>
      <c r="P17" s="318"/>
    </row>
    <row r="18" spans="1:16" ht="18.95" customHeight="1">
      <c r="A18" s="329" t="s">
        <v>36</v>
      </c>
      <c r="B18" s="334" t="s">
        <v>14</v>
      </c>
      <c r="C18" s="334" t="s">
        <v>37</v>
      </c>
      <c r="D18" s="334" t="s">
        <v>71</v>
      </c>
      <c r="E18" s="334" t="s">
        <v>38</v>
      </c>
      <c r="F18" s="334" t="s">
        <v>72</v>
      </c>
      <c r="G18" s="334" t="s">
        <v>22</v>
      </c>
      <c r="H18" s="330" t="s">
        <v>40</v>
      </c>
      <c r="I18" s="318"/>
      <c r="J18" s="319"/>
      <c r="K18" s="319"/>
      <c r="L18" s="318"/>
      <c r="M18" s="318"/>
      <c r="N18" s="318"/>
      <c r="O18" s="318"/>
      <c r="P18" s="318"/>
    </row>
    <row r="19" spans="1:16" ht="18.95" customHeight="1">
      <c r="A19" s="681" t="s">
        <v>675</v>
      </c>
      <c r="B19" s="678" t="s">
        <v>674</v>
      </c>
      <c r="C19" s="328">
        <f>C9</f>
        <v>1580</v>
      </c>
      <c r="D19" s="328">
        <v>2</v>
      </c>
      <c r="E19" s="328">
        <f>D9</f>
        <v>980</v>
      </c>
      <c r="F19" s="328">
        <v>2</v>
      </c>
      <c r="G19" s="328">
        <v>0.26300000000000001</v>
      </c>
      <c r="H19" s="326">
        <f>ROUND((C19*D19+E19*F19)/1000*G19,4)</f>
        <v>1.3466</v>
      </c>
      <c r="I19" s="318"/>
      <c r="J19" s="319"/>
      <c r="K19" s="319"/>
      <c r="L19" s="318"/>
      <c r="M19" s="318"/>
      <c r="N19" s="318"/>
      <c r="O19" s="318"/>
      <c r="P19" s="318"/>
    </row>
    <row r="20" spans="1:16" ht="18.95" customHeight="1">
      <c r="A20" s="682"/>
      <c r="B20" s="678"/>
      <c r="C20" s="328"/>
      <c r="D20" s="328"/>
      <c r="E20" s="328">
        <f>E10</f>
        <v>0</v>
      </c>
      <c r="F20" s="328">
        <f>D20</f>
        <v>0</v>
      </c>
      <c r="G20" s="328">
        <f>G19</f>
        <v>0.26300000000000001</v>
      </c>
      <c r="H20" s="326">
        <f>ROUND((C20*D20+E20*F20)/1000*G20,4)</f>
        <v>0</v>
      </c>
      <c r="I20" s="318"/>
      <c r="J20" s="319"/>
      <c r="K20" s="319"/>
      <c r="L20" s="318"/>
      <c r="M20" s="318"/>
      <c r="N20" s="318"/>
      <c r="O20" s="318"/>
      <c r="P20" s="318"/>
    </row>
    <row r="21" spans="1:16" ht="18.95" customHeight="1">
      <c r="A21" s="682"/>
      <c r="B21" s="678"/>
      <c r="C21" s="328"/>
      <c r="D21" s="328"/>
      <c r="E21" s="328">
        <f>E11</f>
        <v>0</v>
      </c>
      <c r="F21" s="328">
        <f>D21</f>
        <v>0</v>
      </c>
      <c r="G21" s="328">
        <f>G19</f>
        <v>0.26300000000000001</v>
      </c>
      <c r="H21" s="326">
        <f>ROUND((C21*D21+E21*F21)/1000*G21,4)</f>
        <v>0</v>
      </c>
      <c r="I21" s="318"/>
      <c r="J21" s="319"/>
      <c r="K21" s="319"/>
      <c r="L21" s="318"/>
      <c r="M21" s="318"/>
      <c r="N21" s="318"/>
      <c r="O21" s="318"/>
      <c r="P21" s="318"/>
    </row>
    <row r="22" spans="1:16" ht="18.95" customHeight="1">
      <c r="A22" s="676" t="s">
        <v>182</v>
      </c>
      <c r="B22" s="677"/>
      <c r="C22" s="349" t="s">
        <v>669</v>
      </c>
      <c r="D22" s="348">
        <f>ROUND((C19*D19+C20*D20+C21*D21+E19*F19+E20*F20+E21*F21)/1000,4)</f>
        <v>5.12</v>
      </c>
      <c r="E22" s="344"/>
      <c r="F22" s="344"/>
      <c r="G22" s="344"/>
      <c r="H22" s="335">
        <f>SUM(H19:H21)</f>
        <v>1.3466</v>
      </c>
      <c r="I22" s="318"/>
      <c r="J22" s="319">
        <v>160</v>
      </c>
      <c r="K22" s="319">
        <f>J22*D22/1000</f>
        <v>0.81920000000000004</v>
      </c>
      <c r="L22" s="318"/>
      <c r="M22" s="318"/>
      <c r="N22" s="318"/>
      <c r="O22" s="318"/>
      <c r="P22" s="318"/>
    </row>
    <row r="23" spans="1:16" ht="18.95" customHeight="1">
      <c r="A23" s="329" t="s">
        <v>36</v>
      </c>
      <c r="B23" s="334" t="s">
        <v>14</v>
      </c>
      <c r="C23" s="334" t="s">
        <v>37</v>
      </c>
      <c r="D23" s="334" t="s">
        <v>71</v>
      </c>
      <c r="E23" s="334" t="s">
        <v>38</v>
      </c>
      <c r="F23" s="334" t="s">
        <v>72</v>
      </c>
      <c r="G23" s="334" t="s">
        <v>22</v>
      </c>
      <c r="H23" s="330" t="s">
        <v>40</v>
      </c>
      <c r="I23" s="318"/>
      <c r="J23" s="319"/>
      <c r="K23" s="319"/>
      <c r="L23" s="318"/>
      <c r="M23" s="318"/>
      <c r="N23" s="318"/>
      <c r="O23" s="318"/>
      <c r="P23" s="318"/>
    </row>
    <row r="24" spans="1:16" ht="18.95" customHeight="1">
      <c r="A24" s="681" t="s">
        <v>673</v>
      </c>
      <c r="B24" s="678" t="s">
        <v>672</v>
      </c>
      <c r="C24" s="328">
        <f>C4</f>
        <v>1580</v>
      </c>
      <c r="D24" s="332">
        <f>D4/60+1</f>
        <v>17.333333333333332</v>
      </c>
      <c r="E24" s="328">
        <v>0</v>
      </c>
      <c r="F24" s="328">
        <v>0</v>
      </c>
      <c r="G24" s="328">
        <v>0.34399999999999997</v>
      </c>
      <c r="H24" s="326">
        <f>ROUND((C24*D24+E24*F24)/1000*G24,4)</f>
        <v>9.4209999999999994</v>
      </c>
      <c r="I24" s="318"/>
      <c r="J24" s="319"/>
      <c r="K24" s="319"/>
      <c r="L24" s="318"/>
      <c r="M24" s="318"/>
      <c r="N24" s="318"/>
      <c r="O24" s="318"/>
      <c r="P24" s="318"/>
    </row>
    <row r="25" spans="1:16" ht="18.95" customHeight="1">
      <c r="A25" s="682"/>
      <c r="B25" s="678"/>
      <c r="C25" s="328">
        <v>0</v>
      </c>
      <c r="D25" s="328">
        <v>0</v>
      </c>
      <c r="E25" s="328">
        <v>0</v>
      </c>
      <c r="F25" s="328">
        <v>0</v>
      </c>
      <c r="G25" s="328">
        <f>G24</f>
        <v>0.34399999999999997</v>
      </c>
      <c r="H25" s="326">
        <f>ROUND((C25*D25+E25*F25)/1000*G25,4)</f>
        <v>0</v>
      </c>
      <c r="I25" s="318"/>
      <c r="J25" s="319"/>
      <c r="K25" s="319"/>
      <c r="L25" s="318"/>
      <c r="M25" s="318"/>
      <c r="N25" s="318"/>
      <c r="O25" s="318"/>
      <c r="P25" s="318"/>
    </row>
    <row r="26" spans="1:16" ht="18.95" customHeight="1">
      <c r="A26" s="682"/>
      <c r="B26" s="678"/>
      <c r="C26" s="328">
        <v>0</v>
      </c>
      <c r="D26" s="328">
        <v>0</v>
      </c>
      <c r="E26" s="328">
        <v>0</v>
      </c>
      <c r="F26" s="328">
        <v>0</v>
      </c>
      <c r="G26" s="328">
        <f>G24</f>
        <v>0.34399999999999997</v>
      </c>
      <c r="H26" s="326">
        <f>ROUND((C26*D26+E26*F26)/1000*G26,4)</f>
        <v>0</v>
      </c>
      <c r="I26" s="318"/>
      <c r="J26" s="319"/>
      <c r="K26" s="319"/>
      <c r="L26" s="318"/>
      <c r="M26" s="318"/>
      <c r="N26" s="318"/>
      <c r="O26" s="318"/>
      <c r="P26" s="318"/>
    </row>
    <row r="27" spans="1:16" ht="18.95" customHeight="1">
      <c r="A27" s="676" t="s">
        <v>182</v>
      </c>
      <c r="B27" s="677"/>
      <c r="C27" s="349" t="s">
        <v>669</v>
      </c>
      <c r="D27" s="348">
        <f>(C24*D24+C25*D25+C26*D26+E24*F24+E25*F25+E26*F26)/1000</f>
        <v>27.386666666666663</v>
      </c>
      <c r="E27" s="344"/>
      <c r="F27" s="344"/>
      <c r="G27" s="344"/>
      <c r="H27" s="335">
        <f>SUM(H24:H26)</f>
        <v>9.4209999999999994</v>
      </c>
      <c r="I27" s="318"/>
      <c r="J27" s="319">
        <v>200</v>
      </c>
      <c r="K27" s="319">
        <f>J27*D27/1000</f>
        <v>5.4773333333333332</v>
      </c>
      <c r="L27" s="318"/>
      <c r="M27" s="318"/>
      <c r="N27" s="318"/>
      <c r="O27" s="318"/>
      <c r="P27" s="318"/>
    </row>
    <row r="28" spans="1:16" ht="18.95" customHeight="1">
      <c r="A28" s="329" t="s">
        <v>36</v>
      </c>
      <c r="B28" s="334" t="s">
        <v>14</v>
      </c>
      <c r="C28" s="334" t="s">
        <v>37</v>
      </c>
      <c r="D28" s="334" t="s">
        <v>71</v>
      </c>
      <c r="E28" s="334" t="s">
        <v>38</v>
      </c>
      <c r="F28" s="334" t="s">
        <v>72</v>
      </c>
      <c r="G28" s="334" t="s">
        <v>22</v>
      </c>
      <c r="H28" s="330" t="s">
        <v>40</v>
      </c>
      <c r="I28" s="318"/>
      <c r="J28" s="319"/>
      <c r="K28" s="319"/>
      <c r="L28" s="318"/>
      <c r="M28" s="318"/>
      <c r="N28" s="318"/>
      <c r="O28" s="318"/>
      <c r="P28" s="318"/>
    </row>
    <row r="29" spans="1:16" ht="18.95" customHeight="1">
      <c r="A29" s="681" t="s">
        <v>671</v>
      </c>
      <c r="B29" s="678"/>
      <c r="C29" s="328"/>
      <c r="D29" s="332"/>
      <c r="E29" s="328">
        <f>D4</f>
        <v>980</v>
      </c>
      <c r="F29" s="328"/>
      <c r="G29" s="328">
        <v>0.24299999999999999</v>
      </c>
      <c r="H29" s="326">
        <f>ROUND((C29*D29+E29*F29)/1000*G29,4)</f>
        <v>0</v>
      </c>
      <c r="I29" s="318"/>
      <c r="J29" s="319"/>
      <c r="K29" s="319"/>
      <c r="L29" s="318"/>
      <c r="M29" s="318"/>
      <c r="N29" s="318"/>
      <c r="O29" s="318"/>
      <c r="P29" s="318"/>
    </row>
    <row r="30" spans="1:16" ht="18.95" customHeight="1">
      <c r="A30" s="682"/>
      <c r="B30" s="678"/>
      <c r="C30" s="328">
        <v>0</v>
      </c>
      <c r="D30" s="328">
        <v>0</v>
      </c>
      <c r="E30" s="328">
        <v>0</v>
      </c>
      <c r="F30" s="328">
        <v>0</v>
      </c>
      <c r="G30" s="328">
        <f>G29</f>
        <v>0.24299999999999999</v>
      </c>
      <c r="H30" s="326">
        <f>ROUND((C30*D30+E30*F30)/1000*G30,4)</f>
        <v>0</v>
      </c>
      <c r="I30" s="318"/>
      <c r="J30" s="319"/>
      <c r="K30" s="319"/>
      <c r="L30" s="318"/>
      <c r="M30" s="318"/>
      <c r="N30" s="318"/>
      <c r="O30" s="318"/>
      <c r="P30" s="318"/>
    </row>
    <row r="31" spans="1:16" ht="18.95" customHeight="1">
      <c r="A31" s="682"/>
      <c r="B31" s="678"/>
      <c r="C31" s="328">
        <v>0</v>
      </c>
      <c r="D31" s="328">
        <v>0</v>
      </c>
      <c r="E31" s="328">
        <v>0</v>
      </c>
      <c r="F31" s="328">
        <v>0</v>
      </c>
      <c r="G31" s="328">
        <f>G29</f>
        <v>0.24299999999999999</v>
      </c>
      <c r="H31" s="326">
        <f>ROUND((C31*D31+E31*F31)/1000*G31,4)</f>
        <v>0</v>
      </c>
      <c r="I31" s="318"/>
      <c r="J31" s="319"/>
      <c r="K31" s="319"/>
      <c r="L31" s="318"/>
      <c r="M31" s="318"/>
      <c r="N31" s="318"/>
      <c r="O31" s="318"/>
      <c r="P31" s="318"/>
    </row>
    <row r="32" spans="1:16" ht="18.95" customHeight="1">
      <c r="A32" s="676" t="s">
        <v>182</v>
      </c>
      <c r="B32" s="677"/>
      <c r="C32" s="349" t="s">
        <v>669</v>
      </c>
      <c r="D32" s="348">
        <f>(C29*D29+C30*D30+C31*D31+E29*F29+E30*F30+E31*F31)/1000</f>
        <v>0</v>
      </c>
      <c r="E32" s="344"/>
      <c r="F32" s="344"/>
      <c r="G32" s="344"/>
      <c r="H32" s="335">
        <f>SUM(H29:H31)</f>
        <v>0</v>
      </c>
      <c r="I32" s="318"/>
      <c r="J32" s="319">
        <v>66</v>
      </c>
      <c r="K32" s="319">
        <f>J32*D32/1000</f>
        <v>0</v>
      </c>
      <c r="L32" s="318"/>
      <c r="M32" s="318"/>
      <c r="N32" s="318"/>
      <c r="O32" s="318"/>
      <c r="P32" s="318"/>
    </row>
    <row r="33" spans="1:16" ht="18.95" customHeight="1">
      <c r="A33" s="329" t="s">
        <v>36</v>
      </c>
      <c r="B33" s="334" t="s">
        <v>14</v>
      </c>
      <c r="C33" s="334" t="s">
        <v>37</v>
      </c>
      <c r="D33" s="334" t="s">
        <v>71</v>
      </c>
      <c r="E33" s="334" t="s">
        <v>38</v>
      </c>
      <c r="F33" s="334" t="s">
        <v>72</v>
      </c>
      <c r="G33" s="334" t="s">
        <v>22</v>
      </c>
      <c r="H33" s="330" t="s">
        <v>40</v>
      </c>
      <c r="I33" s="318"/>
      <c r="J33" s="319"/>
      <c r="K33" s="319"/>
      <c r="L33" s="318"/>
      <c r="M33" s="318"/>
      <c r="N33" s="318"/>
      <c r="O33" s="318"/>
      <c r="P33" s="318"/>
    </row>
    <row r="34" spans="1:16" ht="18.95" customHeight="1">
      <c r="A34" s="670" t="s">
        <v>670</v>
      </c>
      <c r="B34" s="678" t="s">
        <v>32</v>
      </c>
      <c r="C34" s="328"/>
      <c r="D34" s="332"/>
      <c r="E34" s="328"/>
      <c r="F34" s="328"/>
      <c r="G34" s="328">
        <v>1.0369999999999999</v>
      </c>
      <c r="H34" s="326">
        <f>ROUND((C34*D34+E34*F34)/1000*G34,4)</f>
        <v>0</v>
      </c>
      <c r="I34" s="318"/>
      <c r="J34" s="319"/>
      <c r="K34" s="319"/>
      <c r="L34" s="318"/>
      <c r="M34" s="318"/>
      <c r="N34" s="318"/>
      <c r="O34" s="318"/>
      <c r="P34" s="318"/>
    </row>
    <row r="35" spans="1:16" ht="18.95" customHeight="1">
      <c r="A35" s="671"/>
      <c r="B35" s="678"/>
      <c r="C35" s="328">
        <v>0</v>
      </c>
      <c r="D35" s="328">
        <v>0</v>
      </c>
      <c r="E35" s="328">
        <v>0</v>
      </c>
      <c r="F35" s="328">
        <v>0</v>
      </c>
      <c r="G35" s="328">
        <f>G34</f>
        <v>1.0369999999999999</v>
      </c>
      <c r="H35" s="326">
        <f>ROUND((C35*D35+E35*F35)/1000*G35,4)</f>
        <v>0</v>
      </c>
      <c r="I35" s="318"/>
      <c r="J35" s="319"/>
      <c r="K35" s="319"/>
      <c r="L35" s="318"/>
      <c r="M35" s="318"/>
      <c r="N35" s="318"/>
      <c r="O35" s="318"/>
      <c r="P35" s="318"/>
    </row>
    <row r="36" spans="1:16" ht="18.95" customHeight="1">
      <c r="A36" s="671"/>
      <c r="B36" s="678"/>
      <c r="C36" s="328">
        <v>0</v>
      </c>
      <c r="D36" s="328">
        <v>0</v>
      </c>
      <c r="E36" s="328">
        <v>0</v>
      </c>
      <c r="F36" s="328">
        <v>0</v>
      </c>
      <c r="G36" s="328">
        <f>G34</f>
        <v>1.0369999999999999</v>
      </c>
      <c r="H36" s="326">
        <f>ROUND((C36*D36+E36*F36)/1000*G36,4)</f>
        <v>0</v>
      </c>
      <c r="I36" s="318"/>
      <c r="J36" s="319"/>
      <c r="K36" s="319"/>
      <c r="L36" s="318"/>
      <c r="M36" s="318"/>
      <c r="N36" s="318"/>
      <c r="O36" s="318"/>
      <c r="P36" s="318"/>
    </row>
    <row r="37" spans="1:16" ht="18.95" customHeight="1">
      <c r="A37" s="679" t="s">
        <v>182</v>
      </c>
      <c r="B37" s="680"/>
      <c r="C37" s="349" t="s">
        <v>669</v>
      </c>
      <c r="D37" s="348">
        <f>(C34*D34+C35*D35+C36*D36+E34*F34+E35*F35+E36*F36)/1000</f>
        <v>0</v>
      </c>
      <c r="E37" s="344"/>
      <c r="F37" s="344"/>
      <c r="G37" s="344"/>
      <c r="H37" s="335">
        <f>SUM(H34:H36)</f>
        <v>0</v>
      </c>
      <c r="I37" s="318"/>
      <c r="J37" s="319">
        <v>200</v>
      </c>
      <c r="K37" s="319">
        <f>J37*D37/1000</f>
        <v>0</v>
      </c>
      <c r="L37" s="318"/>
      <c r="M37" s="318"/>
      <c r="N37" s="318"/>
      <c r="O37" s="318"/>
      <c r="P37" s="318"/>
    </row>
    <row r="38" spans="1:16" ht="18.95" customHeight="1">
      <c r="A38" s="336" t="s">
        <v>668</v>
      </c>
      <c r="B38" s="336">
        <f>材料价格!B4</f>
        <v>22081.5</v>
      </c>
      <c r="C38" s="346" t="s">
        <v>667</v>
      </c>
      <c r="D38" s="348">
        <f>(H12+H22+H27+H17+H32+H37)*1.13</f>
        <v>15.326302999999998</v>
      </c>
      <c r="E38" s="344" t="s">
        <v>666</v>
      </c>
      <c r="F38" s="348">
        <f>(B38+B39)/1000</f>
        <v>24.9815</v>
      </c>
      <c r="G38" s="344" t="s">
        <v>665</v>
      </c>
      <c r="H38" s="335">
        <f>ROUND(D38*F38,2)+M38</f>
        <v>898.58093333333329</v>
      </c>
      <c r="I38" s="318"/>
      <c r="J38" s="347"/>
      <c r="K38" s="342">
        <f>K27+K22+K12+K17+K32+K37</f>
        <v>7.0645333333333333</v>
      </c>
      <c r="L38" s="341">
        <v>73</v>
      </c>
      <c r="M38" s="341">
        <f>K38*L38</f>
        <v>515.71093333333329</v>
      </c>
      <c r="N38" s="318"/>
      <c r="O38" s="318"/>
      <c r="P38" s="318"/>
    </row>
    <row r="39" spans="1:16" ht="18.95" customHeight="1">
      <c r="A39" s="336" t="s">
        <v>664</v>
      </c>
      <c r="B39" s="336">
        <f>材料价格!B9</f>
        <v>2900</v>
      </c>
      <c r="C39" s="346"/>
      <c r="D39" s="343"/>
      <c r="E39" s="345"/>
      <c r="F39" s="344"/>
      <c r="G39" s="343"/>
      <c r="H39" s="335"/>
      <c r="I39" s="318"/>
      <c r="J39" s="342"/>
      <c r="K39" s="341"/>
      <c r="L39" s="341"/>
      <c r="M39" s="341"/>
      <c r="N39" s="318"/>
      <c r="O39" s="318"/>
      <c r="P39" s="318"/>
    </row>
    <row r="40" spans="1:16" ht="18.95" customHeight="1">
      <c r="A40" s="340" t="s">
        <v>112</v>
      </c>
      <c r="B40" s="339" t="s">
        <v>663</v>
      </c>
      <c r="C40" s="334" t="s">
        <v>662</v>
      </c>
      <c r="D40" s="328"/>
      <c r="E40" s="328"/>
      <c r="F40" s="334" t="s">
        <v>8</v>
      </c>
      <c r="G40" s="334" t="s">
        <v>22</v>
      </c>
      <c r="H40" s="330" t="s">
        <v>40</v>
      </c>
      <c r="I40" s="318"/>
      <c r="J40" s="319"/>
      <c r="K40" s="318"/>
      <c r="L40" s="318"/>
      <c r="M40" s="318"/>
      <c r="N40" s="318"/>
      <c r="O40" s="318"/>
      <c r="P40" s="318"/>
    </row>
    <row r="41" spans="1:16" ht="18.95" customHeight="1">
      <c r="A41" s="329" t="s">
        <v>302</v>
      </c>
      <c r="B41" s="328"/>
      <c r="C41" s="328">
        <v>40</v>
      </c>
      <c r="D41" s="328"/>
      <c r="E41" s="328"/>
      <c r="F41" s="328">
        <f>F9*4</f>
        <v>4</v>
      </c>
      <c r="G41" s="328">
        <v>2.11</v>
      </c>
      <c r="H41" s="326">
        <f t="shared" ref="H41:H47" si="0">ROUND(C41*F41*G41/1000,4)</f>
        <v>0.33760000000000001</v>
      </c>
      <c r="I41" s="318"/>
      <c r="J41" s="319"/>
      <c r="K41" s="318"/>
      <c r="L41" s="318"/>
      <c r="M41" s="318"/>
      <c r="N41" s="318"/>
      <c r="O41" s="318"/>
      <c r="P41" s="318"/>
    </row>
    <row r="42" spans="1:16" ht="18.95" customHeight="1">
      <c r="A42" s="670" t="s">
        <v>661</v>
      </c>
      <c r="B42" s="672"/>
      <c r="C42" s="328">
        <f>C41</f>
        <v>40</v>
      </c>
      <c r="D42" s="328"/>
      <c r="E42" s="328"/>
      <c r="F42" s="328">
        <f>F17*4</f>
        <v>0</v>
      </c>
      <c r="G42" s="328">
        <v>0.82</v>
      </c>
      <c r="H42" s="326">
        <f t="shared" si="0"/>
        <v>0</v>
      </c>
      <c r="I42" s="318"/>
      <c r="J42" s="319"/>
      <c r="K42" s="318"/>
      <c r="L42" s="318"/>
      <c r="M42" s="318"/>
      <c r="N42" s="318"/>
      <c r="O42" s="318"/>
      <c r="P42" s="318"/>
    </row>
    <row r="43" spans="1:16" ht="18.95" customHeight="1">
      <c r="A43" s="671"/>
      <c r="B43" s="673"/>
      <c r="C43" s="328">
        <v>0</v>
      </c>
      <c r="D43" s="328"/>
      <c r="E43" s="328"/>
      <c r="F43" s="328">
        <v>0</v>
      </c>
      <c r="G43" s="328">
        <v>0</v>
      </c>
      <c r="H43" s="326">
        <f t="shared" si="0"/>
        <v>0</v>
      </c>
      <c r="I43" s="318"/>
      <c r="J43" s="319">
        <f>H38/D38</f>
        <v>58.629986196497185</v>
      </c>
      <c r="K43" s="318"/>
      <c r="L43" s="318"/>
      <c r="M43" s="318"/>
      <c r="N43" s="318"/>
      <c r="O43" s="318"/>
      <c r="P43" s="318"/>
    </row>
    <row r="44" spans="1:16" ht="18.95" customHeight="1">
      <c r="A44" s="670" t="s">
        <v>660</v>
      </c>
      <c r="B44" s="672"/>
      <c r="C44" s="328">
        <v>0</v>
      </c>
      <c r="D44" s="328"/>
      <c r="E44" s="328"/>
      <c r="F44" s="328">
        <v>0</v>
      </c>
      <c r="G44" s="328">
        <v>0</v>
      </c>
      <c r="H44" s="326">
        <f t="shared" si="0"/>
        <v>0</v>
      </c>
      <c r="I44" s="318"/>
      <c r="J44" s="319"/>
      <c r="K44" s="318"/>
      <c r="L44" s="318"/>
      <c r="M44" s="318"/>
      <c r="N44" s="318"/>
      <c r="O44" s="318"/>
      <c r="P44" s="318"/>
    </row>
    <row r="45" spans="1:16" ht="18.95" customHeight="1">
      <c r="A45" s="671"/>
      <c r="B45" s="673"/>
      <c r="C45" s="328">
        <v>0</v>
      </c>
      <c r="D45" s="328"/>
      <c r="E45" s="328"/>
      <c r="F45" s="328">
        <v>0</v>
      </c>
      <c r="G45" s="328">
        <v>0</v>
      </c>
      <c r="H45" s="326">
        <f t="shared" si="0"/>
        <v>0</v>
      </c>
      <c r="I45" s="318"/>
      <c r="J45" s="319"/>
      <c r="K45" s="318"/>
      <c r="L45" s="318"/>
      <c r="M45" s="318"/>
      <c r="N45" s="318"/>
      <c r="O45" s="318"/>
      <c r="P45" s="318"/>
    </row>
    <row r="46" spans="1:16" ht="18.95" customHeight="1">
      <c r="A46" s="329" t="s">
        <v>303</v>
      </c>
      <c r="B46" s="328"/>
      <c r="C46" s="328">
        <v>0</v>
      </c>
      <c r="D46" s="328"/>
      <c r="E46" s="328"/>
      <c r="F46" s="328">
        <v>0</v>
      </c>
      <c r="G46" s="328">
        <v>0</v>
      </c>
      <c r="H46" s="326">
        <f t="shared" si="0"/>
        <v>0</v>
      </c>
      <c r="I46" s="318"/>
      <c r="J46" s="319"/>
      <c r="K46" s="318"/>
      <c r="L46" s="318"/>
      <c r="M46" s="318"/>
      <c r="N46" s="318"/>
      <c r="O46" s="318"/>
      <c r="P46" s="318"/>
    </row>
    <row r="47" spans="1:16" ht="18.95" customHeight="1">
      <c r="A47" s="329" t="s">
        <v>659</v>
      </c>
      <c r="B47" s="328"/>
      <c r="C47" s="328">
        <v>0</v>
      </c>
      <c r="D47" s="328"/>
      <c r="E47" s="328"/>
      <c r="F47" s="328">
        <v>0</v>
      </c>
      <c r="G47" s="328">
        <v>0</v>
      </c>
      <c r="H47" s="326">
        <f t="shared" si="0"/>
        <v>0</v>
      </c>
      <c r="I47" s="338"/>
      <c r="J47" s="319"/>
      <c r="L47" s="318"/>
      <c r="M47" s="318"/>
      <c r="N47" s="318"/>
      <c r="O47" s="318"/>
      <c r="P47" s="318"/>
    </row>
    <row r="48" spans="1:16" ht="18.95" customHeight="1">
      <c r="A48" s="336" t="s">
        <v>658</v>
      </c>
      <c r="B48" s="336">
        <f>材料价格!B9</f>
        <v>2900</v>
      </c>
      <c r="C48" s="336" t="s">
        <v>657</v>
      </c>
      <c r="D48" s="337">
        <f>SUM(H41:H47)*1.06</f>
        <v>0.35785600000000001</v>
      </c>
      <c r="E48" s="336" t="s">
        <v>656</v>
      </c>
      <c r="F48" s="336">
        <f>(B38+B48)/1000</f>
        <v>24.9815</v>
      </c>
      <c r="G48" s="336" t="s">
        <v>655</v>
      </c>
      <c r="H48" s="335">
        <f>ROUND(D48*F48,4)</f>
        <v>8.9398</v>
      </c>
      <c r="I48" s="318"/>
      <c r="J48" s="319"/>
      <c r="L48" s="318"/>
      <c r="M48" s="318"/>
      <c r="N48" s="318"/>
      <c r="O48" s="318"/>
      <c r="P48" s="318"/>
    </row>
    <row r="49" spans="1:17" ht="18.95" customHeight="1">
      <c r="A49" s="329" t="s">
        <v>187</v>
      </c>
      <c r="B49" s="334" t="s">
        <v>113</v>
      </c>
      <c r="C49" s="334" t="s">
        <v>8</v>
      </c>
      <c r="D49" s="328"/>
      <c r="E49" s="328"/>
      <c r="F49" s="334" t="s">
        <v>28</v>
      </c>
      <c r="G49" s="334" t="s">
        <v>160</v>
      </c>
      <c r="H49" s="326"/>
      <c r="I49" s="318"/>
      <c r="J49" s="319"/>
      <c r="K49" s="318"/>
      <c r="L49" s="318"/>
      <c r="M49" s="318"/>
      <c r="N49" s="318"/>
      <c r="O49" s="318"/>
      <c r="P49" s="318"/>
    </row>
    <row r="50" spans="1:17" ht="18.95" customHeight="1">
      <c r="A50" s="329" t="s">
        <v>654</v>
      </c>
      <c r="B50" s="327"/>
      <c r="C50" s="328"/>
      <c r="D50" s="327"/>
      <c r="E50" s="327"/>
      <c r="F50" s="327">
        <v>15</v>
      </c>
      <c r="G50" s="327">
        <f>C50*F50</f>
        <v>0</v>
      </c>
      <c r="H50" s="330" t="s">
        <v>653</v>
      </c>
      <c r="I50" s="318"/>
      <c r="J50" s="319"/>
      <c r="K50" s="318"/>
      <c r="L50" s="318"/>
      <c r="M50" s="318"/>
      <c r="N50" s="318"/>
      <c r="O50" s="318"/>
      <c r="P50" s="318"/>
    </row>
    <row r="51" spans="1:17" ht="18.95" customHeight="1">
      <c r="A51" s="329" t="s">
        <v>652</v>
      </c>
      <c r="B51" s="327"/>
      <c r="C51" s="333">
        <f>(ROUND((C3-150)/350,0)+1+ROUND((D3-150)/350,0)+1)*2</f>
        <v>16</v>
      </c>
      <c r="D51" s="327"/>
      <c r="E51" s="327"/>
      <c r="F51" s="327">
        <v>1</v>
      </c>
      <c r="G51" s="327">
        <f>C51*F51</f>
        <v>16</v>
      </c>
      <c r="H51" s="326" t="s">
        <v>651</v>
      </c>
      <c r="I51" s="318"/>
      <c r="J51" s="319"/>
      <c r="K51" s="318"/>
      <c r="L51" s="318"/>
      <c r="M51" s="318"/>
      <c r="N51" s="318"/>
      <c r="O51" s="318"/>
      <c r="P51" s="318"/>
    </row>
    <row r="52" spans="1:17" ht="18.95" customHeight="1">
      <c r="A52" s="329" t="s">
        <v>246</v>
      </c>
      <c r="B52" s="327"/>
      <c r="C52" s="332">
        <f>(D24+D25+D26)*4*1.5</f>
        <v>104</v>
      </c>
      <c r="D52" s="327"/>
      <c r="E52" s="327"/>
      <c r="F52" s="327">
        <v>0.03</v>
      </c>
      <c r="G52" s="327">
        <f>C52*F52</f>
        <v>3.12</v>
      </c>
      <c r="H52" s="326"/>
      <c r="I52" s="318"/>
      <c r="J52" s="319"/>
      <c r="K52" s="318"/>
      <c r="L52" s="318"/>
      <c r="M52" s="318"/>
      <c r="N52" s="318"/>
      <c r="O52" s="318"/>
      <c r="P52" s="318"/>
    </row>
    <row r="53" spans="1:17" ht="18.95" customHeight="1">
      <c r="A53" s="329" t="s">
        <v>216</v>
      </c>
      <c r="B53" s="327">
        <v>4</v>
      </c>
      <c r="C53" s="327"/>
      <c r="D53" s="327"/>
      <c r="E53" s="327"/>
      <c r="F53" s="327">
        <v>0.5</v>
      </c>
      <c r="G53" s="327">
        <f>ROUND(B53*F53,2)</f>
        <v>2</v>
      </c>
      <c r="H53" s="326"/>
      <c r="I53" s="318"/>
      <c r="J53" s="319"/>
      <c r="K53" s="318"/>
      <c r="L53" s="318"/>
      <c r="M53" s="318"/>
      <c r="N53" s="318"/>
      <c r="O53" s="318"/>
      <c r="P53" s="318"/>
    </row>
    <row r="54" spans="1:17" ht="18.95" customHeight="1">
      <c r="A54" s="329" t="s">
        <v>641</v>
      </c>
      <c r="B54" s="327">
        <f>ROUND((C3+D3)*2/1000,2)</f>
        <v>5.2</v>
      </c>
      <c r="C54" s="327"/>
      <c r="D54" s="327">
        <f>500/300*2.5</f>
        <v>4.166666666666667</v>
      </c>
      <c r="E54" s="327">
        <f>材料价格!B25</f>
        <v>8.52</v>
      </c>
      <c r="F54" s="327">
        <f>E54/D54</f>
        <v>2.0448</v>
      </c>
      <c r="G54" s="327">
        <f>ROUND(B54*F54,2)</f>
        <v>10.63</v>
      </c>
      <c r="H54" s="326"/>
      <c r="I54" s="319">
        <f>G54/10/D62</f>
        <v>0.66437500000000005</v>
      </c>
      <c r="J54" s="319"/>
      <c r="K54" s="318"/>
      <c r="L54" s="318"/>
      <c r="M54" s="318"/>
      <c r="N54" s="318"/>
      <c r="O54" s="318"/>
      <c r="P54" s="318"/>
    </row>
    <row r="55" spans="1:17" ht="18.95" customHeight="1">
      <c r="A55" s="329" t="s">
        <v>221</v>
      </c>
      <c r="B55" s="327">
        <f>ROUND((C3+D3)*2/1000,2)</f>
        <v>5.2</v>
      </c>
      <c r="C55" s="327"/>
      <c r="D55" s="327">
        <v>10</v>
      </c>
      <c r="E55" s="327">
        <f>材料价格!B26</f>
        <v>23</v>
      </c>
      <c r="F55" s="327">
        <f>E55/D55</f>
        <v>2.2999999999999998</v>
      </c>
      <c r="G55" s="327">
        <f>ROUND(B55*F55,2)</f>
        <v>11.96</v>
      </c>
      <c r="H55" s="326"/>
      <c r="I55" s="319">
        <f>G55/21.5/D62</f>
        <v>0.34767441860465115</v>
      </c>
      <c r="J55" s="319"/>
      <c r="K55" s="318"/>
      <c r="L55" s="318"/>
      <c r="M55" s="318"/>
      <c r="N55" s="318"/>
      <c r="O55" s="318"/>
      <c r="P55" s="318"/>
    </row>
    <row r="56" spans="1:17" ht="18.95" customHeight="1">
      <c r="A56" s="329" t="s">
        <v>213</v>
      </c>
      <c r="B56" s="327">
        <f>E3</f>
        <v>1.6</v>
      </c>
      <c r="C56" s="327"/>
      <c r="D56" s="327"/>
      <c r="E56" s="327"/>
      <c r="F56" s="327">
        <v>8</v>
      </c>
      <c r="G56" s="327">
        <f>ROUND(B56*F56,2)</f>
        <v>12.8</v>
      </c>
      <c r="H56" s="326"/>
      <c r="I56" s="318"/>
      <c r="J56" s="319"/>
      <c r="K56" s="318"/>
      <c r="L56" s="318"/>
      <c r="M56" s="318"/>
      <c r="N56" s="318"/>
      <c r="O56" s="318"/>
      <c r="P56" s="318"/>
    </row>
    <row r="57" spans="1:17" ht="18.95" customHeight="1">
      <c r="A57" s="329" t="s">
        <v>650</v>
      </c>
      <c r="B57" s="327">
        <f>G3</f>
        <v>1.6</v>
      </c>
      <c r="C57" s="327"/>
      <c r="D57" s="327"/>
      <c r="E57" s="327"/>
      <c r="F57" s="327"/>
      <c r="G57" s="327">
        <f>ROUND(B57*F57,2)</f>
        <v>0</v>
      </c>
      <c r="H57" s="330"/>
      <c r="I57" s="318"/>
      <c r="J57" s="319"/>
      <c r="K57" s="318"/>
      <c r="L57" s="318"/>
      <c r="M57" s="318"/>
      <c r="N57" s="318"/>
      <c r="O57" s="318"/>
      <c r="P57" s="318"/>
    </row>
    <row r="58" spans="1:17" ht="18.95" customHeight="1">
      <c r="A58" s="329" t="s">
        <v>649</v>
      </c>
      <c r="B58" s="327"/>
      <c r="C58" s="327">
        <f>E3</f>
        <v>1.6</v>
      </c>
      <c r="D58" s="327"/>
      <c r="E58" s="327"/>
      <c r="F58" s="327"/>
      <c r="G58" s="327">
        <f>ROUND(C58*F58,2)</f>
        <v>0</v>
      </c>
      <c r="H58" s="330" t="s">
        <v>647</v>
      </c>
      <c r="I58" s="318"/>
      <c r="J58" s="319"/>
      <c r="K58" s="318"/>
      <c r="L58" s="318"/>
      <c r="M58" s="318"/>
      <c r="N58" s="318"/>
      <c r="O58" s="318"/>
      <c r="P58" s="318"/>
    </row>
    <row r="59" spans="1:17" ht="18.95" customHeight="1">
      <c r="A59" s="329" t="s">
        <v>648</v>
      </c>
      <c r="B59" s="327"/>
      <c r="C59" s="327">
        <f>D4/1000</f>
        <v>0.98</v>
      </c>
      <c r="D59" s="331">
        <v>0.25900000000000001</v>
      </c>
      <c r="E59" s="327"/>
      <c r="F59" s="327"/>
      <c r="G59" s="327">
        <f>ROUND(C59*D59*F59,2)</f>
        <v>0</v>
      </c>
      <c r="H59" s="330" t="s">
        <v>647</v>
      </c>
      <c r="I59" s="318"/>
      <c r="J59" s="319"/>
      <c r="K59" s="318"/>
      <c r="L59" s="318"/>
      <c r="M59" s="318"/>
      <c r="N59" s="318"/>
      <c r="O59" s="318"/>
      <c r="P59" s="318"/>
    </row>
    <row r="60" spans="1:17" ht="18.95" customHeight="1">
      <c r="A60" s="156" t="s">
        <v>901</v>
      </c>
      <c r="B60" s="157"/>
      <c r="C60" s="463">
        <f>(C3+D3)*2/1000</f>
        <v>5.2</v>
      </c>
      <c r="D60" s="148"/>
      <c r="E60" s="148"/>
      <c r="F60" s="148">
        <v>45</v>
      </c>
      <c r="G60" s="154">
        <f>ROUND(C60*F60,2)</f>
        <v>234</v>
      </c>
      <c r="H60" s="330"/>
      <c r="I60" s="318"/>
      <c r="J60" s="319"/>
      <c r="K60" s="318"/>
      <c r="L60" s="318"/>
      <c r="M60" s="318"/>
      <c r="N60" s="318"/>
      <c r="O60" s="318"/>
      <c r="P60" s="318"/>
    </row>
    <row r="61" spans="1:17" ht="18.95" customHeight="1">
      <c r="A61" s="329" t="s">
        <v>257</v>
      </c>
      <c r="B61" s="328"/>
      <c r="C61" s="328"/>
      <c r="D61" s="328"/>
      <c r="E61" s="328"/>
      <c r="F61" s="327"/>
      <c r="G61" s="327">
        <f>SUM(G50:G60)</f>
        <v>290.51</v>
      </c>
      <c r="H61" s="326"/>
      <c r="I61" s="318"/>
      <c r="J61" s="319"/>
      <c r="K61" s="318"/>
      <c r="L61" s="318"/>
      <c r="M61" s="318"/>
      <c r="N61" s="318"/>
      <c r="O61" s="318"/>
      <c r="P61" s="318"/>
    </row>
    <row r="62" spans="1:17" ht="18.95" customHeight="1" thickBot="1">
      <c r="A62" s="325" t="s">
        <v>646</v>
      </c>
      <c r="B62" s="324">
        <f>H6+H38+H48+G61</f>
        <v>1270.6707333333334</v>
      </c>
      <c r="C62" s="322" t="s">
        <v>18</v>
      </c>
      <c r="D62" s="323">
        <f>G3</f>
        <v>1.6</v>
      </c>
      <c r="E62" s="323"/>
      <c r="F62" s="322" t="s">
        <v>28</v>
      </c>
      <c r="G62" s="321">
        <f>ROUND(B62/D62,0)</f>
        <v>794</v>
      </c>
      <c r="H62" s="320">
        <f>P86</f>
        <v>727.74286354387493</v>
      </c>
      <c r="I62" s="318">
        <f>C50</f>
        <v>0</v>
      </c>
      <c r="J62" s="631" t="s">
        <v>603</v>
      </c>
      <c r="K62" s="631"/>
      <c r="L62" s="631"/>
      <c r="M62" s="631"/>
      <c r="N62" s="631"/>
      <c r="O62" s="631"/>
      <c r="P62" s="631"/>
      <c r="Q62" s="631"/>
    </row>
    <row r="63" spans="1:17" ht="22.5" customHeight="1" thickTop="1">
      <c r="A63" s="674" t="s">
        <v>645</v>
      </c>
      <c r="B63" s="675"/>
      <c r="C63" s="675"/>
      <c r="D63" s="675"/>
      <c r="E63" s="675"/>
      <c r="F63" s="675"/>
      <c r="G63" s="675"/>
      <c r="H63" s="675"/>
      <c r="J63" s="634" t="s">
        <v>604</v>
      </c>
      <c r="K63" s="634"/>
      <c r="L63" s="634"/>
      <c r="M63" s="634"/>
      <c r="N63" s="634"/>
      <c r="O63" s="634"/>
      <c r="P63" s="634"/>
      <c r="Q63" s="634"/>
    </row>
    <row r="64" spans="1:17" ht="22.5" customHeight="1">
      <c r="A64" s="675" t="s">
        <v>644</v>
      </c>
      <c r="B64" s="675"/>
      <c r="C64" s="675"/>
      <c r="D64" s="675"/>
      <c r="E64" s="675"/>
      <c r="F64" s="675"/>
      <c r="G64" s="675"/>
      <c r="H64" s="675"/>
      <c r="J64" s="285" t="s">
        <v>279</v>
      </c>
      <c r="K64" s="624" t="s">
        <v>693</v>
      </c>
      <c r="L64" s="625"/>
      <c r="M64" s="312" t="str">
        <f ca="1">B3</f>
        <v>BYC1610</v>
      </c>
      <c r="N64" s="312"/>
      <c r="O64" s="313"/>
      <c r="P64" s="287" t="s">
        <v>605</v>
      </c>
      <c r="Q64" s="288"/>
    </row>
    <row r="65" spans="1:17" ht="30.75" customHeight="1">
      <c r="A65" s="675" t="s">
        <v>643</v>
      </c>
      <c r="B65" s="675"/>
      <c r="C65" s="675"/>
      <c r="D65" s="675"/>
      <c r="E65" s="675"/>
      <c r="F65" s="675"/>
      <c r="G65" s="675"/>
      <c r="H65" s="675"/>
      <c r="J65" s="635" t="s">
        <v>606</v>
      </c>
      <c r="K65" s="623" t="s">
        <v>626</v>
      </c>
      <c r="L65" s="623"/>
      <c r="M65" s="623"/>
      <c r="N65" s="623"/>
      <c r="O65" s="637"/>
      <c r="P65" s="291" t="s">
        <v>607</v>
      </c>
      <c r="Q65" s="292" t="s">
        <v>313</v>
      </c>
    </row>
    <row r="66" spans="1:17" ht="30.75" customHeight="1">
      <c r="A66" s="317"/>
      <c r="B66" s="317"/>
      <c r="C66" s="317"/>
      <c r="D66" s="317"/>
      <c r="E66" s="317"/>
      <c r="F66" s="317"/>
      <c r="G66" s="317"/>
      <c r="H66" s="317"/>
      <c r="J66" s="636"/>
      <c r="K66" s="638"/>
      <c r="L66" s="638"/>
      <c r="M66" s="638"/>
      <c r="N66" s="638"/>
      <c r="O66" s="638"/>
      <c r="P66" s="291" t="s">
        <v>268</v>
      </c>
      <c r="Q66" s="293">
        <f>E3</f>
        <v>1.6</v>
      </c>
    </row>
    <row r="67" spans="1:17" ht="22.5" customHeight="1">
      <c r="A67" s="675"/>
      <c r="B67" s="675"/>
      <c r="C67" s="675"/>
      <c r="D67" s="675"/>
      <c r="E67" s="675"/>
      <c r="F67" s="675"/>
      <c r="G67" s="675"/>
      <c r="H67" s="675"/>
      <c r="J67" s="311" t="s">
        <v>0</v>
      </c>
      <c r="K67" s="289" t="s">
        <v>608</v>
      </c>
      <c r="L67" s="289" t="s">
        <v>627</v>
      </c>
      <c r="M67" s="289" t="s">
        <v>269</v>
      </c>
      <c r="N67" s="294" t="s">
        <v>8</v>
      </c>
      <c r="O67" s="295" t="s">
        <v>609</v>
      </c>
      <c r="P67" s="296" t="s">
        <v>270</v>
      </c>
      <c r="Q67" s="295" t="s">
        <v>610</v>
      </c>
    </row>
    <row r="68" spans="1:17" ht="22.5" customHeight="1">
      <c r="J68" s="297" t="s">
        <v>305</v>
      </c>
      <c r="K68" s="298" t="s">
        <v>611</v>
      </c>
      <c r="L68" s="298"/>
      <c r="M68" s="286"/>
      <c r="N68" s="299"/>
      <c r="O68" s="300"/>
      <c r="P68" s="301">
        <f>SUM(P69:P77)</f>
        <v>682.32381805849991</v>
      </c>
      <c r="Q68" s="286"/>
    </row>
    <row r="69" spans="1:17" ht="22.5" customHeight="1">
      <c r="J69" s="286">
        <v>1</v>
      </c>
      <c r="K69" s="302" t="s">
        <v>612</v>
      </c>
      <c r="L69" s="307"/>
      <c r="M69" s="286" t="s">
        <v>271</v>
      </c>
      <c r="N69" s="303">
        <f>D38+D48</f>
        <v>15.684158999999998</v>
      </c>
      <c r="O69" s="304">
        <f>F38</f>
        <v>24.9815</v>
      </c>
      <c r="P69" s="305">
        <f t="shared" ref="P69:P77" si="1">O69*N69</f>
        <v>391.81381805849992</v>
      </c>
      <c r="Q69" s="306"/>
    </row>
    <row r="70" spans="1:17" ht="22.5" customHeight="1">
      <c r="J70" s="286">
        <v>2</v>
      </c>
      <c r="K70" s="290" t="s">
        <v>613</v>
      </c>
      <c r="L70" s="307"/>
      <c r="M70" s="286" t="s">
        <v>276</v>
      </c>
      <c r="N70" s="303"/>
      <c r="O70" s="304">
        <f>B52</f>
        <v>0</v>
      </c>
      <c r="P70" s="305">
        <f t="shared" si="1"/>
        <v>0</v>
      </c>
      <c r="Q70" s="306"/>
    </row>
    <row r="71" spans="1:17" ht="22.5" customHeight="1">
      <c r="J71" s="286">
        <v>3</v>
      </c>
      <c r="K71" s="302" t="s">
        <v>636</v>
      </c>
      <c r="L71" s="302"/>
      <c r="M71" s="286" t="s">
        <v>312</v>
      </c>
      <c r="N71" s="303"/>
      <c r="O71" s="304"/>
      <c r="P71" s="305">
        <f t="shared" si="1"/>
        <v>0</v>
      </c>
      <c r="Q71" s="306"/>
    </row>
    <row r="72" spans="1:17" ht="22.5" customHeight="1">
      <c r="J72" s="286">
        <v>4</v>
      </c>
      <c r="K72" s="302" t="s">
        <v>615</v>
      </c>
      <c r="L72" s="306"/>
      <c r="M72" s="286" t="s">
        <v>278</v>
      </c>
      <c r="N72" s="303">
        <f>G54/E54</f>
        <v>1.2476525821596245</v>
      </c>
      <c r="O72" s="304">
        <f>E54</f>
        <v>8.52</v>
      </c>
      <c r="P72" s="305">
        <f t="shared" si="1"/>
        <v>10.63</v>
      </c>
      <c r="Q72" s="306"/>
    </row>
    <row r="73" spans="1:17" ht="22.5" customHeight="1">
      <c r="J73" s="286">
        <v>5</v>
      </c>
      <c r="K73" s="306" t="s">
        <v>616</v>
      </c>
      <c r="L73" s="302"/>
      <c r="M73" s="286" t="s">
        <v>628</v>
      </c>
      <c r="N73" s="303">
        <f>C31/21</f>
        <v>0</v>
      </c>
      <c r="O73" s="304"/>
      <c r="P73" s="305">
        <f t="shared" si="1"/>
        <v>0</v>
      </c>
      <c r="Q73" s="306"/>
    </row>
    <row r="74" spans="1:17" ht="22.5" customHeight="1">
      <c r="J74" s="286">
        <v>6</v>
      </c>
      <c r="K74" s="302" t="s">
        <v>319</v>
      </c>
      <c r="L74" s="302"/>
      <c r="M74" s="286" t="s">
        <v>273</v>
      </c>
      <c r="N74" s="303"/>
      <c r="O74" s="304"/>
      <c r="P74" s="305">
        <f t="shared" si="1"/>
        <v>0</v>
      </c>
      <c r="Q74" s="306"/>
    </row>
    <row r="75" spans="1:17" ht="22.5" customHeight="1">
      <c r="J75" s="286">
        <v>7</v>
      </c>
      <c r="K75" s="302" t="s">
        <v>295</v>
      </c>
      <c r="L75" s="302"/>
      <c r="M75" s="286" t="s">
        <v>273</v>
      </c>
      <c r="N75" s="303"/>
      <c r="O75" s="304"/>
      <c r="P75" s="305">
        <f t="shared" si="1"/>
        <v>0</v>
      </c>
      <c r="Q75" s="306"/>
    </row>
    <row r="76" spans="1:17" ht="22.5" customHeight="1">
      <c r="J76" s="286">
        <v>8</v>
      </c>
      <c r="K76" s="302" t="s">
        <v>296</v>
      </c>
      <c r="L76" s="302"/>
      <c r="M76" s="286" t="s">
        <v>273</v>
      </c>
      <c r="N76" s="303"/>
      <c r="O76" s="304"/>
      <c r="P76" s="305">
        <f t="shared" si="1"/>
        <v>0</v>
      </c>
      <c r="Q76" s="306"/>
    </row>
    <row r="77" spans="1:17" ht="22.5" customHeight="1">
      <c r="J77" s="286">
        <v>9</v>
      </c>
      <c r="K77" s="302" t="s">
        <v>617</v>
      </c>
      <c r="L77" s="302"/>
      <c r="M77" s="286" t="s">
        <v>618</v>
      </c>
      <c r="N77" s="296">
        <v>1</v>
      </c>
      <c r="O77" s="304">
        <f>G61-G54</f>
        <v>279.88</v>
      </c>
      <c r="P77" s="305">
        <f t="shared" si="1"/>
        <v>279.88</v>
      </c>
      <c r="Q77" s="306"/>
    </row>
    <row r="78" spans="1:17" ht="22.5" customHeight="1">
      <c r="J78" s="297" t="s">
        <v>306</v>
      </c>
      <c r="K78" s="308" t="s">
        <v>314</v>
      </c>
      <c r="L78" s="298"/>
      <c r="M78" s="286"/>
      <c r="N78" s="296"/>
      <c r="O78" s="309"/>
      <c r="P78" s="301">
        <f>SUM(P79:P80)</f>
        <v>256</v>
      </c>
      <c r="Q78" s="286"/>
    </row>
    <row r="79" spans="1:17" ht="22.5" customHeight="1">
      <c r="J79" s="286">
        <v>1</v>
      </c>
      <c r="K79" s="307" t="s">
        <v>619</v>
      </c>
      <c r="L79" s="307"/>
      <c r="M79" s="300" t="s">
        <v>312</v>
      </c>
      <c r="N79" s="296">
        <f>Q66</f>
        <v>1.6</v>
      </c>
      <c r="O79" s="310">
        <v>60</v>
      </c>
      <c r="P79" s="305">
        <f>O79*N79</f>
        <v>96</v>
      </c>
      <c r="Q79" s="286"/>
    </row>
    <row r="80" spans="1:17" ht="22.5" customHeight="1">
      <c r="J80" s="286">
        <v>2</v>
      </c>
      <c r="K80" s="307" t="s">
        <v>288</v>
      </c>
      <c r="L80" s="307"/>
      <c r="M80" s="300" t="s">
        <v>312</v>
      </c>
      <c r="N80" s="296">
        <f>Q66</f>
        <v>1.6</v>
      </c>
      <c r="O80" s="310">
        <v>100</v>
      </c>
      <c r="P80" s="305">
        <f>O80*N80</f>
        <v>160</v>
      </c>
      <c r="Q80" s="286"/>
    </row>
    <row r="81" spans="10:17" ht="22.5" customHeight="1">
      <c r="J81" s="297" t="s">
        <v>307</v>
      </c>
      <c r="K81" s="308" t="s">
        <v>290</v>
      </c>
      <c r="L81" s="298"/>
      <c r="M81" s="286"/>
      <c r="N81" s="296"/>
      <c r="O81" s="309"/>
      <c r="P81" s="301">
        <f>SUM(P82)</f>
        <v>32</v>
      </c>
      <c r="Q81" s="286"/>
    </row>
    <row r="82" spans="10:17" ht="22.5" customHeight="1">
      <c r="J82" s="286">
        <v>1</v>
      </c>
      <c r="K82" s="307" t="s">
        <v>290</v>
      </c>
      <c r="L82" s="307"/>
      <c r="M82" s="300" t="s">
        <v>312</v>
      </c>
      <c r="N82" s="296">
        <f>Q66</f>
        <v>1.6</v>
      </c>
      <c r="O82" s="310">
        <v>20</v>
      </c>
      <c r="P82" s="305">
        <f>O82*N82</f>
        <v>32</v>
      </c>
      <c r="Q82" s="286"/>
    </row>
    <row r="83" spans="10:17" ht="22.5" customHeight="1">
      <c r="J83" s="286" t="s">
        <v>308</v>
      </c>
      <c r="K83" s="618" t="s">
        <v>620</v>
      </c>
      <c r="L83" s="619"/>
      <c r="M83" s="620"/>
      <c r="N83" s="621"/>
      <c r="O83" s="622"/>
      <c r="P83" s="301">
        <f>P68+P78+P81</f>
        <v>970.32381805849991</v>
      </c>
      <c r="Q83" s="286"/>
    </row>
    <row r="84" spans="10:17" ht="22.5" customHeight="1">
      <c r="J84" s="286" t="s">
        <v>309</v>
      </c>
      <c r="K84" s="618" t="s">
        <v>621</v>
      </c>
      <c r="L84" s="619"/>
      <c r="M84" s="626">
        <v>0.2</v>
      </c>
      <c r="N84" s="627"/>
      <c r="O84" s="628"/>
      <c r="P84" s="301">
        <f>P83*M84</f>
        <v>194.06476361169999</v>
      </c>
      <c r="Q84" s="286"/>
    </row>
    <row r="85" spans="10:17" ht="20.100000000000001" customHeight="1">
      <c r="J85" s="286" t="s">
        <v>310</v>
      </c>
      <c r="K85" s="618" t="s">
        <v>622</v>
      </c>
      <c r="L85" s="619"/>
      <c r="M85" s="620"/>
      <c r="N85" s="621"/>
      <c r="O85" s="622"/>
      <c r="P85" s="301">
        <f>P83+P84</f>
        <v>1164.3885816702</v>
      </c>
      <c r="Q85" s="286"/>
    </row>
    <row r="86" spans="10:17" ht="20.100000000000001" customHeight="1">
      <c r="J86" s="297" t="s">
        <v>311</v>
      </c>
      <c r="K86" s="618" t="s">
        <v>623</v>
      </c>
      <c r="L86" s="619"/>
      <c r="M86" s="620"/>
      <c r="N86" s="621"/>
      <c r="O86" s="622"/>
      <c r="P86" s="301">
        <f>P85/Q66</f>
        <v>727.74286354387493</v>
      </c>
      <c r="Q86" s="286" t="s">
        <v>624</v>
      </c>
    </row>
    <row r="87" spans="10:17" ht="20.100000000000001" customHeight="1">
      <c r="J87" s="623" t="s">
        <v>625</v>
      </c>
      <c r="K87" s="623"/>
      <c r="L87" s="623"/>
      <c r="M87" s="623"/>
      <c r="N87" s="623"/>
      <c r="O87" s="623"/>
      <c r="P87" s="623"/>
      <c r="Q87" s="623"/>
    </row>
    <row r="88" spans="10:17" ht="20.100000000000001" customHeight="1"/>
    <row r="89" spans="10:17" ht="20.100000000000001" customHeight="1"/>
    <row r="90" spans="10:17" ht="20.100000000000001" customHeight="1"/>
    <row r="91" spans="10:17" ht="20.100000000000001" customHeight="1"/>
  </sheetData>
  <mergeCells count="44">
    <mergeCell ref="B1:H1"/>
    <mergeCell ref="I1:L1"/>
    <mergeCell ref="A3:A4"/>
    <mergeCell ref="I8:J11"/>
    <mergeCell ref="A9:A11"/>
    <mergeCell ref="B9:B11"/>
    <mergeCell ref="A12:B12"/>
    <mergeCell ref="A14:A16"/>
    <mergeCell ref="B14:B16"/>
    <mergeCell ref="A17:B17"/>
    <mergeCell ref="A19:A21"/>
    <mergeCell ref="B19:B21"/>
    <mergeCell ref="A22:B22"/>
    <mergeCell ref="A24:A26"/>
    <mergeCell ref="B24:B26"/>
    <mergeCell ref="A27:B27"/>
    <mergeCell ref="A29:A31"/>
    <mergeCell ref="B29:B31"/>
    <mergeCell ref="A32:B32"/>
    <mergeCell ref="A34:A36"/>
    <mergeCell ref="B34:B36"/>
    <mergeCell ref="A37:B37"/>
    <mergeCell ref="A42:A43"/>
    <mergeCell ref="B42:B43"/>
    <mergeCell ref="K83:L83"/>
    <mergeCell ref="M83:O83"/>
    <mergeCell ref="K84:L84"/>
    <mergeCell ref="M84:O84"/>
    <mergeCell ref="A44:A45"/>
    <mergeCell ref="B44:B45"/>
    <mergeCell ref="A63:H63"/>
    <mergeCell ref="A64:H64"/>
    <mergeCell ref="A65:H65"/>
    <mergeCell ref="A67:H67"/>
    <mergeCell ref="J62:Q62"/>
    <mergeCell ref="J63:Q63"/>
    <mergeCell ref="K64:L64"/>
    <mergeCell ref="J65:J66"/>
    <mergeCell ref="K65:O66"/>
    <mergeCell ref="K85:L85"/>
    <mergeCell ref="M85:O85"/>
    <mergeCell ref="K86:L86"/>
    <mergeCell ref="M86:O86"/>
    <mergeCell ref="J87:Q87"/>
  </mergeCells>
  <phoneticPr fontId="5" type="noConversion"/>
  <printOptions horizontalCentered="1"/>
  <pageMargins left="0.59055118110236227" right="0.59055118110236227" top="0.59055118110236227" bottom="0.59055118110236227" header="0.31496062992125984" footer="0.31496062992125984"/>
  <pageSetup paperSize="9" scale="36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3FD89-6F39-48B6-AAF9-ED3E60F0305F}">
  <sheetPr>
    <tabColor theme="0" tint="-0.34998626667073579"/>
    <pageSetUpPr fitToPage="1"/>
  </sheetPr>
  <dimension ref="A1:Q91"/>
  <sheetViews>
    <sheetView showZeros="0" topLeftCell="A40" workbookViewId="0">
      <selection activeCell="A63" sqref="A63:H63"/>
    </sheetView>
  </sheetViews>
  <sheetFormatPr defaultColWidth="6.875" defaultRowHeight="14.25"/>
  <cols>
    <col min="1" max="1" width="14.5" style="315" customWidth="1"/>
    <col min="2" max="2" width="10.75" style="315" customWidth="1"/>
    <col min="3" max="3" width="11.875" style="315" customWidth="1"/>
    <col min="4" max="4" width="11.625" style="315" customWidth="1"/>
    <col min="5" max="5" width="13.5" style="315" customWidth="1"/>
    <col min="6" max="6" width="9.375" style="315" customWidth="1"/>
    <col min="7" max="7" width="11.125" style="315" customWidth="1"/>
    <col min="8" max="8" width="10.125" style="316" customWidth="1"/>
    <col min="9" max="9" width="16" style="315" customWidth="1"/>
    <col min="10" max="10" width="13.125" style="315" customWidth="1"/>
    <col min="11" max="11" width="24.375" style="315" customWidth="1"/>
    <col min="12" max="12" width="13.75" style="315" customWidth="1"/>
    <col min="13" max="13" width="11.25" style="315" customWidth="1"/>
    <col min="14" max="14" width="10.75" style="315" customWidth="1"/>
    <col min="15" max="15" width="10" style="315" customWidth="1"/>
    <col min="16" max="16" width="9.875" style="315" customWidth="1"/>
    <col min="17" max="17" width="26.125" style="315" customWidth="1"/>
    <col min="18" max="18" width="11.375" style="315" customWidth="1"/>
    <col min="19" max="19" width="6" style="315" customWidth="1"/>
    <col min="20" max="20" width="9.25" style="315" customWidth="1"/>
    <col min="21" max="21" width="12.875" style="315" customWidth="1"/>
    <col min="22" max="16384" width="6.875" style="315"/>
  </cols>
  <sheetData>
    <row r="1" spans="1:16" ht="26.25" thickTop="1">
      <c r="A1" s="361" t="s">
        <v>690</v>
      </c>
      <c r="B1" s="683" t="s">
        <v>691</v>
      </c>
      <c r="C1" s="684"/>
      <c r="D1" s="684"/>
      <c r="E1" s="684"/>
      <c r="F1" s="684"/>
      <c r="G1" s="684"/>
      <c r="H1" s="685"/>
      <c r="I1" s="686" t="s">
        <v>13</v>
      </c>
      <c r="J1" s="687"/>
      <c r="K1" s="687"/>
      <c r="L1" s="688"/>
      <c r="N1" s="318"/>
      <c r="O1" s="318"/>
      <c r="P1" s="318"/>
    </row>
    <row r="2" spans="1:16" ht="18.95" customHeight="1">
      <c r="A2" s="329" t="s">
        <v>689</v>
      </c>
      <c r="B2" s="334" t="s">
        <v>14</v>
      </c>
      <c r="C2" s="334" t="s">
        <v>16</v>
      </c>
      <c r="D2" s="334" t="s">
        <v>17</v>
      </c>
      <c r="E2" s="334" t="s">
        <v>7</v>
      </c>
      <c r="F2" s="334" t="s">
        <v>5</v>
      </c>
      <c r="G2" s="334" t="s">
        <v>18</v>
      </c>
      <c r="H2" s="326"/>
      <c r="I2" s="360" t="s">
        <v>688</v>
      </c>
      <c r="J2" s="360" t="s">
        <v>687</v>
      </c>
      <c r="K2" s="360" t="s">
        <v>686</v>
      </c>
      <c r="L2" s="360" t="s">
        <v>22</v>
      </c>
      <c r="N2" s="318"/>
      <c r="O2" s="318"/>
      <c r="P2" s="318"/>
    </row>
    <row r="3" spans="1:16" ht="18.95" customHeight="1">
      <c r="A3" s="689" t="s">
        <v>558</v>
      </c>
      <c r="B3" s="328" t="str">
        <f ca="1">MID(CELL("filename",Q13),FIND("]",CELL("filename",Q13))+1,30)</f>
        <v>BYC0809</v>
      </c>
      <c r="C3" s="328">
        <v>800</v>
      </c>
      <c r="D3" s="328">
        <v>900</v>
      </c>
      <c r="E3" s="328">
        <f>ROUND(C3*D3/1000000,2)</f>
        <v>0.72</v>
      </c>
      <c r="F3" s="328">
        <v>1</v>
      </c>
      <c r="G3" s="328">
        <f>E3*F3</f>
        <v>0.72</v>
      </c>
      <c r="H3" s="326"/>
      <c r="I3" s="356">
        <v>40</v>
      </c>
      <c r="J3" s="356">
        <v>20</v>
      </c>
      <c r="K3" s="355">
        <v>1.5</v>
      </c>
      <c r="L3" s="354">
        <f>ROUND(((I3*J3)-(I3-2*K3)*(J3-2*K3))*2.71/1000,3)</f>
        <v>0.46300000000000002</v>
      </c>
      <c r="N3" s="318"/>
      <c r="O3" s="318"/>
      <c r="P3" s="318"/>
    </row>
    <row r="4" spans="1:16" ht="18.95" customHeight="1">
      <c r="A4" s="690"/>
      <c r="B4" s="334" t="s">
        <v>24</v>
      </c>
      <c r="C4" s="359">
        <f>C3-20</f>
        <v>780</v>
      </c>
      <c r="D4" s="359">
        <f>D3-20</f>
        <v>880</v>
      </c>
      <c r="E4" s="328">
        <f>ROUND(C4*D4/1000000,2)</f>
        <v>0.69</v>
      </c>
      <c r="F4" s="328">
        <v>1</v>
      </c>
      <c r="G4" s="328">
        <f>E4*F4</f>
        <v>0.69</v>
      </c>
      <c r="H4" s="326"/>
      <c r="I4" s="356">
        <v>40</v>
      </c>
      <c r="J4" s="356">
        <v>20</v>
      </c>
      <c r="K4" s="355">
        <v>2</v>
      </c>
      <c r="L4" s="354">
        <f>ROUND(((I4*J4)-(I4-2*K4)*(J4-2*K4))*7.8/1000,3)</f>
        <v>1.7470000000000001</v>
      </c>
      <c r="N4" s="318"/>
      <c r="O4" s="318"/>
      <c r="P4" s="318"/>
    </row>
    <row r="5" spans="1:16" ht="18.95" customHeight="1">
      <c r="A5" s="329" t="s">
        <v>25</v>
      </c>
      <c r="B5" s="334" t="s">
        <v>16</v>
      </c>
      <c r="C5" s="334" t="s">
        <v>26</v>
      </c>
      <c r="D5" s="334" t="s">
        <v>17</v>
      </c>
      <c r="E5" s="334" t="s">
        <v>27</v>
      </c>
      <c r="F5" s="334" t="s">
        <v>22</v>
      </c>
      <c r="G5" s="334" t="s">
        <v>28</v>
      </c>
      <c r="H5" s="330" t="s">
        <v>29</v>
      </c>
      <c r="I5" s="356">
        <v>40</v>
      </c>
      <c r="J5" s="356">
        <v>80</v>
      </c>
      <c r="K5" s="355">
        <v>2</v>
      </c>
      <c r="L5" s="354">
        <f>ROUND(((I5*J5)-(I5-2*K5)*(J5-2*K5))*7.8/1000,3)</f>
        <v>3.6190000000000002</v>
      </c>
      <c r="N5" s="318"/>
      <c r="O5" s="318"/>
      <c r="P5" s="318"/>
    </row>
    <row r="6" spans="1:16" ht="18.95" customHeight="1">
      <c r="A6" s="358" t="s">
        <v>685</v>
      </c>
      <c r="B6" s="328">
        <f>C3-40</f>
        <v>760</v>
      </c>
      <c r="C6" s="328">
        <v>2</v>
      </c>
      <c r="D6" s="328">
        <f>D3-40</f>
        <v>860</v>
      </c>
      <c r="E6" s="328">
        <v>2</v>
      </c>
      <c r="F6" s="350">
        <f>L4</f>
        <v>1.7470000000000001</v>
      </c>
      <c r="G6" s="327">
        <f>材料价格!B3</f>
        <v>7.5</v>
      </c>
      <c r="H6" s="357">
        <f>ROUND((B6*C6+D6*E6)*F6*G6/1000*1.1,2)</f>
        <v>46.7</v>
      </c>
      <c r="I6" s="356">
        <v>60</v>
      </c>
      <c r="J6" s="356">
        <v>20</v>
      </c>
      <c r="K6" s="355">
        <v>2</v>
      </c>
      <c r="L6" s="354">
        <f>ROUND(((I6*J6)-(I6-2*K6)*(J6-2*K6))*2.7/1000,3)</f>
        <v>0.82099999999999995</v>
      </c>
      <c r="N6" s="318"/>
      <c r="O6" s="318"/>
      <c r="P6" s="318"/>
    </row>
    <row r="7" spans="1:16" ht="18.95" customHeight="1">
      <c r="A7" s="353"/>
      <c r="B7" s="352">
        <f>H6/G6</f>
        <v>6.2266666666666675</v>
      </c>
      <c r="C7" s="349" t="s">
        <v>684</v>
      </c>
      <c r="D7" s="352">
        <f>H6/E3</f>
        <v>64.861111111111114</v>
      </c>
      <c r="E7" s="349" t="s">
        <v>683</v>
      </c>
      <c r="F7" s="344"/>
      <c r="G7" s="344"/>
      <c r="H7" s="335"/>
      <c r="I7" s="319"/>
      <c r="J7" s="318"/>
      <c r="K7" s="318"/>
      <c r="L7" s="318"/>
      <c r="M7" s="319"/>
      <c r="N7" s="318"/>
      <c r="O7" s="318"/>
      <c r="P7" s="318"/>
    </row>
    <row r="8" spans="1:16" ht="18.95" customHeight="1">
      <c r="A8" s="329" t="s">
        <v>36</v>
      </c>
      <c r="B8" s="334" t="s">
        <v>14</v>
      </c>
      <c r="C8" s="334" t="s">
        <v>37</v>
      </c>
      <c r="D8" s="334" t="s">
        <v>38</v>
      </c>
      <c r="E8" s="334" t="s">
        <v>39</v>
      </c>
      <c r="F8" s="334" t="s">
        <v>8</v>
      </c>
      <c r="G8" s="334" t="s">
        <v>22</v>
      </c>
      <c r="H8" s="330" t="s">
        <v>40</v>
      </c>
      <c r="I8" s="691" t="s">
        <v>682</v>
      </c>
      <c r="J8" s="692"/>
      <c r="K8" s="318"/>
      <c r="L8" s="318"/>
      <c r="M8" s="319"/>
      <c r="N8" s="318"/>
      <c r="O8" s="318"/>
      <c r="P8" s="318"/>
    </row>
    <row r="9" spans="1:16" ht="18.95" customHeight="1">
      <c r="A9" s="670" t="s">
        <v>681</v>
      </c>
      <c r="B9" s="678" t="s">
        <v>680</v>
      </c>
      <c r="C9" s="328">
        <f>C4</f>
        <v>780</v>
      </c>
      <c r="D9" s="328">
        <f>D4</f>
        <v>880</v>
      </c>
      <c r="E9" s="327">
        <f>ROUND((C9+D9)*2/1000,4)</f>
        <v>3.32</v>
      </c>
      <c r="F9" s="328">
        <v>1</v>
      </c>
      <c r="G9" s="328">
        <v>0.54600000000000004</v>
      </c>
      <c r="H9" s="326">
        <f>ROUND(E9*F9*G9,4)</f>
        <v>1.8127</v>
      </c>
      <c r="I9" s="692"/>
      <c r="J9" s="692"/>
      <c r="K9" s="318"/>
      <c r="L9" s="318"/>
      <c r="M9" s="318"/>
      <c r="N9" s="318"/>
      <c r="O9" s="318"/>
      <c r="P9" s="318"/>
    </row>
    <row r="10" spans="1:16" ht="18.95" customHeight="1">
      <c r="A10" s="671"/>
      <c r="B10" s="678"/>
      <c r="C10" s="328"/>
      <c r="D10" s="328"/>
      <c r="E10" s="327">
        <f>ROUND((C10+D10)*2/1000,4)</f>
        <v>0</v>
      </c>
      <c r="F10" s="328"/>
      <c r="G10" s="328">
        <f>G9</f>
        <v>0.54600000000000004</v>
      </c>
      <c r="H10" s="326">
        <f>ROUND(E10*F10*G10,4)</f>
        <v>0</v>
      </c>
      <c r="I10" s="692"/>
      <c r="J10" s="692"/>
      <c r="K10" s="318"/>
      <c r="L10" s="318"/>
      <c r="M10" s="318"/>
      <c r="N10" s="318"/>
      <c r="O10" s="318"/>
      <c r="P10" s="318"/>
    </row>
    <row r="11" spans="1:16" ht="18.95" customHeight="1">
      <c r="A11" s="671"/>
      <c r="B11" s="678"/>
      <c r="C11" s="328"/>
      <c r="D11" s="328"/>
      <c r="E11" s="327">
        <f>ROUND((C11+D11)*2/1000,4)</f>
        <v>0</v>
      </c>
      <c r="F11" s="328"/>
      <c r="G11" s="328">
        <f>G9</f>
        <v>0.54600000000000004</v>
      </c>
      <c r="H11" s="326">
        <f>ROUND(E11*F11*G11,4)</f>
        <v>0</v>
      </c>
      <c r="I11" s="692"/>
      <c r="J11" s="692"/>
      <c r="K11" s="318"/>
      <c r="L11" s="318"/>
      <c r="M11" s="318"/>
      <c r="N11" s="318"/>
      <c r="O11" s="318"/>
      <c r="P11" s="318"/>
    </row>
    <row r="12" spans="1:16" ht="18.95" customHeight="1">
      <c r="A12" s="676" t="s">
        <v>182</v>
      </c>
      <c r="B12" s="677"/>
      <c r="C12" s="349" t="s">
        <v>679</v>
      </c>
      <c r="D12" s="348">
        <f>ROUND((E9*F9+E10*F10+E11*F11),4)</f>
        <v>3.32</v>
      </c>
      <c r="E12" s="348"/>
      <c r="F12" s="344">
        <f>SUM(F9:F11)</f>
        <v>1</v>
      </c>
      <c r="G12" s="344"/>
      <c r="H12" s="335">
        <f>SUM(H9:H11)</f>
        <v>1.8127</v>
      </c>
      <c r="I12" s="318"/>
      <c r="J12" s="319">
        <v>150</v>
      </c>
      <c r="K12" s="319">
        <f>J12*D12/1000</f>
        <v>0.498</v>
      </c>
      <c r="L12" s="318"/>
      <c r="M12" s="318"/>
      <c r="N12" s="318"/>
      <c r="O12" s="318"/>
      <c r="P12" s="318"/>
    </row>
    <row r="13" spans="1:16" ht="18.95" customHeight="1">
      <c r="A13" s="329" t="s">
        <v>36</v>
      </c>
      <c r="B13" s="334" t="s">
        <v>14</v>
      </c>
      <c r="C13" s="334" t="s">
        <v>37</v>
      </c>
      <c r="D13" s="334" t="s">
        <v>38</v>
      </c>
      <c r="E13" s="351" t="s">
        <v>39</v>
      </c>
      <c r="F13" s="334" t="s">
        <v>678</v>
      </c>
      <c r="G13" s="334" t="s">
        <v>22</v>
      </c>
      <c r="H13" s="330" t="s">
        <v>40</v>
      </c>
      <c r="I13" s="318"/>
      <c r="J13" s="319"/>
      <c r="K13" s="319"/>
      <c r="L13" s="318"/>
      <c r="M13" s="318"/>
      <c r="N13" s="318"/>
      <c r="O13" s="318"/>
      <c r="P13" s="318"/>
    </row>
    <row r="14" spans="1:16" ht="18.95" customHeight="1">
      <c r="A14" s="670" t="s">
        <v>677</v>
      </c>
      <c r="B14" s="678" t="str">
        <f>B9</f>
        <v>40*20*1.5</v>
      </c>
      <c r="C14" s="328"/>
      <c r="D14" s="328"/>
      <c r="E14" s="327">
        <f>ROUND((C14+D14)*2/1000,4)</f>
        <v>0</v>
      </c>
      <c r="F14" s="328">
        <v>0</v>
      </c>
      <c r="G14" s="350">
        <f>G9</f>
        <v>0.54600000000000004</v>
      </c>
      <c r="H14" s="326">
        <f>ROUND((C14*D14+E14*F14)/1000*G14,4)</f>
        <v>0</v>
      </c>
      <c r="I14" s="318"/>
      <c r="J14" s="319"/>
      <c r="K14" s="319"/>
      <c r="L14" s="318"/>
      <c r="M14" s="318"/>
      <c r="N14" s="318"/>
      <c r="O14" s="318"/>
      <c r="P14" s="318"/>
    </row>
    <row r="15" spans="1:16" ht="18.95" customHeight="1">
      <c r="A15" s="671"/>
      <c r="B15" s="678"/>
      <c r="C15" s="328"/>
      <c r="D15" s="328"/>
      <c r="E15" s="327">
        <f>ROUND((C15+D15)*2/1000,4)</f>
        <v>0</v>
      </c>
      <c r="F15" s="328">
        <v>0</v>
      </c>
      <c r="G15" s="328">
        <f>G14</f>
        <v>0.54600000000000004</v>
      </c>
      <c r="H15" s="326">
        <f>ROUND((C15*D15+E15*F15)/1000*G15,4)</f>
        <v>0</v>
      </c>
      <c r="I15" s="318"/>
      <c r="J15" s="319"/>
      <c r="K15" s="319"/>
      <c r="L15" s="318"/>
      <c r="M15" s="318"/>
      <c r="N15" s="318"/>
      <c r="O15" s="318"/>
      <c r="P15" s="318"/>
    </row>
    <row r="16" spans="1:16" ht="18.95" customHeight="1">
      <c r="A16" s="671"/>
      <c r="B16" s="678"/>
      <c r="C16" s="328">
        <f>C11</f>
        <v>0</v>
      </c>
      <c r="D16" s="328">
        <v>0</v>
      </c>
      <c r="E16" s="327">
        <f>ROUND((C16+D16)*2/1000,4)</f>
        <v>0</v>
      </c>
      <c r="F16" s="328">
        <v>0</v>
      </c>
      <c r="G16" s="328">
        <f>G14</f>
        <v>0.54600000000000004</v>
      </c>
      <c r="H16" s="326">
        <f>ROUND((C16*D16+E16*F16)/1000*G16,4)</f>
        <v>0</v>
      </c>
      <c r="I16" s="318"/>
      <c r="J16" s="319"/>
      <c r="K16" s="319"/>
      <c r="L16" s="318"/>
      <c r="M16" s="318"/>
      <c r="N16" s="318"/>
      <c r="O16" s="318"/>
      <c r="P16" s="318"/>
    </row>
    <row r="17" spans="1:16" ht="18.95" customHeight="1">
      <c r="A17" s="676" t="s">
        <v>182</v>
      </c>
      <c r="B17" s="677"/>
      <c r="C17" s="349" t="s">
        <v>676</v>
      </c>
      <c r="D17" s="348">
        <f>ROUND((E14*F14+E15*F15+E16*F16),4)</f>
        <v>0</v>
      </c>
      <c r="E17" s="348"/>
      <c r="F17" s="348">
        <f>SUM(F14:F16)</f>
        <v>0</v>
      </c>
      <c r="G17" s="344"/>
      <c r="H17" s="335">
        <f>SUM(H14:H16)</f>
        <v>0</v>
      </c>
      <c r="I17" s="318"/>
      <c r="J17" s="319">
        <f>J12</f>
        <v>150</v>
      </c>
      <c r="K17" s="316">
        <f>J17*D17/1000</f>
        <v>0</v>
      </c>
      <c r="N17" s="318"/>
      <c r="O17" s="318"/>
      <c r="P17" s="318"/>
    </row>
    <row r="18" spans="1:16" ht="18.95" customHeight="1">
      <c r="A18" s="329" t="s">
        <v>36</v>
      </c>
      <c r="B18" s="334" t="s">
        <v>14</v>
      </c>
      <c r="C18" s="334" t="s">
        <v>37</v>
      </c>
      <c r="D18" s="334" t="s">
        <v>71</v>
      </c>
      <c r="E18" s="334" t="s">
        <v>38</v>
      </c>
      <c r="F18" s="334" t="s">
        <v>72</v>
      </c>
      <c r="G18" s="334" t="s">
        <v>22</v>
      </c>
      <c r="H18" s="330" t="s">
        <v>40</v>
      </c>
      <c r="I18" s="318"/>
      <c r="J18" s="319"/>
      <c r="K18" s="319"/>
      <c r="L18" s="318"/>
      <c r="M18" s="318"/>
      <c r="N18" s="318"/>
      <c r="O18" s="318"/>
      <c r="P18" s="318"/>
    </row>
    <row r="19" spans="1:16" ht="18.95" customHeight="1">
      <c r="A19" s="681" t="s">
        <v>675</v>
      </c>
      <c r="B19" s="678" t="s">
        <v>674</v>
      </c>
      <c r="C19" s="328">
        <f>C9</f>
        <v>780</v>
      </c>
      <c r="D19" s="328">
        <v>2</v>
      </c>
      <c r="E19" s="328">
        <f>D9</f>
        <v>880</v>
      </c>
      <c r="F19" s="328">
        <v>2</v>
      </c>
      <c r="G19" s="328">
        <v>0.26300000000000001</v>
      </c>
      <c r="H19" s="326">
        <f>ROUND((C19*D19+E19*F19)/1000*G19,4)</f>
        <v>0.87319999999999998</v>
      </c>
      <c r="I19" s="318"/>
      <c r="J19" s="319"/>
      <c r="K19" s="319"/>
      <c r="L19" s="318"/>
      <c r="M19" s="318"/>
      <c r="N19" s="318"/>
      <c r="O19" s="318"/>
      <c r="P19" s="318"/>
    </row>
    <row r="20" spans="1:16" ht="18.95" customHeight="1">
      <c r="A20" s="682"/>
      <c r="B20" s="678"/>
      <c r="C20" s="328"/>
      <c r="D20" s="328"/>
      <c r="E20" s="328">
        <f>E10</f>
        <v>0</v>
      </c>
      <c r="F20" s="328">
        <f>D20</f>
        <v>0</v>
      </c>
      <c r="G20" s="328">
        <f>G19</f>
        <v>0.26300000000000001</v>
      </c>
      <c r="H20" s="326">
        <f>ROUND((C20*D20+E20*F20)/1000*G20,4)</f>
        <v>0</v>
      </c>
      <c r="I20" s="318"/>
      <c r="J20" s="319"/>
      <c r="K20" s="319"/>
      <c r="L20" s="318"/>
      <c r="M20" s="318"/>
      <c r="N20" s="318"/>
      <c r="O20" s="318"/>
      <c r="P20" s="318"/>
    </row>
    <row r="21" spans="1:16" ht="18.95" customHeight="1">
      <c r="A21" s="682"/>
      <c r="B21" s="678"/>
      <c r="C21" s="328"/>
      <c r="D21" s="328"/>
      <c r="E21" s="328">
        <f>E11</f>
        <v>0</v>
      </c>
      <c r="F21" s="328">
        <f>D21</f>
        <v>0</v>
      </c>
      <c r="G21" s="328">
        <f>G19</f>
        <v>0.26300000000000001</v>
      </c>
      <c r="H21" s="326">
        <f>ROUND((C21*D21+E21*F21)/1000*G21,4)</f>
        <v>0</v>
      </c>
      <c r="I21" s="318"/>
      <c r="J21" s="319"/>
      <c r="K21" s="319"/>
      <c r="L21" s="318"/>
      <c r="M21" s="318"/>
      <c r="N21" s="318"/>
      <c r="O21" s="318"/>
      <c r="P21" s="318"/>
    </row>
    <row r="22" spans="1:16" ht="18.95" customHeight="1">
      <c r="A22" s="676" t="s">
        <v>182</v>
      </c>
      <c r="B22" s="677"/>
      <c r="C22" s="349" t="s">
        <v>669</v>
      </c>
      <c r="D22" s="348">
        <f>ROUND((C19*D19+C20*D20+C21*D21+E19*F19+E20*F20+E21*F21)/1000,4)</f>
        <v>3.32</v>
      </c>
      <c r="E22" s="344"/>
      <c r="F22" s="344"/>
      <c r="G22" s="344"/>
      <c r="H22" s="335">
        <f>SUM(H19:H21)</f>
        <v>0.87319999999999998</v>
      </c>
      <c r="I22" s="318"/>
      <c r="J22" s="319">
        <v>160</v>
      </c>
      <c r="K22" s="319">
        <f>J22*D22/1000</f>
        <v>0.53119999999999989</v>
      </c>
      <c r="L22" s="318"/>
      <c r="M22" s="318"/>
      <c r="N22" s="318"/>
      <c r="O22" s="318"/>
      <c r="P22" s="318"/>
    </row>
    <row r="23" spans="1:16" ht="18.95" customHeight="1">
      <c r="A23" s="329" t="s">
        <v>36</v>
      </c>
      <c r="B23" s="334" t="s">
        <v>14</v>
      </c>
      <c r="C23" s="334" t="s">
        <v>37</v>
      </c>
      <c r="D23" s="334" t="s">
        <v>71</v>
      </c>
      <c r="E23" s="334" t="s">
        <v>38</v>
      </c>
      <c r="F23" s="334" t="s">
        <v>72</v>
      </c>
      <c r="G23" s="334" t="s">
        <v>22</v>
      </c>
      <c r="H23" s="330" t="s">
        <v>40</v>
      </c>
      <c r="I23" s="318"/>
      <c r="J23" s="319"/>
      <c r="K23" s="319"/>
      <c r="L23" s="318"/>
      <c r="M23" s="318"/>
      <c r="N23" s="318"/>
      <c r="O23" s="318"/>
      <c r="P23" s="318"/>
    </row>
    <row r="24" spans="1:16" ht="18.95" customHeight="1">
      <c r="A24" s="681" t="s">
        <v>673</v>
      </c>
      <c r="B24" s="678" t="s">
        <v>672</v>
      </c>
      <c r="C24" s="328">
        <f>C4</f>
        <v>780</v>
      </c>
      <c r="D24" s="332">
        <f>D4/60+1</f>
        <v>15.666666666666666</v>
      </c>
      <c r="E24" s="328">
        <v>0</v>
      </c>
      <c r="F24" s="328">
        <v>0</v>
      </c>
      <c r="G24" s="328">
        <v>0.34399999999999997</v>
      </c>
      <c r="H24" s="326">
        <f>ROUND((C24*D24+E24*F24)/1000*G24,4)</f>
        <v>4.2037000000000004</v>
      </c>
      <c r="I24" s="318"/>
      <c r="J24" s="319"/>
      <c r="K24" s="319"/>
      <c r="L24" s="318"/>
      <c r="M24" s="318"/>
      <c r="N24" s="318"/>
      <c r="O24" s="318"/>
      <c r="P24" s="318"/>
    </row>
    <row r="25" spans="1:16" ht="18.95" customHeight="1">
      <c r="A25" s="682"/>
      <c r="B25" s="678"/>
      <c r="C25" s="328">
        <v>0</v>
      </c>
      <c r="D25" s="328">
        <v>0</v>
      </c>
      <c r="E25" s="328">
        <v>0</v>
      </c>
      <c r="F25" s="328">
        <v>0</v>
      </c>
      <c r="G25" s="328">
        <f>G24</f>
        <v>0.34399999999999997</v>
      </c>
      <c r="H25" s="326">
        <f>ROUND((C25*D25+E25*F25)/1000*G25,4)</f>
        <v>0</v>
      </c>
      <c r="I25" s="318"/>
      <c r="J25" s="319"/>
      <c r="K25" s="319"/>
      <c r="L25" s="318"/>
      <c r="M25" s="318"/>
      <c r="N25" s="318"/>
      <c r="O25" s="318"/>
      <c r="P25" s="318"/>
    </row>
    <row r="26" spans="1:16" ht="18.95" customHeight="1">
      <c r="A26" s="682"/>
      <c r="B26" s="678"/>
      <c r="C26" s="328">
        <v>0</v>
      </c>
      <c r="D26" s="328">
        <v>0</v>
      </c>
      <c r="E26" s="328">
        <v>0</v>
      </c>
      <c r="F26" s="328">
        <v>0</v>
      </c>
      <c r="G26" s="328">
        <f>G24</f>
        <v>0.34399999999999997</v>
      </c>
      <c r="H26" s="326">
        <f>ROUND((C26*D26+E26*F26)/1000*G26,4)</f>
        <v>0</v>
      </c>
      <c r="I26" s="318"/>
      <c r="J26" s="319"/>
      <c r="K26" s="319"/>
      <c r="L26" s="318"/>
      <c r="M26" s="318"/>
      <c r="N26" s="318"/>
      <c r="O26" s="318"/>
      <c r="P26" s="318"/>
    </row>
    <row r="27" spans="1:16" ht="18.95" customHeight="1">
      <c r="A27" s="676" t="s">
        <v>182</v>
      </c>
      <c r="B27" s="677"/>
      <c r="C27" s="349" t="s">
        <v>669</v>
      </c>
      <c r="D27" s="348">
        <f>(C24*D24+C25*D25+C26*D26+E24*F24+E25*F25+E26*F26)/1000</f>
        <v>12.22</v>
      </c>
      <c r="E27" s="344"/>
      <c r="F27" s="344"/>
      <c r="G27" s="344"/>
      <c r="H27" s="335">
        <f>SUM(H24:H26)</f>
        <v>4.2037000000000004</v>
      </c>
      <c r="I27" s="318"/>
      <c r="J27" s="319">
        <v>200</v>
      </c>
      <c r="K27" s="319">
        <f>J27*D27/1000</f>
        <v>2.444</v>
      </c>
      <c r="L27" s="318"/>
      <c r="M27" s="318"/>
      <c r="N27" s="318"/>
      <c r="O27" s="318"/>
      <c r="P27" s="318"/>
    </row>
    <row r="28" spans="1:16" ht="18.95" customHeight="1">
      <c r="A28" s="329" t="s">
        <v>36</v>
      </c>
      <c r="B28" s="334" t="s">
        <v>14</v>
      </c>
      <c r="C28" s="334" t="s">
        <v>37</v>
      </c>
      <c r="D28" s="334" t="s">
        <v>71</v>
      </c>
      <c r="E28" s="334" t="s">
        <v>38</v>
      </c>
      <c r="F28" s="334" t="s">
        <v>72</v>
      </c>
      <c r="G28" s="334" t="s">
        <v>22</v>
      </c>
      <c r="H28" s="330" t="s">
        <v>40</v>
      </c>
      <c r="I28" s="318"/>
      <c r="J28" s="319"/>
      <c r="K28" s="319"/>
      <c r="L28" s="318"/>
      <c r="M28" s="318"/>
      <c r="N28" s="318"/>
      <c r="O28" s="318"/>
      <c r="P28" s="318"/>
    </row>
    <row r="29" spans="1:16" ht="18.95" customHeight="1">
      <c r="A29" s="681" t="s">
        <v>671</v>
      </c>
      <c r="B29" s="678"/>
      <c r="C29" s="328"/>
      <c r="D29" s="332"/>
      <c r="E29" s="328">
        <f>D4</f>
        <v>880</v>
      </c>
      <c r="F29" s="328"/>
      <c r="G29" s="328">
        <v>0.24299999999999999</v>
      </c>
      <c r="H29" s="326">
        <f>ROUND((C29*D29+E29*F29)/1000*G29,4)</f>
        <v>0</v>
      </c>
      <c r="I29" s="318"/>
      <c r="J29" s="319"/>
      <c r="K29" s="319"/>
      <c r="L29" s="318"/>
      <c r="M29" s="318"/>
      <c r="N29" s="318"/>
      <c r="O29" s="318"/>
      <c r="P29" s="318"/>
    </row>
    <row r="30" spans="1:16" ht="18.95" customHeight="1">
      <c r="A30" s="682"/>
      <c r="B30" s="678"/>
      <c r="C30" s="328">
        <v>0</v>
      </c>
      <c r="D30" s="328">
        <v>0</v>
      </c>
      <c r="E30" s="328">
        <v>0</v>
      </c>
      <c r="F30" s="328">
        <v>0</v>
      </c>
      <c r="G30" s="328">
        <f>G29</f>
        <v>0.24299999999999999</v>
      </c>
      <c r="H30" s="326">
        <f>ROUND((C30*D30+E30*F30)/1000*G30,4)</f>
        <v>0</v>
      </c>
      <c r="I30" s="318"/>
      <c r="J30" s="319"/>
      <c r="K30" s="319"/>
      <c r="L30" s="318"/>
      <c r="M30" s="318"/>
      <c r="N30" s="318"/>
      <c r="O30" s="318"/>
      <c r="P30" s="318"/>
    </row>
    <row r="31" spans="1:16" ht="18.95" customHeight="1">
      <c r="A31" s="682"/>
      <c r="B31" s="678"/>
      <c r="C31" s="328">
        <v>0</v>
      </c>
      <c r="D31" s="328">
        <v>0</v>
      </c>
      <c r="E31" s="328">
        <v>0</v>
      </c>
      <c r="F31" s="328">
        <v>0</v>
      </c>
      <c r="G31" s="328">
        <f>G29</f>
        <v>0.24299999999999999</v>
      </c>
      <c r="H31" s="326">
        <f>ROUND((C31*D31+E31*F31)/1000*G31,4)</f>
        <v>0</v>
      </c>
      <c r="I31" s="318"/>
      <c r="J31" s="319"/>
      <c r="K31" s="319"/>
      <c r="L31" s="318"/>
      <c r="M31" s="318"/>
      <c r="N31" s="318"/>
      <c r="O31" s="318"/>
      <c r="P31" s="318"/>
    </row>
    <row r="32" spans="1:16" ht="18.95" customHeight="1">
      <c r="A32" s="676" t="s">
        <v>182</v>
      </c>
      <c r="B32" s="677"/>
      <c r="C32" s="349" t="s">
        <v>669</v>
      </c>
      <c r="D32" s="348">
        <f>(C29*D29+C30*D30+C31*D31+E29*F29+E30*F30+E31*F31)/1000</f>
        <v>0</v>
      </c>
      <c r="E32" s="344"/>
      <c r="F32" s="344"/>
      <c r="G32" s="344"/>
      <c r="H32" s="335">
        <f>SUM(H29:H31)</f>
        <v>0</v>
      </c>
      <c r="I32" s="318"/>
      <c r="J32" s="319">
        <v>66</v>
      </c>
      <c r="K32" s="319">
        <f>J32*D32/1000</f>
        <v>0</v>
      </c>
      <c r="L32" s="318"/>
      <c r="M32" s="318"/>
      <c r="N32" s="318"/>
      <c r="O32" s="318"/>
      <c r="P32" s="318"/>
    </row>
    <row r="33" spans="1:16" ht="18.95" customHeight="1">
      <c r="A33" s="329" t="s">
        <v>36</v>
      </c>
      <c r="B33" s="334" t="s">
        <v>14</v>
      </c>
      <c r="C33" s="334" t="s">
        <v>37</v>
      </c>
      <c r="D33" s="334" t="s">
        <v>71</v>
      </c>
      <c r="E33" s="334" t="s">
        <v>38</v>
      </c>
      <c r="F33" s="334" t="s">
        <v>72</v>
      </c>
      <c r="G33" s="334" t="s">
        <v>22</v>
      </c>
      <c r="H33" s="330" t="s">
        <v>40</v>
      </c>
      <c r="I33" s="318"/>
      <c r="J33" s="319"/>
      <c r="K33" s="319"/>
      <c r="L33" s="318"/>
      <c r="M33" s="318"/>
      <c r="N33" s="318"/>
      <c r="O33" s="318"/>
      <c r="P33" s="318"/>
    </row>
    <row r="34" spans="1:16" ht="18.95" customHeight="1">
      <c r="A34" s="670" t="s">
        <v>670</v>
      </c>
      <c r="B34" s="678" t="s">
        <v>32</v>
      </c>
      <c r="C34" s="328"/>
      <c r="D34" s="332"/>
      <c r="E34" s="328"/>
      <c r="F34" s="328"/>
      <c r="G34" s="328">
        <v>1.0369999999999999</v>
      </c>
      <c r="H34" s="326">
        <f>ROUND((C34*D34+E34*F34)/1000*G34,4)</f>
        <v>0</v>
      </c>
      <c r="I34" s="318"/>
      <c r="J34" s="319"/>
      <c r="K34" s="319"/>
      <c r="L34" s="318"/>
      <c r="M34" s="318"/>
      <c r="N34" s="318"/>
      <c r="O34" s="318"/>
      <c r="P34" s="318"/>
    </row>
    <row r="35" spans="1:16" ht="18.95" customHeight="1">
      <c r="A35" s="671"/>
      <c r="B35" s="678"/>
      <c r="C35" s="328">
        <v>0</v>
      </c>
      <c r="D35" s="328">
        <v>0</v>
      </c>
      <c r="E35" s="328">
        <v>0</v>
      </c>
      <c r="F35" s="328">
        <v>0</v>
      </c>
      <c r="G35" s="328">
        <f>G34</f>
        <v>1.0369999999999999</v>
      </c>
      <c r="H35" s="326">
        <f>ROUND((C35*D35+E35*F35)/1000*G35,4)</f>
        <v>0</v>
      </c>
      <c r="I35" s="318"/>
      <c r="J35" s="319"/>
      <c r="K35" s="319"/>
      <c r="L35" s="318"/>
      <c r="M35" s="318"/>
      <c r="N35" s="318"/>
      <c r="O35" s="318"/>
      <c r="P35" s="318"/>
    </row>
    <row r="36" spans="1:16" ht="18.95" customHeight="1">
      <c r="A36" s="671"/>
      <c r="B36" s="678"/>
      <c r="C36" s="328">
        <v>0</v>
      </c>
      <c r="D36" s="328">
        <v>0</v>
      </c>
      <c r="E36" s="328">
        <v>0</v>
      </c>
      <c r="F36" s="328">
        <v>0</v>
      </c>
      <c r="G36" s="328">
        <f>G34</f>
        <v>1.0369999999999999</v>
      </c>
      <c r="H36" s="326">
        <f>ROUND((C36*D36+E36*F36)/1000*G36,4)</f>
        <v>0</v>
      </c>
      <c r="I36" s="318"/>
      <c r="J36" s="319"/>
      <c r="K36" s="319"/>
      <c r="L36" s="318"/>
      <c r="M36" s="318"/>
      <c r="N36" s="318"/>
      <c r="O36" s="318"/>
      <c r="P36" s="318"/>
    </row>
    <row r="37" spans="1:16" ht="18.95" customHeight="1">
      <c r="A37" s="679" t="s">
        <v>182</v>
      </c>
      <c r="B37" s="680"/>
      <c r="C37" s="349" t="s">
        <v>669</v>
      </c>
      <c r="D37" s="348">
        <f>(C34*D34+C35*D35+C36*D36+E34*F34+E35*F35+E36*F36)/1000</f>
        <v>0</v>
      </c>
      <c r="E37" s="344"/>
      <c r="F37" s="344"/>
      <c r="G37" s="344"/>
      <c r="H37" s="335">
        <f>SUM(H34:H36)</f>
        <v>0</v>
      </c>
      <c r="I37" s="318"/>
      <c r="J37" s="319">
        <v>200</v>
      </c>
      <c r="K37" s="319">
        <f>J37*D37/1000</f>
        <v>0</v>
      </c>
      <c r="L37" s="318"/>
      <c r="M37" s="318"/>
      <c r="N37" s="318"/>
      <c r="O37" s="318"/>
      <c r="P37" s="318"/>
    </row>
    <row r="38" spans="1:16" ht="18.95" customHeight="1">
      <c r="A38" s="336" t="s">
        <v>668</v>
      </c>
      <c r="B38" s="336">
        <f>材料价格!B4</f>
        <v>22081.5</v>
      </c>
      <c r="C38" s="346" t="s">
        <v>667</v>
      </c>
      <c r="D38" s="348">
        <f>(H12+H22+H27+H17+H32+H37)*1.13</f>
        <v>7.7852480000000002</v>
      </c>
      <c r="E38" s="344" t="s">
        <v>666</v>
      </c>
      <c r="F38" s="348">
        <f>(B38+B39)/1000</f>
        <v>24.9815</v>
      </c>
      <c r="G38" s="344" t="s">
        <v>665</v>
      </c>
      <c r="H38" s="335">
        <f>ROUND(D38*F38,2)+M38</f>
        <v>448.03360000000004</v>
      </c>
      <c r="I38" s="318"/>
      <c r="J38" s="347"/>
      <c r="K38" s="342">
        <f>K27+K22+K12+K17+K32+K37</f>
        <v>3.4732000000000003</v>
      </c>
      <c r="L38" s="341">
        <v>73</v>
      </c>
      <c r="M38" s="341">
        <f>K38*L38</f>
        <v>253.54360000000003</v>
      </c>
      <c r="N38" s="318"/>
      <c r="O38" s="318"/>
      <c r="P38" s="318"/>
    </row>
    <row r="39" spans="1:16" ht="18.95" customHeight="1">
      <c r="A39" s="336" t="s">
        <v>664</v>
      </c>
      <c r="B39" s="336">
        <f>材料价格!B9</f>
        <v>2900</v>
      </c>
      <c r="C39" s="346"/>
      <c r="D39" s="343"/>
      <c r="E39" s="345"/>
      <c r="F39" s="344"/>
      <c r="G39" s="343"/>
      <c r="H39" s="335"/>
      <c r="I39" s="318"/>
      <c r="J39" s="342"/>
      <c r="K39" s="341"/>
      <c r="L39" s="341"/>
      <c r="M39" s="341"/>
      <c r="N39" s="318"/>
      <c r="O39" s="318"/>
      <c r="P39" s="318"/>
    </row>
    <row r="40" spans="1:16" ht="18.95" customHeight="1">
      <c r="A40" s="340" t="s">
        <v>112</v>
      </c>
      <c r="B40" s="339" t="s">
        <v>663</v>
      </c>
      <c r="C40" s="334" t="s">
        <v>662</v>
      </c>
      <c r="D40" s="328"/>
      <c r="E40" s="328"/>
      <c r="F40" s="334" t="s">
        <v>8</v>
      </c>
      <c r="G40" s="334" t="s">
        <v>22</v>
      </c>
      <c r="H40" s="330" t="s">
        <v>40</v>
      </c>
      <c r="I40" s="318"/>
      <c r="J40" s="319"/>
      <c r="K40" s="318"/>
      <c r="L40" s="318"/>
      <c r="M40" s="318"/>
      <c r="N40" s="318"/>
      <c r="O40" s="318"/>
      <c r="P40" s="318"/>
    </row>
    <row r="41" spans="1:16" ht="18.95" customHeight="1">
      <c r="A41" s="329" t="s">
        <v>302</v>
      </c>
      <c r="B41" s="328"/>
      <c r="C41" s="328">
        <v>40</v>
      </c>
      <c r="D41" s="328"/>
      <c r="E41" s="328"/>
      <c r="F41" s="328">
        <f>F9*4</f>
        <v>4</v>
      </c>
      <c r="G41" s="328">
        <v>2.11</v>
      </c>
      <c r="H41" s="326">
        <f t="shared" ref="H41:H47" si="0">ROUND(C41*F41*G41/1000,4)</f>
        <v>0.33760000000000001</v>
      </c>
      <c r="I41" s="318"/>
      <c r="J41" s="319"/>
      <c r="K41" s="318"/>
      <c r="L41" s="318"/>
      <c r="M41" s="318"/>
      <c r="N41" s="318"/>
      <c r="O41" s="318"/>
      <c r="P41" s="318"/>
    </row>
    <row r="42" spans="1:16" ht="18.95" customHeight="1">
      <c r="A42" s="670" t="s">
        <v>661</v>
      </c>
      <c r="B42" s="672"/>
      <c r="C42" s="328">
        <f>C41</f>
        <v>40</v>
      </c>
      <c r="D42" s="328"/>
      <c r="E42" s="328"/>
      <c r="F42" s="328">
        <f>F17*4</f>
        <v>0</v>
      </c>
      <c r="G42" s="328">
        <v>0.82</v>
      </c>
      <c r="H42" s="326">
        <f t="shared" si="0"/>
        <v>0</v>
      </c>
      <c r="I42" s="318"/>
      <c r="J42" s="319"/>
      <c r="K42" s="318"/>
      <c r="L42" s="318"/>
      <c r="M42" s="318"/>
      <c r="N42" s="318"/>
      <c r="O42" s="318"/>
      <c r="P42" s="318"/>
    </row>
    <row r="43" spans="1:16" ht="18.95" customHeight="1">
      <c r="A43" s="671"/>
      <c r="B43" s="673"/>
      <c r="C43" s="328">
        <v>0</v>
      </c>
      <c r="D43" s="328"/>
      <c r="E43" s="328"/>
      <c r="F43" s="328">
        <v>0</v>
      </c>
      <c r="G43" s="328">
        <v>0</v>
      </c>
      <c r="H43" s="326">
        <f t="shared" si="0"/>
        <v>0</v>
      </c>
      <c r="I43" s="318"/>
      <c r="J43" s="319">
        <f>H38/D38</f>
        <v>57.549046607121575</v>
      </c>
      <c r="K43" s="318"/>
      <c r="L43" s="318"/>
      <c r="M43" s="318"/>
      <c r="N43" s="318"/>
      <c r="O43" s="318"/>
      <c r="P43" s="318"/>
    </row>
    <row r="44" spans="1:16" ht="18.95" customHeight="1">
      <c r="A44" s="670" t="s">
        <v>660</v>
      </c>
      <c r="B44" s="672"/>
      <c r="C44" s="328">
        <v>0</v>
      </c>
      <c r="D44" s="328"/>
      <c r="E44" s="328"/>
      <c r="F44" s="328">
        <v>0</v>
      </c>
      <c r="G44" s="328">
        <v>0</v>
      </c>
      <c r="H44" s="326">
        <f t="shared" si="0"/>
        <v>0</v>
      </c>
      <c r="I44" s="318"/>
      <c r="J44" s="319"/>
      <c r="K44" s="318"/>
      <c r="L44" s="318"/>
      <c r="M44" s="318"/>
      <c r="N44" s="318"/>
      <c r="O44" s="318"/>
      <c r="P44" s="318"/>
    </row>
    <row r="45" spans="1:16" ht="18.95" customHeight="1">
      <c r="A45" s="671"/>
      <c r="B45" s="673"/>
      <c r="C45" s="328">
        <v>0</v>
      </c>
      <c r="D45" s="328"/>
      <c r="E45" s="328"/>
      <c r="F45" s="328">
        <v>0</v>
      </c>
      <c r="G45" s="328">
        <v>0</v>
      </c>
      <c r="H45" s="326">
        <f t="shared" si="0"/>
        <v>0</v>
      </c>
      <c r="I45" s="318"/>
      <c r="J45" s="319"/>
      <c r="K45" s="318"/>
      <c r="L45" s="318"/>
      <c r="M45" s="318"/>
      <c r="N45" s="318"/>
      <c r="O45" s="318"/>
      <c r="P45" s="318"/>
    </row>
    <row r="46" spans="1:16" ht="18.95" customHeight="1">
      <c r="A46" s="329" t="s">
        <v>303</v>
      </c>
      <c r="B46" s="328"/>
      <c r="C46" s="328">
        <v>0</v>
      </c>
      <c r="D46" s="328"/>
      <c r="E46" s="328"/>
      <c r="F46" s="328">
        <v>0</v>
      </c>
      <c r="G46" s="328">
        <v>0</v>
      </c>
      <c r="H46" s="326">
        <f t="shared" si="0"/>
        <v>0</v>
      </c>
      <c r="I46" s="318"/>
      <c r="J46" s="319"/>
      <c r="K46" s="318"/>
      <c r="L46" s="318"/>
      <c r="M46" s="318"/>
      <c r="N46" s="318"/>
      <c r="O46" s="318"/>
      <c r="P46" s="318"/>
    </row>
    <row r="47" spans="1:16" ht="18.95" customHeight="1">
      <c r="A47" s="329" t="s">
        <v>659</v>
      </c>
      <c r="B47" s="328"/>
      <c r="C47" s="328">
        <v>0</v>
      </c>
      <c r="D47" s="328"/>
      <c r="E47" s="328"/>
      <c r="F47" s="328">
        <v>0</v>
      </c>
      <c r="G47" s="328">
        <v>0</v>
      </c>
      <c r="H47" s="326">
        <f t="shared" si="0"/>
        <v>0</v>
      </c>
      <c r="I47" s="338"/>
      <c r="J47" s="319"/>
      <c r="L47" s="318"/>
      <c r="M47" s="318"/>
      <c r="N47" s="318"/>
      <c r="O47" s="318"/>
      <c r="P47" s="318"/>
    </row>
    <row r="48" spans="1:16" ht="18.95" customHeight="1">
      <c r="A48" s="336" t="s">
        <v>658</v>
      </c>
      <c r="B48" s="336">
        <f>材料价格!B9</f>
        <v>2900</v>
      </c>
      <c r="C48" s="336" t="s">
        <v>657</v>
      </c>
      <c r="D48" s="337">
        <f>SUM(H41:H47)*1.06</f>
        <v>0.35785600000000001</v>
      </c>
      <c r="E48" s="336" t="s">
        <v>656</v>
      </c>
      <c r="F48" s="336">
        <f>(B38+B48)/1000</f>
        <v>24.9815</v>
      </c>
      <c r="G48" s="336" t="s">
        <v>655</v>
      </c>
      <c r="H48" s="335">
        <f>ROUND(D48*F48,4)</f>
        <v>8.9398</v>
      </c>
      <c r="I48" s="318"/>
      <c r="J48" s="319"/>
      <c r="L48" s="318"/>
      <c r="M48" s="318"/>
      <c r="N48" s="318"/>
      <c r="O48" s="318"/>
      <c r="P48" s="318"/>
    </row>
    <row r="49" spans="1:17" ht="18.95" customHeight="1">
      <c r="A49" s="329" t="s">
        <v>187</v>
      </c>
      <c r="B49" s="334" t="s">
        <v>113</v>
      </c>
      <c r="C49" s="334" t="s">
        <v>8</v>
      </c>
      <c r="D49" s="328"/>
      <c r="E49" s="328"/>
      <c r="F49" s="334" t="s">
        <v>28</v>
      </c>
      <c r="G49" s="334" t="s">
        <v>160</v>
      </c>
      <c r="H49" s="326"/>
      <c r="I49" s="318"/>
      <c r="J49" s="319"/>
      <c r="K49" s="318"/>
      <c r="L49" s="318"/>
      <c r="M49" s="318"/>
      <c r="N49" s="318"/>
      <c r="O49" s="318"/>
      <c r="P49" s="318"/>
    </row>
    <row r="50" spans="1:17" ht="18.95" customHeight="1">
      <c r="A50" s="329" t="s">
        <v>654</v>
      </c>
      <c r="B50" s="327"/>
      <c r="C50" s="328"/>
      <c r="D50" s="327"/>
      <c r="E50" s="327"/>
      <c r="F50" s="327">
        <v>15</v>
      </c>
      <c r="G50" s="327">
        <f>C50*F50</f>
        <v>0</v>
      </c>
      <c r="H50" s="330" t="s">
        <v>653</v>
      </c>
      <c r="I50" s="318"/>
      <c r="J50" s="319"/>
      <c r="K50" s="318"/>
      <c r="L50" s="318"/>
      <c r="M50" s="318"/>
      <c r="N50" s="318"/>
      <c r="O50" s="318"/>
      <c r="P50" s="318"/>
    </row>
    <row r="51" spans="1:17" ht="18.95" customHeight="1">
      <c r="A51" s="329" t="s">
        <v>652</v>
      </c>
      <c r="B51" s="327"/>
      <c r="C51" s="333">
        <f>(ROUND((C3-150)/350,0)+1+ROUND((D3-150)/350,0)+1)*2</f>
        <v>12</v>
      </c>
      <c r="D51" s="327"/>
      <c r="E51" s="327"/>
      <c r="F51" s="327">
        <v>1</v>
      </c>
      <c r="G51" s="327">
        <f>C51*F51</f>
        <v>12</v>
      </c>
      <c r="H51" s="326" t="s">
        <v>651</v>
      </c>
      <c r="I51" s="318"/>
      <c r="J51" s="319"/>
      <c r="K51" s="318"/>
      <c r="L51" s="318"/>
      <c r="M51" s="318"/>
      <c r="N51" s="318"/>
      <c r="O51" s="318"/>
      <c r="P51" s="318"/>
    </row>
    <row r="52" spans="1:17" ht="18.95" customHeight="1">
      <c r="A52" s="329" t="s">
        <v>246</v>
      </c>
      <c r="B52" s="327"/>
      <c r="C52" s="332">
        <f>(D24+D25+D26)*4*1.5</f>
        <v>94</v>
      </c>
      <c r="D52" s="327"/>
      <c r="E52" s="327"/>
      <c r="F52" s="327">
        <v>0.03</v>
      </c>
      <c r="G52" s="327">
        <f>C52*F52</f>
        <v>2.82</v>
      </c>
      <c r="H52" s="326"/>
      <c r="I52" s="318"/>
      <c r="J52" s="319"/>
      <c r="K52" s="318"/>
      <c r="L52" s="318"/>
      <c r="M52" s="318"/>
      <c r="N52" s="318"/>
      <c r="O52" s="318"/>
      <c r="P52" s="318"/>
    </row>
    <row r="53" spans="1:17" ht="18.95" customHeight="1">
      <c r="A53" s="329" t="s">
        <v>216</v>
      </c>
      <c r="B53" s="327">
        <v>4</v>
      </c>
      <c r="C53" s="327"/>
      <c r="D53" s="327"/>
      <c r="E53" s="327"/>
      <c r="F53" s="327">
        <v>0.5</v>
      </c>
      <c r="G53" s="327">
        <f>ROUND(B53*F53,2)</f>
        <v>2</v>
      </c>
      <c r="H53" s="326"/>
      <c r="I53" s="318"/>
      <c r="J53" s="319"/>
      <c r="K53" s="318"/>
      <c r="L53" s="318"/>
      <c r="M53" s="318"/>
      <c r="N53" s="318"/>
      <c r="O53" s="318"/>
      <c r="P53" s="318"/>
    </row>
    <row r="54" spans="1:17" ht="18.95" customHeight="1">
      <c r="A54" s="329" t="s">
        <v>641</v>
      </c>
      <c r="B54" s="327">
        <f>ROUND((C3+D3)*2/1000,2)</f>
        <v>3.4</v>
      </c>
      <c r="C54" s="327"/>
      <c r="D54" s="327">
        <f>500/300*2.5</f>
        <v>4.166666666666667</v>
      </c>
      <c r="E54" s="327">
        <f>材料价格!B25</f>
        <v>8.52</v>
      </c>
      <c r="F54" s="327">
        <f>E54/D54</f>
        <v>2.0448</v>
      </c>
      <c r="G54" s="327">
        <f>ROUND(B54*F54,2)</f>
        <v>6.95</v>
      </c>
      <c r="H54" s="326"/>
      <c r="I54" s="319">
        <f>G54/10/D62</f>
        <v>0.9652777777777779</v>
      </c>
      <c r="J54" s="319"/>
      <c r="K54" s="318"/>
      <c r="L54" s="318"/>
      <c r="M54" s="318"/>
      <c r="N54" s="318"/>
      <c r="O54" s="318"/>
      <c r="P54" s="318"/>
    </row>
    <row r="55" spans="1:17" ht="18.95" customHeight="1">
      <c r="A55" s="329" t="s">
        <v>221</v>
      </c>
      <c r="B55" s="327">
        <f>ROUND((C3+D3)*2/1000,2)</f>
        <v>3.4</v>
      </c>
      <c r="C55" s="327"/>
      <c r="D55" s="327">
        <v>10</v>
      </c>
      <c r="E55" s="327">
        <f>材料价格!B26</f>
        <v>23</v>
      </c>
      <c r="F55" s="327">
        <f>E55/D55</f>
        <v>2.2999999999999998</v>
      </c>
      <c r="G55" s="327">
        <f>ROUND(B55*F55,2)</f>
        <v>7.82</v>
      </c>
      <c r="H55" s="326"/>
      <c r="I55" s="319">
        <f>G55/21.5/D62</f>
        <v>0.5051679586563308</v>
      </c>
      <c r="J55" s="319"/>
      <c r="K55" s="318"/>
      <c r="L55" s="318"/>
      <c r="M55" s="318"/>
      <c r="N55" s="318"/>
      <c r="O55" s="318"/>
      <c r="P55" s="318"/>
    </row>
    <row r="56" spans="1:17" ht="18.95" customHeight="1">
      <c r="A56" s="329" t="s">
        <v>213</v>
      </c>
      <c r="B56" s="327">
        <f>E3</f>
        <v>0.72</v>
      </c>
      <c r="C56" s="327"/>
      <c r="D56" s="327"/>
      <c r="E56" s="327"/>
      <c r="F56" s="327">
        <v>8</v>
      </c>
      <c r="G56" s="327">
        <f>ROUND(B56*F56,2)</f>
        <v>5.76</v>
      </c>
      <c r="H56" s="326"/>
      <c r="I56" s="318"/>
      <c r="J56" s="319"/>
      <c r="K56" s="318"/>
      <c r="L56" s="318"/>
      <c r="M56" s="318"/>
      <c r="N56" s="318"/>
      <c r="O56" s="318"/>
      <c r="P56" s="318"/>
    </row>
    <row r="57" spans="1:17" ht="18.95" customHeight="1">
      <c r="A57" s="329" t="s">
        <v>650</v>
      </c>
      <c r="B57" s="327">
        <f>G3</f>
        <v>0.72</v>
      </c>
      <c r="C57" s="327"/>
      <c r="D57" s="327"/>
      <c r="E57" s="327"/>
      <c r="F57" s="327"/>
      <c r="G57" s="327">
        <f>ROUND(B57*F57,2)</f>
        <v>0</v>
      </c>
      <c r="H57" s="330"/>
      <c r="I57" s="318"/>
      <c r="J57" s="319"/>
      <c r="K57" s="318"/>
      <c r="L57" s="318"/>
      <c r="M57" s="318"/>
      <c r="N57" s="318"/>
      <c r="O57" s="318"/>
      <c r="P57" s="318"/>
    </row>
    <row r="58" spans="1:17" ht="18.95" customHeight="1">
      <c r="A58" s="329" t="s">
        <v>649</v>
      </c>
      <c r="B58" s="327"/>
      <c r="C58" s="327">
        <f>E3</f>
        <v>0.72</v>
      </c>
      <c r="D58" s="327"/>
      <c r="E58" s="327"/>
      <c r="F58" s="327"/>
      <c r="G58" s="327">
        <f>ROUND(C58*F58,2)</f>
        <v>0</v>
      </c>
      <c r="H58" s="330" t="s">
        <v>647</v>
      </c>
      <c r="I58" s="318"/>
      <c r="J58" s="319"/>
      <c r="K58" s="318"/>
      <c r="L58" s="318"/>
      <c r="M58" s="318"/>
      <c r="N58" s="318"/>
      <c r="O58" s="318"/>
      <c r="P58" s="318"/>
    </row>
    <row r="59" spans="1:17" ht="18.95" customHeight="1">
      <c r="A59" s="329" t="s">
        <v>648</v>
      </c>
      <c r="B59" s="327"/>
      <c r="C59" s="327">
        <f>D4/1000</f>
        <v>0.88</v>
      </c>
      <c r="D59" s="331">
        <v>0.25900000000000001</v>
      </c>
      <c r="E59" s="327"/>
      <c r="F59" s="327"/>
      <c r="G59" s="327">
        <f>ROUND(C59*D59*F59,2)</f>
        <v>0</v>
      </c>
      <c r="H59" s="330" t="s">
        <v>647</v>
      </c>
      <c r="I59" s="318"/>
      <c r="J59" s="319"/>
      <c r="K59" s="318"/>
      <c r="L59" s="318"/>
      <c r="M59" s="318"/>
      <c r="N59" s="318"/>
      <c r="O59" s="318"/>
      <c r="P59" s="318"/>
    </row>
    <row r="60" spans="1:17" ht="18.95" customHeight="1">
      <c r="A60" s="156" t="s">
        <v>901</v>
      </c>
      <c r="B60" s="157"/>
      <c r="C60" s="463">
        <f>(C3+D3)*2/1000</f>
        <v>3.4</v>
      </c>
      <c r="D60" s="148"/>
      <c r="E60" s="148"/>
      <c r="F60" s="148">
        <v>45</v>
      </c>
      <c r="G60" s="154">
        <f>ROUND(C60*F60,2)</f>
        <v>153</v>
      </c>
      <c r="H60" s="330"/>
      <c r="I60" s="318"/>
      <c r="J60" s="319"/>
      <c r="K60" s="318"/>
      <c r="L60" s="318"/>
      <c r="M60" s="318"/>
      <c r="N60" s="318"/>
      <c r="O60" s="318"/>
      <c r="P60" s="318"/>
    </row>
    <row r="61" spans="1:17" ht="18.95" customHeight="1">
      <c r="A61" s="329" t="s">
        <v>257</v>
      </c>
      <c r="B61" s="328"/>
      <c r="C61" s="328"/>
      <c r="D61" s="328"/>
      <c r="E61" s="328"/>
      <c r="F61" s="327"/>
      <c r="G61" s="327">
        <f>SUM(G50:G60)</f>
        <v>190.35</v>
      </c>
      <c r="H61" s="326"/>
      <c r="I61" s="318"/>
      <c r="J61" s="319"/>
      <c r="K61" s="318"/>
      <c r="L61" s="318"/>
      <c r="M61" s="318"/>
      <c r="N61" s="318"/>
      <c r="O61" s="318"/>
      <c r="P61" s="318"/>
    </row>
    <row r="62" spans="1:17" ht="18.95" customHeight="1" thickBot="1">
      <c r="A62" s="325" t="s">
        <v>646</v>
      </c>
      <c r="B62" s="324">
        <f>H6+H38+H48+G61</f>
        <v>694.02340000000004</v>
      </c>
      <c r="C62" s="322" t="s">
        <v>18</v>
      </c>
      <c r="D62" s="323">
        <f>G3</f>
        <v>0.72</v>
      </c>
      <c r="E62" s="323"/>
      <c r="F62" s="322" t="s">
        <v>28</v>
      </c>
      <c r="G62" s="321">
        <f>ROUND(B62/D62,0)</f>
        <v>964</v>
      </c>
      <c r="H62" s="320">
        <f>P86</f>
        <v>872.29492096000001</v>
      </c>
      <c r="I62" s="318">
        <f>C50</f>
        <v>0</v>
      </c>
      <c r="J62" s="631" t="s">
        <v>603</v>
      </c>
      <c r="K62" s="631"/>
      <c r="L62" s="631"/>
      <c r="M62" s="631"/>
      <c r="N62" s="631"/>
      <c r="O62" s="631"/>
      <c r="P62" s="631"/>
      <c r="Q62" s="631"/>
    </row>
    <row r="63" spans="1:17" ht="22.5" customHeight="1" thickTop="1">
      <c r="A63" s="674" t="s">
        <v>645</v>
      </c>
      <c r="B63" s="675"/>
      <c r="C63" s="675"/>
      <c r="D63" s="675"/>
      <c r="E63" s="675"/>
      <c r="F63" s="675"/>
      <c r="G63" s="675"/>
      <c r="H63" s="675"/>
      <c r="J63" s="634" t="s">
        <v>604</v>
      </c>
      <c r="K63" s="634"/>
      <c r="L63" s="634"/>
      <c r="M63" s="634"/>
      <c r="N63" s="634"/>
      <c r="O63" s="634"/>
      <c r="P63" s="634"/>
      <c r="Q63" s="634"/>
    </row>
    <row r="64" spans="1:17" ht="22.5" customHeight="1">
      <c r="A64" s="675" t="s">
        <v>644</v>
      </c>
      <c r="B64" s="675"/>
      <c r="C64" s="675"/>
      <c r="D64" s="675"/>
      <c r="E64" s="675"/>
      <c r="F64" s="675"/>
      <c r="G64" s="675"/>
      <c r="H64" s="675"/>
      <c r="J64" s="285" t="s">
        <v>279</v>
      </c>
      <c r="K64" s="624" t="s">
        <v>693</v>
      </c>
      <c r="L64" s="625"/>
      <c r="M64" s="312" t="str">
        <f ca="1">B3</f>
        <v>BYC0809</v>
      </c>
      <c r="N64" s="312"/>
      <c r="O64" s="313"/>
      <c r="P64" s="287" t="s">
        <v>605</v>
      </c>
      <c r="Q64" s="288"/>
    </row>
    <row r="65" spans="1:17" ht="30.75" customHeight="1">
      <c r="A65" s="675" t="s">
        <v>643</v>
      </c>
      <c r="B65" s="675"/>
      <c r="C65" s="675"/>
      <c r="D65" s="675"/>
      <c r="E65" s="675"/>
      <c r="F65" s="675"/>
      <c r="G65" s="675"/>
      <c r="H65" s="675"/>
      <c r="J65" s="635" t="s">
        <v>606</v>
      </c>
      <c r="K65" s="623" t="s">
        <v>626</v>
      </c>
      <c r="L65" s="623"/>
      <c r="M65" s="623"/>
      <c r="N65" s="623"/>
      <c r="O65" s="637"/>
      <c r="P65" s="291" t="s">
        <v>607</v>
      </c>
      <c r="Q65" s="292" t="s">
        <v>313</v>
      </c>
    </row>
    <row r="66" spans="1:17" ht="30.75" customHeight="1">
      <c r="A66" s="317"/>
      <c r="B66" s="317"/>
      <c r="C66" s="317"/>
      <c r="D66" s="317"/>
      <c r="E66" s="317"/>
      <c r="F66" s="317"/>
      <c r="G66" s="317"/>
      <c r="H66" s="317"/>
      <c r="J66" s="636"/>
      <c r="K66" s="638"/>
      <c r="L66" s="638"/>
      <c r="M66" s="638"/>
      <c r="N66" s="638"/>
      <c r="O66" s="638"/>
      <c r="P66" s="291" t="s">
        <v>268</v>
      </c>
      <c r="Q66" s="293">
        <f>E3</f>
        <v>0.72</v>
      </c>
    </row>
    <row r="67" spans="1:17" ht="22.5" customHeight="1">
      <c r="A67" s="675"/>
      <c r="B67" s="675"/>
      <c r="C67" s="675"/>
      <c r="D67" s="675"/>
      <c r="E67" s="675"/>
      <c r="F67" s="675"/>
      <c r="G67" s="675"/>
      <c r="H67" s="675"/>
      <c r="J67" s="311" t="s">
        <v>0</v>
      </c>
      <c r="K67" s="289" t="s">
        <v>608</v>
      </c>
      <c r="L67" s="289" t="s">
        <v>627</v>
      </c>
      <c r="M67" s="289" t="s">
        <v>269</v>
      </c>
      <c r="N67" s="294" t="s">
        <v>8</v>
      </c>
      <c r="O67" s="295" t="s">
        <v>609</v>
      </c>
      <c r="P67" s="296" t="s">
        <v>270</v>
      </c>
      <c r="Q67" s="295" t="s">
        <v>610</v>
      </c>
    </row>
    <row r="68" spans="1:17" ht="22.5" customHeight="1">
      <c r="J68" s="297" t="s">
        <v>305</v>
      </c>
      <c r="K68" s="298" t="s">
        <v>611</v>
      </c>
      <c r="L68" s="298"/>
      <c r="M68" s="286"/>
      <c r="N68" s="299"/>
      <c r="O68" s="300"/>
      <c r="P68" s="301">
        <f>SUM(P69:P77)</f>
        <v>393.77695257599999</v>
      </c>
      <c r="Q68" s="286"/>
    </row>
    <row r="69" spans="1:17" ht="22.5" customHeight="1">
      <c r="J69" s="286">
        <v>1</v>
      </c>
      <c r="K69" s="302" t="s">
        <v>612</v>
      </c>
      <c r="L69" s="307"/>
      <c r="M69" s="286" t="s">
        <v>271</v>
      </c>
      <c r="N69" s="303">
        <f>D38+D48</f>
        <v>8.143104000000001</v>
      </c>
      <c r="O69" s="304">
        <f>F38</f>
        <v>24.9815</v>
      </c>
      <c r="P69" s="305">
        <f t="shared" ref="P69:P77" si="1">O69*N69</f>
        <v>203.42695257600002</v>
      </c>
      <c r="Q69" s="306"/>
    </row>
    <row r="70" spans="1:17" ht="22.5" customHeight="1">
      <c r="J70" s="286">
        <v>2</v>
      </c>
      <c r="K70" s="290" t="s">
        <v>613</v>
      </c>
      <c r="L70" s="307"/>
      <c r="M70" s="286" t="s">
        <v>276</v>
      </c>
      <c r="N70" s="303"/>
      <c r="O70" s="304">
        <f>B52</f>
        <v>0</v>
      </c>
      <c r="P70" s="305">
        <f t="shared" si="1"/>
        <v>0</v>
      </c>
      <c r="Q70" s="306"/>
    </row>
    <row r="71" spans="1:17" ht="22.5" customHeight="1">
      <c r="J71" s="286">
        <v>3</v>
      </c>
      <c r="K71" s="302" t="s">
        <v>636</v>
      </c>
      <c r="L71" s="302"/>
      <c r="M71" s="286" t="s">
        <v>312</v>
      </c>
      <c r="N71" s="303"/>
      <c r="O71" s="304"/>
      <c r="P71" s="305">
        <f t="shared" si="1"/>
        <v>0</v>
      </c>
      <c r="Q71" s="306"/>
    </row>
    <row r="72" spans="1:17" ht="22.5" customHeight="1">
      <c r="J72" s="286">
        <v>4</v>
      </c>
      <c r="K72" s="302" t="s">
        <v>615</v>
      </c>
      <c r="L72" s="306"/>
      <c r="M72" s="286" t="s">
        <v>278</v>
      </c>
      <c r="N72" s="303">
        <f>G54/E54</f>
        <v>0.81572769953051649</v>
      </c>
      <c r="O72" s="304">
        <f>E54</f>
        <v>8.52</v>
      </c>
      <c r="P72" s="305">
        <f t="shared" si="1"/>
        <v>6.95</v>
      </c>
      <c r="Q72" s="306"/>
    </row>
    <row r="73" spans="1:17" ht="22.5" customHeight="1">
      <c r="J73" s="286">
        <v>5</v>
      </c>
      <c r="K73" s="306" t="s">
        <v>616</v>
      </c>
      <c r="L73" s="302"/>
      <c r="M73" s="286" t="s">
        <v>628</v>
      </c>
      <c r="N73" s="303">
        <f>C31/21</f>
        <v>0</v>
      </c>
      <c r="O73" s="304"/>
      <c r="P73" s="305">
        <f t="shared" si="1"/>
        <v>0</v>
      </c>
      <c r="Q73" s="306"/>
    </row>
    <row r="74" spans="1:17" ht="22.5" customHeight="1">
      <c r="J74" s="286">
        <v>6</v>
      </c>
      <c r="K74" s="302" t="s">
        <v>319</v>
      </c>
      <c r="L74" s="302"/>
      <c r="M74" s="286" t="s">
        <v>273</v>
      </c>
      <c r="N74" s="303"/>
      <c r="O74" s="304"/>
      <c r="P74" s="305">
        <f t="shared" si="1"/>
        <v>0</v>
      </c>
      <c r="Q74" s="306"/>
    </row>
    <row r="75" spans="1:17" ht="22.5" customHeight="1">
      <c r="J75" s="286">
        <v>7</v>
      </c>
      <c r="K75" s="302" t="s">
        <v>295</v>
      </c>
      <c r="L75" s="302"/>
      <c r="M75" s="286" t="s">
        <v>273</v>
      </c>
      <c r="N75" s="303"/>
      <c r="O75" s="304"/>
      <c r="P75" s="305">
        <f t="shared" si="1"/>
        <v>0</v>
      </c>
      <c r="Q75" s="306"/>
    </row>
    <row r="76" spans="1:17" ht="22.5" customHeight="1">
      <c r="J76" s="286">
        <v>8</v>
      </c>
      <c r="K76" s="302" t="s">
        <v>296</v>
      </c>
      <c r="L76" s="302"/>
      <c r="M76" s="286" t="s">
        <v>273</v>
      </c>
      <c r="N76" s="303"/>
      <c r="O76" s="304"/>
      <c r="P76" s="305">
        <f t="shared" si="1"/>
        <v>0</v>
      </c>
      <c r="Q76" s="306"/>
    </row>
    <row r="77" spans="1:17" ht="22.5" customHeight="1">
      <c r="J77" s="286">
        <v>9</v>
      </c>
      <c r="K77" s="302" t="s">
        <v>617</v>
      </c>
      <c r="L77" s="302"/>
      <c r="M77" s="286" t="s">
        <v>618</v>
      </c>
      <c r="N77" s="296">
        <v>1</v>
      </c>
      <c r="O77" s="304">
        <f>G61-G54</f>
        <v>183.4</v>
      </c>
      <c r="P77" s="305">
        <f t="shared" si="1"/>
        <v>183.4</v>
      </c>
      <c r="Q77" s="306"/>
    </row>
    <row r="78" spans="1:17" ht="22.5" customHeight="1">
      <c r="J78" s="297" t="s">
        <v>306</v>
      </c>
      <c r="K78" s="308" t="s">
        <v>314</v>
      </c>
      <c r="L78" s="298"/>
      <c r="M78" s="286"/>
      <c r="N78" s="296"/>
      <c r="O78" s="309"/>
      <c r="P78" s="301">
        <f>SUM(P79:P80)</f>
        <v>115.19999999999999</v>
      </c>
      <c r="Q78" s="286"/>
    </row>
    <row r="79" spans="1:17" ht="22.5" customHeight="1">
      <c r="J79" s="286">
        <v>1</v>
      </c>
      <c r="K79" s="307" t="s">
        <v>619</v>
      </c>
      <c r="L79" s="307"/>
      <c r="M79" s="300" t="s">
        <v>312</v>
      </c>
      <c r="N79" s="296">
        <f>Q66</f>
        <v>0.72</v>
      </c>
      <c r="O79" s="310">
        <v>60</v>
      </c>
      <c r="P79" s="305">
        <f>O79*N79</f>
        <v>43.199999999999996</v>
      </c>
      <c r="Q79" s="286"/>
    </row>
    <row r="80" spans="1:17" ht="22.5" customHeight="1">
      <c r="J80" s="286">
        <v>2</v>
      </c>
      <c r="K80" s="307" t="s">
        <v>288</v>
      </c>
      <c r="L80" s="307"/>
      <c r="M80" s="300" t="s">
        <v>312</v>
      </c>
      <c r="N80" s="296">
        <f>Q66</f>
        <v>0.72</v>
      </c>
      <c r="O80" s="310">
        <v>100</v>
      </c>
      <c r="P80" s="305">
        <f>O80*N80</f>
        <v>72</v>
      </c>
      <c r="Q80" s="286"/>
    </row>
    <row r="81" spans="10:17" ht="22.5" customHeight="1">
      <c r="J81" s="297" t="s">
        <v>307</v>
      </c>
      <c r="K81" s="308" t="s">
        <v>290</v>
      </c>
      <c r="L81" s="298"/>
      <c r="M81" s="286"/>
      <c r="N81" s="296"/>
      <c r="O81" s="309"/>
      <c r="P81" s="301">
        <f>SUM(P82)</f>
        <v>14.399999999999999</v>
      </c>
      <c r="Q81" s="286"/>
    </row>
    <row r="82" spans="10:17" ht="22.5" customHeight="1">
      <c r="J82" s="286">
        <v>1</v>
      </c>
      <c r="K82" s="307" t="s">
        <v>290</v>
      </c>
      <c r="L82" s="307"/>
      <c r="M82" s="300" t="s">
        <v>312</v>
      </c>
      <c r="N82" s="296">
        <f>Q66</f>
        <v>0.72</v>
      </c>
      <c r="O82" s="310">
        <v>20</v>
      </c>
      <c r="P82" s="305">
        <f>O82*N82</f>
        <v>14.399999999999999</v>
      </c>
      <c r="Q82" s="286"/>
    </row>
    <row r="83" spans="10:17" ht="22.5" customHeight="1">
      <c r="J83" s="286" t="s">
        <v>308</v>
      </c>
      <c r="K83" s="618" t="s">
        <v>620</v>
      </c>
      <c r="L83" s="619"/>
      <c r="M83" s="620"/>
      <c r="N83" s="621"/>
      <c r="O83" s="622"/>
      <c r="P83" s="301">
        <f>P68+P78+P81</f>
        <v>523.37695257600001</v>
      </c>
      <c r="Q83" s="286"/>
    </row>
    <row r="84" spans="10:17" ht="22.5" customHeight="1">
      <c r="J84" s="286" t="s">
        <v>309</v>
      </c>
      <c r="K84" s="618" t="s">
        <v>621</v>
      </c>
      <c r="L84" s="619"/>
      <c r="M84" s="626">
        <v>0.2</v>
      </c>
      <c r="N84" s="627"/>
      <c r="O84" s="628"/>
      <c r="P84" s="301">
        <f>P83*M84</f>
        <v>104.67539051520001</v>
      </c>
      <c r="Q84" s="286"/>
    </row>
    <row r="85" spans="10:17" ht="20.100000000000001" customHeight="1">
      <c r="J85" s="286" t="s">
        <v>310</v>
      </c>
      <c r="K85" s="618" t="s">
        <v>622</v>
      </c>
      <c r="L85" s="619"/>
      <c r="M85" s="620"/>
      <c r="N85" s="621"/>
      <c r="O85" s="622"/>
      <c r="P85" s="301">
        <f>P83+P84</f>
        <v>628.05234309119999</v>
      </c>
      <c r="Q85" s="286"/>
    </row>
    <row r="86" spans="10:17" ht="20.100000000000001" customHeight="1">
      <c r="J86" s="297" t="s">
        <v>311</v>
      </c>
      <c r="K86" s="618" t="s">
        <v>623</v>
      </c>
      <c r="L86" s="619"/>
      <c r="M86" s="620"/>
      <c r="N86" s="621"/>
      <c r="O86" s="622"/>
      <c r="P86" s="301">
        <f>P85/Q66</f>
        <v>872.29492096000001</v>
      </c>
      <c r="Q86" s="286" t="s">
        <v>624</v>
      </c>
    </row>
    <row r="87" spans="10:17" ht="20.100000000000001" customHeight="1">
      <c r="J87" s="623" t="s">
        <v>625</v>
      </c>
      <c r="K87" s="623"/>
      <c r="L87" s="623"/>
      <c r="M87" s="623"/>
      <c r="N87" s="623"/>
      <c r="O87" s="623"/>
      <c r="P87" s="623"/>
      <c r="Q87" s="623"/>
    </row>
    <row r="88" spans="10:17" ht="20.100000000000001" customHeight="1"/>
    <row r="89" spans="10:17" ht="20.100000000000001" customHeight="1"/>
    <row r="90" spans="10:17" ht="20.100000000000001" customHeight="1"/>
    <row r="91" spans="10:17" ht="20.100000000000001" customHeight="1"/>
  </sheetData>
  <mergeCells count="44">
    <mergeCell ref="B1:H1"/>
    <mergeCell ref="I1:L1"/>
    <mergeCell ref="A3:A4"/>
    <mergeCell ref="I8:J11"/>
    <mergeCell ref="A9:A11"/>
    <mergeCell ref="B9:B11"/>
    <mergeCell ref="A12:B12"/>
    <mergeCell ref="A14:A16"/>
    <mergeCell ref="B14:B16"/>
    <mergeCell ref="A17:B17"/>
    <mergeCell ref="A19:A21"/>
    <mergeCell ref="B19:B21"/>
    <mergeCell ref="A22:B22"/>
    <mergeCell ref="A24:A26"/>
    <mergeCell ref="B24:B26"/>
    <mergeCell ref="A27:B27"/>
    <mergeCell ref="A29:A31"/>
    <mergeCell ref="B29:B31"/>
    <mergeCell ref="A64:H64"/>
    <mergeCell ref="K64:L64"/>
    <mergeCell ref="A32:B32"/>
    <mergeCell ref="A34:A36"/>
    <mergeCell ref="B34:B36"/>
    <mergeCell ref="A37:B37"/>
    <mergeCell ref="A42:A43"/>
    <mergeCell ref="B42:B43"/>
    <mergeCell ref="A44:A45"/>
    <mergeCell ref="B44:B45"/>
    <mergeCell ref="J62:Q62"/>
    <mergeCell ref="A63:H63"/>
    <mergeCell ref="J63:Q63"/>
    <mergeCell ref="A65:H65"/>
    <mergeCell ref="J65:J66"/>
    <mergeCell ref="K65:O66"/>
    <mergeCell ref="A67:H67"/>
    <mergeCell ref="K83:L83"/>
    <mergeCell ref="M83:O83"/>
    <mergeCell ref="J87:Q87"/>
    <mergeCell ref="K84:L84"/>
    <mergeCell ref="M84:O84"/>
    <mergeCell ref="K85:L85"/>
    <mergeCell ref="M85:O85"/>
    <mergeCell ref="K86:L86"/>
    <mergeCell ref="M86:O86"/>
  </mergeCells>
  <phoneticPr fontId="5" type="noConversion"/>
  <printOptions horizontalCentered="1"/>
  <pageMargins left="0.59055118110236227" right="0.59055118110236227" top="0.59055118110236227" bottom="0.59055118110236227" header="0.31496062992125984" footer="0.31496062992125984"/>
  <pageSetup paperSize="9" scale="36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43AB5-6204-4B47-A77D-C8012EC7ED21}">
  <sheetPr>
    <tabColor theme="0" tint="-0.34998626667073579"/>
    <pageSetUpPr fitToPage="1"/>
  </sheetPr>
  <dimension ref="A1:Q91"/>
  <sheetViews>
    <sheetView showZeros="0" tabSelected="1" workbookViewId="0">
      <selection activeCell="A63" sqref="A63:H63"/>
    </sheetView>
  </sheetViews>
  <sheetFormatPr defaultColWidth="6.875" defaultRowHeight="14.25"/>
  <cols>
    <col min="1" max="1" width="14.5" style="315" customWidth="1"/>
    <col min="2" max="2" width="10.75" style="315" customWidth="1"/>
    <col min="3" max="3" width="11.875" style="315" customWidth="1"/>
    <col min="4" max="4" width="11.625" style="315" customWidth="1"/>
    <col min="5" max="5" width="13.5" style="315" customWidth="1"/>
    <col min="6" max="6" width="9.375" style="315" customWidth="1"/>
    <col min="7" max="7" width="11.125" style="315" customWidth="1"/>
    <col min="8" max="8" width="10.125" style="316" customWidth="1"/>
    <col min="9" max="9" width="16" style="315" customWidth="1"/>
    <col min="10" max="10" width="13.125" style="315" customWidth="1"/>
    <col min="11" max="11" width="24.375" style="315" customWidth="1"/>
    <col min="12" max="12" width="13.75" style="315" customWidth="1"/>
    <col min="13" max="13" width="11.25" style="315" customWidth="1"/>
    <col min="14" max="14" width="10.75" style="315" customWidth="1"/>
    <col min="15" max="15" width="10" style="315" customWidth="1"/>
    <col min="16" max="16" width="9.875" style="315" customWidth="1"/>
    <col min="17" max="17" width="26.125" style="315" customWidth="1"/>
    <col min="18" max="18" width="11.375" style="315" customWidth="1"/>
    <col min="19" max="19" width="6" style="315" customWidth="1"/>
    <col min="20" max="20" width="9.25" style="315" customWidth="1"/>
    <col min="21" max="21" width="12.875" style="315" customWidth="1"/>
    <col min="22" max="16384" width="6.875" style="315"/>
  </cols>
  <sheetData>
    <row r="1" spans="1:16" ht="26.25" thickTop="1">
      <c r="A1" s="361" t="s">
        <v>690</v>
      </c>
      <c r="B1" s="683" t="s">
        <v>691</v>
      </c>
      <c r="C1" s="684"/>
      <c r="D1" s="684"/>
      <c r="E1" s="684"/>
      <c r="F1" s="684"/>
      <c r="G1" s="684"/>
      <c r="H1" s="685"/>
      <c r="I1" s="686" t="s">
        <v>13</v>
      </c>
      <c r="J1" s="687"/>
      <c r="K1" s="687"/>
      <c r="L1" s="688"/>
      <c r="N1" s="318"/>
      <c r="O1" s="318"/>
      <c r="P1" s="318"/>
    </row>
    <row r="2" spans="1:16" ht="18.95" customHeight="1">
      <c r="A2" s="329" t="s">
        <v>689</v>
      </c>
      <c r="B2" s="334" t="s">
        <v>14</v>
      </c>
      <c r="C2" s="334" t="s">
        <v>16</v>
      </c>
      <c r="D2" s="334" t="s">
        <v>17</v>
      </c>
      <c r="E2" s="334" t="s">
        <v>7</v>
      </c>
      <c r="F2" s="334" t="s">
        <v>5</v>
      </c>
      <c r="G2" s="334" t="s">
        <v>18</v>
      </c>
      <c r="H2" s="326"/>
      <c r="I2" s="360" t="s">
        <v>688</v>
      </c>
      <c r="J2" s="360" t="s">
        <v>687</v>
      </c>
      <c r="K2" s="360" t="s">
        <v>686</v>
      </c>
      <c r="L2" s="360" t="s">
        <v>22</v>
      </c>
      <c r="N2" s="318"/>
      <c r="O2" s="318"/>
      <c r="P2" s="318"/>
    </row>
    <row r="3" spans="1:16" ht="18.95" customHeight="1">
      <c r="A3" s="689" t="s">
        <v>558</v>
      </c>
      <c r="B3" s="328" t="str">
        <f ca="1">MID(CELL("filename",Q13),FIND("]",CELL("filename",Q13))+1,30)</f>
        <v>BYC0624</v>
      </c>
      <c r="C3" s="328">
        <v>600</v>
      </c>
      <c r="D3" s="328">
        <v>2400</v>
      </c>
      <c r="E3" s="328">
        <f>ROUND(C3*D3/1000000,2)</f>
        <v>1.44</v>
      </c>
      <c r="F3" s="328">
        <v>1</v>
      </c>
      <c r="G3" s="328">
        <f>E3*F3</f>
        <v>1.44</v>
      </c>
      <c r="H3" s="326"/>
      <c r="I3" s="356">
        <v>40</v>
      </c>
      <c r="J3" s="356">
        <v>20</v>
      </c>
      <c r="K3" s="355">
        <v>1.5</v>
      </c>
      <c r="L3" s="354">
        <f>ROUND(((I3*J3)-(I3-2*K3)*(J3-2*K3))*2.71/1000,3)</f>
        <v>0.46300000000000002</v>
      </c>
      <c r="N3" s="318"/>
      <c r="O3" s="318"/>
      <c r="P3" s="318"/>
    </row>
    <row r="4" spans="1:16" ht="18.95" customHeight="1">
      <c r="A4" s="690"/>
      <c r="B4" s="334" t="s">
        <v>24</v>
      </c>
      <c r="C4" s="359">
        <f>C3-20</f>
        <v>580</v>
      </c>
      <c r="D4" s="359">
        <f>D3-20</f>
        <v>2380</v>
      </c>
      <c r="E4" s="328">
        <f>ROUND(C4*D4/1000000,2)</f>
        <v>1.38</v>
      </c>
      <c r="F4" s="328">
        <v>1</v>
      </c>
      <c r="G4" s="328">
        <f>E4*F4</f>
        <v>1.38</v>
      </c>
      <c r="H4" s="326"/>
      <c r="I4" s="356">
        <v>40</v>
      </c>
      <c r="J4" s="356">
        <v>20</v>
      </c>
      <c r="K4" s="355">
        <v>2</v>
      </c>
      <c r="L4" s="354">
        <f>ROUND(((I4*J4)-(I4-2*K4)*(J4-2*K4))*7.8/1000,3)</f>
        <v>1.7470000000000001</v>
      </c>
      <c r="N4" s="318"/>
      <c r="O4" s="318"/>
      <c r="P4" s="318"/>
    </row>
    <row r="5" spans="1:16" ht="18.95" customHeight="1">
      <c r="A5" s="329" t="s">
        <v>25</v>
      </c>
      <c r="B5" s="334" t="s">
        <v>16</v>
      </c>
      <c r="C5" s="334" t="s">
        <v>26</v>
      </c>
      <c r="D5" s="334" t="s">
        <v>17</v>
      </c>
      <c r="E5" s="334" t="s">
        <v>27</v>
      </c>
      <c r="F5" s="334" t="s">
        <v>22</v>
      </c>
      <c r="G5" s="334" t="s">
        <v>28</v>
      </c>
      <c r="H5" s="330" t="s">
        <v>29</v>
      </c>
      <c r="I5" s="356">
        <v>40</v>
      </c>
      <c r="J5" s="356">
        <v>80</v>
      </c>
      <c r="K5" s="355">
        <v>2</v>
      </c>
      <c r="L5" s="354">
        <f>ROUND(((I5*J5)-(I5-2*K5)*(J5-2*K5))*7.8/1000,3)</f>
        <v>3.6190000000000002</v>
      </c>
      <c r="N5" s="318"/>
      <c r="O5" s="318"/>
      <c r="P5" s="318"/>
    </row>
    <row r="6" spans="1:16" ht="18.95" customHeight="1">
      <c r="A6" s="358" t="s">
        <v>685</v>
      </c>
      <c r="B6" s="328">
        <f>C3-40</f>
        <v>560</v>
      </c>
      <c r="C6" s="328">
        <v>2</v>
      </c>
      <c r="D6" s="328">
        <f>D3-40</f>
        <v>2360</v>
      </c>
      <c r="E6" s="328">
        <v>2</v>
      </c>
      <c r="F6" s="350">
        <f>L4</f>
        <v>1.7470000000000001</v>
      </c>
      <c r="G6" s="327">
        <f>材料价格!B3</f>
        <v>7.5</v>
      </c>
      <c r="H6" s="357">
        <f>ROUND((B6*C6+D6*E6)*F6*G6/1000*1.1,2)</f>
        <v>84.17</v>
      </c>
      <c r="I6" s="356">
        <v>60</v>
      </c>
      <c r="J6" s="356">
        <v>20</v>
      </c>
      <c r="K6" s="355">
        <v>2</v>
      </c>
      <c r="L6" s="354">
        <f>ROUND(((I6*J6)-(I6-2*K6)*(J6-2*K6))*2.7/1000,3)</f>
        <v>0.82099999999999995</v>
      </c>
      <c r="N6" s="318"/>
      <c r="O6" s="318"/>
      <c r="P6" s="318"/>
    </row>
    <row r="7" spans="1:16" ht="18.95" customHeight="1">
      <c r="A7" s="353"/>
      <c r="B7" s="352">
        <f>H6/G6</f>
        <v>11.222666666666667</v>
      </c>
      <c r="C7" s="349" t="s">
        <v>684</v>
      </c>
      <c r="D7" s="352">
        <f>H6/E3</f>
        <v>58.451388888888893</v>
      </c>
      <c r="E7" s="349" t="s">
        <v>683</v>
      </c>
      <c r="F7" s="344"/>
      <c r="G7" s="344"/>
      <c r="H7" s="335"/>
      <c r="I7" s="319"/>
      <c r="J7" s="318"/>
      <c r="K7" s="318"/>
      <c r="L7" s="318"/>
      <c r="M7" s="319"/>
      <c r="N7" s="318"/>
      <c r="O7" s="318"/>
      <c r="P7" s="318"/>
    </row>
    <row r="8" spans="1:16" ht="18.95" customHeight="1">
      <c r="A8" s="329" t="s">
        <v>36</v>
      </c>
      <c r="B8" s="334" t="s">
        <v>14</v>
      </c>
      <c r="C8" s="334" t="s">
        <v>37</v>
      </c>
      <c r="D8" s="334" t="s">
        <v>38</v>
      </c>
      <c r="E8" s="334" t="s">
        <v>39</v>
      </c>
      <c r="F8" s="334" t="s">
        <v>8</v>
      </c>
      <c r="G8" s="334" t="s">
        <v>22</v>
      </c>
      <c r="H8" s="330" t="s">
        <v>40</v>
      </c>
      <c r="I8" s="691" t="s">
        <v>682</v>
      </c>
      <c r="J8" s="692"/>
      <c r="K8" s="318"/>
      <c r="L8" s="318"/>
      <c r="M8" s="319"/>
      <c r="N8" s="318"/>
      <c r="O8" s="318"/>
      <c r="P8" s="318"/>
    </row>
    <row r="9" spans="1:16" ht="18.95" customHeight="1">
      <c r="A9" s="670" t="s">
        <v>681</v>
      </c>
      <c r="B9" s="678" t="s">
        <v>680</v>
      </c>
      <c r="C9" s="328">
        <f>C4</f>
        <v>580</v>
      </c>
      <c r="D9" s="328">
        <f>D4</f>
        <v>2380</v>
      </c>
      <c r="E9" s="327">
        <f>ROUND((C9+D9)*2/1000,4)</f>
        <v>5.92</v>
      </c>
      <c r="F9" s="328">
        <v>1</v>
      </c>
      <c r="G9" s="328">
        <v>0.54600000000000004</v>
      </c>
      <c r="H9" s="326">
        <f>ROUND(E9*F9*G9,4)</f>
        <v>3.2323</v>
      </c>
      <c r="I9" s="692"/>
      <c r="J9" s="692"/>
      <c r="K9" s="318"/>
      <c r="L9" s="318"/>
      <c r="M9" s="318"/>
      <c r="N9" s="318"/>
      <c r="O9" s="318"/>
      <c r="P9" s="318"/>
    </row>
    <row r="10" spans="1:16" ht="18.95" customHeight="1">
      <c r="A10" s="671"/>
      <c r="B10" s="678"/>
      <c r="C10" s="328"/>
      <c r="D10" s="328"/>
      <c r="E10" s="327">
        <f>ROUND((C10+D10)*2/1000,4)</f>
        <v>0</v>
      </c>
      <c r="F10" s="328"/>
      <c r="G10" s="328">
        <f>G9</f>
        <v>0.54600000000000004</v>
      </c>
      <c r="H10" s="326">
        <f>ROUND(E10*F10*G10,4)</f>
        <v>0</v>
      </c>
      <c r="I10" s="692"/>
      <c r="J10" s="692"/>
      <c r="K10" s="318"/>
      <c r="L10" s="318"/>
      <c r="M10" s="318"/>
      <c r="N10" s="318"/>
      <c r="O10" s="318"/>
      <c r="P10" s="318"/>
    </row>
    <row r="11" spans="1:16" ht="18.95" customHeight="1">
      <c r="A11" s="671"/>
      <c r="B11" s="678"/>
      <c r="C11" s="328"/>
      <c r="D11" s="328"/>
      <c r="E11" s="327">
        <f>ROUND((C11+D11)*2/1000,4)</f>
        <v>0</v>
      </c>
      <c r="F11" s="328"/>
      <c r="G11" s="328">
        <f>G9</f>
        <v>0.54600000000000004</v>
      </c>
      <c r="H11" s="326">
        <f>ROUND(E11*F11*G11,4)</f>
        <v>0</v>
      </c>
      <c r="I11" s="692"/>
      <c r="J11" s="692"/>
      <c r="K11" s="318"/>
      <c r="L11" s="318"/>
      <c r="M11" s="318"/>
      <c r="N11" s="318"/>
      <c r="O11" s="318"/>
      <c r="P11" s="318"/>
    </row>
    <row r="12" spans="1:16" ht="18.95" customHeight="1">
      <c r="A12" s="676" t="s">
        <v>182</v>
      </c>
      <c r="B12" s="677"/>
      <c r="C12" s="349" t="s">
        <v>679</v>
      </c>
      <c r="D12" s="348">
        <f>ROUND((E9*F9+E10*F10+E11*F11),4)</f>
        <v>5.92</v>
      </c>
      <c r="E12" s="348"/>
      <c r="F12" s="344">
        <f>SUM(F9:F11)</f>
        <v>1</v>
      </c>
      <c r="G12" s="344"/>
      <c r="H12" s="335">
        <f>SUM(H9:H11)</f>
        <v>3.2323</v>
      </c>
      <c r="I12" s="318"/>
      <c r="J12" s="319">
        <v>150</v>
      </c>
      <c r="K12" s="319">
        <f>J12*D12/1000</f>
        <v>0.88800000000000001</v>
      </c>
      <c r="L12" s="318"/>
      <c r="M12" s="318"/>
      <c r="N12" s="318"/>
      <c r="O12" s="318"/>
      <c r="P12" s="318"/>
    </row>
    <row r="13" spans="1:16" ht="18.95" customHeight="1">
      <c r="A13" s="329" t="s">
        <v>36</v>
      </c>
      <c r="B13" s="334" t="s">
        <v>14</v>
      </c>
      <c r="C13" s="334" t="s">
        <v>37</v>
      </c>
      <c r="D13" s="334" t="s">
        <v>38</v>
      </c>
      <c r="E13" s="351" t="s">
        <v>39</v>
      </c>
      <c r="F13" s="334" t="s">
        <v>678</v>
      </c>
      <c r="G13" s="334" t="s">
        <v>22</v>
      </c>
      <c r="H13" s="330" t="s">
        <v>40</v>
      </c>
      <c r="I13" s="318"/>
      <c r="J13" s="319"/>
      <c r="K13" s="319"/>
      <c r="L13" s="318"/>
      <c r="M13" s="318"/>
      <c r="N13" s="318"/>
      <c r="O13" s="318"/>
      <c r="P13" s="318"/>
    </row>
    <row r="14" spans="1:16" ht="18.95" customHeight="1">
      <c r="A14" s="670" t="s">
        <v>677</v>
      </c>
      <c r="B14" s="678" t="str">
        <f>B9</f>
        <v>40*20*1.5</v>
      </c>
      <c r="C14" s="328">
        <f>C9</f>
        <v>580</v>
      </c>
      <c r="D14" s="328">
        <f>D9</f>
        <v>2380</v>
      </c>
      <c r="E14" s="327">
        <f>ROUND((C14+D14)*2/1000,4)</f>
        <v>5.92</v>
      </c>
      <c r="F14" s="328">
        <v>1</v>
      </c>
      <c r="G14" s="350">
        <f>G9</f>
        <v>0.54600000000000004</v>
      </c>
      <c r="H14" s="326">
        <f>ROUND(E14*F14*G14,4)</f>
        <v>3.2323</v>
      </c>
      <c r="I14" s="318"/>
      <c r="J14" s="319"/>
      <c r="K14" s="319"/>
      <c r="L14" s="318"/>
      <c r="M14" s="318"/>
      <c r="N14" s="318"/>
      <c r="O14" s="318"/>
      <c r="P14" s="318"/>
    </row>
    <row r="15" spans="1:16" ht="18.95" customHeight="1">
      <c r="A15" s="671"/>
      <c r="B15" s="678"/>
      <c r="C15" s="328"/>
      <c r="D15" s="328"/>
      <c r="E15" s="327">
        <f>ROUND((C15+D15)*2/1000,4)</f>
        <v>0</v>
      </c>
      <c r="F15" s="328">
        <v>0</v>
      </c>
      <c r="G15" s="328">
        <f>G14</f>
        <v>0.54600000000000004</v>
      </c>
      <c r="H15" s="326">
        <f>ROUND((C15*D15+E15*F15)/1000*G15,4)</f>
        <v>0</v>
      </c>
      <c r="I15" s="318"/>
      <c r="J15" s="319"/>
      <c r="K15" s="319"/>
      <c r="L15" s="318"/>
      <c r="M15" s="318"/>
      <c r="N15" s="318"/>
      <c r="O15" s="318"/>
      <c r="P15" s="318"/>
    </row>
    <row r="16" spans="1:16" ht="18.95" customHeight="1">
      <c r="A16" s="671"/>
      <c r="B16" s="678"/>
      <c r="C16" s="328">
        <f>C11</f>
        <v>0</v>
      </c>
      <c r="D16" s="328">
        <v>0</v>
      </c>
      <c r="E16" s="327">
        <f>ROUND((C16+D16)*2/1000,4)</f>
        <v>0</v>
      </c>
      <c r="F16" s="328">
        <v>0</v>
      </c>
      <c r="G16" s="328">
        <f>G14</f>
        <v>0.54600000000000004</v>
      </c>
      <c r="H16" s="326">
        <f>ROUND((C16*D16+E16*F16)/1000*G16,4)</f>
        <v>0</v>
      </c>
      <c r="I16" s="318"/>
      <c r="J16" s="319"/>
      <c r="K16" s="319"/>
      <c r="L16" s="318"/>
      <c r="M16" s="318"/>
      <c r="N16" s="318"/>
      <c r="O16" s="318"/>
      <c r="P16" s="318"/>
    </row>
    <row r="17" spans="1:16" ht="18.95" customHeight="1">
      <c r="A17" s="676" t="s">
        <v>182</v>
      </c>
      <c r="B17" s="677"/>
      <c r="C17" s="349" t="s">
        <v>676</v>
      </c>
      <c r="D17" s="348">
        <f>ROUND((E14*F14+E15*F15+E16*F16),4)</f>
        <v>5.92</v>
      </c>
      <c r="E17" s="348"/>
      <c r="F17" s="348">
        <f>SUM(F14:F16)</f>
        <v>1</v>
      </c>
      <c r="G17" s="344"/>
      <c r="H17" s="335">
        <f>SUM(H14:H16)</f>
        <v>3.2323</v>
      </c>
      <c r="I17" s="318"/>
      <c r="J17" s="319">
        <f>J12</f>
        <v>150</v>
      </c>
      <c r="K17" s="316">
        <f>J17*D17/1000</f>
        <v>0.88800000000000001</v>
      </c>
      <c r="N17" s="318"/>
      <c r="O17" s="318"/>
      <c r="P17" s="318"/>
    </row>
    <row r="18" spans="1:16" ht="18.95" customHeight="1">
      <c r="A18" s="329" t="s">
        <v>36</v>
      </c>
      <c r="B18" s="334" t="s">
        <v>14</v>
      </c>
      <c r="C18" s="334" t="s">
        <v>37</v>
      </c>
      <c r="D18" s="334" t="s">
        <v>71</v>
      </c>
      <c r="E18" s="334" t="s">
        <v>38</v>
      </c>
      <c r="F18" s="334" t="s">
        <v>72</v>
      </c>
      <c r="G18" s="334" t="s">
        <v>22</v>
      </c>
      <c r="H18" s="330" t="s">
        <v>40</v>
      </c>
      <c r="I18" s="318"/>
      <c r="J18" s="319"/>
      <c r="K18" s="319"/>
      <c r="L18" s="318"/>
      <c r="M18" s="318"/>
      <c r="N18" s="318"/>
      <c r="O18" s="318"/>
      <c r="P18" s="318"/>
    </row>
    <row r="19" spans="1:16" ht="18.95" customHeight="1">
      <c r="A19" s="681" t="s">
        <v>675</v>
      </c>
      <c r="B19" s="678" t="s">
        <v>674</v>
      </c>
      <c r="C19" s="328">
        <f>C14</f>
        <v>580</v>
      </c>
      <c r="D19" s="328">
        <v>2</v>
      </c>
      <c r="E19" s="328">
        <f>D14</f>
        <v>2380</v>
      </c>
      <c r="F19" s="328">
        <v>2</v>
      </c>
      <c r="G19" s="328">
        <v>0.26300000000000001</v>
      </c>
      <c r="H19" s="326">
        <f>ROUND((C19*D19+E19*F19)/1000*G19,4)</f>
        <v>1.5569999999999999</v>
      </c>
      <c r="I19" s="318"/>
      <c r="J19" s="319"/>
      <c r="K19" s="319"/>
      <c r="L19" s="318"/>
      <c r="M19" s="318"/>
      <c r="N19" s="318"/>
      <c r="O19" s="318"/>
      <c r="P19" s="318"/>
    </row>
    <row r="20" spans="1:16" ht="18.95" customHeight="1">
      <c r="A20" s="682"/>
      <c r="B20" s="678"/>
      <c r="C20" s="328"/>
      <c r="D20" s="328"/>
      <c r="E20" s="328">
        <f>E10</f>
        <v>0</v>
      </c>
      <c r="F20" s="328">
        <f>D20</f>
        <v>0</v>
      </c>
      <c r="G20" s="328">
        <f>G19</f>
        <v>0.26300000000000001</v>
      </c>
      <c r="H20" s="326">
        <f>ROUND((C20*D20+E20*F20)/1000*G20,4)</f>
        <v>0</v>
      </c>
      <c r="I20" s="318"/>
      <c r="J20" s="319"/>
      <c r="K20" s="319"/>
      <c r="L20" s="318"/>
      <c r="M20" s="318"/>
      <c r="N20" s="318"/>
      <c r="O20" s="318"/>
      <c r="P20" s="318"/>
    </row>
    <row r="21" spans="1:16" ht="18.95" customHeight="1">
      <c r="A21" s="682"/>
      <c r="B21" s="678"/>
      <c r="C21" s="328"/>
      <c r="D21" s="328"/>
      <c r="E21" s="328">
        <f>E11</f>
        <v>0</v>
      </c>
      <c r="F21" s="328">
        <f>D21</f>
        <v>0</v>
      </c>
      <c r="G21" s="328">
        <f>G19</f>
        <v>0.26300000000000001</v>
      </c>
      <c r="H21" s="326">
        <f>ROUND((C21*D21+E21*F21)/1000*G21,4)</f>
        <v>0</v>
      </c>
      <c r="I21" s="318"/>
      <c r="J21" s="319"/>
      <c r="K21" s="319"/>
      <c r="L21" s="318"/>
      <c r="M21" s="318"/>
      <c r="N21" s="318"/>
      <c r="O21" s="318"/>
      <c r="P21" s="318"/>
    </row>
    <row r="22" spans="1:16" ht="18.95" customHeight="1">
      <c r="A22" s="676" t="s">
        <v>182</v>
      </c>
      <c r="B22" s="677"/>
      <c r="C22" s="349" t="s">
        <v>669</v>
      </c>
      <c r="D22" s="348">
        <f>ROUND((C19*D19+C20*D20+C21*D21+E19*F19+E20*F20+E21*F21)/1000,4)</f>
        <v>5.92</v>
      </c>
      <c r="E22" s="344"/>
      <c r="F22" s="344"/>
      <c r="G22" s="344"/>
      <c r="H22" s="335">
        <f>SUM(H19:H21)</f>
        <v>1.5569999999999999</v>
      </c>
      <c r="I22" s="318"/>
      <c r="J22" s="319">
        <v>160</v>
      </c>
      <c r="K22" s="319">
        <f>J22*D22/1000</f>
        <v>0.94720000000000004</v>
      </c>
      <c r="L22" s="318"/>
      <c r="M22" s="318"/>
      <c r="N22" s="318"/>
      <c r="O22" s="318"/>
      <c r="P22" s="318"/>
    </row>
    <row r="23" spans="1:16" ht="18.95" customHeight="1">
      <c r="A23" s="329" t="s">
        <v>36</v>
      </c>
      <c r="B23" s="334" t="s">
        <v>14</v>
      </c>
      <c r="C23" s="334" t="s">
        <v>37</v>
      </c>
      <c r="D23" s="334" t="s">
        <v>71</v>
      </c>
      <c r="E23" s="334" t="s">
        <v>38</v>
      </c>
      <c r="F23" s="334" t="s">
        <v>72</v>
      </c>
      <c r="G23" s="334" t="s">
        <v>22</v>
      </c>
      <c r="H23" s="330" t="s">
        <v>40</v>
      </c>
      <c r="I23" s="318"/>
      <c r="J23" s="319"/>
      <c r="K23" s="319"/>
      <c r="L23" s="318"/>
      <c r="M23" s="318"/>
      <c r="N23" s="318"/>
      <c r="O23" s="318"/>
      <c r="P23" s="318"/>
    </row>
    <row r="24" spans="1:16" ht="18.95" customHeight="1">
      <c r="A24" s="681" t="s">
        <v>673</v>
      </c>
      <c r="B24" s="678" t="s">
        <v>672</v>
      </c>
      <c r="C24" s="328">
        <f>C4</f>
        <v>580</v>
      </c>
      <c r="D24" s="332">
        <f>D4/60+1</f>
        <v>40.666666666666664</v>
      </c>
      <c r="E24" s="328">
        <v>0</v>
      </c>
      <c r="F24" s="328">
        <v>0</v>
      </c>
      <c r="G24" s="328">
        <v>0.34399999999999997</v>
      </c>
      <c r="H24" s="326">
        <f>ROUND((C24*D24+E24*F24)/1000*G24,4)</f>
        <v>8.1137999999999995</v>
      </c>
      <c r="I24" s="318"/>
      <c r="J24" s="319"/>
      <c r="K24" s="319"/>
      <c r="L24" s="318"/>
      <c r="M24" s="318"/>
      <c r="N24" s="318"/>
      <c r="O24" s="318"/>
      <c r="P24" s="318"/>
    </row>
    <row r="25" spans="1:16" ht="18.95" customHeight="1">
      <c r="A25" s="682"/>
      <c r="B25" s="678"/>
      <c r="C25" s="328">
        <v>0</v>
      </c>
      <c r="D25" s="328">
        <v>0</v>
      </c>
      <c r="E25" s="328">
        <v>0</v>
      </c>
      <c r="F25" s="328">
        <v>0</v>
      </c>
      <c r="G25" s="328">
        <f>G24</f>
        <v>0.34399999999999997</v>
      </c>
      <c r="H25" s="326">
        <f>ROUND((C25*D25+E25*F25)/1000*G25,4)</f>
        <v>0</v>
      </c>
      <c r="I25" s="318"/>
      <c r="J25" s="319"/>
      <c r="K25" s="319"/>
      <c r="L25" s="318"/>
      <c r="M25" s="318"/>
      <c r="N25" s="318"/>
      <c r="O25" s="318"/>
      <c r="P25" s="318"/>
    </row>
    <row r="26" spans="1:16" ht="18.95" customHeight="1">
      <c r="A26" s="682"/>
      <c r="B26" s="678"/>
      <c r="C26" s="328">
        <v>0</v>
      </c>
      <c r="D26" s="328">
        <v>0</v>
      </c>
      <c r="E26" s="328">
        <v>0</v>
      </c>
      <c r="F26" s="328">
        <v>0</v>
      </c>
      <c r="G26" s="328">
        <f>G24</f>
        <v>0.34399999999999997</v>
      </c>
      <c r="H26" s="326">
        <f>ROUND((C26*D26+E26*F26)/1000*G26,4)</f>
        <v>0</v>
      </c>
      <c r="I26" s="318"/>
      <c r="J26" s="319"/>
      <c r="K26" s="319"/>
      <c r="L26" s="318"/>
      <c r="M26" s="318"/>
      <c r="N26" s="318"/>
      <c r="O26" s="318"/>
      <c r="P26" s="318"/>
    </row>
    <row r="27" spans="1:16" ht="18.95" customHeight="1">
      <c r="A27" s="676" t="s">
        <v>182</v>
      </c>
      <c r="B27" s="677"/>
      <c r="C27" s="349" t="s">
        <v>669</v>
      </c>
      <c r="D27" s="348">
        <f>(C24*D24+C25*D25+C26*D26+E24*F24+E25*F25+E26*F26)/1000</f>
        <v>23.586666666666666</v>
      </c>
      <c r="E27" s="344"/>
      <c r="F27" s="344"/>
      <c r="G27" s="344"/>
      <c r="H27" s="335">
        <f>SUM(H24:H26)</f>
        <v>8.1137999999999995</v>
      </c>
      <c r="I27" s="318"/>
      <c r="J27" s="319">
        <v>200</v>
      </c>
      <c r="K27" s="319">
        <f>J27*D27/1000</f>
        <v>4.7173333333333334</v>
      </c>
      <c r="L27" s="318"/>
      <c r="M27" s="318"/>
      <c r="N27" s="318"/>
      <c r="O27" s="318"/>
      <c r="P27" s="318"/>
    </row>
    <row r="28" spans="1:16" ht="18.95" customHeight="1">
      <c r="A28" s="329" t="s">
        <v>36</v>
      </c>
      <c r="B28" s="334" t="s">
        <v>14</v>
      </c>
      <c r="C28" s="334" t="s">
        <v>37</v>
      </c>
      <c r="D28" s="334" t="s">
        <v>71</v>
      </c>
      <c r="E28" s="334" t="s">
        <v>38</v>
      </c>
      <c r="F28" s="334" t="s">
        <v>72</v>
      </c>
      <c r="G28" s="334" t="s">
        <v>22</v>
      </c>
      <c r="H28" s="330" t="s">
        <v>40</v>
      </c>
      <c r="I28" s="318"/>
      <c r="J28" s="319"/>
      <c r="K28" s="319"/>
      <c r="L28" s="318"/>
      <c r="M28" s="318"/>
      <c r="N28" s="318"/>
      <c r="O28" s="318"/>
      <c r="P28" s="318"/>
    </row>
    <row r="29" spans="1:16" ht="18.95" customHeight="1">
      <c r="A29" s="681" t="s">
        <v>671</v>
      </c>
      <c r="B29" s="678"/>
      <c r="C29" s="328"/>
      <c r="D29" s="332"/>
      <c r="E29" s="328">
        <f>D4</f>
        <v>2380</v>
      </c>
      <c r="F29" s="328"/>
      <c r="G29" s="328">
        <v>0.24299999999999999</v>
      </c>
      <c r="H29" s="326">
        <f>ROUND((C29*D29+E29*F29)/1000*G29,4)</f>
        <v>0</v>
      </c>
      <c r="I29" s="318"/>
      <c r="J29" s="319"/>
      <c r="K29" s="319"/>
      <c r="L29" s="318"/>
      <c r="M29" s="318"/>
      <c r="N29" s="318"/>
      <c r="O29" s="318"/>
      <c r="P29" s="318"/>
    </row>
    <row r="30" spans="1:16" ht="18.95" customHeight="1">
      <c r="A30" s="682"/>
      <c r="B30" s="678"/>
      <c r="C30" s="328">
        <v>0</v>
      </c>
      <c r="D30" s="328">
        <v>0</v>
      </c>
      <c r="E30" s="328">
        <v>0</v>
      </c>
      <c r="F30" s="328">
        <v>0</v>
      </c>
      <c r="G30" s="328">
        <f>G29</f>
        <v>0.24299999999999999</v>
      </c>
      <c r="H30" s="326">
        <f>ROUND((C30*D30+E30*F30)/1000*G30,4)</f>
        <v>0</v>
      </c>
      <c r="I30" s="318"/>
      <c r="J30" s="319"/>
      <c r="K30" s="319"/>
      <c r="L30" s="318"/>
      <c r="M30" s="318"/>
      <c r="N30" s="318"/>
      <c r="O30" s="318"/>
      <c r="P30" s="318"/>
    </row>
    <row r="31" spans="1:16" ht="18.95" customHeight="1">
      <c r="A31" s="682"/>
      <c r="B31" s="678"/>
      <c r="C31" s="328">
        <v>0</v>
      </c>
      <c r="D31" s="328">
        <v>0</v>
      </c>
      <c r="E31" s="328">
        <v>0</v>
      </c>
      <c r="F31" s="328">
        <v>0</v>
      </c>
      <c r="G31" s="328">
        <f>G29</f>
        <v>0.24299999999999999</v>
      </c>
      <c r="H31" s="326">
        <f>ROUND((C31*D31+E31*F31)/1000*G31,4)</f>
        <v>0</v>
      </c>
      <c r="I31" s="318"/>
      <c r="J31" s="319"/>
      <c r="K31" s="319"/>
      <c r="L31" s="318"/>
      <c r="M31" s="318"/>
      <c r="N31" s="318"/>
      <c r="O31" s="318"/>
      <c r="P31" s="318"/>
    </row>
    <row r="32" spans="1:16" ht="18.95" customHeight="1">
      <c r="A32" s="676" t="s">
        <v>182</v>
      </c>
      <c r="B32" s="677"/>
      <c r="C32" s="349" t="s">
        <v>669</v>
      </c>
      <c r="D32" s="348">
        <f>(C29*D29+C30*D30+C31*D31+E29*F29+E30*F30+E31*F31)/1000</f>
        <v>0</v>
      </c>
      <c r="E32" s="344"/>
      <c r="F32" s="344"/>
      <c r="G32" s="344"/>
      <c r="H32" s="335">
        <f>SUM(H29:H31)</f>
        <v>0</v>
      </c>
      <c r="I32" s="318"/>
      <c r="J32" s="319">
        <v>66</v>
      </c>
      <c r="K32" s="319">
        <f>J32*D32/1000</f>
        <v>0</v>
      </c>
      <c r="L32" s="318"/>
      <c r="M32" s="318"/>
      <c r="N32" s="318"/>
      <c r="O32" s="318"/>
      <c r="P32" s="318"/>
    </row>
    <row r="33" spans="1:16" ht="18.95" customHeight="1">
      <c r="A33" s="329" t="s">
        <v>36</v>
      </c>
      <c r="B33" s="334" t="s">
        <v>14</v>
      </c>
      <c r="C33" s="334" t="s">
        <v>37</v>
      </c>
      <c r="D33" s="334" t="s">
        <v>71</v>
      </c>
      <c r="E33" s="334" t="s">
        <v>38</v>
      </c>
      <c r="F33" s="334" t="s">
        <v>72</v>
      </c>
      <c r="G33" s="334" t="s">
        <v>22</v>
      </c>
      <c r="H33" s="330" t="s">
        <v>40</v>
      </c>
      <c r="I33" s="318"/>
      <c r="J33" s="319"/>
      <c r="K33" s="319"/>
      <c r="L33" s="318"/>
      <c r="M33" s="318"/>
      <c r="N33" s="318"/>
      <c r="O33" s="318"/>
      <c r="P33" s="318"/>
    </row>
    <row r="34" spans="1:16" ht="18.95" customHeight="1">
      <c r="A34" s="670" t="s">
        <v>670</v>
      </c>
      <c r="B34" s="678" t="s">
        <v>32</v>
      </c>
      <c r="C34" s="328"/>
      <c r="D34" s="332"/>
      <c r="E34" s="328"/>
      <c r="F34" s="328"/>
      <c r="G34" s="328">
        <v>1.0369999999999999</v>
      </c>
      <c r="H34" s="326">
        <f>ROUND((C34*D34+E34*F34)/1000*G34,4)</f>
        <v>0</v>
      </c>
      <c r="I34" s="318"/>
      <c r="J34" s="319"/>
      <c r="K34" s="319"/>
      <c r="L34" s="318"/>
      <c r="M34" s="318"/>
      <c r="N34" s="318"/>
      <c r="O34" s="318"/>
      <c r="P34" s="318"/>
    </row>
    <row r="35" spans="1:16" ht="18.95" customHeight="1">
      <c r="A35" s="671"/>
      <c r="B35" s="678"/>
      <c r="C35" s="328">
        <v>0</v>
      </c>
      <c r="D35" s="328">
        <v>0</v>
      </c>
      <c r="E35" s="328">
        <v>0</v>
      </c>
      <c r="F35" s="328">
        <v>0</v>
      </c>
      <c r="G35" s="328">
        <f>G34</f>
        <v>1.0369999999999999</v>
      </c>
      <c r="H35" s="326">
        <f>ROUND((C35*D35+E35*F35)/1000*G35,4)</f>
        <v>0</v>
      </c>
      <c r="I35" s="318"/>
      <c r="J35" s="319"/>
      <c r="K35" s="319"/>
      <c r="L35" s="318"/>
      <c r="M35" s="318"/>
      <c r="N35" s="318"/>
      <c r="O35" s="318"/>
      <c r="P35" s="318"/>
    </row>
    <row r="36" spans="1:16" ht="18.95" customHeight="1">
      <c r="A36" s="671"/>
      <c r="B36" s="678"/>
      <c r="C36" s="328">
        <v>0</v>
      </c>
      <c r="D36" s="328">
        <v>0</v>
      </c>
      <c r="E36" s="328">
        <v>0</v>
      </c>
      <c r="F36" s="328">
        <v>0</v>
      </c>
      <c r="G36" s="328">
        <f>G34</f>
        <v>1.0369999999999999</v>
      </c>
      <c r="H36" s="326">
        <f>ROUND((C36*D36+E36*F36)/1000*G36,4)</f>
        <v>0</v>
      </c>
      <c r="I36" s="318"/>
      <c r="J36" s="319"/>
      <c r="K36" s="319"/>
      <c r="L36" s="318"/>
      <c r="M36" s="318"/>
      <c r="N36" s="318"/>
      <c r="O36" s="318"/>
      <c r="P36" s="318"/>
    </row>
    <row r="37" spans="1:16" ht="18.95" customHeight="1">
      <c r="A37" s="679" t="s">
        <v>182</v>
      </c>
      <c r="B37" s="680"/>
      <c r="C37" s="349" t="s">
        <v>669</v>
      </c>
      <c r="D37" s="348">
        <f>(C34*D34+C35*D35+C36*D36+E34*F34+E35*F35+E36*F36)/1000</f>
        <v>0</v>
      </c>
      <c r="E37" s="344"/>
      <c r="F37" s="344"/>
      <c r="G37" s="344"/>
      <c r="H37" s="335">
        <f>SUM(H34:H36)</f>
        <v>0</v>
      </c>
      <c r="I37" s="318"/>
      <c r="J37" s="319">
        <v>200</v>
      </c>
      <c r="K37" s="319">
        <f>J37*D37/1000</f>
        <v>0</v>
      </c>
      <c r="L37" s="318"/>
      <c r="M37" s="318"/>
      <c r="N37" s="318"/>
      <c r="O37" s="318"/>
      <c r="P37" s="318"/>
    </row>
    <row r="38" spans="1:16" ht="18.95" customHeight="1">
      <c r="A38" s="336" t="s">
        <v>668</v>
      </c>
      <c r="B38" s="336">
        <f>材料价格!B4</f>
        <v>22081.5</v>
      </c>
      <c r="C38" s="346" t="s">
        <v>667</v>
      </c>
      <c r="D38" s="348">
        <f>(H12+H22+H27+H17+H32+H37)*1.13</f>
        <v>18.233001999999995</v>
      </c>
      <c r="E38" s="344" t="s">
        <v>666</v>
      </c>
      <c r="F38" s="348">
        <f>(B38+B39)/1000</f>
        <v>24.9815</v>
      </c>
      <c r="G38" s="344" t="s">
        <v>665</v>
      </c>
      <c r="H38" s="335">
        <f>ROUND(D38*F38,2)+M38</f>
        <v>998.64893333333328</v>
      </c>
      <c r="I38" s="318"/>
      <c r="J38" s="347"/>
      <c r="K38" s="342">
        <f>K27+K22+K12+K17+K32+K37</f>
        <v>7.4405333333333328</v>
      </c>
      <c r="L38" s="341">
        <v>73</v>
      </c>
      <c r="M38" s="341">
        <f>K38*L38</f>
        <v>543.15893333333327</v>
      </c>
      <c r="N38" s="318"/>
      <c r="O38" s="318"/>
      <c r="P38" s="318"/>
    </row>
    <row r="39" spans="1:16" ht="18.95" customHeight="1">
      <c r="A39" s="336" t="s">
        <v>664</v>
      </c>
      <c r="B39" s="336">
        <f>材料价格!B9</f>
        <v>2900</v>
      </c>
      <c r="C39" s="346"/>
      <c r="D39" s="343"/>
      <c r="E39" s="345"/>
      <c r="F39" s="344"/>
      <c r="G39" s="343"/>
      <c r="H39" s="335"/>
      <c r="I39" s="318"/>
      <c r="J39" s="342"/>
      <c r="K39" s="341"/>
      <c r="L39" s="341"/>
      <c r="M39" s="341"/>
      <c r="N39" s="318"/>
      <c r="O39" s="318"/>
      <c r="P39" s="318"/>
    </row>
    <row r="40" spans="1:16" ht="18.95" customHeight="1">
      <c r="A40" s="340" t="s">
        <v>112</v>
      </c>
      <c r="B40" s="339" t="s">
        <v>663</v>
      </c>
      <c r="C40" s="334" t="s">
        <v>662</v>
      </c>
      <c r="D40" s="328"/>
      <c r="E40" s="328"/>
      <c r="F40" s="334" t="s">
        <v>8</v>
      </c>
      <c r="G40" s="334" t="s">
        <v>22</v>
      </c>
      <c r="H40" s="330" t="s">
        <v>40</v>
      </c>
      <c r="I40" s="318"/>
      <c r="J40" s="319"/>
      <c r="K40" s="318"/>
      <c r="L40" s="318"/>
      <c r="M40" s="318"/>
      <c r="N40" s="318"/>
      <c r="O40" s="318"/>
      <c r="P40" s="318"/>
    </row>
    <row r="41" spans="1:16" ht="18.95" customHeight="1">
      <c r="A41" s="329" t="s">
        <v>302</v>
      </c>
      <c r="B41" s="328"/>
      <c r="C41" s="328">
        <v>40</v>
      </c>
      <c r="D41" s="328"/>
      <c r="E41" s="328"/>
      <c r="F41" s="328">
        <f>F9*4</f>
        <v>4</v>
      </c>
      <c r="G41" s="328">
        <v>2.11</v>
      </c>
      <c r="H41" s="326">
        <f t="shared" ref="H41:H47" si="0">ROUND(C41*F41*G41/1000,4)</f>
        <v>0.33760000000000001</v>
      </c>
      <c r="I41" s="318"/>
      <c r="J41" s="319"/>
      <c r="K41" s="318"/>
      <c r="L41" s="318"/>
      <c r="M41" s="318"/>
      <c r="N41" s="318"/>
      <c r="O41" s="318"/>
      <c r="P41" s="318"/>
    </row>
    <row r="42" spans="1:16" ht="18.95" customHeight="1">
      <c r="A42" s="670" t="s">
        <v>661</v>
      </c>
      <c r="B42" s="672"/>
      <c r="C42" s="328">
        <f>C41</f>
        <v>40</v>
      </c>
      <c r="D42" s="328"/>
      <c r="E42" s="328"/>
      <c r="F42" s="328">
        <f>F17*4</f>
        <v>4</v>
      </c>
      <c r="G42" s="328">
        <v>0.82</v>
      </c>
      <c r="H42" s="326">
        <f t="shared" si="0"/>
        <v>0.13120000000000001</v>
      </c>
      <c r="I42" s="318"/>
      <c r="J42" s="319"/>
      <c r="K42" s="318"/>
      <c r="L42" s="318"/>
      <c r="M42" s="318"/>
      <c r="N42" s="318"/>
      <c r="O42" s="318"/>
      <c r="P42" s="318"/>
    </row>
    <row r="43" spans="1:16" ht="18.95" customHeight="1">
      <c r="A43" s="671"/>
      <c r="B43" s="673"/>
      <c r="C43" s="328">
        <v>0</v>
      </c>
      <c r="D43" s="328"/>
      <c r="E43" s="328"/>
      <c r="F43" s="328">
        <v>0</v>
      </c>
      <c r="G43" s="328">
        <v>0</v>
      </c>
      <c r="H43" s="326">
        <f t="shared" si="0"/>
        <v>0</v>
      </c>
      <c r="I43" s="318"/>
      <c r="J43" s="319">
        <f>H38/D38</f>
        <v>54.771503526042146</v>
      </c>
      <c r="K43" s="318"/>
      <c r="L43" s="318"/>
      <c r="M43" s="318"/>
      <c r="N43" s="318"/>
      <c r="O43" s="318"/>
      <c r="P43" s="318"/>
    </row>
    <row r="44" spans="1:16" ht="18.95" customHeight="1">
      <c r="A44" s="670" t="s">
        <v>660</v>
      </c>
      <c r="B44" s="672"/>
      <c r="C44" s="328">
        <v>0</v>
      </c>
      <c r="D44" s="328"/>
      <c r="E44" s="328"/>
      <c r="F44" s="328">
        <v>0</v>
      </c>
      <c r="G44" s="328">
        <v>0</v>
      </c>
      <c r="H44" s="326">
        <f t="shared" si="0"/>
        <v>0</v>
      </c>
      <c r="I44" s="318"/>
      <c r="J44" s="319"/>
      <c r="K44" s="318"/>
      <c r="L44" s="318"/>
      <c r="M44" s="318"/>
      <c r="N44" s="318"/>
      <c r="O44" s="318"/>
      <c r="P44" s="318"/>
    </row>
    <row r="45" spans="1:16" ht="18.95" customHeight="1">
      <c r="A45" s="671"/>
      <c r="B45" s="673"/>
      <c r="C45" s="328">
        <v>0</v>
      </c>
      <c r="D45" s="328"/>
      <c r="E45" s="328"/>
      <c r="F45" s="328">
        <v>0</v>
      </c>
      <c r="G45" s="328">
        <v>0</v>
      </c>
      <c r="H45" s="326">
        <f t="shared" si="0"/>
        <v>0</v>
      </c>
      <c r="I45" s="318"/>
      <c r="J45" s="319"/>
      <c r="K45" s="318"/>
      <c r="L45" s="318"/>
      <c r="M45" s="318"/>
      <c r="N45" s="318"/>
      <c r="O45" s="318"/>
      <c r="P45" s="318"/>
    </row>
    <row r="46" spans="1:16" ht="18.95" customHeight="1">
      <c r="A46" s="329" t="s">
        <v>303</v>
      </c>
      <c r="B46" s="328"/>
      <c r="C46" s="328">
        <v>0</v>
      </c>
      <c r="D46" s="328"/>
      <c r="E46" s="328"/>
      <c r="F46" s="328">
        <v>0</v>
      </c>
      <c r="G46" s="328">
        <v>0</v>
      </c>
      <c r="H46" s="326">
        <f t="shared" si="0"/>
        <v>0</v>
      </c>
      <c r="I46" s="318"/>
      <c r="J46" s="319"/>
      <c r="K46" s="318"/>
      <c r="L46" s="318"/>
      <c r="M46" s="318"/>
      <c r="N46" s="318"/>
      <c r="O46" s="318"/>
      <c r="P46" s="318"/>
    </row>
    <row r="47" spans="1:16" ht="18.95" customHeight="1">
      <c r="A47" s="329" t="s">
        <v>659</v>
      </c>
      <c r="B47" s="328"/>
      <c r="C47" s="328">
        <v>0</v>
      </c>
      <c r="D47" s="328"/>
      <c r="E47" s="328"/>
      <c r="F47" s="328">
        <v>0</v>
      </c>
      <c r="G47" s="328">
        <v>0</v>
      </c>
      <c r="H47" s="326">
        <f t="shared" si="0"/>
        <v>0</v>
      </c>
      <c r="I47" s="338"/>
      <c r="J47" s="319"/>
      <c r="L47" s="318"/>
      <c r="M47" s="318"/>
      <c r="N47" s="318"/>
      <c r="O47" s="318"/>
      <c r="P47" s="318"/>
    </row>
    <row r="48" spans="1:16" ht="18.95" customHeight="1">
      <c r="A48" s="336" t="s">
        <v>658</v>
      </c>
      <c r="B48" s="336">
        <f>材料价格!B9</f>
        <v>2900</v>
      </c>
      <c r="C48" s="336" t="s">
        <v>657</v>
      </c>
      <c r="D48" s="337">
        <f>SUM(H41:H47)*1.06</f>
        <v>0.49692800000000004</v>
      </c>
      <c r="E48" s="336" t="s">
        <v>656</v>
      </c>
      <c r="F48" s="336">
        <f>(B38+B48)/1000</f>
        <v>24.9815</v>
      </c>
      <c r="G48" s="336" t="s">
        <v>655</v>
      </c>
      <c r="H48" s="335">
        <f>ROUND(D48*F48,4)</f>
        <v>12.414</v>
      </c>
      <c r="I48" s="318"/>
      <c r="J48" s="319"/>
      <c r="L48" s="318"/>
      <c r="M48" s="318"/>
      <c r="N48" s="318"/>
      <c r="O48" s="318"/>
      <c r="P48" s="318"/>
    </row>
    <row r="49" spans="1:17" ht="18.95" customHeight="1">
      <c r="A49" s="329" t="s">
        <v>187</v>
      </c>
      <c r="B49" s="334" t="s">
        <v>113</v>
      </c>
      <c r="C49" s="334" t="s">
        <v>8</v>
      </c>
      <c r="D49" s="328"/>
      <c r="E49" s="328"/>
      <c r="F49" s="334" t="s">
        <v>28</v>
      </c>
      <c r="G49" s="334" t="s">
        <v>160</v>
      </c>
      <c r="H49" s="326"/>
      <c r="I49" s="318"/>
      <c r="J49" s="319"/>
      <c r="K49" s="318"/>
      <c r="L49" s="318"/>
      <c r="M49" s="318"/>
      <c r="N49" s="318"/>
      <c r="O49" s="318"/>
      <c r="P49" s="318"/>
    </row>
    <row r="50" spans="1:17" ht="18.95" customHeight="1">
      <c r="A50" s="329" t="s">
        <v>654</v>
      </c>
      <c r="B50" s="327"/>
      <c r="C50" s="328">
        <v>1</v>
      </c>
      <c r="D50" s="327"/>
      <c r="E50" s="327"/>
      <c r="F50" s="327">
        <v>15</v>
      </c>
      <c r="G50" s="327">
        <f>C50*F50</f>
        <v>15</v>
      </c>
      <c r="H50" s="330" t="s">
        <v>653</v>
      </c>
      <c r="I50" s="318"/>
      <c r="J50" s="319"/>
      <c r="K50" s="318"/>
      <c r="L50" s="318"/>
      <c r="M50" s="318"/>
      <c r="N50" s="318"/>
      <c r="O50" s="318"/>
      <c r="P50" s="318"/>
    </row>
    <row r="51" spans="1:17" ht="18.95" customHeight="1">
      <c r="A51" s="329" t="s">
        <v>652</v>
      </c>
      <c r="B51" s="327"/>
      <c r="C51" s="333">
        <f>(ROUND((C3-150)/350,0)+1+ROUND((D3-150)/350,0)+1)*2</f>
        <v>18</v>
      </c>
      <c r="D51" s="327"/>
      <c r="E51" s="327"/>
      <c r="F51" s="327">
        <v>1</v>
      </c>
      <c r="G51" s="327">
        <f>C51*F51</f>
        <v>18</v>
      </c>
      <c r="H51" s="326" t="s">
        <v>651</v>
      </c>
      <c r="I51" s="318"/>
      <c r="J51" s="319"/>
      <c r="K51" s="318"/>
      <c r="L51" s="318"/>
      <c r="M51" s="318"/>
      <c r="N51" s="318"/>
      <c r="O51" s="318"/>
      <c r="P51" s="318"/>
    </row>
    <row r="52" spans="1:17" ht="18.95" customHeight="1">
      <c r="A52" s="329" t="s">
        <v>246</v>
      </c>
      <c r="B52" s="327"/>
      <c r="C52" s="332">
        <f>(D24+D25+D26)*4*1.5</f>
        <v>244</v>
      </c>
      <c r="D52" s="327"/>
      <c r="E52" s="327"/>
      <c r="F52" s="327">
        <v>0.03</v>
      </c>
      <c r="G52" s="327">
        <f>C52*F52</f>
        <v>7.3199999999999994</v>
      </c>
      <c r="H52" s="326"/>
      <c r="I52" s="318"/>
      <c r="J52" s="319"/>
      <c r="K52" s="318"/>
      <c r="L52" s="318"/>
      <c r="M52" s="318"/>
      <c r="N52" s="318"/>
      <c r="O52" s="318"/>
      <c r="P52" s="318"/>
    </row>
    <row r="53" spans="1:17" ht="18.95" customHeight="1">
      <c r="A53" s="329" t="s">
        <v>216</v>
      </c>
      <c r="B53" s="327">
        <v>4</v>
      </c>
      <c r="C53" s="327"/>
      <c r="D53" s="327"/>
      <c r="E53" s="327"/>
      <c r="F53" s="327">
        <v>0.5</v>
      </c>
      <c r="G53" s="327">
        <f>ROUND(B53*F53,2)</f>
        <v>2</v>
      </c>
      <c r="H53" s="326"/>
      <c r="I53" s="318"/>
      <c r="J53" s="319"/>
      <c r="K53" s="318"/>
      <c r="L53" s="318"/>
      <c r="M53" s="318"/>
      <c r="N53" s="318"/>
      <c r="O53" s="318"/>
      <c r="P53" s="318"/>
    </row>
    <row r="54" spans="1:17" ht="18.95" customHeight="1">
      <c r="A54" s="329" t="s">
        <v>641</v>
      </c>
      <c r="B54" s="327">
        <f>ROUND((C3+D3)*2/1000,2)</f>
        <v>6</v>
      </c>
      <c r="C54" s="327"/>
      <c r="D54" s="327">
        <f>500/300*2.5</f>
        <v>4.166666666666667</v>
      </c>
      <c r="E54" s="327">
        <f>材料价格!B25</f>
        <v>8.52</v>
      </c>
      <c r="F54" s="327">
        <f>E54/D54</f>
        <v>2.0448</v>
      </c>
      <c r="G54" s="327">
        <f>ROUND(B54*F54,2)</f>
        <v>12.27</v>
      </c>
      <c r="H54" s="326"/>
      <c r="I54" s="319">
        <f>G54/10/D62</f>
        <v>0.8520833333333333</v>
      </c>
      <c r="J54" s="319"/>
      <c r="K54" s="318"/>
      <c r="L54" s="318"/>
      <c r="M54" s="318"/>
      <c r="N54" s="318"/>
      <c r="O54" s="318"/>
      <c r="P54" s="318"/>
    </row>
    <row r="55" spans="1:17" ht="18.95" customHeight="1">
      <c r="A55" s="329" t="s">
        <v>221</v>
      </c>
      <c r="B55" s="327">
        <f>ROUND((C3+D3)*2/1000,2)</f>
        <v>6</v>
      </c>
      <c r="C55" s="327"/>
      <c r="D55" s="327">
        <v>10</v>
      </c>
      <c r="E55" s="327">
        <f>材料价格!B26</f>
        <v>23</v>
      </c>
      <c r="F55" s="327">
        <f>E55/D55</f>
        <v>2.2999999999999998</v>
      </c>
      <c r="G55" s="327">
        <f>ROUND(B55*F55,2)</f>
        <v>13.8</v>
      </c>
      <c r="H55" s="326"/>
      <c r="I55" s="319">
        <f>G55/21.5/D62</f>
        <v>0.4457364341085272</v>
      </c>
      <c r="J55" s="319"/>
      <c r="K55" s="318"/>
      <c r="L55" s="318"/>
      <c r="M55" s="318"/>
      <c r="N55" s="318"/>
      <c r="O55" s="318"/>
      <c r="P55" s="318"/>
    </row>
    <row r="56" spans="1:17" ht="18.95" customHeight="1">
      <c r="A56" s="329" t="s">
        <v>213</v>
      </c>
      <c r="B56" s="327">
        <f>E3</f>
        <v>1.44</v>
      </c>
      <c r="C56" s="327"/>
      <c r="D56" s="327"/>
      <c r="E56" s="327"/>
      <c r="F56" s="327">
        <v>8</v>
      </c>
      <c r="G56" s="327">
        <f>ROUND(B56*F56,2)</f>
        <v>11.52</v>
      </c>
      <c r="H56" s="326"/>
      <c r="I56" s="318"/>
      <c r="J56" s="319"/>
      <c r="K56" s="318"/>
      <c r="L56" s="318"/>
      <c r="M56" s="318"/>
      <c r="N56" s="318"/>
      <c r="O56" s="318"/>
      <c r="P56" s="318"/>
    </row>
    <row r="57" spans="1:17" ht="18.95" customHeight="1">
      <c r="A57" s="329" t="s">
        <v>650</v>
      </c>
      <c r="B57" s="327">
        <f>G3</f>
        <v>1.44</v>
      </c>
      <c r="C57" s="327"/>
      <c r="D57" s="327"/>
      <c r="E57" s="327"/>
      <c r="F57" s="327"/>
      <c r="G57" s="327">
        <f>ROUND(B57*F57,2)</f>
        <v>0</v>
      </c>
      <c r="H57" s="330"/>
      <c r="I57" s="318"/>
      <c r="J57" s="319"/>
      <c r="K57" s="318"/>
      <c r="L57" s="318"/>
      <c r="M57" s="318"/>
      <c r="N57" s="318"/>
      <c r="O57" s="318"/>
      <c r="P57" s="318"/>
    </row>
    <row r="58" spans="1:17" ht="18.95" customHeight="1">
      <c r="A58" s="329" t="s">
        <v>649</v>
      </c>
      <c r="B58" s="327"/>
      <c r="C58" s="327">
        <f>E3</f>
        <v>1.44</v>
      </c>
      <c r="D58" s="327"/>
      <c r="E58" s="327"/>
      <c r="F58" s="327"/>
      <c r="G58" s="327">
        <f>ROUND(C58*F58,2)</f>
        <v>0</v>
      </c>
      <c r="H58" s="330" t="s">
        <v>647</v>
      </c>
      <c r="I58" s="318"/>
      <c r="J58" s="319"/>
      <c r="K58" s="318"/>
      <c r="L58" s="318"/>
      <c r="M58" s="318"/>
      <c r="N58" s="318"/>
      <c r="O58" s="318"/>
      <c r="P58" s="318"/>
    </row>
    <row r="59" spans="1:17" ht="18.95" customHeight="1">
      <c r="A59" s="329" t="s">
        <v>648</v>
      </c>
      <c r="B59" s="327"/>
      <c r="C59" s="327">
        <f>D4/1000</f>
        <v>2.38</v>
      </c>
      <c r="D59" s="331">
        <v>0.25900000000000001</v>
      </c>
      <c r="E59" s="327"/>
      <c r="F59" s="327"/>
      <c r="G59" s="327">
        <f>ROUND(C59*D59*F59,2)</f>
        <v>0</v>
      </c>
      <c r="H59" s="330" t="s">
        <v>647</v>
      </c>
      <c r="I59" s="318"/>
      <c r="J59" s="319"/>
      <c r="K59" s="318"/>
      <c r="L59" s="318"/>
      <c r="M59" s="318"/>
      <c r="N59" s="318"/>
      <c r="O59" s="318"/>
      <c r="P59" s="318"/>
    </row>
    <row r="60" spans="1:17" ht="18.95" customHeight="1">
      <c r="A60" s="156" t="s">
        <v>901</v>
      </c>
      <c r="B60" s="157"/>
      <c r="C60" s="463">
        <f>(C3+D3)*2/1000</f>
        <v>6</v>
      </c>
      <c r="D60" s="148"/>
      <c r="E60" s="148"/>
      <c r="F60" s="148">
        <v>45</v>
      </c>
      <c r="G60" s="154">
        <f>ROUND(C60*F60,2)</f>
        <v>270</v>
      </c>
      <c r="H60" s="330"/>
      <c r="I60" s="318"/>
      <c r="J60" s="319"/>
      <c r="K60" s="318"/>
      <c r="L60" s="318"/>
      <c r="M60" s="318"/>
      <c r="N60" s="318"/>
      <c r="O60" s="318"/>
      <c r="P60" s="318"/>
    </row>
    <row r="61" spans="1:17" ht="18.95" customHeight="1">
      <c r="A61" s="329" t="s">
        <v>257</v>
      </c>
      <c r="B61" s="328"/>
      <c r="C61" s="328"/>
      <c r="D61" s="328"/>
      <c r="E61" s="328"/>
      <c r="F61" s="327"/>
      <c r="G61" s="327">
        <f>SUM(G50:G60)</f>
        <v>349.90999999999997</v>
      </c>
      <c r="H61" s="326"/>
      <c r="I61" s="318"/>
      <c r="J61" s="319"/>
      <c r="K61" s="318"/>
      <c r="L61" s="318"/>
      <c r="M61" s="318"/>
      <c r="N61" s="318"/>
      <c r="O61" s="318"/>
      <c r="P61" s="318"/>
    </row>
    <row r="62" spans="1:17" ht="18.95" customHeight="1" thickBot="1">
      <c r="A62" s="325" t="s">
        <v>646</v>
      </c>
      <c r="B62" s="324">
        <f>H6+H38+H48+G61</f>
        <v>1445.1429333333331</v>
      </c>
      <c r="C62" s="322" t="s">
        <v>18</v>
      </c>
      <c r="D62" s="323">
        <f>G3</f>
        <v>1.44</v>
      </c>
      <c r="E62" s="323"/>
      <c r="F62" s="322" t="s">
        <v>28</v>
      </c>
      <c r="G62" s="321">
        <f>ROUND(B62/D62,0)</f>
        <v>1004</v>
      </c>
      <c r="H62" s="320">
        <f>P86</f>
        <v>897.50978857916664</v>
      </c>
      <c r="I62" s="318">
        <f>C50</f>
        <v>1</v>
      </c>
      <c r="J62" s="631" t="s">
        <v>603</v>
      </c>
      <c r="K62" s="631"/>
      <c r="L62" s="631"/>
      <c r="M62" s="631"/>
      <c r="N62" s="631"/>
      <c r="O62" s="631"/>
      <c r="P62" s="631"/>
      <c r="Q62" s="631"/>
    </row>
    <row r="63" spans="1:17" ht="22.5" customHeight="1" thickTop="1">
      <c r="A63" s="674" t="s">
        <v>645</v>
      </c>
      <c r="B63" s="675"/>
      <c r="C63" s="675"/>
      <c r="D63" s="675"/>
      <c r="E63" s="675"/>
      <c r="F63" s="675"/>
      <c r="G63" s="675"/>
      <c r="H63" s="675"/>
      <c r="J63" s="634" t="s">
        <v>604</v>
      </c>
      <c r="K63" s="634"/>
      <c r="L63" s="634"/>
      <c r="M63" s="634"/>
      <c r="N63" s="634"/>
      <c r="O63" s="634"/>
      <c r="P63" s="634"/>
      <c r="Q63" s="634"/>
    </row>
    <row r="64" spans="1:17" ht="22.5" customHeight="1">
      <c r="A64" s="675" t="s">
        <v>644</v>
      </c>
      <c r="B64" s="675"/>
      <c r="C64" s="675"/>
      <c r="D64" s="675"/>
      <c r="E64" s="675"/>
      <c r="F64" s="675"/>
      <c r="G64" s="675"/>
      <c r="H64" s="675"/>
      <c r="J64" s="285" t="s">
        <v>279</v>
      </c>
      <c r="K64" s="624" t="s">
        <v>693</v>
      </c>
      <c r="L64" s="625"/>
      <c r="M64" s="312" t="str">
        <f ca="1">B3</f>
        <v>BYC0624</v>
      </c>
      <c r="N64" s="312"/>
      <c r="O64" s="313"/>
      <c r="P64" s="287" t="s">
        <v>605</v>
      </c>
      <c r="Q64" s="288"/>
    </row>
    <row r="65" spans="1:17" ht="30.75" customHeight="1">
      <c r="A65" s="675" t="s">
        <v>643</v>
      </c>
      <c r="B65" s="675"/>
      <c r="C65" s="675"/>
      <c r="D65" s="675"/>
      <c r="E65" s="675"/>
      <c r="F65" s="675"/>
      <c r="G65" s="675"/>
      <c r="H65" s="675"/>
      <c r="J65" s="635" t="s">
        <v>606</v>
      </c>
      <c r="K65" s="623" t="s">
        <v>626</v>
      </c>
      <c r="L65" s="623"/>
      <c r="M65" s="623"/>
      <c r="N65" s="623"/>
      <c r="O65" s="637"/>
      <c r="P65" s="291" t="s">
        <v>607</v>
      </c>
      <c r="Q65" s="292" t="s">
        <v>313</v>
      </c>
    </row>
    <row r="66" spans="1:17" ht="30.75" customHeight="1">
      <c r="A66" s="317"/>
      <c r="B66" s="317"/>
      <c r="C66" s="317"/>
      <c r="D66" s="317"/>
      <c r="E66" s="317"/>
      <c r="F66" s="317"/>
      <c r="G66" s="317"/>
      <c r="H66" s="317"/>
      <c r="J66" s="636"/>
      <c r="K66" s="638"/>
      <c r="L66" s="638"/>
      <c r="M66" s="638"/>
      <c r="N66" s="638"/>
      <c r="O66" s="638"/>
      <c r="P66" s="291" t="s">
        <v>268</v>
      </c>
      <c r="Q66" s="293">
        <f>E3</f>
        <v>1.44</v>
      </c>
    </row>
    <row r="67" spans="1:17" ht="22.5" customHeight="1">
      <c r="A67" s="675"/>
      <c r="B67" s="675"/>
      <c r="C67" s="675"/>
      <c r="D67" s="675"/>
      <c r="E67" s="675"/>
      <c r="F67" s="675"/>
      <c r="G67" s="675"/>
      <c r="H67" s="675"/>
      <c r="J67" s="311" t="s">
        <v>0</v>
      </c>
      <c r="K67" s="289" t="s">
        <v>608</v>
      </c>
      <c r="L67" s="289" t="s">
        <v>627</v>
      </c>
      <c r="M67" s="289" t="s">
        <v>269</v>
      </c>
      <c r="N67" s="294" t="s">
        <v>8</v>
      </c>
      <c r="O67" s="295" t="s">
        <v>609</v>
      </c>
      <c r="P67" s="296" t="s">
        <v>270</v>
      </c>
      <c r="Q67" s="295" t="s">
        <v>610</v>
      </c>
    </row>
    <row r="68" spans="1:17" ht="22.5" customHeight="1">
      <c r="J68" s="297" t="s">
        <v>305</v>
      </c>
      <c r="K68" s="298" t="s">
        <v>611</v>
      </c>
      <c r="L68" s="298"/>
      <c r="M68" s="286"/>
      <c r="N68" s="299"/>
      <c r="O68" s="300"/>
      <c r="P68" s="301">
        <f>SUM(P69:P77)</f>
        <v>817.81174629499992</v>
      </c>
      <c r="Q68" s="286"/>
    </row>
    <row r="69" spans="1:17" ht="22.5" customHeight="1">
      <c r="J69" s="286">
        <v>1</v>
      </c>
      <c r="K69" s="302" t="s">
        <v>612</v>
      </c>
      <c r="L69" s="307"/>
      <c r="M69" s="286" t="s">
        <v>271</v>
      </c>
      <c r="N69" s="303">
        <f>D38+D48</f>
        <v>18.729929999999996</v>
      </c>
      <c r="O69" s="304">
        <f>F38</f>
        <v>24.9815</v>
      </c>
      <c r="P69" s="305">
        <f t="shared" ref="P69:P77" si="1">O69*N69</f>
        <v>467.9017462949999</v>
      </c>
      <c r="Q69" s="306"/>
    </row>
    <row r="70" spans="1:17" ht="22.5" customHeight="1">
      <c r="J70" s="286">
        <v>2</v>
      </c>
      <c r="K70" s="290" t="s">
        <v>613</v>
      </c>
      <c r="L70" s="307"/>
      <c r="M70" s="286" t="s">
        <v>276</v>
      </c>
      <c r="N70" s="303"/>
      <c r="O70" s="304">
        <f>B52</f>
        <v>0</v>
      </c>
      <c r="P70" s="305">
        <f t="shared" si="1"/>
        <v>0</v>
      </c>
      <c r="Q70" s="306"/>
    </row>
    <row r="71" spans="1:17" ht="22.5" customHeight="1">
      <c r="J71" s="286">
        <v>3</v>
      </c>
      <c r="K71" s="302" t="s">
        <v>636</v>
      </c>
      <c r="L71" s="302"/>
      <c r="M71" s="286" t="s">
        <v>312</v>
      </c>
      <c r="N71" s="303"/>
      <c r="O71" s="304"/>
      <c r="P71" s="305">
        <f t="shared" si="1"/>
        <v>0</v>
      </c>
      <c r="Q71" s="306"/>
    </row>
    <row r="72" spans="1:17" ht="22.5" customHeight="1">
      <c r="J72" s="286">
        <v>4</v>
      </c>
      <c r="K72" s="302" t="s">
        <v>615</v>
      </c>
      <c r="L72" s="306"/>
      <c r="M72" s="286" t="s">
        <v>278</v>
      </c>
      <c r="N72" s="303">
        <f>G54/E54</f>
        <v>1.4401408450704225</v>
      </c>
      <c r="O72" s="304">
        <f>E54</f>
        <v>8.52</v>
      </c>
      <c r="P72" s="305">
        <f t="shared" si="1"/>
        <v>12.27</v>
      </c>
      <c r="Q72" s="306"/>
    </row>
    <row r="73" spans="1:17" ht="22.5" customHeight="1">
      <c r="J73" s="286">
        <v>5</v>
      </c>
      <c r="K73" s="306" t="s">
        <v>616</v>
      </c>
      <c r="L73" s="302"/>
      <c r="M73" s="286" t="s">
        <v>628</v>
      </c>
      <c r="N73" s="303">
        <f>C31/21</f>
        <v>0</v>
      </c>
      <c r="O73" s="304"/>
      <c r="P73" s="305">
        <f t="shared" si="1"/>
        <v>0</v>
      </c>
      <c r="Q73" s="306"/>
    </row>
    <row r="74" spans="1:17" ht="22.5" customHeight="1">
      <c r="J74" s="286">
        <v>6</v>
      </c>
      <c r="K74" s="302" t="s">
        <v>319</v>
      </c>
      <c r="L74" s="302"/>
      <c r="M74" s="286" t="s">
        <v>273</v>
      </c>
      <c r="N74" s="303"/>
      <c r="O74" s="304"/>
      <c r="P74" s="305">
        <f t="shared" si="1"/>
        <v>0</v>
      </c>
      <c r="Q74" s="306"/>
    </row>
    <row r="75" spans="1:17" ht="22.5" customHeight="1">
      <c r="J75" s="286">
        <v>7</v>
      </c>
      <c r="K75" s="302" t="s">
        <v>295</v>
      </c>
      <c r="L75" s="302"/>
      <c r="M75" s="286" t="s">
        <v>273</v>
      </c>
      <c r="N75" s="303"/>
      <c r="O75" s="304"/>
      <c r="P75" s="305">
        <f t="shared" si="1"/>
        <v>0</v>
      </c>
      <c r="Q75" s="306"/>
    </row>
    <row r="76" spans="1:17" ht="22.5" customHeight="1">
      <c r="J76" s="286">
        <v>8</v>
      </c>
      <c r="K76" s="302" t="s">
        <v>296</v>
      </c>
      <c r="L76" s="302"/>
      <c r="M76" s="286" t="s">
        <v>273</v>
      </c>
      <c r="N76" s="303"/>
      <c r="O76" s="304"/>
      <c r="P76" s="305">
        <f t="shared" si="1"/>
        <v>0</v>
      </c>
      <c r="Q76" s="306"/>
    </row>
    <row r="77" spans="1:17" ht="22.5" customHeight="1">
      <c r="J77" s="286">
        <v>9</v>
      </c>
      <c r="K77" s="302" t="s">
        <v>617</v>
      </c>
      <c r="L77" s="302"/>
      <c r="M77" s="286" t="s">
        <v>618</v>
      </c>
      <c r="N77" s="296">
        <v>1</v>
      </c>
      <c r="O77" s="304">
        <f>G61-G54</f>
        <v>337.64</v>
      </c>
      <c r="P77" s="305">
        <f t="shared" si="1"/>
        <v>337.64</v>
      </c>
      <c r="Q77" s="306"/>
    </row>
    <row r="78" spans="1:17" ht="22.5" customHeight="1">
      <c r="J78" s="297" t="s">
        <v>306</v>
      </c>
      <c r="K78" s="308" t="s">
        <v>314</v>
      </c>
      <c r="L78" s="298"/>
      <c r="M78" s="286"/>
      <c r="N78" s="296"/>
      <c r="O78" s="309"/>
      <c r="P78" s="301">
        <f>SUM(P79:P80)</f>
        <v>230.39999999999998</v>
      </c>
      <c r="Q78" s="286"/>
    </row>
    <row r="79" spans="1:17" ht="22.5" customHeight="1">
      <c r="J79" s="286">
        <v>1</v>
      </c>
      <c r="K79" s="307" t="s">
        <v>619</v>
      </c>
      <c r="L79" s="307"/>
      <c r="M79" s="300" t="s">
        <v>312</v>
      </c>
      <c r="N79" s="296">
        <f>Q66</f>
        <v>1.44</v>
      </c>
      <c r="O79" s="310">
        <v>60</v>
      </c>
      <c r="P79" s="305">
        <f>O79*N79</f>
        <v>86.399999999999991</v>
      </c>
      <c r="Q79" s="286"/>
    </row>
    <row r="80" spans="1:17" ht="22.5" customHeight="1">
      <c r="J80" s="286">
        <v>2</v>
      </c>
      <c r="K80" s="307" t="s">
        <v>288</v>
      </c>
      <c r="L80" s="307"/>
      <c r="M80" s="300" t="s">
        <v>312</v>
      </c>
      <c r="N80" s="296">
        <f>Q66</f>
        <v>1.44</v>
      </c>
      <c r="O80" s="310">
        <v>100</v>
      </c>
      <c r="P80" s="305">
        <f>O80*N80</f>
        <v>144</v>
      </c>
      <c r="Q80" s="286"/>
    </row>
    <row r="81" spans="10:17" ht="22.5" customHeight="1">
      <c r="J81" s="297" t="s">
        <v>307</v>
      </c>
      <c r="K81" s="308" t="s">
        <v>290</v>
      </c>
      <c r="L81" s="298"/>
      <c r="M81" s="286"/>
      <c r="N81" s="296"/>
      <c r="O81" s="309"/>
      <c r="P81" s="301">
        <f>SUM(P82)</f>
        <v>28.799999999999997</v>
      </c>
      <c r="Q81" s="286"/>
    </row>
    <row r="82" spans="10:17" ht="22.5" customHeight="1">
      <c r="J82" s="286">
        <v>1</v>
      </c>
      <c r="K82" s="307" t="s">
        <v>290</v>
      </c>
      <c r="L82" s="307"/>
      <c r="M82" s="300" t="s">
        <v>312</v>
      </c>
      <c r="N82" s="296">
        <f>Q66</f>
        <v>1.44</v>
      </c>
      <c r="O82" s="310">
        <v>20</v>
      </c>
      <c r="P82" s="305">
        <f>O82*N82</f>
        <v>28.799999999999997</v>
      </c>
      <c r="Q82" s="286"/>
    </row>
    <row r="83" spans="10:17" ht="22.5" customHeight="1">
      <c r="J83" s="286" t="s">
        <v>308</v>
      </c>
      <c r="K83" s="618" t="s">
        <v>620</v>
      </c>
      <c r="L83" s="619"/>
      <c r="M83" s="620"/>
      <c r="N83" s="621"/>
      <c r="O83" s="622"/>
      <c r="P83" s="301">
        <f>P68+P78+P81</f>
        <v>1077.011746295</v>
      </c>
      <c r="Q83" s="286"/>
    </row>
    <row r="84" spans="10:17" ht="22.5" customHeight="1">
      <c r="J84" s="286" t="s">
        <v>309</v>
      </c>
      <c r="K84" s="618" t="s">
        <v>621</v>
      </c>
      <c r="L84" s="619"/>
      <c r="M84" s="626">
        <v>0.2</v>
      </c>
      <c r="N84" s="627"/>
      <c r="O84" s="628"/>
      <c r="P84" s="301">
        <f>P83*M84</f>
        <v>215.402349259</v>
      </c>
      <c r="Q84" s="286"/>
    </row>
    <row r="85" spans="10:17" ht="20.100000000000001" customHeight="1">
      <c r="J85" s="286" t="s">
        <v>310</v>
      </c>
      <c r="K85" s="618" t="s">
        <v>622</v>
      </c>
      <c r="L85" s="619"/>
      <c r="M85" s="620"/>
      <c r="N85" s="621"/>
      <c r="O85" s="622"/>
      <c r="P85" s="301">
        <f>P83+P84</f>
        <v>1292.4140955539999</v>
      </c>
      <c r="Q85" s="286"/>
    </row>
    <row r="86" spans="10:17" ht="20.100000000000001" customHeight="1">
      <c r="J86" s="297" t="s">
        <v>311</v>
      </c>
      <c r="K86" s="618" t="s">
        <v>623</v>
      </c>
      <c r="L86" s="619"/>
      <c r="M86" s="620"/>
      <c r="N86" s="621"/>
      <c r="O86" s="622"/>
      <c r="P86" s="301">
        <f>P85/Q66</f>
        <v>897.50978857916664</v>
      </c>
      <c r="Q86" s="286" t="s">
        <v>624</v>
      </c>
    </row>
    <row r="87" spans="10:17" ht="20.100000000000001" customHeight="1">
      <c r="J87" s="623" t="s">
        <v>625</v>
      </c>
      <c r="K87" s="623"/>
      <c r="L87" s="623"/>
      <c r="M87" s="623"/>
      <c r="N87" s="623"/>
      <c r="O87" s="623"/>
      <c r="P87" s="623"/>
      <c r="Q87" s="623"/>
    </row>
    <row r="88" spans="10:17" ht="20.100000000000001" customHeight="1"/>
    <row r="89" spans="10:17" ht="20.100000000000001" customHeight="1"/>
    <row r="90" spans="10:17" ht="20.100000000000001" customHeight="1"/>
    <row r="91" spans="10:17" ht="20.100000000000001" customHeight="1"/>
  </sheetData>
  <mergeCells count="44">
    <mergeCell ref="B1:H1"/>
    <mergeCell ref="I1:L1"/>
    <mergeCell ref="A3:A4"/>
    <mergeCell ref="I8:J11"/>
    <mergeCell ref="A9:A11"/>
    <mergeCell ref="B9:B11"/>
    <mergeCell ref="A12:B12"/>
    <mergeCell ref="A14:A16"/>
    <mergeCell ref="B14:B16"/>
    <mergeCell ref="A17:B17"/>
    <mergeCell ref="A19:A21"/>
    <mergeCell ref="B19:B21"/>
    <mergeCell ref="A22:B22"/>
    <mergeCell ref="A24:A26"/>
    <mergeCell ref="B24:B26"/>
    <mergeCell ref="A27:B27"/>
    <mergeCell ref="A29:A31"/>
    <mergeCell ref="B29:B31"/>
    <mergeCell ref="A64:H64"/>
    <mergeCell ref="K64:L64"/>
    <mergeCell ref="A32:B32"/>
    <mergeCell ref="A34:A36"/>
    <mergeCell ref="B34:B36"/>
    <mergeCell ref="A37:B37"/>
    <mergeCell ref="A42:A43"/>
    <mergeCell ref="B42:B43"/>
    <mergeCell ref="A44:A45"/>
    <mergeCell ref="B44:B45"/>
    <mergeCell ref="J62:Q62"/>
    <mergeCell ref="A63:H63"/>
    <mergeCell ref="J63:Q63"/>
    <mergeCell ref="A65:H65"/>
    <mergeCell ref="J65:J66"/>
    <mergeCell ref="K65:O66"/>
    <mergeCell ref="A67:H67"/>
    <mergeCell ref="K83:L83"/>
    <mergeCell ref="M83:O83"/>
    <mergeCell ref="J87:Q87"/>
    <mergeCell ref="K84:L84"/>
    <mergeCell ref="M84:O84"/>
    <mergeCell ref="K85:L85"/>
    <mergeCell ref="M85:O85"/>
    <mergeCell ref="K86:L86"/>
    <mergeCell ref="M86:O86"/>
  </mergeCells>
  <phoneticPr fontId="5" type="noConversion"/>
  <printOptions horizontalCentered="1"/>
  <pageMargins left="0.59055118110236227" right="0.59055118110236227" top="0.59055118110236227" bottom="0.59055118110236227" header="0.31496062992125984" footer="0.31496062992125984"/>
  <pageSetup paperSize="9" scale="36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6E2E-9061-4D08-A712-F217EB473419}">
  <sheetPr>
    <tabColor rgb="FF00B0F0"/>
  </sheetPr>
  <dimension ref="A1:WVW151"/>
  <sheetViews>
    <sheetView showZeros="0" zoomScaleNormal="100" workbookViewId="0">
      <pane ySplit="3" topLeftCell="A106" activePane="bottomLeft" state="frozen"/>
      <selection activeCell="A63" sqref="A63:H63"/>
      <selection pane="bottomLeft" activeCell="A63" sqref="A63:H63"/>
    </sheetView>
  </sheetViews>
  <sheetFormatPr defaultColWidth="9" defaultRowHeight="20.100000000000001" customHeight="1"/>
  <cols>
    <col min="1" max="1" width="18" style="434" customWidth="1"/>
    <col min="2" max="2" width="19.875" style="434" customWidth="1"/>
    <col min="3" max="3" width="12.125" style="434" customWidth="1"/>
    <col min="4" max="4" width="11.125" style="434" customWidth="1"/>
    <col min="5" max="5" width="13.75" style="434" customWidth="1"/>
    <col min="6" max="6" width="9.625" style="434" customWidth="1"/>
    <col min="7" max="7" width="11.625" style="434" customWidth="1"/>
    <col min="8" max="8" width="13.625" style="434" customWidth="1"/>
    <col min="9" max="9" width="9" style="364" hidden="1" customWidth="1"/>
    <col min="10" max="10" width="12.875" style="364" hidden="1" customWidth="1"/>
    <col min="11" max="11" width="5.25" style="364" hidden="1" customWidth="1"/>
    <col min="12" max="12" width="6.5" style="364" hidden="1" customWidth="1"/>
    <col min="13" max="13" width="5.5" style="364" hidden="1" customWidth="1"/>
    <col min="14" max="14" width="6.5" style="364" hidden="1" customWidth="1"/>
    <col min="15" max="15" width="9.5" style="364" hidden="1" customWidth="1"/>
    <col min="16" max="16" width="1.125" style="365" customWidth="1"/>
    <col min="17" max="17" width="24" style="364" customWidth="1"/>
    <col min="18" max="18" width="12.75" style="364" customWidth="1"/>
    <col min="19" max="25" width="9" style="364" hidden="1" customWidth="1"/>
    <col min="26" max="26" width="1.125" style="364" customWidth="1"/>
    <col min="27" max="27" width="9" style="364"/>
    <col min="28" max="28" width="13.125" style="364" customWidth="1"/>
    <col min="29" max="29" width="24.375" style="364" customWidth="1"/>
    <col min="30" max="30" width="13.75" style="364" customWidth="1"/>
    <col min="31" max="31" width="11.25" style="364" customWidth="1"/>
    <col min="32" max="32" width="10.75" style="364" customWidth="1"/>
    <col min="33" max="33" width="10" style="364" customWidth="1"/>
    <col min="34" max="34" width="9.875" style="364" customWidth="1"/>
    <col min="35" max="35" width="26.125" style="364" customWidth="1"/>
    <col min="36" max="16384" width="9" style="364"/>
  </cols>
  <sheetData>
    <row r="1" spans="1:18" ht="23.25" customHeight="1" thickTop="1">
      <c r="A1" s="727" t="s">
        <v>695</v>
      </c>
      <c r="B1" s="729" t="s">
        <v>696</v>
      </c>
      <c r="C1" s="729"/>
      <c r="D1" s="730" t="s">
        <v>697</v>
      </c>
      <c r="E1" s="730"/>
      <c r="F1" s="362" t="s">
        <v>698</v>
      </c>
      <c r="G1" s="362" t="s">
        <v>699</v>
      </c>
      <c r="H1" s="363" t="s">
        <v>700</v>
      </c>
      <c r="Q1" s="366" t="s">
        <v>701</v>
      </c>
      <c r="R1" s="367">
        <v>18</v>
      </c>
    </row>
    <row r="2" spans="1:18" ht="22.5" customHeight="1">
      <c r="A2" s="728"/>
      <c r="B2" s="368" t="s">
        <v>14</v>
      </c>
      <c r="C2" s="368" t="s">
        <v>16</v>
      </c>
      <c r="D2" s="368" t="s">
        <v>17</v>
      </c>
      <c r="E2" s="368" t="s">
        <v>7</v>
      </c>
      <c r="F2" s="368" t="s">
        <v>5</v>
      </c>
      <c r="G2" s="368" t="s">
        <v>18</v>
      </c>
      <c r="H2" s="369" t="s">
        <v>39</v>
      </c>
      <c r="Q2" s="366" t="s">
        <v>702</v>
      </c>
      <c r="R2" s="370">
        <v>58</v>
      </c>
    </row>
    <row r="3" spans="1:18" ht="22.5" customHeight="1">
      <c r="A3" s="728"/>
      <c r="B3" s="368" t="str" cm="1">
        <f t="array" aca="1" ref="B3" ca="1">MID(CELL("filename",Q12),FIND("]",CELL("filename",Q12))+1,30)</f>
        <v>WM2480</v>
      </c>
      <c r="C3" s="368">
        <v>2400</v>
      </c>
      <c r="D3" s="368">
        <v>8000</v>
      </c>
      <c r="E3" s="371">
        <v>18.579999999999998</v>
      </c>
      <c r="F3" s="368">
        <v>1</v>
      </c>
      <c r="G3" s="368">
        <f>E3*F3</f>
        <v>18.579999999999998</v>
      </c>
      <c r="H3" s="369">
        <f>(C3+D3)*2/1000</f>
        <v>20.8</v>
      </c>
      <c r="I3" s="364" t="s">
        <v>18</v>
      </c>
      <c r="J3" s="372">
        <v>60.72</v>
      </c>
      <c r="Q3" s="366" t="s">
        <v>703</v>
      </c>
      <c r="R3" s="370">
        <f>D12</f>
        <v>6</v>
      </c>
    </row>
    <row r="4" spans="1:18" ht="20.100000000000001" customHeight="1">
      <c r="A4" s="731" t="s">
        <v>704</v>
      </c>
      <c r="B4" s="732"/>
      <c r="C4" s="732"/>
      <c r="D4" s="732"/>
      <c r="E4" s="732"/>
      <c r="F4" s="732"/>
      <c r="G4" s="732"/>
      <c r="H4" s="733"/>
      <c r="J4" s="372"/>
      <c r="Q4" s="373"/>
      <c r="R4" s="373"/>
    </row>
    <row r="5" spans="1:18" ht="20.100000000000001" customHeight="1">
      <c r="A5" s="374" t="s">
        <v>139</v>
      </c>
      <c r="B5" s="375" t="s">
        <v>14</v>
      </c>
      <c r="C5" s="375" t="s">
        <v>705</v>
      </c>
      <c r="D5" s="375" t="s">
        <v>8</v>
      </c>
      <c r="E5" s="375" t="s">
        <v>705</v>
      </c>
      <c r="F5" s="375" t="s">
        <v>8</v>
      </c>
      <c r="G5" s="375" t="s">
        <v>22</v>
      </c>
      <c r="H5" s="376" t="s">
        <v>40</v>
      </c>
      <c r="Q5" s="373"/>
      <c r="R5" s="373"/>
    </row>
    <row r="6" spans="1:18" ht="20.100000000000001" customHeight="1">
      <c r="A6" s="722" t="s">
        <v>706</v>
      </c>
      <c r="B6" s="715" t="s">
        <v>707</v>
      </c>
      <c r="C6" s="377"/>
      <c r="D6" s="377"/>
      <c r="E6" s="377"/>
      <c r="F6" s="377"/>
      <c r="G6" s="377">
        <v>5.4909999999999997</v>
      </c>
      <c r="H6" s="378">
        <f t="shared" ref="H6" si="0">ROUND((C6*D6+E6*F6)/1000*G6,2)</f>
        <v>0</v>
      </c>
      <c r="Q6" s="379">
        <v>2.5</v>
      </c>
      <c r="R6" s="373"/>
    </row>
    <row r="7" spans="1:18" ht="20.100000000000001" customHeight="1">
      <c r="A7" s="722"/>
      <c r="B7" s="715"/>
      <c r="C7" s="377">
        <f>D3</f>
        <v>8000</v>
      </c>
      <c r="D7" s="377">
        <v>2</v>
      </c>
      <c r="E7" s="377"/>
      <c r="F7" s="377">
        <v>0</v>
      </c>
      <c r="G7" s="377">
        <f>G6</f>
        <v>5.4909999999999997</v>
      </c>
      <c r="H7" s="378">
        <f>ROUND((C7*D7+E7*F7)/1000*G7,2)</f>
        <v>87.86</v>
      </c>
      <c r="Q7" s="373" t="s">
        <v>708</v>
      </c>
      <c r="R7" s="380">
        <v>3.9820000000000002</v>
      </c>
    </row>
    <row r="8" spans="1:18" ht="20.100000000000001" customHeight="1">
      <c r="A8" s="722"/>
      <c r="B8" s="715"/>
      <c r="C8" s="377"/>
      <c r="D8" s="377"/>
      <c r="E8" s="377"/>
      <c r="F8" s="377">
        <v>0</v>
      </c>
      <c r="G8" s="377">
        <f>G6</f>
        <v>5.4909999999999997</v>
      </c>
      <c r="H8" s="378">
        <f>ROUND((C8*D8+E8*F8)/1000*G8,2)</f>
        <v>0</v>
      </c>
      <c r="Q8" s="373" t="s">
        <v>709</v>
      </c>
      <c r="R8" s="380">
        <v>5.4909999999999997</v>
      </c>
    </row>
    <row r="9" spans="1:18" ht="20.100000000000001" customHeight="1">
      <c r="A9" s="718" t="s">
        <v>182</v>
      </c>
      <c r="B9" s="719"/>
      <c r="C9" s="381"/>
      <c r="D9" s="381" t="s">
        <v>710</v>
      </c>
      <c r="E9" s="381">
        <f>ROUND((E6*F6+E7*F7+E8*F8+C6*D6+C7*D7+C8*D8)/1000,2)</f>
        <v>16</v>
      </c>
      <c r="F9" s="381">
        <f>SUM(F6:F8)+SUM(D6:D8)</f>
        <v>2</v>
      </c>
      <c r="G9" s="381"/>
      <c r="H9" s="382">
        <f>SUM(H6:H8)</f>
        <v>87.86</v>
      </c>
      <c r="Q9" s="373"/>
      <c r="R9" s="373"/>
    </row>
    <row r="10" spans="1:18" ht="20.100000000000001" customHeight="1">
      <c r="A10" s="383" t="s">
        <v>711</v>
      </c>
      <c r="B10" s="384">
        <f>358.1/1000</f>
        <v>0.35810000000000003</v>
      </c>
      <c r="C10" s="381" t="s">
        <v>712</v>
      </c>
      <c r="D10" s="384">
        <f>E9*B10</f>
        <v>5.7296000000000005</v>
      </c>
      <c r="E10" s="381" t="s">
        <v>713</v>
      </c>
      <c r="F10" s="381">
        <v>0</v>
      </c>
      <c r="G10" s="381" t="s">
        <v>714</v>
      </c>
      <c r="H10" s="382">
        <f>D10*F10</f>
        <v>0</v>
      </c>
      <c r="Q10" s="373"/>
      <c r="R10" s="373"/>
    </row>
    <row r="11" spans="1:18" ht="20.100000000000001" customHeight="1">
      <c r="A11" s="374" t="s">
        <v>139</v>
      </c>
      <c r="B11" s="375" t="s">
        <v>14</v>
      </c>
      <c r="C11" s="375" t="s">
        <v>715</v>
      </c>
      <c r="D11" s="375" t="s">
        <v>8</v>
      </c>
      <c r="E11" s="375" t="s">
        <v>715</v>
      </c>
      <c r="F11" s="375" t="s">
        <v>8</v>
      </c>
      <c r="G11" s="375" t="s">
        <v>22</v>
      </c>
      <c r="H11" s="376" t="s">
        <v>40</v>
      </c>
      <c r="Q11" s="373"/>
      <c r="R11" s="373"/>
    </row>
    <row r="12" spans="1:18" ht="20.100000000000001" customHeight="1">
      <c r="A12" s="724" t="s">
        <v>716</v>
      </c>
      <c r="B12" s="715" t="s">
        <v>717</v>
      </c>
      <c r="C12" s="377">
        <f>C3</f>
        <v>2400</v>
      </c>
      <c r="D12" s="377">
        <v>6</v>
      </c>
      <c r="E12" s="377"/>
      <c r="F12" s="377"/>
      <c r="G12" s="377">
        <v>3.99</v>
      </c>
      <c r="H12" s="378">
        <f>ROUND((C12*D12+E12*F12)/1000*G12,2)</f>
        <v>57.46</v>
      </c>
      <c r="Q12" s="379">
        <v>3</v>
      </c>
      <c r="R12" s="373"/>
    </row>
    <row r="13" spans="1:18" ht="20.100000000000001" customHeight="1">
      <c r="A13" s="725"/>
      <c r="B13" s="715"/>
      <c r="C13" s="377"/>
      <c r="D13" s="377"/>
      <c r="E13" s="377"/>
      <c r="F13" s="377"/>
      <c r="G13" s="377">
        <f>G12</f>
        <v>3.99</v>
      </c>
      <c r="H13" s="378">
        <f t="shared" ref="H13:H14" si="1">ROUND((C13*D13+E13*F13)/1000*G13,2)</f>
        <v>0</v>
      </c>
      <c r="Q13" s="373" t="s">
        <v>718</v>
      </c>
      <c r="R13" s="372">
        <v>3.9849999999999999</v>
      </c>
    </row>
    <row r="14" spans="1:18" ht="20.100000000000001" customHeight="1">
      <c r="A14" s="726"/>
      <c r="B14" s="715"/>
      <c r="C14" s="377"/>
      <c r="D14" s="385"/>
      <c r="E14" s="385"/>
      <c r="F14" s="377"/>
      <c r="G14" s="386">
        <f>G12</f>
        <v>3.99</v>
      </c>
      <c r="H14" s="378">
        <f t="shared" si="1"/>
        <v>0</v>
      </c>
      <c r="Q14" s="373" t="s">
        <v>719</v>
      </c>
      <c r="R14" s="372">
        <v>3.1509999999999998</v>
      </c>
    </row>
    <row r="15" spans="1:18" ht="20.100000000000001" customHeight="1">
      <c r="A15" s="694" t="s">
        <v>182</v>
      </c>
      <c r="B15" s="695"/>
      <c r="C15" s="387"/>
      <c r="D15" s="387" t="s">
        <v>710</v>
      </c>
      <c r="E15" s="388">
        <f>ROUND((E12*F12+E13*F13+E14*F14+C12*D12+C13*D13+C14*D14)/1000,2)</f>
        <v>14.4</v>
      </c>
      <c r="F15" s="388">
        <f>SUM(F12:F14)+SUM(D12:D14)</f>
        <v>6</v>
      </c>
      <c r="G15" s="387"/>
      <c r="H15" s="389">
        <f>SUM(H12:H14)</f>
        <v>57.46</v>
      </c>
      <c r="Q15" s="373"/>
      <c r="R15" s="373"/>
    </row>
    <row r="16" spans="1:18" ht="20.100000000000001" customHeight="1">
      <c r="A16" s="383" t="s">
        <v>711</v>
      </c>
      <c r="B16" s="384">
        <f>258.1/1000</f>
        <v>0.2581</v>
      </c>
      <c r="C16" s="381" t="s">
        <v>712</v>
      </c>
      <c r="D16" s="384">
        <f>E15*B16</f>
        <v>3.7166399999999999</v>
      </c>
      <c r="E16" s="381" t="s">
        <v>713</v>
      </c>
      <c r="F16" s="381"/>
      <c r="G16" s="381" t="s">
        <v>714</v>
      </c>
      <c r="H16" s="382">
        <f>D16*F16</f>
        <v>0</v>
      </c>
      <c r="Q16" s="373"/>
      <c r="R16" s="373"/>
    </row>
    <row r="17" spans="1:18" ht="20.100000000000001" customHeight="1">
      <c r="A17" s="374" t="s">
        <v>139</v>
      </c>
      <c r="B17" s="375" t="s">
        <v>14</v>
      </c>
      <c r="C17" s="375" t="s">
        <v>715</v>
      </c>
      <c r="D17" s="375" t="s">
        <v>8</v>
      </c>
      <c r="E17" s="375" t="s">
        <v>705</v>
      </c>
      <c r="F17" s="375" t="s">
        <v>8</v>
      </c>
      <c r="G17" s="375" t="s">
        <v>22</v>
      </c>
      <c r="H17" s="376" t="s">
        <v>40</v>
      </c>
      <c r="Q17" s="373"/>
      <c r="R17" s="373"/>
    </row>
    <row r="18" spans="1:18" ht="20.100000000000001" customHeight="1">
      <c r="A18" s="723" t="s">
        <v>720</v>
      </c>
      <c r="B18" s="715" t="s">
        <v>721</v>
      </c>
      <c r="C18" s="377">
        <f>C12+2</f>
        <v>2402</v>
      </c>
      <c r="D18" s="377">
        <f>D12</f>
        <v>6</v>
      </c>
      <c r="E18" s="377"/>
      <c r="F18" s="377"/>
      <c r="G18" s="377">
        <f>G29</f>
        <v>0.53100000000000003</v>
      </c>
      <c r="H18" s="378">
        <f t="shared" ref="H18:H20" si="2">ROUND((C18*D18+E18*F18)/1000*G18,2)</f>
        <v>7.65</v>
      </c>
      <c r="Q18" s="373"/>
      <c r="R18" s="373"/>
    </row>
    <row r="19" spans="1:18" ht="20.100000000000001" customHeight="1">
      <c r="A19" s="723"/>
      <c r="B19" s="715"/>
      <c r="C19" s="377">
        <f>C13+2</f>
        <v>2</v>
      </c>
      <c r="D19" s="377">
        <f>D13</f>
        <v>0</v>
      </c>
      <c r="E19" s="377"/>
      <c r="F19" s="377">
        <f>F13</f>
        <v>0</v>
      </c>
      <c r="G19" s="377">
        <f>G18</f>
        <v>0.53100000000000003</v>
      </c>
      <c r="H19" s="378">
        <f t="shared" si="2"/>
        <v>0</v>
      </c>
      <c r="Q19" s="373"/>
      <c r="R19" s="373"/>
    </row>
    <row r="20" spans="1:18" ht="20.100000000000001" customHeight="1">
      <c r="A20" s="723"/>
      <c r="B20" s="715"/>
      <c r="C20" s="377"/>
      <c r="D20" s="377">
        <f>D14</f>
        <v>0</v>
      </c>
      <c r="E20" s="377"/>
      <c r="F20" s="377">
        <f>F14</f>
        <v>0</v>
      </c>
      <c r="G20" s="377">
        <f>G18</f>
        <v>0.53100000000000003</v>
      </c>
      <c r="H20" s="378">
        <f t="shared" si="2"/>
        <v>0</v>
      </c>
      <c r="Q20" s="373"/>
      <c r="R20" s="373"/>
    </row>
    <row r="21" spans="1:18" ht="20.100000000000001" customHeight="1">
      <c r="A21" s="694" t="s">
        <v>182</v>
      </c>
      <c r="B21" s="695"/>
      <c r="C21" s="387"/>
      <c r="D21" s="387" t="s">
        <v>710</v>
      </c>
      <c r="E21" s="387">
        <f>ROUND((E19*F19+E20*F20+E18*F18+C20*D20+C19*D19+C18*D18)/1000,2)</f>
        <v>14.41</v>
      </c>
      <c r="F21" s="387">
        <f>SUM(F18:F20)+SUM(D18:D20)</f>
        <v>6</v>
      </c>
      <c r="G21" s="387"/>
      <c r="H21" s="389">
        <f>SUM(H18:H20)</f>
        <v>7.65</v>
      </c>
      <c r="Q21" s="373"/>
      <c r="R21" s="373"/>
    </row>
    <row r="22" spans="1:18" ht="20.100000000000001" customHeight="1">
      <c r="A22" s="374" t="s">
        <v>139</v>
      </c>
      <c r="B22" s="375" t="s">
        <v>14</v>
      </c>
      <c r="C22" s="375" t="s">
        <v>715</v>
      </c>
      <c r="D22" s="375" t="s">
        <v>8</v>
      </c>
      <c r="E22" s="375" t="s">
        <v>715</v>
      </c>
      <c r="F22" s="375" t="s">
        <v>8</v>
      </c>
      <c r="G22" s="375" t="s">
        <v>22</v>
      </c>
      <c r="H22" s="376" t="s">
        <v>40</v>
      </c>
      <c r="Q22" s="373"/>
      <c r="R22" s="373"/>
    </row>
    <row r="23" spans="1:18" ht="20.100000000000001" customHeight="1">
      <c r="A23" s="723" t="s">
        <v>722</v>
      </c>
      <c r="B23" s="715" t="s">
        <v>723</v>
      </c>
      <c r="C23" s="377">
        <f>C12+2</f>
        <v>2402</v>
      </c>
      <c r="D23" s="377">
        <f>D12</f>
        <v>6</v>
      </c>
      <c r="E23" s="377"/>
      <c r="F23" s="377">
        <f>F12</f>
        <v>0</v>
      </c>
      <c r="G23" s="377">
        <v>0.27900000000000003</v>
      </c>
      <c r="H23" s="378">
        <f t="shared" ref="H23:H25" si="3">ROUND((C23*D23+E23*F23)/1000*G23,2)</f>
        <v>4.0199999999999996</v>
      </c>
      <c r="Q23" s="373"/>
      <c r="R23" s="373"/>
    </row>
    <row r="24" spans="1:18" ht="20.100000000000001" customHeight="1">
      <c r="A24" s="723"/>
      <c r="B24" s="715"/>
      <c r="C24" s="377">
        <f>C19</f>
        <v>2</v>
      </c>
      <c r="D24" s="377">
        <f>D13</f>
        <v>0</v>
      </c>
      <c r="E24" s="377"/>
      <c r="F24" s="377">
        <f>F13</f>
        <v>0</v>
      </c>
      <c r="G24" s="377">
        <f t="shared" ref="G24:G25" si="4">G23</f>
        <v>0.27900000000000003</v>
      </c>
      <c r="H24" s="378">
        <f t="shared" si="3"/>
        <v>0</v>
      </c>
      <c r="Q24" s="373"/>
      <c r="R24" s="373"/>
    </row>
    <row r="25" spans="1:18" ht="20.100000000000001" customHeight="1">
      <c r="A25" s="723"/>
      <c r="B25" s="715"/>
      <c r="C25" s="377">
        <f>C20</f>
        <v>0</v>
      </c>
      <c r="D25" s="377">
        <f>D14</f>
        <v>0</v>
      </c>
      <c r="E25" s="377"/>
      <c r="F25" s="377">
        <f>F14</f>
        <v>0</v>
      </c>
      <c r="G25" s="377">
        <f t="shared" si="4"/>
        <v>0.27900000000000003</v>
      </c>
      <c r="H25" s="378">
        <f t="shared" si="3"/>
        <v>0</v>
      </c>
      <c r="Q25" s="373"/>
      <c r="R25" s="373"/>
    </row>
    <row r="26" spans="1:18" ht="20.100000000000001" customHeight="1">
      <c r="A26" s="694" t="s">
        <v>182</v>
      </c>
      <c r="B26" s="695"/>
      <c r="C26" s="387"/>
      <c r="D26" s="387" t="s">
        <v>710</v>
      </c>
      <c r="E26" s="387">
        <f>ROUND((E23*F23+E24*F24+E25*F25+C23*D23+C24*D24+C25*D25)/1000,2)</f>
        <v>14.41</v>
      </c>
      <c r="F26" s="387">
        <f>SUM(F23:F25)+SUM(D23:D25)</f>
        <v>6</v>
      </c>
      <c r="G26" s="387"/>
      <c r="H26" s="390">
        <f>SUM(H23:H25)</f>
        <v>4.0199999999999996</v>
      </c>
      <c r="Q26" s="373"/>
      <c r="R26" s="373"/>
    </row>
    <row r="27" spans="1:18" ht="20.100000000000001" customHeight="1">
      <c r="A27" s="383" t="s">
        <v>711</v>
      </c>
      <c r="B27" s="384">
        <f>81.3/1000</f>
        <v>8.1299999999999997E-2</v>
      </c>
      <c r="C27" s="381" t="s">
        <v>712</v>
      </c>
      <c r="D27" s="384">
        <f>E26*B27</f>
        <v>1.1715329999999999</v>
      </c>
      <c r="E27" s="381" t="s">
        <v>713</v>
      </c>
      <c r="F27" s="381"/>
      <c r="G27" s="381" t="s">
        <v>714</v>
      </c>
      <c r="H27" s="382">
        <f>D27*F27</f>
        <v>0</v>
      </c>
      <c r="Q27" s="373"/>
      <c r="R27" s="373"/>
    </row>
    <row r="28" spans="1:18" ht="20.100000000000001" customHeight="1">
      <c r="A28" s="374" t="s">
        <v>139</v>
      </c>
      <c r="B28" s="375" t="s">
        <v>14</v>
      </c>
      <c r="C28" s="375" t="s">
        <v>113</v>
      </c>
      <c r="D28" s="375" t="s">
        <v>8</v>
      </c>
      <c r="E28" s="375" t="s">
        <v>113</v>
      </c>
      <c r="F28" s="375" t="s">
        <v>8</v>
      </c>
      <c r="G28" s="375" t="s">
        <v>22</v>
      </c>
      <c r="H28" s="376" t="s">
        <v>40</v>
      </c>
      <c r="Q28" s="373"/>
      <c r="R28" s="373"/>
    </row>
    <row r="29" spans="1:18" ht="20.100000000000001" customHeight="1">
      <c r="A29" s="723" t="s">
        <v>724</v>
      </c>
      <c r="B29" s="715" t="s">
        <v>721</v>
      </c>
      <c r="C29" s="377">
        <f>C6</f>
        <v>0</v>
      </c>
      <c r="D29" s="377">
        <f>D6</f>
        <v>0</v>
      </c>
      <c r="E29" s="377">
        <f t="shared" ref="C29:F31" si="5">E6</f>
        <v>0</v>
      </c>
      <c r="F29" s="377">
        <f t="shared" si="5"/>
        <v>0</v>
      </c>
      <c r="G29" s="377">
        <v>0.53100000000000003</v>
      </c>
      <c r="H29" s="378">
        <f t="shared" ref="H29:H31" si="6">ROUND((C29*D29+E29*F29)/1000*G29,2)</f>
        <v>0</v>
      </c>
      <c r="Q29" s="373">
        <v>4</v>
      </c>
      <c r="R29" s="373"/>
    </row>
    <row r="30" spans="1:18" ht="20.100000000000001" customHeight="1">
      <c r="A30" s="723"/>
      <c r="B30" s="715"/>
      <c r="C30" s="377">
        <f>C7</f>
        <v>8000</v>
      </c>
      <c r="D30" s="377">
        <f>D7</f>
        <v>2</v>
      </c>
      <c r="E30" s="377">
        <f t="shared" si="5"/>
        <v>0</v>
      </c>
      <c r="F30" s="377">
        <f t="shared" si="5"/>
        <v>0</v>
      </c>
      <c r="G30" s="377">
        <f>G29</f>
        <v>0.53100000000000003</v>
      </c>
      <c r="H30" s="378">
        <f t="shared" si="6"/>
        <v>8.5</v>
      </c>
      <c r="Q30" s="373"/>
      <c r="R30" s="373"/>
    </row>
    <row r="31" spans="1:18" ht="20.100000000000001" customHeight="1">
      <c r="A31" s="723"/>
      <c r="B31" s="715"/>
      <c r="C31" s="377">
        <f t="shared" si="5"/>
        <v>0</v>
      </c>
      <c r="D31" s="377">
        <f t="shared" si="5"/>
        <v>0</v>
      </c>
      <c r="E31" s="377">
        <f t="shared" si="5"/>
        <v>0</v>
      </c>
      <c r="F31" s="377">
        <f t="shared" si="5"/>
        <v>0</v>
      </c>
      <c r="G31" s="377">
        <f>G29</f>
        <v>0.53100000000000003</v>
      </c>
      <c r="H31" s="378">
        <f t="shared" si="6"/>
        <v>0</v>
      </c>
      <c r="Q31" s="373"/>
      <c r="R31" s="373"/>
    </row>
    <row r="32" spans="1:18" ht="20.100000000000001" customHeight="1">
      <c r="A32" s="694" t="s">
        <v>182</v>
      </c>
      <c r="B32" s="695"/>
      <c r="C32" s="387"/>
      <c r="D32" s="387" t="s">
        <v>710</v>
      </c>
      <c r="E32" s="387">
        <f>ROUND((C29*D29+E29*F29+C30*D30+E30*F30+C31*D31+E31*F31)/1000,2)</f>
        <v>16</v>
      </c>
      <c r="F32" s="387">
        <f>SUM(F29:F31)+SUM(D29:D31)</f>
        <v>2</v>
      </c>
      <c r="G32" s="387"/>
      <c r="H32" s="390">
        <f>SUM(H29:H31)</f>
        <v>8.5</v>
      </c>
      <c r="Q32" s="373"/>
      <c r="R32" s="373"/>
    </row>
    <row r="33" spans="1:18" ht="20.100000000000001" customHeight="1">
      <c r="A33" s="374" t="s">
        <v>139</v>
      </c>
      <c r="B33" s="375" t="s">
        <v>14</v>
      </c>
      <c r="C33" s="375" t="s">
        <v>715</v>
      </c>
      <c r="D33" s="375" t="s">
        <v>8</v>
      </c>
      <c r="E33" s="375" t="s">
        <v>705</v>
      </c>
      <c r="F33" s="375" t="s">
        <v>8</v>
      </c>
      <c r="G33" s="375" t="s">
        <v>22</v>
      </c>
      <c r="H33" s="376" t="s">
        <v>40</v>
      </c>
      <c r="Q33" s="373"/>
      <c r="R33" s="373"/>
    </row>
    <row r="34" spans="1:18" ht="20.100000000000001" customHeight="1">
      <c r="A34" s="723" t="s">
        <v>725</v>
      </c>
      <c r="B34" s="715" t="s">
        <v>726</v>
      </c>
      <c r="C34" s="377">
        <f>C6</f>
        <v>0</v>
      </c>
      <c r="D34" s="377">
        <f t="shared" ref="C34:F36" si="7">D6</f>
        <v>0</v>
      </c>
      <c r="E34" s="377">
        <f t="shared" si="7"/>
        <v>0</v>
      </c>
      <c r="F34" s="377">
        <f t="shared" si="7"/>
        <v>0</v>
      </c>
      <c r="G34" s="377">
        <v>0.35799999999999998</v>
      </c>
      <c r="H34" s="378">
        <f t="shared" ref="H34:H36" si="8">ROUND((C34*D34+E34*F34)/1000*G34,2)</f>
        <v>0</v>
      </c>
      <c r="Q34" s="373"/>
      <c r="R34" s="373"/>
    </row>
    <row r="35" spans="1:18" ht="20.100000000000001" customHeight="1">
      <c r="A35" s="723"/>
      <c r="B35" s="715"/>
      <c r="C35" s="377">
        <f>C7</f>
        <v>8000</v>
      </c>
      <c r="D35" s="377">
        <f t="shared" si="7"/>
        <v>2</v>
      </c>
      <c r="E35" s="377">
        <f t="shared" si="7"/>
        <v>0</v>
      </c>
      <c r="F35" s="377">
        <f t="shared" si="7"/>
        <v>0</v>
      </c>
      <c r="G35" s="377">
        <f>G34</f>
        <v>0.35799999999999998</v>
      </c>
      <c r="H35" s="378">
        <f t="shared" si="8"/>
        <v>5.73</v>
      </c>
      <c r="Q35" s="373"/>
      <c r="R35" s="373"/>
    </row>
    <row r="36" spans="1:18" ht="20.100000000000001" customHeight="1">
      <c r="A36" s="723"/>
      <c r="B36" s="715"/>
      <c r="C36" s="377">
        <f t="shared" si="7"/>
        <v>0</v>
      </c>
      <c r="D36" s="377">
        <f t="shared" si="7"/>
        <v>0</v>
      </c>
      <c r="E36" s="377">
        <f t="shared" si="7"/>
        <v>0</v>
      </c>
      <c r="F36" s="377">
        <f t="shared" si="7"/>
        <v>0</v>
      </c>
      <c r="G36" s="377">
        <f>G34</f>
        <v>0.35799999999999998</v>
      </c>
      <c r="H36" s="378">
        <f t="shared" si="8"/>
        <v>0</v>
      </c>
      <c r="Q36" s="373"/>
      <c r="R36" s="373"/>
    </row>
    <row r="37" spans="1:18" ht="20.100000000000001" customHeight="1">
      <c r="A37" s="694" t="s">
        <v>182</v>
      </c>
      <c r="B37" s="695"/>
      <c r="C37" s="387"/>
      <c r="D37" s="387" t="s">
        <v>710</v>
      </c>
      <c r="E37" s="387">
        <f>ROUND((C34*D34+E34*F34+C35*D35+E35*F35+C36*D36+E36*F36)/1000,2)</f>
        <v>16</v>
      </c>
      <c r="F37" s="387">
        <f>SUM(F34:F36)+SUM(D34:D36)</f>
        <v>2</v>
      </c>
      <c r="G37" s="387"/>
      <c r="H37" s="390">
        <f>SUM(H34:H36)</f>
        <v>5.73</v>
      </c>
      <c r="Q37" s="373"/>
      <c r="R37" s="373"/>
    </row>
    <row r="38" spans="1:18" ht="20.100000000000001" customHeight="1">
      <c r="A38" s="383" t="s">
        <v>711</v>
      </c>
      <c r="B38" s="384">
        <f>97.8/1000</f>
        <v>9.7799999999999998E-2</v>
      </c>
      <c r="C38" s="381" t="s">
        <v>712</v>
      </c>
      <c r="D38" s="384">
        <f>E37*B38</f>
        <v>1.5648</v>
      </c>
      <c r="E38" s="381" t="s">
        <v>713</v>
      </c>
      <c r="F38" s="381"/>
      <c r="G38" s="381" t="s">
        <v>714</v>
      </c>
      <c r="H38" s="382">
        <f>D38*F38</f>
        <v>0</v>
      </c>
      <c r="Q38" s="373"/>
      <c r="R38" s="373"/>
    </row>
    <row r="39" spans="1:18" ht="20.100000000000001" customHeight="1">
      <c r="A39" s="374" t="s">
        <v>139</v>
      </c>
      <c r="B39" s="375" t="s">
        <v>14</v>
      </c>
      <c r="C39" s="375" t="s">
        <v>705</v>
      </c>
      <c r="D39" s="375" t="s">
        <v>8</v>
      </c>
      <c r="E39" s="375" t="s">
        <v>705</v>
      </c>
      <c r="F39" s="375" t="s">
        <v>8</v>
      </c>
      <c r="G39" s="375" t="s">
        <v>22</v>
      </c>
      <c r="H39" s="376" t="s">
        <v>40</v>
      </c>
      <c r="Q39" s="373"/>
      <c r="R39" s="373"/>
    </row>
    <row r="40" spans="1:18" ht="20.100000000000001" customHeight="1">
      <c r="A40" s="722" t="s">
        <v>727</v>
      </c>
      <c r="B40" s="715" t="s">
        <v>728</v>
      </c>
      <c r="C40" s="391">
        <v>50</v>
      </c>
      <c r="D40" s="391">
        <v>3</v>
      </c>
      <c r="E40" s="391"/>
      <c r="F40" s="391">
        <v>0</v>
      </c>
      <c r="G40" s="377">
        <v>3.2410000000000001</v>
      </c>
      <c r="H40" s="378">
        <f>ROUND((C40*D40+E40*F40)/1000*G40,2)</f>
        <v>0.49</v>
      </c>
      <c r="Q40" s="373"/>
      <c r="R40" s="373"/>
    </row>
    <row r="41" spans="1:18" ht="20.100000000000001" customHeight="1">
      <c r="A41" s="722"/>
      <c r="B41" s="715"/>
      <c r="C41" s="391">
        <v>0</v>
      </c>
      <c r="D41" s="391">
        <v>0</v>
      </c>
      <c r="E41" s="391">
        <v>0</v>
      </c>
      <c r="F41" s="391">
        <v>0</v>
      </c>
      <c r="G41" s="377">
        <f>G40</f>
        <v>3.2410000000000001</v>
      </c>
      <c r="H41" s="378">
        <f t="shared" ref="H41:H42" si="9">ROUND((C41*D41+E41*F41)/1000*G41,2)</f>
        <v>0</v>
      </c>
      <c r="Q41" s="373"/>
      <c r="R41" s="373"/>
    </row>
    <row r="42" spans="1:18" ht="20.100000000000001" customHeight="1">
      <c r="A42" s="722"/>
      <c r="B42" s="715"/>
      <c r="C42" s="391">
        <v>0</v>
      </c>
      <c r="D42" s="391">
        <v>0</v>
      </c>
      <c r="E42" s="391">
        <v>0</v>
      </c>
      <c r="F42" s="391">
        <v>0</v>
      </c>
      <c r="G42" s="377">
        <f>G40</f>
        <v>3.2410000000000001</v>
      </c>
      <c r="H42" s="378">
        <f t="shared" si="9"/>
        <v>0</v>
      </c>
      <c r="Q42" s="373"/>
      <c r="R42" s="373"/>
    </row>
    <row r="43" spans="1:18" ht="20.100000000000001" customHeight="1">
      <c r="A43" s="694" t="s">
        <v>182</v>
      </c>
      <c r="B43" s="695"/>
      <c r="C43" s="387"/>
      <c r="D43" s="387" t="s">
        <v>710</v>
      </c>
      <c r="E43" s="392">
        <f>ROUND((E40*F40+E41*F41+E42*F42)/1000,2)</f>
        <v>0</v>
      </c>
      <c r="F43" s="387">
        <f>SUM(F40:F42)+SUM(D40:D42)</f>
        <v>3</v>
      </c>
      <c r="G43" s="387"/>
      <c r="H43" s="389">
        <f>SUM(H40:H42)</f>
        <v>0.49</v>
      </c>
      <c r="Q43" s="373"/>
      <c r="R43" s="373"/>
    </row>
    <row r="44" spans="1:18" ht="20.100000000000001" customHeight="1">
      <c r="A44" s="393" t="s">
        <v>139</v>
      </c>
      <c r="B44" s="394" t="s">
        <v>14</v>
      </c>
      <c r="C44" s="375" t="s">
        <v>715</v>
      </c>
      <c r="D44" s="375" t="s">
        <v>8</v>
      </c>
      <c r="E44" s="375" t="s">
        <v>705</v>
      </c>
      <c r="F44" s="375" t="s">
        <v>8</v>
      </c>
      <c r="G44" s="394" t="s">
        <v>22</v>
      </c>
      <c r="H44" s="395" t="s">
        <v>40</v>
      </c>
      <c r="Q44" s="373"/>
      <c r="R44" s="373"/>
    </row>
    <row r="45" spans="1:18" ht="20.100000000000001" customHeight="1">
      <c r="A45" s="722" t="s">
        <v>729</v>
      </c>
      <c r="B45" s="715" t="s">
        <v>730</v>
      </c>
      <c r="C45" s="377"/>
      <c r="D45" s="377"/>
      <c r="E45" s="377">
        <v>0</v>
      </c>
      <c r="F45" s="377">
        <v>0</v>
      </c>
      <c r="G45" s="377">
        <v>0.41699999999999998</v>
      </c>
      <c r="H45" s="378">
        <f>ROUND((C45*D45+E45*F45)/1000*G45,2)</f>
        <v>0</v>
      </c>
      <c r="Q45" s="373"/>
      <c r="R45" s="373"/>
    </row>
    <row r="46" spans="1:18" ht="20.100000000000001" customHeight="1">
      <c r="A46" s="722"/>
      <c r="B46" s="715"/>
      <c r="C46" s="377"/>
      <c r="D46" s="377"/>
      <c r="E46" s="377">
        <f>ROUND((C46+D46)/1000*2,2)</f>
        <v>0</v>
      </c>
      <c r="F46" s="377"/>
      <c r="G46" s="377">
        <f>G45</f>
        <v>0.41699999999999998</v>
      </c>
      <c r="H46" s="378">
        <f>E46*G46*F46</f>
        <v>0</v>
      </c>
      <c r="Q46" s="373"/>
      <c r="R46" s="373"/>
    </row>
    <row r="47" spans="1:18" ht="20.100000000000001" customHeight="1">
      <c r="A47" s="722"/>
      <c r="B47" s="715"/>
      <c r="C47" s="377"/>
      <c r="D47" s="377"/>
      <c r="E47" s="377">
        <f>ROUND((C47+D47)/1000*2,2)</f>
        <v>0</v>
      </c>
      <c r="F47" s="377"/>
      <c r="G47" s="377">
        <f>G45</f>
        <v>0.41699999999999998</v>
      </c>
      <c r="H47" s="378">
        <f>E47*G47*F47</f>
        <v>0</v>
      </c>
      <c r="Q47" s="373"/>
      <c r="R47" s="373"/>
    </row>
    <row r="48" spans="1:18" ht="20.100000000000001" customHeight="1">
      <c r="A48" s="718" t="s">
        <v>182</v>
      </c>
      <c r="B48" s="719"/>
      <c r="C48" s="381"/>
      <c r="D48" s="387" t="s">
        <v>710</v>
      </c>
      <c r="E48" s="387">
        <f>ROUND((E45*F45+E46*F46+E47*F47),2)</f>
        <v>0</v>
      </c>
      <c r="F48" s="381">
        <f>SUM(F45:F47)</f>
        <v>0</v>
      </c>
      <c r="G48" s="381"/>
      <c r="H48" s="382">
        <f>SUM(H45:H47)</f>
        <v>0</v>
      </c>
      <c r="Q48" s="373"/>
      <c r="R48" s="373"/>
    </row>
    <row r="49" spans="1:18" ht="20.100000000000001" customHeight="1">
      <c r="A49" s="393" t="s">
        <v>139</v>
      </c>
      <c r="B49" s="394" t="s">
        <v>14</v>
      </c>
      <c r="C49" s="375" t="s">
        <v>715</v>
      </c>
      <c r="D49" s="375" t="s">
        <v>8</v>
      </c>
      <c r="E49" s="375" t="s">
        <v>705</v>
      </c>
      <c r="F49" s="375" t="s">
        <v>8</v>
      </c>
      <c r="G49" s="394" t="s">
        <v>22</v>
      </c>
      <c r="H49" s="395" t="s">
        <v>40</v>
      </c>
      <c r="Q49" s="373"/>
      <c r="R49" s="373"/>
    </row>
    <row r="50" spans="1:18" ht="20.100000000000001" customHeight="1">
      <c r="A50" s="722" t="s">
        <v>731</v>
      </c>
      <c r="B50" s="715"/>
      <c r="C50" s="377">
        <f>C3</f>
        <v>2400</v>
      </c>
      <c r="D50" s="377"/>
      <c r="E50" s="377">
        <v>0</v>
      </c>
      <c r="F50" s="377">
        <v>0</v>
      </c>
      <c r="G50" s="377">
        <v>0.62</v>
      </c>
      <c r="H50" s="378">
        <f>ROUND((C50*D50+E50*F50)/1000*G50,2)</f>
        <v>0</v>
      </c>
      <c r="Q50" s="373"/>
      <c r="R50" s="373"/>
    </row>
    <row r="51" spans="1:18" ht="20.100000000000001" customHeight="1">
      <c r="A51" s="722"/>
      <c r="B51" s="715"/>
      <c r="C51" s="377"/>
      <c r="D51" s="377"/>
      <c r="E51" s="377">
        <f>ROUND((C51+D51)/1000*2,2)</f>
        <v>0</v>
      </c>
      <c r="F51" s="377"/>
      <c r="G51" s="377">
        <f>G50</f>
        <v>0.62</v>
      </c>
      <c r="H51" s="378">
        <f>E51*G51*F51</f>
        <v>0</v>
      </c>
      <c r="Q51" s="373"/>
      <c r="R51" s="373"/>
    </row>
    <row r="52" spans="1:18" ht="20.100000000000001" customHeight="1">
      <c r="A52" s="722"/>
      <c r="B52" s="715"/>
      <c r="C52" s="377"/>
      <c r="D52" s="377"/>
      <c r="E52" s="377">
        <f>ROUND((C52+D52)/1000*2,2)</f>
        <v>0</v>
      </c>
      <c r="F52" s="377"/>
      <c r="G52" s="377">
        <f>G50</f>
        <v>0.62</v>
      </c>
      <c r="H52" s="378">
        <f>E52*G52*F52</f>
        <v>0</v>
      </c>
      <c r="Q52" s="373"/>
      <c r="R52" s="373"/>
    </row>
    <row r="53" spans="1:18" ht="20.100000000000001" customHeight="1">
      <c r="A53" s="718" t="s">
        <v>182</v>
      </c>
      <c r="B53" s="719"/>
      <c r="C53" s="381"/>
      <c r="D53" s="387" t="s">
        <v>710</v>
      </c>
      <c r="E53" s="387">
        <f>ROUND((E50*F50+E51*F51+E52*F52),2)</f>
        <v>0</v>
      </c>
      <c r="F53" s="381">
        <f>SUM(F50:F52)</f>
        <v>0</v>
      </c>
      <c r="G53" s="381"/>
      <c r="H53" s="382">
        <f>SUM(H50:H52)</f>
        <v>0</v>
      </c>
      <c r="Q53" s="373"/>
      <c r="R53" s="373"/>
    </row>
    <row r="54" spans="1:18" ht="20.100000000000001" customHeight="1">
      <c r="A54" s="393" t="s">
        <v>139</v>
      </c>
      <c r="B54" s="394" t="s">
        <v>14</v>
      </c>
      <c r="C54" s="375" t="s">
        <v>715</v>
      </c>
      <c r="D54" s="375" t="s">
        <v>8</v>
      </c>
      <c r="E54" s="375" t="s">
        <v>705</v>
      </c>
      <c r="F54" s="375" t="s">
        <v>8</v>
      </c>
      <c r="G54" s="394" t="s">
        <v>22</v>
      </c>
      <c r="H54" s="395" t="s">
        <v>40</v>
      </c>
      <c r="Q54" s="373"/>
      <c r="R54" s="373"/>
    </row>
    <row r="55" spans="1:18" ht="20.100000000000001" customHeight="1">
      <c r="A55" s="722" t="s">
        <v>732</v>
      </c>
      <c r="B55" s="715" t="s">
        <v>733</v>
      </c>
      <c r="C55" s="377"/>
      <c r="D55" s="377"/>
      <c r="E55" s="377"/>
      <c r="F55" s="377"/>
      <c r="G55" s="377">
        <v>1.5740000000000001</v>
      </c>
      <c r="H55" s="378">
        <f>ROUND((C55*D55+E55*F55)/1000*G55,2)</f>
        <v>0</v>
      </c>
      <c r="Q55" s="373"/>
      <c r="R55" s="373"/>
    </row>
    <row r="56" spans="1:18" ht="20.100000000000001" customHeight="1">
      <c r="A56" s="722"/>
      <c r="B56" s="715"/>
      <c r="C56" s="377"/>
      <c r="D56" s="377"/>
      <c r="E56" s="377">
        <f>ROUND((C56+D56)/1000*2,2)</f>
        <v>0</v>
      </c>
      <c r="F56" s="377"/>
      <c r="G56" s="377">
        <f>G55</f>
        <v>1.5740000000000001</v>
      </c>
      <c r="H56" s="378">
        <f>E56*G56*F56</f>
        <v>0</v>
      </c>
      <c r="Q56" s="373"/>
      <c r="R56" s="373"/>
    </row>
    <row r="57" spans="1:18" ht="20.100000000000001" customHeight="1">
      <c r="A57" s="722"/>
      <c r="B57" s="715"/>
      <c r="C57" s="377"/>
      <c r="D57" s="377"/>
      <c r="E57" s="377">
        <f>ROUND((C57+D57)/1000*2,2)</f>
        <v>0</v>
      </c>
      <c r="F57" s="377"/>
      <c r="G57" s="377">
        <f>G55</f>
        <v>1.5740000000000001</v>
      </c>
      <c r="H57" s="378">
        <f>E57*G57*F57</f>
        <v>0</v>
      </c>
      <c r="Q57" s="373"/>
      <c r="R57" s="373"/>
    </row>
    <row r="58" spans="1:18" ht="20.100000000000001" customHeight="1">
      <c r="A58" s="718" t="s">
        <v>182</v>
      </c>
      <c r="B58" s="719"/>
      <c r="C58" s="381"/>
      <c r="D58" s="387" t="s">
        <v>710</v>
      </c>
      <c r="E58" s="387">
        <f>ROUND((E55*F55+E56*F56+E57*F57+D55*C55+D56*C56+C57*D57)/1000,2)</f>
        <v>0</v>
      </c>
      <c r="F58" s="381">
        <f>SUM(F55:F57)</f>
        <v>0</v>
      </c>
      <c r="G58" s="381"/>
      <c r="H58" s="382">
        <f>SUM(H55:H57)</f>
        <v>0</v>
      </c>
      <c r="Q58" s="373"/>
      <c r="R58" s="373"/>
    </row>
    <row r="59" spans="1:18" ht="20.100000000000001" customHeight="1">
      <c r="A59" s="393" t="s">
        <v>139</v>
      </c>
      <c r="B59" s="394" t="s">
        <v>14</v>
      </c>
      <c r="C59" s="375" t="s">
        <v>715</v>
      </c>
      <c r="D59" s="375" t="s">
        <v>8</v>
      </c>
      <c r="E59" s="375" t="s">
        <v>705</v>
      </c>
      <c r="F59" s="375" t="s">
        <v>8</v>
      </c>
      <c r="G59" s="394" t="s">
        <v>22</v>
      </c>
      <c r="H59" s="395" t="s">
        <v>40</v>
      </c>
      <c r="Q59" s="373"/>
      <c r="R59" s="373"/>
    </row>
    <row r="60" spans="1:18" ht="20.100000000000001" customHeight="1">
      <c r="A60" s="722" t="s">
        <v>734</v>
      </c>
      <c r="B60" s="715" t="s">
        <v>735</v>
      </c>
      <c r="C60" s="377">
        <f>C55</f>
        <v>0</v>
      </c>
      <c r="D60" s="377">
        <f>D55</f>
        <v>0</v>
      </c>
      <c r="E60" s="377">
        <f>E55</f>
        <v>0</v>
      </c>
      <c r="F60" s="377">
        <f>F55</f>
        <v>0</v>
      </c>
      <c r="G60" s="377">
        <f>1.699+0.367</f>
        <v>2.0659999999999998</v>
      </c>
      <c r="H60" s="378">
        <f>ROUND((C60*D60+E60*F60)/1000*G60,2)</f>
        <v>0</v>
      </c>
      <c r="Q60" s="373"/>
      <c r="R60" s="373"/>
    </row>
    <row r="61" spans="1:18" ht="20.100000000000001" customHeight="1">
      <c r="A61" s="722"/>
      <c r="B61" s="715"/>
      <c r="C61" s="377">
        <f t="shared" ref="C61:C62" si="10">C56</f>
        <v>0</v>
      </c>
      <c r="D61" s="377"/>
      <c r="E61" s="377">
        <f t="shared" ref="E61:E62" si="11">E56</f>
        <v>0</v>
      </c>
      <c r="F61" s="377"/>
      <c r="G61" s="377">
        <f>G60</f>
        <v>2.0659999999999998</v>
      </c>
      <c r="H61" s="378">
        <f>E61*G61*F61</f>
        <v>0</v>
      </c>
      <c r="Q61" s="373"/>
      <c r="R61" s="373"/>
    </row>
    <row r="62" spans="1:18" ht="20.100000000000001" customHeight="1">
      <c r="A62" s="722"/>
      <c r="B62" s="715"/>
      <c r="C62" s="377">
        <f t="shared" si="10"/>
        <v>0</v>
      </c>
      <c r="D62" s="377"/>
      <c r="E62" s="377">
        <f t="shared" si="11"/>
        <v>0</v>
      </c>
      <c r="F62" s="377"/>
      <c r="G62" s="377">
        <f>G60</f>
        <v>2.0659999999999998</v>
      </c>
      <c r="H62" s="378">
        <f>E62*G62*F62</f>
        <v>0</v>
      </c>
      <c r="Q62" s="373"/>
      <c r="R62" s="373"/>
    </row>
    <row r="63" spans="1:18" ht="20.100000000000001" customHeight="1">
      <c r="A63" s="718" t="s">
        <v>182</v>
      </c>
      <c r="B63" s="719"/>
      <c r="C63" s="381"/>
      <c r="D63" s="387" t="s">
        <v>710</v>
      </c>
      <c r="E63" s="387">
        <f>ROUND((E60*F60+E61*F61+E62*F62+D60*C60+D61*C61+C62*D62)/1000,2)</f>
        <v>0</v>
      </c>
      <c r="F63" s="381">
        <f>SUM(F60:F62)</f>
        <v>0</v>
      </c>
      <c r="G63" s="381"/>
      <c r="H63" s="382">
        <f>SUM(H60:H62)</f>
        <v>0</v>
      </c>
      <c r="Q63" s="373"/>
      <c r="R63" s="373"/>
    </row>
    <row r="64" spans="1:18" ht="20.100000000000001" customHeight="1">
      <c r="A64" s="396" t="s">
        <v>142</v>
      </c>
      <c r="B64" s="397">
        <f>材料价格!B4</f>
        <v>22081.5</v>
      </c>
      <c r="C64" s="398" t="s">
        <v>138</v>
      </c>
      <c r="D64" s="399">
        <f>(H9+H15+H21+H26+H32+H37+H43+H48+H53)*1.1</f>
        <v>188.88100000000003</v>
      </c>
      <c r="E64" s="398" t="s">
        <v>736</v>
      </c>
      <c r="F64" s="400">
        <f>ROUND((B64+Q64)/1000,2)</f>
        <v>41.28</v>
      </c>
      <c r="G64" s="398" t="s">
        <v>45</v>
      </c>
      <c r="H64" s="401">
        <f>ROUND(D64*F64,2)</f>
        <v>7797.01</v>
      </c>
      <c r="I64" s="402">
        <v>28645.186483760001</v>
      </c>
      <c r="J64" s="403">
        <f>ROUND(I64/J3,2)</f>
        <v>471.76</v>
      </c>
      <c r="Q64" s="373">
        <f>材料价格!B7</f>
        <v>19200</v>
      </c>
      <c r="R64" s="373"/>
    </row>
    <row r="65" spans="1:18" ht="20.100000000000001" customHeight="1">
      <c r="A65" s="396" t="str">
        <f>A64</f>
        <v>铝锭价格</v>
      </c>
      <c r="B65" s="397">
        <f>B64</f>
        <v>22081.5</v>
      </c>
      <c r="C65" s="398" t="s">
        <v>737</v>
      </c>
      <c r="D65" s="399">
        <f>(H58+H63)*1.1</f>
        <v>0</v>
      </c>
      <c r="E65" s="398" t="str">
        <f>E64</f>
        <v>型材价格</v>
      </c>
      <c r="F65" s="400"/>
      <c r="G65" s="398" t="str">
        <f>G64</f>
        <v>型材总价</v>
      </c>
      <c r="H65" s="401">
        <f>ROUND(D65*F65,2)</f>
        <v>0</v>
      </c>
      <c r="I65" s="402"/>
      <c r="J65" s="403"/>
      <c r="Q65" s="373"/>
      <c r="R65" s="373"/>
    </row>
    <row r="66" spans="1:18" ht="20.100000000000001" customHeight="1">
      <c r="A66" s="404" t="s">
        <v>714</v>
      </c>
      <c r="B66" s="405"/>
      <c r="C66" s="405"/>
      <c r="D66" s="406"/>
      <c r="E66" s="406"/>
      <c r="F66" s="407"/>
      <c r="G66" s="407"/>
      <c r="H66" s="408">
        <f>H38+H27+H16+H10</f>
        <v>0</v>
      </c>
      <c r="I66" s="402"/>
      <c r="J66" s="403"/>
      <c r="Q66" s="373">
        <f>H66+H64</f>
        <v>7797.01</v>
      </c>
      <c r="R66" s="373">
        <f>Q66/D64</f>
        <v>41.280012282865925</v>
      </c>
    </row>
    <row r="67" spans="1:18" ht="20.100000000000001" customHeight="1">
      <c r="A67" s="409" t="s">
        <v>112</v>
      </c>
      <c r="B67" s="410" t="s">
        <v>14</v>
      </c>
      <c r="C67" s="410" t="s">
        <v>301</v>
      </c>
      <c r="D67" s="410" t="s">
        <v>8</v>
      </c>
      <c r="E67" s="410" t="s">
        <v>112</v>
      </c>
      <c r="F67" s="410" t="s">
        <v>14</v>
      </c>
      <c r="G67" s="410" t="s">
        <v>301</v>
      </c>
      <c r="H67" s="411" t="s">
        <v>8</v>
      </c>
      <c r="Q67" s="373"/>
      <c r="R67" s="373"/>
    </row>
    <row r="68" spans="1:18" ht="20.100000000000001" customHeight="1">
      <c r="A68" s="720" t="s">
        <v>738</v>
      </c>
      <c r="B68" s="412" t="s">
        <v>739</v>
      </c>
      <c r="C68" s="108">
        <v>1.1000000000000001</v>
      </c>
      <c r="D68" s="253">
        <f>D55*2</f>
        <v>0</v>
      </c>
      <c r="E68" s="720" t="s">
        <v>740</v>
      </c>
      <c r="F68" s="412" t="s">
        <v>741</v>
      </c>
      <c r="G68" s="108">
        <v>0.85</v>
      </c>
      <c r="H68" s="253">
        <f>D68</f>
        <v>0</v>
      </c>
      <c r="Q68" s="373"/>
      <c r="R68" s="373"/>
    </row>
    <row r="69" spans="1:18" ht="20.100000000000001" customHeight="1">
      <c r="A69" s="720"/>
      <c r="B69" s="412" t="s">
        <v>742</v>
      </c>
      <c r="C69" s="108">
        <v>0.91</v>
      </c>
      <c r="D69" s="253">
        <f>D68</f>
        <v>0</v>
      </c>
      <c r="E69" s="720"/>
      <c r="F69" s="412" t="s">
        <v>743</v>
      </c>
      <c r="G69" s="108">
        <v>1.45</v>
      </c>
      <c r="H69" s="253">
        <f>H68</f>
        <v>0</v>
      </c>
      <c r="Q69" s="373"/>
      <c r="R69" s="373"/>
    </row>
    <row r="70" spans="1:18" ht="20.100000000000001" customHeight="1">
      <c r="A70" s="396" t="s">
        <v>151</v>
      </c>
      <c r="B70" s="399"/>
      <c r="C70" s="398" t="s">
        <v>304</v>
      </c>
      <c r="D70" s="398">
        <f>ROUND(B70*1.05,3)</f>
        <v>0</v>
      </c>
      <c r="E70" s="398" t="s">
        <v>744</v>
      </c>
      <c r="F70" s="398"/>
      <c r="G70" s="398" t="s">
        <v>745</v>
      </c>
      <c r="H70" s="401">
        <f>D68*C68+C69*D69+G68*H68+G69*H69</f>
        <v>0</v>
      </c>
      <c r="Q70" s="373"/>
      <c r="R70" s="373"/>
    </row>
    <row r="71" spans="1:18" ht="20.100000000000001" customHeight="1">
      <c r="A71" s="714" t="s">
        <v>746</v>
      </c>
      <c r="B71" s="715"/>
      <c r="C71" s="715"/>
      <c r="D71" s="715"/>
      <c r="E71" s="715"/>
      <c r="F71" s="715"/>
      <c r="G71" s="715"/>
      <c r="H71" s="716"/>
      <c r="I71" s="403"/>
      <c r="J71" s="403"/>
      <c r="Q71" s="373"/>
      <c r="R71" s="373"/>
    </row>
    <row r="72" spans="1:18" ht="20.100000000000001" customHeight="1">
      <c r="A72" s="393" t="s">
        <v>747</v>
      </c>
      <c r="B72" s="394" t="s">
        <v>748</v>
      </c>
      <c r="C72" s="394" t="s">
        <v>17</v>
      </c>
      <c r="D72" s="394" t="s">
        <v>8</v>
      </c>
      <c r="E72" s="394" t="s">
        <v>7</v>
      </c>
      <c r="F72" s="394" t="s">
        <v>28</v>
      </c>
      <c r="G72" s="717" t="s">
        <v>29</v>
      </c>
      <c r="H72" s="721"/>
      <c r="I72" s="403"/>
      <c r="J72" s="403"/>
      <c r="Q72" s="373"/>
      <c r="R72" s="373"/>
    </row>
    <row r="73" spans="1:18" ht="20.100000000000001" customHeight="1">
      <c r="A73" s="413" t="str">
        <f>[32]价格表!A12</f>
        <v>6+16Ar+6+16Ar+6暖边氩气</v>
      </c>
      <c r="B73" s="377"/>
      <c r="C73" s="377"/>
      <c r="D73" s="414">
        <v>1</v>
      </c>
      <c r="E73" s="415">
        <f>E3*0.95-E112-E113-E114</f>
        <v>1.2709999999999972</v>
      </c>
      <c r="F73" s="416">
        <f>材料价格!B10</f>
        <v>148</v>
      </c>
      <c r="G73" s="701">
        <f>E73*F73</f>
        <v>188.10799999999961</v>
      </c>
      <c r="H73" s="713"/>
      <c r="I73" s="403"/>
      <c r="J73" s="403"/>
      <c r="Q73" s="373"/>
      <c r="R73" s="373"/>
    </row>
    <row r="74" spans="1:18" ht="20.100000000000001" customHeight="1">
      <c r="A74" s="413" t="str">
        <f>A73</f>
        <v>6+16Ar+6+16Ar+6暖边氩气</v>
      </c>
      <c r="B74" s="377"/>
      <c r="C74" s="377"/>
      <c r="D74" s="377"/>
      <c r="E74" s="377">
        <f t="shared" ref="E74:E75" si="12">ROUND((B74*C74*D74)/1000000,2)</f>
        <v>0</v>
      </c>
      <c r="F74" s="416">
        <f>F73</f>
        <v>148</v>
      </c>
      <c r="G74" s="701">
        <f t="shared" ref="G74:G75" si="13">E74*F74</f>
        <v>0</v>
      </c>
      <c r="H74" s="713"/>
      <c r="I74" s="403" t="s">
        <v>749</v>
      </c>
      <c r="J74" s="403">
        <v>0.17</v>
      </c>
      <c r="Q74" s="373"/>
      <c r="R74" s="373"/>
    </row>
    <row r="75" spans="1:18" ht="20.100000000000001" customHeight="1">
      <c r="A75" s="413" t="str">
        <f>A73</f>
        <v>6+16Ar+6+16Ar+6暖边氩气</v>
      </c>
      <c r="B75" s="377"/>
      <c r="C75" s="377"/>
      <c r="D75" s="377"/>
      <c r="E75" s="377">
        <f t="shared" si="12"/>
        <v>0</v>
      </c>
      <c r="F75" s="416">
        <f>F73</f>
        <v>148</v>
      </c>
      <c r="G75" s="701">
        <f t="shared" si="13"/>
        <v>0</v>
      </c>
      <c r="H75" s="713"/>
      <c r="I75" s="403" t="s">
        <v>183</v>
      </c>
      <c r="J75" s="403">
        <v>0.82</v>
      </c>
      <c r="Q75" s="373"/>
      <c r="R75" s="373"/>
    </row>
    <row r="76" spans="1:18" ht="20.100000000000001" customHeight="1">
      <c r="A76" s="417"/>
      <c r="B76" s="418" t="s">
        <v>750</v>
      </c>
      <c r="C76" s="419" t="s">
        <v>751</v>
      </c>
      <c r="D76" s="420">
        <f>E73+E74+E75</f>
        <v>1.2709999999999972</v>
      </c>
      <c r="E76" s="418" t="s">
        <v>185</v>
      </c>
      <c r="F76" s="421">
        <f>G73+G74+G75</f>
        <v>188.10799999999961</v>
      </c>
      <c r="G76" s="421" t="s">
        <v>752</v>
      </c>
      <c r="H76" s="422">
        <f>F76/D76</f>
        <v>148</v>
      </c>
      <c r="J76" s="364">
        <v>3</v>
      </c>
      <c r="K76" s="364">
        <v>0.8</v>
      </c>
      <c r="L76" s="364">
        <v>100</v>
      </c>
      <c r="M76" s="364">
        <f>J76*K76*L76</f>
        <v>240.00000000000003</v>
      </c>
      <c r="N76" s="423" t="e">
        <f>#REF!*M76/#REF!</f>
        <v>#REF!</v>
      </c>
      <c r="O76" s="364" t="s">
        <v>753</v>
      </c>
      <c r="Q76" s="373"/>
      <c r="R76" s="373"/>
    </row>
    <row r="77" spans="1:18" ht="20.100000000000001" customHeight="1">
      <c r="A77" s="714" t="s">
        <v>754</v>
      </c>
      <c r="B77" s="715"/>
      <c r="C77" s="715"/>
      <c r="D77" s="715"/>
      <c r="E77" s="715"/>
      <c r="F77" s="715"/>
      <c r="G77" s="715"/>
      <c r="H77" s="716"/>
      <c r="Q77" s="373"/>
      <c r="R77" s="373"/>
    </row>
    <row r="78" spans="1:18" ht="20.100000000000001" customHeight="1">
      <c r="A78" s="393" t="s">
        <v>0</v>
      </c>
      <c r="B78" s="394" t="s">
        <v>139</v>
      </c>
      <c r="C78" s="717" t="s">
        <v>755</v>
      </c>
      <c r="D78" s="717"/>
      <c r="E78" s="394" t="s">
        <v>8</v>
      </c>
      <c r="F78" s="394" t="s">
        <v>269</v>
      </c>
      <c r="G78" s="394" t="s">
        <v>28</v>
      </c>
      <c r="H78" s="395" t="s">
        <v>29</v>
      </c>
      <c r="M78" s="364">
        <v>300</v>
      </c>
      <c r="N78" s="364">
        <v>35</v>
      </c>
      <c r="Q78" s="373"/>
      <c r="R78" s="373"/>
    </row>
    <row r="79" spans="1:18" ht="20.100000000000001" customHeight="1">
      <c r="A79" s="702" t="s">
        <v>275</v>
      </c>
      <c r="B79" s="377" t="s">
        <v>756</v>
      </c>
      <c r="C79" s="706" t="s">
        <v>757</v>
      </c>
      <c r="D79" s="706"/>
      <c r="E79" s="415">
        <f>E9*2+E15*2</f>
        <v>60.8</v>
      </c>
      <c r="F79" s="415" t="s">
        <v>758</v>
      </c>
      <c r="G79" s="415">
        <v>6.3244800000000003</v>
      </c>
      <c r="H79" s="378">
        <f t="shared" ref="H79:H83" si="14">E79*G79</f>
        <v>384.52838400000002</v>
      </c>
      <c r="Q79" s="373"/>
      <c r="R79" s="373"/>
    </row>
    <row r="80" spans="1:18" ht="20.100000000000001" customHeight="1">
      <c r="A80" s="703"/>
      <c r="B80" s="377" t="s">
        <v>759</v>
      </c>
      <c r="C80" s="706" t="s">
        <v>760</v>
      </c>
      <c r="D80" s="706"/>
      <c r="E80" s="415">
        <f>(C3+D3*2)/1000+(E119+0.032*2*D119)</f>
        <v>35.227999999999994</v>
      </c>
      <c r="F80" s="415" t="s">
        <v>758</v>
      </c>
      <c r="G80" s="415">
        <v>5.0796720000000004</v>
      </c>
      <c r="H80" s="378">
        <f t="shared" si="14"/>
        <v>178.94668521599999</v>
      </c>
      <c r="Q80" s="373"/>
      <c r="R80" s="373"/>
    </row>
    <row r="81" spans="1:18" ht="20.100000000000001" customHeight="1">
      <c r="A81" s="703"/>
      <c r="B81" s="377" t="s">
        <v>761</v>
      </c>
      <c r="C81" s="706" t="s">
        <v>762</v>
      </c>
      <c r="D81" s="706"/>
      <c r="E81" s="415">
        <f>((C6-58+16)*D6+(E6-58+16)*F6+(C7-58+16)*D7+(E7-58+16)*F7+(C8-58+16)*D8+(E8-58+16)*F8)/1000</f>
        <v>15.916</v>
      </c>
      <c r="F81" s="415" t="s">
        <v>758</v>
      </c>
      <c r="G81" s="415">
        <v>72.054360000000003</v>
      </c>
      <c r="H81" s="378">
        <f t="shared" si="14"/>
        <v>1146.81719376</v>
      </c>
      <c r="Q81" s="373"/>
      <c r="R81" s="373"/>
    </row>
    <row r="82" spans="1:18" ht="20.100000000000001" customHeight="1">
      <c r="A82" s="703"/>
      <c r="B82" s="377" t="s">
        <v>763</v>
      </c>
      <c r="C82" s="706" t="s">
        <v>764</v>
      </c>
      <c r="D82" s="706"/>
      <c r="E82" s="415">
        <f>(E15-E83)+32*F15/1000</f>
        <v>12.192</v>
      </c>
      <c r="F82" s="415" t="s">
        <v>758</v>
      </c>
      <c r="G82" s="415">
        <v>71.542439999999999</v>
      </c>
      <c r="H82" s="378">
        <f t="shared" si="14"/>
        <v>872.24542847999999</v>
      </c>
      <c r="R82" s="373"/>
    </row>
    <row r="83" spans="1:18" ht="20.100000000000001" customHeight="1">
      <c r="A83" s="704"/>
      <c r="B83" s="377" t="s">
        <v>765</v>
      </c>
      <c r="C83" s="706" t="s">
        <v>766</v>
      </c>
      <c r="D83" s="706"/>
      <c r="E83" s="415">
        <f>C3/1000</f>
        <v>2.4</v>
      </c>
      <c r="F83" s="415" t="s">
        <v>758</v>
      </c>
      <c r="G83" s="415">
        <v>84.492720000000006</v>
      </c>
      <c r="H83" s="378">
        <f t="shared" si="14"/>
        <v>202.78252800000001</v>
      </c>
      <c r="R83" s="373"/>
    </row>
    <row r="84" spans="1:18" ht="20.100000000000001" customHeight="1">
      <c r="A84" s="694" t="s">
        <v>227</v>
      </c>
      <c r="B84" s="695"/>
      <c r="C84" s="695"/>
      <c r="D84" s="695"/>
      <c r="E84" s="424">
        <f>SUM(E79:E83)</f>
        <v>126.536</v>
      </c>
      <c r="F84" s="424"/>
      <c r="G84" s="424">
        <f>H84/E84</f>
        <v>22.012077349181265</v>
      </c>
      <c r="H84" s="389">
        <f>SUM(H79:H83)</f>
        <v>2785.3202194560004</v>
      </c>
      <c r="R84" s="373"/>
    </row>
    <row r="85" spans="1:18" ht="20.100000000000001" customHeight="1">
      <c r="A85" s="702" t="s">
        <v>767</v>
      </c>
      <c r="B85" s="377" t="s">
        <v>753</v>
      </c>
      <c r="C85" s="706" t="s">
        <v>768</v>
      </c>
      <c r="D85" s="706"/>
      <c r="E85" s="415">
        <f>(C3+D3)*2/1000</f>
        <v>20.8</v>
      </c>
      <c r="F85" s="415" t="s">
        <v>758</v>
      </c>
      <c r="G85" s="415">
        <v>25</v>
      </c>
      <c r="H85" s="378">
        <f>G85*E85</f>
        <v>520</v>
      </c>
      <c r="J85" s="364">
        <v>2</v>
      </c>
      <c r="K85" s="364">
        <v>0.6</v>
      </c>
      <c r="L85" s="364">
        <v>100</v>
      </c>
      <c r="M85" s="364">
        <f>J85*K85*L85</f>
        <v>120</v>
      </c>
      <c r="N85" s="364">
        <f>N78*M85/M78</f>
        <v>14</v>
      </c>
      <c r="O85" s="364" t="s">
        <v>753</v>
      </c>
      <c r="Q85" s="373"/>
      <c r="R85" s="373"/>
    </row>
    <row r="86" spans="1:18" ht="20.100000000000001" customHeight="1">
      <c r="A86" s="703"/>
      <c r="B86" s="377" t="s">
        <v>769</v>
      </c>
      <c r="C86" s="706" t="s">
        <v>770</v>
      </c>
      <c r="D86" s="706"/>
      <c r="E86" s="415">
        <f>(C3+D3)*2/1000</f>
        <v>20.8</v>
      </c>
      <c r="F86" s="415" t="s">
        <v>758</v>
      </c>
      <c r="G86" s="415">
        <f>[33]价格表!B17</f>
        <v>10</v>
      </c>
      <c r="H86" s="378">
        <f t="shared" ref="H86:H89" si="15">G86*E86</f>
        <v>208</v>
      </c>
      <c r="Q86" s="373"/>
      <c r="R86" s="373"/>
    </row>
    <row r="87" spans="1:18" ht="18.95" customHeight="1">
      <c r="A87" s="703"/>
      <c r="B87" s="377" t="s">
        <v>221</v>
      </c>
      <c r="C87" s="706" t="s">
        <v>771</v>
      </c>
      <c r="D87" s="706"/>
      <c r="E87" s="415">
        <f>E86</f>
        <v>20.8</v>
      </c>
      <c r="F87" s="415" t="s">
        <v>758</v>
      </c>
      <c r="G87" s="415">
        <f>[33]价格表!B18</f>
        <v>0</v>
      </c>
      <c r="H87" s="378">
        <f t="shared" si="15"/>
        <v>0</v>
      </c>
      <c r="J87" s="364">
        <v>0.6</v>
      </c>
      <c r="K87" s="364">
        <v>2.5</v>
      </c>
      <c r="L87" s="364">
        <v>100</v>
      </c>
      <c r="M87" s="364">
        <f>L87*K87*J87</f>
        <v>150</v>
      </c>
      <c r="N87" s="364" t="e">
        <f>#REF!*M87/#REF!</f>
        <v>#REF!</v>
      </c>
      <c r="O87" s="364" t="s">
        <v>641</v>
      </c>
      <c r="Q87" s="373"/>
      <c r="R87" s="373"/>
    </row>
    <row r="88" spans="1:18" ht="20.100000000000001" customHeight="1">
      <c r="A88" s="703"/>
      <c r="B88" s="377" t="s">
        <v>772</v>
      </c>
      <c r="C88" s="701"/>
      <c r="D88" s="701"/>
      <c r="E88" s="415">
        <f>(C3+D3)*2/1000</f>
        <v>20.8</v>
      </c>
      <c r="F88" s="415" t="s">
        <v>758</v>
      </c>
      <c r="G88" s="415">
        <f>G86</f>
        <v>10</v>
      </c>
      <c r="H88" s="378">
        <f t="shared" si="15"/>
        <v>208</v>
      </c>
      <c r="Q88" s="373"/>
      <c r="R88" s="373"/>
    </row>
    <row r="89" spans="1:18" ht="20.100000000000001" customHeight="1">
      <c r="A89" s="704"/>
      <c r="B89" s="377"/>
      <c r="C89" s="701"/>
      <c r="D89" s="701"/>
      <c r="E89" s="415"/>
      <c r="F89" s="415" t="s">
        <v>758</v>
      </c>
      <c r="G89" s="415">
        <v>2</v>
      </c>
      <c r="H89" s="378">
        <f t="shared" si="15"/>
        <v>0</v>
      </c>
      <c r="Q89" s="373"/>
      <c r="R89" s="373"/>
    </row>
    <row r="90" spans="1:18" ht="20.100000000000001" customHeight="1">
      <c r="A90" s="694" t="s">
        <v>227</v>
      </c>
      <c r="B90" s="695"/>
      <c r="C90" s="695"/>
      <c r="D90" s="695"/>
      <c r="E90" s="424"/>
      <c r="F90" s="424"/>
      <c r="G90" s="424"/>
      <c r="H90" s="389">
        <f>SUM(H85:H89)</f>
        <v>936</v>
      </c>
      <c r="Q90" s="373"/>
      <c r="R90" s="373"/>
    </row>
    <row r="91" spans="1:18" ht="20.100000000000001" customHeight="1">
      <c r="A91" s="705" t="s">
        <v>773</v>
      </c>
      <c r="B91" s="377" t="s">
        <v>774</v>
      </c>
      <c r="C91" s="706" t="s">
        <v>775</v>
      </c>
      <c r="D91" s="706"/>
      <c r="E91" s="425">
        <v>12</v>
      </c>
      <c r="F91" s="415" t="s">
        <v>274</v>
      </c>
      <c r="G91" s="415">
        <v>25</v>
      </c>
      <c r="H91" s="378">
        <f>G91*E91</f>
        <v>300</v>
      </c>
      <c r="M91" s="364">
        <v>300</v>
      </c>
      <c r="N91" s="364">
        <v>16</v>
      </c>
      <c r="Q91" s="373"/>
      <c r="R91" s="373"/>
    </row>
    <row r="92" spans="1:18" ht="20.100000000000001" customHeight="1">
      <c r="A92" s="705"/>
      <c r="B92" s="377" t="s">
        <v>776</v>
      </c>
      <c r="C92" s="706" t="s">
        <v>777</v>
      </c>
      <c r="D92" s="706"/>
      <c r="E92" s="415">
        <f>E91*2</f>
        <v>24</v>
      </c>
      <c r="F92" s="415" t="s">
        <v>274</v>
      </c>
      <c r="G92" s="415">
        <v>12</v>
      </c>
      <c r="H92" s="378">
        <f t="shared" ref="H92:H96" si="16">G92*E92</f>
        <v>288</v>
      </c>
      <c r="J92" s="364">
        <v>0.6</v>
      </c>
      <c r="K92" s="364">
        <v>2</v>
      </c>
      <c r="L92" s="364">
        <v>100</v>
      </c>
      <c r="M92" s="364">
        <f>L92*K92*J92</f>
        <v>120</v>
      </c>
      <c r="N92" s="364">
        <f>N91*M92/M91</f>
        <v>6.4</v>
      </c>
      <c r="O92" s="364" t="s">
        <v>283</v>
      </c>
      <c r="Q92" s="373"/>
      <c r="R92" s="373"/>
    </row>
    <row r="93" spans="1:18" ht="20.100000000000001" customHeight="1">
      <c r="A93" s="705"/>
      <c r="B93" s="377" t="s">
        <v>778</v>
      </c>
      <c r="C93" s="701" t="s">
        <v>779</v>
      </c>
      <c r="D93" s="701"/>
      <c r="E93" s="415">
        <f>E91*2</f>
        <v>24</v>
      </c>
      <c r="F93" s="415" t="s">
        <v>274</v>
      </c>
      <c r="G93" s="415">
        <v>10</v>
      </c>
      <c r="H93" s="378">
        <f t="shared" si="16"/>
        <v>240</v>
      </c>
      <c r="Q93" s="373"/>
      <c r="R93" s="373"/>
    </row>
    <row r="94" spans="1:18" ht="20.100000000000001" customHeight="1">
      <c r="A94" s="705"/>
      <c r="B94" s="377" t="s">
        <v>780</v>
      </c>
      <c r="C94" s="701"/>
      <c r="D94" s="701"/>
      <c r="E94" s="415">
        <f>E93</f>
        <v>24</v>
      </c>
      <c r="F94" s="415" t="s">
        <v>274</v>
      </c>
      <c r="G94" s="415">
        <v>3</v>
      </c>
      <c r="H94" s="378">
        <f t="shared" si="16"/>
        <v>72</v>
      </c>
      <c r="Q94" s="373"/>
      <c r="R94" s="373"/>
    </row>
    <row r="95" spans="1:18" ht="20.100000000000001" customHeight="1">
      <c r="A95" s="705"/>
      <c r="B95" s="377" t="s">
        <v>781</v>
      </c>
      <c r="C95" s="701" t="s">
        <v>782</v>
      </c>
      <c r="D95" s="701"/>
      <c r="E95" s="415">
        <f>E92</f>
        <v>24</v>
      </c>
      <c r="F95" s="415" t="s">
        <v>274</v>
      </c>
      <c r="G95" s="415">
        <v>2.5</v>
      </c>
      <c r="H95" s="378">
        <f t="shared" si="16"/>
        <v>60</v>
      </c>
      <c r="O95" s="364" t="s">
        <v>783</v>
      </c>
      <c r="Q95" s="373"/>
      <c r="R95" s="373"/>
    </row>
    <row r="96" spans="1:18" ht="20.100000000000001" customHeight="1">
      <c r="A96" s="705"/>
      <c r="B96" s="377" t="s">
        <v>784</v>
      </c>
      <c r="C96" s="701" t="s">
        <v>785</v>
      </c>
      <c r="D96" s="701"/>
      <c r="E96" s="426">
        <f>20*14</f>
        <v>280</v>
      </c>
      <c r="F96" s="415" t="s">
        <v>274</v>
      </c>
      <c r="G96" s="415">
        <v>2.5</v>
      </c>
      <c r="H96" s="378">
        <f t="shared" si="16"/>
        <v>700</v>
      </c>
      <c r="Q96" s="373"/>
      <c r="R96" s="373"/>
    </row>
    <row r="97" spans="1:18" ht="20.100000000000001" customHeight="1">
      <c r="A97" s="694" t="s">
        <v>786</v>
      </c>
      <c r="B97" s="695"/>
      <c r="C97" s="695"/>
      <c r="D97" s="695"/>
      <c r="E97" s="424"/>
      <c r="F97" s="424"/>
      <c r="G97" s="424">
        <f>H97/E91</f>
        <v>138.33333333333334</v>
      </c>
      <c r="H97" s="389">
        <f>SUM(H91:H96)</f>
        <v>1660</v>
      </c>
      <c r="Q97" s="373"/>
      <c r="R97" s="373"/>
    </row>
    <row r="98" spans="1:18" ht="20.100000000000001" customHeight="1">
      <c r="A98" s="705" t="s">
        <v>272</v>
      </c>
      <c r="B98" s="377" t="s">
        <v>787</v>
      </c>
      <c r="C98" s="701" t="s">
        <v>788</v>
      </c>
      <c r="D98" s="701"/>
      <c r="E98" s="415"/>
      <c r="F98" s="415" t="s">
        <v>789</v>
      </c>
      <c r="G98" s="415">
        <f>[32]价格表!B16</f>
        <v>250</v>
      </c>
      <c r="H98" s="378">
        <f>E98*G98</f>
        <v>0</v>
      </c>
      <c r="Q98" s="373"/>
      <c r="R98" s="373"/>
    </row>
    <row r="99" spans="1:18" ht="20.100000000000001" customHeight="1">
      <c r="A99" s="705"/>
      <c r="B99" s="377" t="s">
        <v>790</v>
      </c>
      <c r="C99" s="707" t="str">
        <f>C98</f>
        <v>诺托</v>
      </c>
      <c r="D99" s="708"/>
      <c r="E99" s="415"/>
      <c r="F99" s="415" t="s">
        <v>789</v>
      </c>
      <c r="G99" s="415"/>
      <c r="H99" s="378">
        <f t="shared" ref="H99:H109" si="17">E99*G99</f>
        <v>0</v>
      </c>
      <c r="Q99" s="373"/>
      <c r="R99" s="373"/>
    </row>
    <row r="100" spans="1:18" ht="20.100000000000001" customHeight="1">
      <c r="A100" s="705"/>
      <c r="B100" s="377" t="s">
        <v>791</v>
      </c>
      <c r="C100" s="701" t="s">
        <v>788</v>
      </c>
      <c r="D100" s="701"/>
      <c r="E100" s="415"/>
      <c r="F100" s="415" t="s">
        <v>789</v>
      </c>
      <c r="G100" s="415"/>
      <c r="H100" s="378">
        <f t="shared" si="17"/>
        <v>0</v>
      </c>
      <c r="Q100" s="373"/>
      <c r="R100" s="373"/>
    </row>
    <row r="101" spans="1:18" ht="20.100000000000001" customHeight="1">
      <c r="A101" s="694" t="s">
        <v>792</v>
      </c>
      <c r="B101" s="695"/>
      <c r="C101" s="695"/>
      <c r="D101" s="695"/>
      <c r="E101" s="424"/>
      <c r="F101" s="424"/>
      <c r="G101" s="424"/>
      <c r="H101" s="389">
        <f>SUM(H98:H100)</f>
        <v>0</v>
      </c>
      <c r="Q101" s="373"/>
      <c r="R101" s="373"/>
    </row>
    <row r="102" spans="1:18" ht="20.100000000000001" customHeight="1">
      <c r="A102" s="705" t="s">
        <v>793</v>
      </c>
      <c r="B102" s="377" t="s">
        <v>794</v>
      </c>
      <c r="C102" s="706" t="s">
        <v>795</v>
      </c>
      <c r="D102" s="706"/>
      <c r="E102" s="415">
        <f>E86</f>
        <v>20.8</v>
      </c>
      <c r="F102" s="415" t="s">
        <v>758</v>
      </c>
      <c r="G102" s="415">
        <v>0.1</v>
      </c>
      <c r="H102" s="378">
        <f t="shared" si="17"/>
        <v>2.08</v>
      </c>
      <c r="Q102" s="373"/>
      <c r="R102" s="373"/>
    </row>
    <row r="103" spans="1:18" ht="20.100000000000001" customHeight="1">
      <c r="A103" s="705"/>
      <c r="B103" s="377" t="s">
        <v>796</v>
      </c>
      <c r="C103" s="706" t="s">
        <v>797</v>
      </c>
      <c r="D103" s="706"/>
      <c r="E103" s="415">
        <f>E9+E15</f>
        <v>30.4</v>
      </c>
      <c r="F103" s="415" t="s">
        <v>758</v>
      </c>
      <c r="G103" s="415">
        <v>0.5</v>
      </c>
      <c r="H103" s="378">
        <f t="shared" si="17"/>
        <v>15.2</v>
      </c>
      <c r="J103" s="364">
        <v>0.6</v>
      </c>
      <c r="K103" s="364">
        <v>2</v>
      </c>
      <c r="L103" s="364">
        <v>100</v>
      </c>
      <c r="M103" s="364">
        <f>L103*K103*J103</f>
        <v>120</v>
      </c>
      <c r="N103" s="364" t="e">
        <f>#REF!*M103/#REF!</f>
        <v>#REF!</v>
      </c>
      <c r="O103" s="364" t="s">
        <v>798</v>
      </c>
      <c r="Q103" s="373"/>
      <c r="R103" s="373"/>
    </row>
    <row r="104" spans="1:18" ht="20.100000000000001" customHeight="1">
      <c r="A104" s="705"/>
      <c r="B104" s="377" t="s">
        <v>246</v>
      </c>
      <c r="C104" s="706" t="s">
        <v>799</v>
      </c>
      <c r="D104" s="706"/>
      <c r="E104" s="416">
        <f>ROUND((E3*30),0)</f>
        <v>557</v>
      </c>
      <c r="F104" s="415" t="s">
        <v>274</v>
      </c>
      <c r="G104" s="415">
        <v>0.1</v>
      </c>
      <c r="H104" s="378">
        <f t="shared" si="17"/>
        <v>55.7</v>
      </c>
      <c r="Q104" s="373"/>
      <c r="R104" s="373"/>
    </row>
    <row r="105" spans="1:18" ht="20.100000000000001" customHeight="1">
      <c r="A105" s="705"/>
      <c r="B105" s="377" t="s">
        <v>800</v>
      </c>
      <c r="C105" s="701"/>
      <c r="D105" s="701"/>
      <c r="E105" s="415">
        <f>E91*10</f>
        <v>120</v>
      </c>
      <c r="F105" s="415" t="s">
        <v>801</v>
      </c>
      <c r="G105" s="415">
        <v>0.25</v>
      </c>
      <c r="H105" s="378">
        <f t="shared" si="17"/>
        <v>30</v>
      </c>
      <c r="J105" s="364">
        <v>0.3</v>
      </c>
      <c r="K105" s="364">
        <v>0.25</v>
      </c>
      <c r="L105" s="364">
        <v>1.2E-2</v>
      </c>
      <c r="M105" s="364">
        <v>6.5</v>
      </c>
      <c r="N105" s="364">
        <v>7800</v>
      </c>
      <c r="O105" s="364">
        <f>J105*K105*L105*M105*N105</f>
        <v>45.63</v>
      </c>
      <c r="Q105" s="373"/>
      <c r="R105" s="373"/>
    </row>
    <row r="106" spans="1:18" ht="20.100000000000001" customHeight="1">
      <c r="A106" s="705"/>
      <c r="B106" s="377" t="s">
        <v>802</v>
      </c>
      <c r="C106" s="707" t="s">
        <v>803</v>
      </c>
      <c r="D106" s="708"/>
      <c r="E106" s="415">
        <f>ROUND(R1*2*1.05,0)</f>
        <v>38</v>
      </c>
      <c r="F106" s="415" t="s">
        <v>274</v>
      </c>
      <c r="G106" s="415">
        <v>19.5</v>
      </c>
      <c r="H106" s="378">
        <f t="shared" si="17"/>
        <v>741</v>
      </c>
      <c r="Q106" s="373"/>
      <c r="R106" s="373"/>
    </row>
    <row r="107" spans="1:18" ht="20.100000000000001" customHeight="1">
      <c r="A107" s="705"/>
      <c r="B107" s="377" t="s">
        <v>804</v>
      </c>
      <c r="C107" s="709" t="s">
        <v>805</v>
      </c>
      <c r="D107" s="710"/>
      <c r="E107" s="415">
        <f>(C3*2+D3*2+40*4+100)/1000</f>
        <v>21.06</v>
      </c>
      <c r="F107" s="415" t="s">
        <v>758</v>
      </c>
      <c r="G107" s="415">
        <f>339/25</f>
        <v>13.56</v>
      </c>
      <c r="H107" s="378"/>
      <c r="Q107" s="373"/>
      <c r="R107" s="373"/>
    </row>
    <row r="108" spans="1:18" ht="20.100000000000001" customHeight="1">
      <c r="A108" s="705"/>
      <c r="B108" s="377" t="s">
        <v>806</v>
      </c>
      <c r="C108" s="711" t="s">
        <v>807</v>
      </c>
      <c r="D108" s="712"/>
      <c r="E108" s="415">
        <f>(C3*2+D3*2+400*3)/1000</f>
        <v>22</v>
      </c>
      <c r="F108" s="415" t="s">
        <v>758</v>
      </c>
      <c r="G108" s="415">
        <v>20.07</v>
      </c>
      <c r="H108" s="378"/>
      <c r="Q108" s="373"/>
      <c r="R108" s="373"/>
    </row>
    <row r="109" spans="1:18" ht="20.100000000000001" customHeight="1">
      <c r="A109" s="705"/>
      <c r="B109" s="377" t="s">
        <v>640</v>
      </c>
      <c r="C109" s="701"/>
      <c r="D109" s="701"/>
      <c r="E109" s="415">
        <f>G3</f>
        <v>18.579999999999998</v>
      </c>
      <c r="F109" s="415" t="s">
        <v>6</v>
      </c>
      <c r="G109" s="426">
        <v>20</v>
      </c>
      <c r="H109" s="378">
        <f t="shared" si="17"/>
        <v>371.59999999999997</v>
      </c>
      <c r="Q109" s="373"/>
      <c r="R109" s="373"/>
    </row>
    <row r="110" spans="1:18" ht="20.100000000000001" customHeight="1">
      <c r="A110" s="694" t="s">
        <v>215</v>
      </c>
      <c r="B110" s="695"/>
      <c r="C110" s="695"/>
      <c r="D110" s="695"/>
      <c r="E110" s="424"/>
      <c r="F110" s="424"/>
      <c r="G110" s="424"/>
      <c r="H110" s="389">
        <f>SUM(H102:H109)</f>
        <v>1215.58</v>
      </c>
      <c r="Q110" s="373"/>
      <c r="R110" s="373"/>
    </row>
    <row r="111" spans="1:18" ht="20.100000000000001" customHeight="1">
      <c r="A111" s="702" t="s">
        <v>808</v>
      </c>
      <c r="B111" s="377" t="s">
        <v>809</v>
      </c>
      <c r="C111" s="415" t="s">
        <v>2</v>
      </c>
      <c r="D111" s="415" t="s">
        <v>8</v>
      </c>
      <c r="E111" s="426" t="s">
        <v>712</v>
      </c>
      <c r="F111" s="415" t="s">
        <v>810</v>
      </c>
      <c r="G111" s="415" t="s">
        <v>28</v>
      </c>
      <c r="H111" s="378" t="s">
        <v>29</v>
      </c>
      <c r="Q111" s="373"/>
      <c r="R111" s="373"/>
    </row>
    <row r="112" spans="1:18" ht="20.100000000000001" customHeight="1">
      <c r="A112" s="703"/>
      <c r="B112" s="414">
        <f>C3</f>
        <v>2400</v>
      </c>
      <c r="C112" s="414">
        <v>2725</v>
      </c>
      <c r="D112" s="414">
        <v>1</v>
      </c>
      <c r="E112" s="426">
        <f>B112*C112*D112/1000000</f>
        <v>6.54</v>
      </c>
      <c r="F112" s="415">
        <f>B112*C112/1000000*D112</f>
        <v>6.54</v>
      </c>
      <c r="G112" s="415">
        <f>套门!B371</f>
        <v>829.07</v>
      </c>
      <c r="H112" s="378">
        <f>G112*E112</f>
        <v>5422.1178</v>
      </c>
      <c r="Q112" s="156" t="s">
        <v>356</v>
      </c>
      <c r="R112" s="373"/>
    </row>
    <row r="113" spans="1:35" ht="20.100000000000001" customHeight="1">
      <c r="A113" s="703"/>
      <c r="B113" s="414">
        <f>B112/2</f>
        <v>1200</v>
      </c>
      <c r="C113" s="414">
        <v>1600</v>
      </c>
      <c r="D113" s="414">
        <v>4</v>
      </c>
      <c r="E113" s="426">
        <f t="shared" ref="E113:E114" si="18">B113*C113*D113/1000000</f>
        <v>7.68</v>
      </c>
      <c r="F113" s="415">
        <f>B113*C113/1000000*D113</f>
        <v>7.68</v>
      </c>
      <c r="G113" s="415">
        <f>套窗!B371</f>
        <v>1455.33</v>
      </c>
      <c r="H113" s="378">
        <f t="shared" ref="H113:H114" si="19">G113*E113</f>
        <v>11176.934399999998</v>
      </c>
      <c r="Q113" s="156" t="s">
        <v>356</v>
      </c>
      <c r="R113" s="373"/>
    </row>
    <row r="114" spans="1:35" ht="20.100000000000001" customHeight="1">
      <c r="A114" s="703"/>
      <c r="B114" s="414">
        <f>B113</f>
        <v>1200</v>
      </c>
      <c r="C114" s="414">
        <v>900</v>
      </c>
      <c r="D114" s="414">
        <v>2</v>
      </c>
      <c r="E114" s="426">
        <f t="shared" si="18"/>
        <v>2.16</v>
      </c>
      <c r="F114" s="415">
        <f>B114*C114/1000000*D114</f>
        <v>2.16</v>
      </c>
      <c r="G114" s="415">
        <f>套窗!B371</f>
        <v>1455.33</v>
      </c>
      <c r="H114" s="378">
        <f t="shared" si="19"/>
        <v>3143.5128</v>
      </c>
      <c r="Q114" s="156" t="s">
        <v>347</v>
      </c>
      <c r="R114" s="373"/>
    </row>
    <row r="115" spans="1:35" ht="20.100000000000001" customHeight="1">
      <c r="A115" s="703"/>
      <c r="B115" s="414"/>
      <c r="C115" s="414"/>
      <c r="D115" s="414"/>
      <c r="E115" s="426"/>
      <c r="F115" s="415">
        <f>B115*C115/1000000*D115</f>
        <v>0</v>
      </c>
      <c r="G115" s="415"/>
      <c r="H115" s="378">
        <f t="shared" ref="H115" si="20">G115*E115</f>
        <v>0</v>
      </c>
      <c r="Q115" s="156" t="s">
        <v>347</v>
      </c>
      <c r="R115" s="373"/>
    </row>
    <row r="116" spans="1:35" ht="20.100000000000001" customHeight="1">
      <c r="A116" s="703"/>
      <c r="B116" s="414"/>
      <c r="C116" s="414"/>
      <c r="D116" s="414"/>
      <c r="E116" s="426"/>
      <c r="F116" s="415"/>
      <c r="G116" s="415"/>
      <c r="H116" s="378">
        <f>G116*E116</f>
        <v>0</v>
      </c>
      <c r="Q116" s="156" t="s">
        <v>811</v>
      </c>
      <c r="R116" s="373"/>
    </row>
    <row r="117" spans="1:35" ht="20.100000000000001" customHeight="1">
      <c r="A117" s="703"/>
      <c r="B117" s="414"/>
      <c r="C117" s="414"/>
      <c r="D117" s="414"/>
      <c r="E117" s="426"/>
      <c r="F117" s="415"/>
      <c r="G117" s="415"/>
      <c r="H117" s="378">
        <f>G117*E117</f>
        <v>0</v>
      </c>
      <c r="Q117" s="156" t="s">
        <v>812</v>
      </c>
      <c r="R117" s="373"/>
    </row>
    <row r="118" spans="1:35" ht="20.100000000000001" customHeight="1">
      <c r="A118" s="704"/>
      <c r="B118" s="414"/>
      <c r="C118" s="414"/>
      <c r="D118" s="414"/>
      <c r="E118" s="426">
        <f>C55*E55*(D55/2)/1000000</f>
        <v>0</v>
      </c>
      <c r="F118" s="415"/>
      <c r="G118" s="415"/>
      <c r="H118" s="378">
        <f>G118*E118</f>
        <v>0</v>
      </c>
      <c r="Q118" s="427" t="s">
        <v>813</v>
      </c>
      <c r="R118" s="373"/>
    </row>
    <row r="119" spans="1:35" ht="20.100000000000001" customHeight="1">
      <c r="A119" s="428"/>
      <c r="B119" s="387"/>
      <c r="C119" s="387"/>
      <c r="D119" s="387">
        <f>SUM(D112:D115)</f>
        <v>7</v>
      </c>
      <c r="E119" s="424">
        <f>SUM(E112:E115)</f>
        <v>16.38</v>
      </c>
      <c r="F119" s="424">
        <f>SUM(F112:F115)</f>
        <v>16.38</v>
      </c>
      <c r="G119" s="424"/>
      <c r="H119" s="389">
        <f>SUM(H112:O118)</f>
        <v>19742.564999999999</v>
      </c>
      <c r="R119" s="373"/>
    </row>
    <row r="120" spans="1:35" ht="20.100000000000001" customHeight="1">
      <c r="A120" s="705" t="s">
        <v>814</v>
      </c>
      <c r="B120" s="377" t="s">
        <v>815</v>
      </c>
      <c r="C120" s="701"/>
      <c r="D120" s="701"/>
      <c r="E120" s="426">
        <f>ROUND((C3*2/1000*0.3),2)</f>
        <v>1.44</v>
      </c>
      <c r="F120" s="415" t="s">
        <v>816</v>
      </c>
      <c r="G120" s="415">
        <v>50</v>
      </c>
      <c r="H120" s="378">
        <f>G120*E120</f>
        <v>72</v>
      </c>
      <c r="Q120" s="373"/>
      <c r="R120" s="373"/>
    </row>
    <row r="121" spans="1:35" ht="20.100000000000001" customHeight="1">
      <c r="A121" s="705"/>
      <c r="B121" s="377" t="s">
        <v>817</v>
      </c>
      <c r="C121" s="415">
        <f>E9</f>
        <v>16</v>
      </c>
      <c r="D121" s="415"/>
      <c r="E121" s="426"/>
      <c r="F121" s="415"/>
      <c r="G121" s="415">
        <f>650/6</f>
        <v>108.33333333333333</v>
      </c>
      <c r="H121" s="378"/>
      <c r="Q121" s="373"/>
      <c r="R121" s="373"/>
    </row>
    <row r="122" spans="1:35" ht="20.100000000000001" customHeight="1">
      <c r="A122" s="705"/>
      <c r="B122" s="449" t="s">
        <v>857</v>
      </c>
      <c r="C122" s="448"/>
      <c r="D122" s="448"/>
      <c r="E122" s="426">
        <v>1</v>
      </c>
      <c r="F122" s="448"/>
      <c r="G122" s="448">
        <f>'C0410'!G358</f>
        <v>70</v>
      </c>
      <c r="H122" s="450">
        <f>G122*E122</f>
        <v>70</v>
      </c>
      <c r="Q122" s="373"/>
      <c r="R122" s="373"/>
    </row>
    <row r="123" spans="1:35" ht="20.100000000000001" customHeight="1">
      <c r="A123" s="705"/>
      <c r="B123" s="377" t="s">
        <v>818</v>
      </c>
      <c r="C123" s="701"/>
      <c r="D123" s="701"/>
      <c r="E123" s="426">
        <f>ROUND((C3*0.83*0.1/1000),2)</f>
        <v>0.2</v>
      </c>
      <c r="F123" s="415" t="s">
        <v>819</v>
      </c>
      <c r="G123" s="415">
        <v>50</v>
      </c>
      <c r="H123" s="378"/>
      <c r="Q123" s="373"/>
      <c r="R123" s="373"/>
    </row>
    <row r="124" spans="1:35" ht="20.100000000000001" customHeight="1">
      <c r="A124" s="694" t="s">
        <v>820</v>
      </c>
      <c r="B124" s="695"/>
      <c r="C124" s="695"/>
      <c r="D124" s="695"/>
      <c r="E124" s="424"/>
      <c r="F124" s="424"/>
      <c r="G124" s="424"/>
      <c r="H124" s="389">
        <f>SUM(H120:H123)</f>
        <v>142</v>
      </c>
      <c r="Q124" s="373"/>
      <c r="R124" s="373"/>
    </row>
    <row r="125" spans="1:35" ht="20.100000000000001" customHeight="1">
      <c r="A125" s="696" t="s">
        <v>821</v>
      </c>
      <c r="B125" s="697"/>
      <c r="C125" s="697"/>
      <c r="D125" s="697"/>
      <c r="E125" s="697"/>
      <c r="F125" s="697"/>
      <c r="G125" s="698"/>
      <c r="H125" s="429">
        <f>H90+H97+H101+H110+H124+H84+H119</f>
        <v>26481.465219455997</v>
      </c>
      <c r="Q125" s="373"/>
      <c r="R125" s="373"/>
    </row>
    <row r="126" spans="1:35" ht="20.100000000000001" customHeight="1" thickBot="1">
      <c r="A126" s="699" t="s">
        <v>822</v>
      </c>
      <c r="B126" s="700"/>
      <c r="C126" s="430">
        <f>H64+H70+F76+H125+H66+H65</f>
        <v>34466.583219455999</v>
      </c>
      <c r="D126" s="430" t="s">
        <v>823</v>
      </c>
      <c r="E126" s="431">
        <f>E3</f>
        <v>18.579999999999998</v>
      </c>
      <c r="F126" s="431" t="s">
        <v>258</v>
      </c>
      <c r="G126" s="431">
        <f>ROUND((C126/E126),2)</f>
        <v>1855.04</v>
      </c>
      <c r="H126" s="432" t="e">
        <f>#REF!</f>
        <v>#REF!</v>
      </c>
      <c r="M126" s="433"/>
      <c r="N126" s="433"/>
      <c r="O126" s="433"/>
      <c r="Q126" s="373"/>
      <c r="R126" s="373"/>
      <c r="AB126" s="631" t="s">
        <v>603</v>
      </c>
      <c r="AC126" s="631"/>
      <c r="AD126" s="631"/>
      <c r="AE126" s="631"/>
      <c r="AF126" s="631"/>
      <c r="AG126" s="631"/>
      <c r="AH126" s="631"/>
      <c r="AI126" s="631"/>
    </row>
    <row r="127" spans="1:35" ht="20.100000000000001" customHeight="1" thickTop="1">
      <c r="AB127" s="634" t="s">
        <v>604</v>
      </c>
      <c r="AC127" s="634"/>
      <c r="AD127" s="634"/>
      <c r="AE127" s="634"/>
      <c r="AF127" s="634"/>
      <c r="AG127" s="634"/>
      <c r="AH127" s="634"/>
      <c r="AI127" s="634"/>
    </row>
    <row r="128" spans="1:35" ht="20.100000000000001" customHeight="1">
      <c r="E128" s="435"/>
      <c r="F128" s="435"/>
      <c r="AB128" s="285" t="s">
        <v>279</v>
      </c>
      <c r="AC128" s="624" t="s">
        <v>956</v>
      </c>
      <c r="AD128" s="625"/>
      <c r="AE128" s="312" t="str">
        <f ca="1">B3</f>
        <v>WM2480</v>
      </c>
      <c r="AF128" s="312"/>
      <c r="AG128" s="313"/>
      <c r="AH128" s="287" t="s">
        <v>605</v>
      </c>
      <c r="AI128" s="288"/>
    </row>
    <row r="129" spans="2:35" ht="36" customHeight="1">
      <c r="B129" s="693"/>
      <c r="C129" s="693"/>
      <c r="E129" s="435"/>
      <c r="F129" s="435"/>
      <c r="AB129" s="635" t="s">
        <v>606</v>
      </c>
      <c r="AC129" s="623" t="s">
        <v>626</v>
      </c>
      <c r="AD129" s="623"/>
      <c r="AE129" s="623"/>
      <c r="AF129" s="623"/>
      <c r="AG129" s="637"/>
      <c r="AH129" s="291" t="s">
        <v>607</v>
      </c>
      <c r="AI129" s="292" t="s">
        <v>313</v>
      </c>
    </row>
    <row r="130" spans="2:35" ht="36" customHeight="1">
      <c r="G130" s="435"/>
      <c r="AB130" s="636"/>
      <c r="AC130" s="638"/>
      <c r="AD130" s="638"/>
      <c r="AE130" s="638"/>
      <c r="AF130" s="638"/>
      <c r="AG130" s="638"/>
      <c r="AH130" s="291" t="s">
        <v>268</v>
      </c>
      <c r="AI130" s="293">
        <f>G3</f>
        <v>18.579999999999998</v>
      </c>
    </row>
    <row r="131" spans="2:35" ht="20.100000000000001" customHeight="1">
      <c r="G131" s="435"/>
      <c r="AB131" s="311" t="s">
        <v>0</v>
      </c>
      <c r="AC131" s="289" t="s">
        <v>608</v>
      </c>
      <c r="AD131" s="289" t="s">
        <v>627</v>
      </c>
      <c r="AE131" s="289" t="s">
        <v>269</v>
      </c>
      <c r="AF131" s="294" t="s">
        <v>8</v>
      </c>
      <c r="AG131" s="295" t="s">
        <v>609</v>
      </c>
      <c r="AH131" s="296" t="s">
        <v>270</v>
      </c>
      <c r="AI131" s="295" t="s">
        <v>610</v>
      </c>
    </row>
    <row r="132" spans="2:35" ht="20.100000000000001" customHeight="1">
      <c r="AB132" s="297" t="s">
        <v>305</v>
      </c>
      <c r="AC132" s="298" t="s">
        <v>611</v>
      </c>
      <c r="AD132" s="298"/>
      <c r="AE132" s="286"/>
      <c r="AF132" s="299"/>
      <c r="AG132" s="300"/>
      <c r="AH132" s="301" t="e">
        <f>SUM(AH133:AH141)</f>
        <v>#REF!</v>
      </c>
      <c r="AI132" s="286"/>
    </row>
    <row r="133" spans="2:35" ht="20.100000000000001" customHeight="1">
      <c r="AB133" s="286">
        <v>1</v>
      </c>
      <c r="AC133" s="302" t="s">
        <v>612</v>
      </c>
      <c r="AD133" s="307"/>
      <c r="AE133" s="286" t="s">
        <v>271</v>
      </c>
      <c r="AF133" s="303" t="e">
        <f>#REF!</f>
        <v>#REF!</v>
      </c>
      <c r="AG133" s="304" t="e">
        <f>#REF!/#REF!</f>
        <v>#REF!</v>
      </c>
      <c r="AH133" s="305" t="e">
        <f t="shared" ref="AH133:AH141" si="21">AG133*AF133</f>
        <v>#REF!</v>
      </c>
      <c r="AI133" s="306"/>
    </row>
    <row r="134" spans="2:35" ht="20.100000000000001" customHeight="1">
      <c r="AB134" s="286">
        <v>2</v>
      </c>
      <c r="AC134" s="290" t="s">
        <v>613</v>
      </c>
      <c r="AD134" s="307"/>
      <c r="AE134" s="286" t="s">
        <v>276</v>
      </c>
      <c r="AF134" s="303" t="str">
        <f>Q116</f>
        <v>隔热条填充物</v>
      </c>
      <c r="AG134" s="304">
        <f>T116</f>
        <v>0</v>
      </c>
      <c r="AH134" s="305" t="e">
        <f t="shared" si="21"/>
        <v>#VALUE!</v>
      </c>
      <c r="AI134" s="306"/>
    </row>
    <row r="135" spans="2:35" ht="20.100000000000001" customHeight="1">
      <c r="AB135" s="286">
        <v>3</v>
      </c>
      <c r="AC135" s="302" t="s">
        <v>614</v>
      </c>
      <c r="AD135" s="302"/>
      <c r="AE135" s="286" t="s">
        <v>312</v>
      </c>
      <c r="AF135" s="303">
        <f>Q49+Q50</f>
        <v>0</v>
      </c>
      <c r="AG135" s="304" t="e">
        <f>材料价格!#REF!</f>
        <v>#REF!</v>
      </c>
      <c r="AH135" s="305" t="e">
        <f t="shared" si="21"/>
        <v>#REF!</v>
      </c>
      <c r="AI135" s="306"/>
    </row>
    <row r="136" spans="2:35" ht="20.100000000000001" customHeight="1">
      <c r="AB136" s="286">
        <v>4</v>
      </c>
      <c r="AC136" s="302" t="s">
        <v>615</v>
      </c>
      <c r="AD136" s="306"/>
      <c r="AE136" s="286" t="s">
        <v>278</v>
      </c>
      <c r="AF136" s="303" t="e">
        <f>(U74+U75+U77+U78+U79)/S74</f>
        <v>#DIV/0!</v>
      </c>
      <c r="AG136" s="304" t="e">
        <f>材料价格!#REF!</f>
        <v>#REF!</v>
      </c>
      <c r="AH136" s="305" t="e">
        <f t="shared" si="21"/>
        <v>#REF!</v>
      </c>
      <c r="AI136" s="306"/>
    </row>
    <row r="137" spans="2:35" ht="20.100000000000001" customHeight="1">
      <c r="AB137" s="286">
        <v>5</v>
      </c>
      <c r="AC137" s="306" t="s">
        <v>616</v>
      </c>
      <c r="AD137" s="302"/>
      <c r="AE137" s="286" t="s">
        <v>628</v>
      </c>
      <c r="AF137" s="303">
        <f>U95/21</f>
        <v>0</v>
      </c>
      <c r="AG137" s="304">
        <v>21</v>
      </c>
      <c r="AH137" s="305">
        <f t="shared" si="21"/>
        <v>0</v>
      </c>
      <c r="AI137" s="306"/>
    </row>
    <row r="138" spans="2:35" ht="20.100000000000001" customHeight="1">
      <c r="AB138" s="286">
        <v>6</v>
      </c>
      <c r="AC138" s="302" t="s">
        <v>319</v>
      </c>
      <c r="AD138" s="302"/>
      <c r="AE138" s="286" t="s">
        <v>273</v>
      </c>
      <c r="AF138" s="303"/>
      <c r="AG138" s="304"/>
      <c r="AH138" s="305">
        <f t="shared" si="21"/>
        <v>0</v>
      </c>
      <c r="AI138" s="306"/>
    </row>
    <row r="139" spans="2:35" ht="20.100000000000001" customHeight="1">
      <c r="AB139" s="286">
        <v>7</v>
      </c>
      <c r="AC139" s="302" t="s">
        <v>295</v>
      </c>
      <c r="AD139" s="302"/>
      <c r="AE139" s="286" t="s">
        <v>273</v>
      </c>
      <c r="AF139" s="303"/>
      <c r="AG139" s="304" t="e">
        <f>材料价格!#REF!</f>
        <v>#REF!</v>
      </c>
      <c r="AH139" s="305" t="e">
        <f t="shared" si="21"/>
        <v>#REF!</v>
      </c>
      <c r="AI139" s="306"/>
    </row>
    <row r="140" spans="2:35" ht="20.100000000000001" customHeight="1">
      <c r="AB140" s="286">
        <v>8</v>
      </c>
      <c r="AC140" s="302" t="s">
        <v>296</v>
      </c>
      <c r="AD140" s="302"/>
      <c r="AE140" s="286" t="s">
        <v>273</v>
      </c>
      <c r="AF140" s="303">
        <f>R61</f>
        <v>0</v>
      </c>
      <c r="AG140" s="304" t="e">
        <f>材料价格!#REF!</f>
        <v>#REF!</v>
      </c>
      <c r="AH140" s="305" t="e">
        <f t="shared" si="21"/>
        <v>#REF!</v>
      </c>
      <c r="AI140" s="306"/>
    </row>
    <row r="141" spans="2:35" ht="20.100000000000001" customHeight="1">
      <c r="AB141" s="286">
        <v>9</v>
      </c>
      <c r="AC141" s="302" t="s">
        <v>617</v>
      </c>
      <c r="AD141" s="302"/>
      <c r="AE141" s="286" t="s">
        <v>618</v>
      </c>
      <c r="AF141" s="296">
        <v>1</v>
      </c>
      <c r="AG141" s="304">
        <f>U121-U116+U108+U76+U73+U72</f>
        <v>0</v>
      </c>
      <c r="AH141" s="305">
        <f t="shared" si="21"/>
        <v>0</v>
      </c>
      <c r="AI141" s="306"/>
    </row>
    <row r="142" spans="2:35" ht="20.100000000000001" customHeight="1">
      <c r="AB142" s="297" t="s">
        <v>306</v>
      </c>
      <c r="AC142" s="308" t="s">
        <v>314</v>
      </c>
      <c r="AD142" s="298"/>
      <c r="AE142" s="286"/>
      <c r="AF142" s="296"/>
      <c r="AG142" s="309"/>
      <c r="AH142" s="301">
        <f>SUM(AH143:AH144)</f>
        <v>2972.7999999999997</v>
      </c>
      <c r="AI142" s="286"/>
    </row>
    <row r="143" spans="2:35" ht="20.100000000000001" customHeight="1">
      <c r="AB143" s="286">
        <v>1</v>
      </c>
      <c r="AC143" s="307" t="s">
        <v>619</v>
      </c>
      <c r="AD143" s="307"/>
      <c r="AE143" s="300" t="s">
        <v>312</v>
      </c>
      <c r="AF143" s="296">
        <f>AI130</f>
        <v>18.579999999999998</v>
      </c>
      <c r="AG143" s="310">
        <v>60</v>
      </c>
      <c r="AH143" s="305">
        <f>AG143*AF143</f>
        <v>1114.8</v>
      </c>
      <c r="AI143" s="286"/>
    </row>
    <row r="144" spans="2:35" ht="20.100000000000001" customHeight="1">
      <c r="AB144" s="286">
        <v>2</v>
      </c>
      <c r="AC144" s="307" t="s">
        <v>288</v>
      </c>
      <c r="AD144" s="307"/>
      <c r="AE144" s="300" t="s">
        <v>312</v>
      </c>
      <c r="AF144" s="296">
        <f>AI130</f>
        <v>18.579999999999998</v>
      </c>
      <c r="AG144" s="310">
        <v>100</v>
      </c>
      <c r="AH144" s="305">
        <f>AG144*AF144</f>
        <v>1857.9999999999998</v>
      </c>
      <c r="AI144" s="286"/>
    </row>
    <row r="145" spans="28:35" ht="20.100000000000001" customHeight="1">
      <c r="AB145" s="297" t="s">
        <v>307</v>
      </c>
      <c r="AC145" s="308" t="s">
        <v>290</v>
      </c>
      <c r="AD145" s="298"/>
      <c r="AE145" s="286"/>
      <c r="AF145" s="296"/>
      <c r="AG145" s="309"/>
      <c r="AH145" s="301">
        <f>SUM(AH146)</f>
        <v>371.59999999999997</v>
      </c>
      <c r="AI145" s="286"/>
    </row>
    <row r="146" spans="28:35" ht="20.100000000000001" customHeight="1">
      <c r="AB146" s="286">
        <v>1</v>
      </c>
      <c r="AC146" s="307" t="s">
        <v>290</v>
      </c>
      <c r="AD146" s="307"/>
      <c r="AE146" s="300" t="s">
        <v>312</v>
      </c>
      <c r="AF146" s="296">
        <f>AI130</f>
        <v>18.579999999999998</v>
      </c>
      <c r="AG146" s="310">
        <v>20</v>
      </c>
      <c r="AH146" s="305">
        <f>AG146*AF146</f>
        <v>371.59999999999997</v>
      </c>
      <c r="AI146" s="286"/>
    </row>
    <row r="147" spans="28:35" ht="20.100000000000001" customHeight="1">
      <c r="AB147" s="286" t="s">
        <v>308</v>
      </c>
      <c r="AC147" s="618" t="s">
        <v>620</v>
      </c>
      <c r="AD147" s="619"/>
      <c r="AE147" s="620"/>
      <c r="AF147" s="621"/>
      <c r="AG147" s="622"/>
      <c r="AH147" s="301" t="e">
        <f>AH132+AH142+AH145</f>
        <v>#REF!</v>
      </c>
      <c r="AI147" s="286"/>
    </row>
    <row r="148" spans="28:35" ht="20.100000000000001" customHeight="1">
      <c r="AB148" s="286" t="s">
        <v>309</v>
      </c>
      <c r="AC148" s="618" t="s">
        <v>621</v>
      </c>
      <c r="AD148" s="619"/>
      <c r="AE148" s="626">
        <v>0.2</v>
      </c>
      <c r="AF148" s="627"/>
      <c r="AG148" s="628"/>
      <c r="AH148" s="301" t="e">
        <f>AH147*AE148</f>
        <v>#REF!</v>
      </c>
      <c r="AI148" s="286"/>
    </row>
    <row r="149" spans="28:35" ht="20.100000000000001" customHeight="1">
      <c r="AB149" s="286" t="s">
        <v>310</v>
      </c>
      <c r="AC149" s="618" t="s">
        <v>622</v>
      </c>
      <c r="AD149" s="619"/>
      <c r="AE149" s="620"/>
      <c r="AF149" s="621"/>
      <c r="AG149" s="622"/>
      <c r="AH149" s="301" t="e">
        <f>AH147+AH148</f>
        <v>#REF!</v>
      </c>
      <c r="AI149" s="286"/>
    </row>
    <row r="150" spans="28:35" ht="20.100000000000001" customHeight="1">
      <c r="AB150" s="297" t="s">
        <v>311</v>
      </c>
      <c r="AC150" s="618" t="s">
        <v>623</v>
      </c>
      <c r="AD150" s="619"/>
      <c r="AE150" s="620"/>
      <c r="AF150" s="621"/>
      <c r="AG150" s="622"/>
      <c r="AH150" s="301" t="e">
        <f>AH149/AI130</f>
        <v>#REF!</v>
      </c>
      <c r="AI150" s="286" t="s">
        <v>624</v>
      </c>
    </row>
    <row r="151" spans="28:35" ht="20.100000000000001" customHeight="1">
      <c r="AB151" s="623" t="s">
        <v>625</v>
      </c>
      <c r="AC151" s="623"/>
      <c r="AD151" s="623"/>
      <c r="AE151" s="623"/>
      <c r="AF151" s="623"/>
      <c r="AG151" s="623"/>
      <c r="AH151" s="623"/>
      <c r="AI151" s="623"/>
    </row>
  </sheetData>
  <mergeCells count="111">
    <mergeCell ref="AC147:AD147"/>
    <mergeCell ref="AE147:AG147"/>
    <mergeCell ref="AC148:AD148"/>
    <mergeCell ref="AE148:AG148"/>
    <mergeCell ref="AC149:AD149"/>
    <mergeCell ref="AE149:AG149"/>
    <mergeCell ref="AC150:AD150"/>
    <mergeCell ref="AE150:AG150"/>
    <mergeCell ref="AB151:AI151"/>
    <mergeCell ref="A1:A3"/>
    <mergeCell ref="B1:C1"/>
    <mergeCell ref="D1:E1"/>
    <mergeCell ref="A4:H4"/>
    <mergeCell ref="A6:A8"/>
    <mergeCell ref="B6:B8"/>
    <mergeCell ref="A21:B21"/>
    <mergeCell ref="A23:A25"/>
    <mergeCell ref="B23:B25"/>
    <mergeCell ref="A26:B26"/>
    <mergeCell ref="A29:A31"/>
    <mergeCell ref="B29:B31"/>
    <mergeCell ref="A9:B9"/>
    <mergeCell ref="A12:A14"/>
    <mergeCell ref="B12:B14"/>
    <mergeCell ref="A15:B15"/>
    <mergeCell ref="A18:A20"/>
    <mergeCell ref="B18:B20"/>
    <mergeCell ref="A43:B43"/>
    <mergeCell ref="A45:A47"/>
    <mergeCell ref="B45:B47"/>
    <mergeCell ref="A48:B48"/>
    <mergeCell ref="A50:A52"/>
    <mergeCell ref="B50:B52"/>
    <mergeCell ref="A32:B32"/>
    <mergeCell ref="A34:A36"/>
    <mergeCell ref="B34:B36"/>
    <mergeCell ref="A37:B37"/>
    <mergeCell ref="A40:A42"/>
    <mergeCell ref="B40:B42"/>
    <mergeCell ref="A63:B63"/>
    <mergeCell ref="A68:A69"/>
    <mergeCell ref="E68:E69"/>
    <mergeCell ref="A71:H71"/>
    <mergeCell ref="G72:H72"/>
    <mergeCell ref="G73:H73"/>
    <mergeCell ref="A53:B53"/>
    <mergeCell ref="A55:A57"/>
    <mergeCell ref="B55:B57"/>
    <mergeCell ref="A58:B58"/>
    <mergeCell ref="A60:A62"/>
    <mergeCell ref="B60:B62"/>
    <mergeCell ref="A84:B84"/>
    <mergeCell ref="C84:D84"/>
    <mergeCell ref="A85:A89"/>
    <mergeCell ref="C85:D85"/>
    <mergeCell ref="C86:D86"/>
    <mergeCell ref="C87:D87"/>
    <mergeCell ref="C88:D88"/>
    <mergeCell ref="C89:D89"/>
    <mergeCell ref="G74:H74"/>
    <mergeCell ref="G75:H75"/>
    <mergeCell ref="A77:H77"/>
    <mergeCell ref="C78:D78"/>
    <mergeCell ref="A79:A83"/>
    <mergeCell ref="C79:D79"/>
    <mergeCell ref="C80:D80"/>
    <mergeCell ref="C81:D81"/>
    <mergeCell ref="C82:D82"/>
    <mergeCell ref="C83:D83"/>
    <mergeCell ref="A97:B97"/>
    <mergeCell ref="C97:D97"/>
    <mergeCell ref="A98:A100"/>
    <mergeCell ref="C98:D98"/>
    <mergeCell ref="C99:D99"/>
    <mergeCell ref="C100:D100"/>
    <mergeCell ref="A90:B90"/>
    <mergeCell ref="C90:D90"/>
    <mergeCell ref="A91:A96"/>
    <mergeCell ref="C91:D91"/>
    <mergeCell ref="C92:D92"/>
    <mergeCell ref="C93:D93"/>
    <mergeCell ref="C94:D94"/>
    <mergeCell ref="C95:D95"/>
    <mergeCell ref="C96:D96"/>
    <mergeCell ref="A101:B101"/>
    <mergeCell ref="C101:D101"/>
    <mergeCell ref="A102:A109"/>
    <mergeCell ref="C102:D102"/>
    <mergeCell ref="C103:D103"/>
    <mergeCell ref="C104:D104"/>
    <mergeCell ref="C105:D105"/>
    <mergeCell ref="C106:D106"/>
    <mergeCell ref="C107:D107"/>
    <mergeCell ref="C108:D108"/>
    <mergeCell ref="A124:B124"/>
    <mergeCell ref="C124:D124"/>
    <mergeCell ref="A125:G125"/>
    <mergeCell ref="A126:B126"/>
    <mergeCell ref="C109:D109"/>
    <mergeCell ref="A110:B110"/>
    <mergeCell ref="C110:D110"/>
    <mergeCell ref="A111:A118"/>
    <mergeCell ref="A120:A123"/>
    <mergeCell ref="C120:D120"/>
    <mergeCell ref="C123:D123"/>
    <mergeCell ref="AB126:AI126"/>
    <mergeCell ref="AB127:AI127"/>
    <mergeCell ref="AC128:AD128"/>
    <mergeCell ref="AB129:AB130"/>
    <mergeCell ref="AC129:AG130"/>
    <mergeCell ref="B129:C129"/>
  </mergeCells>
  <phoneticPr fontId="5" type="noConversion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B9A14-DC1F-4424-B7C4-D3FAB2932941}">
  <sheetPr>
    <tabColor rgb="FF00B0F0"/>
  </sheetPr>
  <dimension ref="A1:WVW151"/>
  <sheetViews>
    <sheetView showZeros="0" zoomScaleNormal="100" workbookViewId="0">
      <pane ySplit="3" topLeftCell="A109" activePane="bottomLeft" state="frozen"/>
      <selection activeCell="A63" sqref="A63:H63"/>
      <selection pane="bottomLeft" activeCell="A63" sqref="A63:H63"/>
    </sheetView>
  </sheetViews>
  <sheetFormatPr defaultColWidth="9" defaultRowHeight="20.100000000000001" customHeight="1"/>
  <cols>
    <col min="1" max="1" width="18" style="445" customWidth="1"/>
    <col min="2" max="2" width="19.875" style="445" customWidth="1"/>
    <col min="3" max="3" width="12.125" style="445" customWidth="1"/>
    <col min="4" max="4" width="11.125" style="445" customWidth="1"/>
    <col min="5" max="5" width="13.75" style="445" customWidth="1"/>
    <col min="6" max="6" width="9.625" style="445" customWidth="1"/>
    <col min="7" max="7" width="11.625" style="445" customWidth="1"/>
    <col min="8" max="8" width="13.625" style="445" customWidth="1"/>
    <col min="9" max="9" width="9" style="364" hidden="1" customWidth="1"/>
    <col min="10" max="10" width="12.875" style="364" hidden="1" customWidth="1"/>
    <col min="11" max="11" width="5.25" style="364" hidden="1" customWidth="1"/>
    <col min="12" max="12" width="6.5" style="364" hidden="1" customWidth="1"/>
    <col min="13" max="13" width="5.5" style="364" hidden="1" customWidth="1"/>
    <col min="14" max="14" width="6.5" style="364" hidden="1" customWidth="1"/>
    <col min="15" max="15" width="9.5" style="364" hidden="1" customWidth="1"/>
    <col min="16" max="16" width="1.125" style="365" customWidth="1"/>
    <col min="17" max="17" width="24" style="364" customWidth="1"/>
    <col min="18" max="18" width="12.75" style="364" customWidth="1"/>
    <col min="19" max="25" width="9" style="364" hidden="1" customWidth="1"/>
    <col min="26" max="26" width="1.125" style="364" customWidth="1"/>
    <col min="27" max="27" width="9" style="364"/>
    <col min="28" max="28" width="13.125" style="364" customWidth="1"/>
    <col min="29" max="29" width="24.375" style="364" customWidth="1"/>
    <col min="30" max="30" width="13.75" style="364" customWidth="1"/>
    <col min="31" max="31" width="11.25" style="364" customWidth="1"/>
    <col min="32" max="32" width="10.75" style="364" customWidth="1"/>
    <col min="33" max="33" width="10" style="364" customWidth="1"/>
    <col min="34" max="34" width="9.875" style="364" customWidth="1"/>
    <col min="35" max="35" width="26.125" style="364" customWidth="1"/>
    <col min="36" max="16384" width="9" style="364"/>
  </cols>
  <sheetData>
    <row r="1" spans="1:18" ht="23.25" customHeight="1" thickTop="1">
      <c r="A1" s="727" t="s">
        <v>695</v>
      </c>
      <c r="B1" s="729" t="s">
        <v>696</v>
      </c>
      <c r="C1" s="729"/>
      <c r="D1" s="730" t="s">
        <v>697</v>
      </c>
      <c r="E1" s="730"/>
      <c r="F1" s="455" t="s">
        <v>698</v>
      </c>
      <c r="G1" s="455" t="s">
        <v>699</v>
      </c>
      <c r="H1" s="363" t="s">
        <v>700</v>
      </c>
      <c r="Q1" s="366" t="s">
        <v>701</v>
      </c>
      <c r="R1" s="367">
        <v>21</v>
      </c>
    </row>
    <row r="2" spans="1:18" ht="22.5" customHeight="1">
      <c r="A2" s="728"/>
      <c r="B2" s="368" t="s">
        <v>14</v>
      </c>
      <c r="C2" s="368" t="s">
        <v>16</v>
      </c>
      <c r="D2" s="368" t="s">
        <v>17</v>
      </c>
      <c r="E2" s="368" t="s">
        <v>7</v>
      </c>
      <c r="F2" s="368" t="s">
        <v>5</v>
      </c>
      <c r="G2" s="368" t="s">
        <v>18</v>
      </c>
      <c r="H2" s="369" t="s">
        <v>39</v>
      </c>
      <c r="Q2" s="366" t="s">
        <v>702</v>
      </c>
      <c r="R2" s="370">
        <v>58</v>
      </c>
    </row>
    <row r="3" spans="1:18" ht="22.5" customHeight="1">
      <c r="A3" s="728"/>
      <c r="B3" s="368" t="str" cm="1">
        <f t="array" aca="1" ref="B3" ca="1">MID(CELL("filename",Q12),FIND("]",CELL("filename",Q12))+1,30)</f>
        <v>C2360</v>
      </c>
      <c r="C3" s="368">
        <v>2300</v>
      </c>
      <c r="D3" s="368">
        <v>6000</v>
      </c>
      <c r="E3" s="371">
        <v>18.579999999999998</v>
      </c>
      <c r="F3" s="368">
        <v>1</v>
      </c>
      <c r="G3" s="368">
        <f>E3*F3</f>
        <v>18.579999999999998</v>
      </c>
      <c r="H3" s="369">
        <f>(C3+D3)*2/1000</f>
        <v>16.600000000000001</v>
      </c>
      <c r="I3" s="364" t="s">
        <v>18</v>
      </c>
      <c r="J3" s="372">
        <v>60.72</v>
      </c>
      <c r="Q3" s="366" t="s">
        <v>703</v>
      </c>
      <c r="R3" s="370">
        <f>D12</f>
        <v>7</v>
      </c>
    </row>
    <row r="4" spans="1:18" ht="20.100000000000001" customHeight="1">
      <c r="A4" s="731" t="s">
        <v>704</v>
      </c>
      <c r="B4" s="732"/>
      <c r="C4" s="732"/>
      <c r="D4" s="732"/>
      <c r="E4" s="732"/>
      <c r="F4" s="732"/>
      <c r="G4" s="732"/>
      <c r="H4" s="733"/>
      <c r="J4" s="372"/>
      <c r="Q4" s="373"/>
      <c r="R4" s="373"/>
    </row>
    <row r="5" spans="1:18" ht="20.100000000000001" customHeight="1">
      <c r="A5" s="374" t="s">
        <v>139</v>
      </c>
      <c r="B5" s="375" t="s">
        <v>14</v>
      </c>
      <c r="C5" s="375" t="s">
        <v>705</v>
      </c>
      <c r="D5" s="375" t="s">
        <v>8</v>
      </c>
      <c r="E5" s="375" t="s">
        <v>705</v>
      </c>
      <c r="F5" s="375" t="s">
        <v>8</v>
      </c>
      <c r="G5" s="375" t="s">
        <v>22</v>
      </c>
      <c r="H5" s="376" t="s">
        <v>40</v>
      </c>
      <c r="Q5" s="373"/>
      <c r="R5" s="373"/>
    </row>
    <row r="6" spans="1:18" ht="20.100000000000001" customHeight="1">
      <c r="A6" s="722" t="s">
        <v>706</v>
      </c>
      <c r="B6" s="715" t="s">
        <v>707</v>
      </c>
      <c r="C6" s="449"/>
      <c r="D6" s="449"/>
      <c r="E6" s="449"/>
      <c r="F6" s="449"/>
      <c r="G6" s="449">
        <v>5.4909999999999997</v>
      </c>
      <c r="H6" s="450">
        <f t="shared" ref="H6" si="0">ROUND((C6*D6+E6*F6)/1000*G6,2)</f>
        <v>0</v>
      </c>
      <c r="Q6" s="379">
        <v>2.5</v>
      </c>
      <c r="R6" s="373"/>
    </row>
    <row r="7" spans="1:18" ht="20.100000000000001" customHeight="1">
      <c r="A7" s="722"/>
      <c r="B7" s="715"/>
      <c r="C7" s="449">
        <f>D3</f>
        <v>6000</v>
      </c>
      <c r="D7" s="449">
        <v>5</v>
      </c>
      <c r="E7" s="449"/>
      <c r="F7" s="449">
        <v>0</v>
      </c>
      <c r="G7" s="449">
        <f>G6</f>
        <v>5.4909999999999997</v>
      </c>
      <c r="H7" s="450">
        <f>ROUND((C7*D7+E7*F7)/1000*G7,2)</f>
        <v>164.73</v>
      </c>
      <c r="Q7" s="373" t="s">
        <v>708</v>
      </c>
      <c r="R7" s="380">
        <v>3.9820000000000002</v>
      </c>
    </row>
    <row r="8" spans="1:18" ht="20.100000000000001" customHeight="1">
      <c r="A8" s="722"/>
      <c r="B8" s="715"/>
      <c r="C8" s="449"/>
      <c r="D8" s="449"/>
      <c r="E8" s="449"/>
      <c r="F8" s="449">
        <v>0</v>
      </c>
      <c r="G8" s="449">
        <f>G6</f>
        <v>5.4909999999999997</v>
      </c>
      <c r="H8" s="450">
        <f>ROUND((C8*D8+E8*F8)/1000*G8,2)</f>
        <v>0</v>
      </c>
      <c r="Q8" s="373" t="s">
        <v>709</v>
      </c>
      <c r="R8" s="380">
        <v>5.4909999999999997</v>
      </c>
    </row>
    <row r="9" spans="1:18" ht="20.100000000000001" customHeight="1">
      <c r="A9" s="718" t="s">
        <v>182</v>
      </c>
      <c r="B9" s="719"/>
      <c r="C9" s="453"/>
      <c r="D9" s="453" t="s">
        <v>710</v>
      </c>
      <c r="E9" s="453">
        <f>ROUND((E6*F6+E7*F7+E8*F8+C6*D6+C7*D7+C8*D8)/1000,2)</f>
        <v>30</v>
      </c>
      <c r="F9" s="453">
        <f>SUM(F6:F8)+SUM(D6:D8)</f>
        <v>5</v>
      </c>
      <c r="G9" s="453"/>
      <c r="H9" s="382">
        <f>SUM(H6:H8)</f>
        <v>164.73</v>
      </c>
      <c r="Q9" s="373"/>
      <c r="R9" s="373"/>
    </row>
    <row r="10" spans="1:18" ht="20.100000000000001" customHeight="1">
      <c r="A10" s="452" t="s">
        <v>711</v>
      </c>
      <c r="B10" s="384">
        <f>358.1/1000</f>
        <v>0.35810000000000003</v>
      </c>
      <c r="C10" s="453" t="s">
        <v>712</v>
      </c>
      <c r="D10" s="384">
        <f>E9*B10</f>
        <v>10.743</v>
      </c>
      <c r="E10" s="453" t="s">
        <v>713</v>
      </c>
      <c r="F10" s="453">
        <v>0</v>
      </c>
      <c r="G10" s="453" t="s">
        <v>714</v>
      </c>
      <c r="H10" s="382">
        <f>D10*F10</f>
        <v>0</v>
      </c>
      <c r="Q10" s="373"/>
      <c r="R10" s="373"/>
    </row>
    <row r="11" spans="1:18" ht="20.100000000000001" customHeight="1">
      <c r="A11" s="374" t="s">
        <v>139</v>
      </c>
      <c r="B11" s="375" t="s">
        <v>14</v>
      </c>
      <c r="C11" s="375" t="s">
        <v>715</v>
      </c>
      <c r="D11" s="375" t="s">
        <v>8</v>
      </c>
      <c r="E11" s="375" t="s">
        <v>715</v>
      </c>
      <c r="F11" s="375" t="s">
        <v>8</v>
      </c>
      <c r="G11" s="375" t="s">
        <v>22</v>
      </c>
      <c r="H11" s="376" t="s">
        <v>40</v>
      </c>
      <c r="Q11" s="373"/>
      <c r="R11" s="373"/>
    </row>
    <row r="12" spans="1:18" ht="20.100000000000001" customHeight="1">
      <c r="A12" s="724" t="s">
        <v>716</v>
      </c>
      <c r="B12" s="715" t="s">
        <v>717</v>
      </c>
      <c r="C12" s="449">
        <f>C3</f>
        <v>2300</v>
      </c>
      <c r="D12" s="449">
        <v>7</v>
      </c>
      <c r="E12" s="449"/>
      <c r="F12" s="449"/>
      <c r="G12" s="449">
        <v>3.99</v>
      </c>
      <c r="H12" s="450">
        <f>ROUND((C12*D12+E12*F12)/1000*G12,2)*1.1</f>
        <v>70.664000000000001</v>
      </c>
      <c r="Q12" s="379">
        <v>3</v>
      </c>
      <c r="R12" s="373"/>
    </row>
    <row r="13" spans="1:18" ht="20.100000000000001" customHeight="1">
      <c r="A13" s="725"/>
      <c r="B13" s="715"/>
      <c r="C13" s="449"/>
      <c r="D13" s="449"/>
      <c r="E13" s="449"/>
      <c r="F13" s="449"/>
      <c r="G13" s="449">
        <f>G12</f>
        <v>3.99</v>
      </c>
      <c r="H13" s="450">
        <f t="shared" ref="H13:H14" si="1">ROUND((C13*D13+E13*F13)/1000*G13,2)</f>
        <v>0</v>
      </c>
      <c r="Q13" s="373" t="s">
        <v>718</v>
      </c>
      <c r="R13" s="372">
        <v>3.9849999999999999</v>
      </c>
    </row>
    <row r="14" spans="1:18" ht="20.100000000000001" customHeight="1">
      <c r="A14" s="726"/>
      <c r="B14" s="715"/>
      <c r="C14" s="449"/>
      <c r="D14" s="385"/>
      <c r="E14" s="385"/>
      <c r="F14" s="449"/>
      <c r="G14" s="386">
        <f>G12</f>
        <v>3.99</v>
      </c>
      <c r="H14" s="450">
        <f t="shared" si="1"/>
        <v>0</v>
      </c>
      <c r="Q14" s="373" t="s">
        <v>719</v>
      </c>
      <c r="R14" s="372">
        <v>3.1509999999999998</v>
      </c>
    </row>
    <row r="15" spans="1:18" ht="20.100000000000001" customHeight="1">
      <c r="A15" s="694" t="s">
        <v>182</v>
      </c>
      <c r="B15" s="695"/>
      <c r="C15" s="447"/>
      <c r="D15" s="447" t="s">
        <v>710</v>
      </c>
      <c r="E15" s="388">
        <f>ROUND((E12*F12+E13*F13+E14*F14+C12*D12+C13*D13+C14*D14)/1000,2)</f>
        <v>16.100000000000001</v>
      </c>
      <c r="F15" s="388">
        <f>SUM(F12:F14)+SUM(D12:D14)</f>
        <v>7</v>
      </c>
      <c r="G15" s="447"/>
      <c r="H15" s="389">
        <f>SUM(H12:H14)</f>
        <v>70.664000000000001</v>
      </c>
      <c r="Q15" s="373"/>
      <c r="R15" s="373"/>
    </row>
    <row r="16" spans="1:18" ht="20.100000000000001" customHeight="1">
      <c r="A16" s="452" t="s">
        <v>711</v>
      </c>
      <c r="B16" s="384">
        <f>258.1/1000</f>
        <v>0.2581</v>
      </c>
      <c r="C16" s="453" t="s">
        <v>712</v>
      </c>
      <c r="D16" s="384">
        <f>E15*B16</f>
        <v>4.1554100000000007</v>
      </c>
      <c r="E16" s="453" t="s">
        <v>713</v>
      </c>
      <c r="F16" s="453"/>
      <c r="G16" s="453" t="s">
        <v>714</v>
      </c>
      <c r="H16" s="382">
        <f>D16*F16</f>
        <v>0</v>
      </c>
      <c r="Q16" s="373"/>
      <c r="R16" s="373"/>
    </row>
    <row r="17" spans="1:18" ht="20.100000000000001" customHeight="1">
      <c r="A17" s="374" t="s">
        <v>139</v>
      </c>
      <c r="B17" s="375" t="s">
        <v>14</v>
      </c>
      <c r="C17" s="375" t="s">
        <v>715</v>
      </c>
      <c r="D17" s="375" t="s">
        <v>8</v>
      </c>
      <c r="E17" s="375" t="s">
        <v>705</v>
      </c>
      <c r="F17" s="375" t="s">
        <v>8</v>
      </c>
      <c r="G17" s="375" t="s">
        <v>22</v>
      </c>
      <c r="H17" s="376" t="s">
        <v>40</v>
      </c>
      <c r="Q17" s="373"/>
      <c r="R17" s="373"/>
    </row>
    <row r="18" spans="1:18" ht="20.100000000000001" customHeight="1">
      <c r="A18" s="723" t="s">
        <v>720</v>
      </c>
      <c r="B18" s="715" t="s">
        <v>721</v>
      </c>
      <c r="C18" s="449">
        <f>C12+2</f>
        <v>2302</v>
      </c>
      <c r="D18" s="449">
        <f>D12</f>
        <v>7</v>
      </c>
      <c r="E18" s="449"/>
      <c r="F18" s="449"/>
      <c r="G18" s="449">
        <f>G29</f>
        <v>0.53100000000000003</v>
      </c>
      <c r="H18" s="450">
        <f t="shared" ref="H18:H20" si="2">ROUND((C18*D18+E18*F18)/1000*G18,2)</f>
        <v>8.56</v>
      </c>
      <c r="Q18" s="373"/>
      <c r="R18" s="373"/>
    </row>
    <row r="19" spans="1:18" ht="20.100000000000001" customHeight="1">
      <c r="A19" s="723"/>
      <c r="B19" s="715"/>
      <c r="C19" s="449">
        <f>C13+2</f>
        <v>2</v>
      </c>
      <c r="D19" s="449">
        <f>D13</f>
        <v>0</v>
      </c>
      <c r="E19" s="449"/>
      <c r="F19" s="449">
        <f>F13</f>
        <v>0</v>
      </c>
      <c r="G19" s="449">
        <f>G18</f>
        <v>0.53100000000000003</v>
      </c>
      <c r="H19" s="450">
        <f t="shared" si="2"/>
        <v>0</v>
      </c>
      <c r="Q19" s="373"/>
      <c r="R19" s="373"/>
    </row>
    <row r="20" spans="1:18" ht="20.100000000000001" customHeight="1">
      <c r="A20" s="723"/>
      <c r="B20" s="715"/>
      <c r="C20" s="449"/>
      <c r="D20" s="449">
        <f>D14</f>
        <v>0</v>
      </c>
      <c r="E20" s="449"/>
      <c r="F20" s="449">
        <f>F14</f>
        <v>0</v>
      </c>
      <c r="G20" s="449">
        <f>G18</f>
        <v>0.53100000000000003</v>
      </c>
      <c r="H20" s="450">
        <f t="shared" si="2"/>
        <v>0</v>
      </c>
      <c r="Q20" s="373"/>
      <c r="R20" s="373"/>
    </row>
    <row r="21" spans="1:18" ht="20.100000000000001" customHeight="1">
      <c r="A21" s="694" t="s">
        <v>182</v>
      </c>
      <c r="B21" s="695"/>
      <c r="C21" s="447"/>
      <c r="D21" s="447" t="s">
        <v>710</v>
      </c>
      <c r="E21" s="447">
        <f>ROUND((E19*F19+E20*F20+E18*F18+C20*D20+C19*D19+C18*D18)/1000,2)</f>
        <v>16.11</v>
      </c>
      <c r="F21" s="447">
        <f>SUM(F18:F20)+SUM(D18:D20)</f>
        <v>7</v>
      </c>
      <c r="G21" s="447"/>
      <c r="H21" s="389">
        <f>SUM(H18:H20)</f>
        <v>8.56</v>
      </c>
      <c r="Q21" s="373"/>
      <c r="R21" s="373"/>
    </row>
    <row r="22" spans="1:18" ht="20.100000000000001" customHeight="1">
      <c r="A22" s="374" t="s">
        <v>139</v>
      </c>
      <c r="B22" s="375" t="s">
        <v>14</v>
      </c>
      <c r="C22" s="375" t="s">
        <v>715</v>
      </c>
      <c r="D22" s="375" t="s">
        <v>8</v>
      </c>
      <c r="E22" s="375" t="s">
        <v>715</v>
      </c>
      <c r="F22" s="375" t="s">
        <v>8</v>
      </c>
      <c r="G22" s="375" t="s">
        <v>22</v>
      </c>
      <c r="H22" s="376" t="s">
        <v>40</v>
      </c>
      <c r="Q22" s="373"/>
      <c r="R22" s="373"/>
    </row>
    <row r="23" spans="1:18" ht="20.100000000000001" customHeight="1">
      <c r="A23" s="723" t="s">
        <v>722</v>
      </c>
      <c r="B23" s="715" t="s">
        <v>723</v>
      </c>
      <c r="C23" s="449">
        <f>C12+2</f>
        <v>2302</v>
      </c>
      <c r="D23" s="449">
        <f>D12</f>
        <v>7</v>
      </c>
      <c r="E23" s="449"/>
      <c r="F23" s="449">
        <f>F12</f>
        <v>0</v>
      </c>
      <c r="G23" s="449">
        <v>0.27900000000000003</v>
      </c>
      <c r="H23" s="450">
        <f t="shared" ref="H23:H25" si="3">ROUND((C23*D23+E23*F23)/1000*G23,2)</f>
        <v>4.5</v>
      </c>
      <c r="Q23" s="373"/>
      <c r="R23" s="373"/>
    </row>
    <row r="24" spans="1:18" ht="20.100000000000001" customHeight="1">
      <c r="A24" s="723"/>
      <c r="B24" s="715"/>
      <c r="C24" s="449">
        <f>C19</f>
        <v>2</v>
      </c>
      <c r="D24" s="449">
        <f>D13</f>
        <v>0</v>
      </c>
      <c r="E24" s="449"/>
      <c r="F24" s="449">
        <f>F13</f>
        <v>0</v>
      </c>
      <c r="G24" s="449">
        <f t="shared" ref="G24:G25" si="4">G23</f>
        <v>0.27900000000000003</v>
      </c>
      <c r="H24" s="450">
        <f t="shared" si="3"/>
        <v>0</v>
      </c>
      <c r="Q24" s="373"/>
      <c r="R24" s="373"/>
    </row>
    <row r="25" spans="1:18" ht="20.100000000000001" customHeight="1">
      <c r="A25" s="723"/>
      <c r="B25" s="715"/>
      <c r="C25" s="449">
        <f>C20</f>
        <v>0</v>
      </c>
      <c r="D25" s="449">
        <f>D14</f>
        <v>0</v>
      </c>
      <c r="E25" s="449"/>
      <c r="F25" s="449">
        <f>F14</f>
        <v>0</v>
      </c>
      <c r="G25" s="449">
        <f t="shared" si="4"/>
        <v>0.27900000000000003</v>
      </c>
      <c r="H25" s="450">
        <f t="shared" si="3"/>
        <v>0</v>
      </c>
      <c r="Q25" s="373"/>
      <c r="R25" s="373"/>
    </row>
    <row r="26" spans="1:18" ht="20.100000000000001" customHeight="1">
      <c r="A26" s="694" t="s">
        <v>182</v>
      </c>
      <c r="B26" s="695"/>
      <c r="C26" s="447"/>
      <c r="D26" s="447" t="s">
        <v>710</v>
      </c>
      <c r="E26" s="447">
        <f>ROUND((E23*F23+E24*F24+E25*F25+C23*D23+C24*D24+C25*D25)/1000,2)</f>
        <v>16.11</v>
      </c>
      <c r="F26" s="447">
        <f>SUM(F23:F25)+SUM(D23:D25)</f>
        <v>7</v>
      </c>
      <c r="G26" s="447"/>
      <c r="H26" s="390">
        <f>SUM(H23:H25)</f>
        <v>4.5</v>
      </c>
      <c r="Q26" s="373"/>
      <c r="R26" s="373"/>
    </row>
    <row r="27" spans="1:18" ht="20.100000000000001" customHeight="1">
      <c r="A27" s="452" t="s">
        <v>711</v>
      </c>
      <c r="B27" s="384">
        <f>81.3/1000</f>
        <v>8.1299999999999997E-2</v>
      </c>
      <c r="C27" s="453" t="s">
        <v>712</v>
      </c>
      <c r="D27" s="384">
        <f>E26*B27</f>
        <v>1.3097429999999999</v>
      </c>
      <c r="E27" s="453" t="s">
        <v>713</v>
      </c>
      <c r="F27" s="453"/>
      <c r="G27" s="453" t="s">
        <v>714</v>
      </c>
      <c r="H27" s="382">
        <f>D27*F27</f>
        <v>0</v>
      </c>
      <c r="Q27" s="373"/>
      <c r="R27" s="373"/>
    </row>
    <row r="28" spans="1:18" ht="20.100000000000001" customHeight="1">
      <c r="A28" s="374" t="s">
        <v>139</v>
      </c>
      <c r="B28" s="375" t="s">
        <v>14</v>
      </c>
      <c r="C28" s="375" t="s">
        <v>113</v>
      </c>
      <c r="D28" s="375" t="s">
        <v>8</v>
      </c>
      <c r="E28" s="375" t="s">
        <v>113</v>
      </c>
      <c r="F28" s="375" t="s">
        <v>8</v>
      </c>
      <c r="G28" s="375" t="s">
        <v>22</v>
      </c>
      <c r="H28" s="376" t="s">
        <v>40</v>
      </c>
      <c r="Q28" s="373"/>
      <c r="R28" s="373"/>
    </row>
    <row r="29" spans="1:18" ht="20.100000000000001" customHeight="1">
      <c r="A29" s="723" t="s">
        <v>724</v>
      </c>
      <c r="B29" s="715" t="s">
        <v>721</v>
      </c>
      <c r="C29" s="449">
        <f>C6</f>
        <v>0</v>
      </c>
      <c r="D29" s="449">
        <f>D6</f>
        <v>0</v>
      </c>
      <c r="E29" s="449">
        <f t="shared" ref="C29:F31" si="5">E6</f>
        <v>0</v>
      </c>
      <c r="F29" s="449">
        <f t="shared" si="5"/>
        <v>0</v>
      </c>
      <c r="G29" s="449">
        <v>0.53100000000000003</v>
      </c>
      <c r="H29" s="450">
        <f t="shared" ref="H29:H31" si="6">ROUND((C29*D29+E29*F29)/1000*G29,2)</f>
        <v>0</v>
      </c>
      <c r="Q29" s="373">
        <v>4</v>
      </c>
      <c r="R29" s="373"/>
    </row>
    <row r="30" spans="1:18" ht="20.100000000000001" customHeight="1">
      <c r="A30" s="723"/>
      <c r="B30" s="715"/>
      <c r="C30" s="449">
        <f>C7</f>
        <v>6000</v>
      </c>
      <c r="D30" s="449">
        <f>D7</f>
        <v>5</v>
      </c>
      <c r="E30" s="449">
        <f t="shared" si="5"/>
        <v>0</v>
      </c>
      <c r="F30" s="449">
        <f t="shared" si="5"/>
        <v>0</v>
      </c>
      <c r="G30" s="449">
        <f>G29</f>
        <v>0.53100000000000003</v>
      </c>
      <c r="H30" s="450">
        <f t="shared" si="6"/>
        <v>15.93</v>
      </c>
      <c r="Q30" s="373"/>
      <c r="R30" s="373"/>
    </row>
    <row r="31" spans="1:18" ht="20.100000000000001" customHeight="1">
      <c r="A31" s="723"/>
      <c r="B31" s="715"/>
      <c r="C31" s="449">
        <f t="shared" si="5"/>
        <v>0</v>
      </c>
      <c r="D31" s="449">
        <f t="shared" si="5"/>
        <v>0</v>
      </c>
      <c r="E31" s="449">
        <f t="shared" si="5"/>
        <v>0</v>
      </c>
      <c r="F31" s="449">
        <f t="shared" si="5"/>
        <v>0</v>
      </c>
      <c r="G31" s="449">
        <f>G29</f>
        <v>0.53100000000000003</v>
      </c>
      <c r="H31" s="450">
        <f t="shared" si="6"/>
        <v>0</v>
      </c>
      <c r="Q31" s="373"/>
      <c r="R31" s="373"/>
    </row>
    <row r="32" spans="1:18" ht="20.100000000000001" customHeight="1">
      <c r="A32" s="694" t="s">
        <v>182</v>
      </c>
      <c r="B32" s="695"/>
      <c r="C32" s="447"/>
      <c r="D32" s="447" t="s">
        <v>710</v>
      </c>
      <c r="E32" s="447">
        <f>ROUND((C29*D29+E29*F29+C30*D30+E30*F30+C31*D31+E31*F31)/1000,2)</f>
        <v>30</v>
      </c>
      <c r="F32" s="447">
        <f>SUM(F29:F31)+SUM(D29:D31)</f>
        <v>5</v>
      </c>
      <c r="G32" s="447"/>
      <c r="H32" s="390">
        <f>SUM(H29:H31)</f>
        <v>15.93</v>
      </c>
      <c r="Q32" s="373"/>
      <c r="R32" s="373"/>
    </row>
    <row r="33" spans="1:18" ht="20.100000000000001" customHeight="1">
      <c r="A33" s="374" t="s">
        <v>139</v>
      </c>
      <c r="B33" s="375" t="s">
        <v>14</v>
      </c>
      <c r="C33" s="375" t="s">
        <v>715</v>
      </c>
      <c r="D33" s="375" t="s">
        <v>8</v>
      </c>
      <c r="E33" s="375" t="s">
        <v>705</v>
      </c>
      <c r="F33" s="375" t="s">
        <v>8</v>
      </c>
      <c r="G33" s="375" t="s">
        <v>22</v>
      </c>
      <c r="H33" s="376" t="s">
        <v>40</v>
      </c>
      <c r="Q33" s="373"/>
      <c r="R33" s="373"/>
    </row>
    <row r="34" spans="1:18" ht="20.100000000000001" customHeight="1">
      <c r="A34" s="723" t="s">
        <v>725</v>
      </c>
      <c r="B34" s="715" t="s">
        <v>726</v>
      </c>
      <c r="C34" s="449">
        <f>C6</f>
        <v>0</v>
      </c>
      <c r="D34" s="449">
        <f t="shared" ref="C34:F36" si="7">D6</f>
        <v>0</v>
      </c>
      <c r="E34" s="449">
        <f t="shared" si="7"/>
        <v>0</v>
      </c>
      <c r="F34" s="449">
        <f t="shared" si="7"/>
        <v>0</v>
      </c>
      <c r="G34" s="449">
        <v>0.35799999999999998</v>
      </c>
      <c r="H34" s="450">
        <f t="shared" ref="H34:H36" si="8">ROUND((C34*D34+E34*F34)/1000*G34,2)</f>
        <v>0</v>
      </c>
      <c r="Q34" s="373"/>
      <c r="R34" s="373"/>
    </row>
    <row r="35" spans="1:18" ht="20.100000000000001" customHeight="1">
      <c r="A35" s="723"/>
      <c r="B35" s="715"/>
      <c r="C35" s="449">
        <f>C7</f>
        <v>6000</v>
      </c>
      <c r="D35" s="449">
        <f>D7</f>
        <v>5</v>
      </c>
      <c r="E35" s="449">
        <f t="shared" si="7"/>
        <v>0</v>
      </c>
      <c r="F35" s="449">
        <f t="shared" si="7"/>
        <v>0</v>
      </c>
      <c r="G35" s="449">
        <f>G34</f>
        <v>0.35799999999999998</v>
      </c>
      <c r="H35" s="450">
        <f t="shared" si="8"/>
        <v>10.74</v>
      </c>
      <c r="Q35" s="373"/>
      <c r="R35" s="373"/>
    </row>
    <row r="36" spans="1:18" ht="20.100000000000001" customHeight="1">
      <c r="A36" s="723"/>
      <c r="B36" s="715"/>
      <c r="C36" s="449">
        <f t="shared" si="7"/>
        <v>0</v>
      </c>
      <c r="D36" s="449">
        <f t="shared" si="7"/>
        <v>0</v>
      </c>
      <c r="E36" s="449">
        <f t="shared" si="7"/>
        <v>0</v>
      </c>
      <c r="F36" s="449">
        <f t="shared" si="7"/>
        <v>0</v>
      </c>
      <c r="G36" s="449">
        <f>G34</f>
        <v>0.35799999999999998</v>
      </c>
      <c r="H36" s="450">
        <f t="shared" si="8"/>
        <v>0</v>
      </c>
      <c r="Q36" s="373"/>
      <c r="R36" s="373"/>
    </row>
    <row r="37" spans="1:18" ht="20.100000000000001" customHeight="1">
      <c r="A37" s="694" t="s">
        <v>182</v>
      </c>
      <c r="B37" s="695"/>
      <c r="C37" s="447"/>
      <c r="D37" s="447" t="s">
        <v>710</v>
      </c>
      <c r="E37" s="447">
        <f>ROUND((C34*D34+E34*F34+C35*D35+E35*F35+C36*D36+E36*F36)/1000,2)</f>
        <v>30</v>
      </c>
      <c r="F37" s="447">
        <f>SUM(F34:F36)+SUM(D34:D36)</f>
        <v>5</v>
      </c>
      <c r="G37" s="447"/>
      <c r="H37" s="390">
        <f>SUM(H34:H36)</f>
        <v>10.74</v>
      </c>
      <c r="Q37" s="373"/>
      <c r="R37" s="373"/>
    </row>
    <row r="38" spans="1:18" ht="20.100000000000001" customHeight="1">
      <c r="A38" s="452" t="s">
        <v>711</v>
      </c>
      <c r="B38" s="384">
        <f>97.8/1000</f>
        <v>9.7799999999999998E-2</v>
      </c>
      <c r="C38" s="453" t="s">
        <v>712</v>
      </c>
      <c r="D38" s="384">
        <f>E37*B38</f>
        <v>2.9340000000000002</v>
      </c>
      <c r="E38" s="453" t="s">
        <v>713</v>
      </c>
      <c r="F38" s="453"/>
      <c r="G38" s="453" t="s">
        <v>714</v>
      </c>
      <c r="H38" s="382">
        <f>D38*F38</f>
        <v>0</v>
      </c>
      <c r="Q38" s="373"/>
      <c r="R38" s="373"/>
    </row>
    <row r="39" spans="1:18" ht="20.100000000000001" customHeight="1">
      <c r="A39" s="374" t="s">
        <v>139</v>
      </c>
      <c r="B39" s="375" t="s">
        <v>14</v>
      </c>
      <c r="C39" s="375" t="s">
        <v>705</v>
      </c>
      <c r="D39" s="375" t="s">
        <v>8</v>
      </c>
      <c r="E39" s="375" t="s">
        <v>705</v>
      </c>
      <c r="F39" s="375" t="s">
        <v>8</v>
      </c>
      <c r="G39" s="375" t="s">
        <v>22</v>
      </c>
      <c r="H39" s="376" t="s">
        <v>40</v>
      </c>
      <c r="Q39" s="373"/>
      <c r="R39" s="373"/>
    </row>
    <row r="40" spans="1:18" ht="20.100000000000001" customHeight="1">
      <c r="A40" s="722" t="s">
        <v>727</v>
      </c>
      <c r="B40" s="715" t="s">
        <v>728</v>
      </c>
      <c r="C40" s="391">
        <v>50</v>
      </c>
      <c r="D40" s="391"/>
      <c r="E40" s="391"/>
      <c r="F40" s="391">
        <v>0</v>
      </c>
      <c r="G40" s="449">
        <v>3.2410000000000001</v>
      </c>
      <c r="H40" s="450">
        <f>ROUND((C40*D40+E40*F40)/1000*G40,2)</f>
        <v>0</v>
      </c>
      <c r="Q40" s="373"/>
      <c r="R40" s="373"/>
    </row>
    <row r="41" spans="1:18" ht="20.100000000000001" customHeight="1">
      <c r="A41" s="722"/>
      <c r="B41" s="715"/>
      <c r="C41" s="391">
        <v>0</v>
      </c>
      <c r="D41" s="391">
        <v>0</v>
      </c>
      <c r="E41" s="391">
        <v>0</v>
      </c>
      <c r="F41" s="391">
        <v>0</v>
      </c>
      <c r="G41" s="449">
        <f>G40</f>
        <v>3.2410000000000001</v>
      </c>
      <c r="H41" s="450">
        <f t="shared" ref="H41:H42" si="9">ROUND((C41*D41+E41*F41)/1000*G41,2)</f>
        <v>0</v>
      </c>
      <c r="Q41" s="373"/>
      <c r="R41" s="373"/>
    </row>
    <row r="42" spans="1:18" ht="20.100000000000001" customHeight="1">
      <c r="A42" s="722"/>
      <c r="B42" s="715"/>
      <c r="C42" s="391">
        <v>0</v>
      </c>
      <c r="D42" s="391">
        <v>0</v>
      </c>
      <c r="E42" s="391">
        <v>0</v>
      </c>
      <c r="F42" s="391">
        <v>0</v>
      </c>
      <c r="G42" s="449">
        <f>G40</f>
        <v>3.2410000000000001</v>
      </c>
      <c r="H42" s="450">
        <f t="shared" si="9"/>
        <v>0</v>
      </c>
      <c r="Q42" s="373"/>
      <c r="R42" s="373"/>
    </row>
    <row r="43" spans="1:18" ht="20.100000000000001" customHeight="1">
      <c r="A43" s="694" t="s">
        <v>182</v>
      </c>
      <c r="B43" s="695"/>
      <c r="C43" s="447"/>
      <c r="D43" s="447" t="s">
        <v>710</v>
      </c>
      <c r="E43" s="392">
        <f>ROUND((E40*F40+E41*F41+E42*F42)/1000,2)</f>
        <v>0</v>
      </c>
      <c r="F43" s="447">
        <f>SUM(F40:F42)+SUM(D40:D42)</f>
        <v>0</v>
      </c>
      <c r="G43" s="447"/>
      <c r="H43" s="389">
        <f>SUM(H40:H42)</f>
        <v>0</v>
      </c>
      <c r="Q43" s="373"/>
      <c r="R43" s="373"/>
    </row>
    <row r="44" spans="1:18" ht="20.100000000000001" customHeight="1">
      <c r="A44" s="393" t="s">
        <v>139</v>
      </c>
      <c r="B44" s="451" t="s">
        <v>14</v>
      </c>
      <c r="C44" s="375" t="s">
        <v>715</v>
      </c>
      <c r="D44" s="375" t="s">
        <v>8</v>
      </c>
      <c r="E44" s="375" t="s">
        <v>705</v>
      </c>
      <c r="F44" s="375" t="s">
        <v>8</v>
      </c>
      <c r="G44" s="451" t="s">
        <v>22</v>
      </c>
      <c r="H44" s="454" t="s">
        <v>40</v>
      </c>
      <c r="Q44" s="373"/>
      <c r="R44" s="373"/>
    </row>
    <row r="45" spans="1:18" ht="20.100000000000001" customHeight="1">
      <c r="A45" s="722" t="s">
        <v>729</v>
      </c>
      <c r="B45" s="715" t="s">
        <v>730</v>
      </c>
      <c r="C45" s="449"/>
      <c r="D45" s="449"/>
      <c r="E45" s="449">
        <v>0</v>
      </c>
      <c r="F45" s="449">
        <v>0</v>
      </c>
      <c r="G45" s="449">
        <v>0.41699999999999998</v>
      </c>
      <c r="H45" s="450">
        <f>ROUND((C45*D45+E45*F45)/1000*G45,2)</f>
        <v>0</v>
      </c>
      <c r="Q45" s="373"/>
      <c r="R45" s="373"/>
    </row>
    <row r="46" spans="1:18" ht="20.100000000000001" customHeight="1">
      <c r="A46" s="722"/>
      <c r="B46" s="715"/>
      <c r="C46" s="449"/>
      <c r="D46" s="449"/>
      <c r="E46" s="449">
        <f>ROUND((C46+D46)/1000*2,2)</f>
        <v>0</v>
      </c>
      <c r="F46" s="449"/>
      <c r="G46" s="449">
        <f>G45</f>
        <v>0.41699999999999998</v>
      </c>
      <c r="H46" s="450">
        <f>E46*G46*F46</f>
        <v>0</v>
      </c>
      <c r="Q46" s="373"/>
      <c r="R46" s="373"/>
    </row>
    <row r="47" spans="1:18" ht="20.100000000000001" customHeight="1">
      <c r="A47" s="722"/>
      <c r="B47" s="715"/>
      <c r="C47" s="449"/>
      <c r="D47" s="449"/>
      <c r="E47" s="449">
        <f>ROUND((C47+D47)/1000*2,2)</f>
        <v>0</v>
      </c>
      <c r="F47" s="449"/>
      <c r="G47" s="449">
        <f>G45</f>
        <v>0.41699999999999998</v>
      </c>
      <c r="H47" s="450">
        <f>E47*G47*F47</f>
        <v>0</v>
      </c>
      <c r="Q47" s="373"/>
      <c r="R47" s="373"/>
    </row>
    <row r="48" spans="1:18" ht="20.100000000000001" customHeight="1">
      <c r="A48" s="718" t="s">
        <v>182</v>
      </c>
      <c r="B48" s="719"/>
      <c r="C48" s="453"/>
      <c r="D48" s="447" t="s">
        <v>710</v>
      </c>
      <c r="E48" s="447">
        <f>ROUND((E45*F45+E46*F46+E47*F47),2)</f>
        <v>0</v>
      </c>
      <c r="F48" s="453">
        <f>SUM(F45:F47)</f>
        <v>0</v>
      </c>
      <c r="G48" s="453"/>
      <c r="H48" s="382">
        <f>SUM(H45:H47)</f>
        <v>0</v>
      </c>
      <c r="Q48" s="373"/>
      <c r="R48" s="373"/>
    </row>
    <row r="49" spans="1:18" ht="20.100000000000001" customHeight="1">
      <c r="A49" s="393" t="s">
        <v>139</v>
      </c>
      <c r="B49" s="451" t="s">
        <v>14</v>
      </c>
      <c r="C49" s="375" t="s">
        <v>715</v>
      </c>
      <c r="D49" s="375" t="s">
        <v>8</v>
      </c>
      <c r="E49" s="375" t="s">
        <v>705</v>
      </c>
      <c r="F49" s="375" t="s">
        <v>8</v>
      </c>
      <c r="G49" s="451" t="s">
        <v>22</v>
      </c>
      <c r="H49" s="454" t="s">
        <v>40</v>
      </c>
      <c r="Q49" s="373"/>
      <c r="R49" s="373"/>
    </row>
    <row r="50" spans="1:18" ht="20.100000000000001" customHeight="1">
      <c r="A50" s="722" t="s">
        <v>731</v>
      </c>
      <c r="B50" s="715"/>
      <c r="C50" s="449">
        <f>C3</f>
        <v>2300</v>
      </c>
      <c r="D50" s="449"/>
      <c r="E50" s="449">
        <v>0</v>
      </c>
      <c r="F50" s="449">
        <v>0</v>
      </c>
      <c r="G50" s="449">
        <v>0.62</v>
      </c>
      <c r="H50" s="450">
        <f>ROUND((C50*D50+E50*F50)/1000*G50,2)</f>
        <v>0</v>
      </c>
      <c r="Q50" s="373"/>
      <c r="R50" s="373"/>
    </row>
    <row r="51" spans="1:18" ht="20.100000000000001" customHeight="1">
      <c r="A51" s="722"/>
      <c r="B51" s="715"/>
      <c r="C51" s="449"/>
      <c r="D51" s="449"/>
      <c r="E51" s="449">
        <f>ROUND((C51+D51)/1000*2,2)</f>
        <v>0</v>
      </c>
      <c r="F51" s="449"/>
      <c r="G51" s="449">
        <f>G50</f>
        <v>0.62</v>
      </c>
      <c r="H51" s="450">
        <f>E51*G51*F51</f>
        <v>0</v>
      </c>
      <c r="Q51" s="373"/>
      <c r="R51" s="373"/>
    </row>
    <row r="52" spans="1:18" ht="20.100000000000001" customHeight="1">
      <c r="A52" s="722"/>
      <c r="B52" s="715"/>
      <c r="C52" s="449"/>
      <c r="D52" s="449"/>
      <c r="E52" s="449">
        <f>ROUND((C52+D52)/1000*2,2)</f>
        <v>0</v>
      </c>
      <c r="F52" s="449"/>
      <c r="G52" s="449">
        <f>G50</f>
        <v>0.62</v>
      </c>
      <c r="H52" s="450">
        <f>E52*G52*F52</f>
        <v>0</v>
      </c>
      <c r="Q52" s="373"/>
      <c r="R52" s="373"/>
    </row>
    <row r="53" spans="1:18" ht="20.100000000000001" customHeight="1">
      <c r="A53" s="718" t="s">
        <v>182</v>
      </c>
      <c r="B53" s="719"/>
      <c r="C53" s="453"/>
      <c r="D53" s="447" t="s">
        <v>710</v>
      </c>
      <c r="E53" s="447">
        <f>ROUND((E50*F50+E51*F51+E52*F52),2)</f>
        <v>0</v>
      </c>
      <c r="F53" s="453">
        <f>SUM(F50:F52)</f>
        <v>0</v>
      </c>
      <c r="G53" s="453"/>
      <c r="H53" s="382">
        <f>SUM(H50:H52)</f>
        <v>0</v>
      </c>
      <c r="Q53" s="373"/>
      <c r="R53" s="373"/>
    </row>
    <row r="54" spans="1:18" ht="20.100000000000001" customHeight="1">
      <c r="A54" s="393" t="s">
        <v>139</v>
      </c>
      <c r="B54" s="451" t="s">
        <v>14</v>
      </c>
      <c r="C54" s="375" t="s">
        <v>715</v>
      </c>
      <c r="D54" s="375" t="s">
        <v>8</v>
      </c>
      <c r="E54" s="375" t="s">
        <v>705</v>
      </c>
      <c r="F54" s="375" t="s">
        <v>8</v>
      </c>
      <c r="G54" s="451" t="s">
        <v>22</v>
      </c>
      <c r="H54" s="454" t="s">
        <v>40</v>
      </c>
      <c r="Q54" s="373"/>
      <c r="R54" s="373"/>
    </row>
    <row r="55" spans="1:18" ht="20.100000000000001" customHeight="1">
      <c r="A55" s="722" t="s">
        <v>732</v>
      </c>
      <c r="B55" s="715" t="s">
        <v>733</v>
      </c>
      <c r="C55" s="449"/>
      <c r="D55" s="449"/>
      <c r="E55" s="449"/>
      <c r="F55" s="449"/>
      <c r="G55" s="449">
        <v>1.5740000000000001</v>
      </c>
      <c r="H55" s="450">
        <f>ROUND((C55*D55+E55*F55)/1000*G55,2)</f>
        <v>0</v>
      </c>
      <c r="Q55" s="373"/>
      <c r="R55" s="373"/>
    </row>
    <row r="56" spans="1:18" ht="20.100000000000001" customHeight="1">
      <c r="A56" s="722"/>
      <c r="B56" s="715"/>
      <c r="C56" s="449"/>
      <c r="D56" s="449"/>
      <c r="E56" s="449">
        <f>ROUND((C56+D56)/1000*2,2)</f>
        <v>0</v>
      </c>
      <c r="F56" s="449"/>
      <c r="G56" s="449">
        <f>G55</f>
        <v>1.5740000000000001</v>
      </c>
      <c r="H56" s="450">
        <f>E56*G56*F56</f>
        <v>0</v>
      </c>
      <c r="Q56" s="373"/>
      <c r="R56" s="373"/>
    </row>
    <row r="57" spans="1:18" ht="20.100000000000001" customHeight="1">
      <c r="A57" s="722"/>
      <c r="B57" s="715"/>
      <c r="C57" s="449"/>
      <c r="D57" s="449"/>
      <c r="E57" s="449">
        <f>ROUND((C57+D57)/1000*2,2)</f>
        <v>0</v>
      </c>
      <c r="F57" s="449"/>
      <c r="G57" s="449">
        <f>G55</f>
        <v>1.5740000000000001</v>
      </c>
      <c r="H57" s="450">
        <f>E57*G57*F57</f>
        <v>0</v>
      </c>
      <c r="Q57" s="373"/>
      <c r="R57" s="373"/>
    </row>
    <row r="58" spans="1:18" ht="20.100000000000001" customHeight="1">
      <c r="A58" s="718" t="s">
        <v>182</v>
      </c>
      <c r="B58" s="719"/>
      <c r="C58" s="453"/>
      <c r="D58" s="447" t="s">
        <v>710</v>
      </c>
      <c r="E58" s="447">
        <f>ROUND((E55*F55+E56*F56+E57*F57+D55*C55+D56*C56+C57*D57)/1000,2)</f>
        <v>0</v>
      </c>
      <c r="F58" s="453">
        <f>SUM(F55:F57)</f>
        <v>0</v>
      </c>
      <c r="G58" s="453"/>
      <c r="H58" s="382">
        <f>SUM(H55:H57)</f>
        <v>0</v>
      </c>
      <c r="Q58" s="373"/>
      <c r="R58" s="373"/>
    </row>
    <row r="59" spans="1:18" ht="20.100000000000001" customHeight="1">
      <c r="A59" s="393" t="s">
        <v>139</v>
      </c>
      <c r="B59" s="451" t="s">
        <v>14</v>
      </c>
      <c r="C59" s="375" t="s">
        <v>715</v>
      </c>
      <c r="D59" s="375" t="s">
        <v>8</v>
      </c>
      <c r="E59" s="375" t="s">
        <v>705</v>
      </c>
      <c r="F59" s="375" t="s">
        <v>8</v>
      </c>
      <c r="G59" s="451" t="s">
        <v>22</v>
      </c>
      <c r="H59" s="454" t="s">
        <v>40</v>
      </c>
      <c r="Q59" s="373"/>
      <c r="R59" s="373"/>
    </row>
    <row r="60" spans="1:18" ht="20.100000000000001" customHeight="1">
      <c r="A60" s="722" t="s">
        <v>734</v>
      </c>
      <c r="B60" s="715" t="s">
        <v>735</v>
      </c>
      <c r="C60" s="449">
        <f>C55</f>
        <v>0</v>
      </c>
      <c r="D60" s="449">
        <f>D55</f>
        <v>0</v>
      </c>
      <c r="E60" s="449">
        <f>E55</f>
        <v>0</v>
      </c>
      <c r="F60" s="449">
        <f>F55</f>
        <v>0</v>
      </c>
      <c r="G60" s="449">
        <f>1.699+0.367</f>
        <v>2.0659999999999998</v>
      </c>
      <c r="H60" s="450">
        <f>ROUND((C60*D60+E60*F60)/1000*G60,2)</f>
        <v>0</v>
      </c>
      <c r="Q60" s="373"/>
      <c r="R60" s="373"/>
    </row>
    <row r="61" spans="1:18" ht="20.100000000000001" customHeight="1">
      <c r="A61" s="722"/>
      <c r="B61" s="715"/>
      <c r="C61" s="449">
        <f t="shared" ref="C61:C62" si="10">C56</f>
        <v>0</v>
      </c>
      <c r="D61" s="449"/>
      <c r="E61" s="449">
        <f t="shared" ref="E61:E62" si="11">E56</f>
        <v>0</v>
      </c>
      <c r="F61" s="449"/>
      <c r="G61" s="449">
        <f>G60</f>
        <v>2.0659999999999998</v>
      </c>
      <c r="H61" s="450">
        <f>E61*G61*F61</f>
        <v>0</v>
      </c>
      <c r="Q61" s="373"/>
      <c r="R61" s="373"/>
    </row>
    <row r="62" spans="1:18" ht="20.100000000000001" customHeight="1">
      <c r="A62" s="722"/>
      <c r="B62" s="715"/>
      <c r="C62" s="449">
        <f t="shared" si="10"/>
        <v>0</v>
      </c>
      <c r="D62" s="449"/>
      <c r="E62" s="449">
        <f t="shared" si="11"/>
        <v>0</v>
      </c>
      <c r="F62" s="449"/>
      <c r="G62" s="449">
        <f>G60</f>
        <v>2.0659999999999998</v>
      </c>
      <c r="H62" s="450">
        <f>E62*G62*F62</f>
        <v>0</v>
      </c>
      <c r="Q62" s="373"/>
      <c r="R62" s="373"/>
    </row>
    <row r="63" spans="1:18" ht="20.100000000000001" customHeight="1">
      <c r="A63" s="718" t="s">
        <v>182</v>
      </c>
      <c r="B63" s="719"/>
      <c r="C63" s="453"/>
      <c r="D63" s="447" t="s">
        <v>710</v>
      </c>
      <c r="E63" s="447">
        <f>ROUND((E60*F60+E61*F61+E62*F62+D60*C60+D61*C61+C62*D62)/1000,2)</f>
        <v>0</v>
      </c>
      <c r="F63" s="453">
        <f>SUM(F60:F62)</f>
        <v>0</v>
      </c>
      <c r="G63" s="453"/>
      <c r="H63" s="382">
        <f>SUM(H60:H62)</f>
        <v>0</v>
      </c>
      <c r="Q63" s="373"/>
      <c r="R63" s="373"/>
    </row>
    <row r="64" spans="1:18" ht="20.100000000000001" customHeight="1">
      <c r="A64" s="396" t="s">
        <v>142</v>
      </c>
      <c r="B64" s="397">
        <f>材料价格!B4</f>
        <v>22081.5</v>
      </c>
      <c r="C64" s="398" t="s">
        <v>138</v>
      </c>
      <c r="D64" s="399">
        <f>(H9+H15+H21+H26+H32+H37+H43+H48+H53)*1.1</f>
        <v>302.63640000000004</v>
      </c>
      <c r="E64" s="398" t="s">
        <v>736</v>
      </c>
      <c r="F64" s="400">
        <f>ROUND((B64+Q64)/1000,2)</f>
        <v>41.28</v>
      </c>
      <c r="G64" s="398" t="s">
        <v>45</v>
      </c>
      <c r="H64" s="401">
        <f>ROUND(D64*F64,2)</f>
        <v>12492.83</v>
      </c>
      <c r="I64" s="402">
        <v>28645.186483760001</v>
      </c>
      <c r="J64" s="403">
        <f>ROUND(I64/J3,2)</f>
        <v>471.76</v>
      </c>
      <c r="Q64" s="373">
        <f>材料价格!B7</f>
        <v>19200</v>
      </c>
      <c r="R64" s="373"/>
    </row>
    <row r="65" spans="1:18" ht="20.100000000000001" customHeight="1">
      <c r="A65" s="396" t="str">
        <f>A64</f>
        <v>铝锭价格</v>
      </c>
      <c r="B65" s="397">
        <f>B64</f>
        <v>22081.5</v>
      </c>
      <c r="C65" s="398" t="s">
        <v>737</v>
      </c>
      <c r="D65" s="399">
        <f>(H58+H63)*1.1</f>
        <v>0</v>
      </c>
      <c r="E65" s="398" t="str">
        <f>E64</f>
        <v>型材价格</v>
      </c>
      <c r="F65" s="400"/>
      <c r="G65" s="398" t="str">
        <f>G64</f>
        <v>型材总价</v>
      </c>
      <c r="H65" s="401">
        <f>ROUND(D65*F65,2)</f>
        <v>0</v>
      </c>
      <c r="I65" s="402"/>
      <c r="J65" s="403"/>
      <c r="Q65" s="373"/>
      <c r="R65" s="373"/>
    </row>
    <row r="66" spans="1:18" ht="20.100000000000001" customHeight="1">
      <c r="A66" s="404" t="s">
        <v>714</v>
      </c>
      <c r="B66" s="405"/>
      <c r="C66" s="405"/>
      <c r="D66" s="406"/>
      <c r="E66" s="406"/>
      <c r="F66" s="407"/>
      <c r="G66" s="407"/>
      <c r="H66" s="408">
        <f>H38+H27+H16+H10</f>
        <v>0</v>
      </c>
      <c r="I66" s="402"/>
      <c r="J66" s="403"/>
      <c r="Q66" s="373">
        <f>H66+H64</f>
        <v>12492.83</v>
      </c>
      <c r="R66" s="373">
        <f>Q66/D64</f>
        <v>41.27999804385724</v>
      </c>
    </row>
    <row r="67" spans="1:18" ht="20.100000000000001" customHeight="1">
      <c r="A67" s="409" t="s">
        <v>112</v>
      </c>
      <c r="B67" s="410" t="s">
        <v>14</v>
      </c>
      <c r="C67" s="410" t="s">
        <v>301</v>
      </c>
      <c r="D67" s="410" t="s">
        <v>8</v>
      </c>
      <c r="E67" s="410" t="s">
        <v>112</v>
      </c>
      <c r="F67" s="410" t="s">
        <v>14</v>
      </c>
      <c r="G67" s="410" t="s">
        <v>301</v>
      </c>
      <c r="H67" s="411" t="s">
        <v>8</v>
      </c>
      <c r="Q67" s="373"/>
      <c r="R67" s="373"/>
    </row>
    <row r="68" spans="1:18" ht="20.100000000000001" customHeight="1">
      <c r="A68" s="720" t="s">
        <v>738</v>
      </c>
      <c r="B68" s="412" t="s">
        <v>739</v>
      </c>
      <c r="C68" s="108">
        <v>1.1000000000000001</v>
      </c>
      <c r="D68" s="443">
        <f>D55*2</f>
        <v>0</v>
      </c>
      <c r="E68" s="720" t="s">
        <v>740</v>
      </c>
      <c r="F68" s="412" t="s">
        <v>741</v>
      </c>
      <c r="G68" s="108">
        <v>0.85</v>
      </c>
      <c r="H68" s="443">
        <f>D68</f>
        <v>0</v>
      </c>
      <c r="Q68" s="373"/>
      <c r="R68" s="373"/>
    </row>
    <row r="69" spans="1:18" ht="20.100000000000001" customHeight="1">
      <c r="A69" s="720"/>
      <c r="B69" s="412" t="s">
        <v>742</v>
      </c>
      <c r="C69" s="108">
        <v>0.91</v>
      </c>
      <c r="D69" s="443">
        <f>D68</f>
        <v>0</v>
      </c>
      <c r="E69" s="720"/>
      <c r="F69" s="412" t="s">
        <v>743</v>
      </c>
      <c r="G69" s="108">
        <v>1.45</v>
      </c>
      <c r="H69" s="443">
        <f>H68</f>
        <v>0</v>
      </c>
      <c r="Q69" s="373"/>
      <c r="R69" s="373"/>
    </row>
    <row r="70" spans="1:18" ht="20.100000000000001" customHeight="1">
      <c r="A70" s="396" t="s">
        <v>151</v>
      </c>
      <c r="B70" s="399"/>
      <c r="C70" s="398" t="s">
        <v>304</v>
      </c>
      <c r="D70" s="398">
        <f>ROUND(B70*1.05,3)</f>
        <v>0</v>
      </c>
      <c r="E70" s="398" t="s">
        <v>744</v>
      </c>
      <c r="F70" s="398"/>
      <c r="G70" s="398" t="s">
        <v>745</v>
      </c>
      <c r="H70" s="401">
        <f>D68*C68+C69*D69+G68*H68+G69*H69</f>
        <v>0</v>
      </c>
      <c r="Q70" s="373"/>
      <c r="R70" s="373"/>
    </row>
    <row r="71" spans="1:18" ht="20.100000000000001" customHeight="1">
      <c r="A71" s="714" t="s">
        <v>746</v>
      </c>
      <c r="B71" s="715"/>
      <c r="C71" s="715"/>
      <c r="D71" s="715"/>
      <c r="E71" s="715"/>
      <c r="F71" s="715"/>
      <c r="G71" s="715"/>
      <c r="H71" s="716"/>
      <c r="I71" s="403"/>
      <c r="J71" s="403"/>
      <c r="Q71" s="373"/>
      <c r="R71" s="373"/>
    </row>
    <row r="72" spans="1:18" ht="20.100000000000001" customHeight="1">
      <c r="A72" s="393" t="s">
        <v>747</v>
      </c>
      <c r="B72" s="451" t="s">
        <v>748</v>
      </c>
      <c r="C72" s="451" t="s">
        <v>17</v>
      </c>
      <c r="D72" s="451" t="s">
        <v>8</v>
      </c>
      <c r="E72" s="451" t="s">
        <v>7</v>
      </c>
      <c r="F72" s="451" t="s">
        <v>28</v>
      </c>
      <c r="G72" s="717" t="s">
        <v>29</v>
      </c>
      <c r="H72" s="721"/>
      <c r="I72" s="403"/>
      <c r="J72" s="403"/>
      <c r="Q72" s="373"/>
      <c r="R72" s="373"/>
    </row>
    <row r="73" spans="1:18" ht="20.100000000000001" customHeight="1">
      <c r="A73" s="413" t="str">
        <f>[32]价格表!A12</f>
        <v>6+16Ar+6+16Ar+6暖边氩气</v>
      </c>
      <c r="B73" s="449"/>
      <c r="C73" s="449"/>
      <c r="D73" s="414"/>
      <c r="E73" s="448"/>
      <c r="F73" s="416">
        <f>材料价格!B10</f>
        <v>148</v>
      </c>
      <c r="G73" s="701">
        <f>E73*F73</f>
        <v>0</v>
      </c>
      <c r="H73" s="713"/>
      <c r="I73" s="403"/>
      <c r="J73" s="403"/>
      <c r="Q73" s="373"/>
      <c r="R73" s="373"/>
    </row>
    <row r="74" spans="1:18" ht="20.100000000000001" customHeight="1">
      <c r="A74" s="413" t="str">
        <f>A73</f>
        <v>6+16Ar+6+16Ar+6暖边氩气</v>
      </c>
      <c r="B74" s="449"/>
      <c r="C74" s="449"/>
      <c r="D74" s="449"/>
      <c r="E74" s="449">
        <f t="shared" ref="E74:E75" si="12">ROUND((B74*C74*D74)/1000000,2)</f>
        <v>0</v>
      </c>
      <c r="F74" s="416">
        <f>F73</f>
        <v>148</v>
      </c>
      <c r="G74" s="701">
        <f t="shared" ref="G74:G75" si="13">E74*F74</f>
        <v>0</v>
      </c>
      <c r="H74" s="713"/>
      <c r="I74" s="403" t="s">
        <v>749</v>
      </c>
      <c r="J74" s="403">
        <v>0.17</v>
      </c>
      <c r="Q74" s="373"/>
      <c r="R74" s="373"/>
    </row>
    <row r="75" spans="1:18" ht="20.100000000000001" customHeight="1">
      <c r="A75" s="413" t="str">
        <f>A73</f>
        <v>6+16Ar+6+16Ar+6暖边氩气</v>
      </c>
      <c r="B75" s="449"/>
      <c r="C75" s="449"/>
      <c r="D75" s="449"/>
      <c r="E75" s="449">
        <f t="shared" si="12"/>
        <v>0</v>
      </c>
      <c r="F75" s="416">
        <f>F73</f>
        <v>148</v>
      </c>
      <c r="G75" s="701">
        <f t="shared" si="13"/>
        <v>0</v>
      </c>
      <c r="H75" s="713"/>
      <c r="I75" s="403" t="s">
        <v>183</v>
      </c>
      <c r="J75" s="403">
        <v>0.82</v>
      </c>
      <c r="Q75" s="373"/>
      <c r="R75" s="373"/>
    </row>
    <row r="76" spans="1:18" ht="20.100000000000001" customHeight="1">
      <c r="A76" s="417"/>
      <c r="B76" s="418" t="s">
        <v>750</v>
      </c>
      <c r="C76" s="419" t="s">
        <v>751</v>
      </c>
      <c r="D76" s="420">
        <f>E73+E74+E75</f>
        <v>0</v>
      </c>
      <c r="E76" s="418" t="s">
        <v>185</v>
      </c>
      <c r="F76" s="421">
        <f>G73+G74+G75</f>
        <v>0</v>
      </c>
      <c r="G76" s="421" t="s">
        <v>752</v>
      </c>
      <c r="H76" s="422" t="e">
        <f>F76/D76</f>
        <v>#DIV/0!</v>
      </c>
      <c r="J76" s="364">
        <v>3</v>
      </c>
      <c r="K76" s="364">
        <v>0.8</v>
      </c>
      <c r="L76" s="364">
        <v>100</v>
      </c>
      <c r="M76" s="364">
        <f>J76*K76*L76</f>
        <v>240.00000000000003</v>
      </c>
      <c r="N76" s="423" t="e">
        <f>#REF!*M76/#REF!</f>
        <v>#REF!</v>
      </c>
      <c r="O76" s="364" t="s">
        <v>753</v>
      </c>
      <c r="Q76" s="373"/>
      <c r="R76" s="373"/>
    </row>
    <row r="77" spans="1:18" ht="20.100000000000001" customHeight="1">
      <c r="A77" s="714" t="s">
        <v>754</v>
      </c>
      <c r="B77" s="715"/>
      <c r="C77" s="715"/>
      <c r="D77" s="715"/>
      <c r="E77" s="715"/>
      <c r="F77" s="715"/>
      <c r="G77" s="715"/>
      <c r="H77" s="716"/>
      <c r="Q77" s="373"/>
      <c r="R77" s="373"/>
    </row>
    <row r="78" spans="1:18" ht="20.100000000000001" customHeight="1">
      <c r="A78" s="393" t="s">
        <v>0</v>
      </c>
      <c r="B78" s="451" t="s">
        <v>139</v>
      </c>
      <c r="C78" s="717" t="s">
        <v>755</v>
      </c>
      <c r="D78" s="717"/>
      <c r="E78" s="451" t="s">
        <v>8</v>
      </c>
      <c r="F78" s="451" t="s">
        <v>269</v>
      </c>
      <c r="G78" s="451" t="s">
        <v>28</v>
      </c>
      <c r="H78" s="454" t="s">
        <v>29</v>
      </c>
      <c r="M78" s="364">
        <v>300</v>
      </c>
      <c r="N78" s="364">
        <v>35</v>
      </c>
      <c r="Q78" s="373"/>
      <c r="R78" s="373"/>
    </row>
    <row r="79" spans="1:18" ht="20.100000000000001" customHeight="1">
      <c r="A79" s="702" t="s">
        <v>275</v>
      </c>
      <c r="B79" s="449" t="s">
        <v>756</v>
      </c>
      <c r="C79" s="706" t="s">
        <v>757</v>
      </c>
      <c r="D79" s="706"/>
      <c r="E79" s="448">
        <f>E9*2+E15*2</f>
        <v>92.2</v>
      </c>
      <c r="F79" s="448" t="s">
        <v>758</v>
      </c>
      <c r="G79" s="448">
        <v>6.3244800000000003</v>
      </c>
      <c r="H79" s="450">
        <f t="shared" ref="H79:H83" si="14">E79*G79</f>
        <v>583.11705600000005</v>
      </c>
      <c r="Q79" s="373"/>
      <c r="R79" s="373"/>
    </row>
    <row r="80" spans="1:18" ht="20.100000000000001" customHeight="1">
      <c r="A80" s="703"/>
      <c r="B80" s="449" t="s">
        <v>759</v>
      </c>
      <c r="C80" s="706" t="s">
        <v>760</v>
      </c>
      <c r="D80" s="706"/>
      <c r="E80" s="448">
        <f>(C3+D3*2)/1000+(E119+0.032*2*D119)</f>
        <v>14.3</v>
      </c>
      <c r="F80" s="448" t="s">
        <v>758</v>
      </c>
      <c r="G80" s="448">
        <v>5.0796720000000004</v>
      </c>
      <c r="H80" s="450">
        <f t="shared" si="14"/>
        <v>72.639309600000004</v>
      </c>
      <c r="Q80" s="373"/>
      <c r="R80" s="373"/>
    </row>
    <row r="81" spans="1:18" ht="20.100000000000001" customHeight="1">
      <c r="A81" s="703"/>
      <c r="B81" s="449" t="s">
        <v>761</v>
      </c>
      <c r="C81" s="706" t="s">
        <v>762</v>
      </c>
      <c r="D81" s="706"/>
      <c r="E81" s="448">
        <f>((C6-58+16)*D6+(E6-58+16)*F6+(C7-58+16)*D7+(E7-58+16)*F7+(C8-58+16)*D8+(E8-58+16)*F8)/1000</f>
        <v>29.79</v>
      </c>
      <c r="F81" s="448" t="s">
        <v>758</v>
      </c>
      <c r="G81" s="448">
        <v>72.054360000000003</v>
      </c>
      <c r="H81" s="450">
        <f t="shared" si="14"/>
        <v>2146.4993844000001</v>
      </c>
      <c r="Q81" s="373"/>
      <c r="R81" s="373"/>
    </row>
    <row r="82" spans="1:18" ht="20.100000000000001" customHeight="1">
      <c r="A82" s="703"/>
      <c r="B82" s="449" t="s">
        <v>763</v>
      </c>
      <c r="C82" s="706" t="s">
        <v>764</v>
      </c>
      <c r="D82" s="706"/>
      <c r="E82" s="448">
        <f>(E15-E83)+32*F15/1000</f>
        <v>14.024000000000001</v>
      </c>
      <c r="F82" s="448" t="s">
        <v>758</v>
      </c>
      <c r="G82" s="448">
        <v>71.542439999999999</v>
      </c>
      <c r="H82" s="450">
        <f t="shared" si="14"/>
        <v>1003.31117856</v>
      </c>
      <c r="R82" s="373"/>
    </row>
    <row r="83" spans="1:18" ht="20.100000000000001" customHeight="1">
      <c r="A83" s="704"/>
      <c r="B83" s="449" t="s">
        <v>765</v>
      </c>
      <c r="C83" s="706" t="s">
        <v>766</v>
      </c>
      <c r="D83" s="706"/>
      <c r="E83" s="448">
        <f>C3/1000</f>
        <v>2.2999999999999998</v>
      </c>
      <c r="F83" s="448" t="s">
        <v>758</v>
      </c>
      <c r="G83" s="448">
        <v>84.492720000000006</v>
      </c>
      <c r="H83" s="450">
        <f t="shared" si="14"/>
        <v>194.33325600000001</v>
      </c>
      <c r="R83" s="373"/>
    </row>
    <row r="84" spans="1:18" ht="20.100000000000001" customHeight="1">
      <c r="A84" s="694" t="s">
        <v>227</v>
      </c>
      <c r="B84" s="695"/>
      <c r="C84" s="695"/>
      <c r="D84" s="695"/>
      <c r="E84" s="424">
        <f>SUM(E79:E83)</f>
        <v>152.614</v>
      </c>
      <c r="F84" s="424"/>
      <c r="G84" s="424">
        <f>H84/E84</f>
        <v>26.209261172369509</v>
      </c>
      <c r="H84" s="389">
        <f>SUM(H79:H83)</f>
        <v>3999.9001845600001</v>
      </c>
      <c r="R84" s="373"/>
    </row>
    <row r="85" spans="1:18" ht="20.100000000000001" customHeight="1">
      <c r="A85" s="702" t="s">
        <v>767</v>
      </c>
      <c r="B85" s="449" t="s">
        <v>753</v>
      </c>
      <c r="C85" s="706" t="s">
        <v>768</v>
      </c>
      <c r="D85" s="706"/>
      <c r="E85" s="448">
        <f>(C3+D3)*2/1000</f>
        <v>16.600000000000001</v>
      </c>
      <c r="F85" s="448" t="s">
        <v>758</v>
      </c>
      <c r="G85" s="448">
        <v>25</v>
      </c>
      <c r="H85" s="450">
        <f>G85*E85</f>
        <v>415.00000000000006</v>
      </c>
      <c r="J85" s="364">
        <v>2</v>
      </c>
      <c r="K85" s="364">
        <v>0.6</v>
      </c>
      <c r="L85" s="364">
        <v>100</v>
      </c>
      <c r="M85" s="364">
        <f>J85*K85*L85</f>
        <v>120</v>
      </c>
      <c r="N85" s="364">
        <f>N78*M85/M78</f>
        <v>14</v>
      </c>
      <c r="O85" s="364" t="s">
        <v>753</v>
      </c>
      <c r="Q85" s="373"/>
      <c r="R85" s="373"/>
    </row>
    <row r="86" spans="1:18" ht="20.100000000000001" customHeight="1">
      <c r="A86" s="703"/>
      <c r="B86" s="449" t="s">
        <v>769</v>
      </c>
      <c r="C86" s="706" t="s">
        <v>770</v>
      </c>
      <c r="D86" s="706"/>
      <c r="E86" s="448">
        <f>(C3+D3)*2/1000</f>
        <v>16.600000000000001</v>
      </c>
      <c r="F86" s="448" t="s">
        <v>758</v>
      </c>
      <c r="G86" s="448">
        <f>[33]价格表!B17</f>
        <v>10</v>
      </c>
      <c r="H86" s="450">
        <f t="shared" ref="H86:H89" si="15">G86*E86</f>
        <v>166</v>
      </c>
      <c r="Q86" s="373"/>
      <c r="R86" s="373"/>
    </row>
    <row r="87" spans="1:18" ht="18.95" customHeight="1">
      <c r="A87" s="703"/>
      <c r="B87" s="449" t="s">
        <v>221</v>
      </c>
      <c r="C87" s="706" t="s">
        <v>771</v>
      </c>
      <c r="D87" s="706"/>
      <c r="E87" s="448">
        <f>E86</f>
        <v>16.600000000000001</v>
      </c>
      <c r="F87" s="448" t="s">
        <v>758</v>
      </c>
      <c r="G87" s="448">
        <f>[33]价格表!B18</f>
        <v>0</v>
      </c>
      <c r="H87" s="450">
        <f t="shared" si="15"/>
        <v>0</v>
      </c>
      <c r="J87" s="364">
        <v>0.6</v>
      </c>
      <c r="K87" s="364">
        <v>2.5</v>
      </c>
      <c r="L87" s="364">
        <v>100</v>
      </c>
      <c r="M87" s="364">
        <f>L87*K87*J87</f>
        <v>150</v>
      </c>
      <c r="N87" s="364" t="e">
        <f>#REF!*M87/#REF!</f>
        <v>#REF!</v>
      </c>
      <c r="O87" s="364" t="s">
        <v>641</v>
      </c>
      <c r="Q87" s="373"/>
      <c r="R87" s="373"/>
    </row>
    <row r="88" spans="1:18" ht="20.100000000000001" customHeight="1">
      <c r="A88" s="703"/>
      <c r="B88" s="449" t="s">
        <v>772</v>
      </c>
      <c r="C88" s="701"/>
      <c r="D88" s="701"/>
      <c r="E88" s="448">
        <f>(C3+D3)*2/1000</f>
        <v>16.600000000000001</v>
      </c>
      <c r="F88" s="448" t="s">
        <v>758</v>
      </c>
      <c r="G88" s="448">
        <f>G86</f>
        <v>10</v>
      </c>
      <c r="H88" s="450">
        <f t="shared" si="15"/>
        <v>166</v>
      </c>
      <c r="Q88" s="373"/>
      <c r="R88" s="373"/>
    </row>
    <row r="89" spans="1:18" ht="20.100000000000001" customHeight="1">
      <c r="A89" s="704"/>
      <c r="B89" s="449"/>
      <c r="C89" s="701"/>
      <c r="D89" s="701"/>
      <c r="E89" s="448"/>
      <c r="F89" s="448" t="s">
        <v>758</v>
      </c>
      <c r="G89" s="448">
        <v>2</v>
      </c>
      <c r="H89" s="450">
        <f t="shared" si="15"/>
        <v>0</v>
      </c>
      <c r="Q89" s="373"/>
      <c r="R89" s="373"/>
    </row>
    <row r="90" spans="1:18" ht="20.100000000000001" customHeight="1">
      <c r="A90" s="694" t="s">
        <v>227</v>
      </c>
      <c r="B90" s="695"/>
      <c r="C90" s="695"/>
      <c r="D90" s="695"/>
      <c r="E90" s="424"/>
      <c r="F90" s="424"/>
      <c r="G90" s="424"/>
      <c r="H90" s="389">
        <f>SUM(H85:H89)</f>
        <v>747</v>
      </c>
      <c r="Q90" s="373"/>
      <c r="R90" s="373"/>
    </row>
    <row r="91" spans="1:18" ht="20.100000000000001" customHeight="1">
      <c r="A91" s="705" t="s">
        <v>773</v>
      </c>
      <c r="B91" s="449" t="s">
        <v>774</v>
      </c>
      <c r="C91" s="706" t="s">
        <v>775</v>
      </c>
      <c r="D91" s="706"/>
      <c r="E91" s="425">
        <v>12</v>
      </c>
      <c r="F91" s="448" t="s">
        <v>274</v>
      </c>
      <c r="G91" s="448">
        <v>25</v>
      </c>
      <c r="H91" s="450">
        <f>G91*E91</f>
        <v>300</v>
      </c>
      <c r="M91" s="364">
        <v>300</v>
      </c>
      <c r="N91" s="364">
        <v>16</v>
      </c>
      <c r="Q91" s="373"/>
      <c r="R91" s="373"/>
    </row>
    <row r="92" spans="1:18" ht="20.100000000000001" customHeight="1">
      <c r="A92" s="705"/>
      <c r="B92" s="449" t="s">
        <v>776</v>
      </c>
      <c r="C92" s="706" t="s">
        <v>777</v>
      </c>
      <c r="D92" s="706"/>
      <c r="E92" s="448">
        <f>E91*2</f>
        <v>24</v>
      </c>
      <c r="F92" s="448" t="s">
        <v>274</v>
      </c>
      <c r="G92" s="448">
        <v>12</v>
      </c>
      <c r="H92" s="450">
        <f t="shared" ref="H92:H96" si="16">G92*E92</f>
        <v>288</v>
      </c>
      <c r="J92" s="364">
        <v>0.6</v>
      </c>
      <c r="K92" s="364">
        <v>2</v>
      </c>
      <c r="L92" s="364">
        <v>100</v>
      </c>
      <c r="M92" s="364">
        <f>L92*K92*J92</f>
        <v>120</v>
      </c>
      <c r="N92" s="364">
        <f>N91*M92/M91</f>
        <v>6.4</v>
      </c>
      <c r="O92" s="364" t="s">
        <v>283</v>
      </c>
      <c r="Q92" s="373"/>
      <c r="R92" s="373"/>
    </row>
    <row r="93" spans="1:18" ht="20.100000000000001" customHeight="1">
      <c r="A93" s="705"/>
      <c r="B93" s="449" t="s">
        <v>778</v>
      </c>
      <c r="C93" s="701" t="s">
        <v>779</v>
      </c>
      <c r="D93" s="701"/>
      <c r="E93" s="448">
        <f>E91*2</f>
        <v>24</v>
      </c>
      <c r="F93" s="448" t="s">
        <v>274</v>
      </c>
      <c r="G93" s="448">
        <v>10</v>
      </c>
      <c r="H93" s="450">
        <f t="shared" si="16"/>
        <v>240</v>
      </c>
      <c r="Q93" s="373"/>
      <c r="R93" s="373"/>
    </row>
    <row r="94" spans="1:18" ht="20.100000000000001" customHeight="1">
      <c r="A94" s="705"/>
      <c r="B94" s="449" t="s">
        <v>780</v>
      </c>
      <c r="C94" s="701"/>
      <c r="D94" s="701"/>
      <c r="E94" s="448">
        <f>E93</f>
        <v>24</v>
      </c>
      <c r="F94" s="448" t="s">
        <v>274</v>
      </c>
      <c r="G94" s="448">
        <v>3</v>
      </c>
      <c r="H94" s="450">
        <f t="shared" si="16"/>
        <v>72</v>
      </c>
      <c r="Q94" s="373"/>
      <c r="R94" s="373"/>
    </row>
    <row r="95" spans="1:18" ht="20.100000000000001" customHeight="1">
      <c r="A95" s="705"/>
      <c r="B95" s="449" t="s">
        <v>781</v>
      </c>
      <c r="C95" s="701" t="s">
        <v>782</v>
      </c>
      <c r="D95" s="701"/>
      <c r="E95" s="448">
        <f>E92</f>
        <v>24</v>
      </c>
      <c r="F95" s="448" t="s">
        <v>274</v>
      </c>
      <c r="G95" s="448">
        <v>2.5</v>
      </c>
      <c r="H95" s="450">
        <f t="shared" si="16"/>
        <v>60</v>
      </c>
      <c r="O95" s="364" t="s">
        <v>783</v>
      </c>
      <c r="Q95" s="373"/>
      <c r="R95" s="373"/>
    </row>
    <row r="96" spans="1:18" ht="20.100000000000001" customHeight="1">
      <c r="A96" s="705"/>
      <c r="B96" s="449" t="s">
        <v>784</v>
      </c>
      <c r="C96" s="701" t="s">
        <v>785</v>
      </c>
      <c r="D96" s="701"/>
      <c r="E96" s="426">
        <f>20*14</f>
        <v>280</v>
      </c>
      <c r="F96" s="448" t="s">
        <v>274</v>
      </c>
      <c r="G96" s="448">
        <v>2.5</v>
      </c>
      <c r="H96" s="450">
        <f t="shared" si="16"/>
        <v>700</v>
      </c>
      <c r="Q96" s="373"/>
      <c r="R96" s="373"/>
    </row>
    <row r="97" spans="1:18" ht="20.100000000000001" customHeight="1">
      <c r="A97" s="694" t="s">
        <v>786</v>
      </c>
      <c r="B97" s="695"/>
      <c r="C97" s="695"/>
      <c r="D97" s="695"/>
      <c r="E97" s="424"/>
      <c r="F97" s="424"/>
      <c r="G97" s="424">
        <f>H97/E91</f>
        <v>138.33333333333334</v>
      </c>
      <c r="H97" s="389">
        <f>SUM(H91:H96)</f>
        <v>1660</v>
      </c>
      <c r="Q97" s="373"/>
      <c r="R97" s="373"/>
    </row>
    <row r="98" spans="1:18" ht="20.100000000000001" customHeight="1">
      <c r="A98" s="705" t="s">
        <v>272</v>
      </c>
      <c r="B98" s="449" t="s">
        <v>787</v>
      </c>
      <c r="C98" s="701" t="s">
        <v>788</v>
      </c>
      <c r="D98" s="701"/>
      <c r="E98" s="448"/>
      <c r="F98" s="448" t="s">
        <v>789</v>
      </c>
      <c r="G98" s="448">
        <f>[32]价格表!B16</f>
        <v>250</v>
      </c>
      <c r="H98" s="450">
        <f>E98*G98</f>
        <v>0</v>
      </c>
      <c r="Q98" s="373"/>
      <c r="R98" s="373"/>
    </row>
    <row r="99" spans="1:18" ht="20.100000000000001" customHeight="1">
      <c r="A99" s="705"/>
      <c r="B99" s="449" t="s">
        <v>790</v>
      </c>
      <c r="C99" s="707" t="str">
        <f>C98</f>
        <v>诺托</v>
      </c>
      <c r="D99" s="708"/>
      <c r="E99" s="448"/>
      <c r="F99" s="448" t="s">
        <v>789</v>
      </c>
      <c r="G99" s="448"/>
      <c r="H99" s="450">
        <f t="shared" ref="H99:H109" si="17">E99*G99</f>
        <v>0</v>
      </c>
      <c r="Q99" s="373"/>
      <c r="R99" s="373"/>
    </row>
    <row r="100" spans="1:18" ht="20.100000000000001" customHeight="1">
      <c r="A100" s="705"/>
      <c r="B100" s="449" t="s">
        <v>791</v>
      </c>
      <c r="C100" s="701" t="s">
        <v>788</v>
      </c>
      <c r="D100" s="701"/>
      <c r="E100" s="448"/>
      <c r="F100" s="448" t="s">
        <v>789</v>
      </c>
      <c r="G100" s="448"/>
      <c r="H100" s="450">
        <f t="shared" si="17"/>
        <v>0</v>
      </c>
      <c r="Q100" s="373"/>
      <c r="R100" s="373"/>
    </row>
    <row r="101" spans="1:18" ht="20.100000000000001" customHeight="1">
      <c r="A101" s="694" t="s">
        <v>792</v>
      </c>
      <c r="B101" s="695"/>
      <c r="C101" s="695"/>
      <c r="D101" s="695"/>
      <c r="E101" s="424"/>
      <c r="F101" s="424"/>
      <c r="G101" s="424"/>
      <c r="H101" s="389">
        <f>SUM(H98:H100)</f>
        <v>0</v>
      </c>
      <c r="Q101" s="373"/>
      <c r="R101" s="373"/>
    </row>
    <row r="102" spans="1:18" ht="20.100000000000001" customHeight="1">
      <c r="A102" s="705" t="s">
        <v>793</v>
      </c>
      <c r="B102" s="449" t="s">
        <v>794</v>
      </c>
      <c r="C102" s="706" t="s">
        <v>795</v>
      </c>
      <c r="D102" s="706"/>
      <c r="E102" s="448">
        <f>E86</f>
        <v>16.600000000000001</v>
      </c>
      <c r="F102" s="448" t="s">
        <v>758</v>
      </c>
      <c r="G102" s="448">
        <v>0.1</v>
      </c>
      <c r="H102" s="450">
        <f t="shared" si="17"/>
        <v>1.6600000000000001</v>
      </c>
      <c r="Q102" s="373"/>
      <c r="R102" s="373"/>
    </row>
    <row r="103" spans="1:18" ht="20.100000000000001" customHeight="1">
      <c r="A103" s="705"/>
      <c r="B103" s="449" t="s">
        <v>796</v>
      </c>
      <c r="C103" s="706" t="s">
        <v>797</v>
      </c>
      <c r="D103" s="706"/>
      <c r="E103" s="448">
        <f>E9+E15</f>
        <v>46.1</v>
      </c>
      <c r="F103" s="448" t="s">
        <v>758</v>
      </c>
      <c r="G103" s="448">
        <v>0.5</v>
      </c>
      <c r="H103" s="450">
        <f t="shared" si="17"/>
        <v>23.05</v>
      </c>
      <c r="J103" s="364">
        <v>0.6</v>
      </c>
      <c r="K103" s="364">
        <v>2</v>
      </c>
      <c r="L103" s="364">
        <v>100</v>
      </c>
      <c r="M103" s="364">
        <f>L103*K103*J103</f>
        <v>120</v>
      </c>
      <c r="N103" s="364" t="e">
        <f>#REF!*M103/#REF!</f>
        <v>#REF!</v>
      </c>
      <c r="O103" s="364" t="s">
        <v>798</v>
      </c>
      <c r="Q103" s="373"/>
      <c r="R103" s="373"/>
    </row>
    <row r="104" spans="1:18" ht="20.100000000000001" customHeight="1">
      <c r="A104" s="705"/>
      <c r="B104" s="449" t="s">
        <v>246</v>
      </c>
      <c r="C104" s="706" t="s">
        <v>799</v>
      </c>
      <c r="D104" s="706"/>
      <c r="E104" s="416">
        <f>ROUND((E3*30),0)</f>
        <v>557</v>
      </c>
      <c r="F104" s="448" t="s">
        <v>274</v>
      </c>
      <c r="G104" s="448">
        <v>0.1</v>
      </c>
      <c r="H104" s="450">
        <f t="shared" si="17"/>
        <v>55.7</v>
      </c>
      <c r="Q104" s="373"/>
      <c r="R104" s="373"/>
    </row>
    <row r="105" spans="1:18" ht="20.100000000000001" customHeight="1">
      <c r="A105" s="705"/>
      <c r="B105" s="449" t="s">
        <v>800</v>
      </c>
      <c r="C105" s="701"/>
      <c r="D105" s="701"/>
      <c r="E105" s="448">
        <f>E91*10</f>
        <v>120</v>
      </c>
      <c r="F105" s="448" t="s">
        <v>801</v>
      </c>
      <c r="G105" s="448">
        <v>0.25</v>
      </c>
      <c r="H105" s="450">
        <f t="shared" si="17"/>
        <v>30</v>
      </c>
      <c r="J105" s="364">
        <v>0.3</v>
      </c>
      <c r="K105" s="364">
        <v>0.25</v>
      </c>
      <c r="L105" s="364">
        <v>1.2E-2</v>
      </c>
      <c r="M105" s="364">
        <v>6.5</v>
      </c>
      <c r="N105" s="364">
        <v>7800</v>
      </c>
      <c r="O105" s="364">
        <f>J105*K105*L105*M105*N105</f>
        <v>45.63</v>
      </c>
      <c r="Q105" s="373"/>
      <c r="R105" s="373"/>
    </row>
    <row r="106" spans="1:18" ht="20.100000000000001" customHeight="1">
      <c r="A106" s="705"/>
      <c r="B106" s="449" t="s">
        <v>802</v>
      </c>
      <c r="C106" s="707" t="s">
        <v>803</v>
      </c>
      <c r="D106" s="708"/>
      <c r="E106" s="448">
        <f>ROUND(R1*2*1.05,0)</f>
        <v>44</v>
      </c>
      <c r="F106" s="448" t="s">
        <v>274</v>
      </c>
      <c r="G106" s="448">
        <v>19.5</v>
      </c>
      <c r="H106" s="450">
        <f t="shared" si="17"/>
        <v>858</v>
      </c>
      <c r="Q106" s="373"/>
      <c r="R106" s="373"/>
    </row>
    <row r="107" spans="1:18" ht="20.100000000000001" customHeight="1">
      <c r="A107" s="705"/>
      <c r="B107" s="449" t="s">
        <v>804</v>
      </c>
      <c r="C107" s="709" t="s">
        <v>805</v>
      </c>
      <c r="D107" s="710"/>
      <c r="E107" s="448">
        <f>(C3*2+D3*2+40*4+100)/1000</f>
        <v>16.86</v>
      </c>
      <c r="F107" s="448" t="s">
        <v>758</v>
      </c>
      <c r="G107" s="448">
        <f>339/25</f>
        <v>13.56</v>
      </c>
      <c r="H107" s="450"/>
      <c r="Q107" s="373"/>
      <c r="R107" s="373"/>
    </row>
    <row r="108" spans="1:18" ht="20.100000000000001" customHeight="1">
      <c r="A108" s="705"/>
      <c r="B108" s="449" t="s">
        <v>806</v>
      </c>
      <c r="C108" s="711" t="s">
        <v>807</v>
      </c>
      <c r="D108" s="712"/>
      <c r="E108" s="448">
        <f>(C3*2+D3*2+400*3)/1000</f>
        <v>17.8</v>
      </c>
      <c r="F108" s="448" t="s">
        <v>758</v>
      </c>
      <c r="G108" s="448">
        <v>20.07</v>
      </c>
      <c r="H108" s="450"/>
      <c r="Q108" s="373"/>
      <c r="R108" s="373"/>
    </row>
    <row r="109" spans="1:18" ht="20.100000000000001" customHeight="1">
      <c r="A109" s="705"/>
      <c r="B109" s="449" t="s">
        <v>640</v>
      </c>
      <c r="C109" s="701"/>
      <c r="D109" s="701"/>
      <c r="E109" s="448">
        <f>G3</f>
        <v>18.579999999999998</v>
      </c>
      <c r="F109" s="448" t="s">
        <v>6</v>
      </c>
      <c r="G109" s="426">
        <v>20</v>
      </c>
      <c r="H109" s="450">
        <f t="shared" si="17"/>
        <v>371.59999999999997</v>
      </c>
      <c r="Q109" s="373"/>
      <c r="R109" s="373"/>
    </row>
    <row r="110" spans="1:18" ht="20.100000000000001" customHeight="1">
      <c r="A110" s="694" t="s">
        <v>215</v>
      </c>
      <c r="B110" s="695"/>
      <c r="C110" s="695"/>
      <c r="D110" s="695"/>
      <c r="E110" s="424"/>
      <c r="F110" s="424"/>
      <c r="G110" s="424"/>
      <c r="H110" s="389">
        <f>SUM(H102:H109)</f>
        <v>1340.01</v>
      </c>
      <c r="Q110" s="373"/>
      <c r="R110" s="373"/>
    </row>
    <row r="111" spans="1:18" ht="20.100000000000001" customHeight="1">
      <c r="A111" s="702" t="s">
        <v>808</v>
      </c>
      <c r="B111" s="449" t="s">
        <v>809</v>
      </c>
      <c r="C111" s="448" t="s">
        <v>2</v>
      </c>
      <c r="D111" s="448" t="s">
        <v>8</v>
      </c>
      <c r="E111" s="426" t="s">
        <v>712</v>
      </c>
      <c r="F111" s="448" t="s">
        <v>810</v>
      </c>
      <c r="G111" s="448" t="s">
        <v>28</v>
      </c>
      <c r="H111" s="450" t="s">
        <v>29</v>
      </c>
      <c r="Q111" s="373"/>
      <c r="R111" s="373"/>
    </row>
    <row r="112" spans="1:18" ht="20.100000000000001" customHeight="1">
      <c r="A112" s="703"/>
      <c r="B112" s="414"/>
      <c r="C112" s="414"/>
      <c r="D112" s="414"/>
      <c r="E112" s="426">
        <f>B112*C112*D112/1000000</f>
        <v>0</v>
      </c>
      <c r="F112" s="448">
        <f>B112*C112/1000000*D112</f>
        <v>0</v>
      </c>
      <c r="G112" s="448"/>
      <c r="H112" s="450">
        <f>G112*E112</f>
        <v>0</v>
      </c>
      <c r="Q112" s="156" t="s">
        <v>356</v>
      </c>
      <c r="R112" s="373"/>
    </row>
    <row r="113" spans="1:35" ht="20.100000000000001" customHeight="1">
      <c r="A113" s="703"/>
      <c r="B113" s="414"/>
      <c r="C113" s="414"/>
      <c r="D113" s="414"/>
      <c r="E113" s="426">
        <f t="shared" ref="E113:E114" si="18">B113*C113*D113/1000000</f>
        <v>0</v>
      </c>
      <c r="F113" s="448">
        <f>B113*C113/1000000*D113</f>
        <v>0</v>
      </c>
      <c r="G113" s="448"/>
      <c r="H113" s="450">
        <f t="shared" ref="H113:H115" si="19">G113*E113</f>
        <v>0</v>
      </c>
      <c r="Q113" s="156" t="s">
        <v>356</v>
      </c>
      <c r="R113" s="373"/>
    </row>
    <row r="114" spans="1:35" ht="20.100000000000001" customHeight="1">
      <c r="A114" s="703"/>
      <c r="B114" s="414"/>
      <c r="C114" s="414"/>
      <c r="D114" s="414"/>
      <c r="E114" s="426">
        <f t="shared" si="18"/>
        <v>0</v>
      </c>
      <c r="F114" s="448">
        <f>B114*C114/1000000*D114</f>
        <v>0</v>
      </c>
      <c r="G114" s="448"/>
      <c r="H114" s="450">
        <f t="shared" si="19"/>
        <v>0</v>
      </c>
      <c r="Q114" s="156" t="s">
        <v>347</v>
      </c>
      <c r="R114" s="373"/>
    </row>
    <row r="115" spans="1:35" ht="20.100000000000001" customHeight="1">
      <c r="A115" s="703"/>
      <c r="B115" s="414"/>
      <c r="C115" s="414"/>
      <c r="D115" s="414"/>
      <c r="E115" s="426"/>
      <c r="F115" s="448">
        <f>B115*C115/1000000*D115</f>
        <v>0</v>
      </c>
      <c r="G115" s="448"/>
      <c r="H115" s="450">
        <f t="shared" si="19"/>
        <v>0</v>
      </c>
      <c r="Q115" s="156" t="s">
        <v>347</v>
      </c>
      <c r="R115" s="373"/>
    </row>
    <row r="116" spans="1:35" ht="20.100000000000001" customHeight="1">
      <c r="A116" s="703"/>
      <c r="B116" s="414"/>
      <c r="C116" s="414"/>
      <c r="D116" s="414"/>
      <c r="E116" s="426"/>
      <c r="F116" s="448"/>
      <c r="G116" s="448"/>
      <c r="H116" s="450">
        <f>G116*E116</f>
        <v>0</v>
      </c>
      <c r="Q116" s="156" t="s">
        <v>811</v>
      </c>
      <c r="R116" s="373"/>
    </row>
    <row r="117" spans="1:35" ht="20.100000000000001" customHeight="1">
      <c r="A117" s="703"/>
      <c r="B117" s="414"/>
      <c r="C117" s="414"/>
      <c r="D117" s="414"/>
      <c r="E117" s="426"/>
      <c r="F117" s="448"/>
      <c r="G117" s="448"/>
      <c r="H117" s="450">
        <f>G117*E117</f>
        <v>0</v>
      </c>
      <c r="Q117" s="156" t="s">
        <v>812</v>
      </c>
      <c r="R117" s="373"/>
    </row>
    <row r="118" spans="1:35" ht="20.100000000000001" customHeight="1">
      <c r="A118" s="704"/>
      <c r="B118" s="414"/>
      <c r="C118" s="414"/>
      <c r="D118" s="414"/>
      <c r="E118" s="426">
        <f>C55*E55*(D55/2)/1000000</f>
        <v>0</v>
      </c>
      <c r="F118" s="448"/>
      <c r="G118" s="448"/>
      <c r="H118" s="450">
        <f>G118*E118</f>
        <v>0</v>
      </c>
      <c r="Q118" s="427" t="s">
        <v>813</v>
      </c>
      <c r="R118" s="373"/>
    </row>
    <row r="119" spans="1:35" ht="20.100000000000001" customHeight="1">
      <c r="A119" s="446"/>
      <c r="B119" s="447"/>
      <c r="C119" s="447"/>
      <c r="D119" s="447">
        <f>SUM(D112:D115)</f>
        <v>0</v>
      </c>
      <c r="E119" s="424">
        <f>SUM(E112:E115)</f>
        <v>0</v>
      </c>
      <c r="F119" s="424">
        <f>SUM(F112:F115)</f>
        <v>0</v>
      </c>
      <c r="G119" s="424"/>
      <c r="H119" s="389">
        <f>SUM(H112:O118)</f>
        <v>0</v>
      </c>
      <c r="R119" s="373"/>
    </row>
    <row r="120" spans="1:35" ht="20.100000000000001" customHeight="1">
      <c r="A120" s="705" t="s">
        <v>814</v>
      </c>
      <c r="B120" s="449" t="s">
        <v>815</v>
      </c>
      <c r="C120" s="701"/>
      <c r="D120" s="701"/>
      <c r="E120" s="426">
        <f>ROUND((C3*2/1000*0.3),2)</f>
        <v>1.38</v>
      </c>
      <c r="F120" s="448" t="s">
        <v>816</v>
      </c>
      <c r="G120" s="448">
        <v>50</v>
      </c>
      <c r="H120" s="450">
        <f>G120*E120</f>
        <v>69</v>
      </c>
      <c r="Q120" s="373"/>
      <c r="R120" s="373"/>
    </row>
    <row r="121" spans="1:35" ht="20.100000000000001" customHeight="1">
      <c r="A121" s="705"/>
      <c r="B121" s="449" t="s">
        <v>817</v>
      </c>
      <c r="C121" s="448">
        <f>E9</f>
        <v>30</v>
      </c>
      <c r="D121" s="448"/>
      <c r="E121" s="426"/>
      <c r="F121" s="448"/>
      <c r="G121" s="448">
        <f>650/6</f>
        <v>108.33333333333333</v>
      </c>
      <c r="H121" s="450"/>
      <c r="Q121" s="373"/>
      <c r="R121" s="373"/>
    </row>
    <row r="122" spans="1:35" ht="20.100000000000001" customHeight="1">
      <c r="A122" s="705"/>
      <c r="B122" s="449" t="s">
        <v>857</v>
      </c>
      <c r="C122" s="448"/>
      <c r="D122" s="448"/>
      <c r="E122" s="426">
        <v>1</v>
      </c>
      <c r="F122" s="448"/>
      <c r="G122" s="448">
        <f>'C0410'!G358</f>
        <v>70</v>
      </c>
      <c r="H122" s="450">
        <f>G122*E122</f>
        <v>70</v>
      </c>
      <c r="Q122" s="373"/>
      <c r="R122" s="373"/>
    </row>
    <row r="123" spans="1:35" ht="20.100000000000001" customHeight="1">
      <c r="A123" s="705"/>
      <c r="B123" s="449" t="s">
        <v>818</v>
      </c>
      <c r="C123" s="701"/>
      <c r="D123" s="701"/>
      <c r="E123" s="426">
        <f>ROUND((C3*0.83*0.1/1000),2)</f>
        <v>0.19</v>
      </c>
      <c r="F123" s="448" t="s">
        <v>819</v>
      </c>
      <c r="G123" s="448">
        <v>50</v>
      </c>
      <c r="H123" s="450"/>
      <c r="Q123" s="373"/>
      <c r="R123" s="373"/>
    </row>
    <row r="124" spans="1:35" ht="20.100000000000001" customHeight="1">
      <c r="A124" s="694" t="s">
        <v>820</v>
      </c>
      <c r="B124" s="695"/>
      <c r="C124" s="695"/>
      <c r="D124" s="695"/>
      <c r="E124" s="424"/>
      <c r="F124" s="424"/>
      <c r="G124" s="424"/>
      <c r="H124" s="389">
        <f>SUM(H120:H123)</f>
        <v>139</v>
      </c>
      <c r="Q124" s="373"/>
      <c r="R124" s="373"/>
    </row>
    <row r="125" spans="1:35" ht="20.100000000000001" customHeight="1">
      <c r="A125" s="696" t="s">
        <v>821</v>
      </c>
      <c r="B125" s="697"/>
      <c r="C125" s="697"/>
      <c r="D125" s="697"/>
      <c r="E125" s="697"/>
      <c r="F125" s="697"/>
      <c r="G125" s="698"/>
      <c r="H125" s="429">
        <f>H90+H97+H101+H110+H124+H84+H119</f>
        <v>7885.9101845599998</v>
      </c>
      <c r="Q125" s="373"/>
      <c r="R125" s="373"/>
    </row>
    <row r="126" spans="1:35" ht="20.100000000000001" customHeight="1" thickBot="1">
      <c r="A126" s="699" t="s">
        <v>822</v>
      </c>
      <c r="B126" s="700"/>
      <c r="C126" s="430">
        <f>H64+H70+F76+H125+H66+H65</f>
        <v>20378.74018456</v>
      </c>
      <c r="D126" s="430" t="s">
        <v>823</v>
      </c>
      <c r="E126" s="431">
        <f>E3</f>
        <v>18.579999999999998</v>
      </c>
      <c r="F126" s="431" t="s">
        <v>258</v>
      </c>
      <c r="G126" s="431">
        <f>ROUND((C126/E126),2)</f>
        <v>1096.81</v>
      </c>
      <c r="H126" s="432" t="e">
        <f>#REF!</f>
        <v>#REF!</v>
      </c>
      <c r="M126" s="433"/>
      <c r="N126" s="433"/>
      <c r="O126" s="433"/>
      <c r="Q126" s="373"/>
      <c r="R126" s="373"/>
      <c r="AB126" s="631" t="s">
        <v>603</v>
      </c>
      <c r="AC126" s="631"/>
      <c r="AD126" s="631"/>
      <c r="AE126" s="631"/>
      <c r="AF126" s="631"/>
      <c r="AG126" s="631"/>
      <c r="AH126" s="631"/>
      <c r="AI126" s="631"/>
    </row>
    <row r="127" spans="1:35" ht="20.100000000000001" customHeight="1" thickTop="1">
      <c r="AB127" s="634" t="s">
        <v>604</v>
      </c>
      <c r="AC127" s="634"/>
      <c r="AD127" s="634"/>
      <c r="AE127" s="634"/>
      <c r="AF127" s="634"/>
      <c r="AG127" s="634"/>
      <c r="AH127" s="634"/>
      <c r="AI127" s="634"/>
    </row>
    <row r="128" spans="1:35" ht="20.100000000000001" customHeight="1">
      <c r="E128" s="435"/>
      <c r="F128" s="435"/>
      <c r="AB128" s="285" t="s">
        <v>279</v>
      </c>
      <c r="AC128" s="624" t="s">
        <v>956</v>
      </c>
      <c r="AD128" s="625"/>
      <c r="AE128" s="312" t="str">
        <f ca="1">B3</f>
        <v>C2360</v>
      </c>
      <c r="AF128" s="312"/>
      <c r="AG128" s="313"/>
      <c r="AH128" s="287" t="s">
        <v>605</v>
      </c>
      <c r="AI128" s="288"/>
    </row>
    <row r="129" spans="2:35" ht="36" customHeight="1">
      <c r="B129" s="693"/>
      <c r="C129" s="693"/>
      <c r="E129" s="435"/>
      <c r="F129" s="435"/>
      <c r="AB129" s="635" t="s">
        <v>606</v>
      </c>
      <c r="AC129" s="623" t="s">
        <v>626</v>
      </c>
      <c r="AD129" s="623"/>
      <c r="AE129" s="623"/>
      <c r="AF129" s="623"/>
      <c r="AG129" s="637"/>
      <c r="AH129" s="291" t="s">
        <v>607</v>
      </c>
      <c r="AI129" s="292" t="s">
        <v>313</v>
      </c>
    </row>
    <row r="130" spans="2:35" ht="36" customHeight="1">
      <c r="G130" s="435"/>
      <c r="AB130" s="636"/>
      <c r="AC130" s="638"/>
      <c r="AD130" s="638"/>
      <c r="AE130" s="638"/>
      <c r="AF130" s="638"/>
      <c r="AG130" s="638"/>
      <c r="AH130" s="291" t="s">
        <v>268</v>
      </c>
      <c r="AI130" s="293">
        <f>G3</f>
        <v>18.579999999999998</v>
      </c>
    </row>
    <row r="131" spans="2:35" ht="20.100000000000001" customHeight="1">
      <c r="G131" s="435"/>
      <c r="AB131" s="311" t="s">
        <v>0</v>
      </c>
      <c r="AC131" s="289" t="s">
        <v>608</v>
      </c>
      <c r="AD131" s="289" t="s">
        <v>627</v>
      </c>
      <c r="AE131" s="289" t="s">
        <v>269</v>
      </c>
      <c r="AF131" s="294" t="s">
        <v>8</v>
      </c>
      <c r="AG131" s="295" t="s">
        <v>609</v>
      </c>
      <c r="AH131" s="296" t="s">
        <v>270</v>
      </c>
      <c r="AI131" s="295" t="s">
        <v>610</v>
      </c>
    </row>
    <row r="132" spans="2:35" ht="20.100000000000001" customHeight="1">
      <c r="AB132" s="297" t="s">
        <v>305</v>
      </c>
      <c r="AC132" s="298" t="s">
        <v>611</v>
      </c>
      <c r="AD132" s="298"/>
      <c r="AE132" s="286"/>
      <c r="AF132" s="299"/>
      <c r="AG132" s="300"/>
      <c r="AH132" s="301" t="e">
        <f>SUM(AH133:AH141)</f>
        <v>#REF!</v>
      </c>
      <c r="AI132" s="286"/>
    </row>
    <row r="133" spans="2:35" ht="20.100000000000001" customHeight="1">
      <c r="AB133" s="286">
        <v>1</v>
      </c>
      <c r="AC133" s="302" t="s">
        <v>612</v>
      </c>
      <c r="AD133" s="307"/>
      <c r="AE133" s="286" t="s">
        <v>271</v>
      </c>
      <c r="AF133" s="303" t="e">
        <f>#REF!</f>
        <v>#REF!</v>
      </c>
      <c r="AG133" s="304" t="e">
        <f>#REF!/#REF!</f>
        <v>#REF!</v>
      </c>
      <c r="AH133" s="305" t="e">
        <f t="shared" ref="AH133:AH141" si="20">AG133*AF133</f>
        <v>#REF!</v>
      </c>
      <c r="AI133" s="306"/>
    </row>
    <row r="134" spans="2:35" ht="20.100000000000001" customHeight="1">
      <c r="AB134" s="286">
        <v>2</v>
      </c>
      <c r="AC134" s="290" t="s">
        <v>613</v>
      </c>
      <c r="AD134" s="307"/>
      <c r="AE134" s="286" t="s">
        <v>276</v>
      </c>
      <c r="AF134" s="303" t="str">
        <f>Q116</f>
        <v>隔热条填充物</v>
      </c>
      <c r="AG134" s="304">
        <f>T116</f>
        <v>0</v>
      </c>
      <c r="AH134" s="305" t="e">
        <f t="shared" si="20"/>
        <v>#VALUE!</v>
      </c>
      <c r="AI134" s="306"/>
    </row>
    <row r="135" spans="2:35" ht="20.100000000000001" customHeight="1">
      <c r="AB135" s="286">
        <v>3</v>
      </c>
      <c r="AC135" s="302" t="s">
        <v>614</v>
      </c>
      <c r="AD135" s="302"/>
      <c r="AE135" s="286" t="s">
        <v>312</v>
      </c>
      <c r="AF135" s="303">
        <f>Q49+Q50</f>
        <v>0</v>
      </c>
      <c r="AG135" s="304" t="e">
        <f>材料价格!#REF!</f>
        <v>#REF!</v>
      </c>
      <c r="AH135" s="305" t="e">
        <f t="shared" si="20"/>
        <v>#REF!</v>
      </c>
      <c r="AI135" s="306"/>
    </row>
    <row r="136" spans="2:35" ht="20.100000000000001" customHeight="1">
      <c r="AB136" s="286">
        <v>4</v>
      </c>
      <c r="AC136" s="302" t="s">
        <v>615</v>
      </c>
      <c r="AD136" s="306"/>
      <c r="AE136" s="286" t="s">
        <v>278</v>
      </c>
      <c r="AF136" s="303" t="e">
        <f>(U74+U75+U77+U78+U79)/S74</f>
        <v>#DIV/0!</v>
      </c>
      <c r="AG136" s="304" t="e">
        <f>材料价格!#REF!</f>
        <v>#REF!</v>
      </c>
      <c r="AH136" s="305" t="e">
        <f t="shared" si="20"/>
        <v>#REF!</v>
      </c>
      <c r="AI136" s="306"/>
    </row>
    <row r="137" spans="2:35" ht="20.100000000000001" customHeight="1">
      <c r="AB137" s="286">
        <v>5</v>
      </c>
      <c r="AC137" s="306" t="s">
        <v>616</v>
      </c>
      <c r="AD137" s="302"/>
      <c r="AE137" s="286" t="s">
        <v>628</v>
      </c>
      <c r="AF137" s="303">
        <f>U95/21</f>
        <v>0</v>
      </c>
      <c r="AG137" s="304">
        <v>21</v>
      </c>
      <c r="AH137" s="305">
        <f t="shared" si="20"/>
        <v>0</v>
      </c>
      <c r="AI137" s="306"/>
    </row>
    <row r="138" spans="2:35" ht="20.100000000000001" customHeight="1">
      <c r="AB138" s="286">
        <v>6</v>
      </c>
      <c r="AC138" s="302" t="s">
        <v>319</v>
      </c>
      <c r="AD138" s="302"/>
      <c r="AE138" s="286" t="s">
        <v>273</v>
      </c>
      <c r="AF138" s="303"/>
      <c r="AG138" s="304"/>
      <c r="AH138" s="305">
        <f t="shared" si="20"/>
        <v>0</v>
      </c>
      <c r="AI138" s="306"/>
    </row>
    <row r="139" spans="2:35" ht="20.100000000000001" customHeight="1">
      <c r="AB139" s="286">
        <v>7</v>
      </c>
      <c r="AC139" s="302" t="s">
        <v>295</v>
      </c>
      <c r="AD139" s="302"/>
      <c r="AE139" s="286" t="s">
        <v>273</v>
      </c>
      <c r="AF139" s="303"/>
      <c r="AG139" s="304" t="e">
        <f>材料价格!#REF!</f>
        <v>#REF!</v>
      </c>
      <c r="AH139" s="305" t="e">
        <f t="shared" si="20"/>
        <v>#REF!</v>
      </c>
      <c r="AI139" s="306"/>
    </row>
    <row r="140" spans="2:35" ht="20.100000000000001" customHeight="1">
      <c r="AB140" s="286">
        <v>8</v>
      </c>
      <c r="AC140" s="302" t="s">
        <v>296</v>
      </c>
      <c r="AD140" s="302"/>
      <c r="AE140" s="286" t="s">
        <v>273</v>
      </c>
      <c r="AF140" s="303">
        <f>R61</f>
        <v>0</v>
      </c>
      <c r="AG140" s="304" t="e">
        <f>材料价格!#REF!</f>
        <v>#REF!</v>
      </c>
      <c r="AH140" s="305" t="e">
        <f t="shared" si="20"/>
        <v>#REF!</v>
      </c>
      <c r="AI140" s="306"/>
    </row>
    <row r="141" spans="2:35" ht="20.100000000000001" customHeight="1">
      <c r="AB141" s="286">
        <v>9</v>
      </c>
      <c r="AC141" s="302" t="s">
        <v>617</v>
      </c>
      <c r="AD141" s="302"/>
      <c r="AE141" s="286" t="s">
        <v>618</v>
      </c>
      <c r="AF141" s="296">
        <v>1</v>
      </c>
      <c r="AG141" s="304">
        <f>U121-U116+U108+U76+U73+U72</f>
        <v>0</v>
      </c>
      <c r="AH141" s="305">
        <f t="shared" si="20"/>
        <v>0</v>
      </c>
      <c r="AI141" s="306"/>
    </row>
    <row r="142" spans="2:35" ht="20.100000000000001" customHeight="1">
      <c r="AB142" s="297" t="s">
        <v>306</v>
      </c>
      <c r="AC142" s="308" t="s">
        <v>314</v>
      </c>
      <c r="AD142" s="298"/>
      <c r="AE142" s="286"/>
      <c r="AF142" s="296"/>
      <c r="AG142" s="309"/>
      <c r="AH142" s="301">
        <f>SUM(AH143:AH144)</f>
        <v>2972.7999999999997</v>
      </c>
      <c r="AI142" s="286"/>
    </row>
    <row r="143" spans="2:35" ht="20.100000000000001" customHeight="1">
      <c r="AB143" s="286">
        <v>1</v>
      </c>
      <c r="AC143" s="307" t="s">
        <v>619</v>
      </c>
      <c r="AD143" s="307"/>
      <c r="AE143" s="300" t="s">
        <v>312</v>
      </c>
      <c r="AF143" s="296">
        <f>AI130</f>
        <v>18.579999999999998</v>
      </c>
      <c r="AG143" s="310">
        <v>60</v>
      </c>
      <c r="AH143" s="305">
        <f>AG143*AF143</f>
        <v>1114.8</v>
      </c>
      <c r="AI143" s="286"/>
    </row>
    <row r="144" spans="2:35" ht="20.100000000000001" customHeight="1">
      <c r="AB144" s="286">
        <v>2</v>
      </c>
      <c r="AC144" s="307" t="s">
        <v>288</v>
      </c>
      <c r="AD144" s="307"/>
      <c r="AE144" s="300" t="s">
        <v>312</v>
      </c>
      <c r="AF144" s="296">
        <f>AI130</f>
        <v>18.579999999999998</v>
      </c>
      <c r="AG144" s="310">
        <v>100</v>
      </c>
      <c r="AH144" s="305">
        <f>AG144*AF144</f>
        <v>1857.9999999999998</v>
      </c>
      <c r="AI144" s="286"/>
    </row>
    <row r="145" spans="28:35" ht="20.100000000000001" customHeight="1">
      <c r="AB145" s="297" t="s">
        <v>307</v>
      </c>
      <c r="AC145" s="308" t="s">
        <v>290</v>
      </c>
      <c r="AD145" s="298"/>
      <c r="AE145" s="286"/>
      <c r="AF145" s="296"/>
      <c r="AG145" s="309"/>
      <c r="AH145" s="301">
        <f>SUM(AH146)</f>
        <v>371.59999999999997</v>
      </c>
      <c r="AI145" s="286"/>
    </row>
    <row r="146" spans="28:35" ht="20.100000000000001" customHeight="1">
      <c r="AB146" s="286">
        <v>1</v>
      </c>
      <c r="AC146" s="307" t="s">
        <v>290</v>
      </c>
      <c r="AD146" s="307"/>
      <c r="AE146" s="300" t="s">
        <v>312</v>
      </c>
      <c r="AF146" s="296">
        <f>AI130</f>
        <v>18.579999999999998</v>
      </c>
      <c r="AG146" s="310">
        <v>20</v>
      </c>
      <c r="AH146" s="305">
        <f>AG146*AF146</f>
        <v>371.59999999999997</v>
      </c>
      <c r="AI146" s="286"/>
    </row>
    <row r="147" spans="28:35" ht="20.100000000000001" customHeight="1">
      <c r="AB147" s="286" t="s">
        <v>308</v>
      </c>
      <c r="AC147" s="618" t="s">
        <v>620</v>
      </c>
      <c r="AD147" s="619"/>
      <c r="AE147" s="620"/>
      <c r="AF147" s="621"/>
      <c r="AG147" s="622"/>
      <c r="AH147" s="301" t="e">
        <f>AH132+AH142+AH145</f>
        <v>#REF!</v>
      </c>
      <c r="AI147" s="286"/>
    </row>
    <row r="148" spans="28:35" ht="20.100000000000001" customHeight="1">
      <c r="AB148" s="286" t="s">
        <v>309</v>
      </c>
      <c r="AC148" s="618" t="s">
        <v>621</v>
      </c>
      <c r="AD148" s="619"/>
      <c r="AE148" s="626">
        <v>0.2</v>
      </c>
      <c r="AF148" s="627"/>
      <c r="AG148" s="628"/>
      <c r="AH148" s="301" t="e">
        <f>AH147*AE148</f>
        <v>#REF!</v>
      </c>
      <c r="AI148" s="286"/>
    </row>
    <row r="149" spans="28:35" ht="20.100000000000001" customHeight="1">
      <c r="AB149" s="286" t="s">
        <v>310</v>
      </c>
      <c r="AC149" s="618" t="s">
        <v>622</v>
      </c>
      <c r="AD149" s="619"/>
      <c r="AE149" s="620"/>
      <c r="AF149" s="621"/>
      <c r="AG149" s="622"/>
      <c r="AH149" s="301" t="e">
        <f>AH147+AH148</f>
        <v>#REF!</v>
      </c>
      <c r="AI149" s="286"/>
    </row>
    <row r="150" spans="28:35" ht="20.100000000000001" customHeight="1">
      <c r="AB150" s="297" t="s">
        <v>311</v>
      </c>
      <c r="AC150" s="618" t="s">
        <v>623</v>
      </c>
      <c r="AD150" s="619"/>
      <c r="AE150" s="620"/>
      <c r="AF150" s="621"/>
      <c r="AG150" s="622"/>
      <c r="AH150" s="301" t="e">
        <f>AH149/AI130</f>
        <v>#REF!</v>
      </c>
      <c r="AI150" s="286" t="s">
        <v>624</v>
      </c>
    </row>
    <row r="151" spans="28:35" ht="20.100000000000001" customHeight="1">
      <c r="AB151" s="623" t="s">
        <v>625</v>
      </c>
      <c r="AC151" s="623"/>
      <c r="AD151" s="623"/>
      <c r="AE151" s="623"/>
      <c r="AF151" s="623"/>
      <c r="AG151" s="623"/>
      <c r="AH151" s="623"/>
      <c r="AI151" s="623"/>
    </row>
  </sheetData>
  <mergeCells count="111">
    <mergeCell ref="AC147:AD147"/>
    <mergeCell ref="AE147:AG147"/>
    <mergeCell ref="AC148:AD148"/>
    <mergeCell ref="AE148:AG148"/>
    <mergeCell ref="AC149:AD149"/>
    <mergeCell ref="AE149:AG149"/>
    <mergeCell ref="AC150:AD150"/>
    <mergeCell ref="AE150:AG150"/>
    <mergeCell ref="AB151:AI151"/>
    <mergeCell ref="A1:A3"/>
    <mergeCell ref="B1:C1"/>
    <mergeCell ref="D1:E1"/>
    <mergeCell ref="A4:H4"/>
    <mergeCell ref="A6:A8"/>
    <mergeCell ref="B6:B8"/>
    <mergeCell ref="A21:B21"/>
    <mergeCell ref="A23:A25"/>
    <mergeCell ref="B23:B25"/>
    <mergeCell ref="A26:B26"/>
    <mergeCell ref="A29:A31"/>
    <mergeCell ref="B29:B31"/>
    <mergeCell ref="A9:B9"/>
    <mergeCell ref="A12:A14"/>
    <mergeCell ref="B12:B14"/>
    <mergeCell ref="A15:B15"/>
    <mergeCell ref="A18:A20"/>
    <mergeCell ref="B18:B20"/>
    <mergeCell ref="A43:B43"/>
    <mergeCell ref="A45:A47"/>
    <mergeCell ref="B45:B47"/>
    <mergeCell ref="A48:B48"/>
    <mergeCell ref="A50:A52"/>
    <mergeCell ref="B50:B52"/>
    <mergeCell ref="A32:B32"/>
    <mergeCell ref="A34:A36"/>
    <mergeCell ref="B34:B36"/>
    <mergeCell ref="A37:B37"/>
    <mergeCell ref="A40:A42"/>
    <mergeCell ref="B40:B42"/>
    <mergeCell ref="A63:B63"/>
    <mergeCell ref="A68:A69"/>
    <mergeCell ref="E68:E69"/>
    <mergeCell ref="A71:H71"/>
    <mergeCell ref="G72:H72"/>
    <mergeCell ref="G73:H73"/>
    <mergeCell ref="A53:B53"/>
    <mergeCell ref="A55:A57"/>
    <mergeCell ref="B55:B57"/>
    <mergeCell ref="A58:B58"/>
    <mergeCell ref="A60:A62"/>
    <mergeCell ref="B60:B62"/>
    <mergeCell ref="A84:B84"/>
    <mergeCell ref="C84:D84"/>
    <mergeCell ref="A85:A89"/>
    <mergeCell ref="C85:D85"/>
    <mergeCell ref="C86:D86"/>
    <mergeCell ref="C87:D87"/>
    <mergeCell ref="C88:D88"/>
    <mergeCell ref="C89:D89"/>
    <mergeCell ref="G74:H74"/>
    <mergeCell ref="G75:H75"/>
    <mergeCell ref="A77:H77"/>
    <mergeCell ref="C78:D78"/>
    <mergeCell ref="A79:A83"/>
    <mergeCell ref="C79:D79"/>
    <mergeCell ref="C80:D80"/>
    <mergeCell ref="C81:D81"/>
    <mergeCell ref="C82:D82"/>
    <mergeCell ref="C83:D83"/>
    <mergeCell ref="A97:B97"/>
    <mergeCell ref="C97:D97"/>
    <mergeCell ref="A98:A100"/>
    <mergeCell ref="C98:D98"/>
    <mergeCell ref="C99:D99"/>
    <mergeCell ref="C100:D100"/>
    <mergeCell ref="A90:B90"/>
    <mergeCell ref="C90:D90"/>
    <mergeCell ref="A91:A96"/>
    <mergeCell ref="C91:D91"/>
    <mergeCell ref="C92:D92"/>
    <mergeCell ref="C93:D93"/>
    <mergeCell ref="C94:D94"/>
    <mergeCell ref="C95:D95"/>
    <mergeCell ref="C96:D96"/>
    <mergeCell ref="A101:B101"/>
    <mergeCell ref="C101:D101"/>
    <mergeCell ref="A102:A109"/>
    <mergeCell ref="C102:D102"/>
    <mergeCell ref="C103:D103"/>
    <mergeCell ref="C104:D104"/>
    <mergeCell ref="C105:D105"/>
    <mergeCell ref="C106:D106"/>
    <mergeCell ref="C107:D107"/>
    <mergeCell ref="C108:D108"/>
    <mergeCell ref="A124:B124"/>
    <mergeCell ref="C124:D124"/>
    <mergeCell ref="A125:G125"/>
    <mergeCell ref="A126:B126"/>
    <mergeCell ref="C109:D109"/>
    <mergeCell ref="A110:B110"/>
    <mergeCell ref="C110:D110"/>
    <mergeCell ref="A111:A118"/>
    <mergeCell ref="A120:A123"/>
    <mergeCell ref="C120:D120"/>
    <mergeCell ref="C123:D123"/>
    <mergeCell ref="AB126:AI126"/>
    <mergeCell ref="AB127:AI127"/>
    <mergeCell ref="AC128:AD128"/>
    <mergeCell ref="AB129:AB130"/>
    <mergeCell ref="AC129:AG130"/>
    <mergeCell ref="B129:C129"/>
  </mergeCells>
  <phoneticPr fontId="5" type="noConversion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55153-C19D-4AF6-9641-1DDED117F67C}">
  <sheetPr>
    <tabColor rgb="FF00B0F0"/>
  </sheetPr>
  <dimension ref="A1:WVW151"/>
  <sheetViews>
    <sheetView showZeros="0" zoomScaleNormal="100" workbookViewId="0">
      <pane ySplit="3" topLeftCell="A106" activePane="bottomLeft" state="frozen"/>
      <selection activeCell="A63" sqref="A63:H63"/>
      <selection pane="bottomLeft" activeCell="A63" sqref="A63:H63"/>
    </sheetView>
  </sheetViews>
  <sheetFormatPr defaultColWidth="9" defaultRowHeight="20.100000000000001" customHeight="1"/>
  <cols>
    <col min="1" max="1" width="18" style="445" customWidth="1"/>
    <col min="2" max="2" width="19.875" style="445" customWidth="1"/>
    <col min="3" max="3" width="12.125" style="445" customWidth="1"/>
    <col min="4" max="4" width="11.125" style="445" customWidth="1"/>
    <col min="5" max="5" width="13.75" style="445" customWidth="1"/>
    <col min="6" max="6" width="9.625" style="445" customWidth="1"/>
    <col min="7" max="7" width="11.625" style="445" customWidth="1"/>
    <col min="8" max="8" width="13.625" style="445" customWidth="1"/>
    <col min="9" max="9" width="9" style="364" hidden="1" customWidth="1"/>
    <col min="10" max="10" width="12.875" style="364" hidden="1" customWidth="1"/>
    <col min="11" max="11" width="5.25" style="364" hidden="1" customWidth="1"/>
    <col min="12" max="12" width="6.5" style="364" hidden="1" customWidth="1"/>
    <col min="13" max="13" width="5.5" style="364" hidden="1" customWidth="1"/>
    <col min="14" max="14" width="6.5" style="364" hidden="1" customWidth="1"/>
    <col min="15" max="15" width="9.5" style="364" hidden="1" customWidth="1"/>
    <col min="16" max="16" width="1.125" style="365" customWidth="1"/>
    <col min="17" max="17" width="24" style="364" customWidth="1"/>
    <col min="18" max="18" width="12.75" style="364" customWidth="1"/>
    <col min="19" max="25" width="9" style="364" hidden="1" customWidth="1"/>
    <col min="26" max="26" width="1.125" style="364" customWidth="1"/>
    <col min="27" max="27" width="9" style="364"/>
    <col min="28" max="28" width="13.125" style="364" customWidth="1"/>
    <col min="29" max="29" width="24.375" style="364" customWidth="1"/>
    <col min="30" max="30" width="13.75" style="364" customWidth="1"/>
    <col min="31" max="31" width="11.25" style="364" customWidth="1"/>
    <col min="32" max="32" width="10.75" style="364" customWidth="1"/>
    <col min="33" max="33" width="10" style="364" customWidth="1"/>
    <col min="34" max="34" width="9.875" style="364" customWidth="1"/>
    <col min="35" max="35" width="26.125" style="364" customWidth="1"/>
    <col min="36" max="16384" width="9" style="364"/>
  </cols>
  <sheetData>
    <row r="1" spans="1:18" ht="23.25" customHeight="1" thickTop="1">
      <c r="A1" s="727" t="s">
        <v>695</v>
      </c>
      <c r="B1" s="729" t="s">
        <v>696</v>
      </c>
      <c r="C1" s="729"/>
      <c r="D1" s="730" t="s">
        <v>697</v>
      </c>
      <c r="E1" s="730"/>
      <c r="F1" s="455" t="s">
        <v>698</v>
      </c>
      <c r="G1" s="455" t="s">
        <v>699</v>
      </c>
      <c r="H1" s="363" t="s">
        <v>700</v>
      </c>
      <c r="Q1" s="366" t="s">
        <v>701</v>
      </c>
      <c r="R1" s="367">
        <v>15</v>
      </c>
    </row>
    <row r="2" spans="1:18" ht="22.5" customHeight="1">
      <c r="A2" s="728"/>
      <c r="B2" s="368" t="s">
        <v>14</v>
      </c>
      <c r="C2" s="368" t="s">
        <v>16</v>
      </c>
      <c r="D2" s="368" t="s">
        <v>17</v>
      </c>
      <c r="E2" s="368" t="s">
        <v>7</v>
      </c>
      <c r="F2" s="368" t="s">
        <v>5</v>
      </c>
      <c r="G2" s="368" t="s">
        <v>18</v>
      </c>
      <c r="H2" s="369" t="s">
        <v>39</v>
      </c>
      <c r="Q2" s="366" t="s">
        <v>702</v>
      </c>
      <c r="R2" s="370">
        <v>58</v>
      </c>
    </row>
    <row r="3" spans="1:18" ht="22.5" customHeight="1">
      <c r="A3" s="728"/>
      <c r="B3" s="368" t="str" cm="1">
        <f t="array" aca="1" ref="B3" ca="1">MID(CELL("filename",Q12),FIND("]",CELL("filename",Q12))+1,30)</f>
        <v>MLC2360</v>
      </c>
      <c r="C3" s="368">
        <v>2300</v>
      </c>
      <c r="D3" s="368">
        <v>6000</v>
      </c>
      <c r="E3" s="371">
        <v>18.579999999999998</v>
      </c>
      <c r="F3" s="368">
        <v>1</v>
      </c>
      <c r="G3" s="368">
        <f>E3*F3</f>
        <v>18.579999999999998</v>
      </c>
      <c r="H3" s="369">
        <f>(C3+D3)*2/1000</f>
        <v>16.600000000000001</v>
      </c>
      <c r="I3" s="364" t="s">
        <v>18</v>
      </c>
      <c r="J3" s="372">
        <v>60.72</v>
      </c>
      <c r="Q3" s="366" t="s">
        <v>703</v>
      </c>
      <c r="R3" s="370">
        <f>D12</f>
        <v>6</v>
      </c>
    </row>
    <row r="4" spans="1:18" ht="20.100000000000001" customHeight="1">
      <c r="A4" s="731" t="s">
        <v>704</v>
      </c>
      <c r="B4" s="732"/>
      <c r="C4" s="732"/>
      <c r="D4" s="732"/>
      <c r="E4" s="732"/>
      <c r="F4" s="732"/>
      <c r="G4" s="732"/>
      <c r="H4" s="733"/>
      <c r="J4" s="372"/>
      <c r="Q4" s="373"/>
      <c r="R4" s="373"/>
    </row>
    <row r="5" spans="1:18" ht="20.100000000000001" customHeight="1">
      <c r="A5" s="374" t="s">
        <v>139</v>
      </c>
      <c r="B5" s="375" t="s">
        <v>14</v>
      </c>
      <c r="C5" s="375" t="s">
        <v>705</v>
      </c>
      <c r="D5" s="375" t="s">
        <v>8</v>
      </c>
      <c r="E5" s="375" t="s">
        <v>705</v>
      </c>
      <c r="F5" s="375" t="s">
        <v>8</v>
      </c>
      <c r="G5" s="375" t="s">
        <v>22</v>
      </c>
      <c r="H5" s="376" t="s">
        <v>40</v>
      </c>
      <c r="Q5" s="373"/>
      <c r="R5" s="373"/>
    </row>
    <row r="6" spans="1:18" ht="20.100000000000001" customHeight="1">
      <c r="A6" s="722" t="s">
        <v>706</v>
      </c>
      <c r="B6" s="715" t="s">
        <v>707</v>
      </c>
      <c r="C6" s="449"/>
      <c r="D6" s="449"/>
      <c r="E6" s="449"/>
      <c r="F6" s="449"/>
      <c r="G6" s="449">
        <v>5.4909999999999997</v>
      </c>
      <c r="H6" s="450">
        <f t="shared" ref="H6" si="0">ROUND((C6*D6+E6*F6)/1000*G6,2)</f>
        <v>0</v>
      </c>
      <c r="Q6" s="379">
        <v>2.5</v>
      </c>
      <c r="R6" s="373"/>
    </row>
    <row r="7" spans="1:18" ht="20.100000000000001" customHeight="1">
      <c r="A7" s="722"/>
      <c r="B7" s="715"/>
      <c r="C7" s="449">
        <f>D3</f>
        <v>6000</v>
      </c>
      <c r="D7" s="449">
        <v>4</v>
      </c>
      <c r="E7" s="449"/>
      <c r="F7" s="449">
        <v>0</v>
      </c>
      <c r="G7" s="449">
        <f>G6</f>
        <v>5.4909999999999997</v>
      </c>
      <c r="H7" s="450">
        <f>ROUND((C7*D7+E7*F7)/1000*G7,2)</f>
        <v>131.78</v>
      </c>
      <c r="Q7" s="373" t="s">
        <v>708</v>
      </c>
      <c r="R7" s="380">
        <v>3.9820000000000002</v>
      </c>
    </row>
    <row r="8" spans="1:18" ht="20.100000000000001" customHeight="1">
      <c r="A8" s="722"/>
      <c r="B8" s="715"/>
      <c r="C8" s="449"/>
      <c r="D8" s="449"/>
      <c r="E8" s="449"/>
      <c r="F8" s="449">
        <v>0</v>
      </c>
      <c r="G8" s="449">
        <f>G6</f>
        <v>5.4909999999999997</v>
      </c>
      <c r="H8" s="450">
        <f>ROUND((C8*D8+E8*F8)/1000*G8,2)</f>
        <v>0</v>
      </c>
      <c r="Q8" s="373" t="s">
        <v>709</v>
      </c>
      <c r="R8" s="380">
        <v>5.4909999999999997</v>
      </c>
    </row>
    <row r="9" spans="1:18" ht="20.100000000000001" customHeight="1">
      <c r="A9" s="718" t="s">
        <v>182</v>
      </c>
      <c r="B9" s="719"/>
      <c r="C9" s="453"/>
      <c r="D9" s="453" t="s">
        <v>710</v>
      </c>
      <c r="E9" s="453">
        <f>ROUND((E6*F6+E7*F7+E8*F8+C6*D6+C7*D7+C8*D8)/1000,2)</f>
        <v>24</v>
      </c>
      <c r="F9" s="453">
        <f>SUM(F6:F8)+SUM(D6:D8)</f>
        <v>4</v>
      </c>
      <c r="G9" s="453"/>
      <c r="H9" s="382">
        <f>SUM(H6:H8)</f>
        <v>131.78</v>
      </c>
      <c r="Q9" s="373"/>
      <c r="R9" s="373"/>
    </row>
    <row r="10" spans="1:18" ht="20.100000000000001" customHeight="1">
      <c r="A10" s="452" t="s">
        <v>711</v>
      </c>
      <c r="B10" s="384">
        <f>358.1/1000</f>
        <v>0.35810000000000003</v>
      </c>
      <c r="C10" s="453" t="s">
        <v>712</v>
      </c>
      <c r="D10" s="384">
        <f>E9*B10</f>
        <v>8.5944000000000003</v>
      </c>
      <c r="E10" s="453" t="s">
        <v>713</v>
      </c>
      <c r="F10" s="453">
        <v>0</v>
      </c>
      <c r="G10" s="453" t="s">
        <v>714</v>
      </c>
      <c r="H10" s="382">
        <f>D10*F10</f>
        <v>0</v>
      </c>
      <c r="Q10" s="373"/>
      <c r="R10" s="373"/>
    </row>
    <row r="11" spans="1:18" ht="20.100000000000001" customHeight="1">
      <c r="A11" s="374" t="s">
        <v>139</v>
      </c>
      <c r="B11" s="375" t="s">
        <v>14</v>
      </c>
      <c r="C11" s="375" t="s">
        <v>715</v>
      </c>
      <c r="D11" s="375" t="s">
        <v>8</v>
      </c>
      <c r="E11" s="375" t="s">
        <v>715</v>
      </c>
      <c r="F11" s="375" t="s">
        <v>8</v>
      </c>
      <c r="G11" s="375" t="s">
        <v>22</v>
      </c>
      <c r="H11" s="376" t="s">
        <v>40</v>
      </c>
      <c r="Q11" s="373"/>
      <c r="R11" s="373"/>
    </row>
    <row r="12" spans="1:18" ht="20.100000000000001" customHeight="1">
      <c r="A12" s="724" t="s">
        <v>716</v>
      </c>
      <c r="B12" s="715" t="s">
        <v>717</v>
      </c>
      <c r="C12" s="449">
        <f>C3</f>
        <v>2300</v>
      </c>
      <c r="D12" s="449">
        <v>6</v>
      </c>
      <c r="E12" s="449"/>
      <c r="F12" s="449"/>
      <c r="G12" s="449">
        <v>3.99</v>
      </c>
      <c r="H12" s="450">
        <f>ROUND((C12*D12+E12*F12)/1000*G12,2)*1.1</f>
        <v>60.56600000000001</v>
      </c>
      <c r="Q12" s="379">
        <v>3</v>
      </c>
      <c r="R12" s="373"/>
    </row>
    <row r="13" spans="1:18" ht="20.100000000000001" customHeight="1">
      <c r="A13" s="725"/>
      <c r="B13" s="715"/>
      <c r="C13" s="449"/>
      <c r="D13" s="449"/>
      <c r="E13" s="449"/>
      <c r="F13" s="449"/>
      <c r="G13" s="449">
        <f>G12</f>
        <v>3.99</v>
      </c>
      <c r="H13" s="450">
        <f t="shared" ref="H13:H14" si="1">ROUND((C13*D13+E13*F13)/1000*G13,2)</f>
        <v>0</v>
      </c>
      <c r="Q13" s="373" t="s">
        <v>718</v>
      </c>
      <c r="R13" s="372">
        <v>3.9849999999999999</v>
      </c>
    </row>
    <row r="14" spans="1:18" ht="20.100000000000001" customHeight="1">
      <c r="A14" s="726"/>
      <c r="B14" s="715"/>
      <c r="C14" s="449"/>
      <c r="D14" s="385"/>
      <c r="E14" s="385"/>
      <c r="F14" s="449"/>
      <c r="G14" s="386">
        <f>G12</f>
        <v>3.99</v>
      </c>
      <c r="H14" s="450">
        <f t="shared" si="1"/>
        <v>0</v>
      </c>
      <c r="Q14" s="373" t="s">
        <v>719</v>
      </c>
      <c r="R14" s="372">
        <v>3.1509999999999998</v>
      </c>
    </row>
    <row r="15" spans="1:18" ht="20.100000000000001" customHeight="1">
      <c r="A15" s="694" t="s">
        <v>182</v>
      </c>
      <c r="B15" s="695"/>
      <c r="C15" s="447"/>
      <c r="D15" s="447" t="s">
        <v>710</v>
      </c>
      <c r="E15" s="388">
        <f>ROUND((E12*F12+E13*F13+E14*F14+C12*D12+C13*D13+C14*D14)/1000,2)</f>
        <v>13.8</v>
      </c>
      <c r="F15" s="388">
        <f>SUM(F12:F14)+SUM(D12:D14)</f>
        <v>6</v>
      </c>
      <c r="G15" s="447"/>
      <c r="H15" s="389">
        <f>SUM(H12:H14)</f>
        <v>60.56600000000001</v>
      </c>
      <c r="Q15" s="373"/>
      <c r="R15" s="373"/>
    </row>
    <row r="16" spans="1:18" ht="20.100000000000001" customHeight="1">
      <c r="A16" s="452" t="s">
        <v>711</v>
      </c>
      <c r="B16" s="384">
        <f>258.1/1000</f>
        <v>0.2581</v>
      </c>
      <c r="C16" s="453" t="s">
        <v>712</v>
      </c>
      <c r="D16" s="384">
        <f>E15*B16</f>
        <v>3.5617800000000002</v>
      </c>
      <c r="E16" s="453" t="s">
        <v>713</v>
      </c>
      <c r="F16" s="453"/>
      <c r="G16" s="453" t="s">
        <v>714</v>
      </c>
      <c r="H16" s="382">
        <f>D16*F16</f>
        <v>0</v>
      </c>
      <c r="Q16" s="373"/>
      <c r="R16" s="373"/>
    </row>
    <row r="17" spans="1:18" ht="20.100000000000001" customHeight="1">
      <c r="A17" s="374" t="s">
        <v>139</v>
      </c>
      <c r="B17" s="375" t="s">
        <v>14</v>
      </c>
      <c r="C17" s="375" t="s">
        <v>715</v>
      </c>
      <c r="D17" s="375" t="s">
        <v>8</v>
      </c>
      <c r="E17" s="375" t="s">
        <v>705</v>
      </c>
      <c r="F17" s="375" t="s">
        <v>8</v>
      </c>
      <c r="G17" s="375" t="s">
        <v>22</v>
      </c>
      <c r="H17" s="376" t="s">
        <v>40</v>
      </c>
      <c r="Q17" s="373"/>
      <c r="R17" s="373"/>
    </row>
    <row r="18" spans="1:18" ht="20.100000000000001" customHeight="1">
      <c r="A18" s="723" t="s">
        <v>720</v>
      </c>
      <c r="B18" s="715" t="s">
        <v>721</v>
      </c>
      <c r="C18" s="449">
        <f>C12+2</f>
        <v>2302</v>
      </c>
      <c r="D18" s="449">
        <f>D12</f>
        <v>6</v>
      </c>
      <c r="E18" s="449"/>
      <c r="F18" s="449"/>
      <c r="G18" s="449">
        <f>G29</f>
        <v>0.53100000000000003</v>
      </c>
      <c r="H18" s="450">
        <f t="shared" ref="H18:H20" si="2">ROUND((C18*D18+E18*F18)/1000*G18,2)</f>
        <v>7.33</v>
      </c>
      <c r="Q18" s="373"/>
      <c r="R18" s="373"/>
    </row>
    <row r="19" spans="1:18" ht="20.100000000000001" customHeight="1">
      <c r="A19" s="723"/>
      <c r="B19" s="715"/>
      <c r="C19" s="449">
        <f>C13+2</f>
        <v>2</v>
      </c>
      <c r="D19" s="449">
        <f>D13</f>
        <v>0</v>
      </c>
      <c r="E19" s="449"/>
      <c r="F19" s="449">
        <f>F13</f>
        <v>0</v>
      </c>
      <c r="G19" s="449">
        <f>G18</f>
        <v>0.53100000000000003</v>
      </c>
      <c r="H19" s="450">
        <f t="shared" si="2"/>
        <v>0</v>
      </c>
      <c r="Q19" s="373"/>
      <c r="R19" s="373"/>
    </row>
    <row r="20" spans="1:18" ht="20.100000000000001" customHeight="1">
      <c r="A20" s="723"/>
      <c r="B20" s="715"/>
      <c r="C20" s="449"/>
      <c r="D20" s="449">
        <f>D14</f>
        <v>0</v>
      </c>
      <c r="E20" s="449"/>
      <c r="F20" s="449">
        <f>F14</f>
        <v>0</v>
      </c>
      <c r="G20" s="449">
        <f>G18</f>
        <v>0.53100000000000003</v>
      </c>
      <c r="H20" s="450">
        <f t="shared" si="2"/>
        <v>0</v>
      </c>
      <c r="Q20" s="373"/>
      <c r="R20" s="373"/>
    </row>
    <row r="21" spans="1:18" ht="20.100000000000001" customHeight="1">
      <c r="A21" s="694" t="s">
        <v>182</v>
      </c>
      <c r="B21" s="695"/>
      <c r="C21" s="447"/>
      <c r="D21" s="447" t="s">
        <v>710</v>
      </c>
      <c r="E21" s="447">
        <f>ROUND((E19*F19+E20*F20+E18*F18+C20*D20+C19*D19+C18*D18)/1000,2)</f>
        <v>13.81</v>
      </c>
      <c r="F21" s="447">
        <f>SUM(F18:F20)+SUM(D18:D20)</f>
        <v>6</v>
      </c>
      <c r="G21" s="447"/>
      <c r="H21" s="389">
        <f>SUM(H18:H20)</f>
        <v>7.33</v>
      </c>
      <c r="Q21" s="373"/>
      <c r="R21" s="373"/>
    </row>
    <row r="22" spans="1:18" ht="20.100000000000001" customHeight="1">
      <c r="A22" s="374" t="s">
        <v>139</v>
      </c>
      <c r="B22" s="375" t="s">
        <v>14</v>
      </c>
      <c r="C22" s="375" t="s">
        <v>715</v>
      </c>
      <c r="D22" s="375" t="s">
        <v>8</v>
      </c>
      <c r="E22" s="375" t="s">
        <v>715</v>
      </c>
      <c r="F22" s="375" t="s">
        <v>8</v>
      </c>
      <c r="G22" s="375" t="s">
        <v>22</v>
      </c>
      <c r="H22" s="376" t="s">
        <v>40</v>
      </c>
      <c r="Q22" s="373"/>
      <c r="R22" s="373"/>
    </row>
    <row r="23" spans="1:18" ht="20.100000000000001" customHeight="1">
      <c r="A23" s="723" t="s">
        <v>722</v>
      </c>
      <c r="B23" s="715" t="s">
        <v>723</v>
      </c>
      <c r="C23" s="449">
        <f>C12+2</f>
        <v>2302</v>
      </c>
      <c r="D23" s="449">
        <f>D12</f>
        <v>6</v>
      </c>
      <c r="E23" s="449"/>
      <c r="F23" s="449">
        <f>F12</f>
        <v>0</v>
      </c>
      <c r="G23" s="449">
        <v>0.27900000000000003</v>
      </c>
      <c r="H23" s="450">
        <f t="shared" ref="H23:H25" si="3">ROUND((C23*D23+E23*F23)/1000*G23,2)</f>
        <v>3.85</v>
      </c>
      <c r="Q23" s="373"/>
      <c r="R23" s="373"/>
    </row>
    <row r="24" spans="1:18" ht="20.100000000000001" customHeight="1">
      <c r="A24" s="723"/>
      <c r="B24" s="715"/>
      <c r="C24" s="449">
        <f>C19</f>
        <v>2</v>
      </c>
      <c r="D24" s="449">
        <f>D13</f>
        <v>0</v>
      </c>
      <c r="E24" s="449"/>
      <c r="F24" s="449">
        <f>F13</f>
        <v>0</v>
      </c>
      <c r="G24" s="449">
        <f t="shared" ref="G24:G25" si="4">G23</f>
        <v>0.27900000000000003</v>
      </c>
      <c r="H24" s="450">
        <f t="shared" si="3"/>
        <v>0</v>
      </c>
      <c r="Q24" s="373"/>
      <c r="R24" s="373"/>
    </row>
    <row r="25" spans="1:18" ht="20.100000000000001" customHeight="1">
      <c r="A25" s="723"/>
      <c r="B25" s="715"/>
      <c r="C25" s="449">
        <f>C20</f>
        <v>0</v>
      </c>
      <c r="D25" s="449">
        <f>D14</f>
        <v>0</v>
      </c>
      <c r="E25" s="449"/>
      <c r="F25" s="449">
        <f>F14</f>
        <v>0</v>
      </c>
      <c r="G25" s="449">
        <f t="shared" si="4"/>
        <v>0.27900000000000003</v>
      </c>
      <c r="H25" s="450">
        <f t="shared" si="3"/>
        <v>0</v>
      </c>
      <c r="Q25" s="373"/>
      <c r="R25" s="373"/>
    </row>
    <row r="26" spans="1:18" ht="20.100000000000001" customHeight="1">
      <c r="A26" s="694" t="s">
        <v>182</v>
      </c>
      <c r="B26" s="695"/>
      <c r="C26" s="447"/>
      <c r="D26" s="447" t="s">
        <v>710</v>
      </c>
      <c r="E26" s="447">
        <f>ROUND((E23*F23+E24*F24+E25*F25+C23*D23+C24*D24+C25*D25)/1000,2)</f>
        <v>13.81</v>
      </c>
      <c r="F26" s="447">
        <f>SUM(F23:F25)+SUM(D23:D25)</f>
        <v>6</v>
      </c>
      <c r="G26" s="447"/>
      <c r="H26" s="390">
        <f>SUM(H23:H25)</f>
        <v>3.85</v>
      </c>
      <c r="Q26" s="373"/>
      <c r="R26" s="373"/>
    </row>
    <row r="27" spans="1:18" ht="20.100000000000001" customHeight="1">
      <c r="A27" s="452" t="s">
        <v>711</v>
      </c>
      <c r="B27" s="384">
        <f>81.3/1000</f>
        <v>8.1299999999999997E-2</v>
      </c>
      <c r="C27" s="453" t="s">
        <v>712</v>
      </c>
      <c r="D27" s="384">
        <f>E26*B27</f>
        <v>1.1227530000000001</v>
      </c>
      <c r="E27" s="453" t="s">
        <v>713</v>
      </c>
      <c r="F27" s="453"/>
      <c r="G27" s="453" t="s">
        <v>714</v>
      </c>
      <c r="H27" s="382">
        <f>D27*F27</f>
        <v>0</v>
      </c>
      <c r="Q27" s="373"/>
      <c r="R27" s="373"/>
    </row>
    <row r="28" spans="1:18" ht="20.100000000000001" customHeight="1">
      <c r="A28" s="374" t="s">
        <v>139</v>
      </c>
      <c r="B28" s="375" t="s">
        <v>14</v>
      </c>
      <c r="C28" s="375" t="s">
        <v>113</v>
      </c>
      <c r="D28" s="375" t="s">
        <v>8</v>
      </c>
      <c r="E28" s="375" t="s">
        <v>113</v>
      </c>
      <c r="F28" s="375" t="s">
        <v>8</v>
      </c>
      <c r="G28" s="375" t="s">
        <v>22</v>
      </c>
      <c r="H28" s="376" t="s">
        <v>40</v>
      </c>
      <c r="Q28" s="373"/>
      <c r="R28" s="373"/>
    </row>
    <row r="29" spans="1:18" ht="20.100000000000001" customHeight="1">
      <c r="A29" s="723" t="s">
        <v>724</v>
      </c>
      <c r="B29" s="715" t="s">
        <v>721</v>
      </c>
      <c r="C29" s="449">
        <f>C6</f>
        <v>0</v>
      </c>
      <c r="D29" s="449">
        <f>D6</f>
        <v>0</v>
      </c>
      <c r="E29" s="449">
        <f t="shared" ref="C29:F31" si="5">E6</f>
        <v>0</v>
      </c>
      <c r="F29" s="449">
        <f t="shared" si="5"/>
        <v>0</v>
      </c>
      <c r="G29" s="449">
        <v>0.53100000000000003</v>
      </c>
      <c r="H29" s="450">
        <f t="shared" ref="H29:H31" si="6">ROUND((C29*D29+E29*F29)/1000*G29,2)</f>
        <v>0</v>
      </c>
      <c r="Q29" s="373">
        <v>4</v>
      </c>
      <c r="R29" s="373"/>
    </row>
    <row r="30" spans="1:18" ht="20.100000000000001" customHeight="1">
      <c r="A30" s="723"/>
      <c r="B30" s="715"/>
      <c r="C30" s="449">
        <f>C7</f>
        <v>6000</v>
      </c>
      <c r="D30" s="449">
        <f>D7</f>
        <v>4</v>
      </c>
      <c r="E30" s="449">
        <f t="shared" si="5"/>
        <v>0</v>
      </c>
      <c r="F30" s="449">
        <f t="shared" si="5"/>
        <v>0</v>
      </c>
      <c r="G30" s="449">
        <f>G29</f>
        <v>0.53100000000000003</v>
      </c>
      <c r="H30" s="450">
        <f t="shared" si="6"/>
        <v>12.74</v>
      </c>
      <c r="Q30" s="373"/>
      <c r="R30" s="373"/>
    </row>
    <row r="31" spans="1:18" ht="20.100000000000001" customHeight="1">
      <c r="A31" s="723"/>
      <c r="B31" s="715"/>
      <c r="C31" s="449">
        <f t="shared" si="5"/>
        <v>0</v>
      </c>
      <c r="D31" s="449">
        <f t="shared" si="5"/>
        <v>0</v>
      </c>
      <c r="E31" s="449">
        <f t="shared" si="5"/>
        <v>0</v>
      </c>
      <c r="F31" s="449">
        <f t="shared" si="5"/>
        <v>0</v>
      </c>
      <c r="G31" s="449">
        <f>G29</f>
        <v>0.53100000000000003</v>
      </c>
      <c r="H31" s="450">
        <f t="shared" si="6"/>
        <v>0</v>
      </c>
      <c r="Q31" s="373"/>
      <c r="R31" s="373"/>
    </row>
    <row r="32" spans="1:18" ht="20.100000000000001" customHeight="1">
      <c r="A32" s="694" t="s">
        <v>182</v>
      </c>
      <c r="B32" s="695"/>
      <c r="C32" s="447"/>
      <c r="D32" s="447" t="s">
        <v>710</v>
      </c>
      <c r="E32" s="447">
        <f>ROUND((C29*D29+E29*F29+C30*D30+E30*F30+C31*D31+E31*F31)/1000,2)</f>
        <v>24</v>
      </c>
      <c r="F32" s="447">
        <f>SUM(F29:F31)+SUM(D29:D31)</f>
        <v>4</v>
      </c>
      <c r="G32" s="447"/>
      <c r="H32" s="390">
        <f>SUM(H29:H31)</f>
        <v>12.74</v>
      </c>
      <c r="Q32" s="373"/>
      <c r="R32" s="373"/>
    </row>
    <row r="33" spans="1:18" ht="20.100000000000001" customHeight="1">
      <c r="A33" s="374" t="s">
        <v>139</v>
      </c>
      <c r="B33" s="375" t="s">
        <v>14</v>
      </c>
      <c r="C33" s="375" t="s">
        <v>715</v>
      </c>
      <c r="D33" s="375" t="s">
        <v>8</v>
      </c>
      <c r="E33" s="375" t="s">
        <v>705</v>
      </c>
      <c r="F33" s="375" t="s">
        <v>8</v>
      </c>
      <c r="G33" s="375" t="s">
        <v>22</v>
      </c>
      <c r="H33" s="376" t="s">
        <v>40</v>
      </c>
      <c r="Q33" s="373"/>
      <c r="R33" s="373"/>
    </row>
    <row r="34" spans="1:18" ht="20.100000000000001" customHeight="1">
      <c r="A34" s="723" t="s">
        <v>725</v>
      </c>
      <c r="B34" s="715" t="s">
        <v>726</v>
      </c>
      <c r="C34" s="449">
        <f>C6</f>
        <v>0</v>
      </c>
      <c r="D34" s="449">
        <f t="shared" ref="C34:F36" si="7">D6</f>
        <v>0</v>
      </c>
      <c r="E34" s="449">
        <f t="shared" si="7"/>
        <v>0</v>
      </c>
      <c r="F34" s="449">
        <f t="shared" si="7"/>
        <v>0</v>
      </c>
      <c r="G34" s="449">
        <v>0.35799999999999998</v>
      </c>
      <c r="H34" s="450">
        <f t="shared" ref="H34:H36" si="8">ROUND((C34*D34+E34*F34)/1000*G34,2)</f>
        <v>0</v>
      </c>
      <c r="Q34" s="373"/>
      <c r="R34" s="373"/>
    </row>
    <row r="35" spans="1:18" ht="20.100000000000001" customHeight="1">
      <c r="A35" s="723"/>
      <c r="B35" s="715"/>
      <c r="C35" s="449">
        <f>C7</f>
        <v>6000</v>
      </c>
      <c r="D35" s="449">
        <f>D7</f>
        <v>4</v>
      </c>
      <c r="E35" s="449">
        <f t="shared" si="7"/>
        <v>0</v>
      </c>
      <c r="F35" s="449">
        <f t="shared" si="7"/>
        <v>0</v>
      </c>
      <c r="G35" s="449">
        <f>G34</f>
        <v>0.35799999999999998</v>
      </c>
      <c r="H35" s="450">
        <f t="shared" si="8"/>
        <v>8.59</v>
      </c>
      <c r="Q35" s="373"/>
      <c r="R35" s="373"/>
    </row>
    <row r="36" spans="1:18" ht="20.100000000000001" customHeight="1">
      <c r="A36" s="723"/>
      <c r="B36" s="715"/>
      <c r="C36" s="449">
        <f t="shared" si="7"/>
        <v>0</v>
      </c>
      <c r="D36" s="449">
        <f t="shared" si="7"/>
        <v>0</v>
      </c>
      <c r="E36" s="449">
        <f t="shared" si="7"/>
        <v>0</v>
      </c>
      <c r="F36" s="449">
        <f t="shared" si="7"/>
        <v>0</v>
      </c>
      <c r="G36" s="449">
        <f>G34</f>
        <v>0.35799999999999998</v>
      </c>
      <c r="H36" s="450">
        <f t="shared" si="8"/>
        <v>0</v>
      </c>
      <c r="Q36" s="373"/>
      <c r="R36" s="373"/>
    </row>
    <row r="37" spans="1:18" ht="20.100000000000001" customHeight="1">
      <c r="A37" s="694" t="s">
        <v>182</v>
      </c>
      <c r="B37" s="695"/>
      <c r="C37" s="447"/>
      <c r="D37" s="447" t="s">
        <v>710</v>
      </c>
      <c r="E37" s="447">
        <f>ROUND((C34*D34+E34*F34+C35*D35+E35*F35+C36*D36+E36*F36)/1000,2)</f>
        <v>24</v>
      </c>
      <c r="F37" s="447">
        <f>SUM(F34:F36)+SUM(D34:D36)</f>
        <v>4</v>
      </c>
      <c r="G37" s="447"/>
      <c r="H37" s="390">
        <f>SUM(H34:H36)</f>
        <v>8.59</v>
      </c>
      <c r="Q37" s="373"/>
      <c r="R37" s="373"/>
    </row>
    <row r="38" spans="1:18" ht="20.100000000000001" customHeight="1">
      <c r="A38" s="452" t="s">
        <v>711</v>
      </c>
      <c r="B38" s="384">
        <f>97.8/1000</f>
        <v>9.7799999999999998E-2</v>
      </c>
      <c r="C38" s="453" t="s">
        <v>712</v>
      </c>
      <c r="D38" s="384">
        <f>E37*B38</f>
        <v>2.3472</v>
      </c>
      <c r="E38" s="453" t="s">
        <v>713</v>
      </c>
      <c r="F38" s="453"/>
      <c r="G38" s="453" t="s">
        <v>714</v>
      </c>
      <c r="H38" s="382">
        <f>D38*F38</f>
        <v>0</v>
      </c>
      <c r="Q38" s="373"/>
      <c r="R38" s="373"/>
    </row>
    <row r="39" spans="1:18" ht="20.100000000000001" customHeight="1">
      <c r="A39" s="374" t="s">
        <v>139</v>
      </c>
      <c r="B39" s="375" t="s">
        <v>14</v>
      </c>
      <c r="C39" s="375" t="s">
        <v>705</v>
      </c>
      <c r="D39" s="375" t="s">
        <v>8</v>
      </c>
      <c r="E39" s="375" t="s">
        <v>705</v>
      </c>
      <c r="F39" s="375" t="s">
        <v>8</v>
      </c>
      <c r="G39" s="375" t="s">
        <v>22</v>
      </c>
      <c r="H39" s="376" t="s">
        <v>40</v>
      </c>
      <c r="Q39" s="373"/>
      <c r="R39" s="373"/>
    </row>
    <row r="40" spans="1:18" ht="20.100000000000001" customHeight="1">
      <c r="A40" s="722" t="s">
        <v>727</v>
      </c>
      <c r="B40" s="715" t="s">
        <v>728</v>
      </c>
      <c r="C40" s="391">
        <v>50</v>
      </c>
      <c r="D40" s="391"/>
      <c r="E40" s="391"/>
      <c r="F40" s="391">
        <v>0</v>
      </c>
      <c r="G40" s="449">
        <v>3.2410000000000001</v>
      </c>
      <c r="H40" s="450">
        <f>ROUND((C40*D40+E40*F40)/1000*G40,2)</f>
        <v>0</v>
      </c>
      <c r="Q40" s="373"/>
      <c r="R40" s="373"/>
    </row>
    <row r="41" spans="1:18" ht="20.100000000000001" customHeight="1">
      <c r="A41" s="722"/>
      <c r="B41" s="715"/>
      <c r="C41" s="391">
        <v>0</v>
      </c>
      <c r="D41" s="391">
        <v>0</v>
      </c>
      <c r="E41" s="391">
        <v>0</v>
      </c>
      <c r="F41" s="391">
        <v>0</v>
      </c>
      <c r="G41" s="449">
        <f>G40</f>
        <v>3.2410000000000001</v>
      </c>
      <c r="H41" s="450">
        <f t="shared" ref="H41:H42" si="9">ROUND((C41*D41+E41*F41)/1000*G41,2)</f>
        <v>0</v>
      </c>
      <c r="Q41" s="373"/>
      <c r="R41" s="373"/>
    </row>
    <row r="42" spans="1:18" ht="20.100000000000001" customHeight="1">
      <c r="A42" s="722"/>
      <c r="B42" s="715"/>
      <c r="C42" s="391">
        <v>0</v>
      </c>
      <c r="D42" s="391">
        <v>0</v>
      </c>
      <c r="E42" s="391">
        <v>0</v>
      </c>
      <c r="F42" s="391">
        <v>0</v>
      </c>
      <c r="G42" s="449">
        <f>G40</f>
        <v>3.2410000000000001</v>
      </c>
      <c r="H42" s="450">
        <f t="shared" si="9"/>
        <v>0</v>
      </c>
      <c r="Q42" s="373"/>
      <c r="R42" s="373"/>
    </row>
    <row r="43" spans="1:18" ht="20.100000000000001" customHeight="1">
      <c r="A43" s="694" t="s">
        <v>182</v>
      </c>
      <c r="B43" s="695"/>
      <c r="C43" s="447"/>
      <c r="D43" s="447" t="s">
        <v>710</v>
      </c>
      <c r="E43" s="392">
        <f>ROUND((E40*F40+E41*F41+E42*F42)/1000,2)</f>
        <v>0</v>
      </c>
      <c r="F43" s="447">
        <f>SUM(F40:F42)+SUM(D40:D42)</f>
        <v>0</v>
      </c>
      <c r="G43" s="447"/>
      <c r="H43" s="389">
        <f>SUM(H40:H42)</f>
        <v>0</v>
      </c>
      <c r="Q43" s="373"/>
      <c r="R43" s="373"/>
    </row>
    <row r="44" spans="1:18" ht="20.100000000000001" customHeight="1">
      <c r="A44" s="393" t="s">
        <v>139</v>
      </c>
      <c r="B44" s="451" t="s">
        <v>14</v>
      </c>
      <c r="C44" s="375" t="s">
        <v>715</v>
      </c>
      <c r="D44" s="375" t="s">
        <v>8</v>
      </c>
      <c r="E44" s="375" t="s">
        <v>705</v>
      </c>
      <c r="F44" s="375" t="s">
        <v>8</v>
      </c>
      <c r="G44" s="451" t="s">
        <v>22</v>
      </c>
      <c r="H44" s="454" t="s">
        <v>40</v>
      </c>
      <c r="Q44" s="373"/>
      <c r="R44" s="373"/>
    </row>
    <row r="45" spans="1:18" ht="20.100000000000001" customHeight="1">
      <c r="A45" s="722" t="s">
        <v>729</v>
      </c>
      <c r="B45" s="715" t="s">
        <v>730</v>
      </c>
      <c r="C45" s="449"/>
      <c r="D45" s="449"/>
      <c r="E45" s="449">
        <v>0</v>
      </c>
      <c r="F45" s="449">
        <v>0</v>
      </c>
      <c r="G45" s="449">
        <v>0.41699999999999998</v>
      </c>
      <c r="H45" s="450">
        <f>ROUND((C45*D45+E45*F45)/1000*G45,2)</f>
        <v>0</v>
      </c>
      <c r="Q45" s="373"/>
      <c r="R45" s="373"/>
    </row>
    <row r="46" spans="1:18" ht="20.100000000000001" customHeight="1">
      <c r="A46" s="722"/>
      <c r="B46" s="715"/>
      <c r="C46" s="449"/>
      <c r="D46" s="449"/>
      <c r="E46" s="449">
        <f>ROUND((C46+D46)/1000*2,2)</f>
        <v>0</v>
      </c>
      <c r="F46" s="449"/>
      <c r="G46" s="449">
        <f>G45</f>
        <v>0.41699999999999998</v>
      </c>
      <c r="H46" s="450">
        <f>E46*G46*F46</f>
        <v>0</v>
      </c>
      <c r="Q46" s="373"/>
      <c r="R46" s="373"/>
    </row>
    <row r="47" spans="1:18" ht="20.100000000000001" customHeight="1">
      <c r="A47" s="722"/>
      <c r="B47" s="715"/>
      <c r="C47" s="449"/>
      <c r="D47" s="449"/>
      <c r="E47" s="449">
        <f>ROUND((C47+D47)/1000*2,2)</f>
        <v>0</v>
      </c>
      <c r="F47" s="449"/>
      <c r="G47" s="449">
        <f>G45</f>
        <v>0.41699999999999998</v>
      </c>
      <c r="H47" s="450">
        <f>E47*G47*F47</f>
        <v>0</v>
      </c>
      <c r="Q47" s="373"/>
      <c r="R47" s="373"/>
    </row>
    <row r="48" spans="1:18" ht="20.100000000000001" customHeight="1">
      <c r="A48" s="718" t="s">
        <v>182</v>
      </c>
      <c r="B48" s="719"/>
      <c r="C48" s="453"/>
      <c r="D48" s="447" t="s">
        <v>710</v>
      </c>
      <c r="E48" s="447">
        <f>ROUND((E45*F45+E46*F46+E47*F47),2)</f>
        <v>0</v>
      </c>
      <c r="F48" s="453">
        <f>SUM(F45:F47)</f>
        <v>0</v>
      </c>
      <c r="G48" s="453"/>
      <c r="H48" s="382">
        <f>SUM(H45:H47)</f>
        <v>0</v>
      </c>
      <c r="Q48" s="373"/>
      <c r="R48" s="373"/>
    </row>
    <row r="49" spans="1:18" ht="20.100000000000001" customHeight="1">
      <c r="A49" s="393" t="s">
        <v>139</v>
      </c>
      <c r="B49" s="451" t="s">
        <v>14</v>
      </c>
      <c r="C49" s="375" t="s">
        <v>715</v>
      </c>
      <c r="D49" s="375" t="s">
        <v>8</v>
      </c>
      <c r="E49" s="375" t="s">
        <v>705</v>
      </c>
      <c r="F49" s="375" t="s">
        <v>8</v>
      </c>
      <c r="G49" s="451" t="s">
        <v>22</v>
      </c>
      <c r="H49" s="454" t="s">
        <v>40</v>
      </c>
      <c r="Q49" s="373"/>
      <c r="R49" s="373"/>
    </row>
    <row r="50" spans="1:18" ht="20.100000000000001" customHeight="1">
      <c r="A50" s="722" t="s">
        <v>731</v>
      </c>
      <c r="B50" s="715"/>
      <c r="C50" s="449">
        <f>C3</f>
        <v>2300</v>
      </c>
      <c r="D50" s="449"/>
      <c r="E50" s="449">
        <v>0</v>
      </c>
      <c r="F50" s="449">
        <v>0</v>
      </c>
      <c r="G50" s="449">
        <v>0.62</v>
      </c>
      <c r="H50" s="450">
        <f>ROUND((C50*D50+E50*F50)/1000*G50,2)</f>
        <v>0</v>
      </c>
      <c r="Q50" s="373"/>
      <c r="R50" s="373"/>
    </row>
    <row r="51" spans="1:18" ht="20.100000000000001" customHeight="1">
      <c r="A51" s="722"/>
      <c r="B51" s="715"/>
      <c r="C51" s="449"/>
      <c r="D51" s="449"/>
      <c r="E51" s="449">
        <f>ROUND((C51+D51)/1000*2,2)</f>
        <v>0</v>
      </c>
      <c r="F51" s="449"/>
      <c r="G51" s="449">
        <f>G50</f>
        <v>0.62</v>
      </c>
      <c r="H51" s="450">
        <f>E51*G51*F51</f>
        <v>0</v>
      </c>
      <c r="Q51" s="373"/>
      <c r="R51" s="373"/>
    </row>
    <row r="52" spans="1:18" ht="20.100000000000001" customHeight="1">
      <c r="A52" s="722"/>
      <c r="B52" s="715"/>
      <c r="C52" s="449"/>
      <c r="D52" s="449"/>
      <c r="E52" s="449">
        <f>ROUND((C52+D52)/1000*2,2)</f>
        <v>0</v>
      </c>
      <c r="F52" s="449"/>
      <c r="G52" s="449">
        <f>G50</f>
        <v>0.62</v>
      </c>
      <c r="H52" s="450">
        <f>E52*G52*F52</f>
        <v>0</v>
      </c>
      <c r="Q52" s="373"/>
      <c r="R52" s="373"/>
    </row>
    <row r="53" spans="1:18" ht="20.100000000000001" customHeight="1">
      <c r="A53" s="718" t="s">
        <v>182</v>
      </c>
      <c r="B53" s="719"/>
      <c r="C53" s="453"/>
      <c r="D53" s="447" t="s">
        <v>710</v>
      </c>
      <c r="E53" s="447">
        <f>ROUND((E50*F50+E51*F51+E52*F52),2)</f>
        <v>0</v>
      </c>
      <c r="F53" s="453">
        <f>SUM(F50:F52)</f>
        <v>0</v>
      </c>
      <c r="G53" s="453"/>
      <c r="H53" s="382">
        <f>SUM(H50:H52)</f>
        <v>0</v>
      </c>
      <c r="Q53" s="373"/>
      <c r="R53" s="373"/>
    </row>
    <row r="54" spans="1:18" ht="20.100000000000001" customHeight="1">
      <c r="A54" s="393" t="s">
        <v>139</v>
      </c>
      <c r="B54" s="451" t="s">
        <v>14</v>
      </c>
      <c r="C54" s="375" t="s">
        <v>715</v>
      </c>
      <c r="D54" s="375" t="s">
        <v>8</v>
      </c>
      <c r="E54" s="375" t="s">
        <v>705</v>
      </c>
      <c r="F54" s="375" t="s">
        <v>8</v>
      </c>
      <c r="G54" s="451" t="s">
        <v>22</v>
      </c>
      <c r="H54" s="454" t="s">
        <v>40</v>
      </c>
      <c r="Q54" s="373"/>
      <c r="R54" s="373"/>
    </row>
    <row r="55" spans="1:18" ht="20.100000000000001" customHeight="1">
      <c r="A55" s="722" t="s">
        <v>732</v>
      </c>
      <c r="B55" s="715" t="s">
        <v>733</v>
      </c>
      <c r="C55" s="449"/>
      <c r="D55" s="449"/>
      <c r="E55" s="449"/>
      <c r="F55" s="449"/>
      <c r="G55" s="449">
        <v>1.5740000000000001</v>
      </c>
      <c r="H55" s="450">
        <f>ROUND((C55*D55+E55*F55)/1000*G55,2)</f>
        <v>0</v>
      </c>
      <c r="Q55" s="373"/>
      <c r="R55" s="373"/>
    </row>
    <row r="56" spans="1:18" ht="20.100000000000001" customHeight="1">
      <c r="A56" s="722"/>
      <c r="B56" s="715"/>
      <c r="C56" s="449"/>
      <c r="D56" s="449"/>
      <c r="E56" s="449">
        <f>ROUND((C56+D56)/1000*2,2)</f>
        <v>0</v>
      </c>
      <c r="F56" s="449"/>
      <c r="G56" s="449">
        <f>G55</f>
        <v>1.5740000000000001</v>
      </c>
      <c r="H56" s="450">
        <f>E56*G56*F56</f>
        <v>0</v>
      </c>
      <c r="Q56" s="373"/>
      <c r="R56" s="373"/>
    </row>
    <row r="57" spans="1:18" ht="20.100000000000001" customHeight="1">
      <c r="A57" s="722"/>
      <c r="B57" s="715"/>
      <c r="C57" s="449"/>
      <c r="D57" s="449"/>
      <c r="E57" s="449">
        <f>ROUND((C57+D57)/1000*2,2)</f>
        <v>0</v>
      </c>
      <c r="F57" s="449"/>
      <c r="G57" s="449">
        <f>G55</f>
        <v>1.5740000000000001</v>
      </c>
      <c r="H57" s="450">
        <f>E57*G57*F57</f>
        <v>0</v>
      </c>
      <c r="Q57" s="373"/>
      <c r="R57" s="373"/>
    </row>
    <row r="58" spans="1:18" ht="20.100000000000001" customHeight="1">
      <c r="A58" s="718" t="s">
        <v>182</v>
      </c>
      <c r="B58" s="719"/>
      <c r="C58" s="453"/>
      <c r="D58" s="447" t="s">
        <v>710</v>
      </c>
      <c r="E58" s="447">
        <f>ROUND((E55*F55+E56*F56+E57*F57+D55*C55+D56*C56+C57*D57)/1000,2)</f>
        <v>0</v>
      </c>
      <c r="F58" s="453">
        <f>SUM(F55:F57)</f>
        <v>0</v>
      </c>
      <c r="G58" s="453"/>
      <c r="H58" s="382">
        <f>SUM(H55:H57)</f>
        <v>0</v>
      </c>
      <c r="Q58" s="373"/>
      <c r="R58" s="373"/>
    </row>
    <row r="59" spans="1:18" ht="20.100000000000001" customHeight="1">
      <c r="A59" s="393" t="s">
        <v>139</v>
      </c>
      <c r="B59" s="451" t="s">
        <v>14</v>
      </c>
      <c r="C59" s="375" t="s">
        <v>715</v>
      </c>
      <c r="D59" s="375" t="s">
        <v>8</v>
      </c>
      <c r="E59" s="375" t="s">
        <v>705</v>
      </c>
      <c r="F59" s="375" t="s">
        <v>8</v>
      </c>
      <c r="G59" s="451" t="s">
        <v>22</v>
      </c>
      <c r="H59" s="454" t="s">
        <v>40</v>
      </c>
      <c r="Q59" s="373"/>
      <c r="R59" s="373"/>
    </row>
    <row r="60" spans="1:18" ht="20.100000000000001" customHeight="1">
      <c r="A60" s="722" t="s">
        <v>734</v>
      </c>
      <c r="B60" s="715" t="s">
        <v>735</v>
      </c>
      <c r="C60" s="449">
        <f>C55</f>
        <v>0</v>
      </c>
      <c r="D60" s="449">
        <f>D55</f>
        <v>0</v>
      </c>
      <c r="E60" s="449">
        <f>E55</f>
        <v>0</v>
      </c>
      <c r="F60" s="449">
        <f>F55</f>
        <v>0</v>
      </c>
      <c r="G60" s="449">
        <f>1.699+0.367</f>
        <v>2.0659999999999998</v>
      </c>
      <c r="H60" s="450">
        <f>ROUND((C60*D60+E60*F60)/1000*G60,2)</f>
        <v>0</v>
      </c>
      <c r="Q60" s="373"/>
      <c r="R60" s="373"/>
    </row>
    <row r="61" spans="1:18" ht="20.100000000000001" customHeight="1">
      <c r="A61" s="722"/>
      <c r="B61" s="715"/>
      <c r="C61" s="449">
        <f t="shared" ref="C61:C62" si="10">C56</f>
        <v>0</v>
      </c>
      <c r="D61" s="449"/>
      <c r="E61" s="449">
        <f t="shared" ref="E61:E62" si="11">E56</f>
        <v>0</v>
      </c>
      <c r="F61" s="449"/>
      <c r="G61" s="449">
        <f>G60</f>
        <v>2.0659999999999998</v>
      </c>
      <c r="H61" s="450">
        <f>E61*G61*F61</f>
        <v>0</v>
      </c>
      <c r="Q61" s="373"/>
      <c r="R61" s="373"/>
    </row>
    <row r="62" spans="1:18" ht="20.100000000000001" customHeight="1">
      <c r="A62" s="722"/>
      <c r="B62" s="715"/>
      <c r="C62" s="449">
        <f t="shared" si="10"/>
        <v>0</v>
      </c>
      <c r="D62" s="449"/>
      <c r="E62" s="449">
        <f t="shared" si="11"/>
        <v>0</v>
      </c>
      <c r="F62" s="449"/>
      <c r="G62" s="449">
        <f>G60</f>
        <v>2.0659999999999998</v>
      </c>
      <c r="H62" s="450">
        <f>E62*G62*F62</f>
        <v>0</v>
      </c>
      <c r="Q62" s="373"/>
      <c r="R62" s="373"/>
    </row>
    <row r="63" spans="1:18" ht="20.100000000000001" customHeight="1">
      <c r="A63" s="718" t="s">
        <v>182</v>
      </c>
      <c r="B63" s="719"/>
      <c r="C63" s="453"/>
      <c r="D63" s="447" t="s">
        <v>710</v>
      </c>
      <c r="E63" s="447">
        <f>ROUND((E60*F60+E61*F61+E62*F62+D60*C60+D61*C61+C62*D62)/1000,2)</f>
        <v>0</v>
      </c>
      <c r="F63" s="453">
        <f>SUM(F60:F62)</f>
        <v>0</v>
      </c>
      <c r="G63" s="453"/>
      <c r="H63" s="382">
        <f>SUM(H60:H62)</f>
        <v>0</v>
      </c>
      <c r="Q63" s="373"/>
      <c r="R63" s="373"/>
    </row>
    <row r="64" spans="1:18" ht="20.100000000000001" customHeight="1">
      <c r="A64" s="396" t="s">
        <v>142</v>
      </c>
      <c r="B64" s="397">
        <f>材料价格!B4</f>
        <v>22081.5</v>
      </c>
      <c r="C64" s="398" t="s">
        <v>138</v>
      </c>
      <c r="D64" s="399">
        <f>(H9+H15+H21+H26+H32+H37+H43+H48+H53)*1.1</f>
        <v>247.34160000000006</v>
      </c>
      <c r="E64" s="398" t="s">
        <v>736</v>
      </c>
      <c r="F64" s="400">
        <f>ROUND((B64+Q64)/1000,2)</f>
        <v>41.28</v>
      </c>
      <c r="G64" s="398" t="s">
        <v>45</v>
      </c>
      <c r="H64" s="401">
        <f>ROUND(D64*F64,2)</f>
        <v>10210.26</v>
      </c>
      <c r="I64" s="402">
        <v>28645.186483760001</v>
      </c>
      <c r="J64" s="403">
        <f>ROUND(I64/J3,2)</f>
        <v>471.76</v>
      </c>
      <c r="Q64" s="373">
        <f>材料价格!B7</f>
        <v>19200</v>
      </c>
      <c r="R64" s="373"/>
    </row>
    <row r="65" spans="1:18" ht="20.100000000000001" customHeight="1">
      <c r="A65" s="396" t="str">
        <f>A64</f>
        <v>铝锭价格</v>
      </c>
      <c r="B65" s="397">
        <f>B64</f>
        <v>22081.5</v>
      </c>
      <c r="C65" s="398" t="s">
        <v>737</v>
      </c>
      <c r="D65" s="399">
        <f>(H58+H63)*1.1</f>
        <v>0</v>
      </c>
      <c r="E65" s="398" t="str">
        <f>E64</f>
        <v>型材价格</v>
      </c>
      <c r="F65" s="400"/>
      <c r="G65" s="398" t="str">
        <f>G64</f>
        <v>型材总价</v>
      </c>
      <c r="H65" s="401">
        <f>ROUND(D65*F65,2)</f>
        <v>0</v>
      </c>
      <c r="I65" s="402"/>
      <c r="J65" s="403"/>
      <c r="Q65" s="373"/>
      <c r="R65" s="373"/>
    </row>
    <row r="66" spans="1:18" ht="20.100000000000001" customHeight="1">
      <c r="A66" s="404" t="s">
        <v>714</v>
      </c>
      <c r="B66" s="405"/>
      <c r="C66" s="405"/>
      <c r="D66" s="406"/>
      <c r="E66" s="406"/>
      <c r="F66" s="407"/>
      <c r="G66" s="407"/>
      <c r="H66" s="408">
        <f>H38+H27+H16+H10</f>
        <v>0</v>
      </c>
      <c r="I66" s="402"/>
      <c r="J66" s="403"/>
      <c r="Q66" s="373">
        <f>H66+H64</f>
        <v>10210.26</v>
      </c>
      <c r="R66" s="373">
        <f>Q66/D64</f>
        <v>41.279994954346527</v>
      </c>
    </row>
    <row r="67" spans="1:18" ht="20.100000000000001" customHeight="1">
      <c r="A67" s="409" t="s">
        <v>112</v>
      </c>
      <c r="B67" s="410" t="s">
        <v>14</v>
      </c>
      <c r="C67" s="410" t="s">
        <v>301</v>
      </c>
      <c r="D67" s="410" t="s">
        <v>8</v>
      </c>
      <c r="E67" s="410" t="s">
        <v>112</v>
      </c>
      <c r="F67" s="410" t="s">
        <v>14</v>
      </c>
      <c r="G67" s="410" t="s">
        <v>301</v>
      </c>
      <c r="H67" s="411" t="s">
        <v>8</v>
      </c>
      <c r="Q67" s="373"/>
      <c r="R67" s="373"/>
    </row>
    <row r="68" spans="1:18" ht="20.100000000000001" customHeight="1">
      <c r="A68" s="720" t="s">
        <v>738</v>
      </c>
      <c r="B68" s="412" t="s">
        <v>739</v>
      </c>
      <c r="C68" s="108">
        <v>1.1000000000000001</v>
      </c>
      <c r="D68" s="443">
        <f>D55*2</f>
        <v>0</v>
      </c>
      <c r="E68" s="720" t="s">
        <v>740</v>
      </c>
      <c r="F68" s="412" t="s">
        <v>741</v>
      </c>
      <c r="G68" s="108">
        <v>0.85</v>
      </c>
      <c r="H68" s="443">
        <f>D68</f>
        <v>0</v>
      </c>
      <c r="Q68" s="373"/>
      <c r="R68" s="373"/>
    </row>
    <row r="69" spans="1:18" ht="20.100000000000001" customHeight="1">
      <c r="A69" s="720"/>
      <c r="B69" s="412" t="s">
        <v>742</v>
      </c>
      <c r="C69" s="108">
        <v>0.91</v>
      </c>
      <c r="D69" s="443">
        <f>D68</f>
        <v>0</v>
      </c>
      <c r="E69" s="720"/>
      <c r="F69" s="412" t="s">
        <v>743</v>
      </c>
      <c r="G69" s="108">
        <v>1.45</v>
      </c>
      <c r="H69" s="443">
        <f>H68</f>
        <v>0</v>
      </c>
      <c r="Q69" s="373"/>
      <c r="R69" s="373"/>
    </row>
    <row r="70" spans="1:18" ht="20.100000000000001" customHeight="1">
      <c r="A70" s="396" t="s">
        <v>151</v>
      </c>
      <c r="B70" s="399"/>
      <c r="C70" s="398" t="s">
        <v>304</v>
      </c>
      <c r="D70" s="398">
        <f>ROUND(B70*1.05,3)</f>
        <v>0</v>
      </c>
      <c r="E70" s="398" t="s">
        <v>744</v>
      </c>
      <c r="F70" s="398"/>
      <c r="G70" s="398" t="s">
        <v>745</v>
      </c>
      <c r="H70" s="401">
        <f>D68*C68+C69*D69+G68*H68+G69*H69</f>
        <v>0</v>
      </c>
      <c r="Q70" s="373"/>
      <c r="R70" s="373"/>
    </row>
    <row r="71" spans="1:18" ht="20.100000000000001" customHeight="1">
      <c r="A71" s="714" t="s">
        <v>746</v>
      </c>
      <c r="B71" s="715"/>
      <c r="C71" s="715"/>
      <c r="D71" s="715"/>
      <c r="E71" s="715"/>
      <c r="F71" s="715"/>
      <c r="G71" s="715"/>
      <c r="H71" s="716"/>
      <c r="I71" s="403"/>
      <c r="J71" s="403"/>
      <c r="Q71" s="373"/>
      <c r="R71" s="373"/>
    </row>
    <row r="72" spans="1:18" ht="20.100000000000001" customHeight="1">
      <c r="A72" s="393" t="s">
        <v>747</v>
      </c>
      <c r="B72" s="451" t="s">
        <v>748</v>
      </c>
      <c r="C72" s="451" t="s">
        <v>17</v>
      </c>
      <c r="D72" s="451" t="s">
        <v>8</v>
      </c>
      <c r="E72" s="451" t="s">
        <v>7</v>
      </c>
      <c r="F72" s="451" t="s">
        <v>28</v>
      </c>
      <c r="G72" s="717" t="s">
        <v>29</v>
      </c>
      <c r="H72" s="721"/>
      <c r="I72" s="403"/>
      <c r="J72" s="403"/>
      <c r="Q72" s="373"/>
      <c r="R72" s="373"/>
    </row>
    <row r="73" spans="1:18" ht="20.100000000000001" customHeight="1">
      <c r="A73" s="413" t="str">
        <f>[32]价格表!A12</f>
        <v>6+16Ar+6+16Ar+6暖边氩气</v>
      </c>
      <c r="B73" s="449"/>
      <c r="C73" s="449"/>
      <c r="D73" s="414"/>
      <c r="E73" s="448"/>
      <c r="F73" s="416">
        <f>材料价格!B10</f>
        <v>148</v>
      </c>
      <c r="G73" s="701">
        <f>E73*F73</f>
        <v>0</v>
      </c>
      <c r="H73" s="713"/>
      <c r="I73" s="403"/>
      <c r="J73" s="403"/>
      <c r="Q73" s="373"/>
      <c r="R73" s="373"/>
    </row>
    <row r="74" spans="1:18" ht="20.100000000000001" customHeight="1">
      <c r="A74" s="413" t="str">
        <f>A73</f>
        <v>6+16Ar+6+16Ar+6暖边氩气</v>
      </c>
      <c r="B74" s="449"/>
      <c r="C74" s="449"/>
      <c r="D74" s="449"/>
      <c r="E74" s="449">
        <f t="shared" ref="E74:E75" si="12">ROUND((B74*C74*D74)/1000000,2)</f>
        <v>0</v>
      </c>
      <c r="F74" s="416">
        <f>F73</f>
        <v>148</v>
      </c>
      <c r="G74" s="701">
        <f t="shared" ref="G74:G75" si="13">E74*F74</f>
        <v>0</v>
      </c>
      <c r="H74" s="713"/>
      <c r="I74" s="403" t="s">
        <v>749</v>
      </c>
      <c r="J74" s="403">
        <v>0.17</v>
      </c>
      <c r="Q74" s="373"/>
      <c r="R74" s="373"/>
    </row>
    <row r="75" spans="1:18" ht="20.100000000000001" customHeight="1">
      <c r="A75" s="413" t="str">
        <f>A73</f>
        <v>6+16Ar+6+16Ar+6暖边氩气</v>
      </c>
      <c r="B75" s="449"/>
      <c r="C75" s="449"/>
      <c r="D75" s="449"/>
      <c r="E75" s="449">
        <f t="shared" si="12"/>
        <v>0</v>
      </c>
      <c r="F75" s="416">
        <f>F73</f>
        <v>148</v>
      </c>
      <c r="G75" s="701">
        <f t="shared" si="13"/>
        <v>0</v>
      </c>
      <c r="H75" s="713"/>
      <c r="I75" s="403" t="s">
        <v>183</v>
      </c>
      <c r="J75" s="403">
        <v>0.82</v>
      </c>
      <c r="Q75" s="373"/>
      <c r="R75" s="373"/>
    </row>
    <row r="76" spans="1:18" ht="20.100000000000001" customHeight="1">
      <c r="A76" s="417"/>
      <c r="B76" s="418" t="s">
        <v>750</v>
      </c>
      <c r="C76" s="419" t="s">
        <v>751</v>
      </c>
      <c r="D76" s="420">
        <f>E73+E74+E75</f>
        <v>0</v>
      </c>
      <c r="E76" s="418" t="s">
        <v>185</v>
      </c>
      <c r="F76" s="421">
        <f>G73+G74+G75</f>
        <v>0</v>
      </c>
      <c r="G76" s="421" t="s">
        <v>752</v>
      </c>
      <c r="H76" s="422" t="e">
        <f>F76/D76</f>
        <v>#DIV/0!</v>
      </c>
      <c r="J76" s="364">
        <v>3</v>
      </c>
      <c r="K76" s="364">
        <v>0.8</v>
      </c>
      <c r="L76" s="364">
        <v>100</v>
      </c>
      <c r="M76" s="364">
        <f>J76*K76*L76</f>
        <v>240.00000000000003</v>
      </c>
      <c r="N76" s="423" t="e">
        <f>#REF!*M76/#REF!</f>
        <v>#REF!</v>
      </c>
      <c r="O76" s="364" t="s">
        <v>753</v>
      </c>
      <c r="Q76" s="373"/>
      <c r="R76" s="373"/>
    </row>
    <row r="77" spans="1:18" ht="20.100000000000001" customHeight="1">
      <c r="A77" s="714" t="s">
        <v>754</v>
      </c>
      <c r="B77" s="715"/>
      <c r="C77" s="715"/>
      <c r="D77" s="715"/>
      <c r="E77" s="715"/>
      <c r="F77" s="715"/>
      <c r="G77" s="715"/>
      <c r="H77" s="716"/>
      <c r="Q77" s="373"/>
      <c r="R77" s="373"/>
    </row>
    <row r="78" spans="1:18" ht="20.100000000000001" customHeight="1">
      <c r="A78" s="393" t="s">
        <v>0</v>
      </c>
      <c r="B78" s="451" t="s">
        <v>139</v>
      </c>
      <c r="C78" s="717" t="s">
        <v>755</v>
      </c>
      <c r="D78" s="717"/>
      <c r="E78" s="451" t="s">
        <v>8</v>
      </c>
      <c r="F78" s="451" t="s">
        <v>269</v>
      </c>
      <c r="G78" s="451" t="s">
        <v>28</v>
      </c>
      <c r="H78" s="454" t="s">
        <v>29</v>
      </c>
      <c r="M78" s="364">
        <v>300</v>
      </c>
      <c r="N78" s="364">
        <v>35</v>
      </c>
      <c r="Q78" s="373"/>
      <c r="R78" s="373"/>
    </row>
    <row r="79" spans="1:18" ht="20.100000000000001" customHeight="1">
      <c r="A79" s="702" t="s">
        <v>275</v>
      </c>
      <c r="B79" s="449" t="s">
        <v>756</v>
      </c>
      <c r="C79" s="706" t="s">
        <v>757</v>
      </c>
      <c r="D79" s="706"/>
      <c r="E79" s="448">
        <f>E9*2+E15*2</f>
        <v>75.599999999999994</v>
      </c>
      <c r="F79" s="448" t="s">
        <v>758</v>
      </c>
      <c r="G79" s="448">
        <v>6.3244800000000003</v>
      </c>
      <c r="H79" s="450">
        <f t="shared" ref="H79:H83" si="14">E79*G79</f>
        <v>478.13068799999996</v>
      </c>
      <c r="Q79" s="373"/>
      <c r="R79" s="373"/>
    </row>
    <row r="80" spans="1:18" ht="20.100000000000001" customHeight="1">
      <c r="A80" s="703"/>
      <c r="B80" s="449" t="s">
        <v>759</v>
      </c>
      <c r="C80" s="706" t="s">
        <v>760</v>
      </c>
      <c r="D80" s="706"/>
      <c r="E80" s="448">
        <f>(C3+D3*2)/1000+(E119+0.032*2*D119)</f>
        <v>19.711500000000001</v>
      </c>
      <c r="F80" s="448" t="s">
        <v>758</v>
      </c>
      <c r="G80" s="448">
        <v>5.0796720000000004</v>
      </c>
      <c r="H80" s="450">
        <f t="shared" si="14"/>
        <v>100.12795462800001</v>
      </c>
      <c r="Q80" s="373"/>
      <c r="R80" s="373"/>
    </row>
    <row r="81" spans="1:18" ht="20.100000000000001" customHeight="1">
      <c r="A81" s="703"/>
      <c r="B81" s="449" t="s">
        <v>761</v>
      </c>
      <c r="C81" s="706" t="s">
        <v>762</v>
      </c>
      <c r="D81" s="706"/>
      <c r="E81" s="448">
        <f>((C6-58+16)*D6+(E6-58+16)*F6+(C7-58+16)*D7+(E7-58+16)*F7+(C8-58+16)*D8+(E8-58+16)*F8)/1000</f>
        <v>23.832000000000001</v>
      </c>
      <c r="F81" s="448" t="s">
        <v>758</v>
      </c>
      <c r="G81" s="448">
        <v>72.054360000000003</v>
      </c>
      <c r="H81" s="450">
        <f t="shared" si="14"/>
        <v>1717.1995075200002</v>
      </c>
      <c r="Q81" s="373"/>
      <c r="R81" s="373"/>
    </row>
    <row r="82" spans="1:18" ht="20.100000000000001" customHeight="1">
      <c r="A82" s="703"/>
      <c r="B82" s="449" t="s">
        <v>763</v>
      </c>
      <c r="C82" s="706" t="s">
        <v>764</v>
      </c>
      <c r="D82" s="706"/>
      <c r="E82" s="448">
        <f>(E15-E83)+32*F15/1000</f>
        <v>11.692</v>
      </c>
      <c r="F82" s="448" t="s">
        <v>758</v>
      </c>
      <c r="G82" s="448">
        <v>71.542439999999999</v>
      </c>
      <c r="H82" s="450">
        <f t="shared" si="14"/>
        <v>836.47420848000002</v>
      </c>
      <c r="R82" s="373"/>
    </row>
    <row r="83" spans="1:18" ht="20.100000000000001" customHeight="1">
      <c r="A83" s="704"/>
      <c r="B83" s="449" t="s">
        <v>765</v>
      </c>
      <c r="C83" s="706" t="s">
        <v>766</v>
      </c>
      <c r="D83" s="706"/>
      <c r="E83" s="448">
        <f>C3/1000</f>
        <v>2.2999999999999998</v>
      </c>
      <c r="F83" s="448" t="s">
        <v>758</v>
      </c>
      <c r="G83" s="448">
        <v>84.492720000000006</v>
      </c>
      <c r="H83" s="450">
        <f t="shared" si="14"/>
        <v>194.33325600000001</v>
      </c>
      <c r="R83" s="373"/>
    </row>
    <row r="84" spans="1:18" ht="20.100000000000001" customHeight="1">
      <c r="A84" s="694" t="s">
        <v>227</v>
      </c>
      <c r="B84" s="695"/>
      <c r="C84" s="695"/>
      <c r="D84" s="695"/>
      <c r="E84" s="424">
        <f>SUM(E79:E83)</f>
        <v>133.13550000000001</v>
      </c>
      <c r="F84" s="424"/>
      <c r="G84" s="424">
        <f>H84/E84</f>
        <v>24.984062212017079</v>
      </c>
      <c r="H84" s="389">
        <f>SUM(H79:H83)</f>
        <v>3326.2656146280001</v>
      </c>
      <c r="R84" s="373"/>
    </row>
    <row r="85" spans="1:18" ht="20.100000000000001" customHeight="1">
      <c r="A85" s="702" t="s">
        <v>767</v>
      </c>
      <c r="B85" s="449" t="s">
        <v>753</v>
      </c>
      <c r="C85" s="706" t="s">
        <v>768</v>
      </c>
      <c r="D85" s="706"/>
      <c r="E85" s="448">
        <f>(C3+D3)*2/1000</f>
        <v>16.600000000000001</v>
      </c>
      <c r="F85" s="448" t="s">
        <v>758</v>
      </c>
      <c r="G85" s="448">
        <v>25</v>
      </c>
      <c r="H85" s="450">
        <f>G85*E85</f>
        <v>415.00000000000006</v>
      </c>
      <c r="J85" s="364">
        <v>2</v>
      </c>
      <c r="K85" s="364">
        <v>0.6</v>
      </c>
      <c r="L85" s="364">
        <v>100</v>
      </c>
      <c r="M85" s="364">
        <f>J85*K85*L85</f>
        <v>120</v>
      </c>
      <c r="N85" s="364">
        <f>N78*M85/M78</f>
        <v>14</v>
      </c>
      <c r="O85" s="364" t="s">
        <v>753</v>
      </c>
      <c r="Q85" s="373"/>
      <c r="R85" s="373"/>
    </row>
    <row r="86" spans="1:18" ht="20.100000000000001" customHeight="1">
      <c r="A86" s="703"/>
      <c r="B86" s="449" t="s">
        <v>769</v>
      </c>
      <c r="C86" s="706" t="s">
        <v>770</v>
      </c>
      <c r="D86" s="706"/>
      <c r="E86" s="448">
        <f>(C3+D3)*2/1000</f>
        <v>16.600000000000001</v>
      </c>
      <c r="F86" s="448" t="s">
        <v>758</v>
      </c>
      <c r="G86" s="448">
        <f>[33]价格表!B17</f>
        <v>10</v>
      </c>
      <c r="H86" s="450">
        <f t="shared" ref="H86:H89" si="15">G86*E86</f>
        <v>166</v>
      </c>
      <c r="Q86" s="373"/>
      <c r="R86" s="373"/>
    </row>
    <row r="87" spans="1:18" ht="18.95" customHeight="1">
      <c r="A87" s="703"/>
      <c r="B87" s="449" t="s">
        <v>221</v>
      </c>
      <c r="C87" s="706" t="s">
        <v>771</v>
      </c>
      <c r="D87" s="706"/>
      <c r="E87" s="448">
        <f>E86</f>
        <v>16.600000000000001</v>
      </c>
      <c r="F87" s="448" t="s">
        <v>758</v>
      </c>
      <c r="G87" s="448">
        <f>[33]价格表!B18</f>
        <v>0</v>
      </c>
      <c r="H87" s="450">
        <f t="shared" si="15"/>
        <v>0</v>
      </c>
      <c r="J87" s="364">
        <v>0.6</v>
      </c>
      <c r="K87" s="364">
        <v>2.5</v>
      </c>
      <c r="L87" s="364">
        <v>100</v>
      </c>
      <c r="M87" s="364">
        <f>L87*K87*J87</f>
        <v>150</v>
      </c>
      <c r="N87" s="364" t="e">
        <f>#REF!*M87/#REF!</f>
        <v>#REF!</v>
      </c>
      <c r="O87" s="364" t="s">
        <v>641</v>
      </c>
      <c r="Q87" s="373"/>
      <c r="R87" s="373"/>
    </row>
    <row r="88" spans="1:18" ht="20.100000000000001" customHeight="1">
      <c r="A88" s="703"/>
      <c r="B88" s="449" t="s">
        <v>772</v>
      </c>
      <c r="C88" s="701"/>
      <c r="D88" s="701"/>
      <c r="E88" s="448">
        <f>(C3+D3)*2/1000</f>
        <v>16.600000000000001</v>
      </c>
      <c r="F88" s="448" t="s">
        <v>758</v>
      </c>
      <c r="G88" s="448">
        <f>G86</f>
        <v>10</v>
      </c>
      <c r="H88" s="450">
        <f t="shared" si="15"/>
        <v>166</v>
      </c>
      <c r="Q88" s="373"/>
      <c r="R88" s="373"/>
    </row>
    <row r="89" spans="1:18" ht="20.100000000000001" customHeight="1">
      <c r="A89" s="704"/>
      <c r="B89" s="449"/>
      <c r="C89" s="701"/>
      <c r="D89" s="701"/>
      <c r="E89" s="448"/>
      <c r="F89" s="448" t="s">
        <v>758</v>
      </c>
      <c r="G89" s="448">
        <v>2</v>
      </c>
      <c r="H89" s="450">
        <f t="shared" si="15"/>
        <v>0</v>
      </c>
      <c r="Q89" s="373"/>
      <c r="R89" s="373"/>
    </row>
    <row r="90" spans="1:18" ht="20.100000000000001" customHeight="1">
      <c r="A90" s="694" t="s">
        <v>227</v>
      </c>
      <c r="B90" s="695"/>
      <c r="C90" s="695"/>
      <c r="D90" s="695"/>
      <c r="E90" s="424"/>
      <c r="F90" s="424"/>
      <c r="G90" s="424"/>
      <c r="H90" s="389">
        <f>SUM(H85:H89)</f>
        <v>747</v>
      </c>
      <c r="Q90" s="373"/>
      <c r="R90" s="373"/>
    </row>
    <row r="91" spans="1:18" ht="20.100000000000001" customHeight="1">
      <c r="A91" s="705" t="s">
        <v>773</v>
      </c>
      <c r="B91" s="449" t="s">
        <v>774</v>
      </c>
      <c r="C91" s="706" t="s">
        <v>775</v>
      </c>
      <c r="D91" s="706"/>
      <c r="E91" s="425">
        <v>12</v>
      </c>
      <c r="F91" s="448" t="s">
        <v>274</v>
      </c>
      <c r="G91" s="448">
        <v>25</v>
      </c>
      <c r="H91" s="450">
        <f>G91*E91</f>
        <v>300</v>
      </c>
      <c r="M91" s="364">
        <v>300</v>
      </c>
      <c r="N91" s="364">
        <v>16</v>
      </c>
      <c r="Q91" s="373"/>
      <c r="R91" s="373"/>
    </row>
    <row r="92" spans="1:18" ht="20.100000000000001" customHeight="1">
      <c r="A92" s="705"/>
      <c r="B92" s="449" t="s">
        <v>776</v>
      </c>
      <c r="C92" s="706" t="s">
        <v>777</v>
      </c>
      <c r="D92" s="706"/>
      <c r="E92" s="448">
        <f>E91*2</f>
        <v>24</v>
      </c>
      <c r="F92" s="448" t="s">
        <v>274</v>
      </c>
      <c r="G92" s="448">
        <v>12</v>
      </c>
      <c r="H92" s="450">
        <f t="shared" ref="H92:H96" si="16">G92*E92</f>
        <v>288</v>
      </c>
      <c r="J92" s="364">
        <v>0.6</v>
      </c>
      <c r="K92" s="364">
        <v>2</v>
      </c>
      <c r="L92" s="364">
        <v>100</v>
      </c>
      <c r="M92" s="364">
        <f>L92*K92*J92</f>
        <v>120</v>
      </c>
      <c r="N92" s="364">
        <f>N91*M92/M91</f>
        <v>6.4</v>
      </c>
      <c r="O92" s="364" t="s">
        <v>283</v>
      </c>
      <c r="Q92" s="373"/>
      <c r="R92" s="373"/>
    </row>
    <row r="93" spans="1:18" ht="20.100000000000001" customHeight="1">
      <c r="A93" s="705"/>
      <c r="B93" s="449" t="s">
        <v>778</v>
      </c>
      <c r="C93" s="701" t="s">
        <v>779</v>
      </c>
      <c r="D93" s="701"/>
      <c r="E93" s="448">
        <f>E91*2</f>
        <v>24</v>
      </c>
      <c r="F93" s="448" t="s">
        <v>274</v>
      </c>
      <c r="G93" s="448">
        <v>10</v>
      </c>
      <c r="H93" s="450">
        <f t="shared" si="16"/>
        <v>240</v>
      </c>
      <c r="Q93" s="373"/>
      <c r="R93" s="373"/>
    </row>
    <row r="94" spans="1:18" ht="20.100000000000001" customHeight="1">
      <c r="A94" s="705"/>
      <c r="B94" s="449" t="s">
        <v>780</v>
      </c>
      <c r="C94" s="701"/>
      <c r="D94" s="701"/>
      <c r="E94" s="448">
        <f>E93</f>
        <v>24</v>
      </c>
      <c r="F94" s="448" t="s">
        <v>274</v>
      </c>
      <c r="G94" s="448">
        <v>3</v>
      </c>
      <c r="H94" s="450">
        <f t="shared" si="16"/>
        <v>72</v>
      </c>
      <c r="Q94" s="373"/>
      <c r="R94" s="373"/>
    </row>
    <row r="95" spans="1:18" ht="20.100000000000001" customHeight="1">
      <c r="A95" s="705"/>
      <c r="B95" s="449" t="s">
        <v>781</v>
      </c>
      <c r="C95" s="701" t="s">
        <v>782</v>
      </c>
      <c r="D95" s="701"/>
      <c r="E95" s="448">
        <f>E92</f>
        <v>24</v>
      </c>
      <c r="F95" s="448" t="s">
        <v>274</v>
      </c>
      <c r="G95" s="448">
        <v>2.5</v>
      </c>
      <c r="H95" s="450">
        <f t="shared" si="16"/>
        <v>60</v>
      </c>
      <c r="O95" s="364" t="s">
        <v>783</v>
      </c>
      <c r="Q95" s="373"/>
      <c r="R95" s="373"/>
    </row>
    <row r="96" spans="1:18" ht="20.100000000000001" customHeight="1">
      <c r="A96" s="705"/>
      <c r="B96" s="449" t="s">
        <v>784</v>
      </c>
      <c r="C96" s="701" t="s">
        <v>785</v>
      </c>
      <c r="D96" s="701"/>
      <c r="E96" s="426">
        <f>20*14</f>
        <v>280</v>
      </c>
      <c r="F96" s="448" t="s">
        <v>274</v>
      </c>
      <c r="G96" s="448">
        <v>2.5</v>
      </c>
      <c r="H96" s="450">
        <f t="shared" si="16"/>
        <v>700</v>
      </c>
      <c r="Q96" s="373"/>
      <c r="R96" s="373"/>
    </row>
    <row r="97" spans="1:18" ht="20.100000000000001" customHeight="1">
      <c r="A97" s="694" t="s">
        <v>786</v>
      </c>
      <c r="B97" s="695"/>
      <c r="C97" s="695"/>
      <c r="D97" s="695"/>
      <c r="E97" s="424"/>
      <c r="F97" s="424"/>
      <c r="G97" s="424">
        <f>H97/E91</f>
        <v>138.33333333333334</v>
      </c>
      <c r="H97" s="389">
        <f>SUM(H91:H96)</f>
        <v>1660</v>
      </c>
      <c r="Q97" s="373"/>
      <c r="R97" s="373"/>
    </row>
    <row r="98" spans="1:18" ht="20.100000000000001" customHeight="1">
      <c r="A98" s="705" t="s">
        <v>272</v>
      </c>
      <c r="B98" s="449" t="s">
        <v>787</v>
      </c>
      <c r="C98" s="701" t="s">
        <v>788</v>
      </c>
      <c r="D98" s="701"/>
      <c r="E98" s="448"/>
      <c r="F98" s="448" t="s">
        <v>789</v>
      </c>
      <c r="G98" s="448">
        <f>[32]价格表!B16</f>
        <v>250</v>
      </c>
      <c r="H98" s="450">
        <f>E98*G98</f>
        <v>0</v>
      </c>
      <c r="Q98" s="373"/>
      <c r="R98" s="373"/>
    </row>
    <row r="99" spans="1:18" ht="20.100000000000001" customHeight="1">
      <c r="A99" s="705"/>
      <c r="B99" s="449" t="s">
        <v>790</v>
      </c>
      <c r="C99" s="707" t="str">
        <f>C98</f>
        <v>诺托</v>
      </c>
      <c r="D99" s="708"/>
      <c r="E99" s="448"/>
      <c r="F99" s="448" t="s">
        <v>789</v>
      </c>
      <c r="G99" s="448"/>
      <c r="H99" s="450">
        <f t="shared" ref="H99:H109" si="17">E99*G99</f>
        <v>0</v>
      </c>
      <c r="Q99" s="373"/>
      <c r="R99" s="373"/>
    </row>
    <row r="100" spans="1:18" ht="20.100000000000001" customHeight="1">
      <c r="A100" s="705"/>
      <c r="B100" s="449" t="s">
        <v>791</v>
      </c>
      <c r="C100" s="701" t="s">
        <v>788</v>
      </c>
      <c r="D100" s="701"/>
      <c r="E100" s="448"/>
      <c r="F100" s="448" t="s">
        <v>789</v>
      </c>
      <c r="G100" s="448"/>
      <c r="H100" s="450">
        <f t="shared" si="17"/>
        <v>0</v>
      </c>
      <c r="Q100" s="373"/>
      <c r="R100" s="373"/>
    </row>
    <row r="101" spans="1:18" ht="20.100000000000001" customHeight="1">
      <c r="A101" s="694" t="s">
        <v>792</v>
      </c>
      <c r="B101" s="695"/>
      <c r="C101" s="695"/>
      <c r="D101" s="695"/>
      <c r="E101" s="424"/>
      <c r="F101" s="424"/>
      <c r="G101" s="424"/>
      <c r="H101" s="389">
        <f>SUM(H98:H100)</f>
        <v>0</v>
      </c>
      <c r="Q101" s="373"/>
      <c r="R101" s="373"/>
    </row>
    <row r="102" spans="1:18" ht="20.100000000000001" customHeight="1">
      <c r="A102" s="705" t="s">
        <v>793</v>
      </c>
      <c r="B102" s="449" t="s">
        <v>794</v>
      </c>
      <c r="C102" s="706" t="s">
        <v>795</v>
      </c>
      <c r="D102" s="706"/>
      <c r="E102" s="448">
        <f>E86</f>
        <v>16.600000000000001</v>
      </c>
      <c r="F102" s="448" t="s">
        <v>758</v>
      </c>
      <c r="G102" s="448">
        <v>0.1</v>
      </c>
      <c r="H102" s="450">
        <f t="shared" si="17"/>
        <v>1.6600000000000001</v>
      </c>
      <c r="Q102" s="373"/>
      <c r="R102" s="373"/>
    </row>
    <row r="103" spans="1:18" ht="20.100000000000001" customHeight="1">
      <c r="A103" s="705"/>
      <c r="B103" s="449" t="s">
        <v>796</v>
      </c>
      <c r="C103" s="706" t="s">
        <v>797</v>
      </c>
      <c r="D103" s="706"/>
      <c r="E103" s="448">
        <f>E9+E15</f>
        <v>37.799999999999997</v>
      </c>
      <c r="F103" s="448" t="s">
        <v>758</v>
      </c>
      <c r="G103" s="448">
        <v>0.5</v>
      </c>
      <c r="H103" s="450">
        <f t="shared" si="17"/>
        <v>18.899999999999999</v>
      </c>
      <c r="J103" s="364">
        <v>0.6</v>
      </c>
      <c r="K103" s="364">
        <v>2</v>
      </c>
      <c r="L103" s="364">
        <v>100</v>
      </c>
      <c r="M103" s="364">
        <f>L103*K103*J103</f>
        <v>120</v>
      </c>
      <c r="N103" s="364" t="e">
        <f>#REF!*M103/#REF!</f>
        <v>#REF!</v>
      </c>
      <c r="O103" s="364" t="s">
        <v>798</v>
      </c>
      <c r="Q103" s="373"/>
      <c r="R103" s="373"/>
    </row>
    <row r="104" spans="1:18" ht="20.100000000000001" customHeight="1">
      <c r="A104" s="705"/>
      <c r="B104" s="449" t="s">
        <v>246</v>
      </c>
      <c r="C104" s="706" t="s">
        <v>799</v>
      </c>
      <c r="D104" s="706"/>
      <c r="E104" s="416">
        <f>ROUND((E3*30),0)</f>
        <v>557</v>
      </c>
      <c r="F104" s="448" t="s">
        <v>274</v>
      </c>
      <c r="G104" s="448">
        <v>0.1</v>
      </c>
      <c r="H104" s="450">
        <f t="shared" si="17"/>
        <v>55.7</v>
      </c>
      <c r="Q104" s="373"/>
      <c r="R104" s="373"/>
    </row>
    <row r="105" spans="1:18" ht="20.100000000000001" customHeight="1">
      <c r="A105" s="705"/>
      <c r="B105" s="449" t="s">
        <v>800</v>
      </c>
      <c r="C105" s="701"/>
      <c r="D105" s="701"/>
      <c r="E105" s="448">
        <f>E91*10</f>
        <v>120</v>
      </c>
      <c r="F105" s="448" t="s">
        <v>801</v>
      </c>
      <c r="G105" s="448">
        <v>0.25</v>
      </c>
      <c r="H105" s="450">
        <f t="shared" si="17"/>
        <v>30</v>
      </c>
      <c r="J105" s="364">
        <v>0.3</v>
      </c>
      <c r="K105" s="364">
        <v>0.25</v>
      </c>
      <c r="L105" s="364">
        <v>1.2E-2</v>
      </c>
      <c r="M105" s="364">
        <v>6.5</v>
      </c>
      <c r="N105" s="364">
        <v>7800</v>
      </c>
      <c r="O105" s="364">
        <f>J105*K105*L105*M105*N105</f>
        <v>45.63</v>
      </c>
      <c r="Q105" s="373"/>
      <c r="R105" s="373"/>
    </row>
    <row r="106" spans="1:18" ht="20.100000000000001" customHeight="1">
      <c r="A106" s="705"/>
      <c r="B106" s="449" t="s">
        <v>802</v>
      </c>
      <c r="C106" s="707" t="s">
        <v>803</v>
      </c>
      <c r="D106" s="708"/>
      <c r="E106" s="448">
        <f>ROUND(R1*2*1.05,0)</f>
        <v>32</v>
      </c>
      <c r="F106" s="448" t="s">
        <v>274</v>
      </c>
      <c r="G106" s="448">
        <v>19.5</v>
      </c>
      <c r="H106" s="450">
        <f t="shared" si="17"/>
        <v>624</v>
      </c>
      <c r="Q106" s="373"/>
      <c r="R106" s="373"/>
    </row>
    <row r="107" spans="1:18" ht="20.100000000000001" customHeight="1">
      <c r="A107" s="705"/>
      <c r="B107" s="449" t="s">
        <v>804</v>
      </c>
      <c r="C107" s="709" t="s">
        <v>805</v>
      </c>
      <c r="D107" s="710"/>
      <c r="E107" s="448">
        <f>(C3*2+D3*2+40*4+100)/1000</f>
        <v>16.86</v>
      </c>
      <c r="F107" s="448" t="s">
        <v>758</v>
      </c>
      <c r="G107" s="448">
        <f>339/25</f>
        <v>13.56</v>
      </c>
      <c r="H107" s="450"/>
      <c r="Q107" s="373"/>
      <c r="R107" s="373"/>
    </row>
    <row r="108" spans="1:18" ht="20.100000000000001" customHeight="1">
      <c r="A108" s="705"/>
      <c r="B108" s="449" t="s">
        <v>806</v>
      </c>
      <c r="C108" s="711" t="s">
        <v>807</v>
      </c>
      <c r="D108" s="712"/>
      <c r="E108" s="448">
        <f>(C3*2+D3*2+400*3)/1000</f>
        <v>17.8</v>
      </c>
      <c r="F108" s="448" t="s">
        <v>758</v>
      </c>
      <c r="G108" s="448">
        <v>20.07</v>
      </c>
      <c r="H108" s="450"/>
      <c r="Q108" s="373"/>
      <c r="R108" s="373"/>
    </row>
    <row r="109" spans="1:18" ht="20.100000000000001" customHeight="1">
      <c r="A109" s="705"/>
      <c r="B109" s="449" t="s">
        <v>640</v>
      </c>
      <c r="C109" s="701"/>
      <c r="D109" s="701"/>
      <c r="E109" s="448">
        <f>G3</f>
        <v>18.579999999999998</v>
      </c>
      <c r="F109" s="448" t="s">
        <v>6</v>
      </c>
      <c r="G109" s="426">
        <v>20</v>
      </c>
      <c r="H109" s="450">
        <f t="shared" si="17"/>
        <v>371.59999999999997</v>
      </c>
      <c r="Q109" s="373"/>
      <c r="R109" s="373"/>
    </row>
    <row r="110" spans="1:18" ht="20.100000000000001" customHeight="1">
      <c r="A110" s="694" t="s">
        <v>215</v>
      </c>
      <c r="B110" s="695"/>
      <c r="C110" s="695"/>
      <c r="D110" s="695"/>
      <c r="E110" s="424"/>
      <c r="F110" s="424"/>
      <c r="G110" s="424"/>
      <c r="H110" s="389">
        <f>SUM(H102:H109)</f>
        <v>1101.8599999999999</v>
      </c>
      <c r="Q110" s="373"/>
      <c r="R110" s="373"/>
    </row>
    <row r="111" spans="1:18" ht="20.100000000000001" customHeight="1">
      <c r="A111" s="702" t="s">
        <v>808</v>
      </c>
      <c r="B111" s="449" t="s">
        <v>809</v>
      </c>
      <c r="C111" s="448" t="s">
        <v>2</v>
      </c>
      <c r="D111" s="448" t="s">
        <v>8</v>
      </c>
      <c r="E111" s="426" t="s">
        <v>712</v>
      </c>
      <c r="F111" s="448" t="s">
        <v>810</v>
      </c>
      <c r="G111" s="448" t="s">
        <v>28</v>
      </c>
      <c r="H111" s="450" t="s">
        <v>29</v>
      </c>
      <c r="Q111" s="373"/>
      <c r="R111" s="373"/>
    </row>
    <row r="112" spans="1:18" ht="20.100000000000001" customHeight="1">
      <c r="A112" s="703"/>
      <c r="B112" s="414">
        <f>C3</f>
        <v>2300</v>
      </c>
      <c r="C112" s="414">
        <v>2325</v>
      </c>
      <c r="D112" s="414">
        <v>1</v>
      </c>
      <c r="E112" s="426">
        <f>B112*C112*D112/1000000</f>
        <v>5.3475000000000001</v>
      </c>
      <c r="F112" s="448">
        <f>B112*C112/1000000*D112</f>
        <v>5.3475000000000001</v>
      </c>
      <c r="G112" s="448">
        <f>'套门 (2)'!B371</f>
        <v>900.83</v>
      </c>
      <c r="H112" s="450">
        <f>G112*E112</f>
        <v>4817.1884250000003</v>
      </c>
      <c r="Q112" s="156" t="s">
        <v>356</v>
      </c>
      <c r="R112" s="373"/>
    </row>
    <row r="113" spans="1:35" ht="20.100000000000001" customHeight="1">
      <c r="A113" s="703"/>
      <c r="B113" s="414"/>
      <c r="C113" s="414"/>
      <c r="D113" s="414"/>
      <c r="E113" s="426">
        <f t="shared" ref="E113:E114" si="18">B113*C113*D113/1000000</f>
        <v>0</v>
      </c>
      <c r="F113" s="448">
        <f>B113*C113/1000000*D113</f>
        <v>0</v>
      </c>
      <c r="G113" s="448"/>
      <c r="H113" s="450">
        <f t="shared" ref="H113:H115" si="19">G113*E113</f>
        <v>0</v>
      </c>
      <c r="Q113" s="156" t="s">
        <v>356</v>
      </c>
      <c r="R113" s="373"/>
    </row>
    <row r="114" spans="1:35" ht="20.100000000000001" customHeight="1">
      <c r="A114" s="703"/>
      <c r="B114" s="414"/>
      <c r="C114" s="414"/>
      <c r="D114" s="414"/>
      <c r="E114" s="426">
        <f t="shared" si="18"/>
        <v>0</v>
      </c>
      <c r="F114" s="448">
        <f>B114*C114/1000000*D114</f>
        <v>0</v>
      </c>
      <c r="G114" s="448"/>
      <c r="H114" s="450">
        <f t="shared" si="19"/>
        <v>0</v>
      </c>
      <c r="Q114" s="156" t="s">
        <v>347</v>
      </c>
      <c r="R114" s="373"/>
    </row>
    <row r="115" spans="1:35" ht="20.100000000000001" customHeight="1">
      <c r="A115" s="703"/>
      <c r="B115" s="414"/>
      <c r="C115" s="414"/>
      <c r="D115" s="414"/>
      <c r="E115" s="426"/>
      <c r="F115" s="448">
        <f>B115*C115/1000000*D115</f>
        <v>0</v>
      </c>
      <c r="G115" s="448"/>
      <c r="H115" s="450">
        <f t="shared" si="19"/>
        <v>0</v>
      </c>
      <c r="Q115" s="156" t="s">
        <v>347</v>
      </c>
      <c r="R115" s="373"/>
    </row>
    <row r="116" spans="1:35" ht="20.100000000000001" customHeight="1">
      <c r="A116" s="703"/>
      <c r="B116" s="414"/>
      <c r="C116" s="414"/>
      <c r="D116" s="414"/>
      <c r="E116" s="426"/>
      <c r="F116" s="448"/>
      <c r="G116" s="448"/>
      <c r="H116" s="450">
        <f>G116*E116</f>
        <v>0</v>
      </c>
      <c r="Q116" s="156" t="s">
        <v>811</v>
      </c>
      <c r="R116" s="373"/>
    </row>
    <row r="117" spans="1:35" ht="20.100000000000001" customHeight="1">
      <c r="A117" s="703"/>
      <c r="B117" s="414"/>
      <c r="C117" s="414"/>
      <c r="D117" s="414"/>
      <c r="E117" s="426"/>
      <c r="F117" s="448"/>
      <c r="G117" s="448"/>
      <c r="H117" s="450">
        <f>G117*E117</f>
        <v>0</v>
      </c>
      <c r="Q117" s="156" t="s">
        <v>812</v>
      </c>
      <c r="R117" s="373"/>
    </row>
    <row r="118" spans="1:35" ht="20.100000000000001" customHeight="1">
      <c r="A118" s="704"/>
      <c r="B118" s="414"/>
      <c r="C118" s="414"/>
      <c r="D118" s="414"/>
      <c r="E118" s="426">
        <f>C55*E55*(D55/2)/1000000</f>
        <v>0</v>
      </c>
      <c r="F118" s="448"/>
      <c r="G118" s="448"/>
      <c r="H118" s="450">
        <f>G118*E118</f>
        <v>0</v>
      </c>
      <c r="Q118" s="427" t="s">
        <v>813</v>
      </c>
      <c r="R118" s="373"/>
    </row>
    <row r="119" spans="1:35" ht="20.100000000000001" customHeight="1">
      <c r="A119" s="446"/>
      <c r="B119" s="447"/>
      <c r="C119" s="447"/>
      <c r="D119" s="447">
        <f>SUM(D112:D115)</f>
        <v>1</v>
      </c>
      <c r="E119" s="424">
        <f>SUM(E112:E115)</f>
        <v>5.3475000000000001</v>
      </c>
      <c r="F119" s="424">
        <f>SUM(F112:F115)</f>
        <v>5.3475000000000001</v>
      </c>
      <c r="G119" s="424"/>
      <c r="H119" s="389">
        <f>SUM(H112:O118)</f>
        <v>4817.1884250000003</v>
      </c>
      <c r="R119" s="373"/>
    </row>
    <row r="120" spans="1:35" ht="20.100000000000001" customHeight="1">
      <c r="A120" s="705" t="s">
        <v>814</v>
      </c>
      <c r="B120" s="449" t="s">
        <v>815</v>
      </c>
      <c r="C120" s="701"/>
      <c r="D120" s="701"/>
      <c r="E120" s="426">
        <f>ROUND((C3*2/1000*0.3),2)</f>
        <v>1.38</v>
      </c>
      <c r="F120" s="448" t="s">
        <v>816</v>
      </c>
      <c r="G120" s="448">
        <v>50</v>
      </c>
      <c r="H120" s="450">
        <f>G120*E120</f>
        <v>69</v>
      </c>
      <c r="Q120" s="373"/>
      <c r="R120" s="373"/>
    </row>
    <row r="121" spans="1:35" ht="20.100000000000001" customHeight="1">
      <c r="A121" s="705"/>
      <c r="B121" s="449" t="s">
        <v>817</v>
      </c>
      <c r="C121" s="448">
        <f>E9</f>
        <v>24</v>
      </c>
      <c r="D121" s="448"/>
      <c r="E121" s="426"/>
      <c r="F121" s="448"/>
      <c r="G121" s="448">
        <f>650/6</f>
        <v>108.33333333333333</v>
      </c>
      <c r="H121" s="450"/>
      <c r="Q121" s="373"/>
      <c r="R121" s="373"/>
    </row>
    <row r="122" spans="1:35" ht="20.100000000000001" customHeight="1">
      <c r="A122" s="705"/>
      <c r="B122" s="449" t="s">
        <v>857</v>
      </c>
      <c r="C122" s="448"/>
      <c r="D122" s="448"/>
      <c r="E122" s="426">
        <v>1</v>
      </c>
      <c r="F122" s="448"/>
      <c r="G122" s="448">
        <f>'C0410'!G358</f>
        <v>70</v>
      </c>
      <c r="H122" s="450">
        <f>G122*E122</f>
        <v>70</v>
      </c>
      <c r="Q122" s="373"/>
      <c r="R122" s="373"/>
    </row>
    <row r="123" spans="1:35" ht="20.100000000000001" customHeight="1">
      <c r="A123" s="705"/>
      <c r="B123" s="449" t="s">
        <v>818</v>
      </c>
      <c r="C123" s="701"/>
      <c r="D123" s="701"/>
      <c r="E123" s="426">
        <f>ROUND((C3*0.83*0.1/1000),2)</f>
        <v>0.19</v>
      </c>
      <c r="F123" s="448" t="s">
        <v>819</v>
      </c>
      <c r="G123" s="448">
        <v>50</v>
      </c>
      <c r="H123" s="450"/>
      <c r="Q123" s="373"/>
      <c r="R123" s="373"/>
    </row>
    <row r="124" spans="1:35" ht="20.100000000000001" customHeight="1">
      <c r="A124" s="694" t="s">
        <v>820</v>
      </c>
      <c r="B124" s="695"/>
      <c r="C124" s="695"/>
      <c r="D124" s="695"/>
      <c r="E124" s="424"/>
      <c r="F124" s="424"/>
      <c r="G124" s="424"/>
      <c r="H124" s="389">
        <f>SUM(H120:H123)</f>
        <v>139</v>
      </c>
      <c r="Q124" s="373"/>
      <c r="R124" s="373"/>
    </row>
    <row r="125" spans="1:35" ht="20.100000000000001" customHeight="1">
      <c r="A125" s="696" t="s">
        <v>821</v>
      </c>
      <c r="B125" s="697"/>
      <c r="C125" s="697"/>
      <c r="D125" s="697"/>
      <c r="E125" s="697"/>
      <c r="F125" s="697"/>
      <c r="G125" s="698"/>
      <c r="H125" s="429">
        <f>H90+H97+H101+H110+H124+H84+H119</f>
        <v>11791.314039628</v>
      </c>
      <c r="Q125" s="373"/>
      <c r="R125" s="373"/>
    </row>
    <row r="126" spans="1:35" ht="20.100000000000001" customHeight="1" thickBot="1">
      <c r="A126" s="699" t="s">
        <v>822</v>
      </c>
      <c r="B126" s="700"/>
      <c r="C126" s="430">
        <f>H64+H70+F76+H125+H66+H65</f>
        <v>22001.574039628002</v>
      </c>
      <c r="D126" s="430" t="s">
        <v>823</v>
      </c>
      <c r="E126" s="431">
        <f>E3</f>
        <v>18.579999999999998</v>
      </c>
      <c r="F126" s="431" t="s">
        <v>258</v>
      </c>
      <c r="G126" s="431">
        <f>ROUND((C126/E126),2)</f>
        <v>1184.1500000000001</v>
      </c>
      <c r="H126" s="432" t="e">
        <f>#REF!</f>
        <v>#REF!</v>
      </c>
      <c r="M126" s="433"/>
      <c r="N126" s="433"/>
      <c r="O126" s="433"/>
      <c r="Q126" s="373"/>
      <c r="R126" s="373"/>
      <c r="AB126" s="631" t="s">
        <v>603</v>
      </c>
      <c r="AC126" s="631"/>
      <c r="AD126" s="631"/>
      <c r="AE126" s="631"/>
      <c r="AF126" s="631"/>
      <c r="AG126" s="631"/>
      <c r="AH126" s="631"/>
      <c r="AI126" s="631"/>
    </row>
    <row r="127" spans="1:35" ht="20.100000000000001" customHeight="1" thickTop="1">
      <c r="AB127" s="634" t="s">
        <v>604</v>
      </c>
      <c r="AC127" s="634"/>
      <c r="AD127" s="634"/>
      <c r="AE127" s="634"/>
      <c r="AF127" s="634"/>
      <c r="AG127" s="634"/>
      <c r="AH127" s="634"/>
      <c r="AI127" s="634"/>
    </row>
    <row r="128" spans="1:35" ht="20.100000000000001" customHeight="1">
      <c r="E128" s="435"/>
      <c r="F128" s="435"/>
      <c r="AB128" s="285" t="s">
        <v>279</v>
      </c>
      <c r="AC128" s="624" t="s">
        <v>956</v>
      </c>
      <c r="AD128" s="625"/>
      <c r="AE128" s="312" t="str">
        <f ca="1">B3</f>
        <v>MLC2360</v>
      </c>
      <c r="AF128" s="312"/>
      <c r="AG128" s="313"/>
      <c r="AH128" s="287" t="s">
        <v>605</v>
      </c>
      <c r="AI128" s="288"/>
    </row>
    <row r="129" spans="2:35" ht="36" customHeight="1">
      <c r="B129" s="693"/>
      <c r="C129" s="693"/>
      <c r="E129" s="435"/>
      <c r="F129" s="435"/>
      <c r="AB129" s="635" t="s">
        <v>606</v>
      </c>
      <c r="AC129" s="623" t="s">
        <v>626</v>
      </c>
      <c r="AD129" s="623"/>
      <c r="AE129" s="623"/>
      <c r="AF129" s="623"/>
      <c r="AG129" s="637"/>
      <c r="AH129" s="291" t="s">
        <v>607</v>
      </c>
      <c r="AI129" s="292" t="s">
        <v>313</v>
      </c>
    </row>
    <row r="130" spans="2:35" ht="36" customHeight="1">
      <c r="G130" s="435"/>
      <c r="AB130" s="636"/>
      <c r="AC130" s="638"/>
      <c r="AD130" s="638"/>
      <c r="AE130" s="638"/>
      <c r="AF130" s="638"/>
      <c r="AG130" s="638"/>
      <c r="AH130" s="291" t="s">
        <v>268</v>
      </c>
      <c r="AI130" s="293">
        <f>G3</f>
        <v>18.579999999999998</v>
      </c>
    </row>
    <row r="131" spans="2:35" ht="20.100000000000001" customHeight="1">
      <c r="G131" s="435"/>
      <c r="AB131" s="311" t="s">
        <v>0</v>
      </c>
      <c r="AC131" s="289" t="s">
        <v>608</v>
      </c>
      <c r="AD131" s="289" t="s">
        <v>627</v>
      </c>
      <c r="AE131" s="289" t="s">
        <v>269</v>
      </c>
      <c r="AF131" s="294" t="s">
        <v>8</v>
      </c>
      <c r="AG131" s="295" t="s">
        <v>609</v>
      </c>
      <c r="AH131" s="296" t="s">
        <v>270</v>
      </c>
      <c r="AI131" s="295" t="s">
        <v>610</v>
      </c>
    </row>
    <row r="132" spans="2:35" ht="20.100000000000001" customHeight="1">
      <c r="AB132" s="297" t="s">
        <v>305</v>
      </c>
      <c r="AC132" s="298" t="s">
        <v>611</v>
      </c>
      <c r="AD132" s="298"/>
      <c r="AE132" s="286"/>
      <c r="AF132" s="299"/>
      <c r="AG132" s="300"/>
      <c r="AH132" s="301" t="e">
        <f>SUM(AH133:AH141)</f>
        <v>#REF!</v>
      </c>
      <c r="AI132" s="286"/>
    </row>
    <row r="133" spans="2:35" ht="20.100000000000001" customHeight="1">
      <c r="AB133" s="286">
        <v>1</v>
      </c>
      <c r="AC133" s="302" t="s">
        <v>612</v>
      </c>
      <c r="AD133" s="307"/>
      <c r="AE133" s="286" t="s">
        <v>271</v>
      </c>
      <c r="AF133" s="303" t="e">
        <f>#REF!</f>
        <v>#REF!</v>
      </c>
      <c r="AG133" s="304" t="e">
        <f>#REF!/#REF!</f>
        <v>#REF!</v>
      </c>
      <c r="AH133" s="305" t="e">
        <f t="shared" ref="AH133:AH141" si="20">AG133*AF133</f>
        <v>#REF!</v>
      </c>
      <c r="AI133" s="306"/>
    </row>
    <row r="134" spans="2:35" ht="20.100000000000001" customHeight="1">
      <c r="AB134" s="286">
        <v>2</v>
      </c>
      <c r="AC134" s="290" t="s">
        <v>613</v>
      </c>
      <c r="AD134" s="307"/>
      <c r="AE134" s="286" t="s">
        <v>276</v>
      </c>
      <c r="AF134" s="303" t="str">
        <f>Q116</f>
        <v>隔热条填充物</v>
      </c>
      <c r="AG134" s="304">
        <f>T116</f>
        <v>0</v>
      </c>
      <c r="AH134" s="305" t="e">
        <f t="shared" si="20"/>
        <v>#VALUE!</v>
      </c>
      <c r="AI134" s="306"/>
    </row>
    <row r="135" spans="2:35" ht="20.100000000000001" customHeight="1">
      <c r="AB135" s="286">
        <v>3</v>
      </c>
      <c r="AC135" s="302" t="s">
        <v>614</v>
      </c>
      <c r="AD135" s="302"/>
      <c r="AE135" s="286" t="s">
        <v>312</v>
      </c>
      <c r="AF135" s="303">
        <f>Q49+Q50</f>
        <v>0</v>
      </c>
      <c r="AG135" s="304" t="e">
        <f>材料价格!#REF!</f>
        <v>#REF!</v>
      </c>
      <c r="AH135" s="305" t="e">
        <f t="shared" si="20"/>
        <v>#REF!</v>
      </c>
      <c r="AI135" s="306"/>
    </row>
    <row r="136" spans="2:35" ht="20.100000000000001" customHeight="1">
      <c r="AB136" s="286">
        <v>4</v>
      </c>
      <c r="AC136" s="302" t="s">
        <v>615</v>
      </c>
      <c r="AD136" s="306"/>
      <c r="AE136" s="286" t="s">
        <v>278</v>
      </c>
      <c r="AF136" s="303" t="e">
        <f>(U74+U75+U77+U78+U79)/S74</f>
        <v>#DIV/0!</v>
      </c>
      <c r="AG136" s="304" t="e">
        <f>材料价格!#REF!</f>
        <v>#REF!</v>
      </c>
      <c r="AH136" s="305" t="e">
        <f t="shared" si="20"/>
        <v>#REF!</v>
      </c>
      <c r="AI136" s="306"/>
    </row>
    <row r="137" spans="2:35" ht="20.100000000000001" customHeight="1">
      <c r="AB137" s="286">
        <v>5</v>
      </c>
      <c r="AC137" s="306" t="s">
        <v>616</v>
      </c>
      <c r="AD137" s="302"/>
      <c r="AE137" s="286" t="s">
        <v>628</v>
      </c>
      <c r="AF137" s="303">
        <f>U95/21</f>
        <v>0</v>
      </c>
      <c r="AG137" s="304">
        <v>21</v>
      </c>
      <c r="AH137" s="305">
        <f t="shared" si="20"/>
        <v>0</v>
      </c>
      <c r="AI137" s="306"/>
    </row>
    <row r="138" spans="2:35" ht="20.100000000000001" customHeight="1">
      <c r="AB138" s="286">
        <v>6</v>
      </c>
      <c r="AC138" s="302" t="s">
        <v>319</v>
      </c>
      <c r="AD138" s="302"/>
      <c r="AE138" s="286" t="s">
        <v>273</v>
      </c>
      <c r="AF138" s="303"/>
      <c r="AG138" s="304"/>
      <c r="AH138" s="305">
        <f t="shared" si="20"/>
        <v>0</v>
      </c>
      <c r="AI138" s="306"/>
    </row>
    <row r="139" spans="2:35" ht="20.100000000000001" customHeight="1">
      <c r="AB139" s="286">
        <v>7</v>
      </c>
      <c r="AC139" s="302" t="s">
        <v>295</v>
      </c>
      <c r="AD139" s="302"/>
      <c r="AE139" s="286" t="s">
        <v>273</v>
      </c>
      <c r="AF139" s="303"/>
      <c r="AG139" s="304" t="e">
        <f>材料价格!#REF!</f>
        <v>#REF!</v>
      </c>
      <c r="AH139" s="305" t="e">
        <f t="shared" si="20"/>
        <v>#REF!</v>
      </c>
      <c r="AI139" s="306"/>
    </row>
    <row r="140" spans="2:35" ht="20.100000000000001" customHeight="1">
      <c r="AB140" s="286">
        <v>8</v>
      </c>
      <c r="AC140" s="302" t="s">
        <v>296</v>
      </c>
      <c r="AD140" s="302"/>
      <c r="AE140" s="286" t="s">
        <v>273</v>
      </c>
      <c r="AF140" s="303">
        <f>R61</f>
        <v>0</v>
      </c>
      <c r="AG140" s="304" t="e">
        <f>材料价格!#REF!</f>
        <v>#REF!</v>
      </c>
      <c r="AH140" s="305" t="e">
        <f t="shared" si="20"/>
        <v>#REF!</v>
      </c>
      <c r="AI140" s="306"/>
    </row>
    <row r="141" spans="2:35" ht="20.100000000000001" customHeight="1">
      <c r="AB141" s="286">
        <v>9</v>
      </c>
      <c r="AC141" s="302" t="s">
        <v>617</v>
      </c>
      <c r="AD141" s="302"/>
      <c r="AE141" s="286" t="s">
        <v>618</v>
      </c>
      <c r="AF141" s="296">
        <v>1</v>
      </c>
      <c r="AG141" s="304">
        <f>U121-U116+U108+U76+U73+U72</f>
        <v>0</v>
      </c>
      <c r="AH141" s="305">
        <f t="shared" si="20"/>
        <v>0</v>
      </c>
      <c r="AI141" s="306"/>
    </row>
    <row r="142" spans="2:35" ht="20.100000000000001" customHeight="1">
      <c r="AB142" s="297" t="s">
        <v>306</v>
      </c>
      <c r="AC142" s="308" t="s">
        <v>314</v>
      </c>
      <c r="AD142" s="298"/>
      <c r="AE142" s="286"/>
      <c r="AF142" s="296"/>
      <c r="AG142" s="309"/>
      <c r="AH142" s="301">
        <f>SUM(AH143:AH144)</f>
        <v>2972.7999999999997</v>
      </c>
      <c r="AI142" s="286"/>
    </row>
    <row r="143" spans="2:35" ht="20.100000000000001" customHeight="1">
      <c r="AB143" s="286">
        <v>1</v>
      </c>
      <c r="AC143" s="307" t="s">
        <v>619</v>
      </c>
      <c r="AD143" s="307"/>
      <c r="AE143" s="300" t="s">
        <v>312</v>
      </c>
      <c r="AF143" s="296">
        <f>AI130</f>
        <v>18.579999999999998</v>
      </c>
      <c r="AG143" s="310">
        <v>60</v>
      </c>
      <c r="AH143" s="305">
        <f>AG143*AF143</f>
        <v>1114.8</v>
      </c>
      <c r="AI143" s="286"/>
    </row>
    <row r="144" spans="2:35" ht="20.100000000000001" customHeight="1">
      <c r="AB144" s="286">
        <v>2</v>
      </c>
      <c r="AC144" s="307" t="s">
        <v>288</v>
      </c>
      <c r="AD144" s="307"/>
      <c r="AE144" s="300" t="s">
        <v>312</v>
      </c>
      <c r="AF144" s="296">
        <f>AI130</f>
        <v>18.579999999999998</v>
      </c>
      <c r="AG144" s="310">
        <v>100</v>
      </c>
      <c r="AH144" s="305">
        <f>AG144*AF144</f>
        <v>1857.9999999999998</v>
      </c>
      <c r="AI144" s="286"/>
    </row>
    <row r="145" spans="28:35" ht="20.100000000000001" customHeight="1">
      <c r="AB145" s="297" t="s">
        <v>307</v>
      </c>
      <c r="AC145" s="308" t="s">
        <v>290</v>
      </c>
      <c r="AD145" s="298"/>
      <c r="AE145" s="286"/>
      <c r="AF145" s="296"/>
      <c r="AG145" s="309"/>
      <c r="AH145" s="301">
        <f>SUM(AH146)</f>
        <v>371.59999999999997</v>
      </c>
      <c r="AI145" s="286"/>
    </row>
    <row r="146" spans="28:35" ht="20.100000000000001" customHeight="1">
      <c r="AB146" s="286">
        <v>1</v>
      </c>
      <c r="AC146" s="307" t="s">
        <v>290</v>
      </c>
      <c r="AD146" s="307"/>
      <c r="AE146" s="300" t="s">
        <v>312</v>
      </c>
      <c r="AF146" s="296">
        <f>AI130</f>
        <v>18.579999999999998</v>
      </c>
      <c r="AG146" s="310">
        <v>20</v>
      </c>
      <c r="AH146" s="305">
        <f>AG146*AF146</f>
        <v>371.59999999999997</v>
      </c>
      <c r="AI146" s="286"/>
    </row>
    <row r="147" spans="28:35" ht="20.100000000000001" customHeight="1">
      <c r="AB147" s="286" t="s">
        <v>308</v>
      </c>
      <c r="AC147" s="618" t="s">
        <v>620</v>
      </c>
      <c r="AD147" s="619"/>
      <c r="AE147" s="620"/>
      <c r="AF147" s="621"/>
      <c r="AG147" s="622"/>
      <c r="AH147" s="301" t="e">
        <f>AH132+AH142+AH145</f>
        <v>#REF!</v>
      </c>
      <c r="AI147" s="286"/>
    </row>
    <row r="148" spans="28:35" ht="20.100000000000001" customHeight="1">
      <c r="AB148" s="286" t="s">
        <v>309</v>
      </c>
      <c r="AC148" s="618" t="s">
        <v>621</v>
      </c>
      <c r="AD148" s="619"/>
      <c r="AE148" s="626">
        <v>0.2</v>
      </c>
      <c r="AF148" s="627"/>
      <c r="AG148" s="628"/>
      <c r="AH148" s="301" t="e">
        <f>AH147*AE148</f>
        <v>#REF!</v>
      </c>
      <c r="AI148" s="286"/>
    </row>
    <row r="149" spans="28:35" ht="20.100000000000001" customHeight="1">
      <c r="AB149" s="286" t="s">
        <v>310</v>
      </c>
      <c r="AC149" s="618" t="s">
        <v>622</v>
      </c>
      <c r="AD149" s="619"/>
      <c r="AE149" s="620"/>
      <c r="AF149" s="621"/>
      <c r="AG149" s="622"/>
      <c r="AH149" s="301" t="e">
        <f>AH147+AH148</f>
        <v>#REF!</v>
      </c>
      <c r="AI149" s="286"/>
    </row>
    <row r="150" spans="28:35" ht="20.100000000000001" customHeight="1">
      <c r="AB150" s="297" t="s">
        <v>311</v>
      </c>
      <c r="AC150" s="618" t="s">
        <v>623</v>
      </c>
      <c r="AD150" s="619"/>
      <c r="AE150" s="620"/>
      <c r="AF150" s="621"/>
      <c r="AG150" s="622"/>
      <c r="AH150" s="301" t="e">
        <f>AH149/AI130</f>
        <v>#REF!</v>
      </c>
      <c r="AI150" s="286" t="s">
        <v>624</v>
      </c>
    </row>
    <row r="151" spans="28:35" ht="20.100000000000001" customHeight="1">
      <c r="AB151" s="623" t="s">
        <v>625</v>
      </c>
      <c r="AC151" s="623"/>
      <c r="AD151" s="623"/>
      <c r="AE151" s="623"/>
      <c r="AF151" s="623"/>
      <c r="AG151" s="623"/>
      <c r="AH151" s="623"/>
      <c r="AI151" s="623"/>
    </row>
  </sheetData>
  <mergeCells count="111">
    <mergeCell ref="AC147:AD147"/>
    <mergeCell ref="AE147:AG147"/>
    <mergeCell ref="AC148:AD148"/>
    <mergeCell ref="AE148:AG148"/>
    <mergeCell ref="AC149:AD149"/>
    <mergeCell ref="AE149:AG149"/>
    <mergeCell ref="AC150:AD150"/>
    <mergeCell ref="AE150:AG150"/>
    <mergeCell ref="AB151:AI151"/>
    <mergeCell ref="A1:A3"/>
    <mergeCell ref="B1:C1"/>
    <mergeCell ref="D1:E1"/>
    <mergeCell ref="A4:H4"/>
    <mergeCell ref="A6:A8"/>
    <mergeCell ref="B6:B8"/>
    <mergeCell ref="A21:B21"/>
    <mergeCell ref="A23:A25"/>
    <mergeCell ref="B23:B25"/>
    <mergeCell ref="A26:B26"/>
    <mergeCell ref="A29:A31"/>
    <mergeCell ref="B29:B31"/>
    <mergeCell ref="A9:B9"/>
    <mergeCell ref="A12:A14"/>
    <mergeCell ref="B12:B14"/>
    <mergeCell ref="A15:B15"/>
    <mergeCell ref="A18:A20"/>
    <mergeCell ref="B18:B20"/>
    <mergeCell ref="A43:B43"/>
    <mergeCell ref="A45:A47"/>
    <mergeCell ref="B45:B47"/>
    <mergeCell ref="A48:B48"/>
    <mergeCell ref="A50:A52"/>
    <mergeCell ref="B50:B52"/>
    <mergeCell ref="A32:B32"/>
    <mergeCell ref="A34:A36"/>
    <mergeCell ref="B34:B36"/>
    <mergeCell ref="A37:B37"/>
    <mergeCell ref="A40:A42"/>
    <mergeCell ref="B40:B42"/>
    <mergeCell ref="A63:B63"/>
    <mergeCell ref="A68:A69"/>
    <mergeCell ref="E68:E69"/>
    <mergeCell ref="A71:H71"/>
    <mergeCell ref="G72:H72"/>
    <mergeCell ref="G73:H73"/>
    <mergeCell ref="A53:B53"/>
    <mergeCell ref="A55:A57"/>
    <mergeCell ref="B55:B57"/>
    <mergeCell ref="A58:B58"/>
    <mergeCell ref="A60:A62"/>
    <mergeCell ref="B60:B62"/>
    <mergeCell ref="A84:B84"/>
    <mergeCell ref="C84:D84"/>
    <mergeCell ref="A85:A89"/>
    <mergeCell ref="C85:D85"/>
    <mergeCell ref="C86:D86"/>
    <mergeCell ref="C87:D87"/>
    <mergeCell ref="C88:D88"/>
    <mergeCell ref="C89:D89"/>
    <mergeCell ref="G74:H74"/>
    <mergeCell ref="G75:H75"/>
    <mergeCell ref="A77:H77"/>
    <mergeCell ref="C78:D78"/>
    <mergeCell ref="A79:A83"/>
    <mergeCell ref="C79:D79"/>
    <mergeCell ref="C80:D80"/>
    <mergeCell ref="C81:D81"/>
    <mergeCell ref="C82:D82"/>
    <mergeCell ref="C83:D83"/>
    <mergeCell ref="A97:B97"/>
    <mergeCell ref="C97:D97"/>
    <mergeCell ref="A98:A100"/>
    <mergeCell ref="C98:D98"/>
    <mergeCell ref="C99:D99"/>
    <mergeCell ref="C100:D100"/>
    <mergeCell ref="A90:B90"/>
    <mergeCell ref="C90:D90"/>
    <mergeCell ref="A91:A96"/>
    <mergeCell ref="C91:D91"/>
    <mergeCell ref="C92:D92"/>
    <mergeCell ref="C93:D93"/>
    <mergeCell ref="C94:D94"/>
    <mergeCell ref="C95:D95"/>
    <mergeCell ref="C96:D96"/>
    <mergeCell ref="A101:B101"/>
    <mergeCell ref="C101:D101"/>
    <mergeCell ref="A102:A109"/>
    <mergeCell ref="C102:D102"/>
    <mergeCell ref="C103:D103"/>
    <mergeCell ref="C104:D104"/>
    <mergeCell ref="C105:D105"/>
    <mergeCell ref="C106:D106"/>
    <mergeCell ref="C107:D107"/>
    <mergeCell ref="C108:D108"/>
    <mergeCell ref="A124:B124"/>
    <mergeCell ref="C124:D124"/>
    <mergeCell ref="A125:G125"/>
    <mergeCell ref="A126:B126"/>
    <mergeCell ref="C109:D109"/>
    <mergeCell ref="A110:B110"/>
    <mergeCell ref="C110:D110"/>
    <mergeCell ref="A111:A118"/>
    <mergeCell ref="A120:A123"/>
    <mergeCell ref="C120:D120"/>
    <mergeCell ref="C123:D123"/>
    <mergeCell ref="AB126:AI126"/>
    <mergeCell ref="AB127:AI127"/>
    <mergeCell ref="AC128:AD128"/>
    <mergeCell ref="AB129:AB130"/>
    <mergeCell ref="AC129:AG130"/>
    <mergeCell ref="B129:C129"/>
  </mergeCells>
  <phoneticPr fontId="5" type="noConversion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6187B-443F-489D-958A-D3981BB58F42}">
  <sheetPr>
    <tabColor rgb="FF00B0F0"/>
  </sheetPr>
  <dimension ref="A1:WVW151"/>
  <sheetViews>
    <sheetView showZeros="0" topLeftCell="D1" zoomScaleNormal="100" workbookViewId="0">
      <pane ySplit="3" topLeftCell="A108" activePane="bottomLeft" state="frozen"/>
      <selection activeCell="A63" sqref="A63:H63"/>
      <selection pane="bottomLeft" activeCell="A63" sqref="A63:H63"/>
    </sheetView>
  </sheetViews>
  <sheetFormatPr defaultColWidth="9" defaultRowHeight="20.100000000000001" customHeight="1"/>
  <cols>
    <col min="1" max="1" width="18" style="445" customWidth="1"/>
    <col min="2" max="2" width="19.875" style="445" customWidth="1"/>
    <col min="3" max="3" width="12.125" style="445" customWidth="1"/>
    <col min="4" max="4" width="11.125" style="445" customWidth="1"/>
    <col min="5" max="5" width="13.75" style="445" customWidth="1"/>
    <col min="6" max="6" width="9.625" style="445" customWidth="1"/>
    <col min="7" max="7" width="11.625" style="445" customWidth="1"/>
    <col min="8" max="8" width="13.625" style="445" customWidth="1"/>
    <col min="9" max="9" width="9" style="364" hidden="1" customWidth="1"/>
    <col min="10" max="10" width="12.875" style="364" hidden="1" customWidth="1"/>
    <col min="11" max="11" width="5.25" style="364" hidden="1" customWidth="1"/>
    <col min="12" max="12" width="6.5" style="364" hidden="1" customWidth="1"/>
    <col min="13" max="13" width="5.5" style="364" hidden="1" customWidth="1"/>
    <col min="14" max="14" width="6.5" style="364" hidden="1" customWidth="1"/>
    <col min="15" max="15" width="9.5" style="364" hidden="1" customWidth="1"/>
    <col min="16" max="16" width="1.125" style="365" customWidth="1"/>
    <col min="17" max="17" width="24" style="364" customWidth="1"/>
    <col min="18" max="18" width="12.75" style="364" customWidth="1"/>
    <col min="19" max="25" width="9" style="364" hidden="1" customWidth="1"/>
    <col min="26" max="26" width="1.125" style="364" customWidth="1"/>
    <col min="27" max="27" width="9" style="364"/>
    <col min="28" max="28" width="13.125" style="364" customWidth="1"/>
    <col min="29" max="29" width="24.375" style="364" customWidth="1"/>
    <col min="30" max="30" width="13.75" style="364" customWidth="1"/>
    <col min="31" max="31" width="11.25" style="364" customWidth="1"/>
    <col min="32" max="32" width="10.75" style="364" customWidth="1"/>
    <col min="33" max="33" width="10" style="364" customWidth="1"/>
    <col min="34" max="34" width="9.875" style="364" customWidth="1"/>
    <col min="35" max="35" width="26.125" style="364" customWidth="1"/>
    <col min="36" max="16384" width="9" style="364"/>
  </cols>
  <sheetData>
    <row r="1" spans="1:18" ht="23.25" customHeight="1" thickTop="1">
      <c r="A1" s="727" t="s">
        <v>695</v>
      </c>
      <c r="B1" s="729" t="s">
        <v>696</v>
      </c>
      <c r="C1" s="729"/>
      <c r="D1" s="730" t="s">
        <v>697</v>
      </c>
      <c r="E1" s="730"/>
      <c r="F1" s="455" t="s">
        <v>698</v>
      </c>
      <c r="G1" s="455" t="s">
        <v>699</v>
      </c>
      <c r="H1" s="363" t="s">
        <v>700</v>
      </c>
      <c r="Q1" s="366" t="s">
        <v>701</v>
      </c>
      <c r="R1" s="367">
        <v>19</v>
      </c>
    </row>
    <row r="2" spans="1:18" ht="22.5" customHeight="1">
      <c r="A2" s="728"/>
      <c r="B2" s="368" t="s">
        <v>14</v>
      </c>
      <c r="C2" s="368" t="s">
        <v>16</v>
      </c>
      <c r="D2" s="368" t="s">
        <v>17</v>
      </c>
      <c r="E2" s="368" t="s">
        <v>7</v>
      </c>
      <c r="F2" s="368" t="s">
        <v>5</v>
      </c>
      <c r="G2" s="368" t="s">
        <v>18</v>
      </c>
      <c r="H2" s="369" t="s">
        <v>39</v>
      </c>
      <c r="Q2" s="366" t="s">
        <v>702</v>
      </c>
      <c r="R2" s="370">
        <v>58</v>
      </c>
    </row>
    <row r="3" spans="1:18" ht="22.5" customHeight="1">
      <c r="A3" s="728"/>
      <c r="B3" s="368" t="str" cm="1">
        <f t="array" aca="1" ref="B3" ca="1">MID(CELL("filename",Q12),FIND("]",CELL("filename",Q12))+1,30)</f>
        <v>MLC2888</v>
      </c>
      <c r="C3" s="368">
        <v>2800</v>
      </c>
      <c r="D3" s="368">
        <v>8800</v>
      </c>
      <c r="E3" s="371">
        <v>18.579999999999998</v>
      </c>
      <c r="F3" s="368">
        <v>1</v>
      </c>
      <c r="G3" s="368">
        <f>E3*F3</f>
        <v>18.579999999999998</v>
      </c>
      <c r="H3" s="369">
        <f>(C3+D3)*2/1000</f>
        <v>23.2</v>
      </c>
      <c r="I3" s="364" t="s">
        <v>18</v>
      </c>
      <c r="J3" s="372">
        <v>60.72</v>
      </c>
      <c r="Q3" s="366" t="s">
        <v>703</v>
      </c>
      <c r="R3" s="370">
        <f>D12</f>
        <v>7</v>
      </c>
    </row>
    <row r="4" spans="1:18" ht="20.100000000000001" customHeight="1">
      <c r="A4" s="731" t="s">
        <v>704</v>
      </c>
      <c r="B4" s="732"/>
      <c r="C4" s="732"/>
      <c r="D4" s="732"/>
      <c r="E4" s="732"/>
      <c r="F4" s="732"/>
      <c r="G4" s="732"/>
      <c r="H4" s="733"/>
      <c r="J4" s="372"/>
      <c r="Q4" s="373"/>
      <c r="R4" s="373"/>
    </row>
    <row r="5" spans="1:18" ht="20.100000000000001" customHeight="1">
      <c r="A5" s="374" t="s">
        <v>139</v>
      </c>
      <c r="B5" s="375" t="s">
        <v>14</v>
      </c>
      <c r="C5" s="375" t="s">
        <v>705</v>
      </c>
      <c r="D5" s="375" t="s">
        <v>8</v>
      </c>
      <c r="E5" s="375" t="s">
        <v>705</v>
      </c>
      <c r="F5" s="375" t="s">
        <v>8</v>
      </c>
      <c r="G5" s="375" t="s">
        <v>22</v>
      </c>
      <c r="H5" s="376" t="s">
        <v>40</v>
      </c>
      <c r="Q5" s="373"/>
      <c r="R5" s="373"/>
    </row>
    <row r="6" spans="1:18" ht="20.100000000000001" customHeight="1">
      <c r="A6" s="722" t="s">
        <v>706</v>
      </c>
      <c r="B6" s="715" t="s">
        <v>707</v>
      </c>
      <c r="C6" s="449"/>
      <c r="D6" s="449"/>
      <c r="E6" s="449"/>
      <c r="F6" s="449"/>
      <c r="G6" s="449">
        <v>5.4909999999999997</v>
      </c>
      <c r="H6" s="450">
        <f t="shared" ref="H6" si="0">ROUND((C6*D6+E6*F6)/1000*G6,2)</f>
        <v>0</v>
      </c>
      <c r="Q6" s="379">
        <v>2.5</v>
      </c>
      <c r="R6" s="373"/>
    </row>
    <row r="7" spans="1:18" ht="20.100000000000001" customHeight="1">
      <c r="A7" s="722"/>
      <c r="B7" s="715"/>
      <c r="C7" s="449">
        <f>D3</f>
        <v>8800</v>
      </c>
      <c r="D7" s="449">
        <v>4</v>
      </c>
      <c r="E7" s="449"/>
      <c r="F7" s="449">
        <v>0</v>
      </c>
      <c r="G7" s="449">
        <f>G6</f>
        <v>5.4909999999999997</v>
      </c>
      <c r="H7" s="450">
        <f>ROUND((C7*D7+E7*F7)/1000*G7,2)</f>
        <v>193.28</v>
      </c>
      <c r="Q7" s="373" t="s">
        <v>708</v>
      </c>
      <c r="R7" s="380">
        <v>3.9820000000000002</v>
      </c>
    </row>
    <row r="8" spans="1:18" ht="20.100000000000001" customHeight="1">
      <c r="A8" s="722"/>
      <c r="B8" s="715"/>
      <c r="C8" s="449"/>
      <c r="D8" s="449"/>
      <c r="E8" s="449"/>
      <c r="F8" s="449">
        <v>0</v>
      </c>
      <c r="G8" s="449">
        <f>G6</f>
        <v>5.4909999999999997</v>
      </c>
      <c r="H8" s="450">
        <f>ROUND((C8*D8+E8*F8)/1000*G8,2)</f>
        <v>0</v>
      </c>
      <c r="Q8" s="373" t="s">
        <v>709</v>
      </c>
      <c r="R8" s="380">
        <v>5.4909999999999997</v>
      </c>
    </row>
    <row r="9" spans="1:18" ht="20.100000000000001" customHeight="1">
      <c r="A9" s="718" t="s">
        <v>182</v>
      </c>
      <c r="B9" s="719"/>
      <c r="C9" s="453"/>
      <c r="D9" s="453" t="s">
        <v>710</v>
      </c>
      <c r="E9" s="453">
        <f>ROUND((E6*F6+E7*F7+E8*F8+C6*D6+C7*D7+C8*D8)/1000,2)</f>
        <v>35.200000000000003</v>
      </c>
      <c r="F9" s="453">
        <f>SUM(F6:F8)+SUM(D6:D8)</f>
        <v>4</v>
      </c>
      <c r="G9" s="453"/>
      <c r="H9" s="382">
        <f>SUM(H6:H8)</f>
        <v>193.28</v>
      </c>
      <c r="Q9" s="373"/>
      <c r="R9" s="373"/>
    </row>
    <row r="10" spans="1:18" ht="20.100000000000001" customHeight="1">
      <c r="A10" s="452" t="s">
        <v>711</v>
      </c>
      <c r="B10" s="384">
        <f>358.1/1000</f>
        <v>0.35810000000000003</v>
      </c>
      <c r="C10" s="453" t="s">
        <v>712</v>
      </c>
      <c r="D10" s="384">
        <f>E9*B10</f>
        <v>12.605120000000001</v>
      </c>
      <c r="E10" s="453" t="s">
        <v>713</v>
      </c>
      <c r="F10" s="453">
        <v>0</v>
      </c>
      <c r="G10" s="453" t="s">
        <v>714</v>
      </c>
      <c r="H10" s="382">
        <f>D10*F10</f>
        <v>0</v>
      </c>
      <c r="Q10" s="373"/>
      <c r="R10" s="373"/>
    </row>
    <row r="11" spans="1:18" ht="20.100000000000001" customHeight="1">
      <c r="A11" s="374" t="s">
        <v>139</v>
      </c>
      <c r="B11" s="375" t="s">
        <v>14</v>
      </c>
      <c r="C11" s="375" t="s">
        <v>715</v>
      </c>
      <c r="D11" s="375" t="s">
        <v>8</v>
      </c>
      <c r="E11" s="375" t="s">
        <v>715</v>
      </c>
      <c r="F11" s="375" t="s">
        <v>8</v>
      </c>
      <c r="G11" s="375" t="s">
        <v>22</v>
      </c>
      <c r="H11" s="376" t="s">
        <v>40</v>
      </c>
      <c r="Q11" s="373"/>
      <c r="R11" s="373"/>
    </row>
    <row r="12" spans="1:18" ht="20.100000000000001" customHeight="1">
      <c r="A12" s="724" t="s">
        <v>716</v>
      </c>
      <c r="B12" s="715" t="s">
        <v>717</v>
      </c>
      <c r="C12" s="449">
        <f>C3</f>
        <v>2800</v>
      </c>
      <c r="D12" s="449">
        <v>7</v>
      </c>
      <c r="E12" s="449"/>
      <c r="F12" s="449"/>
      <c r="G12" s="449">
        <v>3.99</v>
      </c>
      <c r="H12" s="450">
        <f>ROUND((C12*D12+E12*F12)/1000*G12,2)*1.1</f>
        <v>86.02000000000001</v>
      </c>
      <c r="Q12" s="379">
        <v>3</v>
      </c>
      <c r="R12" s="373"/>
    </row>
    <row r="13" spans="1:18" ht="20.100000000000001" customHeight="1">
      <c r="A13" s="725"/>
      <c r="B13" s="715"/>
      <c r="C13" s="449"/>
      <c r="D13" s="449"/>
      <c r="E13" s="449"/>
      <c r="F13" s="449"/>
      <c r="G13" s="449">
        <f>G12</f>
        <v>3.99</v>
      </c>
      <c r="H13" s="450">
        <f t="shared" ref="H13:H14" si="1">ROUND((C13*D13+E13*F13)/1000*G13,2)</f>
        <v>0</v>
      </c>
      <c r="Q13" s="373" t="s">
        <v>718</v>
      </c>
      <c r="R13" s="372">
        <v>3.9849999999999999</v>
      </c>
    </row>
    <row r="14" spans="1:18" ht="20.100000000000001" customHeight="1">
      <c r="A14" s="726"/>
      <c r="B14" s="715"/>
      <c r="C14" s="449"/>
      <c r="D14" s="385"/>
      <c r="E14" s="385"/>
      <c r="F14" s="449"/>
      <c r="G14" s="386">
        <f>G12</f>
        <v>3.99</v>
      </c>
      <c r="H14" s="450">
        <f t="shared" si="1"/>
        <v>0</v>
      </c>
      <c r="Q14" s="373" t="s">
        <v>719</v>
      </c>
      <c r="R14" s="372">
        <v>3.1509999999999998</v>
      </c>
    </row>
    <row r="15" spans="1:18" ht="20.100000000000001" customHeight="1">
      <c r="A15" s="694" t="s">
        <v>182</v>
      </c>
      <c r="B15" s="695"/>
      <c r="C15" s="447"/>
      <c r="D15" s="447" t="s">
        <v>710</v>
      </c>
      <c r="E15" s="388">
        <f>ROUND((E12*F12+E13*F13+E14*F14+C12*D12+C13*D13+C14*D14)/1000,2)</f>
        <v>19.600000000000001</v>
      </c>
      <c r="F15" s="388">
        <f>SUM(F12:F14)+SUM(D12:D14)</f>
        <v>7</v>
      </c>
      <c r="G15" s="447"/>
      <c r="H15" s="389">
        <f>SUM(H12:H14)</f>
        <v>86.02000000000001</v>
      </c>
      <c r="Q15" s="373"/>
      <c r="R15" s="373"/>
    </row>
    <row r="16" spans="1:18" ht="20.100000000000001" customHeight="1">
      <c r="A16" s="452" t="s">
        <v>711</v>
      </c>
      <c r="B16" s="384">
        <f>258.1/1000</f>
        <v>0.2581</v>
      </c>
      <c r="C16" s="453" t="s">
        <v>712</v>
      </c>
      <c r="D16" s="384">
        <f>E15*B16</f>
        <v>5.0587600000000004</v>
      </c>
      <c r="E16" s="453" t="s">
        <v>713</v>
      </c>
      <c r="F16" s="453"/>
      <c r="G16" s="453" t="s">
        <v>714</v>
      </c>
      <c r="H16" s="382">
        <f>D16*F16</f>
        <v>0</v>
      </c>
      <c r="Q16" s="373"/>
      <c r="R16" s="373"/>
    </row>
    <row r="17" spans="1:18" ht="20.100000000000001" customHeight="1">
      <c r="A17" s="374" t="s">
        <v>139</v>
      </c>
      <c r="B17" s="375" t="s">
        <v>14</v>
      </c>
      <c r="C17" s="375" t="s">
        <v>715</v>
      </c>
      <c r="D17" s="375" t="s">
        <v>8</v>
      </c>
      <c r="E17" s="375" t="s">
        <v>705</v>
      </c>
      <c r="F17" s="375" t="s">
        <v>8</v>
      </c>
      <c r="G17" s="375" t="s">
        <v>22</v>
      </c>
      <c r="H17" s="376" t="s">
        <v>40</v>
      </c>
      <c r="Q17" s="373"/>
      <c r="R17" s="373"/>
    </row>
    <row r="18" spans="1:18" ht="20.100000000000001" customHeight="1">
      <c r="A18" s="723" t="s">
        <v>720</v>
      </c>
      <c r="B18" s="715" t="s">
        <v>721</v>
      </c>
      <c r="C18" s="449">
        <f>C12+2</f>
        <v>2802</v>
      </c>
      <c r="D18" s="449">
        <f>D12</f>
        <v>7</v>
      </c>
      <c r="E18" s="449"/>
      <c r="F18" s="449"/>
      <c r="G18" s="449">
        <f>G29</f>
        <v>0.53100000000000003</v>
      </c>
      <c r="H18" s="450">
        <f t="shared" ref="H18:H20" si="2">ROUND((C18*D18+E18*F18)/1000*G18,2)</f>
        <v>10.42</v>
      </c>
      <c r="Q18" s="373"/>
      <c r="R18" s="373"/>
    </row>
    <row r="19" spans="1:18" ht="20.100000000000001" customHeight="1">
      <c r="A19" s="723"/>
      <c r="B19" s="715"/>
      <c r="C19" s="449">
        <f>C13+2</f>
        <v>2</v>
      </c>
      <c r="D19" s="449">
        <f>D13</f>
        <v>0</v>
      </c>
      <c r="E19" s="449"/>
      <c r="F19" s="449">
        <f>F13</f>
        <v>0</v>
      </c>
      <c r="G19" s="449">
        <f>G18</f>
        <v>0.53100000000000003</v>
      </c>
      <c r="H19" s="450">
        <f t="shared" si="2"/>
        <v>0</v>
      </c>
      <c r="Q19" s="373"/>
      <c r="R19" s="373"/>
    </row>
    <row r="20" spans="1:18" ht="20.100000000000001" customHeight="1">
      <c r="A20" s="723"/>
      <c r="B20" s="715"/>
      <c r="C20" s="449"/>
      <c r="D20" s="449">
        <f>D14</f>
        <v>0</v>
      </c>
      <c r="E20" s="449"/>
      <c r="F20" s="449">
        <f>F14</f>
        <v>0</v>
      </c>
      <c r="G20" s="449">
        <f>G18</f>
        <v>0.53100000000000003</v>
      </c>
      <c r="H20" s="450">
        <f t="shared" si="2"/>
        <v>0</v>
      </c>
      <c r="Q20" s="373"/>
      <c r="R20" s="373"/>
    </row>
    <row r="21" spans="1:18" ht="20.100000000000001" customHeight="1">
      <c r="A21" s="694" t="s">
        <v>182</v>
      </c>
      <c r="B21" s="695"/>
      <c r="C21" s="447"/>
      <c r="D21" s="447" t="s">
        <v>710</v>
      </c>
      <c r="E21" s="447">
        <f>ROUND((E19*F19+E20*F20+E18*F18+C20*D20+C19*D19+C18*D18)/1000,2)</f>
        <v>19.61</v>
      </c>
      <c r="F21" s="447">
        <f>SUM(F18:F20)+SUM(D18:D20)</f>
        <v>7</v>
      </c>
      <c r="G21" s="447"/>
      <c r="H21" s="389">
        <f>SUM(H18:H20)</f>
        <v>10.42</v>
      </c>
      <c r="Q21" s="373"/>
      <c r="R21" s="373"/>
    </row>
    <row r="22" spans="1:18" ht="20.100000000000001" customHeight="1">
      <c r="A22" s="374" t="s">
        <v>139</v>
      </c>
      <c r="B22" s="375" t="s">
        <v>14</v>
      </c>
      <c r="C22" s="375" t="s">
        <v>715</v>
      </c>
      <c r="D22" s="375" t="s">
        <v>8</v>
      </c>
      <c r="E22" s="375" t="s">
        <v>715</v>
      </c>
      <c r="F22" s="375" t="s">
        <v>8</v>
      </c>
      <c r="G22" s="375" t="s">
        <v>22</v>
      </c>
      <c r="H22" s="376" t="s">
        <v>40</v>
      </c>
      <c r="Q22" s="373"/>
      <c r="R22" s="373"/>
    </row>
    <row r="23" spans="1:18" ht="20.100000000000001" customHeight="1">
      <c r="A23" s="723" t="s">
        <v>722</v>
      </c>
      <c r="B23" s="715" t="s">
        <v>723</v>
      </c>
      <c r="C23" s="449">
        <f>C12+2</f>
        <v>2802</v>
      </c>
      <c r="D23" s="449">
        <f>D12</f>
        <v>7</v>
      </c>
      <c r="E23" s="449"/>
      <c r="F23" s="449">
        <f>F12</f>
        <v>0</v>
      </c>
      <c r="G23" s="449">
        <v>0.27900000000000003</v>
      </c>
      <c r="H23" s="450">
        <f t="shared" ref="H23:H25" si="3">ROUND((C23*D23+E23*F23)/1000*G23,2)</f>
        <v>5.47</v>
      </c>
      <c r="Q23" s="373"/>
      <c r="R23" s="373"/>
    </row>
    <row r="24" spans="1:18" ht="20.100000000000001" customHeight="1">
      <c r="A24" s="723"/>
      <c r="B24" s="715"/>
      <c r="C24" s="449">
        <f>C19</f>
        <v>2</v>
      </c>
      <c r="D24" s="449">
        <f>D13</f>
        <v>0</v>
      </c>
      <c r="E24" s="449"/>
      <c r="F24" s="449">
        <f>F13</f>
        <v>0</v>
      </c>
      <c r="G24" s="449">
        <f t="shared" ref="G24:G25" si="4">G23</f>
        <v>0.27900000000000003</v>
      </c>
      <c r="H24" s="450">
        <f t="shared" si="3"/>
        <v>0</v>
      </c>
      <c r="Q24" s="373"/>
      <c r="R24" s="373"/>
    </row>
    <row r="25" spans="1:18" ht="20.100000000000001" customHeight="1">
      <c r="A25" s="723"/>
      <c r="B25" s="715"/>
      <c r="C25" s="449">
        <f>C20</f>
        <v>0</v>
      </c>
      <c r="D25" s="449">
        <f>D14</f>
        <v>0</v>
      </c>
      <c r="E25" s="449"/>
      <c r="F25" s="449">
        <f>F14</f>
        <v>0</v>
      </c>
      <c r="G25" s="449">
        <f t="shared" si="4"/>
        <v>0.27900000000000003</v>
      </c>
      <c r="H25" s="450">
        <f t="shared" si="3"/>
        <v>0</v>
      </c>
      <c r="Q25" s="373"/>
      <c r="R25" s="373"/>
    </row>
    <row r="26" spans="1:18" ht="20.100000000000001" customHeight="1">
      <c r="A26" s="694" t="s">
        <v>182</v>
      </c>
      <c r="B26" s="695"/>
      <c r="C26" s="447"/>
      <c r="D26" s="447" t="s">
        <v>710</v>
      </c>
      <c r="E26" s="447">
        <f>ROUND((E23*F23+E24*F24+E25*F25+C23*D23+C24*D24+C25*D25)/1000,2)</f>
        <v>19.61</v>
      </c>
      <c r="F26" s="447">
        <f>SUM(F23:F25)+SUM(D23:D25)</f>
        <v>7</v>
      </c>
      <c r="G26" s="447"/>
      <c r="H26" s="390">
        <f>SUM(H23:H25)</f>
        <v>5.47</v>
      </c>
      <c r="Q26" s="373"/>
      <c r="R26" s="373"/>
    </row>
    <row r="27" spans="1:18" ht="20.100000000000001" customHeight="1">
      <c r="A27" s="452" t="s">
        <v>711</v>
      </c>
      <c r="B27" s="384">
        <f>81.3/1000</f>
        <v>8.1299999999999997E-2</v>
      </c>
      <c r="C27" s="453" t="s">
        <v>712</v>
      </c>
      <c r="D27" s="384">
        <f>E26*B27</f>
        <v>1.594293</v>
      </c>
      <c r="E27" s="453" t="s">
        <v>713</v>
      </c>
      <c r="F27" s="453"/>
      <c r="G27" s="453" t="s">
        <v>714</v>
      </c>
      <c r="H27" s="382">
        <f>D27*F27</f>
        <v>0</v>
      </c>
      <c r="Q27" s="373"/>
      <c r="R27" s="373"/>
    </row>
    <row r="28" spans="1:18" ht="20.100000000000001" customHeight="1">
      <c r="A28" s="374" t="s">
        <v>139</v>
      </c>
      <c r="B28" s="375" t="s">
        <v>14</v>
      </c>
      <c r="C28" s="375" t="s">
        <v>113</v>
      </c>
      <c r="D28" s="375" t="s">
        <v>8</v>
      </c>
      <c r="E28" s="375" t="s">
        <v>113</v>
      </c>
      <c r="F28" s="375" t="s">
        <v>8</v>
      </c>
      <c r="G28" s="375" t="s">
        <v>22</v>
      </c>
      <c r="H28" s="376" t="s">
        <v>40</v>
      </c>
      <c r="Q28" s="373"/>
      <c r="R28" s="373"/>
    </row>
    <row r="29" spans="1:18" ht="20.100000000000001" customHeight="1">
      <c r="A29" s="723" t="s">
        <v>724</v>
      </c>
      <c r="B29" s="715" t="s">
        <v>721</v>
      </c>
      <c r="C29" s="449">
        <f>C6</f>
        <v>0</v>
      </c>
      <c r="D29" s="449">
        <f>D6</f>
        <v>0</v>
      </c>
      <c r="E29" s="449">
        <f t="shared" ref="C29:F31" si="5">E6</f>
        <v>0</v>
      </c>
      <c r="F29" s="449">
        <f t="shared" si="5"/>
        <v>0</v>
      </c>
      <c r="G29" s="449">
        <v>0.53100000000000003</v>
      </c>
      <c r="H29" s="450">
        <f t="shared" ref="H29:H31" si="6">ROUND((C29*D29+E29*F29)/1000*G29,2)</f>
        <v>0</v>
      </c>
      <c r="Q29" s="373">
        <v>4</v>
      </c>
      <c r="R29" s="373"/>
    </row>
    <row r="30" spans="1:18" ht="20.100000000000001" customHeight="1">
      <c r="A30" s="723"/>
      <c r="B30" s="715"/>
      <c r="C30" s="449">
        <f>C7</f>
        <v>8800</v>
      </c>
      <c r="D30" s="449">
        <f>D7</f>
        <v>4</v>
      </c>
      <c r="E30" s="449">
        <f t="shared" si="5"/>
        <v>0</v>
      </c>
      <c r="F30" s="449">
        <f t="shared" si="5"/>
        <v>0</v>
      </c>
      <c r="G30" s="449">
        <f>G29</f>
        <v>0.53100000000000003</v>
      </c>
      <c r="H30" s="450">
        <f t="shared" si="6"/>
        <v>18.690000000000001</v>
      </c>
      <c r="Q30" s="373"/>
      <c r="R30" s="373"/>
    </row>
    <row r="31" spans="1:18" ht="20.100000000000001" customHeight="1">
      <c r="A31" s="723"/>
      <c r="B31" s="715"/>
      <c r="C31" s="449">
        <f t="shared" si="5"/>
        <v>0</v>
      </c>
      <c r="D31" s="449">
        <f t="shared" si="5"/>
        <v>0</v>
      </c>
      <c r="E31" s="449">
        <f t="shared" si="5"/>
        <v>0</v>
      </c>
      <c r="F31" s="449">
        <f t="shared" si="5"/>
        <v>0</v>
      </c>
      <c r="G31" s="449">
        <f>G29</f>
        <v>0.53100000000000003</v>
      </c>
      <c r="H31" s="450">
        <f t="shared" si="6"/>
        <v>0</v>
      </c>
      <c r="Q31" s="373"/>
      <c r="R31" s="373"/>
    </row>
    <row r="32" spans="1:18" ht="20.100000000000001" customHeight="1">
      <c r="A32" s="694" t="s">
        <v>182</v>
      </c>
      <c r="B32" s="695"/>
      <c r="C32" s="447"/>
      <c r="D32" s="447" t="s">
        <v>710</v>
      </c>
      <c r="E32" s="447">
        <f>ROUND((C29*D29+E29*F29+C30*D30+E30*F30+C31*D31+E31*F31)/1000,2)</f>
        <v>35.200000000000003</v>
      </c>
      <c r="F32" s="447">
        <f>SUM(F29:F31)+SUM(D29:D31)</f>
        <v>4</v>
      </c>
      <c r="G32" s="447"/>
      <c r="H32" s="390">
        <f>SUM(H29:H31)</f>
        <v>18.690000000000001</v>
      </c>
      <c r="Q32" s="373"/>
      <c r="R32" s="373"/>
    </row>
    <row r="33" spans="1:18" ht="20.100000000000001" customHeight="1">
      <c r="A33" s="374" t="s">
        <v>139</v>
      </c>
      <c r="B33" s="375" t="s">
        <v>14</v>
      </c>
      <c r="C33" s="375" t="s">
        <v>715</v>
      </c>
      <c r="D33" s="375" t="s">
        <v>8</v>
      </c>
      <c r="E33" s="375" t="s">
        <v>705</v>
      </c>
      <c r="F33" s="375" t="s">
        <v>8</v>
      </c>
      <c r="G33" s="375" t="s">
        <v>22</v>
      </c>
      <c r="H33" s="376" t="s">
        <v>40</v>
      </c>
      <c r="Q33" s="373"/>
      <c r="R33" s="373"/>
    </row>
    <row r="34" spans="1:18" ht="20.100000000000001" customHeight="1">
      <c r="A34" s="723" t="s">
        <v>725</v>
      </c>
      <c r="B34" s="715" t="s">
        <v>726</v>
      </c>
      <c r="C34" s="449">
        <f>C6</f>
        <v>0</v>
      </c>
      <c r="D34" s="449">
        <f t="shared" ref="C34:F36" si="7">D6</f>
        <v>0</v>
      </c>
      <c r="E34" s="449">
        <f t="shared" si="7"/>
        <v>0</v>
      </c>
      <c r="F34" s="449">
        <f t="shared" si="7"/>
        <v>0</v>
      </c>
      <c r="G34" s="449">
        <v>0.35799999999999998</v>
      </c>
      <c r="H34" s="450">
        <f t="shared" ref="H34:H36" si="8">ROUND((C34*D34+E34*F34)/1000*G34,2)</f>
        <v>0</v>
      </c>
      <c r="Q34" s="373"/>
      <c r="R34" s="373"/>
    </row>
    <row r="35" spans="1:18" ht="20.100000000000001" customHeight="1">
      <c r="A35" s="723"/>
      <c r="B35" s="715"/>
      <c r="C35" s="449">
        <f>C7</f>
        <v>8800</v>
      </c>
      <c r="D35" s="449">
        <f>D7</f>
        <v>4</v>
      </c>
      <c r="E35" s="449">
        <f t="shared" si="7"/>
        <v>0</v>
      </c>
      <c r="F35" s="449">
        <f t="shared" si="7"/>
        <v>0</v>
      </c>
      <c r="G35" s="449">
        <f>G34</f>
        <v>0.35799999999999998</v>
      </c>
      <c r="H35" s="450">
        <f t="shared" si="8"/>
        <v>12.6</v>
      </c>
      <c r="Q35" s="373"/>
      <c r="R35" s="373"/>
    </row>
    <row r="36" spans="1:18" ht="20.100000000000001" customHeight="1">
      <c r="A36" s="723"/>
      <c r="B36" s="715"/>
      <c r="C36" s="449">
        <f t="shared" si="7"/>
        <v>0</v>
      </c>
      <c r="D36" s="449">
        <f t="shared" si="7"/>
        <v>0</v>
      </c>
      <c r="E36" s="449">
        <f t="shared" si="7"/>
        <v>0</v>
      </c>
      <c r="F36" s="449">
        <f t="shared" si="7"/>
        <v>0</v>
      </c>
      <c r="G36" s="449">
        <f>G34</f>
        <v>0.35799999999999998</v>
      </c>
      <c r="H36" s="450">
        <f t="shared" si="8"/>
        <v>0</v>
      </c>
      <c r="Q36" s="373"/>
      <c r="R36" s="373"/>
    </row>
    <row r="37" spans="1:18" ht="20.100000000000001" customHeight="1">
      <c r="A37" s="694" t="s">
        <v>182</v>
      </c>
      <c r="B37" s="695"/>
      <c r="C37" s="447"/>
      <c r="D37" s="447" t="s">
        <v>710</v>
      </c>
      <c r="E37" s="447">
        <f>ROUND((C34*D34+E34*F34+C35*D35+E35*F35+C36*D36+E36*F36)/1000,2)</f>
        <v>35.200000000000003</v>
      </c>
      <c r="F37" s="447">
        <f>SUM(F34:F36)+SUM(D34:D36)</f>
        <v>4</v>
      </c>
      <c r="G37" s="447"/>
      <c r="H37" s="390">
        <f>SUM(H34:H36)</f>
        <v>12.6</v>
      </c>
      <c r="Q37" s="373"/>
      <c r="R37" s="373"/>
    </row>
    <row r="38" spans="1:18" ht="20.100000000000001" customHeight="1">
      <c r="A38" s="452" t="s">
        <v>711</v>
      </c>
      <c r="B38" s="384">
        <f>97.8/1000</f>
        <v>9.7799999999999998E-2</v>
      </c>
      <c r="C38" s="453" t="s">
        <v>712</v>
      </c>
      <c r="D38" s="384">
        <f>E37*B38</f>
        <v>3.4425600000000003</v>
      </c>
      <c r="E38" s="453" t="s">
        <v>713</v>
      </c>
      <c r="F38" s="453"/>
      <c r="G38" s="453" t="s">
        <v>714</v>
      </c>
      <c r="H38" s="382">
        <f>D38*F38</f>
        <v>0</v>
      </c>
      <c r="Q38" s="373"/>
      <c r="R38" s="373"/>
    </row>
    <row r="39" spans="1:18" ht="20.100000000000001" customHeight="1">
      <c r="A39" s="374" t="s">
        <v>139</v>
      </c>
      <c r="B39" s="375" t="s">
        <v>14</v>
      </c>
      <c r="C39" s="375" t="s">
        <v>705</v>
      </c>
      <c r="D39" s="375" t="s">
        <v>8</v>
      </c>
      <c r="E39" s="375" t="s">
        <v>705</v>
      </c>
      <c r="F39" s="375" t="s">
        <v>8</v>
      </c>
      <c r="G39" s="375" t="s">
        <v>22</v>
      </c>
      <c r="H39" s="376" t="s">
        <v>40</v>
      </c>
      <c r="Q39" s="373"/>
      <c r="R39" s="373"/>
    </row>
    <row r="40" spans="1:18" ht="20.100000000000001" customHeight="1">
      <c r="A40" s="722" t="s">
        <v>727</v>
      </c>
      <c r="B40" s="715" t="s">
        <v>728</v>
      </c>
      <c r="C40" s="391">
        <v>50</v>
      </c>
      <c r="D40" s="391">
        <v>5</v>
      </c>
      <c r="E40" s="391"/>
      <c r="F40" s="391">
        <v>0</v>
      </c>
      <c r="G40" s="449">
        <v>3.2410000000000001</v>
      </c>
      <c r="H40" s="450">
        <f>ROUND((C40*D40+E40*F40)/1000*G40,2)</f>
        <v>0.81</v>
      </c>
      <c r="Q40" s="373"/>
      <c r="R40" s="373"/>
    </row>
    <row r="41" spans="1:18" ht="20.100000000000001" customHeight="1">
      <c r="A41" s="722"/>
      <c r="B41" s="715"/>
      <c r="C41" s="391">
        <v>0</v>
      </c>
      <c r="D41" s="391">
        <v>0</v>
      </c>
      <c r="E41" s="391">
        <v>0</v>
      </c>
      <c r="F41" s="391">
        <v>0</v>
      </c>
      <c r="G41" s="449">
        <f>G40</f>
        <v>3.2410000000000001</v>
      </c>
      <c r="H41" s="450">
        <f t="shared" ref="H41:H42" si="9">ROUND((C41*D41+E41*F41)/1000*G41,2)</f>
        <v>0</v>
      </c>
      <c r="Q41" s="373"/>
      <c r="R41" s="373"/>
    </row>
    <row r="42" spans="1:18" ht="20.100000000000001" customHeight="1">
      <c r="A42" s="722"/>
      <c r="B42" s="715"/>
      <c r="C42" s="391">
        <v>0</v>
      </c>
      <c r="D42" s="391">
        <v>0</v>
      </c>
      <c r="E42" s="391">
        <v>0</v>
      </c>
      <c r="F42" s="391">
        <v>0</v>
      </c>
      <c r="G42" s="449">
        <f>G40</f>
        <v>3.2410000000000001</v>
      </c>
      <c r="H42" s="450">
        <f t="shared" si="9"/>
        <v>0</v>
      </c>
      <c r="Q42" s="373"/>
      <c r="R42" s="373"/>
    </row>
    <row r="43" spans="1:18" ht="20.100000000000001" customHeight="1">
      <c r="A43" s="694" t="s">
        <v>182</v>
      </c>
      <c r="B43" s="695"/>
      <c r="C43" s="447"/>
      <c r="D43" s="447" t="s">
        <v>710</v>
      </c>
      <c r="E43" s="392">
        <f>ROUND((E40*F40+E41*F41+E42*F42)/1000,2)</f>
        <v>0</v>
      </c>
      <c r="F43" s="447">
        <f>SUM(F40:F42)+SUM(D40:D42)</f>
        <v>5</v>
      </c>
      <c r="G43" s="447"/>
      <c r="H43" s="389">
        <f>SUM(H40:H42)</f>
        <v>0.81</v>
      </c>
      <c r="Q43" s="373"/>
      <c r="R43" s="373"/>
    </row>
    <row r="44" spans="1:18" ht="20.100000000000001" customHeight="1">
      <c r="A44" s="393" t="s">
        <v>139</v>
      </c>
      <c r="B44" s="451" t="s">
        <v>14</v>
      </c>
      <c r="C44" s="375" t="s">
        <v>715</v>
      </c>
      <c r="D44" s="375" t="s">
        <v>8</v>
      </c>
      <c r="E44" s="375" t="s">
        <v>705</v>
      </c>
      <c r="F44" s="375" t="s">
        <v>8</v>
      </c>
      <c r="G44" s="451" t="s">
        <v>22</v>
      </c>
      <c r="H44" s="454" t="s">
        <v>40</v>
      </c>
      <c r="Q44" s="373"/>
      <c r="R44" s="373"/>
    </row>
    <row r="45" spans="1:18" ht="20.100000000000001" customHeight="1">
      <c r="A45" s="722" t="s">
        <v>729</v>
      </c>
      <c r="B45" s="715" t="s">
        <v>730</v>
      </c>
      <c r="C45" s="449"/>
      <c r="D45" s="449"/>
      <c r="E45" s="449">
        <v>0</v>
      </c>
      <c r="F45" s="449">
        <v>0</v>
      </c>
      <c r="G45" s="449">
        <v>0.41699999999999998</v>
      </c>
      <c r="H45" s="450">
        <f>ROUND((C45*D45+E45*F45)/1000*G45,2)</f>
        <v>0</v>
      </c>
      <c r="Q45" s="373"/>
      <c r="R45" s="373"/>
    </row>
    <row r="46" spans="1:18" ht="20.100000000000001" customHeight="1">
      <c r="A46" s="722"/>
      <c r="B46" s="715"/>
      <c r="C46" s="449"/>
      <c r="D46" s="449"/>
      <c r="E46" s="449">
        <f>ROUND((C46+D46)/1000*2,2)</f>
        <v>0</v>
      </c>
      <c r="F46" s="449"/>
      <c r="G46" s="449">
        <f>G45</f>
        <v>0.41699999999999998</v>
      </c>
      <c r="H46" s="450">
        <f>E46*G46*F46</f>
        <v>0</v>
      </c>
      <c r="Q46" s="373"/>
      <c r="R46" s="373"/>
    </row>
    <row r="47" spans="1:18" ht="20.100000000000001" customHeight="1">
      <c r="A47" s="722"/>
      <c r="B47" s="715"/>
      <c r="C47" s="449"/>
      <c r="D47" s="449"/>
      <c r="E47" s="449">
        <f>ROUND((C47+D47)/1000*2,2)</f>
        <v>0</v>
      </c>
      <c r="F47" s="449"/>
      <c r="G47" s="449">
        <f>G45</f>
        <v>0.41699999999999998</v>
      </c>
      <c r="H47" s="450">
        <f>E47*G47*F47</f>
        <v>0</v>
      </c>
      <c r="Q47" s="373"/>
      <c r="R47" s="373"/>
    </row>
    <row r="48" spans="1:18" ht="20.100000000000001" customHeight="1">
      <c r="A48" s="718" t="s">
        <v>182</v>
      </c>
      <c r="B48" s="719"/>
      <c r="C48" s="453"/>
      <c r="D48" s="447" t="s">
        <v>710</v>
      </c>
      <c r="E48" s="447">
        <f>ROUND((E45*F45+E46*F46+E47*F47),2)</f>
        <v>0</v>
      </c>
      <c r="F48" s="453">
        <f>SUM(F45:F47)</f>
        <v>0</v>
      </c>
      <c r="G48" s="453"/>
      <c r="H48" s="382">
        <f>SUM(H45:H47)</f>
        <v>0</v>
      </c>
      <c r="Q48" s="373"/>
      <c r="R48" s="373"/>
    </row>
    <row r="49" spans="1:18" ht="20.100000000000001" customHeight="1">
      <c r="A49" s="393" t="s">
        <v>139</v>
      </c>
      <c r="B49" s="451" t="s">
        <v>14</v>
      </c>
      <c r="C49" s="375" t="s">
        <v>715</v>
      </c>
      <c r="D49" s="375" t="s">
        <v>8</v>
      </c>
      <c r="E49" s="375" t="s">
        <v>705</v>
      </c>
      <c r="F49" s="375" t="s">
        <v>8</v>
      </c>
      <c r="G49" s="451" t="s">
        <v>22</v>
      </c>
      <c r="H49" s="454" t="s">
        <v>40</v>
      </c>
      <c r="Q49" s="373"/>
      <c r="R49" s="373"/>
    </row>
    <row r="50" spans="1:18" ht="20.100000000000001" customHeight="1">
      <c r="A50" s="722" t="s">
        <v>731</v>
      </c>
      <c r="B50" s="715"/>
      <c r="C50" s="449">
        <f>C3</f>
        <v>2800</v>
      </c>
      <c r="D50" s="449"/>
      <c r="E50" s="449">
        <v>0</v>
      </c>
      <c r="F50" s="449">
        <v>0</v>
      </c>
      <c r="G50" s="449">
        <v>0.62</v>
      </c>
      <c r="H50" s="450">
        <f>ROUND((C50*D50+E50*F50)/1000*G50,2)</f>
        <v>0</v>
      </c>
      <c r="Q50" s="373"/>
      <c r="R50" s="373"/>
    </row>
    <row r="51" spans="1:18" ht="20.100000000000001" customHeight="1">
      <c r="A51" s="722"/>
      <c r="B51" s="715"/>
      <c r="C51" s="449"/>
      <c r="D51" s="449"/>
      <c r="E51" s="449">
        <f>ROUND((C51+D51)/1000*2,2)</f>
        <v>0</v>
      </c>
      <c r="F51" s="449"/>
      <c r="G51" s="449">
        <f>G50</f>
        <v>0.62</v>
      </c>
      <c r="H51" s="450">
        <f>E51*G51*F51</f>
        <v>0</v>
      </c>
      <c r="Q51" s="373"/>
      <c r="R51" s="373"/>
    </row>
    <row r="52" spans="1:18" ht="20.100000000000001" customHeight="1">
      <c r="A52" s="722"/>
      <c r="B52" s="715"/>
      <c r="C52" s="449"/>
      <c r="D52" s="449"/>
      <c r="E52" s="449">
        <f>ROUND((C52+D52)/1000*2,2)</f>
        <v>0</v>
      </c>
      <c r="F52" s="449"/>
      <c r="G52" s="449">
        <f>G50</f>
        <v>0.62</v>
      </c>
      <c r="H52" s="450">
        <f>E52*G52*F52</f>
        <v>0</v>
      </c>
      <c r="Q52" s="373"/>
      <c r="R52" s="373"/>
    </row>
    <row r="53" spans="1:18" ht="20.100000000000001" customHeight="1">
      <c r="A53" s="718" t="s">
        <v>182</v>
      </c>
      <c r="B53" s="719"/>
      <c r="C53" s="453"/>
      <c r="D53" s="447" t="s">
        <v>710</v>
      </c>
      <c r="E53" s="447">
        <f>ROUND((E50*F50+E51*F51+E52*F52),2)</f>
        <v>0</v>
      </c>
      <c r="F53" s="453">
        <f>SUM(F50:F52)</f>
        <v>0</v>
      </c>
      <c r="G53" s="453"/>
      <c r="H53" s="382">
        <f>SUM(H50:H52)</f>
        <v>0</v>
      </c>
      <c r="Q53" s="373"/>
      <c r="R53" s="373"/>
    </row>
    <row r="54" spans="1:18" ht="20.100000000000001" customHeight="1">
      <c r="A54" s="393" t="s">
        <v>139</v>
      </c>
      <c r="B54" s="451" t="s">
        <v>14</v>
      </c>
      <c r="C54" s="375" t="s">
        <v>715</v>
      </c>
      <c r="D54" s="375" t="s">
        <v>8</v>
      </c>
      <c r="E54" s="375" t="s">
        <v>705</v>
      </c>
      <c r="F54" s="375" t="s">
        <v>8</v>
      </c>
      <c r="G54" s="451" t="s">
        <v>22</v>
      </c>
      <c r="H54" s="454" t="s">
        <v>40</v>
      </c>
      <c r="Q54" s="373"/>
      <c r="R54" s="373"/>
    </row>
    <row r="55" spans="1:18" ht="20.100000000000001" customHeight="1">
      <c r="A55" s="722" t="s">
        <v>732</v>
      </c>
      <c r="B55" s="715" t="s">
        <v>733</v>
      </c>
      <c r="C55" s="449"/>
      <c r="D55" s="449"/>
      <c r="E55" s="449"/>
      <c r="F55" s="449"/>
      <c r="G55" s="449">
        <v>1.5740000000000001</v>
      </c>
      <c r="H55" s="450">
        <f>ROUND((C55*D55+E55*F55)/1000*G55,2)</f>
        <v>0</v>
      </c>
      <c r="Q55" s="373"/>
      <c r="R55" s="373"/>
    </row>
    <row r="56" spans="1:18" ht="20.100000000000001" customHeight="1">
      <c r="A56" s="722"/>
      <c r="B56" s="715"/>
      <c r="C56" s="449"/>
      <c r="D56" s="449"/>
      <c r="E56" s="449">
        <f>ROUND((C56+D56)/1000*2,2)</f>
        <v>0</v>
      </c>
      <c r="F56" s="449"/>
      <c r="G56" s="449">
        <f>G55</f>
        <v>1.5740000000000001</v>
      </c>
      <c r="H56" s="450">
        <f>E56*G56*F56</f>
        <v>0</v>
      </c>
      <c r="Q56" s="373"/>
      <c r="R56" s="373"/>
    </row>
    <row r="57" spans="1:18" ht="20.100000000000001" customHeight="1">
      <c r="A57" s="722"/>
      <c r="B57" s="715"/>
      <c r="C57" s="449"/>
      <c r="D57" s="449"/>
      <c r="E57" s="449">
        <f>ROUND((C57+D57)/1000*2,2)</f>
        <v>0</v>
      </c>
      <c r="F57" s="449"/>
      <c r="G57" s="449">
        <f>G55</f>
        <v>1.5740000000000001</v>
      </c>
      <c r="H57" s="450">
        <f>E57*G57*F57</f>
        <v>0</v>
      </c>
      <c r="Q57" s="373"/>
      <c r="R57" s="373"/>
    </row>
    <row r="58" spans="1:18" ht="20.100000000000001" customHeight="1">
      <c r="A58" s="718" t="s">
        <v>182</v>
      </c>
      <c r="B58" s="719"/>
      <c r="C58" s="453"/>
      <c r="D58" s="447" t="s">
        <v>710</v>
      </c>
      <c r="E58" s="447">
        <f>ROUND((E55*F55+E56*F56+E57*F57+D55*C55+D56*C56+C57*D57)/1000,2)</f>
        <v>0</v>
      </c>
      <c r="F58" s="453">
        <f>SUM(F55:F57)</f>
        <v>0</v>
      </c>
      <c r="G58" s="453"/>
      <c r="H58" s="382">
        <f>SUM(H55:H57)</f>
        <v>0</v>
      </c>
      <c r="Q58" s="373"/>
      <c r="R58" s="373"/>
    </row>
    <row r="59" spans="1:18" ht="20.100000000000001" customHeight="1">
      <c r="A59" s="393" t="s">
        <v>139</v>
      </c>
      <c r="B59" s="451" t="s">
        <v>14</v>
      </c>
      <c r="C59" s="375" t="s">
        <v>715</v>
      </c>
      <c r="D59" s="375" t="s">
        <v>8</v>
      </c>
      <c r="E59" s="375" t="s">
        <v>705</v>
      </c>
      <c r="F59" s="375" t="s">
        <v>8</v>
      </c>
      <c r="G59" s="451" t="s">
        <v>22</v>
      </c>
      <c r="H59" s="454" t="s">
        <v>40</v>
      </c>
      <c r="Q59" s="373"/>
      <c r="R59" s="373"/>
    </row>
    <row r="60" spans="1:18" ht="20.100000000000001" customHeight="1">
      <c r="A60" s="722" t="s">
        <v>734</v>
      </c>
      <c r="B60" s="715" t="s">
        <v>735</v>
      </c>
      <c r="C60" s="449">
        <f>C55</f>
        <v>0</v>
      </c>
      <c r="D60" s="449">
        <f>D55</f>
        <v>0</v>
      </c>
      <c r="E60" s="449">
        <f>E55</f>
        <v>0</v>
      </c>
      <c r="F60" s="449">
        <f>F55</f>
        <v>0</v>
      </c>
      <c r="G60" s="449">
        <f>1.699+0.367</f>
        <v>2.0659999999999998</v>
      </c>
      <c r="H60" s="450">
        <f>ROUND((C60*D60+E60*F60)/1000*G60,2)</f>
        <v>0</v>
      </c>
      <c r="Q60" s="373"/>
      <c r="R60" s="373"/>
    </row>
    <row r="61" spans="1:18" ht="20.100000000000001" customHeight="1">
      <c r="A61" s="722"/>
      <c r="B61" s="715"/>
      <c r="C61" s="449">
        <f t="shared" ref="C61:C62" si="10">C56</f>
        <v>0</v>
      </c>
      <c r="D61" s="449"/>
      <c r="E61" s="449">
        <f t="shared" ref="E61:E62" si="11">E56</f>
        <v>0</v>
      </c>
      <c r="F61" s="449"/>
      <c r="G61" s="449">
        <f>G60</f>
        <v>2.0659999999999998</v>
      </c>
      <c r="H61" s="450">
        <f>E61*G61*F61</f>
        <v>0</v>
      </c>
      <c r="Q61" s="373"/>
      <c r="R61" s="373"/>
    </row>
    <row r="62" spans="1:18" ht="20.100000000000001" customHeight="1">
      <c r="A62" s="722"/>
      <c r="B62" s="715"/>
      <c r="C62" s="449">
        <f t="shared" si="10"/>
        <v>0</v>
      </c>
      <c r="D62" s="449"/>
      <c r="E62" s="449">
        <f t="shared" si="11"/>
        <v>0</v>
      </c>
      <c r="F62" s="449"/>
      <c r="G62" s="449">
        <f>G60</f>
        <v>2.0659999999999998</v>
      </c>
      <c r="H62" s="450">
        <f>E62*G62*F62</f>
        <v>0</v>
      </c>
      <c r="Q62" s="373"/>
      <c r="R62" s="373"/>
    </row>
    <row r="63" spans="1:18" ht="20.100000000000001" customHeight="1">
      <c r="A63" s="718" t="s">
        <v>182</v>
      </c>
      <c r="B63" s="719"/>
      <c r="C63" s="453"/>
      <c r="D63" s="447" t="s">
        <v>710</v>
      </c>
      <c r="E63" s="447">
        <f>ROUND((E60*F60+E61*F61+E62*F62+D60*C60+D61*C61+C62*D62)/1000,2)</f>
        <v>0</v>
      </c>
      <c r="F63" s="453">
        <f>SUM(F60:F62)</f>
        <v>0</v>
      </c>
      <c r="G63" s="453"/>
      <c r="H63" s="382">
        <f>SUM(H60:H62)</f>
        <v>0</v>
      </c>
      <c r="Q63" s="373"/>
      <c r="R63" s="373"/>
    </row>
    <row r="64" spans="1:18" ht="20.100000000000001" customHeight="1">
      <c r="A64" s="396" t="s">
        <v>142</v>
      </c>
      <c r="B64" s="397">
        <f>材料价格!B4</f>
        <v>22081.5</v>
      </c>
      <c r="C64" s="398" t="s">
        <v>138</v>
      </c>
      <c r="D64" s="399">
        <f>(H9+H15+H21+H26+H32+H37+H43+H48+H53)*1.1</f>
        <v>360.01900000000012</v>
      </c>
      <c r="E64" s="398" t="s">
        <v>736</v>
      </c>
      <c r="F64" s="400">
        <f>ROUND((B64+Q64)/1000,2)</f>
        <v>41.28</v>
      </c>
      <c r="G64" s="398" t="s">
        <v>45</v>
      </c>
      <c r="H64" s="401">
        <f>ROUND(D64*F64,2)</f>
        <v>14861.58</v>
      </c>
      <c r="I64" s="402">
        <v>28645.186483760001</v>
      </c>
      <c r="J64" s="403">
        <f>ROUND(I64/J3,2)</f>
        <v>471.76</v>
      </c>
      <c r="Q64" s="373">
        <f>材料价格!B7</f>
        <v>19200</v>
      </c>
      <c r="R64" s="373"/>
    </row>
    <row r="65" spans="1:18" ht="20.100000000000001" customHeight="1">
      <c r="A65" s="396" t="str">
        <f>A64</f>
        <v>铝锭价格</v>
      </c>
      <c r="B65" s="397">
        <f>B64</f>
        <v>22081.5</v>
      </c>
      <c r="C65" s="398" t="s">
        <v>737</v>
      </c>
      <c r="D65" s="399">
        <f>(H58+H63)*1.1</f>
        <v>0</v>
      </c>
      <c r="E65" s="398" t="str">
        <f>E64</f>
        <v>型材价格</v>
      </c>
      <c r="F65" s="400"/>
      <c r="G65" s="398" t="str">
        <f>G64</f>
        <v>型材总价</v>
      </c>
      <c r="H65" s="401">
        <f>ROUND(D65*F65,2)</f>
        <v>0</v>
      </c>
      <c r="I65" s="402"/>
      <c r="J65" s="403"/>
      <c r="Q65" s="373"/>
      <c r="R65" s="373"/>
    </row>
    <row r="66" spans="1:18" ht="20.100000000000001" customHeight="1">
      <c r="A66" s="404" t="s">
        <v>714</v>
      </c>
      <c r="B66" s="405"/>
      <c r="C66" s="405"/>
      <c r="D66" s="406"/>
      <c r="E66" s="406"/>
      <c r="F66" s="407"/>
      <c r="G66" s="407"/>
      <c r="H66" s="408">
        <f>H38+H27+H16+H10</f>
        <v>0</v>
      </c>
      <c r="I66" s="402"/>
      <c r="J66" s="403"/>
      <c r="Q66" s="373">
        <f>H66+H64</f>
        <v>14861.58</v>
      </c>
      <c r="R66" s="373">
        <f>Q66/D64</f>
        <v>41.279988000633288</v>
      </c>
    </row>
    <row r="67" spans="1:18" ht="20.100000000000001" customHeight="1">
      <c r="A67" s="409" t="s">
        <v>112</v>
      </c>
      <c r="B67" s="410" t="s">
        <v>14</v>
      </c>
      <c r="C67" s="410" t="s">
        <v>301</v>
      </c>
      <c r="D67" s="410" t="s">
        <v>8</v>
      </c>
      <c r="E67" s="410" t="s">
        <v>112</v>
      </c>
      <c r="F67" s="410" t="s">
        <v>14</v>
      </c>
      <c r="G67" s="410" t="s">
        <v>301</v>
      </c>
      <c r="H67" s="411" t="s">
        <v>8</v>
      </c>
      <c r="Q67" s="373"/>
      <c r="R67" s="373"/>
    </row>
    <row r="68" spans="1:18" ht="20.100000000000001" customHeight="1">
      <c r="A68" s="720" t="s">
        <v>738</v>
      </c>
      <c r="B68" s="412" t="s">
        <v>739</v>
      </c>
      <c r="C68" s="108">
        <v>1.1000000000000001</v>
      </c>
      <c r="D68" s="443">
        <f>D55*2</f>
        <v>0</v>
      </c>
      <c r="E68" s="720" t="s">
        <v>740</v>
      </c>
      <c r="F68" s="412" t="s">
        <v>741</v>
      </c>
      <c r="G68" s="108">
        <v>0.85</v>
      </c>
      <c r="H68" s="443">
        <f>D68</f>
        <v>0</v>
      </c>
      <c r="Q68" s="373"/>
      <c r="R68" s="373"/>
    </row>
    <row r="69" spans="1:18" ht="20.100000000000001" customHeight="1">
      <c r="A69" s="720"/>
      <c r="B69" s="412" t="s">
        <v>742</v>
      </c>
      <c r="C69" s="108">
        <v>0.91</v>
      </c>
      <c r="D69" s="443">
        <f>D68</f>
        <v>0</v>
      </c>
      <c r="E69" s="720"/>
      <c r="F69" s="412" t="s">
        <v>743</v>
      </c>
      <c r="G69" s="108">
        <v>1.45</v>
      </c>
      <c r="H69" s="443">
        <f>H68</f>
        <v>0</v>
      </c>
      <c r="Q69" s="373"/>
      <c r="R69" s="373"/>
    </row>
    <row r="70" spans="1:18" ht="20.100000000000001" customHeight="1">
      <c r="A70" s="396" t="s">
        <v>151</v>
      </c>
      <c r="B70" s="399"/>
      <c r="C70" s="398" t="s">
        <v>304</v>
      </c>
      <c r="D70" s="398">
        <f>ROUND(B70*1.05,3)</f>
        <v>0</v>
      </c>
      <c r="E70" s="398" t="s">
        <v>744</v>
      </c>
      <c r="F70" s="398"/>
      <c r="G70" s="398" t="s">
        <v>745</v>
      </c>
      <c r="H70" s="401">
        <f>D68*C68+C69*D69+G68*H68+G69*H69</f>
        <v>0</v>
      </c>
      <c r="Q70" s="373"/>
      <c r="R70" s="373"/>
    </row>
    <row r="71" spans="1:18" ht="20.100000000000001" customHeight="1">
      <c r="A71" s="714" t="s">
        <v>746</v>
      </c>
      <c r="B71" s="715"/>
      <c r="C71" s="715"/>
      <c r="D71" s="715"/>
      <c r="E71" s="715"/>
      <c r="F71" s="715"/>
      <c r="G71" s="715"/>
      <c r="H71" s="716"/>
      <c r="I71" s="403"/>
      <c r="J71" s="403"/>
      <c r="Q71" s="373"/>
      <c r="R71" s="373"/>
    </row>
    <row r="72" spans="1:18" ht="20.100000000000001" customHeight="1">
      <c r="A72" s="393" t="s">
        <v>747</v>
      </c>
      <c r="B72" s="451" t="s">
        <v>748</v>
      </c>
      <c r="C72" s="451" t="s">
        <v>17</v>
      </c>
      <c r="D72" s="451" t="s">
        <v>8</v>
      </c>
      <c r="E72" s="451" t="s">
        <v>7</v>
      </c>
      <c r="F72" s="451" t="s">
        <v>28</v>
      </c>
      <c r="G72" s="717" t="s">
        <v>29</v>
      </c>
      <c r="H72" s="721"/>
      <c r="I72" s="403"/>
      <c r="J72" s="403"/>
      <c r="Q72" s="373"/>
      <c r="R72" s="373"/>
    </row>
    <row r="73" spans="1:18" ht="20.100000000000001" customHeight="1">
      <c r="A73" s="413" t="str">
        <f>[32]价格表!A12</f>
        <v>6+16Ar+6+16Ar+6暖边氩气</v>
      </c>
      <c r="B73" s="449"/>
      <c r="C73" s="449"/>
      <c r="D73" s="414">
        <v>1</v>
      </c>
      <c r="E73" s="448">
        <f>E3*0.95-E112</f>
        <v>10.230999999999996</v>
      </c>
      <c r="F73" s="416">
        <f>材料价格!B10</f>
        <v>148</v>
      </c>
      <c r="G73" s="701">
        <f>E73*F73</f>
        <v>1514.1879999999994</v>
      </c>
      <c r="H73" s="713"/>
      <c r="I73" s="403"/>
      <c r="J73" s="403"/>
      <c r="Q73" s="373"/>
      <c r="R73" s="373"/>
    </row>
    <row r="74" spans="1:18" ht="20.100000000000001" customHeight="1">
      <c r="A74" s="413" t="str">
        <f>A73</f>
        <v>6+16Ar+6+16Ar+6暖边氩气</v>
      </c>
      <c r="B74" s="449"/>
      <c r="C74" s="449"/>
      <c r="D74" s="449"/>
      <c r="E74" s="449">
        <f t="shared" ref="E74:E75" si="12">ROUND((B74*C74*D74)/1000000,2)</f>
        <v>0</v>
      </c>
      <c r="F74" s="416">
        <f>F73</f>
        <v>148</v>
      </c>
      <c r="G74" s="701">
        <f t="shared" ref="G74:G75" si="13">E74*F74</f>
        <v>0</v>
      </c>
      <c r="H74" s="713"/>
      <c r="I74" s="403" t="s">
        <v>749</v>
      </c>
      <c r="J74" s="403">
        <v>0.17</v>
      </c>
      <c r="Q74" s="373"/>
      <c r="R74" s="373"/>
    </row>
    <row r="75" spans="1:18" ht="20.100000000000001" customHeight="1">
      <c r="A75" s="413" t="str">
        <f>A73</f>
        <v>6+16Ar+6+16Ar+6暖边氩气</v>
      </c>
      <c r="B75" s="449"/>
      <c r="C75" s="449"/>
      <c r="D75" s="449"/>
      <c r="E75" s="449">
        <f t="shared" si="12"/>
        <v>0</v>
      </c>
      <c r="F75" s="416">
        <f>F73</f>
        <v>148</v>
      </c>
      <c r="G75" s="701">
        <f t="shared" si="13"/>
        <v>0</v>
      </c>
      <c r="H75" s="713"/>
      <c r="I75" s="403" t="s">
        <v>183</v>
      </c>
      <c r="J75" s="403">
        <v>0.82</v>
      </c>
      <c r="Q75" s="373"/>
      <c r="R75" s="373"/>
    </row>
    <row r="76" spans="1:18" ht="20.100000000000001" customHeight="1">
      <c r="A76" s="417"/>
      <c r="B76" s="418" t="s">
        <v>750</v>
      </c>
      <c r="C76" s="419" t="s">
        <v>751</v>
      </c>
      <c r="D76" s="420">
        <f>E73+E74+E75</f>
        <v>10.230999999999996</v>
      </c>
      <c r="E76" s="418" t="s">
        <v>185</v>
      </c>
      <c r="F76" s="421">
        <f>G73+G74+G75</f>
        <v>1514.1879999999994</v>
      </c>
      <c r="G76" s="421" t="s">
        <v>752</v>
      </c>
      <c r="H76" s="422">
        <f>F76/D76</f>
        <v>148</v>
      </c>
      <c r="J76" s="364">
        <v>3</v>
      </c>
      <c r="K76" s="364">
        <v>0.8</v>
      </c>
      <c r="L76" s="364">
        <v>100</v>
      </c>
      <c r="M76" s="364">
        <f>J76*K76*L76</f>
        <v>240.00000000000003</v>
      </c>
      <c r="N76" s="423" t="e">
        <f>#REF!*M76/#REF!</f>
        <v>#REF!</v>
      </c>
      <c r="O76" s="364" t="s">
        <v>753</v>
      </c>
      <c r="Q76" s="373"/>
      <c r="R76" s="373"/>
    </row>
    <row r="77" spans="1:18" ht="20.100000000000001" customHeight="1">
      <c r="A77" s="714" t="s">
        <v>754</v>
      </c>
      <c r="B77" s="715"/>
      <c r="C77" s="715"/>
      <c r="D77" s="715"/>
      <c r="E77" s="715"/>
      <c r="F77" s="715"/>
      <c r="G77" s="715"/>
      <c r="H77" s="716"/>
      <c r="Q77" s="373"/>
      <c r="R77" s="373"/>
    </row>
    <row r="78" spans="1:18" ht="20.100000000000001" customHeight="1">
      <c r="A78" s="393" t="s">
        <v>0</v>
      </c>
      <c r="B78" s="451" t="s">
        <v>139</v>
      </c>
      <c r="C78" s="717" t="s">
        <v>755</v>
      </c>
      <c r="D78" s="717"/>
      <c r="E78" s="451" t="s">
        <v>8</v>
      </c>
      <c r="F78" s="451" t="s">
        <v>269</v>
      </c>
      <c r="G78" s="451" t="s">
        <v>28</v>
      </c>
      <c r="H78" s="454" t="s">
        <v>29</v>
      </c>
      <c r="M78" s="364">
        <v>300</v>
      </c>
      <c r="N78" s="364">
        <v>35</v>
      </c>
      <c r="Q78" s="373"/>
      <c r="R78" s="373"/>
    </row>
    <row r="79" spans="1:18" ht="20.100000000000001" customHeight="1">
      <c r="A79" s="702" t="s">
        <v>275</v>
      </c>
      <c r="B79" s="449" t="s">
        <v>756</v>
      </c>
      <c r="C79" s="706" t="s">
        <v>757</v>
      </c>
      <c r="D79" s="706"/>
      <c r="E79" s="448">
        <f>E9*2+E15*2</f>
        <v>109.60000000000001</v>
      </c>
      <c r="F79" s="448" t="s">
        <v>758</v>
      </c>
      <c r="G79" s="448">
        <v>6.3244800000000003</v>
      </c>
      <c r="H79" s="450">
        <f t="shared" ref="H79:H83" si="14">E79*G79</f>
        <v>693.1630080000001</v>
      </c>
      <c r="Q79" s="373"/>
      <c r="R79" s="373"/>
    </row>
    <row r="80" spans="1:18" ht="20.100000000000001" customHeight="1">
      <c r="A80" s="703"/>
      <c r="B80" s="449" t="s">
        <v>759</v>
      </c>
      <c r="C80" s="706" t="s">
        <v>760</v>
      </c>
      <c r="D80" s="706"/>
      <c r="E80" s="448">
        <f>(C3+D3*2)/1000+(E119+0.032*2*D119)</f>
        <v>27.884</v>
      </c>
      <c r="F80" s="448" t="s">
        <v>758</v>
      </c>
      <c r="G80" s="448">
        <v>5.0796720000000004</v>
      </c>
      <c r="H80" s="450">
        <f t="shared" si="14"/>
        <v>141.64157404800002</v>
      </c>
      <c r="Q80" s="373"/>
      <c r="R80" s="373"/>
    </row>
    <row r="81" spans="1:18" ht="20.100000000000001" customHeight="1">
      <c r="A81" s="703"/>
      <c r="B81" s="449" t="s">
        <v>761</v>
      </c>
      <c r="C81" s="706" t="s">
        <v>762</v>
      </c>
      <c r="D81" s="706"/>
      <c r="E81" s="448">
        <f>((C6-58+16)*D6+(E6-58+16)*F6+(C7-58+16)*D7+(E7-58+16)*F7+(C8-58+16)*D8+(E8-58+16)*F8)/1000</f>
        <v>35.031999999999996</v>
      </c>
      <c r="F81" s="448" t="s">
        <v>758</v>
      </c>
      <c r="G81" s="448">
        <v>72.054360000000003</v>
      </c>
      <c r="H81" s="450">
        <f t="shared" si="14"/>
        <v>2524.2083395199998</v>
      </c>
      <c r="Q81" s="373"/>
      <c r="R81" s="373"/>
    </row>
    <row r="82" spans="1:18" ht="20.100000000000001" customHeight="1">
      <c r="A82" s="703"/>
      <c r="B82" s="449" t="s">
        <v>763</v>
      </c>
      <c r="C82" s="706" t="s">
        <v>764</v>
      </c>
      <c r="D82" s="706"/>
      <c r="E82" s="448">
        <f>(E15-E83)+32*F15/1000</f>
        <v>17.024000000000001</v>
      </c>
      <c r="F82" s="448" t="s">
        <v>758</v>
      </c>
      <c r="G82" s="448">
        <v>71.542439999999999</v>
      </c>
      <c r="H82" s="450">
        <f t="shared" si="14"/>
        <v>1217.93849856</v>
      </c>
      <c r="R82" s="373"/>
    </row>
    <row r="83" spans="1:18" ht="20.100000000000001" customHeight="1">
      <c r="A83" s="704"/>
      <c r="B83" s="449" t="s">
        <v>765</v>
      </c>
      <c r="C83" s="706" t="s">
        <v>766</v>
      </c>
      <c r="D83" s="706"/>
      <c r="E83" s="448">
        <f>C3/1000</f>
        <v>2.8</v>
      </c>
      <c r="F83" s="448" t="s">
        <v>758</v>
      </c>
      <c r="G83" s="448">
        <v>84.492720000000006</v>
      </c>
      <c r="H83" s="450">
        <f t="shared" si="14"/>
        <v>236.57961599999999</v>
      </c>
      <c r="R83" s="373"/>
    </row>
    <row r="84" spans="1:18" ht="20.100000000000001" customHeight="1">
      <c r="A84" s="694" t="s">
        <v>227</v>
      </c>
      <c r="B84" s="695"/>
      <c r="C84" s="695"/>
      <c r="D84" s="695"/>
      <c r="E84" s="424">
        <f>SUM(E79:E83)</f>
        <v>192.34000000000003</v>
      </c>
      <c r="F84" s="424"/>
      <c r="G84" s="424">
        <f>H84/E84</f>
        <v>25.026156993490687</v>
      </c>
      <c r="H84" s="389">
        <f>SUM(H79:H83)</f>
        <v>4813.5310361279999</v>
      </c>
      <c r="R84" s="373"/>
    </row>
    <row r="85" spans="1:18" ht="20.100000000000001" customHeight="1">
      <c r="A85" s="702" t="s">
        <v>767</v>
      </c>
      <c r="B85" s="449" t="s">
        <v>753</v>
      </c>
      <c r="C85" s="706" t="s">
        <v>768</v>
      </c>
      <c r="D85" s="706"/>
      <c r="E85" s="448">
        <f>(C3+D3)*2/1000</f>
        <v>23.2</v>
      </c>
      <c r="F85" s="448" t="s">
        <v>758</v>
      </c>
      <c r="G85" s="448">
        <v>25</v>
      </c>
      <c r="H85" s="450">
        <f>G85*E85</f>
        <v>580</v>
      </c>
      <c r="J85" s="364">
        <v>2</v>
      </c>
      <c r="K85" s="364">
        <v>0.6</v>
      </c>
      <c r="L85" s="364">
        <v>100</v>
      </c>
      <c r="M85" s="364">
        <f>J85*K85*L85</f>
        <v>120</v>
      </c>
      <c r="N85" s="364">
        <f>N78*M85/M78</f>
        <v>14</v>
      </c>
      <c r="O85" s="364" t="s">
        <v>753</v>
      </c>
      <c r="Q85" s="373"/>
      <c r="R85" s="373"/>
    </row>
    <row r="86" spans="1:18" ht="20.100000000000001" customHeight="1">
      <c r="A86" s="703"/>
      <c r="B86" s="449" t="s">
        <v>769</v>
      </c>
      <c r="C86" s="706" t="s">
        <v>770</v>
      </c>
      <c r="D86" s="706"/>
      <c r="E86" s="448">
        <f>(C3+D3)*2/1000</f>
        <v>23.2</v>
      </c>
      <c r="F86" s="448" t="s">
        <v>758</v>
      </c>
      <c r="G86" s="448">
        <f>[33]价格表!B17</f>
        <v>10</v>
      </c>
      <c r="H86" s="450">
        <f t="shared" ref="H86:H89" si="15">G86*E86</f>
        <v>232</v>
      </c>
      <c r="Q86" s="373"/>
      <c r="R86" s="373"/>
    </row>
    <row r="87" spans="1:18" ht="18.95" customHeight="1">
      <c r="A87" s="703"/>
      <c r="B87" s="449" t="s">
        <v>221</v>
      </c>
      <c r="C87" s="706" t="s">
        <v>771</v>
      </c>
      <c r="D87" s="706"/>
      <c r="E87" s="448">
        <f>E86</f>
        <v>23.2</v>
      </c>
      <c r="F87" s="448" t="s">
        <v>758</v>
      </c>
      <c r="G87" s="448">
        <f>[33]价格表!B18</f>
        <v>0</v>
      </c>
      <c r="H87" s="450">
        <f t="shared" si="15"/>
        <v>0</v>
      </c>
      <c r="J87" s="364">
        <v>0.6</v>
      </c>
      <c r="K87" s="364">
        <v>2.5</v>
      </c>
      <c r="L87" s="364">
        <v>100</v>
      </c>
      <c r="M87" s="364">
        <f>L87*K87*J87</f>
        <v>150</v>
      </c>
      <c r="N87" s="364" t="e">
        <f>#REF!*M87/#REF!</f>
        <v>#REF!</v>
      </c>
      <c r="O87" s="364" t="s">
        <v>641</v>
      </c>
      <c r="Q87" s="373"/>
      <c r="R87" s="373"/>
    </row>
    <row r="88" spans="1:18" ht="20.100000000000001" customHeight="1">
      <c r="A88" s="703"/>
      <c r="B88" s="449" t="s">
        <v>772</v>
      </c>
      <c r="C88" s="701"/>
      <c r="D88" s="701"/>
      <c r="E88" s="448">
        <f>(C3+D3)*2/1000</f>
        <v>23.2</v>
      </c>
      <c r="F88" s="448" t="s">
        <v>758</v>
      </c>
      <c r="G88" s="448">
        <f>G86</f>
        <v>10</v>
      </c>
      <c r="H88" s="450">
        <f t="shared" si="15"/>
        <v>232</v>
      </c>
      <c r="Q88" s="373"/>
      <c r="R88" s="373"/>
    </row>
    <row r="89" spans="1:18" ht="20.100000000000001" customHeight="1">
      <c r="A89" s="704"/>
      <c r="B89" s="449"/>
      <c r="C89" s="701"/>
      <c r="D89" s="701"/>
      <c r="E89" s="448"/>
      <c r="F89" s="448" t="s">
        <v>758</v>
      </c>
      <c r="G89" s="448">
        <v>2</v>
      </c>
      <c r="H89" s="450">
        <f t="shared" si="15"/>
        <v>0</v>
      </c>
      <c r="Q89" s="373"/>
      <c r="R89" s="373"/>
    </row>
    <row r="90" spans="1:18" ht="20.100000000000001" customHeight="1">
      <c r="A90" s="694" t="s">
        <v>227</v>
      </c>
      <c r="B90" s="695"/>
      <c r="C90" s="695"/>
      <c r="D90" s="695"/>
      <c r="E90" s="424"/>
      <c r="F90" s="424"/>
      <c r="G90" s="424"/>
      <c r="H90" s="389">
        <f>SUM(H85:H89)</f>
        <v>1044</v>
      </c>
      <c r="Q90" s="373"/>
      <c r="R90" s="373"/>
    </row>
    <row r="91" spans="1:18" ht="20.100000000000001" customHeight="1">
      <c r="A91" s="705" t="s">
        <v>773</v>
      </c>
      <c r="B91" s="449" t="s">
        <v>774</v>
      </c>
      <c r="C91" s="706" t="s">
        <v>775</v>
      </c>
      <c r="D91" s="706"/>
      <c r="E91" s="425">
        <v>12</v>
      </c>
      <c r="F91" s="448" t="s">
        <v>274</v>
      </c>
      <c r="G91" s="448">
        <v>25</v>
      </c>
      <c r="H91" s="450">
        <f>G91*E91</f>
        <v>300</v>
      </c>
      <c r="M91" s="364">
        <v>300</v>
      </c>
      <c r="N91" s="364">
        <v>16</v>
      </c>
      <c r="Q91" s="373"/>
      <c r="R91" s="373"/>
    </row>
    <row r="92" spans="1:18" ht="20.100000000000001" customHeight="1">
      <c r="A92" s="705"/>
      <c r="B92" s="449" t="s">
        <v>776</v>
      </c>
      <c r="C92" s="706" t="s">
        <v>777</v>
      </c>
      <c r="D92" s="706"/>
      <c r="E92" s="448">
        <f>E91*2</f>
        <v>24</v>
      </c>
      <c r="F92" s="448" t="s">
        <v>274</v>
      </c>
      <c r="G92" s="448">
        <v>12</v>
      </c>
      <c r="H92" s="450">
        <f t="shared" ref="H92:H96" si="16">G92*E92</f>
        <v>288</v>
      </c>
      <c r="J92" s="364">
        <v>0.6</v>
      </c>
      <c r="K92" s="364">
        <v>2</v>
      </c>
      <c r="L92" s="364">
        <v>100</v>
      </c>
      <c r="M92" s="364">
        <f>L92*K92*J92</f>
        <v>120</v>
      </c>
      <c r="N92" s="364">
        <f>N91*M92/M91</f>
        <v>6.4</v>
      </c>
      <c r="O92" s="364" t="s">
        <v>283</v>
      </c>
      <c r="Q92" s="373"/>
      <c r="R92" s="373"/>
    </row>
    <row r="93" spans="1:18" ht="20.100000000000001" customHeight="1">
      <c r="A93" s="705"/>
      <c r="B93" s="449" t="s">
        <v>778</v>
      </c>
      <c r="C93" s="701" t="s">
        <v>779</v>
      </c>
      <c r="D93" s="701"/>
      <c r="E93" s="448">
        <f>E91*2</f>
        <v>24</v>
      </c>
      <c r="F93" s="448" t="s">
        <v>274</v>
      </c>
      <c r="G93" s="448">
        <v>10</v>
      </c>
      <c r="H93" s="450">
        <f t="shared" si="16"/>
        <v>240</v>
      </c>
      <c r="Q93" s="373"/>
      <c r="R93" s="373"/>
    </row>
    <row r="94" spans="1:18" ht="20.100000000000001" customHeight="1">
      <c r="A94" s="705"/>
      <c r="B94" s="449" t="s">
        <v>780</v>
      </c>
      <c r="C94" s="701"/>
      <c r="D94" s="701"/>
      <c r="E94" s="448">
        <f>E93</f>
        <v>24</v>
      </c>
      <c r="F94" s="448" t="s">
        <v>274</v>
      </c>
      <c r="G94" s="448">
        <v>3</v>
      </c>
      <c r="H94" s="450">
        <f t="shared" si="16"/>
        <v>72</v>
      </c>
      <c r="Q94" s="373"/>
      <c r="R94" s="373"/>
    </row>
    <row r="95" spans="1:18" ht="20.100000000000001" customHeight="1">
      <c r="A95" s="705"/>
      <c r="B95" s="449" t="s">
        <v>781</v>
      </c>
      <c r="C95" s="701" t="s">
        <v>782</v>
      </c>
      <c r="D95" s="701"/>
      <c r="E95" s="448">
        <f>E92</f>
        <v>24</v>
      </c>
      <c r="F95" s="448" t="s">
        <v>274</v>
      </c>
      <c r="G95" s="448">
        <v>2.5</v>
      </c>
      <c r="H95" s="450">
        <f t="shared" si="16"/>
        <v>60</v>
      </c>
      <c r="O95" s="364" t="s">
        <v>783</v>
      </c>
      <c r="Q95" s="373"/>
      <c r="R95" s="373"/>
    </row>
    <row r="96" spans="1:18" ht="20.100000000000001" customHeight="1">
      <c r="A96" s="705"/>
      <c r="B96" s="449" t="s">
        <v>784</v>
      </c>
      <c r="C96" s="701" t="s">
        <v>785</v>
      </c>
      <c r="D96" s="701"/>
      <c r="E96" s="426">
        <f>20*14</f>
        <v>280</v>
      </c>
      <c r="F96" s="448" t="s">
        <v>274</v>
      </c>
      <c r="G96" s="448">
        <v>2.5</v>
      </c>
      <c r="H96" s="450">
        <f t="shared" si="16"/>
        <v>700</v>
      </c>
      <c r="Q96" s="373"/>
      <c r="R96" s="373"/>
    </row>
    <row r="97" spans="1:18" ht="20.100000000000001" customHeight="1">
      <c r="A97" s="694" t="s">
        <v>786</v>
      </c>
      <c r="B97" s="695"/>
      <c r="C97" s="695"/>
      <c r="D97" s="695"/>
      <c r="E97" s="424"/>
      <c r="F97" s="424"/>
      <c r="G97" s="424">
        <f>H97/E91</f>
        <v>138.33333333333334</v>
      </c>
      <c r="H97" s="389">
        <f>SUM(H91:H96)</f>
        <v>1660</v>
      </c>
      <c r="Q97" s="373"/>
      <c r="R97" s="373"/>
    </row>
    <row r="98" spans="1:18" ht="20.100000000000001" customHeight="1">
      <c r="A98" s="705" t="s">
        <v>272</v>
      </c>
      <c r="B98" s="449" t="s">
        <v>787</v>
      </c>
      <c r="C98" s="701" t="s">
        <v>788</v>
      </c>
      <c r="D98" s="701"/>
      <c r="E98" s="448"/>
      <c r="F98" s="448" t="s">
        <v>789</v>
      </c>
      <c r="G98" s="448">
        <f>[32]价格表!B16</f>
        <v>250</v>
      </c>
      <c r="H98" s="450">
        <f>E98*G98</f>
        <v>0</v>
      </c>
      <c r="Q98" s="373"/>
      <c r="R98" s="373"/>
    </row>
    <row r="99" spans="1:18" ht="20.100000000000001" customHeight="1">
      <c r="A99" s="705"/>
      <c r="B99" s="449" t="s">
        <v>790</v>
      </c>
      <c r="C99" s="707" t="str">
        <f>C98</f>
        <v>诺托</v>
      </c>
      <c r="D99" s="708"/>
      <c r="E99" s="448"/>
      <c r="F99" s="448" t="s">
        <v>789</v>
      </c>
      <c r="G99" s="448"/>
      <c r="H99" s="450">
        <f t="shared" ref="H99:H109" si="17">E99*G99</f>
        <v>0</v>
      </c>
      <c r="Q99" s="373"/>
      <c r="R99" s="373"/>
    </row>
    <row r="100" spans="1:18" ht="20.100000000000001" customHeight="1">
      <c r="A100" s="705"/>
      <c r="B100" s="449" t="s">
        <v>791</v>
      </c>
      <c r="C100" s="701" t="s">
        <v>788</v>
      </c>
      <c r="D100" s="701"/>
      <c r="E100" s="448"/>
      <c r="F100" s="448" t="s">
        <v>789</v>
      </c>
      <c r="G100" s="448"/>
      <c r="H100" s="450">
        <f t="shared" si="17"/>
        <v>0</v>
      </c>
      <c r="Q100" s="373"/>
      <c r="R100" s="373"/>
    </row>
    <row r="101" spans="1:18" ht="20.100000000000001" customHeight="1">
      <c r="A101" s="694" t="s">
        <v>792</v>
      </c>
      <c r="B101" s="695"/>
      <c r="C101" s="695"/>
      <c r="D101" s="695"/>
      <c r="E101" s="424"/>
      <c r="F101" s="424"/>
      <c r="G101" s="424"/>
      <c r="H101" s="389">
        <f>SUM(H98:H100)</f>
        <v>0</v>
      </c>
      <c r="Q101" s="373"/>
      <c r="R101" s="373"/>
    </row>
    <row r="102" spans="1:18" ht="20.100000000000001" customHeight="1">
      <c r="A102" s="705" t="s">
        <v>793</v>
      </c>
      <c r="B102" s="449" t="s">
        <v>794</v>
      </c>
      <c r="C102" s="706" t="s">
        <v>795</v>
      </c>
      <c r="D102" s="706"/>
      <c r="E102" s="448">
        <f>E86</f>
        <v>23.2</v>
      </c>
      <c r="F102" s="448" t="s">
        <v>758</v>
      </c>
      <c r="G102" s="448">
        <v>0.1</v>
      </c>
      <c r="H102" s="450">
        <f t="shared" si="17"/>
        <v>2.3199999999999998</v>
      </c>
      <c r="Q102" s="373"/>
      <c r="R102" s="373"/>
    </row>
    <row r="103" spans="1:18" ht="20.100000000000001" customHeight="1">
      <c r="A103" s="705"/>
      <c r="B103" s="449" t="s">
        <v>796</v>
      </c>
      <c r="C103" s="706" t="s">
        <v>797</v>
      </c>
      <c r="D103" s="706"/>
      <c r="E103" s="448">
        <f>E9+E15</f>
        <v>54.800000000000004</v>
      </c>
      <c r="F103" s="448" t="s">
        <v>758</v>
      </c>
      <c r="G103" s="448">
        <v>0.5</v>
      </c>
      <c r="H103" s="450">
        <f t="shared" si="17"/>
        <v>27.400000000000002</v>
      </c>
      <c r="J103" s="364">
        <v>0.6</v>
      </c>
      <c r="K103" s="364">
        <v>2</v>
      </c>
      <c r="L103" s="364">
        <v>100</v>
      </c>
      <c r="M103" s="364">
        <f>L103*K103*J103</f>
        <v>120</v>
      </c>
      <c r="N103" s="364" t="e">
        <f>#REF!*M103/#REF!</f>
        <v>#REF!</v>
      </c>
      <c r="O103" s="364" t="s">
        <v>798</v>
      </c>
      <c r="Q103" s="373"/>
      <c r="R103" s="373"/>
    </row>
    <row r="104" spans="1:18" ht="20.100000000000001" customHeight="1">
      <c r="A104" s="705"/>
      <c r="B104" s="449" t="s">
        <v>246</v>
      </c>
      <c r="C104" s="706" t="s">
        <v>799</v>
      </c>
      <c r="D104" s="706"/>
      <c r="E104" s="416">
        <f>ROUND((E3*30),0)</f>
        <v>557</v>
      </c>
      <c r="F104" s="448" t="s">
        <v>274</v>
      </c>
      <c r="G104" s="448">
        <v>0.1</v>
      </c>
      <c r="H104" s="450">
        <f t="shared" si="17"/>
        <v>55.7</v>
      </c>
      <c r="Q104" s="373"/>
      <c r="R104" s="373"/>
    </row>
    <row r="105" spans="1:18" ht="20.100000000000001" customHeight="1">
      <c r="A105" s="705"/>
      <c r="B105" s="449" t="s">
        <v>800</v>
      </c>
      <c r="C105" s="701"/>
      <c r="D105" s="701"/>
      <c r="E105" s="448">
        <f>E91*10</f>
        <v>120</v>
      </c>
      <c r="F105" s="448" t="s">
        <v>801</v>
      </c>
      <c r="G105" s="448">
        <v>0.25</v>
      </c>
      <c r="H105" s="450">
        <f t="shared" si="17"/>
        <v>30</v>
      </c>
      <c r="J105" s="364">
        <v>0.3</v>
      </c>
      <c r="K105" s="364">
        <v>0.25</v>
      </c>
      <c r="L105" s="364">
        <v>1.2E-2</v>
      </c>
      <c r="M105" s="364">
        <v>6.5</v>
      </c>
      <c r="N105" s="364">
        <v>7800</v>
      </c>
      <c r="O105" s="364">
        <f>J105*K105*L105*M105*N105</f>
        <v>45.63</v>
      </c>
      <c r="Q105" s="373"/>
      <c r="R105" s="373"/>
    </row>
    <row r="106" spans="1:18" ht="20.100000000000001" customHeight="1">
      <c r="A106" s="705"/>
      <c r="B106" s="449" t="s">
        <v>802</v>
      </c>
      <c r="C106" s="707" t="s">
        <v>803</v>
      </c>
      <c r="D106" s="708"/>
      <c r="E106" s="448">
        <f>ROUND(R1*2*1.05,0)</f>
        <v>40</v>
      </c>
      <c r="F106" s="448" t="s">
        <v>274</v>
      </c>
      <c r="G106" s="448">
        <v>19.5</v>
      </c>
      <c r="H106" s="450">
        <f t="shared" si="17"/>
        <v>780</v>
      </c>
      <c r="Q106" s="373"/>
      <c r="R106" s="373"/>
    </row>
    <row r="107" spans="1:18" ht="20.100000000000001" customHeight="1">
      <c r="A107" s="705"/>
      <c r="B107" s="449" t="s">
        <v>804</v>
      </c>
      <c r="C107" s="709" t="s">
        <v>805</v>
      </c>
      <c r="D107" s="710"/>
      <c r="E107" s="448">
        <f>(C3*2+D3*2+40*4+100)/1000</f>
        <v>23.46</v>
      </c>
      <c r="F107" s="448" t="s">
        <v>758</v>
      </c>
      <c r="G107" s="448">
        <f>339/25</f>
        <v>13.56</v>
      </c>
      <c r="H107" s="450"/>
      <c r="Q107" s="373"/>
      <c r="R107" s="373"/>
    </row>
    <row r="108" spans="1:18" ht="20.100000000000001" customHeight="1">
      <c r="A108" s="705"/>
      <c r="B108" s="449" t="s">
        <v>806</v>
      </c>
      <c r="C108" s="711" t="s">
        <v>807</v>
      </c>
      <c r="D108" s="712"/>
      <c r="E108" s="448">
        <f>(C3*2+D3*2+400*3)/1000</f>
        <v>24.4</v>
      </c>
      <c r="F108" s="448" t="s">
        <v>758</v>
      </c>
      <c r="G108" s="448">
        <v>20.07</v>
      </c>
      <c r="H108" s="450"/>
      <c r="Q108" s="373"/>
      <c r="R108" s="373"/>
    </row>
    <row r="109" spans="1:18" ht="20.100000000000001" customHeight="1">
      <c r="A109" s="705"/>
      <c r="B109" s="449" t="s">
        <v>640</v>
      </c>
      <c r="C109" s="701"/>
      <c r="D109" s="701"/>
      <c r="E109" s="448">
        <f>G3</f>
        <v>18.579999999999998</v>
      </c>
      <c r="F109" s="448" t="s">
        <v>6</v>
      </c>
      <c r="G109" s="426">
        <v>20</v>
      </c>
      <c r="H109" s="450">
        <f t="shared" si="17"/>
        <v>371.59999999999997</v>
      </c>
      <c r="Q109" s="373"/>
      <c r="R109" s="373"/>
    </row>
    <row r="110" spans="1:18" ht="20.100000000000001" customHeight="1">
      <c r="A110" s="694" t="s">
        <v>215</v>
      </c>
      <c r="B110" s="695"/>
      <c r="C110" s="695"/>
      <c r="D110" s="695"/>
      <c r="E110" s="424"/>
      <c r="F110" s="424"/>
      <c r="G110" s="424"/>
      <c r="H110" s="389">
        <f>SUM(H102:H109)</f>
        <v>1267.02</v>
      </c>
      <c r="Q110" s="373"/>
      <c r="R110" s="373"/>
    </row>
    <row r="111" spans="1:18" ht="20.100000000000001" customHeight="1">
      <c r="A111" s="702" t="s">
        <v>808</v>
      </c>
      <c r="B111" s="449" t="s">
        <v>809</v>
      </c>
      <c r="C111" s="448" t="s">
        <v>2</v>
      </c>
      <c r="D111" s="448" t="s">
        <v>8</v>
      </c>
      <c r="E111" s="426" t="s">
        <v>712</v>
      </c>
      <c r="F111" s="448" t="s">
        <v>810</v>
      </c>
      <c r="G111" s="448" t="s">
        <v>28</v>
      </c>
      <c r="H111" s="450" t="s">
        <v>29</v>
      </c>
      <c r="Q111" s="373"/>
      <c r="R111" s="373"/>
    </row>
    <row r="112" spans="1:18" ht="20.100000000000001" customHeight="1">
      <c r="A112" s="703"/>
      <c r="B112" s="414">
        <f>C3</f>
        <v>2800</v>
      </c>
      <c r="C112" s="414">
        <v>2650</v>
      </c>
      <c r="D112" s="414">
        <v>1</v>
      </c>
      <c r="E112" s="426">
        <f>B112*C112*D112/1000000</f>
        <v>7.42</v>
      </c>
      <c r="F112" s="448">
        <f>B112*C112/1000000*D112</f>
        <v>7.42</v>
      </c>
      <c r="G112" s="448">
        <f>'套门 (2)'!B371</f>
        <v>900.83</v>
      </c>
      <c r="H112" s="450">
        <f>G112*E112</f>
        <v>6684.1586000000007</v>
      </c>
      <c r="Q112" s="156" t="s">
        <v>356</v>
      </c>
      <c r="R112" s="373"/>
    </row>
    <row r="113" spans="1:35" ht="20.100000000000001" customHeight="1">
      <c r="A113" s="703"/>
      <c r="B113" s="414"/>
      <c r="C113" s="414"/>
      <c r="D113" s="414"/>
      <c r="E113" s="426">
        <f t="shared" ref="E113:E114" si="18">B113*C113*D113/1000000</f>
        <v>0</v>
      </c>
      <c r="F113" s="448">
        <f>B113*C113/1000000*D113</f>
        <v>0</v>
      </c>
      <c r="G113" s="448"/>
      <c r="H113" s="450">
        <f t="shared" ref="H113:H115" si="19">G113*E113</f>
        <v>0</v>
      </c>
      <c r="Q113" s="156" t="s">
        <v>356</v>
      </c>
      <c r="R113" s="373"/>
    </row>
    <row r="114" spans="1:35" ht="20.100000000000001" customHeight="1">
      <c r="A114" s="703"/>
      <c r="B114" s="414"/>
      <c r="C114" s="414"/>
      <c r="D114" s="414"/>
      <c r="E114" s="426">
        <f t="shared" si="18"/>
        <v>0</v>
      </c>
      <c r="F114" s="448">
        <f>B114*C114/1000000*D114</f>
        <v>0</v>
      </c>
      <c r="G114" s="448"/>
      <c r="H114" s="450">
        <f t="shared" si="19"/>
        <v>0</v>
      </c>
      <c r="Q114" s="156" t="s">
        <v>347</v>
      </c>
      <c r="R114" s="373"/>
    </row>
    <row r="115" spans="1:35" ht="20.100000000000001" customHeight="1">
      <c r="A115" s="703"/>
      <c r="B115" s="414"/>
      <c r="C115" s="414"/>
      <c r="D115" s="414"/>
      <c r="E115" s="426"/>
      <c r="F115" s="448">
        <f>B115*C115/1000000*D115</f>
        <v>0</v>
      </c>
      <c r="G115" s="448"/>
      <c r="H115" s="450">
        <f t="shared" si="19"/>
        <v>0</v>
      </c>
      <c r="Q115" s="156" t="s">
        <v>347</v>
      </c>
      <c r="R115" s="373"/>
    </row>
    <row r="116" spans="1:35" ht="20.100000000000001" customHeight="1">
      <c r="A116" s="703"/>
      <c r="B116" s="414"/>
      <c r="C116" s="414"/>
      <c r="D116" s="414"/>
      <c r="E116" s="426"/>
      <c r="F116" s="448"/>
      <c r="G116" s="448"/>
      <c r="H116" s="450">
        <f>G116*E116</f>
        <v>0</v>
      </c>
      <c r="Q116" s="156" t="s">
        <v>811</v>
      </c>
      <c r="R116" s="373"/>
    </row>
    <row r="117" spans="1:35" ht="20.100000000000001" customHeight="1">
      <c r="A117" s="703"/>
      <c r="B117" s="414"/>
      <c r="C117" s="414"/>
      <c r="D117" s="414"/>
      <c r="E117" s="426"/>
      <c r="F117" s="448"/>
      <c r="G117" s="448"/>
      <c r="H117" s="450">
        <f>G117*E117</f>
        <v>0</v>
      </c>
      <c r="Q117" s="156" t="s">
        <v>812</v>
      </c>
      <c r="R117" s="373"/>
    </row>
    <row r="118" spans="1:35" ht="20.100000000000001" customHeight="1">
      <c r="A118" s="704"/>
      <c r="B118" s="414"/>
      <c r="C118" s="414"/>
      <c r="D118" s="414"/>
      <c r="E118" s="426">
        <f>C55*E55*(D55/2)/1000000</f>
        <v>0</v>
      </c>
      <c r="F118" s="448"/>
      <c r="G118" s="448"/>
      <c r="H118" s="450">
        <f>G118*E118</f>
        <v>0</v>
      </c>
      <c r="Q118" s="427" t="s">
        <v>813</v>
      </c>
      <c r="R118" s="373"/>
    </row>
    <row r="119" spans="1:35" ht="20.100000000000001" customHeight="1">
      <c r="A119" s="446"/>
      <c r="B119" s="447"/>
      <c r="C119" s="447"/>
      <c r="D119" s="447">
        <f>SUM(D112:D115)</f>
        <v>1</v>
      </c>
      <c r="E119" s="424">
        <f>SUM(E112:E115)</f>
        <v>7.42</v>
      </c>
      <c r="F119" s="424">
        <f>SUM(F112:F115)</f>
        <v>7.42</v>
      </c>
      <c r="G119" s="424"/>
      <c r="H119" s="389">
        <f>SUM(H112:O118)</f>
        <v>6684.1586000000007</v>
      </c>
      <c r="R119" s="373"/>
    </row>
    <row r="120" spans="1:35" ht="20.100000000000001" customHeight="1">
      <c r="A120" s="705" t="s">
        <v>814</v>
      </c>
      <c r="B120" s="449" t="s">
        <v>815</v>
      </c>
      <c r="C120" s="701"/>
      <c r="D120" s="701"/>
      <c r="E120" s="426">
        <f>ROUND((C3*2/1000*0.3),2)</f>
        <v>1.68</v>
      </c>
      <c r="F120" s="448" t="s">
        <v>816</v>
      </c>
      <c r="G120" s="448">
        <v>50</v>
      </c>
      <c r="H120" s="450">
        <f>G120*E120</f>
        <v>84</v>
      </c>
      <c r="Q120" s="373"/>
      <c r="R120" s="373"/>
    </row>
    <row r="121" spans="1:35" ht="20.100000000000001" customHeight="1">
      <c r="A121" s="705"/>
      <c r="B121" s="449" t="s">
        <v>817</v>
      </c>
      <c r="C121" s="448">
        <f>E9</f>
        <v>35.200000000000003</v>
      </c>
      <c r="D121" s="448"/>
      <c r="E121" s="426"/>
      <c r="F121" s="448"/>
      <c r="G121" s="448">
        <f>650/6</f>
        <v>108.33333333333333</v>
      </c>
      <c r="H121" s="450"/>
      <c r="Q121" s="373"/>
      <c r="R121" s="373"/>
    </row>
    <row r="122" spans="1:35" ht="20.100000000000001" customHeight="1">
      <c r="A122" s="705"/>
      <c r="B122" s="449" t="s">
        <v>857</v>
      </c>
      <c r="C122" s="448"/>
      <c r="D122" s="448"/>
      <c r="E122" s="426">
        <v>1</v>
      </c>
      <c r="F122" s="448"/>
      <c r="G122" s="448">
        <f>'C0410'!G358</f>
        <v>70</v>
      </c>
      <c r="H122" s="450">
        <f>G122*E122</f>
        <v>70</v>
      </c>
      <c r="Q122" s="373"/>
      <c r="R122" s="373"/>
    </row>
    <row r="123" spans="1:35" ht="20.100000000000001" customHeight="1">
      <c r="A123" s="705"/>
      <c r="B123" s="449" t="s">
        <v>818</v>
      </c>
      <c r="C123" s="701"/>
      <c r="D123" s="701"/>
      <c r="E123" s="426">
        <f>ROUND((C3*0.83*0.1/1000),2)</f>
        <v>0.23</v>
      </c>
      <c r="F123" s="448" t="s">
        <v>819</v>
      </c>
      <c r="G123" s="448">
        <v>50</v>
      </c>
      <c r="H123" s="450"/>
      <c r="Q123" s="373"/>
      <c r="R123" s="373"/>
    </row>
    <row r="124" spans="1:35" ht="20.100000000000001" customHeight="1">
      <c r="A124" s="694" t="s">
        <v>820</v>
      </c>
      <c r="B124" s="695"/>
      <c r="C124" s="695"/>
      <c r="D124" s="695"/>
      <c r="E124" s="424"/>
      <c r="F124" s="424"/>
      <c r="G124" s="424"/>
      <c r="H124" s="389">
        <f>SUM(H120:H123)</f>
        <v>154</v>
      </c>
      <c r="Q124" s="373"/>
      <c r="R124" s="373"/>
    </row>
    <row r="125" spans="1:35" ht="20.100000000000001" customHeight="1">
      <c r="A125" s="696" t="s">
        <v>821</v>
      </c>
      <c r="B125" s="697"/>
      <c r="C125" s="697"/>
      <c r="D125" s="697"/>
      <c r="E125" s="697"/>
      <c r="F125" s="697"/>
      <c r="G125" s="698"/>
      <c r="H125" s="429">
        <f>H90+H97+H101+H110+H124+H84+H119</f>
        <v>15622.709636128</v>
      </c>
      <c r="Q125" s="373"/>
      <c r="R125" s="373"/>
    </row>
    <row r="126" spans="1:35" ht="20.100000000000001" customHeight="1" thickBot="1">
      <c r="A126" s="699" t="s">
        <v>822</v>
      </c>
      <c r="B126" s="700"/>
      <c r="C126" s="430">
        <f>H64+H70+F76+H125+H66+H65</f>
        <v>31998.477636128002</v>
      </c>
      <c r="D126" s="430" t="s">
        <v>823</v>
      </c>
      <c r="E126" s="431">
        <f>E3</f>
        <v>18.579999999999998</v>
      </c>
      <c r="F126" s="431" t="s">
        <v>258</v>
      </c>
      <c r="G126" s="431">
        <f>ROUND((C126/E126),2)</f>
        <v>1722.2</v>
      </c>
      <c r="H126" s="432" t="e">
        <f>#REF!</f>
        <v>#REF!</v>
      </c>
      <c r="M126" s="433"/>
      <c r="N126" s="433"/>
      <c r="O126" s="433"/>
      <c r="Q126" s="373"/>
      <c r="R126" s="373"/>
      <c r="AB126" s="631" t="s">
        <v>603</v>
      </c>
      <c r="AC126" s="631"/>
      <c r="AD126" s="631"/>
      <c r="AE126" s="631"/>
      <c r="AF126" s="631"/>
      <c r="AG126" s="631"/>
      <c r="AH126" s="631"/>
      <c r="AI126" s="631"/>
    </row>
    <row r="127" spans="1:35" ht="20.100000000000001" customHeight="1" thickTop="1">
      <c r="AB127" s="634" t="s">
        <v>604</v>
      </c>
      <c r="AC127" s="634"/>
      <c r="AD127" s="634"/>
      <c r="AE127" s="634"/>
      <c r="AF127" s="634"/>
      <c r="AG127" s="634"/>
      <c r="AH127" s="634"/>
      <c r="AI127" s="634"/>
    </row>
    <row r="128" spans="1:35" ht="20.100000000000001" customHeight="1">
      <c r="E128" s="435"/>
      <c r="F128" s="435"/>
      <c r="AB128" s="285" t="s">
        <v>279</v>
      </c>
      <c r="AC128" s="624" t="s">
        <v>956</v>
      </c>
      <c r="AD128" s="625"/>
      <c r="AE128" s="312" t="str">
        <f ca="1">B3</f>
        <v>MLC2888</v>
      </c>
      <c r="AF128" s="312"/>
      <c r="AG128" s="313"/>
      <c r="AH128" s="287" t="s">
        <v>605</v>
      </c>
      <c r="AI128" s="288"/>
    </row>
    <row r="129" spans="2:35" ht="36" customHeight="1">
      <c r="B129" s="693"/>
      <c r="C129" s="693"/>
      <c r="E129" s="435"/>
      <c r="F129" s="435"/>
      <c r="AB129" s="635" t="s">
        <v>606</v>
      </c>
      <c r="AC129" s="623" t="s">
        <v>626</v>
      </c>
      <c r="AD129" s="623"/>
      <c r="AE129" s="623"/>
      <c r="AF129" s="623"/>
      <c r="AG129" s="637"/>
      <c r="AH129" s="291" t="s">
        <v>607</v>
      </c>
      <c r="AI129" s="292" t="s">
        <v>313</v>
      </c>
    </row>
    <row r="130" spans="2:35" ht="36" customHeight="1">
      <c r="G130" s="435"/>
      <c r="AB130" s="636"/>
      <c r="AC130" s="638"/>
      <c r="AD130" s="638"/>
      <c r="AE130" s="638"/>
      <c r="AF130" s="638"/>
      <c r="AG130" s="638"/>
      <c r="AH130" s="291" t="s">
        <v>268</v>
      </c>
      <c r="AI130" s="293">
        <f>G3</f>
        <v>18.579999999999998</v>
      </c>
    </row>
    <row r="131" spans="2:35" ht="20.100000000000001" customHeight="1">
      <c r="G131" s="435"/>
      <c r="AB131" s="311" t="s">
        <v>0</v>
      </c>
      <c r="AC131" s="289" t="s">
        <v>608</v>
      </c>
      <c r="AD131" s="289" t="s">
        <v>627</v>
      </c>
      <c r="AE131" s="289" t="s">
        <v>269</v>
      </c>
      <c r="AF131" s="294" t="s">
        <v>8</v>
      </c>
      <c r="AG131" s="295" t="s">
        <v>609</v>
      </c>
      <c r="AH131" s="296" t="s">
        <v>270</v>
      </c>
      <c r="AI131" s="295" t="s">
        <v>610</v>
      </c>
    </row>
    <row r="132" spans="2:35" ht="20.100000000000001" customHeight="1">
      <c r="AB132" s="297" t="s">
        <v>305</v>
      </c>
      <c r="AC132" s="298" t="s">
        <v>611</v>
      </c>
      <c r="AD132" s="298"/>
      <c r="AE132" s="286"/>
      <c r="AF132" s="299"/>
      <c r="AG132" s="300"/>
      <c r="AH132" s="301" t="e">
        <f>SUM(AH133:AH141)</f>
        <v>#REF!</v>
      </c>
      <c r="AI132" s="286"/>
    </row>
    <row r="133" spans="2:35" ht="20.100000000000001" customHeight="1">
      <c r="AB133" s="286">
        <v>1</v>
      </c>
      <c r="AC133" s="302" t="s">
        <v>612</v>
      </c>
      <c r="AD133" s="307"/>
      <c r="AE133" s="286" t="s">
        <v>271</v>
      </c>
      <c r="AF133" s="303" t="e">
        <f>#REF!</f>
        <v>#REF!</v>
      </c>
      <c r="AG133" s="304" t="e">
        <f>#REF!/#REF!</f>
        <v>#REF!</v>
      </c>
      <c r="AH133" s="305" t="e">
        <f t="shared" ref="AH133:AH141" si="20">AG133*AF133</f>
        <v>#REF!</v>
      </c>
      <c r="AI133" s="306"/>
    </row>
    <row r="134" spans="2:35" ht="20.100000000000001" customHeight="1">
      <c r="AB134" s="286">
        <v>2</v>
      </c>
      <c r="AC134" s="290" t="s">
        <v>613</v>
      </c>
      <c r="AD134" s="307"/>
      <c r="AE134" s="286" t="s">
        <v>276</v>
      </c>
      <c r="AF134" s="303" t="str">
        <f>Q116</f>
        <v>隔热条填充物</v>
      </c>
      <c r="AG134" s="304">
        <f>T116</f>
        <v>0</v>
      </c>
      <c r="AH134" s="305" t="e">
        <f t="shared" si="20"/>
        <v>#VALUE!</v>
      </c>
      <c r="AI134" s="306"/>
    </row>
    <row r="135" spans="2:35" ht="20.100000000000001" customHeight="1">
      <c r="AB135" s="286">
        <v>3</v>
      </c>
      <c r="AC135" s="302" t="s">
        <v>614</v>
      </c>
      <c r="AD135" s="302"/>
      <c r="AE135" s="286" t="s">
        <v>312</v>
      </c>
      <c r="AF135" s="303">
        <f>Q49+Q50</f>
        <v>0</v>
      </c>
      <c r="AG135" s="304" t="e">
        <f>材料价格!#REF!</f>
        <v>#REF!</v>
      </c>
      <c r="AH135" s="305" t="e">
        <f t="shared" si="20"/>
        <v>#REF!</v>
      </c>
      <c r="AI135" s="306"/>
    </row>
    <row r="136" spans="2:35" ht="20.100000000000001" customHeight="1">
      <c r="AB136" s="286">
        <v>4</v>
      </c>
      <c r="AC136" s="302" t="s">
        <v>615</v>
      </c>
      <c r="AD136" s="306"/>
      <c r="AE136" s="286" t="s">
        <v>278</v>
      </c>
      <c r="AF136" s="303" t="e">
        <f>(U74+U75+U77+U78+U79)/S74</f>
        <v>#DIV/0!</v>
      </c>
      <c r="AG136" s="304" t="e">
        <f>材料价格!#REF!</f>
        <v>#REF!</v>
      </c>
      <c r="AH136" s="305" t="e">
        <f t="shared" si="20"/>
        <v>#REF!</v>
      </c>
      <c r="AI136" s="306"/>
    </row>
    <row r="137" spans="2:35" ht="20.100000000000001" customHeight="1">
      <c r="AB137" s="286">
        <v>5</v>
      </c>
      <c r="AC137" s="306" t="s">
        <v>616</v>
      </c>
      <c r="AD137" s="302"/>
      <c r="AE137" s="286" t="s">
        <v>628</v>
      </c>
      <c r="AF137" s="303">
        <f>U95/21</f>
        <v>0</v>
      </c>
      <c r="AG137" s="304">
        <v>21</v>
      </c>
      <c r="AH137" s="305">
        <f t="shared" si="20"/>
        <v>0</v>
      </c>
      <c r="AI137" s="306"/>
    </row>
    <row r="138" spans="2:35" ht="20.100000000000001" customHeight="1">
      <c r="AB138" s="286">
        <v>6</v>
      </c>
      <c r="AC138" s="302" t="s">
        <v>319</v>
      </c>
      <c r="AD138" s="302"/>
      <c r="AE138" s="286" t="s">
        <v>273</v>
      </c>
      <c r="AF138" s="303"/>
      <c r="AG138" s="304"/>
      <c r="AH138" s="305">
        <f t="shared" si="20"/>
        <v>0</v>
      </c>
      <c r="AI138" s="306"/>
    </row>
    <row r="139" spans="2:35" ht="20.100000000000001" customHeight="1">
      <c r="AB139" s="286">
        <v>7</v>
      </c>
      <c r="AC139" s="302" t="s">
        <v>295</v>
      </c>
      <c r="AD139" s="302"/>
      <c r="AE139" s="286" t="s">
        <v>273</v>
      </c>
      <c r="AF139" s="303"/>
      <c r="AG139" s="304" t="e">
        <f>材料价格!#REF!</f>
        <v>#REF!</v>
      </c>
      <c r="AH139" s="305" t="e">
        <f t="shared" si="20"/>
        <v>#REF!</v>
      </c>
      <c r="AI139" s="306"/>
    </row>
    <row r="140" spans="2:35" ht="20.100000000000001" customHeight="1">
      <c r="AB140" s="286">
        <v>8</v>
      </c>
      <c r="AC140" s="302" t="s">
        <v>296</v>
      </c>
      <c r="AD140" s="302"/>
      <c r="AE140" s="286" t="s">
        <v>273</v>
      </c>
      <c r="AF140" s="303">
        <f>R61</f>
        <v>0</v>
      </c>
      <c r="AG140" s="304" t="e">
        <f>材料价格!#REF!</f>
        <v>#REF!</v>
      </c>
      <c r="AH140" s="305" t="e">
        <f t="shared" si="20"/>
        <v>#REF!</v>
      </c>
      <c r="AI140" s="306"/>
    </row>
    <row r="141" spans="2:35" ht="20.100000000000001" customHeight="1">
      <c r="AB141" s="286">
        <v>9</v>
      </c>
      <c r="AC141" s="302" t="s">
        <v>617</v>
      </c>
      <c r="AD141" s="302"/>
      <c r="AE141" s="286" t="s">
        <v>618</v>
      </c>
      <c r="AF141" s="296">
        <v>1</v>
      </c>
      <c r="AG141" s="304">
        <f>U121-U116+U108+U76+U73+U72</f>
        <v>0</v>
      </c>
      <c r="AH141" s="305">
        <f t="shared" si="20"/>
        <v>0</v>
      </c>
      <c r="AI141" s="306"/>
    </row>
    <row r="142" spans="2:35" ht="20.100000000000001" customHeight="1">
      <c r="AB142" s="297" t="s">
        <v>306</v>
      </c>
      <c r="AC142" s="308" t="s">
        <v>314</v>
      </c>
      <c r="AD142" s="298"/>
      <c r="AE142" s="286"/>
      <c r="AF142" s="296"/>
      <c r="AG142" s="309"/>
      <c r="AH142" s="301">
        <f>SUM(AH143:AH144)</f>
        <v>2972.7999999999997</v>
      </c>
      <c r="AI142" s="286"/>
    </row>
    <row r="143" spans="2:35" ht="20.100000000000001" customHeight="1">
      <c r="AB143" s="286">
        <v>1</v>
      </c>
      <c r="AC143" s="307" t="s">
        <v>619</v>
      </c>
      <c r="AD143" s="307"/>
      <c r="AE143" s="300" t="s">
        <v>312</v>
      </c>
      <c r="AF143" s="296">
        <f>AI130</f>
        <v>18.579999999999998</v>
      </c>
      <c r="AG143" s="310">
        <v>60</v>
      </c>
      <c r="AH143" s="305">
        <f>AG143*AF143</f>
        <v>1114.8</v>
      </c>
      <c r="AI143" s="286"/>
    </row>
    <row r="144" spans="2:35" ht="20.100000000000001" customHeight="1">
      <c r="AB144" s="286">
        <v>2</v>
      </c>
      <c r="AC144" s="307" t="s">
        <v>288</v>
      </c>
      <c r="AD144" s="307"/>
      <c r="AE144" s="300" t="s">
        <v>312</v>
      </c>
      <c r="AF144" s="296">
        <f>AI130</f>
        <v>18.579999999999998</v>
      </c>
      <c r="AG144" s="310">
        <v>100</v>
      </c>
      <c r="AH144" s="305">
        <f>AG144*AF144</f>
        <v>1857.9999999999998</v>
      </c>
      <c r="AI144" s="286"/>
    </row>
    <row r="145" spans="28:35" ht="20.100000000000001" customHeight="1">
      <c r="AB145" s="297" t="s">
        <v>307</v>
      </c>
      <c r="AC145" s="308" t="s">
        <v>290</v>
      </c>
      <c r="AD145" s="298"/>
      <c r="AE145" s="286"/>
      <c r="AF145" s="296"/>
      <c r="AG145" s="309"/>
      <c r="AH145" s="301">
        <f>SUM(AH146)</f>
        <v>371.59999999999997</v>
      </c>
      <c r="AI145" s="286"/>
    </row>
    <row r="146" spans="28:35" ht="20.100000000000001" customHeight="1">
      <c r="AB146" s="286">
        <v>1</v>
      </c>
      <c r="AC146" s="307" t="s">
        <v>290</v>
      </c>
      <c r="AD146" s="307"/>
      <c r="AE146" s="300" t="s">
        <v>312</v>
      </c>
      <c r="AF146" s="296">
        <f>AI130</f>
        <v>18.579999999999998</v>
      </c>
      <c r="AG146" s="310">
        <v>20</v>
      </c>
      <c r="AH146" s="305">
        <f>AG146*AF146</f>
        <v>371.59999999999997</v>
      </c>
      <c r="AI146" s="286"/>
    </row>
    <row r="147" spans="28:35" ht="20.100000000000001" customHeight="1">
      <c r="AB147" s="286" t="s">
        <v>308</v>
      </c>
      <c r="AC147" s="618" t="s">
        <v>620</v>
      </c>
      <c r="AD147" s="619"/>
      <c r="AE147" s="620"/>
      <c r="AF147" s="621"/>
      <c r="AG147" s="622"/>
      <c r="AH147" s="301" t="e">
        <f>AH132+AH142+AH145</f>
        <v>#REF!</v>
      </c>
      <c r="AI147" s="286"/>
    </row>
    <row r="148" spans="28:35" ht="20.100000000000001" customHeight="1">
      <c r="AB148" s="286" t="s">
        <v>309</v>
      </c>
      <c r="AC148" s="618" t="s">
        <v>621</v>
      </c>
      <c r="AD148" s="619"/>
      <c r="AE148" s="626">
        <v>0.2</v>
      </c>
      <c r="AF148" s="627"/>
      <c r="AG148" s="628"/>
      <c r="AH148" s="301" t="e">
        <f>AH147*AE148</f>
        <v>#REF!</v>
      </c>
      <c r="AI148" s="286"/>
    </row>
    <row r="149" spans="28:35" ht="20.100000000000001" customHeight="1">
      <c r="AB149" s="286" t="s">
        <v>310</v>
      </c>
      <c r="AC149" s="618" t="s">
        <v>622</v>
      </c>
      <c r="AD149" s="619"/>
      <c r="AE149" s="620"/>
      <c r="AF149" s="621"/>
      <c r="AG149" s="622"/>
      <c r="AH149" s="301" t="e">
        <f>AH147+AH148</f>
        <v>#REF!</v>
      </c>
      <c r="AI149" s="286"/>
    </row>
    <row r="150" spans="28:35" ht="20.100000000000001" customHeight="1">
      <c r="AB150" s="297" t="s">
        <v>311</v>
      </c>
      <c r="AC150" s="618" t="s">
        <v>623</v>
      </c>
      <c r="AD150" s="619"/>
      <c r="AE150" s="620"/>
      <c r="AF150" s="621"/>
      <c r="AG150" s="622"/>
      <c r="AH150" s="301" t="e">
        <f>AH149/AI130</f>
        <v>#REF!</v>
      </c>
      <c r="AI150" s="286" t="s">
        <v>624</v>
      </c>
    </row>
    <row r="151" spans="28:35" ht="20.100000000000001" customHeight="1">
      <c r="AB151" s="623" t="s">
        <v>625</v>
      </c>
      <c r="AC151" s="623"/>
      <c r="AD151" s="623"/>
      <c r="AE151" s="623"/>
      <c r="AF151" s="623"/>
      <c r="AG151" s="623"/>
      <c r="AH151" s="623"/>
      <c r="AI151" s="623"/>
    </row>
  </sheetData>
  <mergeCells count="111">
    <mergeCell ref="AC147:AD147"/>
    <mergeCell ref="AE147:AG147"/>
    <mergeCell ref="AC148:AD148"/>
    <mergeCell ref="AE148:AG148"/>
    <mergeCell ref="AC149:AD149"/>
    <mergeCell ref="AE149:AG149"/>
    <mergeCell ref="AC150:AD150"/>
    <mergeCell ref="AE150:AG150"/>
    <mergeCell ref="AB151:AI151"/>
    <mergeCell ref="A1:A3"/>
    <mergeCell ref="B1:C1"/>
    <mergeCell ref="D1:E1"/>
    <mergeCell ref="A4:H4"/>
    <mergeCell ref="A6:A8"/>
    <mergeCell ref="B6:B8"/>
    <mergeCell ref="A21:B21"/>
    <mergeCell ref="A23:A25"/>
    <mergeCell ref="B23:B25"/>
    <mergeCell ref="A26:B26"/>
    <mergeCell ref="A29:A31"/>
    <mergeCell ref="B29:B31"/>
    <mergeCell ref="A9:B9"/>
    <mergeCell ref="A12:A14"/>
    <mergeCell ref="B12:B14"/>
    <mergeCell ref="A15:B15"/>
    <mergeCell ref="A18:A20"/>
    <mergeCell ref="B18:B20"/>
    <mergeCell ref="A43:B43"/>
    <mergeCell ref="A45:A47"/>
    <mergeCell ref="B45:B47"/>
    <mergeCell ref="A48:B48"/>
    <mergeCell ref="A50:A52"/>
    <mergeCell ref="B50:B52"/>
    <mergeCell ref="A32:B32"/>
    <mergeCell ref="A34:A36"/>
    <mergeCell ref="B34:B36"/>
    <mergeCell ref="A37:B37"/>
    <mergeCell ref="A40:A42"/>
    <mergeCell ref="B40:B42"/>
    <mergeCell ref="A63:B63"/>
    <mergeCell ref="A68:A69"/>
    <mergeCell ref="E68:E69"/>
    <mergeCell ref="A71:H71"/>
    <mergeCell ref="G72:H72"/>
    <mergeCell ref="G73:H73"/>
    <mergeCell ref="A53:B53"/>
    <mergeCell ref="A55:A57"/>
    <mergeCell ref="B55:B57"/>
    <mergeCell ref="A58:B58"/>
    <mergeCell ref="A60:A62"/>
    <mergeCell ref="B60:B62"/>
    <mergeCell ref="A84:B84"/>
    <mergeCell ref="C84:D84"/>
    <mergeCell ref="A85:A89"/>
    <mergeCell ref="C85:D85"/>
    <mergeCell ref="C86:D86"/>
    <mergeCell ref="C87:D87"/>
    <mergeCell ref="C88:D88"/>
    <mergeCell ref="C89:D89"/>
    <mergeCell ref="G74:H74"/>
    <mergeCell ref="G75:H75"/>
    <mergeCell ref="A77:H77"/>
    <mergeCell ref="C78:D78"/>
    <mergeCell ref="A79:A83"/>
    <mergeCell ref="C79:D79"/>
    <mergeCell ref="C80:D80"/>
    <mergeCell ref="C81:D81"/>
    <mergeCell ref="C82:D82"/>
    <mergeCell ref="C83:D83"/>
    <mergeCell ref="A97:B97"/>
    <mergeCell ref="C97:D97"/>
    <mergeCell ref="A98:A100"/>
    <mergeCell ref="C98:D98"/>
    <mergeCell ref="C99:D99"/>
    <mergeCell ref="C100:D100"/>
    <mergeCell ref="A90:B90"/>
    <mergeCell ref="C90:D90"/>
    <mergeCell ref="A91:A96"/>
    <mergeCell ref="C91:D91"/>
    <mergeCell ref="C92:D92"/>
    <mergeCell ref="C93:D93"/>
    <mergeCell ref="C94:D94"/>
    <mergeCell ref="C95:D95"/>
    <mergeCell ref="C96:D96"/>
    <mergeCell ref="A101:B101"/>
    <mergeCell ref="C101:D101"/>
    <mergeCell ref="A102:A109"/>
    <mergeCell ref="C102:D102"/>
    <mergeCell ref="C103:D103"/>
    <mergeCell ref="C104:D104"/>
    <mergeCell ref="C105:D105"/>
    <mergeCell ref="C106:D106"/>
    <mergeCell ref="C107:D107"/>
    <mergeCell ref="C108:D108"/>
    <mergeCell ref="A124:B124"/>
    <mergeCell ref="C124:D124"/>
    <mergeCell ref="A125:G125"/>
    <mergeCell ref="A126:B126"/>
    <mergeCell ref="C109:D109"/>
    <mergeCell ref="A110:B110"/>
    <mergeCell ref="C110:D110"/>
    <mergeCell ref="A111:A118"/>
    <mergeCell ref="A120:A123"/>
    <mergeCell ref="C120:D120"/>
    <mergeCell ref="C123:D123"/>
    <mergeCell ref="AB126:AI126"/>
    <mergeCell ref="AB127:AI127"/>
    <mergeCell ref="AC128:AD128"/>
    <mergeCell ref="AB129:AB130"/>
    <mergeCell ref="AC129:AG130"/>
    <mergeCell ref="B129:C129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44</vt:i4>
      </vt:variant>
      <vt:variant>
        <vt:lpstr>命名范围</vt:lpstr>
      </vt:variant>
      <vt:variant>
        <vt:i4>27</vt:i4>
      </vt:variant>
    </vt:vector>
  </HeadingPairs>
  <TitlesOfParts>
    <vt:vector size="71" baseType="lpstr">
      <vt:lpstr>材料价格</vt:lpstr>
      <vt:lpstr>汇总表</vt:lpstr>
      <vt:lpstr>3#楼工程量统计</vt:lpstr>
      <vt:lpstr>4#楼工程量统计</vt:lpstr>
      <vt:lpstr>5#楼工程量统计</vt:lpstr>
      <vt:lpstr>6#楼工程量统计 </vt:lpstr>
      <vt:lpstr>8#楼工程量统计</vt:lpstr>
      <vt:lpstr>穿孔铝板</vt:lpstr>
      <vt:lpstr>栏杆</vt:lpstr>
      <vt:lpstr>MS65F</vt:lpstr>
      <vt:lpstr>WM1127</vt:lpstr>
      <vt:lpstr>C1014</vt:lpstr>
      <vt:lpstr>C1117</vt:lpstr>
      <vt:lpstr>C1122</vt:lpstr>
      <vt:lpstr>C1417</vt:lpstr>
      <vt:lpstr>C2430</vt:lpstr>
      <vt:lpstr>C2735-G</vt:lpstr>
      <vt:lpstr>WMLC2730</vt:lpstr>
      <vt:lpstr>WM2038</vt:lpstr>
      <vt:lpstr>MLC2030</vt:lpstr>
      <vt:lpstr>MLC2522</vt:lpstr>
      <vt:lpstr>C2330</vt:lpstr>
      <vt:lpstr>GDC2338</vt:lpstr>
      <vt:lpstr>C2327</vt:lpstr>
      <vt:lpstr>MLC2324</vt:lpstr>
      <vt:lpstr>WM1325</vt:lpstr>
      <vt:lpstr>WM2338</vt:lpstr>
      <vt:lpstr>MLC2124</vt:lpstr>
      <vt:lpstr>MLC2324A</vt:lpstr>
      <vt:lpstr>C1127</vt:lpstr>
      <vt:lpstr>GC2006</vt:lpstr>
      <vt:lpstr>C0410</vt:lpstr>
      <vt:lpstr>GDC1212</vt:lpstr>
      <vt:lpstr>GSM7838</vt:lpstr>
      <vt:lpstr>套门</vt:lpstr>
      <vt:lpstr>套门 (2)</vt:lpstr>
      <vt:lpstr>套窗</vt:lpstr>
      <vt:lpstr>BYC1610</vt:lpstr>
      <vt:lpstr>BYC0809</vt:lpstr>
      <vt:lpstr>BYC0624</vt:lpstr>
      <vt:lpstr>WM2480</vt:lpstr>
      <vt:lpstr>C2360</vt:lpstr>
      <vt:lpstr>MLC2360</vt:lpstr>
      <vt:lpstr>MLC2888</vt:lpstr>
      <vt:lpstr>'C0410'!Print_Area</vt:lpstr>
      <vt:lpstr>'C1014'!Print_Area</vt:lpstr>
      <vt:lpstr>'C1117'!Print_Area</vt:lpstr>
      <vt:lpstr>'C1122'!Print_Area</vt:lpstr>
      <vt:lpstr>'C1127'!Print_Area</vt:lpstr>
      <vt:lpstr>'C1417'!Print_Area</vt:lpstr>
      <vt:lpstr>'C2327'!Print_Area</vt:lpstr>
      <vt:lpstr>'C2330'!Print_Area</vt:lpstr>
      <vt:lpstr>'C2430'!Print_Area</vt:lpstr>
      <vt:lpstr>'C2735-G'!Print_Area</vt:lpstr>
      <vt:lpstr>'GC2006'!Print_Area</vt:lpstr>
      <vt:lpstr>'GDC1212'!Print_Area</vt:lpstr>
      <vt:lpstr>'GDC2338'!Print_Area</vt:lpstr>
      <vt:lpstr>'GSM7838'!Print_Area</vt:lpstr>
      <vt:lpstr>'MLC2030'!Print_Area</vt:lpstr>
      <vt:lpstr>'MLC2124'!Print_Area</vt:lpstr>
      <vt:lpstr>'MLC2324'!Print_Area</vt:lpstr>
      <vt:lpstr>MLC2324A!Print_Area</vt:lpstr>
      <vt:lpstr>'MLC2522'!Print_Area</vt:lpstr>
      <vt:lpstr>'WM1127'!Print_Area</vt:lpstr>
      <vt:lpstr>'WM1325'!Print_Area</vt:lpstr>
      <vt:lpstr>'WM2038'!Print_Area</vt:lpstr>
      <vt:lpstr>'WM2338'!Print_Area</vt:lpstr>
      <vt:lpstr>WMLC2730!Print_Area</vt:lpstr>
      <vt:lpstr>套窗!Print_Area</vt:lpstr>
      <vt:lpstr>套门!Print_Area</vt:lpstr>
      <vt:lpstr>'套门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刘思远</dc:creator>
  <cp:lastModifiedBy>Administrator</cp:lastModifiedBy>
  <cp:lastPrinted>2025-10-22T07:23:55Z</cp:lastPrinted>
  <dcterms:created xsi:type="dcterms:W3CDTF">1996-12-17T01:32:42Z</dcterms:created>
  <dcterms:modified xsi:type="dcterms:W3CDTF">2025-10-27T09:30:37Z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DDB5B88E1F774D31BE217BF5DF694F5B_13</vt:lpwstr>
  </property>
  <property fmtid="{D5CDD505-2E9C-101B-9397-08002B2CF9AE}" pid="4" name="KSOReadingLayout">
    <vt:bool>true</vt:bool>
  </property>
  <property fmtid="{D5CDD505-2E9C-101B-9397-08002B2CF9AE}" pid="5" name="commondata">
    <vt:lpwstr>eyJoZGlkIjoiOTlhMGUyZWRiZWQyMjhlYjMzMmRiZTdjZjQzODk2YjUifQ==</vt:lpwstr>
  </property>
</Properties>
</file>